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Сводная 5 анкет (Без перс. данн" sheetId="1" r:id="rId4"/>
  </sheets>
  <definedNames/>
  <calcPr/>
</workbook>
</file>

<file path=xl/sharedStrings.xml><?xml version="1.0" encoding="utf-8"?>
<sst xmlns="http://schemas.openxmlformats.org/spreadsheetml/2006/main" count="32" uniqueCount="32">
  <si>
    <t>№</t>
  </si>
  <si>
    <t>1) Ваша деятельность? Чем занимаетесь?</t>
  </si>
  <si>
    <t xml:space="preserve">2) Есть ли у вас хобби? Какое? </t>
  </si>
  <si>
    <t xml:space="preserve">3) В каком районе вы живете? Как вы сами его называете? </t>
  </si>
  <si>
    <t>4) Какие самые знаковые места есть в вашем районе?</t>
  </si>
  <si>
    <t>5) Как давно вы живете в городе? (если вы не являетесь коренным жителем города, пожалуйста, укажите причину переезда и место откуда переехали в графе "другое")</t>
  </si>
  <si>
    <t xml:space="preserve">6) Куда в городе и его окрестностях вы ходите в свободное время? </t>
  </si>
  <si>
    <t>7) Назовите 5 слов-образов, которые ассоциируются у Вас с городом?</t>
  </si>
  <si>
    <t xml:space="preserve">8) Назовите имена выдающихся людей прошлого, связанных с городом? </t>
  </si>
  <si>
    <t xml:space="preserve">9) Назовите имена выдающихся современников, связанных с г. Кемерово, людей, которые особенно много для него сделали, на которых равняются горожане. Кто они - «лучшие люди города»? </t>
  </si>
  <si>
    <t xml:space="preserve">10) Какие (возможно неофициальные) места, достопримечательности, памятники вы бы показали тем, кто приехал в ваш город впервые? </t>
  </si>
  <si>
    <t>11) Напишите какие-нибудь пословицы и поговорки, анекдоты, притчи, известные истории, которые характеризуют город и его жителей?</t>
  </si>
  <si>
    <t>12) Знаете ли вы какие-нибудь слова, выражения «по-кемеровски»?</t>
  </si>
  <si>
    <t xml:space="preserve">13) Назовите 5 основных критериев комфортности города для вас? </t>
  </si>
  <si>
    <t xml:space="preserve">14) Что в городе необходимо изменить в первую очередь (внешний вид города)? </t>
  </si>
  <si>
    <t>15) Откуда вы узнаете об интересных новостях/событиях/мероприятиях в городе? (если вашим источником является Интернет, укажите ресурсы, названия соцсетей)</t>
  </si>
  <si>
    <t>16) Какие темы региональных СМИ вам интересны? (выберите 3 варианта)</t>
  </si>
  <si>
    <t>17) Какие общегородские праздники важны для вас лично и ваших близких? А для других жителей?</t>
  </si>
  <si>
    <t xml:space="preserve">18) Случалось ли вам самостоятельно создавать новости/организовывать городские события? </t>
  </si>
  <si>
    <t xml:space="preserve">19) Чем, на ваш взгляд, известен и знаменит Кемерово? Что в нем уникального для жителей и гостей  города? </t>
  </si>
  <si>
    <t>20) Что вы можете назвать символическим центром (или центрами) города?</t>
  </si>
  <si>
    <t xml:space="preserve">21) На ваш взгляд, что кемеровчане разных времен сделали, чтобы   гордиться собой и городом? </t>
  </si>
  <si>
    <t>22) Кемеровчане, какие они? Опишите человеческие качества, свойственные жителям города?</t>
  </si>
  <si>
    <t xml:space="preserve">23) Какой, на ваш взгляд, самый крутой маршрут для первой прогулки по городу Кемерово? </t>
  </si>
  <si>
    <t xml:space="preserve">24) Какое самое значимое историческое/культурное событие произошло в Кемерове за все время его существования? </t>
  </si>
  <si>
    <t xml:space="preserve">25) Какие позитивные события в городе вам запомнились больше всего за последние два года? </t>
  </si>
  <si>
    <t>26) Какие негативные события/конфликты в городе вызвали у вас негодование за последние два года?</t>
  </si>
  <si>
    <t>27) Каких сообществ лично вам не хватает в городе?</t>
  </si>
  <si>
    <t>28) Какие события/мероприятия необходимы в городе, чтобы жить в нем стало интереснее?</t>
  </si>
  <si>
    <t>29) В какой роли вы хотели бы участвовать в проектах развития города?</t>
  </si>
  <si>
    <t>2) Ваш пол</t>
  </si>
  <si>
    <t>3) Ваш возраст</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</si>
</sst>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sz val="10.0"/>
      <color theme="1"/>
      <name val="Arial"/>
      <scheme val="minor"/>
    </font>
    <font>
      <b/>
      <sz val="10.0"/>
      <color theme="1"/>
      <name val="Arial"/>
    </font>
    <font>
      <color theme="1"/>
      <name val="Arial"/>
      <scheme val="minor"/>
    </font>
    <font>
      <sz val="11.0"/>
      <color rgb="FF000000"/>
      <name val="Inconsolata"/>
    </font>
    <font>
      <u/>
      <color rgb="FF0000FF"/>
    </font>
  </fonts>
  <fills count="4">
    <fill>
      <patternFill patternType="none"/>
    </fill>
    <fill>
      <patternFill patternType="lightGray"/>
    </fill>
    <fill>
      <patternFill patternType="solid">
        <fgColor rgb="FFE6B8AF"/>
        <bgColor rgb="FFE6B8AF"/>
      </patternFill>
    </fill>
    <fill>
      <patternFill patternType="solid">
        <fgColor rgb="FFFFFFFF"/>
        <bgColor rgb="FFFFFFFF"/>
      </patternFill>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2" fontId="1" numFmtId="0" xfId="0" applyAlignment="1" applyFill="1" applyFont="1">
      <alignment readingOrder="0" shrinkToFit="0" vertical="top" wrapText="1"/>
    </xf>
    <xf borderId="0" fillId="2" fontId="2" numFmtId="0" xfId="0" applyAlignment="1" applyFont="1">
      <alignment shrinkToFit="0" vertical="top" wrapText="1"/>
    </xf>
    <xf borderId="0" fillId="2" fontId="1" numFmtId="0" xfId="0" applyAlignment="1" applyFont="1">
      <alignment shrinkToFit="0" vertical="top" wrapText="1"/>
    </xf>
    <xf borderId="0" fillId="0" fontId="3" numFmtId="0" xfId="0" applyAlignment="1" applyFont="1">
      <alignment readingOrder="0" shrinkToFit="0" vertical="top" wrapText="1"/>
    </xf>
    <xf borderId="0" fillId="3" fontId="4" numFmtId="0" xfId="0" applyAlignment="1" applyFill="1" applyFont="1">
      <alignment shrinkToFit="0" vertical="top" wrapText="1"/>
    </xf>
    <xf borderId="0" fillId="0" fontId="3" numFmtId="0" xfId="0" applyAlignment="1" applyFont="1">
      <alignment shrinkToFit="0" vertical="top" wrapText="1"/>
    </xf>
    <xf borderId="0" fillId="0" fontId="5"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yandex.ru" TargetMode="External"/><Relationship Id="rId11" Type="http://schemas.openxmlformats.org/officeDocument/2006/relationships/hyperlink" Target="http://vse42.ru" TargetMode="External"/><Relationship Id="rId22" Type="http://schemas.openxmlformats.org/officeDocument/2006/relationships/hyperlink" Target="http://a42.ru" TargetMode="External"/><Relationship Id="rId10" Type="http://schemas.openxmlformats.org/officeDocument/2006/relationships/hyperlink" Target="http://a42.ru" TargetMode="External"/><Relationship Id="rId21" Type="http://schemas.openxmlformats.org/officeDocument/2006/relationships/hyperlink" Target="http://yandex.ru" TargetMode="External"/><Relationship Id="rId13" Type="http://schemas.openxmlformats.org/officeDocument/2006/relationships/hyperlink" Target="https://vse42.ru/,https://www.kem.kp.ru/" TargetMode="External"/><Relationship Id="rId24" Type="http://schemas.openxmlformats.org/officeDocument/2006/relationships/drawing" Target="../drawings/drawing1.xml"/><Relationship Id="rId12" Type="http://schemas.openxmlformats.org/officeDocument/2006/relationships/hyperlink" Target="https://gazeta.a42.ru/" TargetMode="External"/><Relationship Id="rId23" Type="http://schemas.openxmlformats.org/officeDocument/2006/relationships/hyperlink" Target="https://www.instagram.com/ilyaseredyuk/" TargetMode="External"/><Relationship Id="rId1" Type="http://schemas.openxmlformats.org/officeDocument/2006/relationships/hyperlink" Target="https://kemerovo-weekend.ru/" TargetMode="External"/><Relationship Id="rId2" Type="http://schemas.openxmlformats.org/officeDocument/2006/relationships/hyperlink" Target="https://okolo.city/places/sosny-dari-dobro-i-smotrovye-tocki-na-gore-lyuskus" TargetMode="External"/><Relationship Id="rId3" Type="http://schemas.openxmlformats.org/officeDocument/2006/relationships/hyperlink" Target="http://a42.ru" TargetMode="External"/><Relationship Id="rId4" Type="http://schemas.openxmlformats.org/officeDocument/2006/relationships/hyperlink" Target="http://e-kuzbass.ru" TargetMode="External"/><Relationship Id="rId9" Type="http://schemas.openxmlformats.org/officeDocument/2006/relationships/hyperlink" Target="https://vk.com/typical_kmr" TargetMode="External"/><Relationship Id="rId15" Type="http://schemas.openxmlformats.org/officeDocument/2006/relationships/hyperlink" Target="https://kuzbass-300.ru/300people" TargetMode="External"/><Relationship Id="rId14" Type="http://schemas.openxmlformats.org/officeDocument/2006/relationships/hyperlink" Target="https://www.instagram.com/ompkemerovo/" TargetMode="External"/><Relationship Id="rId17" Type="http://schemas.openxmlformats.org/officeDocument/2006/relationships/hyperlink" Target="http://afisha.vse42.ru" TargetMode="External"/><Relationship Id="rId16" Type="http://schemas.openxmlformats.org/officeDocument/2006/relationships/hyperlink" Target="http://vse42.ru" TargetMode="External"/><Relationship Id="rId5" Type="http://schemas.openxmlformats.org/officeDocument/2006/relationships/hyperlink" Target="https://www.instagram/ku4eriavenko" TargetMode="External"/><Relationship Id="rId19" Type="http://schemas.openxmlformats.org/officeDocument/2006/relationships/hyperlink" Target="https://kemerovo.ru/" TargetMode="External"/><Relationship Id="rId6" Type="http://schemas.openxmlformats.org/officeDocument/2006/relationships/hyperlink" Target="https://www.youtube.com/watch?v=5xCo4k7LRP0" TargetMode="External"/><Relationship Id="rId18" Type="http://schemas.openxmlformats.org/officeDocument/2006/relationships/hyperlink" Target="http://vk.com" TargetMode="External"/><Relationship Id="rId7" Type="http://schemas.openxmlformats.org/officeDocument/2006/relationships/hyperlink" Target="http://vse42.ru" TargetMode="External"/><Relationship Id="rId8" Type="http://schemas.openxmlformats.org/officeDocument/2006/relationships/hyperlink" Target="http://kemdetki.ru"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63"/>
    <col customWidth="1" min="2" max="28" width="25.63"/>
    <col customWidth="1" min="29" max="29" width="49.5"/>
    <col customWidth="1" min="30" max="39" width="25.63"/>
  </cols>
  <sheetData>
    <row r="1" ht="119.25"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1" t="s">
        <v>30</v>
      </c>
      <c r="AF1" s="1" t="s">
        <v>31</v>
      </c>
      <c r="AG1" s="3"/>
      <c r="AH1" s="3"/>
      <c r="AI1" s="3"/>
      <c r="AJ1" s="3"/>
      <c r="AK1" s="3"/>
      <c r="AL1" s="3"/>
      <c r="AM1" s="3"/>
    </row>
    <row r="2">
      <c r="A2" s="4">
        <f t="array" ref="A2:A2014">SEQUENCE(COUNTA(B2:B5500))</f>
        <v>1</v>
      </c>
      <c r="B2" s="5" t="str">
        <f>IFERROR(__xludf.DUMMYFUNCTION("query({importrange(""10omodJ-m1gtbBaPHihVta7VQChb2638UAu8lG4-6NiQ"",""1!B2:AG"");importrange(""10omodJ-m1gtbBaPHihVta7VQChb2638UAu8lG4-6NiQ"",""2!B2:AG"");importrange(""10omodJ-m1gtbBaPHihVta7VQChb2638UAu8lG4-6NiQ"",""3!B2:AG"");importrange(""10omodJ-m1gt"&amp;"bBaPHihVta7VQChb2638UAu8lG4-6NiQ"",""4!B2:AG"");importrange(""10omodJ-m1gtbBaPHihVta7VQChb2638UAu8lG4-6NiQ"",""5!B2:AG"");importrange(""10omodJ-m1gtbBaPHihVta7VQChb2638UAu8lG4-6NiQ"",""6!B2:AG"");importrange(""10omodJ-m1gtbBaPHihVta7VQChb2638UAu8lG4-6NiQ"&amp;""",""7!B2:AG"");importrange(""10omodJ-m1gtbBaPHihVta7VQChb2638UAu8lG4-6NiQ"",""8!B2:AG"")}, "" select Col1, Col2, Col3, Col4, Col5, Col6, Col7, Col8, Col9, Col10, Col11, Col12, Col13, Col14, Col15, Col16, Col17, Col18, Col19, Col20, Col21, Col22, Col23, C"&amp;"ol24, Col25, Col26, Col27, Col28, Col29, Col31, Col32 where Col1 is not null "", 1)"),"ИТ")</f>
        <v>ИТ</v>
      </c>
      <c r="C2" s="6" t="str">
        <f>IFERROR(__xludf.DUMMYFUNCTION("""COMPUTED_VALUE"""),"Да, история, археология, металлопластика, нумизматика, экономика, биржа, спорт, велосипед, лыжи, футбол, шахматы")</f>
        <v>Да, история, археология, металлопластика, нумизматика, экономика, биржа, спорт, велосипед, лыжи, футбол, шахматы</v>
      </c>
      <c r="D2" s="6" t="str">
        <f>IFERROR(__xludf.DUMMYFUNCTION("""COMPUTED_VALUE"""),"центральный, Кемерово-сити")</f>
        <v>центральный, Кемерово-сити</v>
      </c>
      <c r="E2" s="6" t="str">
        <f>IFERROR(__xludf.DUMMYFUNCTION("""COMPUTED_VALUE"""),"Парк ""Антошка""")</f>
        <v>Парк "Антошка"</v>
      </c>
      <c r="F2" s="6" t="str">
        <f>IFERROR(__xludf.DUMMYFUNCTION("""COMPUTED_VALUE"""),"живу здесь с рождения")</f>
        <v>живу здесь с рождения</v>
      </c>
      <c r="G2" s="6" t="str">
        <f>IFERROR(__xludf.DUMMYFUNCTION("""COMPUTED_VALUE"""),"на велике от Кадетки, - Красное- вдоль Томи- Сухово- Металлка - Пассаж - Ленинградский- Кадетка")</f>
        <v>на велике от Кадетки, - Красное- вдоль Томи- Сухово- Металлка - Пассаж - Ленинградский- Кадетка</v>
      </c>
      <c r="H2" s="6" t="str">
        <f>IFERROR(__xludf.DUMMYFUNCTION("""COMPUTED_VALUE"""),"МОЙ город")</f>
        <v>МОЙ город</v>
      </c>
      <c r="I2" s="6" t="str">
        <f>IFERROR(__xludf.DUMMYFUNCTION("""COMPUTED_VALUE"""),"Рутгерс")</f>
        <v>Рутгерс</v>
      </c>
      <c r="J2" s="6" t="str">
        <f>IFERROR(__xludf.DUMMYFUNCTION("""COMPUTED_VALUE"""),"Много для Краснодара сделал Галицкий, для Кемерово пока такого человека не нашлось")</f>
        <v>Много для Краснодара сделал Галицкий, для Кемерово пока такого человека не нашлось</v>
      </c>
      <c r="K2" s="6" t="str">
        <f>IFERROR(__xludf.DUMMYFUNCTION("""COMPUTED_VALUE"""),"Томская писаница остальное даже не рядом, но: Тюльберский городок, Набережная, Парк Ангелов, Драмтеатр, Таежная Заимка")</f>
        <v>Томская писаница остальное даже не рядом, но: Тюльберский городок, Набережная, Парк Ангелов, Драмтеатр, Таежная Заимка</v>
      </c>
      <c r="L2" s="6" t="str">
        <f>IFERROR(__xludf.DUMMYFUNCTION("""COMPUTED_VALUE"""),"Кемеровская ёлка.....")</f>
        <v>Кемеровская ёлка.....</v>
      </c>
      <c r="M2" s="6" t="str">
        <f>IFERROR(__xludf.DUMMYFUNCTION("""COMPUTED_VALUE"""),"Шалго, Терешки, горбатый мост и другие")</f>
        <v>Шалго, Терешки, горбатый мост и другие</v>
      </c>
      <c r="N2" s="6" t="str">
        <f>IFERROR(__xludf.DUMMYFUNCTION("""COMPUTED_VALUE"""),"я его просто люблю")</f>
        <v>я его просто люблю</v>
      </c>
      <c r="O2" s="6" t="str">
        <f>IFERROR(__xludf.DUMMYFUNCTION("""COMPUTED_VALUE"""),"1) экологию (перевести на газ все угольные тэц или закрыть), перенести производство загрязняющее окружающую среду из города
2) увеличить число высших учебных заведений (число студентов в 3 раза меньше школьников - в итоге молодежь уезжает учиться в другие"&amp;" города и часто не возвращается, город стремительно ""стареет"")")</f>
        <v>1) экологию (перевести на газ все угольные тэц или закрыть), перенести производство загрязняющее окружающую среду из города
2) увеличить число высших учебных заведений (число студентов в 3 раза меньше школьников - в итоге молодежь уезжает учиться в другие города и часто не возвращается, город стремительно "стареет")</v>
      </c>
      <c r="P2" s="6" t="str">
        <f>IFERROR(__xludf.DUMMYFUNCTION("""COMPUTED_VALUE"""),"ВК, а42, ")</f>
        <v>ВК, а42, </v>
      </c>
      <c r="Q2" s="6" t="str">
        <f>IFERROR(__xludf.DUMMYFUNCTION("""COMPUTED_VALUE"""),"куда пойти в свободное время, где вкусно поесть/открытие новых кафе/ресторанов, культурные новинки (что почитать/что послушать), интервью с местными политиками, криминальные новости (происшествия/преступления), бизнес-новости (средний чек/рекламные акции/"&amp;"запуск новых предприятий), результаты местных исследований (рейтинги/аналитика/тенденции), спортивные новости")</f>
        <v>куда пойти в свободное время, где вкусно поесть/открытие новых кафе/ресторанов, культурные новинки (что почитать/что послушать), интервью с местными политиками,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спортивные новости</v>
      </c>
      <c r="R2" s="6" t="str">
        <f>IFERROR(__xludf.DUMMYFUNCTION("""COMPUTED_VALUE"""),"Новый год =)")</f>
        <v>Новый год =)</v>
      </c>
      <c r="S2" s="6" t="str">
        <f>IFERROR(__xludf.DUMMYFUNCTION("""COMPUTED_VALUE"""),"Нет, не приходилось")</f>
        <v>Нет, не приходилось</v>
      </c>
      <c r="T2" s="6" t="str">
        <f>IFERROR(__xludf.DUMMYFUNCTION("""COMPUTED_VALUE"""),"Зимняя вишня ((((( Шахтеры. - Люди.")</f>
        <v>Зимняя вишня ((((( Шахтеры. - Люди.</v>
      </c>
      <c r="U2" s="6" t="str">
        <f>IFERROR(__xludf.DUMMYFUNCTION("""COMPUTED_VALUE"""),"Главпочтамт или памятник Михайло Волкову")</f>
        <v>Главпочтамт или памятник Михайло Волкову</v>
      </c>
      <c r="V2" s="6" t="str">
        <f>IFERROR(__xludf.DUMMYFUNCTION("""COMPUTED_VALUE"""),"Надо делать больше")</f>
        <v>Надо делать больше</v>
      </c>
      <c r="W2" s="6" t="str">
        <f>IFERROR(__xludf.DUMMYFUNCTION("""COMPUTED_VALUE"""),"Жесткие, грубые, прямые, мусорят сволочи")</f>
        <v>Жесткие, грубые, прямые, мусорят сволочи</v>
      </c>
      <c r="X2" s="6" t="str">
        <f>IFERROR(__xludf.DUMMYFUNCTION("""COMPUTED_VALUE"""),"По набережной")</f>
        <v>По набережной</v>
      </c>
      <c r="Y2" s="6" t="str">
        <f>IFERROR(__xludf.DUMMYFUNCTION("""COMPUTED_VALUE"""),"АИК")</f>
        <v>АИК</v>
      </c>
      <c r="Z2" s="6" t="str">
        <f>IFERROR(__xludf.DUMMYFUNCTION("""COMPUTED_VALUE"""),"Развитие города, энтузиазм Цивилева")</f>
        <v>Развитие города, энтузиазм Цивилева</v>
      </c>
      <c r="AA2" s="6" t="str">
        <f>IFERROR(__xludf.DUMMYFUNCTION("""COMPUTED_VALUE"""),"Попытка в бору построить какую-то хрень")</f>
        <v>Попытка в бору построить какую-то хрень</v>
      </c>
      <c r="AB2" s="6" t="str">
        <f>IFERROR(__xludf.DUMMYFUNCTION("""COMPUTED_VALUE"""),"разных, не важно каких, главное чтобы они соответствовали различным интересам людей,  чем больше мы будем различаться-  тем лучше")</f>
        <v>разных, не важно каких, главное чтобы они соответствовали различным интересам людей,  чем больше мы будем различаться-  тем лучше</v>
      </c>
      <c r="AC2" s="6" t="str">
        <f>IFERROR(__xludf.DUMMYFUNCTION("""COMPUTED_VALUE"""),"Большой футбол, и экологию исправить")</f>
        <v>Большой футбол, и экологию исправить</v>
      </c>
      <c r="AD2" s="6" t="str">
        <f>IFERROR(__xludf.DUMMYFUNCTION("""COMPUTED_VALUE"""),"да")</f>
        <v>да</v>
      </c>
      <c r="AE2" s="6" t="str">
        <f>IFERROR(__xludf.DUMMYFUNCTION("""COMPUTED_VALUE"""),"")</f>
        <v/>
      </c>
      <c r="AF2" s="6" t="str">
        <f>IFERROR(__xludf.DUMMYFUNCTION("""COMPUTED_VALUE"""),"34")</f>
        <v>34</v>
      </c>
      <c r="AG2" s="6"/>
      <c r="AH2" s="6"/>
      <c r="AI2" s="6"/>
      <c r="AJ2" s="6"/>
      <c r="AK2" s="6"/>
      <c r="AL2" s="6"/>
      <c r="AM2" s="6"/>
    </row>
    <row r="3">
      <c r="A3" s="4">
        <v>2.0</v>
      </c>
      <c r="B3" s="6" t="str">
        <f>IFERROR(__xludf.DUMMYFUNCTION("""COMPUTED_VALUE"""),"продакт-менеджер в социальном стартапе ")</f>
        <v>продакт-менеджер в социальном стартапе </v>
      </c>
      <c r="C3" s="6" t="str">
        <f>IFERROR(__xludf.DUMMYFUNCTION("""COMPUTED_VALUE"""),"Книжный клуб ")</f>
        <v>Книжный клуб </v>
      </c>
      <c r="D3" s="6" t="str">
        <f>IFERROR(__xludf.DUMMYFUNCTION("""COMPUTED_VALUE"""),"Лесная Поляна / Поляна ")</f>
        <v>Лесная Поляна / Поляна </v>
      </c>
      <c r="E3" s="6" t="str">
        <f>IFERROR(__xludf.DUMMYFUNCTION("""COMPUTED_VALUE"""),"Олень (парк детства), Осенний бульвар")</f>
        <v>Олень (парк детства), Осенний бульвар</v>
      </c>
      <c r="F3" s="6" t="str">
        <f>IFERROR(__xludf.DUMMYFUNCTION("""COMPUTED_VALUE"""),"переехала сюда в детстве")</f>
        <v>переехала сюда в детстве</v>
      </c>
      <c r="G3" s="6" t="str">
        <f>IFERROR(__xludf.DUMMYFUNCTION("""COMPUTED_VALUE"""),"Бульвары и улочки в нашем районе; куда-нибудь в лес (в т.ч. бор); центр города (набережная-Советский) ")</f>
        <v>Бульвары и улочки в нашем районе; куда-нибудь в лес (в т.ч. бор); центр города (набережная-Советский) </v>
      </c>
      <c r="H3" s="6" t="str">
        <f>IFERROR(__xludf.DUMMYFUNCTION("""COMPUTED_VALUE"""),"Шахтер. Реликтовый лес. Снежность. Смог. Сосны")</f>
        <v>Шахтер. Реликтовый лес. Снежность. Смог. Сосны</v>
      </c>
      <c r="I3" s="6" t="str">
        <f>IFERROR(__xludf.DUMMYFUNCTION("""COMPUTED_VALUE"""),"Затрудняюсь сказать. Приходит на ум только скульптор Хмелевский. Ну и Михайло Волков.")</f>
        <v>Затрудняюсь сказать. Приходит на ум только скульптор Хмелевский. Ну и Михайло Волков.</v>
      </c>
      <c r="J3" s="6" t="str">
        <f>IFERROR(__xludf.DUMMYFUNCTION("""COMPUTED_VALUE"""),"И тут тоже сложно с персоналиями... Роман Жаворонков! :)")</f>
        <v>И тут тоже сложно с персоналиями... Роман Жаворонков! :)</v>
      </c>
      <c r="K3" s="6" t="str">
        <f>IFERROR(__xludf.DUMMYFUNCTION("""COMPUTED_VALUE"""),"Красная горка, Лесная поляна, набережная ")</f>
        <v>Красная горка, Лесная поляна, набережная </v>
      </c>
      <c r="L3" s="6" t="str">
        <f>IFERROR(__xludf.DUMMYFUNCTION("""COMPUTED_VALUE"""),"нет ")</f>
        <v>нет </v>
      </c>
      <c r="M3" s="6" t="str">
        <f>IFERROR(__xludf.DUMMYFUNCTION("""COMPUTED_VALUE"""),"В основном это местные названия городских объектов и улиц: Драма, Весенька, Терешки итп. Ну и всякие сибирские словечки вроде «мультифоры»")</f>
        <v>В основном это местные названия городских объектов и улиц: Драма, Весенька, Терешки итп. Ну и всякие сибирские словечки вроде «мультифоры»</v>
      </c>
      <c r="N3" s="6" t="str">
        <f>IFERROR(__xludf.DUMMYFUNCTION("""COMPUTED_VALUE"""),"1. Наличие комфортных, чистых жилых районов, 
2. Не слишком высокая транспортная загруженность, 
3. Чтобы недалеко была природа (лес, реки, горы), 
4. Чистота 
5. Эстетика: красивые дома, отсутствие рекламы и ларьков из 90-х")</f>
        <v>1. Наличие комфортных, чистых жилых районов, 
2. Не слишком высокая транспортная загруженность, 
3. Чтобы недалеко была природа (лес, реки, горы), 
4. Чистота 
5. Эстетика: красивые дома, отсутствие рекламы и ларьков из 90-х</v>
      </c>
      <c r="O3" s="6" t="str">
        <f>IFERROR(__xludf.DUMMYFUNCTION("""COMPUTED_VALUE"""),"Поправить экологическую обстановку и запретить некрасивую социальную рекламу (Кемерово — мой любимый город, вот это вот всё) ")</f>
        <v>Поправить экологическую обстановку и запретить некрасивую социальную рекламу (Кемерово — мой любимый город, вот это вот всё) </v>
      </c>
      <c r="P3" s="6" t="str">
        <f>IFERROR(__xludf.DUMMYFUNCTION("""COMPUTED_VALUE"""),"Сарафанное радио, лента инстаграма")</f>
        <v>Сарафанное радио, лента инстаграма</v>
      </c>
      <c r="Q3" s="6" t="str">
        <f>IFERROR(__xludf.DUMMYFUNCTION("""COMPUTED_VALUE"""),"интервью с местными предпринимателями")</f>
        <v>интервью с местными предпринимателями</v>
      </c>
      <c r="R3" s="6" t="str">
        <f>IFERROR(__xludf.DUMMYFUNCTION("""COMPUTED_VALUE"""),"Для меня только День Победы. А люди любят также День Шахтёра, День города")</f>
        <v>Для меня только День Победы. А люди любят также День Шахтёра, День города</v>
      </c>
      <c r="S3" s="6" t="str">
        <f>IFERROR(__xludf.DUMMYFUNCTION("""COMPUTED_VALUE"""),"Через социальные сети, Делал рассылку по электронной почте, Обращался в редакции электронных городских СМИ, Обращался в редакции городских газет, телевидения, радио")</f>
        <v>Через социальные сети, Делал рассылку по электронной почте, Обращался в редакции электронных городских СМИ, Обращался в редакции городских газет, телевидения, радио</v>
      </c>
      <c r="T3" s="6" t="str">
        <f>IFERROR(__xludf.DUMMYFUNCTION("""COMPUTED_VALUE"""),"Песня Гребенщикова. Угольно-промышленная история. ")</f>
        <v>Песня Гребенщикова. Угольно-промышленная история. </v>
      </c>
      <c r="U3" s="6" t="str">
        <f>IFERROR(__xludf.DUMMYFUNCTION("""COMPUTED_VALUE"""),"Стелла на Набережной и надпись КУЗБАСС")</f>
        <v>Стелла на Набережной и надпись КУЗБАСС</v>
      </c>
      <c r="V3" s="6" t="str">
        <f>IFERROR(__xludf.DUMMYFUNCTION("""COMPUTED_VALUE"""),"затрудняюсь ответить ")</f>
        <v>затрудняюсь ответить </v>
      </c>
      <c r="W3" s="6" t="str">
        <f>IFERROR(__xludf.DUMMYFUNCTION("""COMPUTED_VALUE"""),"Искренние, дружелюбные, практичные")</f>
        <v>Искренние, дружелюбные, практичные</v>
      </c>
      <c r="X3" s="7" t="str">
        <f>IFERROR(__xludf.DUMMYFUNCTION("""COMPUTED_VALUE"""),"https://kemerovo-weekend.ru/")</f>
        <v>https://kemerovo-weekend.ru/</v>
      </c>
      <c r="Y3" s="6" t="str">
        <f>IFERROR(__xludf.DUMMYFUNCTION("""COMPUTED_VALUE"""),"Трагедия в Зимней вишне :(")</f>
        <v>Трагедия в Зимней вишне :(</v>
      </c>
      <c r="Z3" s="6" t="str">
        <f>IFERROR(__xludf.DUMMYFUNCTION("""COMPUTED_VALUE"""),"Обновление Московского проспекта, парочка больших фестивалей, Площадь Кузбасских историй")</f>
        <v>Обновление Московского проспекта, парочка больших фестивалей, Площадь Кузбасских историй</v>
      </c>
      <c r="AA3" s="6" t="str">
        <f>IFERROR(__xludf.DUMMYFUNCTION("""COMPUTED_VALUE"""),"ситуация с Сосновым бором, строительство «стекляшки» на набережной")</f>
        <v>ситуация с Сосновым бором, строительство «стекляшки» на набережной</v>
      </c>
      <c r="AB3" s="6" t="str">
        <f>IFERROR(__xludf.DUMMYFUNCTION("""COMPUTED_VALUE"""),"Если какого-то не хватает, я иду и делаю его)) ")</f>
        <v>Если какого-то не хватает, я иду и делаю его)) </v>
      </c>
      <c r="AC3" s="6" t="str">
        <f>IFERROR(__xludf.DUMMYFUNCTION("""COMPUTED_VALUE"""),"Культурные (а-ля симфонический вечер на Томской писанице), арт-фестивали рядом с городом. Любые мероприятия, которые починят бренд города как места для жизни.  ""Развитие города.
Главный показатель развития города - демографический. Рост населения говорит"&amp;" о развитии города, убыль населения - деградации.
Наша цель: увеличить количество жителей города (региона).
Задачи:
- привлечь новых жителей
- удержать жителей
1)Проведя анализ изменения численности крупных городов (без Тюмени), видим что лидеры по приро"&amp;"сту населения: Красноярск, Томск, Новосибирск, эти же города сохраняют положительную динамику прироста.
 https://docs.google.com/spreadsheets/d/1_-bl5aNl-shXqsWIjdLjZragglDgPtHzf4cCtY94HPo/edit?usp=sharing
Показатели роста населения зависят от следующих "&amp;"статистических показателей:
-величина средней заработной платы
- количество студентов на 10000 человек (считаю, что из-за этого показателя Томск обошел Новосибирск при более низкой величины заработной платы. В Томской области в 2019 году показатель равен "&amp;"531 человек на 10000, в Новосибирской - 328, В Кемеровской - 176). Интересно, что в трех-городах лидерах за указанный период (правление В.В. Путина) существовала футбольная команда, играющая в РПЛ, в Омске не было.
Принципы
Экологичный (снижение выбросов"&amp;" в городе), 
Доступный (доступно жилье, садики, школы, высшее образование)
Удобный (развитый общественный транспорт, медицинская сеть, торговые сети)
Интересный (интересные вакансии, интересные события, интересные мероприятия)
Безопасный (органы правопоря"&amp;"дка работают по принципу разбитого окна, инфраструктура продумана с точки зрения безопасности ее пользователей (дорожная, промышленная итд))
Предложения:
Экология:
- составить программу перевода ТЭЦ с угля на экологичное топливо;
- создать государственно"&amp;"е предприятий по оснащению легкового транспорта газовым оборудованием, провести обучение лучшим практикам, провести НИОКР по снижению риска гибели водителя и пассажиров при детонации газового баллона для усиления мотивации населения  (конструктивные особе"&amp;"нности его крепления, разработка новой конструкции баллона, конструкция баллона);
- провести газ к частному сектору;
- субсидировать установку газовых котлов;
- создать совместно с газодобывающими компаниями фонд для субсидирования вышеописанных мероприят"&amp;"ий;
- разработать дифференцированную шкалу оценки выбросов вредных веществ для каждого объекта недвижимости; 
- установить повышенные налоговые ставки на недвижимое имущество, для собственников, объекты которых по дифференцированной шкале оценки будут при"&amp;"знаны не экологичными (как промышленные предприятия, так и для собственников частных жилых домов);
- освободить от транспортного налога владельцев элетрокаров, установить минимальную ставку транспортного налога для владельцев автомобилей на газовом топлив"&amp;"е.
- создание условия для реализации проектов по переработке ТБО/ТКО
Доступность:
- субсидирования ипотеки для семей с 2 и более детей: выплата первого взноса до 400 000 (в зависимости от количества детей), оплата процентов для тела кредита до 3 000 000
"&amp;"- строительство социальной инфраструктуры
- строительство современных медицинских центров на партнерских условиях с представителями бизнеса, привлечение лучших в стране врачей;
- создание условий для создания самоокупаемых частных спортивных школ:
футбол,"&amp;" волейбол, хоккей с мячом, фигурное катание в Кемерово 
футбол, хоккей с мячом, фигурное катание легкая атлетика в Ленинск-Кузнецке
футбол, фигурное катание, хоккей с шайбой, регби в Новокузнецке
Футбол, хоккей с шайбой, фигурное катание в Прокопьевске, К"&amp;"иселевске
горно-лыжный спорт в Шерегеше, Танае
итд.
- увеличить количество ВУЗов, расширить число специализаций обучающихся, в частности создать ВУЗ для обучения IT-специалистов, создать инкубаторы, куда мог бы приходить частный бизнес предлагать свои про"&amp;"екты, а студенты их реализовывать в виде дипломных работ. 
Мотивация:
-Бизнес:
 снижает косты  для реализации проекта;
 получает готового и обученного сотрудника, 
-Учебное заведение:
 получает финансирование от бизнеса
 эффективно проводит обучение специ"&amp;"алитету,
-Обучающийся:
востребованные дипломную работу,
 обучение и специализацию,
 возможность трудоустройства сразу на выходе, 
возможно некоторую оплату при реализации дипломной работы.
Провести работы по популяризации ВУЗов Кузбасса среди граждан Росс"&amp;"ии, русскоговорящих граждан СНГ.
Удобство:
- наша область компактна и на текущий период самая густонаселенная в Сибири, соответственно предоставлять возможности различным ритейлерам разместить на территории области логистические центры, склады. Пригласит"&amp;"ь в область крупных ритейлеров: Икея, Ашан и др
- увеличить транспортную доступность: авиаперевозки, электропоезда в крупные сибирские города
Интерес:
Убедить все бизнес-сообщество повысить оплату труда, потому что это ему выгодно стратегически  невозмож"&amp;"но ( отток населения, грозит схлопнуть мелкий бизнес, сферу услуг, а затем заставит промышленников перейти на вахтовый метод набора персонала, что увеличит себестоимость продукции)
Таким образом, необходимо сформировать систему поддержки для молодых предп"&amp;"ринимателей. Частный фонд инвесторов, которые за долю в предприятии финансировали бы идеи предпринимателей, помогали бы с оценкой и разработкой бизнес-планов.
Увеличить количество событий (разных, спортивных, культурных итд) проходящих в городе. Учредить "&amp;"проведение  ежегодного марафона (пример - Омск), Вело-марафона и др. Создать условия для создания спортивных команд, в популярных видах спорта в целях формирования """"армий"""" болельщиков, которые не захотели бы переезжать в другой город, из-за того что"&amp;" там нельзя сходить на матч любимой команды.
Создать условия для создания самоокупаемого Исторического музея Кузбасса, где собрать экспонаты палеонтологические экспонаты, археологические экспонаты, предусмотреть залы для приема коллекций других музеев, ор"&amp;"ганизовать археологические раскопки для сбора артефактов.
Создать условия для создания продюсерского центра для молодых исполнителей совместно с музыкальными школами, КемГУКИ. В современное время, когда монетизация этой деятельности происходит с использов"&amp;"анием цифровых технологий, позволит выйти на окупаемость центру, молодым исполнителям получить старт, городу реализовать потребность в насыщением ивентами развлекательного характера
Создать условия для появления в городе новых типов объектов:
- появления "&amp;"аквапарка
- обустройства рядом с городом лесопарковой зоны (например, за Осиновкой)
- обустройства рядом с городом популярных и доступных зон отдыха (искусственные водоемы с базами отдыха) итд 
Безопасность:
Скрупулезно и настойчиво внедрить в практику п"&amp;"равоохранительных органов теорию разбитых окон. Фиксация нарушений камерами, штрафы, неотвратимость наказания.
Строительство безопасной инфраструктуры: безопасных дорог с разделительными барьерами, с недоступными для пешехода выходами на проезжую часть вн"&amp;"е пешеходных переходов.
Настойчивость при соблюдении мер противопожарной безопасности в общественных местах, соблюдение мер промышленной безопасности.
""")</f>
        <v>Культурные (а-ля симфонический вечер на Томской писанице), арт-фестивали рядом с городом. Любые мероприятия, которые починят бренд города как места для жизни.  "Развитие города.
Главный показатель развития города - демографический. Рост населения говорит о развитии города, убыль населения - деградации.
Наша цель: увеличить количество жителей города (региона).
Задачи:
- привлечь новых жителей
- удержать жителей
1)Проведя анализ изменения численности крупных городов (без Тюмени), видим что лидеры по приросту населения: Красноярск, Томск, Новосибирск, эти же города сохраняют положительную динамику прироста.
 https://docs.google.com/spreadsheets/d/1_-bl5aNl-shXqsWIjdLjZragglDgPtHzf4cCtY94HPo/edit?usp=sharing
Показатели роста населения зависят от следующих статистических показателей:
-величина средней заработной платы
- количество студентов на 10000 человек (считаю, что из-за этого показателя Томск обошел Новосибирск при более низкой величины заработной платы. В Томской области в 2019 году показатель равен 531 человек на 10000, в Новосибирской - 328, В Кемеровской - 176). Интересно, что в трех-городах лидерах за указанный период (правление В.В. Путина) существовала футбольная команда, играющая в РПЛ, в Омске не было.
Принципы
Экологичный (снижение выбросов в городе), 
Доступный (доступно жилье, садики, школы, высшее образование)
Удобный (развитый общественный транспорт, медицинская сеть, торговые сети)
Интересный (интересные вакансии, интересные события, интересные мероприятия)
Безопасный (органы правопорядка работают по принципу разбитого окна, инфраструктура продумана с точки зрения безопасности ее пользователей (дорожная, промышленная итд))
Предложения:
Экология:
- составить программу перевода ТЭЦ с угля на экологичное топливо;
- создать государственное предприятий по оснащению легкового транспорта газовым оборудованием, провести обучение лучшим практикам, провести НИОКР по снижению риска гибели водителя и пассажиров при детонации газового баллона для усиления мотивации населения  (конструктивные особенности его крепления, разработка новой конструкции баллона, конструкция баллона);
- провести газ к частному сектору;
- субсидировать установку газовых котлов;
- создать совместно с газодобывающими компаниями фонд для субсидирования вышеописанных мероприятий;
- разработать дифференцированную шкалу оценки выбросов вредных веществ для каждого объекта недвижимости; 
- установить повышенные налоговые ставки на недвижимое имущество, для собственников, объекты которых по дифференцированной шкале оценки будут признаны не экологичными (как промышленные предприятия, так и для собственников частных жилых домов);
- освободить от транспортного налога владельцев элетрокаров, установить минимальную ставку транспортного налога для владельцев автомобилей на газовом топливе.
- создание условия для реализации проектов по переработке ТБО/ТКО
Доступность:
- субсидирования ипотеки для семей с 2 и более детей: выплата первого взноса до 400 000 (в зависимости от количества детей), оплата процентов для тела кредита до 3 000 000
- строительство социальной инфраструктуры
- строительство современных медицинских центров на партнерских условиях с представителями бизнеса, привлечение лучших в стране врачей;
- создание условий для создания самоокупаемых частных спортивных школ:
футбол, волейбол, хоккей с мячом, фигурное катание в Кемерово 
футбол, хоккей с мячом, фигурное катание легкая атлетика в Ленинск-Кузнецке
футбол, фигурное катание, хоккей с шайбой, регби в Новокузнецке
Футбол, хоккей с шайбой, фигурное катание в Прокопьевске, Киселевске
горно-лыжный спорт в Шерегеше, Танае
итд.
- увеличить количество ВУЗов, расширить число специализаций обучающихся, в частности создать ВУЗ для обучения IT-специалистов, создать инкубаторы, куда мог бы приходить частный бизнес предлагать свои проекты, а студенты их реализовывать в виде дипломных работ. 
Мотивация:
-Бизнес:
 снижает косты  для реализации проекта;
 получает готового и обученного сотрудника, 
-Учебное заведение:
 получает финансирование от бизнеса
 эффективно проводит обучение специалитету,
-Обучающийся:
востребованные дипломную работу,
 обучение и специализацию,
 возможность трудоустройства сразу на выходе, 
возможно некоторую оплату при реализации дипломной работы.
Провести работы по популяризации ВУЗов Кузбасса среди граждан России, русскоговорящих граждан СНГ.
Удобство:
- наша область компактна и на текущий период самая густонаселенная в Сибири, соответственно предоставлять возможности различным ритейлерам разместить на территории области логистические центры, склады. Пригласить в область крупных ритейлеров: Икея, Ашан и др
- увеличить транспортную доступность: авиаперевозки, электропоезда в крупные сибирские города
Интерес:
Убедить все бизнес-сообщество повысить оплату труда, потому что это ему выгодно стратегически  невозможно ( отток населения, грозит схлопнуть мелкий бизнес, сферу услуг, а затем заставит промышленников перейти на вахтовый метод набора персонала, что увеличит себестоимость продукции)
Таким образом, необходимо сформировать систему поддержки для молодых предпринимателей. Частный фонд инвесторов, которые за долю в предприятии финансировали бы идеи предпринимателей, помогали бы с оценкой и разработкой бизнес-планов.
Увеличить количество событий (разных, спортивных, культурных итд) проходящих в городе. Учредить проведение  ежегодного марафона (пример - Омск), Вело-марафона и др. Создать условия для создания спортивных команд, в популярных видах спорта в целях формирования ""армий"" болельщиков, которые не захотели бы переезжать в другой город, из-за того что там нельзя сходить на матч любимой команды.
Создать условия для создания самоокупаемого Исторического музея Кузбасса, где собрать экспонаты палеонтологические экспонаты, археологические экспонаты, предусмотреть залы для приема коллекций других музеев, организовать археологические раскопки для сбора артефактов.
Создать условия для создания продюсерского центра для молодых исполнителей совместно с музыкальными школами, КемГУКИ. В современное время, когда монетизация этой деятельности происходит с использованием цифровых технологий, позволит выйти на окупаемость центру, молодым исполнителям получить старт, городу реализовать потребность в насыщением ивентами развлекательного характера
Создать условия для появления в городе новых типов объектов:
- появления аквапарка
- обустройства рядом с городом лесопарковой зоны (например, за Осиновкой)
- обустройства рядом с городом популярных и доступных зон отдыха (искусственные водоемы с базами отдыха) итд 
Безопасность:
Скрупулезно и настойчиво внедрить в практику правоохранительных органов теорию разбитых окон. Фиксация нарушений камерами, штрафы, неотвратимость наказания.
Строительство безопасной инфраструктуры: безопасных дорог с разделительными барьерами, с недоступными для пешехода выходами на проезжую часть вне пешеходных переходов.
Настойчивость при соблюдении мер противопожарной безопасности в общественных местах, соблюдение мер промышленной безопасности.
"</v>
      </c>
      <c r="AD3" s="6" t="str">
        <f>IFERROR(__xludf.DUMMYFUNCTION("""COMPUTED_VALUE"""),"да")</f>
        <v>да</v>
      </c>
      <c r="AE3" s="6"/>
      <c r="AF3" s="6" t="str">
        <f>IFERROR(__xludf.DUMMYFUNCTION("""COMPUTED_VALUE"""),"31")</f>
        <v>31</v>
      </c>
      <c r="AG3" s="6"/>
      <c r="AH3" s="6"/>
      <c r="AI3" s="6"/>
      <c r="AJ3" s="6"/>
      <c r="AK3" s="6"/>
      <c r="AL3" s="6"/>
      <c r="AM3" s="6"/>
    </row>
    <row r="4">
      <c r="A4" s="4">
        <v>3.0</v>
      </c>
      <c r="B4" s="6" t="str">
        <f>IFERROR(__xludf.DUMMYFUNCTION("""COMPUTED_VALUE"""),"Работаю")</f>
        <v>Работаю</v>
      </c>
      <c r="C4" s="6" t="str">
        <f>IFERROR(__xludf.DUMMYFUNCTION("""COMPUTED_VALUE"""),"Прокрастинация")</f>
        <v>Прокрастинация</v>
      </c>
      <c r="D4" s="6" t="str">
        <f>IFERROR(__xludf.DUMMYFUNCTION("""COMPUTED_VALUE"""),"Центральный/Центральный")</f>
        <v>Центральный/Центральный</v>
      </c>
      <c r="E4" s="6" t="str">
        <f>IFERROR(__xludf.DUMMYFUNCTION("""COMPUTED_VALUE"""),"Драмма, Лапландия, обл. Больница, 5-я Поликлиника, Кирова, стадион Химиков, Вокзал, Зимняя вишня (Парк ангелов)")</f>
        <v>Драмма, Лапландия, обл. Больница, 5-я Поликлиника, Кирова, стадион Химиков, Вокзал, Зимняя вишня (Парк ангелов)</v>
      </c>
      <c r="F4" s="6" t="str">
        <f>IFERROR(__xludf.DUMMYFUNCTION("""COMPUTED_VALUE"""),"Живу здесь с рождения")</f>
        <v>Живу здесь с рождения</v>
      </c>
      <c r="G4" s="6" t="str">
        <f>IFERROR(__xludf.DUMMYFUNCTION("""COMPUTED_VALUE"""),"Играю в D&amp;D в Мерлиновой бороде")</f>
        <v>Играю в D&amp;D в Мерлиновой бороде</v>
      </c>
      <c r="H4" s="6" t="str">
        <f>IFERROR(__xludf.DUMMYFUNCTION("""COMPUTED_VALUE"""),"Уголь, Трубы, Дом, Работа, Тулеев")</f>
        <v>Уголь, Трубы, Дом, Работа, Тулеев</v>
      </c>
      <c r="I4" s="6" t="str">
        <f>IFERROR(__xludf.DUMMYFUNCTION("""COMPUTED_VALUE""")," ")</f>
        <v> </v>
      </c>
      <c r="J4" s="6" t="str">
        <f>IFERROR(__xludf.DUMMYFUNCTION("""COMPUTED_VALUE""")," ")</f>
        <v> </v>
      </c>
      <c r="K4" s="6" t="str">
        <f>IFERROR(__xludf.DUMMYFUNCTION("""COMPUTED_VALUE"""),"Что попросят")</f>
        <v>Что попросят</v>
      </c>
      <c r="L4" s="6" t="str">
        <f>IFERROR(__xludf.DUMMYFUNCTION("""COMPUTED_VALUE"""),"Нет")</f>
        <v>Нет</v>
      </c>
      <c r="M4" s="6" t="str">
        <f>IFERROR(__xludf.DUMMYFUNCTION("""COMPUTED_VALUE"""),"Знаю, но не знаю, какие из них ""По-кемеровски""")</f>
        <v>Знаю, но не знаю, какие из них "По-кемеровски"</v>
      </c>
      <c r="N4" s="6" t="str">
        <f>IFERROR(__xludf.DUMMYFUNCTION("""COMPUTED_VALUE"""),"Транспорт, Тратуары, Доступность магазинов, Близость работы, безопасность")</f>
        <v>Транспорт, Тратуары, Доступность магазинов, Близость работы, безопасность</v>
      </c>
      <c r="O4" s="6" t="str">
        <f>IFERROR(__xludf.DUMMYFUNCTION("""COMPUTED_VALUE"""),"Людей")</f>
        <v>Людей</v>
      </c>
      <c r="P4" s="6" t="str">
        <f>IFERROR(__xludf.DUMMYFUNCTION("""COMPUTED_VALUE"""),"Не узнаю")</f>
        <v>Не узнаю</v>
      </c>
      <c r="Q4" s="6" t="str">
        <f>IFERROR(__xludf.DUMMYFUNCTION("""COMPUTED_VALUE"""),"Ничего")</f>
        <v>Ничего</v>
      </c>
      <c r="R4" s="6" t="str">
        <f>IFERROR(__xludf.DUMMYFUNCTION("""COMPUTED_VALUE"""),"Никакие")</f>
        <v>Никакие</v>
      </c>
      <c r="S4" s="6" t="str">
        <f>IFERROR(__xludf.DUMMYFUNCTION("""COMPUTED_VALUE"""),"Нет, не приходилось")</f>
        <v>Нет, не приходилось</v>
      </c>
      <c r="T4" s="6" t="str">
        <f>IFERROR(__xludf.DUMMYFUNCTION("""COMPUTED_VALUE"""),"Не знаю")</f>
        <v>Не знаю</v>
      </c>
      <c r="U4" s="6" t="str">
        <f>IFERROR(__xludf.DUMMYFUNCTION("""COMPUTED_VALUE"""),"Кирова")</f>
        <v>Кирова</v>
      </c>
      <c r="V4" s="6" t="str">
        <f>IFERROR(__xludf.DUMMYFUNCTION("""COMPUTED_VALUE"""),"Вкалывали и умирали")</f>
        <v>Вкалывали и умирали</v>
      </c>
      <c r="W4" s="6" t="str">
        <f>IFERROR(__xludf.DUMMYFUNCTION("""COMPUTED_VALUE"""),"Мало с ними общаюсь")</f>
        <v>Мало с ними общаюсь</v>
      </c>
      <c r="X4" s="6" t="str">
        <f>IFERROR(__xludf.DUMMYFUNCTION("""COMPUTED_VALUE"""),"Вокзал - Парк Ангелов - Площадь Советов - Набережная - Филармония - Парк победы - Комсомольский Парк - Бульвар Строителей")</f>
        <v>Вокзал - Парк Ангелов - Площадь Советов - Набережная - Филармония - Парк победы - Комсомольский Парк - Бульвар Строителей</v>
      </c>
      <c r="Y4" s="6" t="str">
        <f>IFERROR(__xludf.DUMMYFUNCTION("""COMPUTED_VALUE"""),"Смерти людей по причине халатности других людей")</f>
        <v>Смерти людей по причине халатности других людей</v>
      </c>
      <c r="Z4" s="6" t="str">
        <f>IFERROR(__xludf.DUMMYFUNCTION("""COMPUTED_VALUE"""),"Не упал ни один метеорит")</f>
        <v>Не упал ни один метеорит</v>
      </c>
      <c r="AA4" s="6" t="str">
        <f>IFERROR(__xludf.DUMMYFUNCTION("""COMPUTED_VALUE"""),"Незнаю таких")</f>
        <v>Незнаю таких</v>
      </c>
      <c r="AB4" s="6" t="str">
        <f>IFERROR(__xludf.DUMMYFUNCTION("""COMPUTED_VALUE"""),"Казнь высокопоставленных преступников")</f>
        <v>Казнь высокопоставленных преступников</v>
      </c>
      <c r="AC4" s="6" t="str">
        <f>IFERROR(__xludf.DUMMYFUNCTION("""COMPUTED_VALUE"""),"Не знаю")</f>
        <v>Не знаю</v>
      </c>
      <c r="AD4" s="6" t="str">
        <f>IFERROR(__xludf.DUMMYFUNCTION("""COMPUTED_VALUE"""),"нет")</f>
        <v>нет</v>
      </c>
      <c r="AE4" s="6"/>
      <c r="AF4" s="6" t="str">
        <f>IFERROR(__xludf.DUMMYFUNCTION("""COMPUTED_VALUE"""),"29")</f>
        <v>29</v>
      </c>
      <c r="AG4" s="6"/>
      <c r="AH4" s="6"/>
      <c r="AI4" s="6"/>
      <c r="AJ4" s="6"/>
      <c r="AK4" s="6"/>
      <c r="AL4" s="6"/>
      <c r="AM4" s="6"/>
    </row>
    <row r="5">
      <c r="A5" s="4">
        <v>4.0</v>
      </c>
      <c r="B5" s="6" t="str">
        <f>IFERROR(__xludf.DUMMYFUNCTION("""COMPUTED_VALUE"""),"Наёмный сотрудник")</f>
        <v>Наёмный сотрудник</v>
      </c>
      <c r="C5" s="6" t="str">
        <f>IFERROR(__xludf.DUMMYFUNCTION("""COMPUTED_VALUE"""),"Разные увлечения")</f>
        <v>Разные увлечения</v>
      </c>
      <c r="D5" s="6" t="str">
        <f>IFERROR(__xludf.DUMMYFUNCTION("""COMPUTED_VALUE"""),"Центральный")</f>
        <v>Центральный</v>
      </c>
      <c r="E5" s="6" t="str">
        <f>IFERROR(__xludf.DUMMYFUNCTION("""COMPUTED_VALUE"""),"Комсомольский парк, кинотеатр ")</f>
        <v>Комсомольский парк, кинотеатр </v>
      </c>
      <c r="F5" s="6" t="str">
        <f>IFERROR(__xludf.DUMMYFUNCTION("""COMPUTED_VALUE"""),"Живу здесь с рождения")</f>
        <v>Живу здесь с рождения</v>
      </c>
      <c r="G5" s="6" t="str">
        <f>IFERROR(__xludf.DUMMYFUNCTION("""COMPUTED_VALUE"""),"Бор, набережная, бульвар.")</f>
        <v>Бор, набережная, бульвар.</v>
      </c>
      <c r="H5" s="6" t="str">
        <f>IFERROR(__xludf.DUMMYFUNCTION("""COMPUTED_VALUE"""),"Зелёный, чистый, компактный, многогаражей, снежный")</f>
        <v>Зелёный, чистый, компактный, многогаражей, снежный</v>
      </c>
      <c r="I5" s="6" t="str">
        <f>IFERROR(__xludf.DUMMYFUNCTION("""COMPUTED_VALUE"""),"М.Волков, С. Рутгерс")</f>
        <v>М.Волков, С. Рутгерс</v>
      </c>
      <c r="J5" s="6" t="str">
        <f>IFERROR(__xludf.DUMMYFUNCTION("""COMPUTED_VALUE"""),"Затрудняюсь ответить что сделано именно для города (напр., Е. Гришковец)")</f>
        <v>Затрудняюсь ответить что сделано именно для города (напр., Е. Гришковец)</v>
      </c>
      <c r="K5" s="6" t="str">
        <f>IFERROR(__xludf.DUMMYFUNCTION("""COMPUTED_VALUE"""),"Красная горка")</f>
        <v>Красная горка</v>
      </c>
      <c r="L5" s="6" t="str">
        <f>IFERROR(__xludf.DUMMYFUNCTION("""COMPUTED_VALUE"""),"Нет")</f>
        <v>Нет</v>
      </c>
      <c r="M5" s="6" t="str">
        <f>IFERROR(__xludf.DUMMYFUNCTION("""COMPUTED_VALUE"""),"Нет")</f>
        <v>Нет</v>
      </c>
      <c r="N5" s="6" t="str">
        <f>IFERROR(__xludf.DUMMYFUNCTION("""COMPUTED_VALUE"""),"Экологичный, с хорошей инфраструктурой, красивый, экономически стабильный, разнообразный по наполнению")</f>
        <v>Экологичный, с хорошей инфраструктурой, красивый, экономически стабильный, разнообразный по наполнению</v>
      </c>
      <c r="O5" s="6" t="str">
        <f>IFERROR(__xludf.DUMMYFUNCTION("""COMPUTED_VALUE"""),"Развитие культуры и мест")</f>
        <v>Развитие культуры и мест</v>
      </c>
      <c r="P5" s="6" t="str">
        <f>IFERROR(__xludf.DUMMYFUNCTION("""COMPUTED_VALUE"""),"Знакомые, инстаграм ")</f>
        <v>Знакомые, инстаграм </v>
      </c>
      <c r="Q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5" s="6" t="str">
        <f>IFERROR(__xludf.DUMMYFUNCTION("""COMPUTED_VALUE"""),"День города")</f>
        <v>День города</v>
      </c>
      <c r="S5" s="6" t="str">
        <f>IFERROR(__xludf.DUMMYFUNCTION("""COMPUTED_VALUE"""),"Писал и расклеивал объявления/афиши, Через социальные сети, Обращался в редакции электронных городских СМИ")</f>
        <v>Писал и расклеивал объявления/афиши, Через социальные сети, Обращался в редакции электронных городских СМИ</v>
      </c>
      <c r="T5" s="6" t="str">
        <f>IFERROR(__xludf.DUMMYFUNCTION("""COMPUTED_VALUE"""),"Затрудняюсь ответить")</f>
        <v>Затрудняюсь ответить</v>
      </c>
      <c r="U5" s="6" t="str">
        <f>IFERROR(__xludf.DUMMYFUNCTION("""COMPUTED_VALUE"""),"Набережная+старый центр")</f>
        <v>Набережная+старый центр</v>
      </c>
      <c r="V5" s="6" t="str">
        <f>IFERROR(__xludf.DUMMYFUNCTION("""COMPUTED_VALUE"""),"Создали город")</f>
        <v>Создали город</v>
      </c>
      <c r="W5" s="6" t="str">
        <f>IFERROR(__xludf.DUMMYFUNCTION("""COMPUTED_VALUE"""),"Открытые, добрые, красивые")</f>
        <v>Открытые, добрые, красивые</v>
      </c>
      <c r="X5" s="6" t="str">
        <f>IFERROR(__xludf.DUMMYFUNCTION("""COMPUTED_VALUE"""),"Центр, красная горка, Бор, лесная поляна ")</f>
        <v>Центр, красная горка, Бор, лесная поляна </v>
      </c>
      <c r="Y5" s="6" t="str">
        <f>IFERROR(__xludf.DUMMYFUNCTION("""COMPUTED_VALUE"""),"Герои мирового рока")</f>
        <v>Герои мирового рока</v>
      </c>
      <c r="Z5" s="6" t="str">
        <f>IFERROR(__xludf.DUMMYFUNCTION("""COMPUTED_VALUE"""),"Герои мирового рока ")</f>
        <v>Герои мирового рока </v>
      </c>
      <c r="AA5" s="6" t="str">
        <f>IFERROR(__xludf.DUMMYFUNCTION("""COMPUTED_VALUE"""),"-")</f>
        <v>-</v>
      </c>
      <c r="AB5" s="6" t="str">
        <f>IFERROR(__xludf.DUMMYFUNCTION("""COMPUTED_VALUE"""),"Сообществ много, не хватает времени")</f>
        <v>Сообществ много, не хватает времени</v>
      </c>
      <c r="AC5" s="6" t="str">
        <f>IFERROR(__xludf.DUMMYFUNCTION("""COMPUTED_VALUE"""),"Культурных и мероприятий с водой в летний период.")</f>
        <v>Культурных и мероприятий с водой в летний период.</v>
      </c>
      <c r="AD5" s="6" t="str">
        <f>IFERROR(__xludf.DUMMYFUNCTION("""COMPUTED_VALUE"""),"нет")</f>
        <v>нет</v>
      </c>
      <c r="AE5" s="6"/>
      <c r="AF5" s="6" t="str">
        <f>IFERROR(__xludf.DUMMYFUNCTION("""COMPUTED_VALUE"""),"35")</f>
        <v>35</v>
      </c>
      <c r="AG5" s="6"/>
      <c r="AH5" s="6"/>
      <c r="AI5" s="6"/>
      <c r="AJ5" s="6"/>
      <c r="AK5" s="6"/>
      <c r="AL5" s="6"/>
      <c r="AM5" s="6"/>
    </row>
    <row r="6">
      <c r="A6" s="4">
        <v>5.0</v>
      </c>
      <c r="B6" s="6" t="str">
        <f>IFERROR(__xludf.DUMMYFUNCTION("""COMPUTED_VALUE"""),"Бездельник, как и большинство кемеровчан ")</f>
        <v>Бездельник, как и большинство кемеровчан </v>
      </c>
      <c r="C6" s="6" t="str">
        <f>IFERROR(__xludf.DUMMYFUNCTION("""COMPUTED_VALUE"""),"Хобби есть. И пить. ")</f>
        <v>Хобби есть. И пить. </v>
      </c>
      <c r="D6" s="6" t="str">
        <f>IFERROR(__xludf.DUMMYFUNCTION("""COMPUTED_VALUE"""),"Шанхай")</f>
        <v>Шанхай</v>
      </c>
      <c r="E6" s="6" t="str">
        <f>IFERROR(__xludf.DUMMYFUNCTION("""COMPUTED_VALUE"""),"Увы")</f>
        <v>Увы</v>
      </c>
      <c r="F6" s="6" t="str">
        <f>IFERROR(__xludf.DUMMYFUNCTION("""COMPUTED_VALUE"""),"Живу здесь с рождения")</f>
        <v>Живу здесь с рождения</v>
      </c>
      <c r="G6" s="6" t="str">
        <f>IFERROR(__xludf.DUMMYFUNCTION("""COMPUTED_VALUE"""),"В лес и на угольные отвалы")</f>
        <v>В лес и на угольные отвалы</v>
      </c>
      <c r="H6" s="6" t="str">
        <f>IFERROR(__xludf.DUMMYFUNCTION("""COMPUTED_VALUE"""),"Черный_снег, смог, дым, шахтёр, Тулеев")</f>
        <v>Черный_снег, смог, дым, шахтёр, Тулеев</v>
      </c>
      <c r="I6" s="6" t="str">
        <f>IFERROR(__xludf.DUMMYFUNCTION("""COMPUTED_VALUE"""),"Рутгерс, Сидящий Бык (индеец-чероки, колонист АИК) ")</f>
        <v>Рутгерс, Сидящий Бык (индеец-чероки, колонист АИК) </v>
      </c>
      <c r="J6" s="6" t="str">
        <f>IFERROR(__xludf.DUMMYFUNCTION("""COMPUTED_VALUE"""),"Был один, да и тот уехал (Гришковец) ")</f>
        <v>Был один, да и тот уехал (Гришковец) </v>
      </c>
      <c r="K6" s="6" t="str">
        <f>IFERROR(__xludf.DUMMYFUNCTION("""COMPUTED_VALUE"""),"Сосновый бор (пусть хоть подышит немного, бедолага) ")</f>
        <v>Сосновый бор (пусть хоть подышит немного, бедолага) </v>
      </c>
      <c r="L6" s="6" t="str">
        <f>IFERROR(__xludf.DUMMYFUNCTION("""COMPUTED_VALUE"""),"Не ел чёрный снег - не рос в Кузбассе ")</f>
        <v>Не ел чёрный снег - не рос в Кузбассе </v>
      </c>
      <c r="M6" s="6" t="str">
        <f>IFERROR(__xludf.DUMMYFUNCTION("""COMPUTED_VALUE"""),"Гоп-стоп по-кемеровски")</f>
        <v>Гоп-стоп по-кемеровски</v>
      </c>
      <c r="N6" s="6" t="str">
        <f>IFERROR(__xludf.DUMMYFUNCTION("""COMPUTED_VALUE"""),"Плюсовая среднегодовая температура и снег не дольше двух месяцев в году. И хватит ")</f>
        <v>Плюсовая среднегодовая температура и снег не дольше двух месяцев в году. И хватит </v>
      </c>
      <c r="O6" s="6" t="str">
        <f>IFERROR(__xludf.DUMMYFUNCTION("""COMPUTED_VALUE"""),"Себя (нас) ")</f>
        <v>Себя (нас) </v>
      </c>
      <c r="P6" s="6" t="str">
        <f>IFERROR(__xludf.DUMMYFUNCTION("""COMPUTED_VALUE"""),"Вам расскажи - последнее отнимете")</f>
        <v>Вам расскажи - последнее отнимете</v>
      </c>
      <c r="Q6" s="6" t="str">
        <f>IFERROR(__xludf.DUMMYFUNCTION("""COMPUTED_VALUE"""),"Как будто в Кемерово остались независимые неангажированные СМИ, мухаха")</f>
        <v>Как будто в Кемерово остались независимые неангажированные СМИ, мухаха</v>
      </c>
      <c r="R6" s="6" t="str">
        <f>IFERROR(__xludf.DUMMYFUNCTION("""COMPUTED_VALUE"""),"А какие общегородские праздники у нас есть? Ну не день шахтёра же, камон ")</f>
        <v>А какие общегородские праздники у нас есть? Ну не день шахтёра же, камон </v>
      </c>
      <c r="S6" s="6" t="str">
        <f>IFERROR(__xludf.DUMMYFUNCTION("""COMPUTED_VALUE"""),"Сейчас за новости больно бьют, а я ещё пожить хочу")</f>
        <v>Сейчас за новости больно бьют, а я ещё пожить хочу</v>
      </c>
      <c r="T6" s="6" t="str">
        <f>IFERROR(__xludf.DUMMYFUNCTION("""COMPUTED_VALUE"""),"Тут был Тулеев, его за что-то любили в других регионах. Фиг знает, за что ")</f>
        <v>Тут был Тулеев, его за что-то любили в других регионах. Фиг знает, за что </v>
      </c>
      <c r="U6" s="6" t="str">
        <f>IFERROR(__xludf.DUMMYFUNCTION("""COMPUTED_VALUE"""),"Тот странный арт-объект в горсаду - головы на палках")</f>
        <v>Тот странный арт-объект в горсаду - головы на палках</v>
      </c>
      <c r="V6" s="6" t="str">
        <f>IFERROR(__xludf.DUMMYFUNCTION("""COMPUTED_VALUE"""),"Они выжили - это было нелегко ")</f>
        <v>Они выжили - это было нелегко </v>
      </c>
      <c r="W6" s="6" t="str">
        <f>IFERROR(__xludf.DUMMYFUNCTION("""COMPUTED_VALUE"""),"Люди, как люди. Но квартирный вопрос добрался и до нас. ")</f>
        <v>Люди, как люди. Но квартирный вопрос добрался и до нас. </v>
      </c>
      <c r="X6" s="6" t="str">
        <f>IFERROR(__xludf.DUMMYFUNCTION("""COMPUTED_VALUE"""),"Сосновый бор, и желательно не выходить на берег, откуда видно город ")</f>
        <v>Сосновый бор, и желательно не выходить на берег, откуда видно город </v>
      </c>
      <c r="Y6" s="6" t="str">
        <f>IFERROR(__xludf.DUMMYFUNCTION("""COMPUTED_VALUE"""),"АИК  - было хорошо, но быстро разогнали ")</f>
        <v>АИК  - было хорошо, но быстро разогнали </v>
      </c>
      <c r="Z6" s="6" t="str">
        <f>IFERROR(__xludf.DUMMYFUNCTION("""COMPUTED_VALUE"""),"Площадь Кузбасских историй)) (вру - смена губернатора) ")</f>
        <v>Площадь Кузбасских историй)) (вру - смена губернатора) </v>
      </c>
      <c r="AA6" s="6" t="str">
        <f>IFERROR(__xludf.DUMMYFUNCTION("""COMPUTED_VALUE"""),"Ой. (все хорошо, прекрасная маркиза) ")</f>
        <v>Ой. (все хорошо, прекрасная маркиза) </v>
      </c>
      <c r="AB6" s="6" t="str">
        <f>IFERROR(__xludf.DUMMYFUNCTION("""COMPUTED_VALUE"""),"Времена нынче не те, чтобы отвечать на такие интимные вопросы ")</f>
        <v>Времена нынче не те, чтобы отвечать на такие интимные вопросы </v>
      </c>
      <c r="AC6" s="6" t="str">
        <f>IFERROR(__xludf.DUMMYFUNCTION("""COMPUTED_VALUE"""),"Тут один раз по среди белого дня транспорт перестал ходить во всем городе - было забавно наблюдать. Не повторяйте больше ")</f>
        <v>Тут один раз по среди белого дня транспорт перестал ходить во всем городе - было забавно наблюдать. Не повторяйте больше </v>
      </c>
      <c r="AD6" s="6" t="str">
        <f>IFERROR(__xludf.DUMMYFUNCTION("""COMPUTED_VALUE"""),"нет")</f>
        <v>нет</v>
      </c>
      <c r="AE6" s="6"/>
      <c r="AF6" s="6" t="str">
        <f>IFERROR(__xludf.DUMMYFUNCTION("""COMPUTED_VALUE"""),"39")</f>
        <v>39</v>
      </c>
      <c r="AG6" s="6"/>
      <c r="AH6" s="6"/>
      <c r="AI6" s="6"/>
      <c r="AJ6" s="6"/>
      <c r="AK6" s="6"/>
      <c r="AL6" s="6"/>
      <c r="AM6" s="6"/>
    </row>
    <row r="7">
      <c r="A7" s="4">
        <v>6.0</v>
      </c>
      <c r="B7" s="6" t="str">
        <f>IFERROR(__xludf.DUMMYFUNCTION("""COMPUTED_VALUE"""),"Всем за что платят")</f>
        <v>Всем за что платят</v>
      </c>
      <c r="C7" s="6" t="str">
        <f>IFERROR(__xludf.DUMMYFUNCTION("""COMPUTED_VALUE"""),"Есть")</f>
        <v>Есть</v>
      </c>
      <c r="D7" s="6" t="str">
        <f>IFERROR(__xludf.DUMMYFUNCTION("""COMPUTED_VALUE"""),"Заводский, Швейка, так и называю")</f>
        <v>Заводский, Швейка, так и называю</v>
      </c>
      <c r="E7" s="6" t="str">
        <f>IFERROR(__xludf.DUMMYFUNCTION("""COMPUTED_VALUE"""),"Парк ангелов")</f>
        <v>Парк ангелов</v>
      </c>
      <c r="F7" s="6" t="str">
        <f>IFERROR(__xludf.DUMMYFUNCTION("""COMPUTED_VALUE"""),"Живу здесь с рождения")</f>
        <v>Живу здесь с рождения</v>
      </c>
      <c r="G7" s="6" t="str">
        <f>IFERROR(__xludf.DUMMYFUNCTION("""COMPUTED_VALUE"""),"Обычно на колесах")</f>
        <v>Обычно на колесах</v>
      </c>
      <c r="H7" s="6" t="str">
        <f>IFERROR(__xludf.DUMMYFUNCTION("""COMPUTED_VALUE"""),"Шахта, уголь, лес, ...")</f>
        <v>Шахта, уголь, лес, ...</v>
      </c>
      <c r="I7" s="6" t="str">
        <f>IFERROR(__xludf.DUMMYFUNCTION("""COMPUTED_VALUE"""),"-")</f>
        <v>-</v>
      </c>
      <c r="J7" s="6" t="str">
        <f>IFERROR(__xludf.DUMMYFUNCTION("""COMPUTED_VALUE"""),"-")</f>
        <v>-</v>
      </c>
      <c r="K7" s="6" t="str">
        <f>IFERROR(__xludf.DUMMYFUNCTION("""COMPUTED_VALUE"""),"Томская писаница, бор")</f>
        <v>Томская писаница, бор</v>
      </c>
      <c r="L7" s="6" t="str">
        <f>IFERROR(__xludf.DUMMYFUNCTION("""COMPUTED_VALUE"""),"-")</f>
        <v>-</v>
      </c>
      <c r="M7" s="6" t="str">
        <f>IFERROR(__xludf.DUMMYFUNCTION("""COMPUTED_VALUE"""),"-")</f>
        <v>-</v>
      </c>
      <c r="N7" s="6" t="str">
        <f>IFERROR(__xludf.DUMMYFUNCTION("""COMPUTED_VALUE"""),"Парковки, зеленые насаждения, отсутствие визуального мусора, чистые дороги и тротуары зимой, безопасность (большой брат повсюду)")</f>
        <v>Парковки, зеленые насаждения, отсутствие визуального мусора, чистые дороги и тротуары зимой, безопасность (большой брат повсюду)</v>
      </c>
      <c r="O7" s="6" t="str">
        <f>IFERROR(__xludf.DUMMYFUNCTION("""COMPUTED_VALUE"""),"Убрать визуальный мусор")</f>
        <v>Убрать визуальный мусор</v>
      </c>
      <c r="P7" s="6" t="str">
        <f>IFERROR(__xludf.DUMMYFUNCTION("""COMPUTED_VALUE"""),"Афиши мероприятий а42, телеграм каналы сообществ")</f>
        <v>Афиши мероприятий а42, телеграм каналы сообществ</v>
      </c>
      <c r="Q7" s="6" t="str">
        <f>IFERROR(__xludf.DUMMYFUNCTION("""COMPUTED_VALUE"""),"куда пойти в свободное время, бизнес-новости (средний чек/рекламные акции/запуск новых предприятий)")</f>
        <v>куда пойти в свободное время, бизнес-новости (средний чек/рекламные акции/запуск новых предприятий)</v>
      </c>
      <c r="R7" s="6" t="str">
        <f>IFERROR(__xludf.DUMMYFUNCTION("""COMPUTED_VALUE"""),"Сложно сказать, нет таких")</f>
        <v>Сложно сказать, нет таких</v>
      </c>
      <c r="S7" s="6" t="str">
        <f>IFERROR(__xludf.DUMMYFUNCTION("""COMPUTED_VALUE"""),"Писал и расклеивал объявления/афиши, Через социальные сети, Делал рассылку по электронной почте, Обращался в редакции электронных городских СМИ, Таргет")</f>
        <v>Писал и расклеивал объявления/афиши, Через социальные сети, Делал рассылку по электронной почте, Обращался в редакции электронных городских СМИ, Таргет</v>
      </c>
      <c r="T7" s="6" t="str">
        <f>IFERROR(__xludf.DUMMYFUNCTION("""COMPUTED_VALUE"""),"Шахтами")</f>
        <v>Шахтами</v>
      </c>
      <c r="U7" s="6" t="str">
        <f>IFERROR(__xludf.DUMMYFUNCTION("""COMPUTED_VALUE"""),"Весенняя")</f>
        <v>Весенняя</v>
      </c>
      <c r="V7" s="6" t="str">
        <f>IFERROR(__xludf.DUMMYFUNCTION("""COMPUTED_VALUE"""),"Построили город")</f>
        <v>Построили город</v>
      </c>
      <c r="W7" s="6" t="str">
        <f>IFERROR(__xludf.DUMMYFUNCTION("""COMPUTED_VALUE"""),"Не очень жизнерадостные. При необходимости помогут")</f>
        <v>Не очень жизнерадостные. При необходимости помогут</v>
      </c>
      <c r="X7" s="6" t="str">
        <f>IFERROR(__xludf.DUMMYFUNCTION("""COMPUTED_VALUE"""),"Жд вокзал - кузнецкий - набережная - весенняя - советский - парк Жукова - красноармейская - пионерский бульвар (в сторону притомского) - обратно до ленина")</f>
        <v>Жд вокзал - кузнецкий - набережная - весенняя - советский - парк Жукова - красноармейская - пионерский бульвар (в сторону притомского) - обратно до ленина</v>
      </c>
      <c r="Y7" s="6" t="str">
        <f>IFERROR(__xludf.DUMMYFUNCTION("""COMPUTED_VALUE"""),"Чемпионат по бэнди, зимняя вишня")</f>
        <v>Чемпионат по бэнди, зимняя вишня</v>
      </c>
      <c r="Z7" s="6" t="str">
        <f>IFERROR(__xludf.DUMMYFUNCTION("""COMPUTED_VALUE"""),"Не было таких, карантин был ")</f>
        <v>Не было таких, карантин был </v>
      </c>
      <c r="AA7" s="6" t="str">
        <f>IFERROR(__xludf.DUMMYFUNCTION("""COMPUTED_VALUE"""),"Если зимняя вишня входит по времени, то она")</f>
        <v>Если зимняя вишня входит по времени, то она</v>
      </c>
      <c r="AB7" s="6" t="str">
        <f>IFERROR(__xludf.DUMMYFUNCTION("""COMPUTED_VALUE"""),"Знаю что их много есть разных, в нужных и интересных и так состою")</f>
        <v>Знаю что их много есть разных, в нужных и интересных и так состою</v>
      </c>
      <c r="AC7" s="6" t="str">
        <f>IFERROR(__xludf.DUMMYFUNCTION("""COMPUTED_VALUE"""),"Кино на улице, музыкальные мероприятия, фестивали еды")</f>
        <v>Кино на улице, музыкальные мероприятия, фестивали еды</v>
      </c>
      <c r="AD7" s="6" t="str">
        <f>IFERROR(__xludf.DUMMYFUNCTION("""COMPUTED_VALUE"""),"да")</f>
        <v>да</v>
      </c>
      <c r="AE7" s="6"/>
      <c r="AF7" s="6" t="str">
        <f>IFERROR(__xludf.DUMMYFUNCTION("""COMPUTED_VALUE"""),"27")</f>
        <v>27</v>
      </c>
      <c r="AG7" s="6"/>
      <c r="AH7" s="6"/>
      <c r="AI7" s="6"/>
      <c r="AJ7" s="6"/>
      <c r="AK7" s="6"/>
      <c r="AL7" s="6"/>
      <c r="AM7" s="6"/>
    </row>
    <row r="8">
      <c r="A8" s="4">
        <v>7.0</v>
      </c>
      <c r="B8" s="6" t="str">
        <f>IFERROR(__xludf.DUMMYFUNCTION("""COMPUTED_VALUE"""),"Инженер-конструктор ")</f>
        <v>Инженер-конструктор </v>
      </c>
      <c r="C8" s="6" t="str">
        <f>IFERROR(__xludf.DUMMYFUNCTION("""COMPUTED_VALUE"""),"Архитектура ")</f>
        <v>Архитектура </v>
      </c>
      <c r="D8" s="6" t="str">
        <f>IFERROR(__xludf.DUMMYFUNCTION("""COMPUTED_VALUE"""),"Центральный")</f>
        <v>Центральный</v>
      </c>
      <c r="E8" s="6" t="str">
        <f>IFERROR(__xludf.DUMMYFUNCTION("""COMPUTED_VALUE"""),"Набережная")</f>
        <v>Набережная</v>
      </c>
      <c r="F8" s="6" t="str">
        <f>IFERROR(__xludf.DUMMYFUNCTION("""COMPUTED_VALUE"""),"Переехал сюда из другого места, Учеба")</f>
        <v>Переехал сюда из другого места, Учеба</v>
      </c>
      <c r="G8" s="6" t="str">
        <f>IFERROR(__xludf.DUMMYFUNCTION("""COMPUTED_VALUE"""),"Парки, набережная")</f>
        <v>Парки, набережная</v>
      </c>
      <c r="H8" s="6" t="str">
        <f>IFERROR(__xludf.DUMMYFUNCTION("""COMPUTED_VALUE"""),",Смог,Лес,Бульвар")</f>
        <v>,Смог,Лес,Бульвар</v>
      </c>
      <c r="I8" s="6" t="str">
        <f>IFERROR(__xludf.DUMMYFUNCTION("""COMPUTED_VALUE"""),"Все кто участвовал в создании главных предприятий и стройки города в начале 20го века.")</f>
        <v>Все кто участвовал в создании главных предприятий и стройки города в начале 20го века.</v>
      </c>
      <c r="J8" s="6" t="str">
        <f>IFERROR(__xludf.DUMMYFUNCTION("""COMPUTED_VALUE"""),"Тахир Кулиев, Попова Наталья.")</f>
        <v>Тахир Кулиев, Попова Наталья.</v>
      </c>
      <c r="K8" s="6" t="str">
        <f>IFERROR(__xludf.DUMMYFUNCTION("""COMPUTED_VALUE"""),"различные упоротые ")</f>
        <v>различные упоротые </v>
      </c>
      <c r="L8" s="6" t="str">
        <f>IFERROR(__xludf.DUMMYFUNCTION("""COMPUTED_VALUE"""),"...")</f>
        <v>...</v>
      </c>
      <c r="M8" s="6" t="str">
        <f>IFERROR(__xludf.DUMMYFUNCTION("""COMPUTED_VALUE"""),"... ")</f>
        <v>... </v>
      </c>
      <c r="N8" s="6" t="str">
        <f>IFERROR(__xludf.DUMMYFUNCTION("""COMPUTED_VALUE"""),"Пешеходная доступность, деревья вдоль улиц, кустарник, дворы без ям и барьеров.")</f>
        <v>Пешеходная доступность, деревья вдоль улиц, кустарник, дворы без ям и барьеров.</v>
      </c>
      <c r="O8" s="6" t="str">
        <f>IFERROR(__xludf.DUMMYFUNCTION("""COMPUTED_VALUE"""),"Отправить Ражева из СДС в отпуск вместе с нашим ""любимым склюптором"" Зиничем. вложиться в образование проектировщиков и градостроителей в местных вузах. ")</f>
        <v>Отправить Ражева из СДС в отпуск вместе с нашим "любимым склюптором" Зиничем. вложиться в образование проектировщиков и градостроителей в местных вузах. </v>
      </c>
      <c r="P8" s="6" t="str">
        <f>IFERROR(__xludf.DUMMYFUNCTION("""COMPUTED_VALUE"""),"Интернет.")</f>
        <v>Интернет.</v>
      </c>
      <c r="Q8" s="6" t="str">
        <f>IFERROR(__xludf.DUMMYFUNCTION("""COMPUTED_VALUE"""),"городская афиша (кино/театр/концерты),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поступать/вакансии"&amp;",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8" s="6" t="str">
        <f>IFERROR(__xludf.DUMMYFUNCTION("""COMPUTED_VALUE"""),"...")</f>
        <v>...</v>
      </c>
      <c r="S8" s="6" t="str">
        <f>IFERROR(__xludf.DUMMYFUNCTION("""COMPUTED_VALUE"""),"Через социальные сети, Делал рассылку по электронной почте")</f>
        <v>Через социальные сети, Делал рассылку по электронной почте</v>
      </c>
      <c r="T8" s="6" t="str">
        <f>IFERROR(__xludf.DUMMYFUNCTION("""COMPUTED_VALUE"""),"...")</f>
        <v>...</v>
      </c>
      <c r="U8" s="6" t="str">
        <f>IFERROR(__xludf.DUMMYFUNCTION("""COMPUTED_VALUE"""),"Бульвар строителей, Набережная ц.р, Набережная кировского.")</f>
        <v>Бульвар строителей, Набережная ц.р, Набережная кировского.</v>
      </c>
      <c r="V8" s="6" t="str">
        <f>IFERROR(__xludf.DUMMYFUNCTION("""COMPUTED_VALUE"""),"...")</f>
        <v>...</v>
      </c>
      <c r="W8" s="6" t="str">
        <f>IFERROR(__xludf.DUMMYFUNCTION("""COMPUTED_VALUE"""),"Такой же как и любой другой житель западной сибири. ")</f>
        <v>Такой же как и любой другой житель западной сибири. </v>
      </c>
      <c r="X8" s="6" t="str">
        <f>IFERROR(__xludf.DUMMYFUNCTION("""COMPUTED_VALUE"""),"Центр,набережная,мост,бор.")</f>
        <v>Центр,набережная,мост,бор.</v>
      </c>
      <c r="Y8" s="6" t="str">
        <f>IFERROR(__xludf.DUMMYFUNCTION("""COMPUTED_VALUE"""),"...")</f>
        <v>...</v>
      </c>
      <c r="Z8" s="6" t="str">
        <f>IFERROR(__xludf.DUMMYFUNCTION("""COMPUTED_VALUE"""),"ПКИ")</f>
        <v>ПКИ</v>
      </c>
      <c r="AA8" s="6" t="str">
        <f>IFERROR(__xludf.DUMMYFUNCTION("""COMPUTED_VALUE"""),"Строительство московской площади, ледовых дворцов. Вишня. ")</f>
        <v>Строительство московской площади, ледовых дворцов. Вишня. </v>
      </c>
      <c r="AB8" s="6" t="str">
        <f>IFERROR(__xludf.DUMMYFUNCTION("""COMPUTED_VALUE"""),"Сильных и независимых")</f>
        <v>Сильных и независимых</v>
      </c>
      <c r="AC8" s="6" t="str">
        <f>IFERROR(__xludf.DUMMYFUNCTION("""COMPUTED_VALUE"""),"Влияющие на город.")</f>
        <v>Влияющие на город.</v>
      </c>
      <c r="AD8" s="6" t="str">
        <f>IFERROR(__xludf.DUMMYFUNCTION("""COMPUTED_VALUE"""),"да")</f>
        <v>да</v>
      </c>
      <c r="AE8" s="6"/>
      <c r="AF8" s="6" t="str">
        <f>IFERROR(__xludf.DUMMYFUNCTION("""COMPUTED_VALUE"""),"22")</f>
        <v>22</v>
      </c>
      <c r="AG8" s="6"/>
      <c r="AH8" s="6"/>
      <c r="AI8" s="6"/>
      <c r="AJ8" s="6"/>
      <c r="AK8" s="6"/>
      <c r="AL8" s="6"/>
      <c r="AM8" s="6"/>
    </row>
    <row r="9">
      <c r="A9" s="4">
        <v>8.0</v>
      </c>
      <c r="B9" s="6" t="str">
        <f>IFERROR(__xludf.DUMMYFUNCTION("""COMPUTED_VALUE"""),"Продакт-менеджер, поддержка и развитие информационных продуктов")</f>
        <v>Продакт-менеджер, поддержка и развитие информационных продуктов</v>
      </c>
      <c r="C9" s="6" t="str">
        <f>IFERROR(__xludf.DUMMYFUNCTION("""COMPUTED_VALUE"""),"Спорт: баскетбол, футбол, легкая атлетика")</f>
        <v>Спорт: баскетбол, футбол, легкая атлетика</v>
      </c>
      <c r="D9" s="6" t="str">
        <f>IFERROR(__xludf.DUMMYFUNCTION("""COMPUTED_VALUE"""),"Рудничный")</f>
        <v>Рудничный</v>
      </c>
      <c r="E9" s="6" t="str">
        <f>IFERROR(__xludf.DUMMYFUNCTION("""COMPUTED_VALUE"""),"Красная горка, Памятник шахтерам")</f>
        <v>Красная горка, Памятник шахтерам</v>
      </c>
      <c r="F9" s="6" t="str">
        <f>IFERROR(__xludf.DUMMYFUNCTION("""COMPUTED_VALUE"""),"Переехал сюда из другого места")</f>
        <v>Переехал сюда из другого места</v>
      </c>
      <c r="G9" s="6" t="str">
        <f>IFERROR(__xludf.DUMMYFUNCTION("""COMPUTED_VALUE"""),"Сосновый бор ")</f>
        <v>Сосновый бор </v>
      </c>
      <c r="H9" s="6" t="str">
        <f>IFERROR(__xludf.DUMMYFUNCTION("""COMPUTED_VALUE"""),"Шахтеры, экология, производство, заводы, хоккей ")</f>
        <v>Шахтеры, экология, производство, заводы, хоккей </v>
      </c>
      <c r="I9" s="6" t="str">
        <f>IFERROR(__xludf.DUMMYFUNCTION("""COMPUTED_VALUE"""),"Алексей Леонов")</f>
        <v>Алексей Леонов</v>
      </c>
      <c r="J9" s="6" t="str">
        <f>IFERROR(__xludf.DUMMYFUNCTION("""COMPUTED_VALUE"""),"Сергей Цивилев, Евгений Овчаренко")</f>
        <v>Сергей Цивилев, Евгений Овчаренко</v>
      </c>
      <c r="K9" s="6" t="str">
        <f>IFERROR(__xludf.DUMMYFUNCTION("""COMPUTED_VALUE"""),"Парк ангелов, Памятник шахтерам, красная горка")</f>
        <v>Парк ангелов, Памятник шахтерам, красная горка</v>
      </c>
      <c r="L9" s="6" t="str">
        <f>IFERROR(__xludf.DUMMYFUNCTION("""COMPUTED_VALUE"""),"Уголь - золото Кузбасса")</f>
        <v>Уголь - золото Кузбасса</v>
      </c>
      <c r="M9" s="6" t="str">
        <f>IFERROR(__xludf.DUMMYFUNCTION("""COMPUTED_VALUE"""),"Черный снег")</f>
        <v>Черный снег</v>
      </c>
      <c r="N9" s="6" t="str">
        <f>IFERROR(__xludf.DUMMYFUNCTION("""COMPUTED_VALUE"""),"Экология, дороги, высоко оплачиваемые рабочие места, ухоженные улицы, спортивные мероприятия")</f>
        <v>Экология, дороги, высоко оплачиваемые рабочие места, ухоженные улицы, спортивные мероприятия</v>
      </c>
      <c r="O9" s="6" t="str">
        <f>IFERROR(__xludf.DUMMYFUNCTION("""COMPUTED_VALUE"""),"Экология")</f>
        <v>Экология</v>
      </c>
      <c r="P9" s="6" t="str">
        <f>IFERROR(__xludf.DUMMYFUNCTION("""COMPUTED_VALUE"""),"Инстаграм страницы Сергея Цивилева, Около сити, Кемерово")</f>
        <v>Инстаграм страницы Сергея Цивилева, Около сити, Кемерово</v>
      </c>
      <c r="Q9"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м"&amp;"естных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9" s="6" t="str">
        <f>IFERROR(__xludf.DUMMYFUNCTION("""COMPUTED_VALUE"""),"Для меня нет таких, для жителей ""День шахтера""")</f>
        <v>Для меня нет таких, для жителей "День шахтера"</v>
      </c>
      <c r="S9" s="6" t="str">
        <f>IFERROR(__xludf.DUMMYFUNCTION("""COMPUTED_VALUE"""),"Нет, не приходилось")</f>
        <v>Нет, не приходилось</v>
      </c>
      <c r="T9" s="6" t="str">
        <f>IFERROR(__xludf.DUMMYFUNCTION("""COMPUTED_VALUE"""),"Знаменит как как столица Шахтерской науки и славы. Сложно сказать, возможно рабочие места на крупном производстве ")</f>
        <v>Знаменит как как столица Шахтерской науки и славы. Сложно сказать, возможно рабочие места на крупном производстве </v>
      </c>
      <c r="U9" s="6" t="str">
        <f>IFERROR(__xludf.DUMMYFUNCTION("""COMPUTED_VALUE"""),"Сложно")</f>
        <v>Сложно</v>
      </c>
      <c r="V9" s="6" t="str">
        <f>IFERROR(__xludf.DUMMYFUNCTION("""COMPUTED_VALUE"""),"Подвигами на ВОВ")</f>
        <v>Подвигами на ВОВ</v>
      </c>
      <c r="W9" s="6" t="str">
        <f>IFERROR(__xludf.DUMMYFUNCTION("""COMPUTED_VALUE"""),"Стойкие, крепкие характером")</f>
        <v>Стойкие, крепкие характером</v>
      </c>
      <c r="X9" s="6" t="str">
        <f>IFERROR(__xludf.DUMMYFUNCTION("""COMPUTED_VALUE"""),"Прогулка по серебренному бору к табличке ""Кузбасс""")</f>
        <v>Прогулка по серебренному бору к табличке "Кузбасс"</v>
      </c>
      <c r="Y9" s="6" t="str">
        <f>IFERROR(__xludf.DUMMYFUNCTION("""COMPUTED_VALUE"""),"Глобальная застройка Притомского проспекта культурными и спортивными объектами")</f>
        <v>Глобальная застройка Притомского проспекта культурными и спортивными объектами</v>
      </c>
      <c r="Z9" s="6" t="str">
        <f>IFERROR(__xludf.DUMMYFUNCTION("""COMPUTED_VALUE"""),"Ремонт и создание новых дорог, благоустройство города")</f>
        <v>Ремонт и создание новых дорог, благоустройство города</v>
      </c>
      <c r="AA9" s="6" t="str">
        <f>IFERROR(__xludf.DUMMYFUNCTION("""COMPUTED_VALUE"""),"Загрязнение воздуха")</f>
        <v>Загрязнение воздуха</v>
      </c>
      <c r="AB9" s="6" t="str">
        <f>IFERROR(__xludf.DUMMYFUNCTION("""COMPUTED_VALUE"""),"Сложно сказать")</f>
        <v>Сложно сказать</v>
      </c>
      <c r="AC9" s="6" t="str">
        <f>IFERROR(__xludf.DUMMYFUNCTION("""COMPUTED_VALUE"""),"Крупные спортивные мероприятия федерального масштаба")</f>
        <v>Крупные спортивные мероприятия федерального масштаба</v>
      </c>
      <c r="AD9" s="6" t="str">
        <f>IFERROR(__xludf.DUMMYFUNCTION("""COMPUTED_VALUE"""),"да")</f>
        <v>да</v>
      </c>
      <c r="AE9" s="6"/>
      <c r="AF9" s="6" t="str">
        <f>IFERROR(__xludf.DUMMYFUNCTION("""COMPUTED_VALUE"""),"28")</f>
        <v>28</v>
      </c>
      <c r="AG9" s="6"/>
      <c r="AH9" s="6"/>
      <c r="AI9" s="6"/>
      <c r="AJ9" s="6"/>
      <c r="AK9" s="6"/>
      <c r="AL9" s="6"/>
      <c r="AM9" s="6"/>
    </row>
    <row r="10">
      <c r="A10" s="4">
        <v>9.0</v>
      </c>
      <c r="B10" s="6" t="str">
        <f>IFERROR(__xludf.DUMMYFUNCTION("""COMPUTED_VALUE"""),"Сижу на дваче и работаю никем")</f>
        <v>Сижу на дваче и работаю никем</v>
      </c>
      <c r="C10" s="6" t="str">
        <f>IFERROR(__xludf.DUMMYFUNCTION("""COMPUTED_VALUE"""),"Пекарня")</f>
        <v>Пекарня</v>
      </c>
      <c r="D10" s="6" t="str">
        <f>IFERROR(__xludf.DUMMYFUNCTION("""COMPUTED_VALUE"""),"Шанхай")</f>
        <v>Шанхай</v>
      </c>
      <c r="E10" s="6" t="str">
        <f>IFERROR(__xludf.DUMMYFUNCTION("""COMPUTED_VALUE"""),"Ноград")</f>
        <v>Ноград</v>
      </c>
      <c r="F10" s="6" t="str">
        <f>IFERROR(__xludf.DUMMYFUNCTION("""COMPUTED_VALUE"""),"Родился здесь,но сейчас живу в другом городе")</f>
        <v>Родился здесь,но сейчас живу в другом городе</v>
      </c>
      <c r="G10" s="6" t="str">
        <f>IFERROR(__xludf.DUMMYFUNCTION("""COMPUTED_VALUE"""),"Сосновый бор, парки")</f>
        <v>Сосновый бор, парки</v>
      </c>
      <c r="H10" s="6" t="str">
        <f>IFERROR(__xludf.DUMMYFUNCTION("""COMPUTED_VALUE"""),"Уголь, смог, быдло, колхозники, водка")</f>
        <v>Уголь, смог, быдло, колхозники, водка</v>
      </c>
      <c r="I10" s="6" t="str">
        <f>IFERROR(__xludf.DUMMYFUNCTION("""COMPUTED_VALUE"""),"Леонов")</f>
        <v>Леонов</v>
      </c>
      <c r="J10" s="6" t="str">
        <f>IFERROR(__xludf.DUMMYFUNCTION("""COMPUTED_VALUE"""),"Нет таких")</f>
        <v>Нет таких</v>
      </c>
      <c r="K10" s="6" t="str">
        <f>IFERROR(__xludf.DUMMYFUNCTION("""COMPUTED_VALUE"""),"Харатс")</f>
        <v>Харатс</v>
      </c>
      <c r="L10" s="6" t="str">
        <f>IFERROR(__xludf.DUMMYFUNCTION("""COMPUTED_VALUE"""),"Углём кашу не испоришь")</f>
        <v>Углём кашу не испоришь</v>
      </c>
      <c r="M10" s="6" t="str">
        <f>IFERROR(__xludf.DUMMYFUNCTION("""COMPUTED_VALUE"""),"Мультифора, вехотка, верхонки, лопатник, без ничего")</f>
        <v>Мультифора, вехотка, верхонки, лопатник, без ничего</v>
      </c>
      <c r="N10" s="6" t="str">
        <f>IFERROR(__xludf.DUMMYFUNCTION("""COMPUTED_VALUE"""),"Экология, зарплаты, доступность, грамотное управление, связь с внешним миром")</f>
        <v>Экология, зарплаты, доступность, грамотное управление, связь с внешним миром</v>
      </c>
      <c r="O10" s="6" t="str">
        <f>IFERROR(__xludf.DUMMYFUNCTION("""COMPUTED_VALUE"""),"Здесь не исправить уже ничего, господь - жги!")</f>
        <v>Здесь не исправить уже ничего, господь - жги!</v>
      </c>
      <c r="P10" s="6" t="str">
        <f>IFERROR(__xludf.DUMMYFUNCTION("""COMPUTED_VALUE"""),"ВК")</f>
        <v>ВК</v>
      </c>
      <c r="Q10" s="6" t="str">
        <f>IFERROR(__xludf.DUMMYFUNCTION("""COMPUTED_VALUE"""),"куда пойти в свободное время, где вкусно поесть/открытие новых кафе/ресторанов,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криминальны"&amp;"е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раз"&amp;"ные темы (напишите в разделе Другое свои предложения)")</f>
        <v>куда пойти в свободное время, где вкусно поесть/открытие новых кафе/ресторанов,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0" s="6" t="str">
        <f>IFERROR(__xludf.DUMMYFUNCTION("""COMPUTED_VALUE"""),"Масленица")</f>
        <v>Масленица</v>
      </c>
      <c r="S10" s="6" t="str">
        <f>IFERROR(__xludf.DUMMYFUNCTION("""COMPUTED_VALUE"""),"Нет, не приходилось")</f>
        <v>Нет, не приходилось</v>
      </c>
      <c r="T10" s="6" t="str">
        <f>IFERROR(__xludf.DUMMYFUNCTION("""COMPUTED_VALUE"""),"Зимней вишней. Интересного и важного 0. Сверху кинут атомную бомбу, даже в бомбоубежище не побегу.")</f>
        <v>Зимней вишней. Интересного и важного 0. Сверху кинут атомную бомбу, даже в бомбоубежище не побегу.</v>
      </c>
      <c r="U10" s="6" t="str">
        <f>IFERROR(__xludf.DUMMYFUNCTION("""COMPUTED_VALUE"""),"Харатс")</f>
        <v>Харатс</v>
      </c>
      <c r="V10" s="6" t="str">
        <f>IFERROR(__xludf.DUMMYFUNCTION("""COMPUTED_VALUE"""),"Переехали жить в место для жизни не предназначенное")</f>
        <v>Переехали жить в место для жизни не предназначенное</v>
      </c>
      <c r="W10" s="6" t="str">
        <f>IFERROR(__xludf.DUMMYFUNCTION("""COMPUTED_VALUE"""),"Невежество, агрессия, нетерпимость, пьянство")</f>
        <v>Невежество, агрессия, нетерпимость, пьянство</v>
      </c>
      <c r="X10" s="6" t="str">
        <f>IFERROR(__xludf.DUMMYFUNCTION("""COMPUTED_VALUE"""),"Дом - крыльцо - дом.")</f>
        <v>Дом - крыльцо - дом.</v>
      </c>
      <c r="Y10" s="6" t="str">
        <f>IFERROR(__xludf.DUMMYFUNCTION("""COMPUTED_VALUE"""),"Зимняя вишня")</f>
        <v>Зимняя вишня</v>
      </c>
      <c r="Z10" s="6" t="str">
        <f>IFERROR(__xludf.DUMMYFUNCTION("""COMPUTED_VALUE"""),"Нет")</f>
        <v>Нет</v>
      </c>
      <c r="AA10" s="6" t="str">
        <f>IFERROR(__xludf.DUMMYFUNCTION("""COMPUTED_VALUE"""),"Уже давно плевать")</f>
        <v>Уже давно плевать</v>
      </c>
      <c r="AB10" s="6" t="str">
        <f>IFERROR(__xludf.DUMMYFUNCTION("""COMPUTED_VALUE"""),"Вменяемых людей")</f>
        <v>Вменяемых людей</v>
      </c>
      <c r="AC10" s="6" t="str">
        <f>IFERROR(__xludf.DUMMYFUNCTION("""COMPUTED_VALUE"""),"Это не поможет.")</f>
        <v>Это не поможет.</v>
      </c>
      <c r="AD10" s="6" t="str">
        <f>IFERROR(__xludf.DUMMYFUNCTION("""COMPUTED_VALUE"""),"нет")</f>
        <v>нет</v>
      </c>
      <c r="AE10" s="6"/>
      <c r="AF10" s="6" t="str">
        <f>IFERROR(__xludf.DUMMYFUNCTION("""COMPUTED_VALUE"""),"30")</f>
        <v>30</v>
      </c>
      <c r="AG10" s="6"/>
      <c r="AH10" s="6"/>
      <c r="AI10" s="6"/>
      <c r="AJ10" s="6"/>
      <c r="AK10" s="6"/>
      <c r="AL10" s="6"/>
      <c r="AM10" s="6"/>
    </row>
    <row r="11">
      <c r="A11" s="4">
        <v>10.0</v>
      </c>
      <c r="B11" s="6" t="str">
        <f>IFERROR(__xludf.DUMMYFUNCTION("""COMPUTED_VALUE"""),"Инженер-конструктор ")</f>
        <v>Инженер-конструктор </v>
      </c>
      <c r="C11" s="6" t="str">
        <f>IFERROR(__xludf.DUMMYFUNCTION("""COMPUTED_VALUE"""),"3D-дизайн, автопутешествия")</f>
        <v>3D-дизайн, автопутешествия</v>
      </c>
      <c r="D11" s="6" t="str">
        <f>IFERROR(__xludf.DUMMYFUNCTION("""COMPUTED_VALUE"""),"ФПК")</f>
        <v>ФПК</v>
      </c>
      <c r="E11" s="6" t="str">
        <f>IFERROR(__xludf.DUMMYFUNCTION("""COMPUTED_VALUE"""),"Ассортимент самых пряных пивнух")</f>
        <v>Ассортимент самых пряных пивнух</v>
      </c>
      <c r="F11" s="6" t="str">
        <f>IFERROR(__xludf.DUMMYFUNCTION("""COMPUTED_VALUE"""),"Живу здесь с рождения")</f>
        <v>Живу здесь с рождения</v>
      </c>
      <c r="G11" s="6" t="str">
        <f>IFERROR(__xludf.DUMMYFUNCTION("""COMPUTED_VALUE"""),"В магазин и в центр, если есть, с кем ")</f>
        <v>В магазин и в центр, если есть, с кем </v>
      </c>
      <c r="H11" s="6" t="str">
        <f>IFERROR(__xludf.DUMMYFUNCTION("""COMPUTED_VALUE"""),"Быдло, мещанство, грязь, смог, дороговизна")</f>
        <v>Быдло, мещанство, грязь, смог, дороговизна</v>
      </c>
      <c r="I11" s="6" t="str">
        <f>IFERROR(__xludf.DUMMYFUNCTION("""COMPUTED_VALUE"""),"Тулеев А.Г., Леонов А.А")</f>
        <v>Тулеев А.Г., Леонов А.А</v>
      </c>
      <c r="J11" s="6" t="str">
        <f>IFERROR(__xludf.DUMMYFUNCTION("""COMPUTED_VALUE"""),"Гришковец Е.В.")</f>
        <v>Гришковец Е.В.</v>
      </c>
      <c r="K11" s="6" t="str">
        <f>IFERROR(__xludf.DUMMYFUNCTION("""COMPUTED_VALUE"""),"Красная горка, горсад, набережная")</f>
        <v>Красная горка, горсад, набережная</v>
      </c>
      <c r="L11" s="6" t="str">
        <f>IFERROR(__xludf.DUMMYFUNCTION("""COMPUTED_VALUE"""),"Молодой черт попал на работу в ад. Видит три котла, где варятся грешники. Первый котёл плотно закрыт, на крышке множество цепей, замков, сверху навалена куча камней. Охраняет котёл толпа чертей, багры и дубины на изготовку. У второго котла крышка приоткры"&amp;"та, рядом стоят два черта в фуражках со скучающими физиономиями. У третьего котла крышки нет, рядом никого нет, да и выход из ада рядом...
Пошел черт старожилов расспрашивать.
-Понимаешь, в первом котле сидят новосибирцы. У них если один начнёт вылезать -"&amp;" его остальные подсаживают, а как только он выберется, так всех остальных за собой повытащит.
Во втором котле - красноярцы. Народ аккуратный, исполнительный. Мы поставили там табличку ""Вылезать запрещено!"" - они и не вылезают. И охрану сами потребовали "&amp;"поставить, чтобы порядок был.
А в третьем котле сидят кемеровчане. У них чуть кто наружу полезет - его свои же тянут за ноги обратно. ")</f>
        <v>Молодой черт попал на работу в ад. Видит три котла, где варятся грешники. Первый котёл плотно закрыт, на крышке множество цепей, замков, сверху навалена куча камней. Охраняет котёл толпа чертей, багры и дубины на изготовку. У второго котла крышка приоткрыта, рядом стоят два черта в фуражках со скучающими физиономиями. У третьего котла крышки нет, рядом никого нет, да и выход из ада рядом...
Пошел черт старожилов расспрашивать.
-Понимаешь, в первом котле сидят новосибирцы. У них если один начнёт вылезать - его остальные подсаживают, а как только он выберется, так всех остальных за собой повытащит.
Во втором котле - красноярцы. Народ аккуратный, исполнительный. Мы поставили там табличку "Вылезать запрещено!" - они и не вылезают. И охрану сами потребовали поставить, чтобы порядок был.
А в третьем котле сидят кемеровчане. У них чуть кто наружу полезет - его свои же тянут за ноги обратно. </v>
      </c>
      <c r="M11" s="6" t="str">
        <f>IFERROR(__xludf.DUMMYFUNCTION("""COMPUTED_VALUE"""),"Нет, какая может быть своя культура в регионе, который зеки строили? ")</f>
        <v>Нет, какая может быть своя культура в регионе, который зеки строили? </v>
      </c>
      <c r="N11" s="6" t="str">
        <f>IFERROR(__xludf.DUMMYFUNCTION("""COMPUTED_VALUE"""),"Высокие зарплаты, низкие цены, доступный общественный транспорт, обилие товаров, обилие мест досуга ")</f>
        <v>Высокие зарплаты, низкие цены, доступный общественный транспорт, обилие товаров, обилие мест досуга </v>
      </c>
      <c r="O11" s="6" t="str">
        <f>IFERROR(__xludf.DUMMYFUNCTION("""COMPUTED_VALUE"""),"Бесполезно, проще напалмом закидать")</f>
        <v>Бесполезно, проще напалмом закидать</v>
      </c>
      <c r="P11" s="6" t="str">
        <f>IFERROR(__xludf.DUMMYFUNCTION("""COMPUTED_VALUE"""),"Инста")</f>
        <v>Инста</v>
      </c>
      <c r="Q11" s="6" t="str">
        <f>IFERROR(__xludf.DUMMYFUNCTION("""COMPUTED_VALUE"""),"Что угодно, но чтобы честно, почти все кемеровский СМИ работают как в Северной Корее или Китае - у нас всё всегда прекрасно, насущные проблемы замалчиваются или от них отвлекается внимание высосаными из пальца инфоповодами")</f>
        <v>Что угодно, но чтобы честно, почти все кемеровский СМИ работают как в Северной Корее или Китае - у нас всё всегда прекрасно, насущные проблемы замалчиваются или от них отвлекается внимание высосаными из пальца инфоповодами</v>
      </c>
      <c r="R11" s="6" t="str">
        <f>IFERROR(__xludf.DUMMYFUNCTION("""COMPUTED_VALUE"""),"Никакие")</f>
        <v>Никакие</v>
      </c>
      <c r="S11" s="6" t="str">
        <f>IFERROR(__xludf.DUMMYFUNCTION("""COMPUTED_VALUE"""),"Нет, не приходилось")</f>
        <v>Нет, не приходилось</v>
      </c>
      <c r="T11" s="6" t="str">
        <f>IFERROR(__xludf.DUMMYFUNCTION("""COMPUTED_VALUE"""),"Сгоревшим ТЦ с детьми внутри")</f>
        <v>Сгоревшим ТЦ с детьми внутри</v>
      </c>
      <c r="U11" s="6" t="str">
        <f>IFERROR(__xludf.DUMMYFUNCTION("""COMPUTED_VALUE"""),"Площадь советов")</f>
        <v>Площадь советов</v>
      </c>
      <c r="V11" s="6" t="str">
        <f>IFERROR(__xludf.DUMMYFUNCTION("""COMPUTED_VALUE"""),"Ничего.")</f>
        <v>Ничего.</v>
      </c>
      <c r="W11" s="6" t="str">
        <f>IFERROR(__xludf.DUMMYFUNCTION("""COMPUTED_VALUE"""),"Ханжи, жлобы, агрессивные")</f>
        <v>Ханжи, жлобы, агрессивные</v>
      </c>
      <c r="X11" s="6" t="str">
        <f>IFERROR(__xludf.DUMMYFUNCTION("""COMPUTED_VALUE"""),"Набережная ")</f>
        <v>Набережная </v>
      </c>
      <c r="Y11" s="6" t="str">
        <f>IFERROR(__xludf.DUMMYFUNCTION("""COMPUTED_VALUE"""),"Пожар в Зимней Вишне ")</f>
        <v>Пожар в Зимней Вишне </v>
      </c>
      <c r="Z11" s="6" t="str">
        <f>IFERROR(__xludf.DUMMYFUNCTION("""COMPUTED_VALUE"""),"Рок-концерт ""Герои мирового рока"" ")</f>
        <v>Рок-концерт "Герои мирового рока" </v>
      </c>
      <c r="AA11" s="6" t="str">
        <f>IFERROR(__xludf.DUMMYFUNCTION("""COMPUTED_VALUE"""),"Рост добычи угля, числа разрезов, ухудшение экологии региона ")</f>
        <v>Рост добычи угля, числа разрезов, ухудшение экологии региона </v>
      </c>
      <c r="AB11" s="6" t="str">
        <f>IFERROR(__xludf.DUMMYFUNCTION("""COMPUTED_VALUE"""),"Адекватных")</f>
        <v>Адекватных</v>
      </c>
      <c r="AC11" s="6" t="str">
        <f>IFERROR(__xludf.DUMMYFUNCTION("""COMPUTED_VALUE"""),"Фестивали, ярмарки ремесла, например ")</f>
        <v>Фестивали, ярмарки ремесла, например </v>
      </c>
      <c r="AD11" s="6" t="str">
        <f>IFERROR(__xludf.DUMMYFUNCTION("""COMPUTED_VALUE"""),"нет")</f>
        <v>нет</v>
      </c>
      <c r="AE11" s="6"/>
      <c r="AF11" s="6" t="str">
        <f>IFERROR(__xludf.DUMMYFUNCTION("""COMPUTED_VALUE"""),"28")</f>
        <v>28</v>
      </c>
      <c r="AG11" s="6"/>
      <c r="AH11" s="6"/>
      <c r="AI11" s="6"/>
      <c r="AJ11" s="6"/>
      <c r="AK11" s="6"/>
      <c r="AL11" s="6"/>
      <c r="AM11" s="6"/>
    </row>
    <row r="12">
      <c r="A12" s="4">
        <v>11.0</v>
      </c>
      <c r="B12" s="6" t="str">
        <f>IFERROR(__xludf.DUMMYFUNCTION("""COMPUTED_VALUE"""),"Студент")</f>
        <v>Студент</v>
      </c>
      <c r="C12" s="6" t="str">
        <f>IFERROR(__xludf.DUMMYFUNCTION("""COMPUTED_VALUE"""),"Бег")</f>
        <v>Бег</v>
      </c>
      <c r="D12" s="6" t="str">
        <f>IFERROR(__xludf.DUMMYFUNCTION("""COMPUTED_VALUE"""),"Ленинском")</f>
        <v>Ленинском</v>
      </c>
      <c r="E12" s="6" t="str">
        <f>IFERROR(__xludf.DUMMYFUNCTION("""COMPUTED_VALUE"""),"Парк ангелов, площадь кузбасских историй ")</f>
        <v>Парк ангелов, площадь кузбасских историй </v>
      </c>
      <c r="F12" s="6" t="str">
        <f>IFERROR(__xludf.DUMMYFUNCTION("""COMPUTED_VALUE"""),"Переехал сюда из другого места")</f>
        <v>Переехал сюда из другого места</v>
      </c>
      <c r="G12" s="6" t="str">
        <f>IFERROR(__xludf.DUMMYFUNCTION("""COMPUTED_VALUE"""),"Бульвар строителей, сосновый бор")</f>
        <v>Бульвар строителей, сосновый бор</v>
      </c>
      <c r="H12" s="6" t="str">
        <f>IFERROR(__xludf.DUMMYFUNCTION("""COMPUTED_VALUE"""),"Бор, снег, горы, река, экология")</f>
        <v>Бор, снег, горы, река, экология</v>
      </c>
      <c r="I12" s="6" t="str">
        <f>IFERROR(__xludf.DUMMYFUNCTION("""COMPUTED_VALUE"""),"-")</f>
        <v>-</v>
      </c>
      <c r="J12" s="6" t="str">
        <f>IFERROR(__xludf.DUMMYFUNCTION("""COMPUTED_VALUE"""),"-")</f>
        <v>-</v>
      </c>
      <c r="K12" s="6" t="str">
        <f>IFERROR(__xludf.DUMMYFUNCTION("""COMPUTED_VALUE"""),"Клумба, площадь кузбасских историй ")</f>
        <v>Клумба, площадь кузбасских историй </v>
      </c>
      <c r="L12" s="6" t="str">
        <f>IFERROR(__xludf.DUMMYFUNCTION("""COMPUTED_VALUE"""),"-")</f>
        <v>-</v>
      </c>
      <c r="M12" s="6" t="str">
        <f>IFERROR(__xludf.DUMMYFUNCTION("""COMPUTED_VALUE"""),"-")</f>
        <v>-</v>
      </c>
      <c r="N12" s="6" t="str">
        <f>IFERROR(__xludf.DUMMYFUNCTION("""COMPUTED_VALUE"""),"Транспорт, парковки, развитая покупательская способность")</f>
        <v>Транспорт, парковки, развитая покупательская способность</v>
      </c>
      <c r="O12" s="6" t="str">
        <f>IFERROR(__xludf.DUMMYFUNCTION("""COMPUTED_VALUE"""),"Дизайн код")</f>
        <v>Дизайн код</v>
      </c>
      <c r="P12" s="6" t="str">
        <f>IFERROR(__xludf.DUMMYFUNCTION("""COMPUTED_VALUE"""),"Яндекс афиша")</f>
        <v>Яндекс афиша</v>
      </c>
      <c r="Q12"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 s="6" t="str">
        <f>IFERROR(__xludf.DUMMYFUNCTION("""COMPUTED_VALUE"""),"День шахтёра, День Победы, День России ")</f>
        <v>День шахтёра, День Победы, День России </v>
      </c>
      <c r="S12" s="6" t="str">
        <f>IFERROR(__xludf.DUMMYFUNCTION("""COMPUTED_VALUE"""),"Через социальные сети, Обращался в редакции электронных городских СМИ")</f>
        <v>Через социальные сети, Обращался в редакции электронных городских СМИ</v>
      </c>
      <c r="T12" s="6" t="str">
        <f>IFERROR(__xludf.DUMMYFUNCTION("""COMPUTED_VALUE"""),"Центр угольной сферы")</f>
        <v>Центр угольной сферы</v>
      </c>
      <c r="U12" s="6" t="str">
        <f>IFERROR(__xludf.DUMMYFUNCTION("""COMPUTED_VALUE"""),"Площадь советов ")</f>
        <v>Площадь советов </v>
      </c>
      <c r="V12" s="6" t="str">
        <f>IFERROR(__xludf.DUMMYFUNCTION("""COMPUTED_VALUE"""),"-")</f>
        <v>-</v>
      </c>
      <c r="W12" s="6" t="str">
        <f>IFERROR(__xludf.DUMMYFUNCTION("""COMPUTED_VALUE"""),"Злость")</f>
        <v>Злость</v>
      </c>
      <c r="X12" s="6" t="str">
        <f>IFERROR(__xludf.DUMMYFUNCTION("""COMPUTED_VALUE"""),"Площадь советов -&gt; лазурный -&gt; Проспект Ленина -&gt; Рукавишниковы -&gt; Кирова -&gt; площадь советов ")</f>
        <v>Площадь советов -&gt; лазурный -&gt; Проспект Ленина -&gt; Рукавишниковы -&gt; Кирова -&gt; площадь советов </v>
      </c>
      <c r="Y12" s="6" t="str">
        <f>IFERROR(__xludf.DUMMYFUNCTION("""COMPUTED_VALUE"""),"-")</f>
        <v>-</v>
      </c>
      <c r="Z12" s="6" t="str">
        <f>IFERROR(__xludf.DUMMYFUNCTION("""COMPUTED_VALUE"""),"Создание площади кузбасских историй 😏")</f>
        <v>Создание площади кузбасских историй 😏</v>
      </c>
      <c r="AA12" s="6" t="str">
        <f>IFERROR(__xludf.DUMMYFUNCTION("""COMPUTED_VALUE"""),"Нет таких")</f>
        <v>Нет таких</v>
      </c>
      <c r="AB12" s="6" t="str">
        <f>IFERROR(__xludf.DUMMYFUNCTION("""COMPUTED_VALUE"""),"Городских ")</f>
        <v>Городских </v>
      </c>
      <c r="AC12" s="6" t="str">
        <f>IFERROR(__xludf.DUMMYFUNCTION("""COMPUTED_VALUE"""),"Книги ")</f>
        <v>Книги </v>
      </c>
      <c r="AD12" s="6" t="str">
        <f>IFERROR(__xludf.DUMMYFUNCTION("""COMPUTED_VALUE"""),"да")</f>
        <v>да</v>
      </c>
      <c r="AE12" s="6"/>
      <c r="AF12" s="6" t="str">
        <f>IFERROR(__xludf.DUMMYFUNCTION("""COMPUTED_VALUE"""),"19")</f>
        <v>19</v>
      </c>
      <c r="AG12" s="6"/>
      <c r="AH12" s="6"/>
      <c r="AI12" s="6"/>
      <c r="AJ12" s="6"/>
      <c r="AK12" s="6"/>
      <c r="AL12" s="6"/>
      <c r="AM12" s="6"/>
    </row>
    <row r="13">
      <c r="A13" s="4">
        <v>12.0</v>
      </c>
      <c r="B13" s="6" t="str">
        <f>IFERROR(__xludf.DUMMYFUNCTION("""COMPUTED_VALUE"""),"Pr")</f>
        <v>Pr</v>
      </c>
      <c r="C13" s="6" t="str">
        <f>IFERROR(__xludf.DUMMYFUNCTION("""COMPUTED_VALUE"""),"Иностранные языки")</f>
        <v>Иностранные языки</v>
      </c>
      <c r="D13" s="6" t="str">
        <f>IFERROR(__xludf.DUMMYFUNCTION("""COMPUTED_VALUE"""),"Лесная Поляна ")</f>
        <v>Лесная Поляна </v>
      </c>
      <c r="E13" s="6" t="str">
        <f>IFERROR(__xludf.DUMMYFUNCTION("""COMPUTED_VALUE"""),"Парк ")</f>
        <v>Парк </v>
      </c>
      <c r="F13" s="6" t="str">
        <f>IFERROR(__xludf.DUMMYFUNCTION("""COMPUTED_VALUE"""),"Живу здесь с рождения")</f>
        <v>Живу здесь с рождения</v>
      </c>
      <c r="G13" s="6" t="str">
        <f>IFERROR(__xludf.DUMMYFUNCTION("""COMPUTED_VALUE"""),"Лесная поляна")</f>
        <v>Лесная поляна</v>
      </c>
      <c r="H13" s="6" t="str">
        <f>IFERROR(__xludf.DUMMYFUNCTION("""COMPUTED_VALUE"""),"Упорядоченность, миниатюрность, аккуратность, серость, мрачность ")</f>
        <v>Упорядоченность, миниатюрность, аккуратность, серость, мрачность </v>
      </c>
      <c r="I13" s="6" t="str">
        <f>IFERROR(__xludf.DUMMYFUNCTION("""COMPUTED_VALUE"""),"Нет ответа")</f>
        <v>Нет ответа</v>
      </c>
      <c r="J13" s="6" t="str">
        <f>IFERROR(__xludf.DUMMYFUNCTION("""COMPUTED_VALUE"""),"Нет ответа")</f>
        <v>Нет ответа</v>
      </c>
      <c r="K13" s="6" t="str">
        <f>IFERROR(__xludf.DUMMYFUNCTION("""COMPUTED_VALUE"""),"Красная горка")</f>
        <v>Красная горка</v>
      </c>
      <c r="L13" s="6" t="str">
        <f>IFERROR(__xludf.DUMMYFUNCTION("""COMPUTED_VALUE"""),"Нет")</f>
        <v>Нет</v>
      </c>
      <c r="M13" s="6" t="str">
        <f>IFERROR(__xludf.DUMMYFUNCTION("""COMPUTED_VALUE"""),"Нет")</f>
        <v>Нет</v>
      </c>
      <c r="N13" s="6" t="str">
        <f>IFERROR(__xludf.DUMMYFUNCTION("""COMPUTED_VALUE"""),"Развитость транспортной инфраструктуры, наличие парков и скверов для посещения в свободное время,  наличие культурных заведений, чистота на улицах города, магазины ")</f>
        <v>Развитость транспортной инфраструктуры, наличие парков и скверов для посещения в свободное время,  наличие культурных заведений, чистота на улицах города, магазины </v>
      </c>
      <c r="O13" s="6" t="str">
        <f>IFERROR(__xludf.DUMMYFUNCTION("""COMPUTED_VALUE"""),"Развивать культурный сектор ")</f>
        <v>Развивать культурный сектор </v>
      </c>
      <c r="P13" s="6" t="str">
        <f>IFERROR(__xludf.DUMMYFUNCTION("""COMPUTED_VALUE"""),"А42, Vse42 ")</f>
        <v>А42, Vse42 </v>
      </c>
      <c r="Q13" s="6" t="str">
        <f>IFERROR(__xludf.DUMMYFUNCTION("""COMPUTED_VALUE"""),"куда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v>
      </c>
      <c r="R13" s="6" t="str">
        <f>IFERROR(__xludf.DUMMYFUNCTION("""COMPUTED_VALUE"""),"Нет ответа ")</f>
        <v>Нет ответа </v>
      </c>
      <c r="S13" s="6" t="str">
        <f>IFERROR(__xludf.DUMMYFUNCTION("""COMPUTED_VALUE"""),"Нет, не приходилось")</f>
        <v>Нет, не приходилось</v>
      </c>
      <c r="T13" s="6" t="str">
        <f>IFERROR(__xludf.DUMMYFUNCTION("""COMPUTED_VALUE"""),"Угольной промышленностью")</f>
        <v>Угольной промышленностью</v>
      </c>
      <c r="U13" s="6" t="str">
        <f>IFERROR(__xludf.DUMMYFUNCTION("""COMPUTED_VALUE"""),"Нулевой километр, набережная ")</f>
        <v>Нулевой километр, набережная </v>
      </c>
      <c r="V13" s="6" t="str">
        <f>IFERROR(__xludf.DUMMYFUNCTION("""COMPUTED_VALUE"""),"Нет ответа ")</f>
        <v>Нет ответа </v>
      </c>
      <c r="W13" s="6" t="str">
        <f>IFERROR(__xludf.DUMMYFUNCTION("""COMPUTED_VALUE"""),"Мрачность ")</f>
        <v>Мрачность </v>
      </c>
      <c r="X13" s="6" t="str">
        <f>IFERROR(__xludf.DUMMYFUNCTION("""COMPUTED_VALUE"""),"Центр города ")</f>
        <v>Центр города </v>
      </c>
      <c r="Y13" s="6" t="str">
        <f>IFERROR(__xludf.DUMMYFUNCTION("""COMPUTED_VALUE"""),"Открытие угольного месторождения ")</f>
        <v>Открытие угольного месторождения </v>
      </c>
      <c r="Z13" s="6" t="str">
        <f>IFERROR(__xludf.DUMMYFUNCTION("""COMPUTED_VALUE"""),"Нет таких ")</f>
        <v>Нет таких </v>
      </c>
      <c r="AA13" s="6" t="str">
        <f>IFERROR(__xludf.DUMMYFUNCTION("""COMPUTED_VALUE"""),"Нет таких ")</f>
        <v>Нет таких </v>
      </c>
      <c r="AB13" s="6" t="str">
        <f>IFERROR(__xludf.DUMMYFUNCTION("""COMPUTED_VALUE"""),"Нет ответа ")</f>
        <v>Нет ответа </v>
      </c>
      <c r="AC13" s="6" t="str">
        <f>IFERROR(__xludf.DUMMYFUNCTION("""COMPUTED_VALUE"""),"Нет ответа ")</f>
        <v>Нет ответа </v>
      </c>
      <c r="AD13" s="6" t="str">
        <f>IFERROR(__xludf.DUMMYFUNCTION("""COMPUTED_VALUE"""),"да")</f>
        <v>да</v>
      </c>
      <c r="AE13" s="6"/>
      <c r="AF13" s="6" t="str">
        <f>IFERROR(__xludf.DUMMYFUNCTION("""COMPUTED_VALUE"""),"38")</f>
        <v>38</v>
      </c>
      <c r="AG13" s="6"/>
      <c r="AH13" s="6"/>
      <c r="AI13" s="6"/>
      <c r="AJ13" s="6"/>
      <c r="AK13" s="6"/>
      <c r="AL13" s="6"/>
      <c r="AM13" s="6"/>
    </row>
    <row r="14">
      <c r="A14" s="4">
        <v>13.0</v>
      </c>
      <c r="B14" s="6" t="str">
        <f>IFERROR(__xludf.DUMMYFUNCTION("""COMPUTED_VALUE"""),"Специалист отдела маркетинга ")</f>
        <v>Специалист отдела маркетинга </v>
      </c>
      <c r="C14" s="6" t="str">
        <f>IFERROR(__xludf.DUMMYFUNCTION("""COMPUTED_VALUE"""),"Рисование, дизайн ")</f>
        <v>Рисование, дизайн </v>
      </c>
      <c r="D14" s="6" t="str">
        <f>IFERROR(__xludf.DUMMYFUNCTION("""COMPUTED_VALUE"""),"Лесная поляна. Поляна.")</f>
        <v>Лесная поляна. Поляна.</v>
      </c>
      <c r="E14" s="6" t="str">
        <f>IFERROR(__xludf.DUMMYFUNCTION("""COMPUTED_VALUE"""),"Ботанический сад, парк за магазином, аллея с Биг-Беном")</f>
        <v>Ботанический сад, парк за магазином, аллея с Биг-Беном</v>
      </c>
      <c r="F14" s="6" t="str">
        <f>IFERROR(__xludf.DUMMYFUNCTION("""COMPUTED_VALUE"""),"Переехал сюда из другого места, Решение о переезде приняли родители")</f>
        <v>Переехал сюда из другого места, Решение о переезде приняли родители</v>
      </c>
      <c r="G14" s="6" t="str">
        <f>IFERROR(__xludf.DUMMYFUNCTION("""COMPUTED_VALUE"""),"Старый центр города, сосновый бор")</f>
        <v>Старый центр города, сосновый бор</v>
      </c>
      <c r="H14" s="6" t="str">
        <f>IFERROR(__xludf.DUMMYFUNCTION("""COMPUTED_VALUE"""),"Маленький, аккуратный, тихий, удушливый, серый")</f>
        <v>Маленький, аккуратный, тихий, удушливый, серый</v>
      </c>
      <c r="I14" s="6" t="str">
        <f>IFERROR(__xludf.DUMMYFUNCTION("""COMPUTED_VALUE"""),"Алексей Леонов")</f>
        <v>Алексей Леонов</v>
      </c>
      <c r="J14" s="6" t="str">
        <f>IFERROR(__xludf.DUMMYFUNCTION("""COMPUTED_VALUE"""),"Евгений Гришковец")</f>
        <v>Евгений Гришковец</v>
      </c>
      <c r="K14" s="6" t="str">
        <f>IFERROR(__xludf.DUMMYFUNCTION("""COMPUTED_VALUE"""),"Красная горка: памятник шахтёру, голландская школа, ботанический сад, парки")</f>
        <v>Красная горка: памятник шахтёру, голландская школа, ботанический сад, парки</v>
      </c>
      <c r="L14" s="6" t="str">
        <f>IFERROR(__xludf.DUMMYFUNCTION("""COMPUTED_VALUE"""),"Нет")</f>
        <v>Нет</v>
      </c>
      <c r="M14" s="6" t="str">
        <f>IFERROR(__xludf.DUMMYFUNCTION("""COMPUTED_VALUE"""),"Нет")</f>
        <v>Нет</v>
      </c>
      <c r="N14" s="6" t="str">
        <f>IFERROR(__xludf.DUMMYFUNCTION("""COMPUTED_VALUE"""),"Короткие расстояния, не сильная загруженность трафика, чистый воздух в моём районе, доступность лесных зон, река Томь для летнего отдыха")</f>
        <v>Короткие расстояния, не сильная загруженность трафика, чистый воздух в моём районе, доступность лесных зон, река Томь для летнего отдыха</v>
      </c>
      <c r="O14" s="6" t="str">
        <f>IFERROR(__xludf.DUMMYFUNCTION("""COMPUTED_VALUE"""),"Модернизация набережной, развитие культурной жизни: выставки, театры, концертные программы, качество ночной развлекательной жизни города, популярные брендовые магазины одежды ")</f>
        <v>Модернизация набережной, развитие культурной жизни: выставки, театры, концертные программы, качество ночной развлекательной жизни города, популярные брендовые магазины одежды </v>
      </c>
      <c r="P14" s="6" t="str">
        <f>IFERROR(__xludf.DUMMYFUNCTION("""COMPUTED_VALUE"""),"А42, Сибдепо, Инцидент Кузбасс")</f>
        <v>А42, Сибдепо, Инцидент Кузбасс</v>
      </c>
      <c r="Q14"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4" s="6" t="str">
        <f>IFERROR(__xludf.DUMMYFUNCTION("""COMPUTED_VALUE"""),"День Шахтёра, День города")</f>
        <v>День Шахтёра, День города</v>
      </c>
      <c r="S14" s="6" t="str">
        <f>IFERROR(__xludf.DUMMYFUNCTION("""COMPUTED_VALUE"""),"Через социальные сети, Обращался в редакции электронных городских СМИ, Обращался в редакции городских газет, телевидения, радио")</f>
        <v>Через социальные сети, Обращался в редакции электронных городских СМИ, Обращался в редакции городских газет, телевидения, радио</v>
      </c>
      <c r="T14" s="6" t="str">
        <f>IFERROR(__xludf.DUMMYFUNCTION("""COMPUTED_VALUE"""),"Город больше известен трагическим событием, на месте которого основали Парк Ангелов, на него тоже можно посмотреть туристам. История угледобычи ")</f>
        <v>Город больше известен трагическим событием, на месте которого основали Парк Ангелов, на него тоже можно посмотреть туристам. История угледобычи </v>
      </c>
      <c r="U14" s="6" t="str">
        <f>IFERROR(__xludf.DUMMYFUNCTION("""COMPUTED_VALUE"""),"Площадь Советов")</f>
        <v>Площадь Советов</v>
      </c>
      <c r="V14" s="6" t="str">
        <f>IFERROR(__xludf.DUMMYFUNCTION("""COMPUTED_VALUE"""),"Угледобыча, работа предприятий в период ВОВ")</f>
        <v>Угледобыча, работа предприятий в период ВОВ</v>
      </c>
      <c r="W14" s="6" t="str">
        <f>IFERROR(__xludf.DUMMYFUNCTION("""COMPUTED_VALUE"""),"Качеств свойственных именно кемеровчанам выделить не могу")</f>
        <v>Качеств свойственных именно кемеровчанам выделить не могу</v>
      </c>
      <c r="X14" s="6" t="str">
        <f>IFERROR(__xludf.DUMMYFUNCTION("""COMPUTED_VALUE"""),"Старый центр, сосновый бор, Лесная поляна")</f>
        <v>Старый центр, сосновый бор, Лесная поляна</v>
      </c>
      <c r="Y14" s="6" t="str">
        <f>IFERROR(__xludf.DUMMYFUNCTION("""COMPUTED_VALUE"""),"Пожар в Зимней вишне")</f>
        <v>Пожар в Зимней вишне</v>
      </c>
      <c r="Z14" s="6" t="str">
        <f>IFERROR(__xludf.DUMMYFUNCTION("""COMPUTED_VALUE"""),"Строительство культурных объектов ")</f>
        <v>Строительство культурных объектов </v>
      </c>
      <c r="AA14" s="6" t="str">
        <f>IFERROR(__xludf.DUMMYFUNCTION("""COMPUTED_VALUE"""),"Пожар в Зимней вишне, жестокое убийство Веры Пехтелевой, возрастающий долг региона, закрытие предприятий")</f>
        <v>Пожар в Зимней вишне, жестокое убийство Веры Пехтелевой, возрастающий долг региона, закрытие предприятий</v>
      </c>
      <c r="AB14" s="6" t="str">
        <f>IFERROR(__xludf.DUMMYFUNCTION("""COMPUTED_VALUE"""),"Сообщества по интересам для пожилых людей, многие просто сидят дома у телевизора ")</f>
        <v>Сообщества по интересам для пожилых людей, многие просто сидят дома у телевизора </v>
      </c>
      <c r="AC14" s="6" t="str">
        <f>IFERROR(__xludf.DUMMYFUNCTION("""COMPUTED_VALUE"""),"Выставки, перформансы, развлечения для подростков ")</f>
        <v>Выставки, перформансы, развлечения для подростков </v>
      </c>
      <c r="AD14" s="6" t="str">
        <f>IFERROR(__xludf.DUMMYFUNCTION("""COMPUTED_VALUE"""),"да")</f>
        <v>да</v>
      </c>
      <c r="AE14" s="6"/>
      <c r="AF14" s="6" t="str">
        <f>IFERROR(__xludf.DUMMYFUNCTION("""COMPUTED_VALUE"""),"27")</f>
        <v>27</v>
      </c>
      <c r="AG14" s="6"/>
      <c r="AH14" s="6"/>
      <c r="AI14" s="6"/>
      <c r="AJ14" s="6"/>
      <c r="AK14" s="6"/>
      <c r="AL14" s="6"/>
      <c r="AM14" s="6"/>
    </row>
    <row r="15">
      <c r="A15" s="4">
        <v>14.0</v>
      </c>
      <c r="B15" s="6" t="str">
        <f>IFERROR(__xludf.DUMMYFUNCTION("""COMPUTED_VALUE"""),"дизайнер")</f>
        <v>дизайнер</v>
      </c>
      <c r="C15" s="6" t="str">
        <f>IFERROR(__xludf.DUMMYFUNCTION("""COMPUTED_VALUE"""),"фотография")</f>
        <v>фотография</v>
      </c>
      <c r="D15" s="6" t="str">
        <f>IFERROR(__xludf.DUMMYFUNCTION("""COMPUTED_VALUE"""),"Заводской")</f>
        <v>Заводской</v>
      </c>
      <c r="E15" s="6" t="str">
        <f>IFERROR(__xludf.DUMMYFUNCTION("""COMPUTED_VALUE"""),"вокзал и заводы")</f>
        <v>вокзал и заводы</v>
      </c>
      <c r="F15" s="6" t="str">
        <f>IFERROR(__xludf.DUMMYFUNCTION("""COMPUTED_VALUE"""),"Не живу,но приезжаю сюда (к родственникам/друзьям), родился не здесь, но большую часть жизни прожил в Кемерово")</f>
        <v>Не живу,но приезжаю сюда (к родственникам/друзьям), родился не здесь, но большую часть жизни прожил в Кемерово</v>
      </c>
      <c r="G15" s="6" t="str">
        <f>IFERROR(__xludf.DUMMYFUNCTION("""COMPUTED_VALUE"""),"в основном, центр; Сосновый бор")</f>
        <v>в основном, центр; Сосновый бор</v>
      </c>
      <c r="H15" s="6" t="str">
        <f>IFERROR(__xludf.DUMMYFUNCTION("""COMPUTED_VALUE"""),"уголь, промышленность, сибирский лес, молодость, дом")</f>
        <v>уголь, промышленность, сибирский лес, молодость, дом</v>
      </c>
      <c r="I15" s="6" t="str">
        <f>IFERROR(__xludf.DUMMYFUNCTION("""COMPUTED_VALUE"""),"Михайло Волков, Даниэль Готлиб Мессершмидт, Моисеенко Леонид Касьянович")</f>
        <v>Михайло Волков, Даниэль Готлиб Мессершмидт, Моисеенко Леонид Касьянович</v>
      </c>
      <c r="J15" s="6" t="str">
        <f>IFERROR(__xludf.DUMMYFUNCTION("""COMPUTED_VALUE"""),"Евгений Гришковец")</f>
        <v>Евгений Гришковец</v>
      </c>
      <c r="K15" s="6" t="str">
        <f>IFERROR(__xludf.DUMMYFUNCTION("""COMPUTED_VALUE"""),"центр грода, Томская писаница, Красная горка")</f>
        <v>центр грода, Томская писаница, Красная горка</v>
      </c>
      <c r="L15" s="6" t="str">
        <f>IFERROR(__xludf.DUMMYFUNCTION("""COMPUTED_VALUE"""),"цитаты из ""Человек из Кемерова"" Гребенщикова")</f>
        <v>цитаты из "Человек из Кемерова" Гребенщикова</v>
      </c>
      <c r="M15" s="6" t="str">
        <f>IFERROR(__xludf.DUMMYFUNCTION("""COMPUTED_VALUE"""),"Нет. Черное мороженное с кусочками угля мб... )")</f>
        <v>Нет. Черное мороженное с кусочками угля мб... )</v>
      </c>
      <c r="N15" s="6" t="str">
        <f>IFERROR(__xludf.DUMMYFUNCTION("""COMPUTED_VALUE"""),"экология (чистый воздух), аутентичная архитектура, современные места для отдыха (парки), культурные пространства, инфраструктура (велодорожки и современный городской электротранспорт)")</f>
        <v>экология (чистый воздух), аутентичная архитектура, современные места для отдыха (парки), культурные пространства, инфраструктура (велодорожки и современный городской электротранспорт)</v>
      </c>
      <c r="O15" s="6" t="str">
        <f>IFERROR(__xludf.DUMMYFUNCTION("""COMPUTED_VALUE"""),"сохранить архитектуру центра города: запретить использование изначально не предусмотренных материалов (пластика, вентфасадов) при реконструкции исторических зданий, высотный регламент и т.д.")</f>
        <v>сохранить архитектуру центра города: запретить использование изначально не предусмотренных материалов (пластика, вентфасадов) при реконструкции исторических зданий, высотный регламент и т.д.</v>
      </c>
      <c r="P15" s="6" t="str">
        <f>IFERROR(__xludf.DUMMYFUNCTION("""COMPUTED_VALUE"""),"от родственников и друзей. вконтакте")</f>
        <v>от родственников и друзей. вконтакте</v>
      </c>
      <c r="Q1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5" s="6" t="str">
        <f>IFERROR(__xludf.DUMMYFUNCTION("""COMPUTED_VALUE"""),"Для меня лично – никакие. День шахтера")</f>
        <v>Для меня лично – никакие. День шахтера</v>
      </c>
      <c r="S15" s="6" t="str">
        <f>IFERROR(__xludf.DUMMYFUNCTION("""COMPUTED_VALUE"""),"Нет, не приходилось")</f>
        <v>Нет, не приходилось</v>
      </c>
      <c r="T15" s="6" t="str">
        <f>IFERROR(__xludf.DUMMYFUNCTION("""COMPUTED_VALUE"""),"Природа и петроглифы Томской писаницы; история, связанная с углем; достаточно единый архитектурный ансамбль центра")</f>
        <v>Природа и петроглифы Томской писаницы; история, связанная с углем; достаточно единый архитектурный ансамбль центра</v>
      </c>
      <c r="U15" s="6" t="str">
        <f>IFERROR(__xludf.DUMMYFUNCTION("""COMPUTED_VALUE"""),"площадь Советов")</f>
        <v>площадь Советов</v>
      </c>
      <c r="V15" s="6" t="str">
        <f>IFERROR(__xludf.DUMMYFUNCTION("""COMPUTED_VALUE"""),"Сложный вопрос. Много трудились в сложных условиях...")</f>
        <v>Сложный вопрос. Много трудились в сложных условиях...</v>
      </c>
      <c r="W15" s="6" t="str">
        <f>IFERROR(__xludf.DUMMYFUNCTION("""COMPUTED_VALUE"""),"прямота, отзывчивость, надежность")</f>
        <v>прямота, отзывчивость, надежность</v>
      </c>
      <c r="X15" s="6" t="str">
        <f>IFERROR(__xludf.DUMMYFUNCTION("""COMPUTED_VALUE"""),"Центр. Он маленький, можно почти все показать.")</f>
        <v>Центр. Он маленький, можно почти все показать.</v>
      </c>
      <c r="Y15" s="6" t="str">
        <f>IFERROR(__xludf.DUMMYFUNCTION("""COMPUTED_VALUE"""),"Зимняя вишня, к сожалению, приходит в первую очередь. ")</f>
        <v>Зимняя вишня, к сожалению, приходит в первую очередь. </v>
      </c>
      <c r="Z15" s="6" t="str">
        <f>IFERROR(__xludf.DUMMYFUNCTION("""COMPUTED_VALUE"""),"Рок-фестиваль в 2019")</f>
        <v>Рок-фестиваль в 2019</v>
      </c>
      <c r="AA15" s="6" t="str">
        <f>IFERROR(__xludf.DUMMYFUNCTION("""COMPUTED_VALUE"""),"демонтаж советских витражей")</f>
        <v>демонтаж советских витражей</v>
      </c>
      <c r="AB15" s="6" t="str">
        <f>IFERROR(__xludf.DUMMYFUNCTION("""COMPUTED_VALUE"""),"не знаю, японского нойза и голландских плакатов, например – шутка)")</f>
        <v>не знаю, японского нойза и голландских плакатов, например – шутка)</v>
      </c>
      <c r="AC15" s="6" t="str">
        <f>IFERROR(__xludf.DUMMYFUNCTION("""COMPUTED_VALUE"""),"возможно, какие-то уличные выставки или места для современного искусства")</f>
        <v>возможно, какие-то уличные выставки или места для современного искусства</v>
      </c>
      <c r="AD15" s="6" t="str">
        <f>IFERROR(__xludf.DUMMYFUNCTION("""COMPUTED_VALUE"""),"да")</f>
        <v>да</v>
      </c>
      <c r="AE15" s="6"/>
      <c r="AF15" s="6" t="str">
        <f>IFERROR(__xludf.DUMMYFUNCTION("""COMPUTED_VALUE"""),"35")</f>
        <v>35</v>
      </c>
      <c r="AG15" s="6"/>
      <c r="AH15" s="6"/>
      <c r="AI15" s="6"/>
      <c r="AJ15" s="6"/>
      <c r="AK15" s="6"/>
      <c r="AL15" s="6"/>
      <c r="AM15" s="6"/>
    </row>
    <row r="16">
      <c r="A16" s="4">
        <v>15.0</v>
      </c>
      <c r="B16" s="6" t="str">
        <f>IFERROR(__xludf.DUMMYFUNCTION("""COMPUTED_VALUE"""),"Ппограммирование")</f>
        <v>Ппограммирование</v>
      </c>
      <c r="C16" s="6" t="str">
        <f>IFERROR(__xludf.DUMMYFUNCTION("""COMPUTED_VALUE"""),"Звукоредиссура")</f>
        <v>Звукоредиссура</v>
      </c>
      <c r="D16" s="6" t="str">
        <f>IFERROR(__xludf.DUMMYFUNCTION("""COMPUTED_VALUE"""),"Центр")</f>
        <v>Центр</v>
      </c>
      <c r="E16" s="6" t="str">
        <f>IFERROR(__xludf.DUMMYFUNCTION("""COMPUTED_VALUE"""),"Драмтеатр, набережная, площадь советов часовня филармония бассейн оперетта парк чудес парк Жукова парк антошка")</f>
        <v>Драмтеатр, набережная, площадь советов часовня филармония бассейн оперетта парк чудес парк Жукова парк антошка</v>
      </c>
      <c r="F16" s="6" t="str">
        <f>IFERROR(__xludf.DUMMYFUNCTION("""COMPUTED_VALUE"""),"Живу здесь с рождения")</f>
        <v>Живу здесь с рождения</v>
      </c>
      <c r="G16" s="6" t="str">
        <f>IFERROR(__xludf.DUMMYFUNCTION("""COMPUTED_VALUE"""),"Сосновый бор парк чудес")</f>
        <v>Сосновый бор парк чудес</v>
      </c>
      <c r="H16" s="6" t="str">
        <f>IFERROR(__xludf.DUMMYFUNCTION("""COMPUTED_VALUE"""),"Уголь, дым, завод асфальт иллюминация")</f>
        <v>Уголь, дым, завод асфальт иллюминация</v>
      </c>
      <c r="I16" s="6" t="str">
        <f>IFERROR(__xludf.DUMMYFUNCTION("""COMPUTED_VALUE"""),"Гришковец Михайлов Тулеев Раздаев")</f>
        <v>Гришковец Михайлов Тулеев Раздаев</v>
      </c>
      <c r="J16" s="6" t="str">
        <f>IFERROR(__xludf.DUMMYFUNCTION("""COMPUTED_VALUE"""),"Затрудняюсь ответить")</f>
        <v>Затрудняюсь ответить</v>
      </c>
      <c r="K16" s="6" t="str">
        <f>IFERROR(__xludf.DUMMYFUNCTION("""COMPUTED_VALUE"""),"Вид с ""креста"" в бору, люскус летом, вид с крыши гостиницы кристалл, парк ангелов")</f>
        <v>Вид с "креста" в бору, люскус летом, вид с крыши гостиницы кристалл, парк ангелов</v>
      </c>
      <c r="L16" s="6" t="str">
        <f>IFERROR(__xludf.DUMMYFUNCTION("""COMPUTED_VALUE"""),"Да в общем то нет")</f>
        <v>Да в общем то нет</v>
      </c>
      <c r="M16" s="6" t="str">
        <f>IFERROR(__xludf.DUMMYFUNCTION("""COMPUTED_VALUE"""),"Лишь сленговые названия разных мест в городе....ничего что имело бы ценность за его пределами")</f>
        <v>Лишь сленговые названия разных мест в городе....ничего что имело бы ценность за его пределами</v>
      </c>
      <c r="N16" s="6" t="str">
        <f>IFERROR(__xludf.DUMMYFUNCTION("""COMPUTED_VALUE"""),"Магазины, парикмахерская, аптека и т.д. Должны быть в шаговой доступности в любом районе города, качественные детские площадки в каждом дворе, чистый воздух, хорошие дороги, открытость и близость местных органов власти, мэра, их открытость к диалогу с гоп"&amp;"ожанами ")</f>
        <v>Магазины, парикмахерская, аптека и т.д. Должны быть в шаговой доступности в любом районе города, качественные детские площадки в каждом дворе, чистый воздух, хорошие дороги, открытость и близость местных органов власти, мэра, их открытость к диалогу с гопожанами </v>
      </c>
      <c r="O16" s="6" t="str">
        <f>IFERROR(__xludf.DUMMYFUNCTION("""COMPUTED_VALUE"""),"Экологию, работу управляющих компаний, особенно зимой, организовать детские площадки во дворах (такие чтоб ребенок там не погиб и чтоб собачьего дерьма было хоть чуточку меньше)")</f>
        <v>Экологию, работу управляющих компаний, особенно зимой, организовать детские площадки во дворах (такие чтоб ребенок там не погиб и чтоб собачьего дерьма было хоть чуточку меньше)</v>
      </c>
      <c r="P16" s="6" t="str">
        <f>IFERROR(__xludf.DUMMYFUNCTION("""COMPUTED_VALUE"""),"Vk, insta, от друзей")</f>
        <v>Vk, insta, от друзей</v>
      </c>
      <c r="Q16" s="6" t="str">
        <f>IFERROR(__xludf.DUMMYFUNCTION("""COMPUTED_VALUE"""),"культурные новинки (что почитать/что послушать), интервью с местными политиками,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f>
        <v>культурные новинки (что почитать/что послушать), интервью с местными политиками,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16" s="6" t="str">
        <f>IFERROR(__xludf.DUMMYFUNCTION("""COMPUTED_VALUE"""),"Я не очень люблю городские праздники..слишком шумно, людно,пьяно")</f>
        <v>Я не очень люблю городские праздники..слишком шумно, людно,пьяно</v>
      </c>
      <c r="S16" s="6" t="str">
        <f>IFERROR(__xludf.DUMMYFUNCTION("""COMPUTED_VALUE"""),"Писал и расклеивал объявления/афиши, Через социальные сети, Обращался в редакции городских газет, телевидения, радио")</f>
        <v>Писал и расклеивал объявления/афиши, Через социальные сети, Обращался в редакции городских газет, телевидения, радио</v>
      </c>
      <c r="T16" s="6" t="str">
        <f>IFERROR(__xludf.DUMMYFUNCTION("""COMPUTED_VALUE"""),"Елка за 18 миллионов, уголь, Тулеев,  зимняя вишня, Вадим такменев, Гришковец,  самый большой в мире стадион для бенди, волейбольный кузбасс")</f>
        <v>Елка за 18 миллионов, уголь, Тулеев,  зимняя вишня, Вадим такменев, Гришковец,  самый большой в мире стадион для бенди, волейбольный кузбасс</v>
      </c>
      <c r="U16" s="6" t="str">
        <f>IFERROR(__xludf.DUMMYFUNCTION("""COMPUTED_VALUE"""),"Площадь советов, советский проспект, весення улица ну и бульвар строителей ")</f>
        <v>Площадь советов, советский проспект, весення улица ну и бульвар строителей </v>
      </c>
      <c r="V16" s="6" t="str">
        <f>IFERROR(__xludf.DUMMYFUNCTION("""COMPUTED_VALUE"""),"Я не склонен гордиться достижениями предыдущих поколений - подменяет стремление что то создавать в настоящем")</f>
        <v>Я не склонен гордиться достижениями предыдущих поколений - подменяет стремление что то создавать в настоящем</v>
      </c>
      <c r="W16" s="6" t="str">
        <f>IFERROR(__xludf.DUMMYFUNCTION("""COMPUTED_VALUE"""),"Жесткие, но добролюбивые, довольно воспитанные, достаточно радостные, учитывая все трудности")</f>
        <v>Жесткие, но добролюбивые, довольно воспитанные, достаточно радостные, учитывая все трудности</v>
      </c>
      <c r="X16" s="6" t="str">
        <f>IFERROR(__xludf.DUMMYFUNCTION("""COMPUTED_VALUE"""),"Площадь Кирова - парк чудес - набережная - филармония - парк Жукова - по красноармейской до весенней - драм театр - вечный о7онь")</f>
        <v>Площадь Кирова - парк чудес - набережная - филармония - парк Жукова - по красноармейской до весенней - драм театр - вечный о7онь</v>
      </c>
      <c r="Y16" s="6" t="str">
        <f>IFERROR(__xludf.DUMMYFUNCTION("""COMPUTED_VALUE"""),"Зимняя вишня, чемпионат мира по хоккею с мячом")</f>
        <v>Зимняя вишня, чемпионат мира по хоккею с мячом</v>
      </c>
      <c r="Z16" s="6" t="str">
        <f>IFERROR(__xludf.DUMMYFUNCTION("""COMPUTED_VALUE"""),"Легенды мирового рока")</f>
        <v>Легенды мирового рока</v>
      </c>
      <c r="AA16" s="6" t="str">
        <f>IFERROR(__xludf.DUMMYFUNCTION("""COMPUTED_VALUE"""),"Ща последние два года ничего такого супер негативного... Разве что участившиеся режимы черного неба")</f>
        <v>Ща последние два года ничего такого супер негативного... Разве что участившиеся режимы черного неба</v>
      </c>
      <c r="AB16" s="6" t="str">
        <f>IFERROR(__xludf.DUMMYFUNCTION("""COMPUTED_VALUE"""),"Я думаю люди саморганизовываюися по интересам и в целом каждый может либо найти подходящее сообщество либо создать его.. Не хватает культурных событий")</f>
        <v>Я думаю люди саморганизовываюися по интересам и в целом каждый может либо найти подходящее сообщество либо создать его.. Не хватает культурных событий</v>
      </c>
      <c r="AC16" s="6" t="str">
        <f>IFERROR(__xludf.DUMMYFUNCTION("""COMPUTED_VALUE"""),"Концерты, кино, театры, факиры и шпагоглотатели на улицах - любой доступный досуг, который составит альтернативу разливному пиву")</f>
        <v>Концерты, кино, театры, факиры и шпагоглотатели на улицах - любой доступный досуг, который составит альтернативу разливному пиву</v>
      </c>
      <c r="AD16" s="6" t="str">
        <f>IFERROR(__xludf.DUMMYFUNCTION("""COMPUTED_VALUE"""),"да")</f>
        <v>да</v>
      </c>
      <c r="AE16" s="6"/>
      <c r="AF16" s="6" t="str">
        <f>IFERROR(__xludf.DUMMYFUNCTION("""COMPUTED_VALUE"""),"30")</f>
        <v>30</v>
      </c>
      <c r="AG16" s="6"/>
      <c r="AH16" s="6"/>
      <c r="AI16" s="6"/>
      <c r="AJ16" s="6"/>
      <c r="AK16" s="6"/>
      <c r="AL16" s="6"/>
      <c r="AM16" s="6"/>
    </row>
    <row r="17">
      <c r="A17" s="4">
        <v>16.0</v>
      </c>
      <c r="B17" s="6" t="str">
        <f>IFERROR(__xludf.DUMMYFUNCTION("""COMPUTED_VALUE"""),"преподаватель вуза")</f>
        <v>преподаватель вуза</v>
      </c>
      <c r="C17" s="6" t="str">
        <f>IFERROR(__xludf.DUMMYFUNCTION("""COMPUTED_VALUE"""),"футбол")</f>
        <v>футбол</v>
      </c>
      <c r="D17" s="6" t="str">
        <f>IFERROR(__xludf.DUMMYFUNCTION("""COMPUTED_VALUE"""),"Рудничный")</f>
        <v>Рудничный</v>
      </c>
      <c r="E17" s="6" t="str">
        <f>IFERROR(__xludf.DUMMYFUNCTION("""COMPUTED_VALUE"""),"Красная Горка,  ДК Шахтеров, МЖК")</f>
        <v>Красная Горка,  ДК Шахтеров, МЖК</v>
      </c>
      <c r="F17" s="6" t="str">
        <f>IFERROR(__xludf.DUMMYFUNCTION("""COMPUTED_VALUE"""),"Живу здесь с рождения")</f>
        <v>Живу здесь с рождения</v>
      </c>
      <c r="G17" s="6" t="str">
        <f>IFERROR(__xludf.DUMMYFUNCTION("""COMPUTED_VALUE"""),"нет времени")</f>
        <v>нет времени</v>
      </c>
      <c r="H17" s="6" t="str">
        <f>IFERROR(__xludf.DUMMYFUNCTION("""COMPUTED_VALUE"""),"Родной, любимый, труженик, рудник, Михайло Волков")</f>
        <v>Родной, любимый, труженик, рудник, Михайло Волков</v>
      </c>
      <c r="I17" s="6" t="str">
        <f>IFERROR(__xludf.DUMMYFUNCTION("""COMPUTED_VALUE"""),"Подгорбунский, А. Леонов, В. Раздаев,  ")</f>
        <v>Подгорбунский, А. Леонов, В. Раздаев,  </v>
      </c>
      <c r="J17" s="6" t="str">
        <f>IFERROR(__xludf.DUMMYFUNCTION("""COMPUTED_VALUE"""),"В Михайлов")</f>
        <v>В Михайлов</v>
      </c>
      <c r="K17" s="6" t="str">
        <f>IFERROR(__xludf.DUMMYFUNCTION("""COMPUTED_VALUE"""),"Набережная Искитимки, музей Красная горка")</f>
        <v>Набережная Искитимки, музей Красная горка</v>
      </c>
      <c r="L17" s="6" t="str">
        <f>IFERROR(__xludf.DUMMYFUNCTION("""COMPUTED_VALUE"""),"нет ответа")</f>
        <v>нет ответа</v>
      </c>
      <c r="M17" s="6" t="str">
        <f>IFERROR(__xludf.DUMMYFUNCTION("""COMPUTED_VALUE"""),"нет")</f>
        <v>нет</v>
      </c>
      <c r="N17" s="6" t="str">
        <f>IFERROR(__xludf.DUMMYFUNCTION("""COMPUTED_VALUE"""),"хорошие дороги, наличие парков, отсутствие бомжей, ")</f>
        <v>хорошие дороги, наличие парков, отсутствие бомжей, </v>
      </c>
      <c r="O17" s="6" t="str">
        <f>IFERROR(__xludf.DUMMYFUNCTION("""COMPUTED_VALUE"""),"построить объездную дорогу")</f>
        <v>построить объездную дорогу</v>
      </c>
      <c r="P17" s="6" t="str">
        <f>IFERROR(__xludf.DUMMYFUNCTION("""COMPUTED_VALUE"""),"ТВ, новостная лента Яндекс, видеонаблюдение")</f>
        <v>ТВ, новостная лента Яндекс, видеонаблюдение</v>
      </c>
      <c r="Q17" s="6" t="str">
        <f>IFERROR(__xludf.DUMMYFUNCTION("""COMPUTED_VALUE"""),"интервью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v>
      </c>
      <c r="R17" s="6" t="str">
        <f>IFERROR(__xludf.DUMMYFUNCTION("""COMPUTED_VALUE"""),"День города")</f>
        <v>День города</v>
      </c>
      <c r="S17" s="6" t="str">
        <f>IFERROR(__xludf.DUMMYFUNCTION("""COMPUTED_VALUE"""),"выступал в СМИ по приглашению журналистов")</f>
        <v>выступал в СМИ по приглашению журналистов</v>
      </c>
      <c r="T17" s="6" t="str">
        <f>IFERROR(__xludf.DUMMYFUNCTION("""COMPUTED_VALUE"""),"АИК-Кузбасс, административный, культурный центр Кузбасса")</f>
        <v>АИК-Кузбасс, административный, культурный центр Кузбасса</v>
      </c>
      <c r="U17" s="6" t="str">
        <f>IFERROR(__xludf.DUMMYFUNCTION("""COMPUTED_VALUE"""),"площадь Советов")</f>
        <v>площадь Советов</v>
      </c>
      <c r="V17" s="6" t="str">
        <f>IFERROR(__xludf.DUMMYFUNCTION("""COMPUTED_VALUE"""),"Кемерово - город труженик. Продукция выпущенная на кемеровских предприятиях. Научные школы")</f>
        <v>Кемерово - город труженик. Продукция выпущенная на кемеровских предприятиях. Научные школы</v>
      </c>
      <c r="W17" s="6" t="str">
        <f>IFERROR(__xludf.DUMMYFUNCTION("""COMPUTED_VALUE"""),"такие же как и все")</f>
        <v>такие же как и все</v>
      </c>
      <c r="X17" s="6" t="str">
        <f>IFERROR(__xludf.DUMMYFUNCTION("""COMPUTED_VALUE"""),"Как и в любом городе - это прогулка по центру города")</f>
        <v>Как и в любом городе - это прогулка по центру города</v>
      </c>
      <c r="Y17" s="6" t="str">
        <f>IFERROR(__xludf.DUMMYFUNCTION("""COMPUTED_VALUE"""),"решение жилищного вопроса")</f>
        <v>решение жилищного вопроса</v>
      </c>
      <c r="Z17" s="6" t="str">
        <f>IFERROR(__xludf.DUMMYFUNCTION("""COMPUTED_VALUE"""),"Благоустройство города")</f>
        <v>Благоустройство города</v>
      </c>
      <c r="AA17" s="6" t="str">
        <f>IFERROR(__xludf.DUMMYFUNCTION("""COMPUTED_VALUE"""),"нет таких")</f>
        <v>нет таких</v>
      </c>
      <c r="AB17" s="6" t="str">
        <f>IFERROR(__xludf.DUMMYFUNCTION("""COMPUTED_VALUE"""),"мне всё хватает")</f>
        <v>мне всё хватает</v>
      </c>
      <c r="AC17" s="6" t="str">
        <f>IFERROR(__xludf.DUMMYFUNCTION("""COMPUTED_VALUE"""),"налаживание производства")</f>
        <v>налаживание производства</v>
      </c>
      <c r="AD17" s="6" t="str">
        <f>IFERROR(__xludf.DUMMYFUNCTION("""COMPUTED_VALUE"""),"нет")</f>
        <v>нет</v>
      </c>
      <c r="AE17" s="6" t="str">
        <f>IFERROR(__xludf.DUMMYFUNCTION("""COMPUTED_VALUE"""),"Мужской")</f>
        <v>Мужской</v>
      </c>
      <c r="AF17" s="6" t="str">
        <f>IFERROR(__xludf.DUMMYFUNCTION("""COMPUTED_VALUE"""),"45-55")</f>
        <v>45-55</v>
      </c>
      <c r="AG17" s="6"/>
      <c r="AH17" s="6"/>
      <c r="AI17" s="6"/>
      <c r="AJ17" s="6"/>
      <c r="AK17" s="6"/>
      <c r="AL17" s="6"/>
      <c r="AM17" s="6"/>
    </row>
    <row r="18">
      <c r="A18" s="4">
        <v>17.0</v>
      </c>
      <c r="B18" s="6" t="str">
        <f>IFERROR(__xludf.DUMMYFUNCTION("""COMPUTED_VALUE"""),"Советник, работаю с гос проектами")</f>
        <v>Советник, работаю с гос проектами</v>
      </c>
      <c r="C18" s="6" t="str">
        <f>IFERROR(__xludf.DUMMYFUNCTION("""COMPUTED_VALUE"""),"Нет")</f>
        <v>Нет</v>
      </c>
      <c r="D18" s="6" t="str">
        <f>IFERROR(__xludf.DUMMYFUNCTION("""COMPUTED_VALUE"""),"Центральный, возле лапландии")</f>
        <v>Центральный, возле лапландии</v>
      </c>
      <c r="E18" s="6" t="str">
        <f>IFERROR(__xludf.DUMMYFUNCTION("""COMPUTED_VALUE"""),"Фонтан, музей с пушками, набережная, горсад")</f>
        <v>Фонтан, музей с пушками, набережная, горсад</v>
      </c>
      <c r="F18" s="6" t="str">
        <f>IFERROR(__xludf.DUMMYFUNCTION("""COMPUTED_VALUE"""),"Живу здесь с рождения")</f>
        <v>Живу здесь с рождения</v>
      </c>
      <c r="G18" s="6" t="str">
        <f>IFERROR(__xludf.DUMMYFUNCTION("""COMPUTED_VALUE"""),"Ресторан, магазины, в гости к друзьям, иногда с детьми в горсад или парк")</f>
        <v>Ресторан, магазины, в гости к друзьям, иногда с детьми в горсад или парк</v>
      </c>
      <c r="H18" s="6" t="str">
        <f>IFERROR(__xludf.DUMMYFUNCTION("""COMPUTED_VALUE"""),"Если речь про город Кемерово, то родной город, место моего рождения, место рождения моих детей, город для жизни, столица")</f>
        <v>Если речь про город Кемерово, то родной город, место моего рождения, место рождения моих детей, город для жизни, столица</v>
      </c>
      <c r="I18" s="6" t="str">
        <f>IFERROR(__xludf.DUMMYFUNCTION("""COMPUTED_VALUE"""),"Леонов")</f>
        <v>Леонов</v>
      </c>
      <c r="J18" s="6" t="str">
        <f>IFERROR(__xludf.DUMMYFUNCTION("""COMPUTED_VALUE"""),"Нет таких")</f>
        <v>Нет таких</v>
      </c>
      <c r="K18" s="6" t="str">
        <f>IFERROR(__xludf.DUMMYFUNCTION("""COMPUTED_VALUE"""),"Улица весенняя, набережная, памятник шахтерам, парк жукова, фонтан")</f>
        <v>Улица весенняя, набережная, памятник шахтерам, парк жукова, фонтан</v>
      </c>
      <c r="L18" s="6" t="str">
        <f>IFERROR(__xludf.DUMMYFUNCTION("""COMPUTED_VALUE"""),"Мы  между интеллигецией и шахтерами. История про сбежавшего бегемота: и животное проебали огромное и вроде и не деревенскую курицу упустили. Прошляпили по глупости. А потом героически ловили животину. Где то между  мы застряли")</f>
        <v>Мы  между интеллигецией и шахтерами. История про сбежавшего бегемота: и животное проебали огромное и вроде и не деревенскую курицу упустили. Прошляпили по глупости. А потом героически ловили животину. Где то между  мы застряли</v>
      </c>
      <c r="M18" s="6" t="str">
        <f>IFERROR(__xludf.DUMMYFUNCTION("""COMPUTED_VALUE"""),"Колба (растение), мультифора (в мск - файл)")</f>
        <v>Колба (растение), мультифора (в мск - файл)</v>
      </c>
      <c r="N18" s="6" t="str">
        <f>IFERROR(__xludf.DUMMYFUNCTION("""COMPUTED_VALUE"""),"Чисто, свободная дорога (минимум времени на путь), есть где погулять и закупить товары, есть сервисы (такси, доставка, онлайн записи к специалистам)")</f>
        <v>Чисто, свободная дорога (минимум времени на путь), есть где погулять и закупить товары, есть сервисы (такси, доставка, онлайн записи к специалистам)</v>
      </c>
      <c r="O18" s="6" t="str">
        <f>IFERROR(__xludf.DUMMYFUNCTION("""COMPUTED_VALUE"""),"Чистота улиц: меньше снежных заносов, грязных тропинок, меньше газонов там, где люди ходят. Лучше бетонные проспекты и красивые кусты в кадке, чем трава по которой все равно ходят толпы людей, а дожди размывают землю. ")</f>
        <v>Чистота улиц: меньше снежных заносов, грязных тропинок, меньше газонов там, где люди ходят. Лучше бетонные проспекты и красивые кусты в кадке, чем трава по которой все равно ходят толпы людей, а дожди размывают землю. </v>
      </c>
      <c r="P18" s="6" t="str">
        <f>IFERROR(__xludf.DUMMYFUNCTION("""COMPUTED_VALUE"""),"Сарафанное радио, инстаграм")</f>
        <v>Сарафанное радио, инстаграм</v>
      </c>
      <c r="Q18" s="6" t="str">
        <f>IFERROR(__xludf.DUMMYFUNCTION("""COMPUTED_VALUE"""),"куда пойти в свободное время, где вкусно поесть/открытие новых кафе/ресторанов, интервью с местными предпринимателями, результаты местных исследований (рейтинги/аналитика/тенденции)")</f>
        <v>куда пойти в свободное время, где вкусно поесть/открытие новых кафе/ресторанов, интервью с местными предпринимателями, результаты местных исследований (рейтинги/аналитика/тенденции)</v>
      </c>
      <c r="R18" s="6" t="str">
        <f>IFERROR(__xludf.DUMMYFUNCTION("""COMPUTED_VALUE"""),"День города, обычно выгуливаемся днем с детьми, пока не наступил вечер с пьяной толпой фанатов салюта")</f>
        <v>День города, обычно выгуливаемся днем с детьми, пока не наступил вечер с пьяной толпой фанатов салюта</v>
      </c>
      <c r="S18" s="6" t="str">
        <f>IFERROR(__xludf.DUMMYFUNCTION("""COMPUTED_VALUE"""),"Меропиятия коммерческих организаций")</f>
        <v>Меропиятия коммерческих организаций</v>
      </c>
      <c r="T18" s="6" t="str">
        <f>IFERROR(__xludf.DUMMYFUNCTION("""COMPUTED_VALUE"""),"Здесь хорошо жить")</f>
        <v>Здесь хорошо жить</v>
      </c>
      <c r="U18" s="6" t="str">
        <f>IFERROR(__xludf.DUMMYFUNCTION("""COMPUTED_VALUE"""),"Фонтан возле драмы")</f>
        <v>Фонтан возле драмы</v>
      </c>
      <c r="V18" s="6" t="str">
        <f>IFERROR(__xludf.DUMMYFUNCTION("""COMPUTED_VALUE"""),"Они его построили и не совсем изгадили")</f>
        <v>Они его построили и не совсем изгадили</v>
      </c>
      <c r="W18" s="6" t="str">
        <f>IFERROR(__xludf.DUMMYFUNCTION("""COMPUTED_VALUE"""),"Открытые, радушные со «своими» и настороженно приглядывающиеся с чужими. Встречая кемеровчанина в др городе - ты встречаешь «своего». Почти что брат))")</f>
        <v>Открытые, радушные со «своими» и настороженно приглядывающиеся с чужими. Встречая кемеровчанина в др городе - ты встречаешь «своего». Почти что брат))</v>
      </c>
      <c r="X18" s="6" t="str">
        <f>IFERROR(__xludf.DUMMYFUNCTION("""COMPUTED_VALUE"""),"По старому центру")</f>
        <v>По старому центру</v>
      </c>
      <c r="Y18" s="6" t="str">
        <f>IFERROR(__xludf.DUMMYFUNCTION("""COMPUTED_VALUE"""),"Снесли ларьки на Кирова) да много чего")</f>
        <v>Снесли ларьки на Кирова) да много чего</v>
      </c>
      <c r="Z18" s="6" t="str">
        <f>IFERROR(__xludf.DUMMYFUNCTION("""COMPUTED_VALUE"""),"Построили притомский проспект и стали строить крупные культурные и спортивнуе объекты")</f>
        <v>Построили притомский проспект и стали строить крупные культурные и спортивнуе объекты</v>
      </c>
      <c r="AA18" s="6" t="str">
        <f>IFERROR(__xludf.DUMMYFUNCTION("""COMPUTED_VALUE"""),"Зимняя вишня")</f>
        <v>Зимняя вишня</v>
      </c>
      <c r="AB18" s="6" t="str">
        <f>IFERROR(__xludf.DUMMYFUNCTION("""COMPUTED_VALUE"""),"Сообществ скромной ничему друг друга неучащей интеллигенции : собраться и поговорить на заданную тему)")</f>
        <v>Сообществ скромной ничему друг друга неучащей интеллигенции : собраться и поговорить на заданную тему)</v>
      </c>
      <c r="AC18" s="6" t="str">
        <f>IFERROR(__xludf.DUMMYFUNCTION("""COMPUTED_VALUE"""),"Что-то для детей, что не сложно найти и доступно по цене и времени")</f>
        <v>Что-то для детей, что не сложно найти и доступно по цене и времени</v>
      </c>
      <c r="AD18" s="6" t="str">
        <f>IFERROR(__xludf.DUMMYFUNCTION("""COMPUTED_VALUE"""),"Я уже участвую как общественный представитель аси)")</f>
        <v>Я уже участвую как общественный представитель аси)</v>
      </c>
      <c r="AE18" s="6" t="str">
        <f>IFERROR(__xludf.DUMMYFUNCTION("""COMPUTED_VALUE"""),"Женский")</f>
        <v>Женский</v>
      </c>
      <c r="AF18" s="6" t="str">
        <f>IFERROR(__xludf.DUMMYFUNCTION("""COMPUTED_VALUE"""),"30-44")</f>
        <v>30-44</v>
      </c>
      <c r="AG18" s="6"/>
      <c r="AH18" s="6"/>
      <c r="AI18" s="6"/>
      <c r="AJ18" s="6"/>
      <c r="AK18" s="6"/>
      <c r="AL18" s="6"/>
      <c r="AM18" s="6"/>
    </row>
    <row r="19">
      <c r="A19" s="4">
        <v>18.0</v>
      </c>
      <c r="B19" s="6" t="str">
        <f>IFERROR(__xludf.DUMMYFUNCTION("""COMPUTED_VALUE"""),"Работаю в приложении КАВЁР контент-менеджером")</f>
        <v>Работаю в приложении КАВЁР контент-менеджером</v>
      </c>
      <c r="C19" s="6" t="str">
        <f>IFERROR(__xludf.DUMMYFUNCTION("""COMPUTED_VALUE"""),"баня, йога")</f>
        <v>баня, йога</v>
      </c>
      <c r="D19" s="6" t="str">
        <f>IFERROR(__xludf.DUMMYFUNCTION("""COMPUTED_VALUE"""),"Ленинский. Так и называю Ленинский")</f>
        <v>Ленинский. Так и называю Ленинский</v>
      </c>
      <c r="E19" s="6" t="str">
        <f>IFERROR(__xludf.DUMMYFUNCTION("""COMPUTED_VALUE"""),"Леруа, Лента, Кузбасский парк, храм, бульвар Строителей, ГЦС Кузбасс, кадетка ")</f>
        <v>Леруа, Лента, Кузбасский парк, храм, бульвар Строителей, ГЦС Кузбасс, кадетка </v>
      </c>
      <c r="F19" s="6" t="str">
        <f>IFERROR(__xludf.DUMMYFUNCTION("""COMPUTED_VALUE"""),"Переехал сюда из другого места (откуда? укажите в графе другое), Алт край, смена работы у мужа. я жена декабриста, поехала за ним")</f>
        <v>Переехал сюда из другого места (откуда? укажите в графе другое), Алт край, смена работы у мужа. я жена декабриста, поехала за ним</v>
      </c>
      <c r="G19" s="6" t="str">
        <f>IFERROR(__xludf.DUMMYFUNCTION("""COMPUTED_VALUE"""),"Лесная поляна, хаскиленд, бульвар строителей, набережная, Сосновый бор, детская библиотека, булочная кондитерская, Красная горка")</f>
        <v>Лесная поляна, хаскиленд, бульвар строителей, набережная, Сосновый бор, детская библиотека, булочная кондитерская, Красная горка</v>
      </c>
      <c r="H19" s="6" t="str">
        <f>IFERROR(__xludf.DUMMYFUNCTION("""COMPUTED_VALUE"""),"шахтеры, волейбол, смог, Зимняя вишня, столица")</f>
        <v>шахтеры, волейбол, смог, Зимняя вишня, столица</v>
      </c>
      <c r="I19" s="6" t="str">
        <f>IFERROR(__xludf.DUMMYFUNCTION("""COMPUTED_VALUE"""),"не знаю")</f>
        <v>не знаю</v>
      </c>
      <c r="J19" s="6" t="str">
        <f>IFERROR(__xludf.DUMMYFUNCTION("""COMPUTED_VALUE"""),"не знаю")</f>
        <v>не знаю</v>
      </c>
      <c r="K19" s="6" t="str">
        <f>IFERROR(__xludf.DUMMYFUNCTION("""COMPUTED_VALUE"""),"Красная горка, набережная, кадетка")</f>
        <v>Красная горка, набережная, кадетка</v>
      </c>
      <c r="L19" s="6" t="str">
        <f>IFERROR(__xludf.DUMMYFUNCTION("""COMPUTED_VALUE"""),"-")</f>
        <v>-</v>
      </c>
      <c r="M19" s="6" t="str">
        <f>IFERROR(__xludf.DUMMYFUNCTION("""COMPUTED_VALUE"""),"-")</f>
        <v>-</v>
      </c>
      <c r="N19" s="6" t="str">
        <f>IFERROR(__xludf.DUMMYFUNCTION("""COMPUTED_VALUE"""),"отсутствие пробок, наличие рядом соц объектов (сад, поликлиника, школа), наличие в городе друзей и знакомых, работа в городе, есть,куда сходить")</f>
        <v>отсутствие пробок, наличие рядом соц объектов (сад, поликлиника, школа), наличие в городе друзей и знакомых, работа в городе, есть,куда сходить</v>
      </c>
      <c r="O19" s="6" t="str">
        <f>IFERROR(__xludf.DUMMYFUNCTION("""COMPUTED_VALUE"""),"хочется избавиться от смога. ")</f>
        <v>хочется избавиться от смога. </v>
      </c>
      <c r="P19" s="6" t="str">
        <f>IFERROR(__xludf.DUMMYFUNCTION("""COMPUTED_VALUE"""),"Инстаграм, друзья/знакомые")</f>
        <v>Инстаграм, друзья/знакомые</v>
      </c>
      <c r="Q19" s="6" t="str">
        <f>IFERROR(__xludf.DUMMYFUNCTION("""COMPUTED_VALUE"""),"куда пойти в свободное время, где вкусно поесть/открытие новых кафе/ресторанов, результаты местных исследований (рейтинги/аналитика/тенденции)")</f>
        <v>куда пойти в свободное время, где вкусно поесть/открытие новых кафе/ресторанов, результаты местных исследований (рейтинги/аналитика/тенденции)</v>
      </c>
      <c r="R19" s="6" t="str">
        <f>IFERROR(__xludf.DUMMYFUNCTION("""COMPUTED_VALUE"""),"9 мая для нас. всё остальное хорошо, что есть, но какой-то радости и гордости не чувствую")</f>
        <v>9 мая для нас. всё остальное хорошо, что есть, но какой-то радости и гордости не чувствую</v>
      </c>
      <c r="S19" s="6" t="str">
        <f>IFERROR(__xludf.DUMMYFUNCTION("""COMPUTED_VALUE"""),"Через социальные сети (Какие? Укажите в графе другое), в Инстаграм реклама и продвижение у блогеров")</f>
        <v>Через социальные сети (Какие? Укажите в графе другое), в Инстаграм реклама и продвижение у блогеров</v>
      </c>
      <c r="T19" s="6" t="str">
        <f>IFERROR(__xludf.DUMMYFUNCTION("""COMPUTED_VALUE"""),"-")</f>
        <v>-</v>
      </c>
      <c r="U19" s="6" t="str">
        <f>IFERROR(__xludf.DUMMYFUNCTION("""COMPUTED_VALUE"""),"для меня центр - Набережная")</f>
        <v>для меня центр - Набережная</v>
      </c>
      <c r="V19" s="6" t="str">
        <f>IFERROR(__xludf.DUMMYFUNCTION("""COMPUTED_VALUE"""),"-")</f>
        <v>-</v>
      </c>
      <c r="W19" s="6" t="str">
        <f>IFERROR(__xludf.DUMMYFUNCTION("""COMPUTED_VALUE"""),"добрые, готовые помочь, не активные, не предприимчивые, с советским налетом")</f>
        <v>добрые, готовые помочь, не активные, не предприимчивые, с советским налетом</v>
      </c>
      <c r="X19" s="6" t="str">
        <f>IFERROR(__xludf.DUMMYFUNCTION("""COMPUTED_VALUE"""),"набережная, театр драмы. филармония")</f>
        <v>набережная, театр драмы. филармония</v>
      </c>
      <c r="Y19" s="6" t="str">
        <f>IFERROR(__xludf.DUMMYFUNCTION("""COMPUTED_VALUE"""),"-")</f>
        <v>-</v>
      </c>
      <c r="Z19" s="6" t="str">
        <f>IFERROR(__xludf.DUMMYFUNCTION("""COMPUTED_VALUE"""),"-")</f>
        <v>-</v>
      </c>
      <c r="AA19" s="6" t="str">
        <f>IFERROR(__xludf.DUMMYFUNCTION("""COMPUTED_VALUE"""),"зимня вишня (хть уже и 3 года назад)")</f>
        <v>зимня вишня (хть уже и 3 года назад)</v>
      </c>
      <c r="AB19" s="6" t="str">
        <f>IFERROR(__xludf.DUMMYFUNCTION("""COMPUTED_VALUE"""),"всего достаточно")</f>
        <v>всего достаточно</v>
      </c>
      <c r="AC19" s="6" t="str">
        <f>IFERROR(__xludf.DUMMYFUNCTION("""COMPUTED_VALUE"""),"не могу сказать")</f>
        <v>не могу сказать</v>
      </c>
      <c r="AD19" s="6" t="str">
        <f>IFERROR(__xludf.DUMMYFUNCTION("""COMPUTED_VALUE"""),"просто хочется быть в курсе, как и что делается в рамках проекта. Готова участвовать во встречах")</f>
        <v>просто хочется быть в курсе, как и что делается в рамках проекта. Готова участвовать во встречах</v>
      </c>
      <c r="AE19" s="6" t="str">
        <f>IFERROR(__xludf.DUMMYFUNCTION("""COMPUTED_VALUE"""),"Женский")</f>
        <v>Женский</v>
      </c>
      <c r="AF19" s="6" t="str">
        <f>IFERROR(__xludf.DUMMYFUNCTION("""COMPUTED_VALUE"""),"30-44")</f>
        <v>30-44</v>
      </c>
      <c r="AG19" s="6"/>
      <c r="AH19" s="6"/>
      <c r="AI19" s="6"/>
      <c r="AJ19" s="6"/>
      <c r="AK19" s="6"/>
      <c r="AL19" s="6"/>
      <c r="AM19" s="6"/>
    </row>
    <row r="20">
      <c r="A20" s="4">
        <v>19.0</v>
      </c>
      <c r="B20" s="6" t="str">
        <f>IFERROR(__xludf.DUMMYFUNCTION("""COMPUTED_VALUE"""),"юрисконсульт")</f>
        <v>юрисконсульт</v>
      </c>
      <c r="C20" s="6" t="str">
        <f>IFERROR(__xludf.DUMMYFUNCTION("""COMPUTED_VALUE"""),"дизайн")</f>
        <v>дизайн</v>
      </c>
      <c r="D20" s="6" t="str">
        <f>IFERROR(__xludf.DUMMYFUNCTION("""COMPUTED_VALUE"""),"швейка, южный")</f>
        <v>швейка, южный</v>
      </c>
      <c r="E20" s="6" t="str">
        <f>IFERROR(__xludf.DUMMYFUNCTION("""COMPUTED_VALUE"""),"уже никаких. все снесли")</f>
        <v>уже никаких. все снесли</v>
      </c>
      <c r="F20" s="6" t="str">
        <f>IFERROR(__xludf.DUMMYFUNCTION("""COMPUTED_VALUE"""),"Живу здесь с рождения")</f>
        <v>Живу здесь с рождения</v>
      </c>
      <c r="G20" s="6" t="str">
        <f>IFERROR(__xludf.DUMMYFUNCTION("""COMPUTED_VALUE"""),"никуда")</f>
        <v>никуда</v>
      </c>
      <c r="H20" s="6" t="str">
        <f>IFERROR(__xludf.DUMMYFUNCTION("""COMPUTED_VALUE"""),"уголь, смог, пора валить, безнадега, нечего делать, отсутствие перспектив")</f>
        <v>уголь, смог, пора валить, безнадега, нечего делать, отсутствие перспектив</v>
      </c>
      <c r="I20" s="6" t="str">
        <f>IFERROR(__xludf.DUMMYFUNCTION("""COMPUTED_VALUE"""),"тулеев, михайло волков")</f>
        <v>тулеев, михайло волков</v>
      </c>
      <c r="J20" s="6" t="str">
        <f>IFERROR(__xludf.DUMMYFUNCTION("""COMPUTED_VALUE"""),"не знаю")</f>
        <v>не знаю</v>
      </c>
      <c r="K20" s="6" t="str">
        <f>IFERROR(__xludf.DUMMYFUNCTION("""COMPUTED_VALUE"""),"ценрт, набережная, филармония. театр")</f>
        <v>ценрт, набережная, филармония. театр</v>
      </c>
      <c r="L20" s="6" t="str">
        <f>IFERROR(__xludf.DUMMYFUNCTION("""COMPUTED_VALUE"""),"пора валить")</f>
        <v>пора валить</v>
      </c>
      <c r="M20" s="6" t="str">
        <f>IFERROR(__xludf.DUMMYFUNCTION("""COMPUTED_VALUE"""),"нет")</f>
        <v>нет</v>
      </c>
      <c r="N20" s="6" t="str">
        <f>IFERROR(__xludf.DUMMYFUNCTION("""COMPUTED_VALUE"""),"экология, транспортная доступность, чистота, рабочие места (не торговля), работающие предприятия (не торговля), котирующиеся образование")</f>
        <v>экология, транспортная доступность, чистота, рабочие места (не торговля), работающие предприятия (не торговля), котирующиеся образование</v>
      </c>
      <c r="O20" s="6" t="str">
        <f>IFERROR(__xludf.DUMMYFUNCTION("""COMPUTED_VALUE"""),"чистота, ремонт тротуаров, построить предприятия")</f>
        <v>чистота, ремонт тротуаров, построить предприятия</v>
      </c>
      <c r="P20" s="6" t="str">
        <f>IFERROR(__xludf.DUMMYFUNCTION("""COMPUTED_VALUE"""),"а42")</f>
        <v>а42</v>
      </c>
      <c r="Q20"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интервью с экспертами на разные"&amp;" темы (напишите в разделе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интервью с экспертами на разные темы (напишите в разделе Другое свои предложения)</v>
      </c>
      <c r="R20" s="6" t="str">
        <f>IFERROR(__xludf.DUMMYFUNCTION("""COMPUTED_VALUE"""),"9 мая")</f>
        <v>9 мая</v>
      </c>
      <c r="S20" s="6" t="str">
        <f>IFERROR(__xludf.DUMMYFUNCTION("""COMPUTED_VALUE"""),"Нет, не приходилось")</f>
        <v>Нет, не приходилось</v>
      </c>
      <c r="T20" s="6" t="str">
        <f>IFERROR(__xludf.DUMMYFUNCTION("""COMPUTED_VALUE"""),"беспросвет")</f>
        <v>беспросвет</v>
      </c>
      <c r="U20" s="6" t="str">
        <f>IFERROR(__xludf.DUMMYFUNCTION("""COMPUTED_VALUE"""),"старый центр")</f>
        <v>старый центр</v>
      </c>
      <c r="V20" s="6" t="str">
        <f>IFERROR(__xludf.DUMMYFUNCTION("""COMPUTED_VALUE"""),"?")</f>
        <v>?</v>
      </c>
      <c r="W20" s="6" t="str">
        <f>IFERROR(__xludf.DUMMYFUNCTION("""COMPUTED_VALUE"""),"несчастные, без будущего здась")</f>
        <v>несчастные, без будущего здась</v>
      </c>
      <c r="X20" s="6" t="str">
        <f>IFERROR(__xludf.DUMMYFUNCTION("""COMPUTED_VALUE"""),"крутых нет")</f>
        <v>крутых нет</v>
      </c>
      <c r="Y20" s="6" t="str">
        <f>IFERROR(__xludf.DUMMYFUNCTION("""COMPUTED_VALUE"""),"открытие угля. пожар")</f>
        <v>открытие угля. пожар</v>
      </c>
      <c r="Z20" s="6" t="str">
        <f>IFERROR(__xludf.DUMMYFUNCTION("""COMPUTED_VALUE"""),"никаких")</f>
        <v>никаких</v>
      </c>
      <c r="AA20" s="6" t="str">
        <f>IFERROR(__xludf.DUMMYFUNCTION("""COMPUTED_VALUE"""),"пожар. грязь")</f>
        <v>пожар. грязь</v>
      </c>
      <c r="AB20" s="6" t="str">
        <f>IFERROR(__xludf.DUMMYFUNCTION("""COMPUTED_VALUE"""),"?")</f>
        <v>?</v>
      </c>
      <c r="AC20" s="6" t="str">
        <f>IFERROR(__xludf.DUMMYFUNCTION("""COMPUTED_VALUE"""),"?")</f>
        <v>?</v>
      </c>
      <c r="AD20" s="6" t="str">
        <f>IFERROR(__xludf.DUMMYFUNCTION("""COMPUTED_VALUE"""),"?")</f>
        <v>?</v>
      </c>
      <c r="AE20" s="6" t="str">
        <f>IFERROR(__xludf.DUMMYFUNCTION("""COMPUTED_VALUE"""),"Женский")</f>
        <v>Женский</v>
      </c>
      <c r="AF20" s="6" t="str">
        <f>IFERROR(__xludf.DUMMYFUNCTION("""COMPUTED_VALUE"""),"30-44")</f>
        <v>30-44</v>
      </c>
      <c r="AG20" s="6"/>
      <c r="AH20" s="6"/>
      <c r="AI20" s="6"/>
      <c r="AJ20" s="6"/>
      <c r="AK20" s="6"/>
      <c r="AL20" s="6"/>
      <c r="AM20" s="6"/>
    </row>
    <row r="21">
      <c r="A21" s="4">
        <v>20.0</v>
      </c>
      <c r="B21" s="6" t="str">
        <f>IFERROR(__xludf.DUMMYFUNCTION("""COMPUTED_VALUE"""),"Капитальный ремонт многоквартирных домов")</f>
        <v>Капитальный ремонт многоквартирных домов</v>
      </c>
      <c r="C21" s="6" t="str">
        <f>IFERROR(__xludf.DUMMYFUNCTION("""COMPUTED_VALUE"""),"Спортзал, большой теннис.")</f>
        <v>Спортзал, большой теннис.</v>
      </c>
      <c r="D21" s="6" t="str">
        <f>IFERROR(__xludf.DUMMYFUNCTION("""COMPUTED_VALUE"""),"Ж.Р. Лесная Поляна (Поляна)")</f>
        <v>Ж.Р. Лесная Поляна (Поляна)</v>
      </c>
      <c r="E21" s="6" t="str">
        <f>IFERROR(__xludf.DUMMYFUNCTION("""COMPUTED_VALUE"""),"Ботанический сад, Таежная заимка. ")</f>
        <v>Ботанический сад, Таежная заимка. </v>
      </c>
      <c r="F21" s="6" t="str">
        <f>IFERROR(__xludf.DUMMYFUNCTION("""COMPUTED_VALUE"""),"Живу здесь с рождения")</f>
        <v>Живу здесь с рождения</v>
      </c>
      <c r="G21" s="6" t="str">
        <f>IFERROR(__xludf.DUMMYFUNCTION("""COMPUTED_VALUE"""),"Старый центр, Сосновый Бор. ")</f>
        <v>Старый центр, Сосновый Бор. </v>
      </c>
      <c r="H21" s="6" t="str">
        <f>IFERROR(__xludf.DUMMYFUNCTION("""COMPUTED_VALUE"""),"Сталинский ампир, Томь, смог, человейники, уголь")</f>
        <v>Сталинский ампир, Томь, смог, человейники, уголь</v>
      </c>
      <c r="I21" s="6" t="str">
        <f>IFERROR(__xludf.DUMMYFUNCTION("""COMPUTED_VALUE"""),"Рутгерс, Моисеенко, Донбай, Суриков, Бобров, Усков, Балибалов, Заузелков, Подгорбунский.")</f>
        <v>Рутгерс, Моисеенко, Донбай, Суриков, Бобров, Усков, Балибалов, Заузелков, Подгорбунский.</v>
      </c>
      <c r="J21" s="6" t="str">
        <f>IFERROR(__xludf.DUMMYFUNCTION("""COMPUTED_VALUE"""),"Сухацкий, Гришковец, Мирошниченко, Забавин, Михайлов, Горобцов, Тулеев.")</f>
        <v>Сухацкий, Гришковец, Мирошниченко, Забавин, Михайлов, Горобцов, Тулеев.</v>
      </c>
      <c r="K21" s="6" t="str">
        <f>IFERROR(__xludf.DUMMYFUNCTION("""COMPUTED_VALUE"""),"Красная Горка, баня на Трубной, старый фонтан во вдоре Орджоникидзе 5, статуя рабочего во дворе Арочной 41, площадь Пушкина, дом Актера на Боброва, дворец Труда на Карболитовской. ")</f>
        <v>Красная Горка, баня на Трубной, старый фонтан во вдоре Орджоникидзе 5, статуя рабочего во дворе Арочной 41, площадь Пушкина, дом Актера на Боброва, дворец Труда на Карболитовской. </v>
      </c>
      <c r="L21" s="6" t="str">
        <f>IFERROR(__xludf.DUMMYFUNCTION("""COMPUTED_VALUE"""),"""Город, который смоГ"", ""На недельку, до второго, я уеду в КемеровО"", ""Город в котором ""лето"" сгорело, а ""весна"" утонула"" (речь про кафе на Набережной), ""не город - а завод по производству облаков"".")</f>
        <v>"Город, который смоГ", "На недельку, до второго, я уеду в КемеровО", "Город в котором "лето" сгорело, а "весна" утонула" (речь про кафе на Набережной), "не город - а завод по производству облаков".</v>
      </c>
      <c r="M21" s="6" t="str">
        <f>IFERROR(__xludf.DUMMYFUNCTION("""COMPUTED_VALUE"""),"""Встречаемся на ""Лапе"", ""мы на Драме"", ""КемТИПП - Кемеровский танцевальный институт песен и плясок"",  ""в сквере на Орбите"". ")</f>
        <v>"Встречаемся на "Лапе", "мы на Драме", "КемТИПП - Кемеровский танцевальный институт песен и плясок",  "в сквере на Орбите". </v>
      </c>
      <c r="N21" s="6" t="str">
        <f>IFERROR(__xludf.DUMMYFUNCTION("""COMPUTED_VALUE"""),"Экология, рабочие места, архитектурный стиль, отсутствие пробок, культурная жизнь")</f>
        <v>Экология, рабочие места, архитектурный стиль, отсутствие пробок, культурная жизнь</v>
      </c>
      <c r="O21" s="6" t="str">
        <f>IFERROR(__xludf.DUMMYFUNCTION("""COMPUTED_VALUE"""),"Фасады МКД, (особенно спальных районов), газифицировать частный сектор города, убрать металлические гаражи из дворов, акцентировать благоустройство внутри кварталов (спорт площадки, парки), архитектурную подсветку архитектурного наследия, рассмотреть возм"&amp;"ожность установки новых памятников выдающимся личностям (поэтам, музыкантам).  ")</f>
        <v>Фасады МКД, (особенно спальных районов), газифицировать частный сектор города, убрать металлические гаражи из дворов, акцентировать благоустройство внутри кварталов (спорт площадки, парки), архитектурную подсветку архитектурного наследия, рассмотреть возможность установки новых памятников выдающимся личностям (поэтам, музыкантам).  </v>
      </c>
      <c r="P21" s="6" t="str">
        <f>IFERROR(__xludf.DUMMYFUNCTION("""COMPUTED_VALUE"""),"Инстаграмм, газета ""кемерово"".")</f>
        <v>Инстаграмм, газета "кемерово".</v>
      </c>
      <c r="Q21" s="6" t="str">
        <f>IFERROR(__xludf.DUMMYFUNCTION("""COMPUTED_VALUE"""),"куда пойти в свободное время, городская афиша (кино/театр/концерты), интервью с местными предпринимателями, криминальные новости (происшествия/преступления), результаты местных исследований (рейтинги/аналитика/тенденции)")</f>
        <v>куда пойти в свободное время, городская афиша (кино/театр/концерты), 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21" s="6" t="str">
        <f>IFERROR(__xludf.DUMMYFUNCTION("""COMPUTED_VALUE"""),"День города, День шахтера, День Победы. ")</f>
        <v>День города, День шахтера, День Победы. </v>
      </c>
      <c r="S21" s="6" t="str">
        <f>IFERROR(__xludf.DUMMYFUNCTION("""COMPUTED_VALUE"""),"Нет, не приходилось")</f>
        <v>Нет, не приходилось</v>
      </c>
      <c r="T21" s="6" t="str">
        <f>IFERROR(__xludf.DUMMYFUNCTION("""COMPUTED_VALUE"""),"К сожалению ""зимней вишней"", родиной город Е. Гришковца. Уникален набережной, цветочным оформлением улицы Весенней и Орджоникидзе, велосипедными дорожками и летним запахом липы на пр-те Ленина.   ")</f>
        <v>К сожалению "зимней вишней", родиной город Е. Гришковца. Уникален набережной, цветочным оформлением улицы Весенней и Орджоникидзе, велосипедными дорожками и летним запахом липы на пр-те Ленина.   </v>
      </c>
      <c r="U21" s="6" t="str">
        <f>IFERROR(__xludf.DUMMYFUNCTION("""COMPUTED_VALUE"""),"фонтан на Драмтеатре, Площадь Пушкина,  Памятник погибшим шахтерам")</f>
        <v>фонтан на Драмтеатре, Площадь Пушкина,  Памятник погибшим шахтерам</v>
      </c>
      <c r="V21" s="6" t="str">
        <f>IFERROR(__xludf.DUMMYFUNCTION("""COMPUTED_VALUE"""),"Посадили деревья, построили архитектурные объекты, сохранили сосновый Бор практически нетронутым. ")</f>
        <v>Посадили деревья, построили архитектурные объекты, сохранили сосновый Бор практически нетронутым. </v>
      </c>
      <c r="W21" s="6" t="str">
        <f>IFERROR(__xludf.DUMMYFUNCTION("""COMPUTED_VALUE"""),"Такие же патриоты, как и все в России. Любят и ругают свой город. Мечтают переехать в Краснодар каждое утро по дороге на работу, но строят планы посиделок с друзьями на выходные и планируют поездку в отпуск на Алтай. ")</f>
        <v>Такие же патриоты, как и все в России. Любят и ругают свой город. Мечтают переехать в Краснодар каждое утро по дороге на работу, но строят планы посиделок с друзьями на выходные и планируют поездку в отпуск на Алтай. </v>
      </c>
      <c r="X21" s="6" t="str">
        <f>IFERROR(__xludf.DUMMYFUNCTION("""COMPUTED_VALUE"""),"Филармония-Площадь Советов-площадь Пушкина - ул. Н. Островского-Набережная-ул. Весенняя-пр-т Советский. ")</f>
        <v>Филармония-Площадь Советов-площадь Пушкина - ул. Н. Островского-Набережная-ул. Весенняя-пр-т Советский. </v>
      </c>
      <c r="Y21" s="6" t="str">
        <f>IFERROR(__xludf.DUMMYFUNCTION("""COMPUTED_VALUE"""),"Звезды мирового рока в Кемерово, Бенди, пожар в ""Зимней Вишне"". ")</f>
        <v>Звезды мирового рока в Кемерово, Бенди, пожар в "Зимней Вишне". </v>
      </c>
      <c r="Z21" s="6" t="str">
        <f>IFERROR(__xludf.DUMMYFUNCTION("""COMPUTED_VALUE"""),"Звезды мирового рока в Кемерово, премьера спектакля ""Весы"". Переход на светодиодное освещение в городском хозяйстве, цветочные композиции на пешеходных улицах в центре города, реконструкция б-ра Строителей. ")</f>
        <v>Звезды мирового рока в Кемерово, премьера спектакля "Весы". Переход на светодиодное освещение в городском хозяйстве, цветочные композиции на пешеходных улицах в центре города, реконструкция б-ра Строителей. </v>
      </c>
      <c r="AA21" s="6" t="str">
        <f>IFERROR(__xludf.DUMMYFUNCTION("""COMPUTED_VALUE""")," пожар в ""Зимней Вишне"", адовый смог в зимнее время года. ")</f>
        <v> пожар в "Зимней Вишне", адовый смог в зимнее время года. </v>
      </c>
      <c r="AB21" s="6" t="str">
        <f>IFERROR(__xludf.DUMMYFUNCTION("""COMPUTED_VALUE"""),"Открытых концертных площадок для непрофессиональных уличных музыкантов (аля ""Живаго"" когда-то). ")</f>
        <v>Открытых концертных площадок для непрофессиональных уличных музыкантов (аля "Живаго" когда-то). </v>
      </c>
      <c r="AC21" s="6" t="str">
        <f>IFERROR(__xludf.DUMMYFUNCTION("""COMPUTED_VALUE"""),"Больше концертов и спектаклей российских исполнителей, тематических заведений общепита (стилизованных кафе и ресторанов), аквапарка, новых квестов и квизов. ")</f>
        <v>Больше концертов и спектаклей российских исполнителей, тематических заведений общепита (стилизованных кафе и ресторанов), аквапарка, новых квестов и квизов. </v>
      </c>
      <c r="AD21" s="6" t="str">
        <f>IFERROR(__xludf.DUMMYFUNCTION("""COMPUTED_VALUE"""),"Исполнитель, возможно инвестор. ")</f>
        <v>Исполнитель, возможно инвестор. </v>
      </c>
      <c r="AE21" s="6" t="str">
        <f>IFERROR(__xludf.DUMMYFUNCTION("""COMPUTED_VALUE"""),"Мужской")</f>
        <v>Мужской</v>
      </c>
      <c r="AF21" s="6" t="str">
        <f>IFERROR(__xludf.DUMMYFUNCTION("""COMPUTED_VALUE"""),"30-44")</f>
        <v>30-44</v>
      </c>
      <c r="AG21" s="6"/>
      <c r="AH21" s="6"/>
      <c r="AI21" s="6"/>
      <c r="AJ21" s="6"/>
      <c r="AK21" s="6"/>
      <c r="AL21" s="6"/>
      <c r="AM21" s="6"/>
    </row>
    <row r="22">
      <c r="A22" s="4">
        <v>21.0</v>
      </c>
      <c r="B22" s="6" t="str">
        <f>IFERROR(__xludf.DUMMYFUNCTION("""COMPUTED_VALUE"""),"дизайнер")</f>
        <v>дизайнер</v>
      </c>
      <c r="C22" s="6" t="str">
        <f>IFERROR(__xludf.DUMMYFUNCTION("""COMPUTED_VALUE"""),"велоспорт, книги, животные, свечеварение")</f>
        <v>велоспорт, книги, животные, свечеварение</v>
      </c>
      <c r="D22" s="6" t="str">
        <f>IFERROR(__xludf.DUMMYFUNCTION("""COMPUTED_VALUE"""),"Рудничный, Радуга")</f>
        <v>Рудничный, Радуга</v>
      </c>
      <c r="E22" s="6" t="str">
        <f>IFERROR(__xludf.DUMMYFUNCTION("""COMPUTED_VALUE"""),"сосновый и серебряный бор, дк Шахтеров")</f>
        <v>сосновый и серебряный бор, дк Шахтеров</v>
      </c>
      <c r="F22" s="6" t="str">
        <f>IFERROR(__xludf.DUMMYFUNCTION("""COMPUTED_VALUE"""),"Переехал сюда из другого места (откуда? укажите в графе другое), Полысаево")</f>
        <v>Переехал сюда из другого места (откуда? укажите в графе другое), Полысаево</v>
      </c>
      <c r="G22" s="6" t="str">
        <f>IFERROR(__xludf.DUMMYFUNCTION("""COMPUTED_VALUE"""),"центр, набережная, серебряный бор, бульвар строителей")</f>
        <v>центр, набережная, серебряный бор, бульвар строителей</v>
      </c>
      <c r="H22" s="6" t="str">
        <f>IFERROR(__xludf.DUMMYFUNCTION("""COMPUTED_VALUE"""),"промышленность, живописный, развитие, смог, грязь")</f>
        <v>промышленность, живописный, развитие, смог, грязь</v>
      </c>
      <c r="I22" s="6" t="str">
        <f>IFERROR(__xludf.DUMMYFUNCTION("""COMPUTED_VALUE"""),"Иоханес Бернардес ван Лохем, Рутгерс, Волков")</f>
        <v>Иоханес Бернардес ван Лохем, Рутгерс, Волков</v>
      </c>
      <c r="J22" s="6" t="str">
        <f>IFERROR(__xludf.DUMMYFUNCTION("""COMPUTED_VALUE"""),"Цивилев")</f>
        <v>Цивилев</v>
      </c>
      <c r="K22" s="7" t="str">
        <f>IFERROR(__xludf.DUMMYFUNCTION("""COMPUTED_VALUE"""),"https://okolo.city/places/sosny-dari-dobro-i-smotrovye-tocki-na-gore-lyuskus")</f>
        <v>https://okolo.city/places/sosny-dari-dobro-i-smotrovye-tocki-na-gore-lyuskus</v>
      </c>
      <c r="L22" s="6" t="str">
        <f>IFERROR(__xludf.DUMMYFUNCTION("""COMPUTED_VALUE"""),"не знаю")</f>
        <v>не знаю</v>
      </c>
      <c r="M22" s="6" t="str">
        <f>IFERROR(__xludf.DUMMYFUNCTION("""COMPUTED_VALUE"""),"нет")</f>
        <v>нет</v>
      </c>
      <c r="N22" s="6" t="str">
        <f>IFERROR(__xludf.DUMMYFUNCTION("""COMPUTED_VALUE"""),"чистота, уют, высокие технологии, сервис, широкие дороги и большие парковки")</f>
        <v>чистота, уют, высокие технологии, сервис, широкие дороги и большие парковки</v>
      </c>
      <c r="O22" s="6" t="str">
        <f>IFERROR(__xludf.DUMMYFUNCTION("""COMPUTED_VALUE"""),"добавить дорогу в Рудничном с ул. Терешковой на пр. Кузбасский")</f>
        <v>добавить дорогу в Рудничном с ул. Терешковой на пр. Кузбасский</v>
      </c>
      <c r="P22" s="6" t="str">
        <f>IFERROR(__xludf.DUMMYFUNCTION("""COMPUTED_VALUE"""),"Афиша42, от друзей")</f>
        <v>Афиша42, от друзей</v>
      </c>
      <c r="Q2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v>
      </c>
      <c r="R22" s="6" t="str">
        <f>IFERROR(__xludf.DUMMYFUNCTION("""COMPUTED_VALUE"""),"9 мая, 12 июня")</f>
        <v>9 мая, 12 июня</v>
      </c>
      <c r="S22" s="6" t="str">
        <f>IFERROR(__xludf.DUMMYFUNCTION("""COMPUTED_VALUE"""),"Нет, не приходилось")</f>
        <v>Нет, не приходилось</v>
      </c>
      <c r="T22" s="6" t="str">
        <f>IFERROR(__xludf.DUMMYFUNCTION("""COMPUTED_VALUE"""),"печально известен пожаром, но есть и хорошие ассоциации (елка, новогодняя ярмарка), интересные места для прогулок")</f>
        <v>печально известен пожаром, но есть и хорошие ассоциации (елка, новогодняя ярмарка), интересные места для прогулок</v>
      </c>
      <c r="U22" s="6" t="str">
        <f>IFERROR(__xludf.DUMMYFUNCTION("""COMPUTED_VALUE"""),"Советский проспект и Притомская Набережная")</f>
        <v>Советский проспект и Притомская Набережная</v>
      </c>
      <c r="V22" s="6" t="str">
        <f>IFERROR(__xludf.DUMMYFUNCTION("""COMPUTED_VALUE"""),"добывали уголь, строили город")</f>
        <v>добывали уголь, строили город</v>
      </c>
      <c r="W22" s="6" t="str">
        <f>IFERROR(__xludf.DUMMYFUNCTION("""COMPUTED_VALUE"""),"хмурые, умные, отзывчивые")</f>
        <v>хмурые, умные, отзывчивые</v>
      </c>
      <c r="X22" s="6" t="str">
        <f>IFERROR(__xludf.DUMMYFUNCTION("""COMPUTED_VALUE"""),"Бульвар Строителей - Красное озеро - Притомская Набережная - Советский - Аллея ангелов")</f>
        <v>Бульвар Строителей - Красное озеро - Притомская Набережная - Советский - Аллея ангелов</v>
      </c>
      <c r="Y22" s="6" t="str">
        <f>IFERROR(__xludf.DUMMYFUNCTION("""COMPUTED_VALUE"""),"не знаю")</f>
        <v>не знаю</v>
      </c>
      <c r="Z22" s="6" t="str">
        <f>IFERROR(__xludf.DUMMYFUNCTION("""COMPUTED_VALUE"""),"новогодняя ярмарка 2020 в центре")</f>
        <v>новогодняя ярмарка 2020 в центре</v>
      </c>
      <c r="AA22" s="6" t="str">
        <f>IFERROR(__xludf.DUMMYFUNCTION("""COMPUTED_VALUE"""),"не знаю")</f>
        <v>не знаю</v>
      </c>
      <c r="AB22" s="6" t="str">
        <f>IFERROR(__xludf.DUMMYFUNCTION("""COMPUTED_VALUE"""),"не знаю")</f>
        <v>не знаю</v>
      </c>
      <c r="AC22" s="6" t="str">
        <f>IFERROR(__xludf.DUMMYFUNCTION("""COMPUTED_VALUE"""),"выставки современного искусства и высоких технологий")</f>
        <v>выставки современного искусства и высоких технологий</v>
      </c>
      <c r="AD22" s="6" t="str">
        <f>IFERROR(__xludf.DUMMYFUNCTION("""COMPUTED_VALUE"""),"дизайнер")</f>
        <v>дизайнер</v>
      </c>
      <c r="AE22" s="6" t="str">
        <f>IFERROR(__xludf.DUMMYFUNCTION("""COMPUTED_VALUE"""),"Женский")</f>
        <v>Женский</v>
      </c>
      <c r="AF22" s="6" t="str">
        <f>IFERROR(__xludf.DUMMYFUNCTION("""COMPUTED_VALUE"""),"18-29")</f>
        <v>18-29</v>
      </c>
      <c r="AG22" s="6"/>
      <c r="AH22" s="6"/>
      <c r="AI22" s="6"/>
      <c r="AJ22" s="6"/>
      <c r="AK22" s="6"/>
      <c r="AL22" s="6"/>
      <c r="AM22" s="6"/>
    </row>
    <row r="23">
      <c r="A23" s="4">
        <v>22.0</v>
      </c>
      <c r="B23" s="6" t="str">
        <f>IFERROR(__xludf.DUMMYFUNCTION("""COMPUTED_VALUE"""),"Преподаватель ")</f>
        <v>Преподаватель </v>
      </c>
      <c r="C23" s="6" t="str">
        <f>IFERROR(__xludf.DUMMYFUNCTION("""COMPUTED_VALUE"""),"Спорт")</f>
        <v>Спорт</v>
      </c>
      <c r="D23" s="6" t="str">
        <f>IFERROR(__xludf.DUMMYFUNCTION("""COMPUTED_VALUE"""),"Центральный")</f>
        <v>Центральный</v>
      </c>
      <c r="E23" s="6" t="str">
        <f>IFERROR(__xludf.DUMMYFUNCTION("""COMPUTED_VALUE"""),"Пионерский бульвар")</f>
        <v>Пионерский бульвар</v>
      </c>
      <c r="F23" s="6" t="str">
        <f>IFERROR(__xludf.DUMMYFUNCTION("""COMPUTED_VALUE"""),"Живу здесь с рождения")</f>
        <v>Живу здесь с рождения</v>
      </c>
      <c r="G23" s="6" t="str">
        <f>IFERROR(__xludf.DUMMYFUNCTION("""COMPUTED_VALUE"""),"Весенняя, Набережная, бор")</f>
        <v>Весенняя, Набережная, бор</v>
      </c>
      <c r="H23" s="6" t="str">
        <f>IFERROR(__xludf.DUMMYFUNCTION("""COMPUTED_VALUE"""),"Уголь, скамейка, фонтан, мост, иллюминация")</f>
        <v>Уголь, скамейка, фонтан, мост, иллюминация</v>
      </c>
      <c r="I23" s="6" t="str">
        <f>IFERROR(__xludf.DUMMYFUNCTION("""COMPUTED_VALUE"""),"Хмелевский")</f>
        <v>Хмелевский</v>
      </c>
      <c r="J23" s="6" t="str">
        <f>IFERROR(__xludf.DUMMYFUNCTION("""COMPUTED_VALUE"""),"Середюк ")</f>
        <v>Середюк </v>
      </c>
      <c r="K23" s="6" t="str">
        <f>IFERROR(__xludf.DUMMYFUNCTION("""COMPUTED_VALUE"""),"Красная горка")</f>
        <v>Красная горка</v>
      </c>
      <c r="L23" s="6" t="str">
        <f>IFERROR(__xludf.DUMMYFUNCTION("""COMPUTED_VALUE"""),"Город чёрной одежды, где нет надежды")</f>
        <v>Город чёрной одежды, где нет надежды</v>
      </c>
      <c r="M23" s="6" t="str">
        <f>IFERROR(__xludf.DUMMYFUNCTION("""COMPUTED_VALUE"""),"Мультифора")</f>
        <v>Мультифора</v>
      </c>
      <c r="N23" s="6" t="str">
        <f>IFERROR(__xludf.DUMMYFUNCTION("""COMPUTED_VALUE"""),"Доступность, дороги, чистота, рекреация, воздух")</f>
        <v>Доступность, дороги, чистота, рекреация, воздух</v>
      </c>
      <c r="O23" s="6" t="str">
        <f>IFERROR(__xludf.DUMMYFUNCTION("""COMPUTED_VALUE"""),"Больше мест отдыха, парков")</f>
        <v>Больше мест отдыха, парков</v>
      </c>
      <c r="P23" s="6" t="str">
        <f>IFERROR(__xludf.DUMMYFUNCTION("""COMPUTED_VALUE"""),"Инстаграм ")</f>
        <v>Инстаграм </v>
      </c>
      <c r="Q23"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23" s="6" t="str">
        <f>IFERROR(__xludf.DUMMYFUNCTION("""COMPUTED_VALUE"""),"День города, День Победы ")</f>
        <v>День города, День Победы </v>
      </c>
      <c r="S23" s="6" t="str">
        <f>IFERROR(__xludf.DUMMYFUNCTION("""COMPUTED_VALUE"""),"Обращался в редакции городских газет, телевидения, радио")</f>
        <v>Обращался в редакции городских газет, телевидения, радио</v>
      </c>
      <c r="T23" s="6" t="str">
        <f>IFERROR(__xludf.DUMMYFUNCTION("""COMPUTED_VALUE"""),"Увы, но в других регионах, когда говоришь, что из Кемерово, сразу вспоминают Зимнюю вишню")</f>
        <v>Увы, но в других регионах, когда говоришь, что из Кемерово, сразу вспоминают Зимнюю вишню</v>
      </c>
      <c r="U23" s="6" t="str">
        <f>IFERROR(__xludf.DUMMYFUNCTION("""COMPUTED_VALUE"""),"Фонтан у драмтеатра ")</f>
        <v>Фонтан у драмтеатра </v>
      </c>
      <c r="V23" s="6" t="str">
        <f>IFERROR(__xludf.DUMMYFUNCTION("""COMPUTED_VALUE"""),"Затрудняюсь ")</f>
        <v>Затрудняюсь </v>
      </c>
      <c r="W23" s="6" t="str">
        <f>IFERROR(__xludf.DUMMYFUNCTION("""COMPUTED_VALUE"""),"Открытые, работоспособные, добрые")</f>
        <v>Открытые, работоспособные, добрые</v>
      </c>
      <c r="X23" s="6" t="str">
        <f>IFERROR(__xludf.DUMMYFUNCTION("""COMPUTED_VALUE"""),"Центр, набережная Кировского, рудничный Бор ")</f>
        <v>Центр, набережная Кировского, рудничный Бор </v>
      </c>
      <c r="Y23" s="6" t="str">
        <f>IFERROR(__xludf.DUMMYFUNCTION("""COMPUTED_VALUE"""),"Из положительных - затрудняюсь")</f>
        <v>Из положительных - затрудняюсь</v>
      </c>
      <c r="Z23" s="6" t="str">
        <f>IFERROR(__xludf.DUMMYFUNCTION("""COMPUTED_VALUE"""),"Не запомнились")</f>
        <v>Не запомнились</v>
      </c>
      <c r="AA23" s="6" t="str">
        <f>IFERROR(__xludf.DUMMYFUNCTION("""COMPUTED_VALUE"""),"Нет")</f>
        <v>Нет</v>
      </c>
      <c r="AB23" s="6" t="str">
        <f>IFERROR(__xludf.DUMMYFUNCTION("""COMPUTED_VALUE"""),"Хватает")</f>
        <v>Хватает</v>
      </c>
      <c r="AC23" s="6" t="str">
        <f>IFERROR(__xludf.DUMMYFUNCTION("""COMPUTED_VALUE"""),"Культурно-массовые, мастерклассы")</f>
        <v>Культурно-массовые, мастерклассы</v>
      </c>
      <c r="AD23" s="6" t="str">
        <f>IFERROR(__xludf.DUMMYFUNCTION("""COMPUTED_VALUE"""),"Не знаю")</f>
        <v>Не знаю</v>
      </c>
      <c r="AE23" s="6" t="str">
        <f>IFERROR(__xludf.DUMMYFUNCTION("""COMPUTED_VALUE"""),"Женский")</f>
        <v>Женский</v>
      </c>
      <c r="AF23" s="6" t="str">
        <f>IFERROR(__xludf.DUMMYFUNCTION("""COMPUTED_VALUE"""),"30-44")</f>
        <v>30-44</v>
      </c>
      <c r="AG23" s="6"/>
      <c r="AH23" s="6"/>
      <c r="AI23" s="6"/>
      <c r="AJ23" s="6"/>
      <c r="AK23" s="6"/>
      <c r="AL23" s="6"/>
      <c r="AM23" s="6"/>
    </row>
    <row r="24">
      <c r="A24" s="4">
        <v>23.0</v>
      </c>
      <c r="B24" s="6" t="str">
        <f>IFERROR(__xludf.DUMMYFUNCTION("""COMPUTED_VALUE"""),"Пиар")</f>
        <v>Пиар</v>
      </c>
      <c r="C24" s="6" t="str">
        <f>IFERROR(__xludf.DUMMYFUNCTION("""COMPUTED_VALUE"""),"Путешествия, урбанистика, спорт")</f>
        <v>Путешествия, урбанистика, спорт</v>
      </c>
      <c r="D24" s="6" t="str">
        <f>IFERROR(__xludf.DUMMYFUNCTION("""COMPUTED_VALUE"""),"Ленинский, так и называю")</f>
        <v>Ленинский, так и называю</v>
      </c>
      <c r="E24" s="6" t="str">
        <f>IFERROR(__xludf.DUMMYFUNCTION("""COMPUTED_VALUE"""),"Кузбасский парк, бульвар Строителей, Леруа Мерлен!")</f>
        <v>Кузбасский парк, бульвар Строителей, Леруа Мерлен!</v>
      </c>
      <c r="F24" s="6" t="str">
        <f>IFERROR(__xludf.DUMMYFUNCTION("""COMPUTED_VALUE"""),"Живу здесь с рождения")</f>
        <v>Живу здесь с рождения</v>
      </c>
      <c r="G24" s="6" t="str">
        <f>IFERROR(__xludf.DUMMYFUNCTION("""COMPUTED_VALUE"""),"Весенняя, набережная, Кузбасский парк, Сосновый бор, бульвар Строителей")</f>
        <v>Весенняя, набережная, Кузбасский парк, Сосновый бор, бульвар Строителей</v>
      </c>
      <c r="H24" s="6" t="str">
        <f>IFERROR(__xludf.DUMMYFUNCTION("""COMPUTED_VALUE"""),"Плохая экология, частный сектор в центре, Зимняя Вишня, чистые улицы, сохраненный сталинский центр")</f>
        <v>Плохая экология, частный сектор в центре, Зимняя Вишня, чистые улицы, сохраненный сталинский центр</v>
      </c>
      <c r="I24" s="6" t="str">
        <f>IFERROR(__xludf.DUMMYFUNCTION("""COMPUTED_VALUE"""),"Подгорбунский, Рутгерс, Владимир Михайлов, Владимир Кожевин")</f>
        <v>Подгорбунский, Рутгерс, Владимир Михайлов, Владимир Кожевин</v>
      </c>
      <c r="J24" s="6" t="str">
        <f>IFERROR(__xludf.DUMMYFUNCTION("""COMPUTED_VALUE"""),"Все кемеровчане, чего-то добивающиеся, уезжают из Кемерова. Поэтому таких людей сейчас, к сожалению, нет. Можно назвать разве что Горобцова.")</f>
        <v>Все кемеровчане, чего-то добивающиеся, уезжают из Кемерова. Поэтому таких людей сейчас, к сожалению, нет. Можно назвать разве что Горобцова.</v>
      </c>
      <c r="K24" s="6" t="str">
        <f>IFERROR(__xludf.DUMMYFUNCTION("""COMPUTED_VALUE"""),"Красная горка, Сосновый бор, Парк Ангелов, Лесная Поляна")</f>
        <v>Красная горка, Сосновый бор, Парк Ангелов, Лесная Поляна</v>
      </c>
      <c r="L24" s="6" t="str">
        <f>IFERROR(__xludf.DUMMYFUNCTION("""COMPUTED_VALUE"""),"Если КузГТУ закончит девственница — то памятник Михайле Волкову выронит кусок угля из рук.")</f>
        <v>Если КузГТУ закончит девственница — то памятник Михайле Волкову выронит кусок угля из рук.</v>
      </c>
      <c r="M24" s="6" t="str">
        <f>IFERROR(__xludf.DUMMYFUNCTION("""COMPUTED_VALUE"""),"Не знаю(")</f>
        <v>Не знаю(</v>
      </c>
      <c r="N24" s="6" t="str">
        <f>IFERROR(__xludf.DUMMYFUNCTION("""COMPUTED_VALUE"""),"Приоритет пешеходов на всех улицах, комфортные тротуары, доступный и новый общественный транспорт, малоэтажная застройка, современные парки")</f>
        <v>Приоритет пешеходов на всех улицах, комфортные тротуары, доступный и новый общественный транспорт, малоэтажная застройка, современные парки</v>
      </c>
      <c r="O24" s="6" t="str">
        <f>IFERROR(__xludf.DUMMYFUNCTION("""COMPUTED_VALUE"""),"В первую очередь, убрать бесполезные и опасные ограды, которые наполонили город, и расставить столбики и полусферы, чтобы автомобили не парковались в неположенных местах")</f>
        <v>В первую очередь, убрать бесполезные и опасные ограды, которые наполонили город, и расставить столбики и полусферы, чтобы автомобили не парковались в неположенных местах</v>
      </c>
      <c r="P24" s="6" t="str">
        <f>IFERROR(__xludf.DUMMYFUNCTION("""COMPUTED_VALUE"""),"Из афиш на улицах, А42, таргет в соцсетях")</f>
        <v>Из афиш на улицах, А42, таргет в соцсетях</v>
      </c>
      <c r="Q24" s="6" t="str">
        <f>IFERROR(__xludf.DUMMYFUNCTION("""COMPUTED_VALUE"""),"бизнес-новости (средний чек/рекламные акции/запуск новых предприятий), интервью с экспертами на разные темы (напишите в разделе Другое свои предложения), новости городской среды")</f>
        <v>бизнес-новости (средний чек/рекламные акции/запуск новых предприятий), интервью с экспертами на разные темы (напишите в разделе Другое свои предложения), новости городской среды</v>
      </c>
      <c r="R24" s="6" t="str">
        <f>IFERROR(__xludf.DUMMYFUNCTION("""COMPUTED_VALUE"""),"День города")</f>
        <v>День города</v>
      </c>
      <c r="S24" s="6" t="str">
        <f>IFERROR(__xludf.DUMMYFUNCTION("""COMPUTED_VALUE"""),"Писал и расклеивал объявления/афиши, 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f>
        <v>Писал и расклеивал объявления/афиши, 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v>
      </c>
      <c r="T24" s="6" t="str">
        <f>IFERROR(__xludf.DUMMYFUNCTION("""COMPUTED_VALUE"""),"Знаменит углём и и Зимней вишней")</f>
        <v>Знаменит углём и и Зимней вишней</v>
      </c>
      <c r="U24" s="6" t="str">
        <f>IFERROR(__xludf.DUMMYFUNCTION("""COMPUTED_VALUE"""),"Сейчас в Кемерове нет доминанты. Ею будет театрально-музейный комплекс")</f>
        <v>Сейчас в Кемерове нет доминанты. Ею будет театрально-музейный комплекс</v>
      </c>
      <c r="V24" s="6" t="str">
        <f>IFERROR(__xludf.DUMMYFUNCTION("""COMPUTED_VALUE"""),"Создали компактный уютный город")</f>
        <v>Создали компактный уютный город</v>
      </c>
      <c r="W24" s="6" t="str">
        <f>IFERROR(__xludf.DUMMYFUNCTION("""COMPUTED_VALUE"""),"Аморфные")</f>
        <v>Аморфные</v>
      </c>
      <c r="X24" s="6" t="str">
        <f>IFERROR(__xludf.DUMMYFUNCTION("""COMPUTED_VALUE"""),"По Весенней и Набережной")</f>
        <v>По Весенней и Набережной</v>
      </c>
      <c r="Y24" s="6" t="str">
        <f>IFERROR(__xludf.DUMMYFUNCTION("""COMPUTED_VALUE"""),"Основание АИК Кузбасс и пожар в ЗВ.")</f>
        <v>Основание АИК Кузбасс и пожар в ЗВ.</v>
      </c>
      <c r="Z24" s="6" t="str">
        <f>IFERROR(__xludf.DUMMYFUNCTION("""COMPUTED_VALUE"""),"Строительство общественных пространств и соц. инфраструктуры")</f>
        <v>Строительство общественных пространств и соц. инфраструктуры</v>
      </c>
      <c r="AA24" s="6" t="str">
        <f>IFERROR(__xludf.DUMMYFUNCTION("""COMPUTED_VALUE"""),"Вызывает негодование перманентное покушение властями на сохранность Соснового бора ")</f>
        <v>Вызывает негодование перманентное покушение властями на сохранность Соснового бора </v>
      </c>
      <c r="AB24" s="6" t="str">
        <f>IFERROR(__xludf.DUMMYFUNCTION("""COMPUTED_VALUE"""),"Сообщества болельщиков местной футбольной команды - ее просто нет.")</f>
        <v>Сообщества болельщиков местной футбольной команды - ее просто нет.</v>
      </c>
      <c r="AC24" s="6" t="str">
        <f>IFERROR(__xludf.DUMMYFUNCTION("""COMPUTED_VALUE"""),"Крупные концерты и крупные спортивные события")</f>
        <v>Крупные концерты и крупные спортивные события</v>
      </c>
      <c r="AD24" s="6" t="str">
        <f>IFERROR(__xludf.DUMMYFUNCTION("""COMPUTED_VALUE"""),"Участника диалога с городскими властями, готов представлять прогрессивную молодежь, которая любит город!")</f>
        <v>Участника диалога с городскими властями, готов представлять прогрессивную молодежь, которая любит город!</v>
      </c>
      <c r="AE24" s="6" t="str">
        <f>IFERROR(__xludf.DUMMYFUNCTION("""COMPUTED_VALUE"""),"Мужской")</f>
        <v>Мужской</v>
      </c>
      <c r="AF24" s="6" t="str">
        <f>IFERROR(__xludf.DUMMYFUNCTION("""COMPUTED_VALUE"""),"30-44")</f>
        <v>30-44</v>
      </c>
      <c r="AG24" s="6"/>
      <c r="AH24" s="6"/>
      <c r="AI24" s="6"/>
      <c r="AJ24" s="6"/>
      <c r="AK24" s="6"/>
      <c r="AL24" s="6"/>
      <c r="AM24" s="6"/>
    </row>
    <row r="25">
      <c r="A25" s="4">
        <v>24.0</v>
      </c>
      <c r="B25" s="6" t="str">
        <f>IFERROR(__xludf.DUMMYFUNCTION("""COMPUTED_VALUE"""),"Административная деятельность")</f>
        <v>Административная деятельность</v>
      </c>
      <c r="C25" s="6" t="str">
        <f>IFERROR(__xludf.DUMMYFUNCTION("""COMPUTED_VALUE"""),"Бег")</f>
        <v>Бег</v>
      </c>
      <c r="D25" s="6" t="str">
        <f>IFERROR(__xludf.DUMMYFUNCTION("""COMPUTED_VALUE"""),"Ленинский район. Переехала недавно в новый дом и пока я говорю ""живу на химиков""")</f>
        <v>Ленинский район. Переехала недавно в новый дом и пока я говорю "живу на химиков"</v>
      </c>
      <c r="E25" s="6" t="str">
        <f>IFERROR(__xludf.DUMMYFUNCTION("""COMPUTED_VALUE"""),"""Кузбасский парк"" отличная парковая зона с хвойными насаждениями, не испорченный какими-либо постройками.
""Бульвар Строителей"" после реконструкции, приятное место для прогулки с хорошими детскими площадками, что хочется полазить и мне по ним.
""Кадетс"&amp;"кий корпус"" нравится подглядывать за жизнью кадетов.")</f>
        <v>"Кузбасский парк" отличная парковая зона с хвойными насаждениями, не испорченный какими-либо постройками.
"Бульвар Строителей" после реконструкции, приятное место для прогулки с хорошими детскими площадками, что хочется полазить и мне по ним.
"Кадетский корпус" нравится подглядывать за жизнью кадетов.</v>
      </c>
      <c r="F25" s="6" t="str">
        <f>IFERROR(__xludf.DUMMYFUNCTION("""COMPUTED_VALUE"""),"Живу здесь с рождения")</f>
        <v>Живу здесь с рождения</v>
      </c>
      <c r="G25" s="6" t="str">
        <f>IFERROR(__xludf.DUMMYFUNCTION("""COMPUTED_VALUE"""),"В вопросе 4 я написала про эти места.
Центр города, набережная Кировского района, парк Ангелов.
")</f>
        <v>В вопросе 4 я написала про эти места.
Центр города, набережная Кировского района, парк Ангелов.
</v>
      </c>
      <c r="H25" s="6" t="str">
        <f>IFERROR(__xludf.DUMMYFUNCTION("""COMPUTED_VALUE"""),"Уютный, деревня, смог, открытка( с лицевой стороны красиво, а внутри грязь и разруха), трубы")</f>
        <v>Уютный, деревня, смог, открытка( с лицевой стороны красиво, а внутри грязь и разруха), трубы</v>
      </c>
      <c r="I25" s="6" t="str">
        <f>IFERROR(__xludf.DUMMYFUNCTION("""COMPUTED_VALUE"""),"Самый распиаренный Михайло Волков, хотя многие ученые оспаривает его принадлежность к открытию угля.
Владимир Михайлов, экс глава города, сделал весомый вклад в наш город.
")</f>
        <v>Самый распиаренный Михайло Волков, хотя многие ученые оспаривает его принадлежность к открытию угля.
Владимир Михайлов, экс глава города, сделал весомый вклад в наш город.
</v>
      </c>
      <c r="J25" s="6" t="str">
        <f>IFERROR(__xludf.DUMMYFUNCTION("""COMPUTED_VALUE"""),"Для меня нет таких людей на данный момент")</f>
        <v>Для меня нет таких людей на данный момент</v>
      </c>
      <c r="K25" s="6" t="str">
        <f>IFERROR(__xludf.DUMMYFUNCTION("""COMPUTED_VALUE"""),"Центр города, это точно. У нас хорошая набережная и я ей горжусь.
Показала бы Предзаводской, там старая интересная застройка и особо отложилось в моей памяти захоронение иностранных военнопленных.
")</f>
        <v>Центр города, это точно. У нас хорошая набережная и я ей горжусь.
Показала бы Предзаводской, там старая интересная застройка и особо отложилось в моей памяти захоронение иностранных военнопленных.
</v>
      </c>
      <c r="L25" s="6" t="str">
        <f>IFERROR(__xludf.DUMMYFUNCTION("""COMPUTED_VALUE"""),"Благодаря песни ""Человек из Кемерова""")</f>
        <v>Благодаря песни "Человек из Кемерова"</v>
      </c>
      <c r="M25" s="6" t="str">
        <f>IFERROR(__xludf.DUMMYFUNCTION("""COMPUTED_VALUE"""),"Яшка, Швейка, Южный никому не нужный, Пионерка")</f>
        <v>Яшка, Швейка, Южный никому не нужный, Пионерка</v>
      </c>
      <c r="N25" s="6" t="str">
        <f>IFERROR(__xludf.DUMMYFUNCTION("""COMPUTED_VALUE"""),"Озеленение: большое количество ухоженных газонов, клумб, деревьев.
Пешеходность: комфортные пешеходные дорожки, переходы, тротуары.
Чистый город 
Чистый воздух
")</f>
        <v>Озеленение: большое количество ухоженных газонов, клумб, деревьев.
Пешеходность: комфортные пешеходные дорожки, переходы, тротуары.
Чистый город 
Чистый воздух
</v>
      </c>
      <c r="O25" s="6" t="str">
        <f>IFERROR(__xludf.DUMMYFUNCTION("""COMPUTED_VALUE"""),"Внешний облик многоквартирных домов.
Дороги.
")</f>
        <v>Внешний облик многоквартирных домов.
Дороги.
</v>
      </c>
      <c r="P25" s="6" t="str">
        <f>IFERROR(__xludf.DUMMYFUNCTION("""COMPUTED_VALUE"""),"Яндекс афиша, знакомые.")</f>
        <v>Яндекс афиша, знакомые.</v>
      </c>
      <c r="Q25"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25" s="6" t="str">
        <f>IFERROR(__xludf.DUMMYFUNCTION("""COMPUTED_VALUE"""),"День Города, День Шахтера, Новый Год")</f>
        <v>День Города, День Шахтера, Новый Год</v>
      </c>
      <c r="S25" s="6" t="str">
        <f>IFERROR(__xludf.DUMMYFUNCTION("""COMPUTED_VALUE"""),"Нет, не приходилось")</f>
        <v>Нет, не приходилось</v>
      </c>
      <c r="T25" s="6" t="str">
        <f>IFERROR(__xludf.DUMMYFUNCTION("""COMPUTED_VALUE"""),"К сожалению, известен негативными новостями: Зимняя Вишня, шахты, тупик в плане транспортной развязки.")</f>
        <v>К сожалению, известен негативными новостями: Зимняя Вишня, шахты, тупик в плане транспортной развязки.</v>
      </c>
      <c r="U25" s="6" t="str">
        <f>IFERROR(__xludf.DUMMYFUNCTION("""COMPUTED_VALUE"""),"Набережная, пр. Советский и все что прилегает к нему.")</f>
        <v>Набережная, пр. Советский и все что прилегает к нему.</v>
      </c>
      <c r="V25" s="6" t="str">
        <f>IFERROR(__xludf.DUMMYFUNCTION("""COMPUTED_VALUE"""),"Построили себе коттеджи за городом.
")</f>
        <v>Построили себе коттеджи за городом.
</v>
      </c>
      <c r="W25" s="6" t="str">
        <f>IFERROR(__xludf.DUMMYFUNCTION("""COMPUTED_VALUE"""),"Безответственные, почти каждый считает, что ему кто-то что-то должен.
Ленивы.
Добрые.")</f>
        <v>Безответственные, почти каждый считает, что ему кто-то что-то должен.
Ленивы.
Добрые.</v>
      </c>
      <c r="X25" s="6" t="str">
        <f>IFERROR(__xludf.DUMMYFUNCTION("""COMPUTED_VALUE"""),"От парка Ангелов до набережной по Весенней")</f>
        <v>От парка Ангелов до набережной по Весенней</v>
      </c>
      <c r="Y25" s="6" t="str">
        <f>IFERROR(__xludf.DUMMYFUNCTION("""COMPUTED_VALUE"""),"Рок-концерт пару лет назад от стройсервиса.
Зимняя вишня, этим мы увековечили себя в истории.")</f>
        <v>Рок-концерт пару лет назад от стройсервиса.
Зимняя вишня, этим мы увековечили себя в истории.</v>
      </c>
      <c r="Z25" s="6" t="str">
        <f>IFERROR(__xludf.DUMMYFUNCTION("""COMPUTED_VALUE"""),"Рок-концерт входит в этот список, а еще был неплохой Небо-фест.")</f>
        <v>Рок-концерт входит в этот список, а еще был неплохой Небо-фест.</v>
      </c>
      <c r="AA25" s="6" t="str">
        <f>IFERROR(__xludf.DUMMYFUNCTION("""COMPUTED_VALUE"""),"Отставка Тулеева, Зимняя вишня")</f>
        <v>Отставка Тулеева, Зимняя вишня</v>
      </c>
      <c r="AB25" s="6" t="str">
        <f>IFERROR(__xludf.DUMMYFUNCTION("""COMPUTED_VALUE"""),"Любительских театров")</f>
        <v>Любительских театров</v>
      </c>
      <c r="AC25" s="6" t="str">
        <f>IFERROR(__xludf.DUMMYFUNCTION("""COMPUTED_VALUE"""),"Выставки, бесплатные концерты на большой территории, ярмарки")</f>
        <v>Выставки, бесплатные концерты на большой территории, ярмарки</v>
      </c>
      <c r="AD25" s="6" t="str">
        <f>IFERROR(__xludf.DUMMYFUNCTION("""COMPUTED_VALUE"""),"Не могу сказать")</f>
        <v>Не могу сказать</v>
      </c>
      <c r="AE25" s="6" t="str">
        <f>IFERROR(__xludf.DUMMYFUNCTION("""COMPUTED_VALUE"""),"Женский")</f>
        <v>Женский</v>
      </c>
      <c r="AF25" s="6" t="str">
        <f>IFERROR(__xludf.DUMMYFUNCTION("""COMPUTED_VALUE"""),"30-44")</f>
        <v>30-44</v>
      </c>
      <c r="AG25" s="6"/>
      <c r="AH25" s="6"/>
      <c r="AI25" s="6"/>
      <c r="AJ25" s="6"/>
      <c r="AK25" s="6"/>
      <c r="AL25" s="6"/>
      <c r="AM25" s="6"/>
    </row>
    <row r="26">
      <c r="A26" s="4">
        <v>25.0</v>
      </c>
      <c r="B26" s="6" t="str">
        <f>IFERROR(__xludf.DUMMYFUNCTION("""COMPUTED_VALUE"""),"Преподаю в вузе ")</f>
        <v>Преподаю в вузе </v>
      </c>
      <c r="C26" s="6" t="str">
        <f>IFERROR(__xludf.DUMMYFUNCTION("""COMPUTED_VALUE"""),"Чтение, шитьё, просмотр сериалов, разведение цветов, вязание, пешие прогулки ")</f>
        <v>Чтение, шитьё, просмотр сериалов, разведение цветов, вязание, пешие прогулки </v>
      </c>
      <c r="D26" s="6" t="str">
        <f>IFERROR(__xludf.DUMMYFUNCTION("""COMPUTED_VALUE"""),"Лесная поляна, называем просто Поляна")</f>
        <v>Лесная поляна, называем просто Поляна</v>
      </c>
      <c r="E26" s="6" t="str">
        <f>IFERROR(__xludf.DUMMYFUNCTION("""COMPUTED_VALUE"""),"Бульвар Осенний, парк, смотровая площадка у оленя , ботанический сад ")</f>
        <v>Бульвар Осенний, парк, смотровая площадка у оленя , ботанический сад </v>
      </c>
      <c r="F26" s="6" t="str">
        <f>IFERROR(__xludf.DUMMYFUNCTION("""COMPUTED_VALUE"""),"Переехал сюда из другого места (откуда? укажите в графе другое), Нижний Новгород ")</f>
        <v>Переехал сюда из другого места (откуда? укажите в графе другое), Нижний Новгород </v>
      </c>
      <c r="G26" s="6" t="str">
        <f>IFERROR(__xludf.DUMMYFUNCTION("""COMPUTED_VALUE"""),"Набережная Томи, Бор, парк Ангелов")</f>
        <v>Набережная Томи, Бор, парк Ангелов</v>
      </c>
      <c r="H26" s="6" t="str">
        <f>IFERROR(__xludf.DUMMYFUNCTION("""COMPUTED_VALUE"""),"Река, набережная, улица Весенняя, фонтан, проспект")</f>
        <v>Река, набережная, улица Весенняя, фонтан, проспект</v>
      </c>
      <c r="I26" s="6" t="str">
        <f>IFERROR(__xludf.DUMMYFUNCTION("""COMPUTED_VALUE"""),"Волков,, Леонов, Фёдоров ")</f>
        <v>Волков,, Леонов, Фёдоров </v>
      </c>
      <c r="J26" s="6" t="str">
        <f>IFERROR(__xludf.DUMMYFUNCTION("""COMPUTED_VALUE"""),"Владимир Михайлов ")</f>
        <v>Владимир Михайлов </v>
      </c>
      <c r="K26" s="6" t="str">
        <f>IFERROR(__xludf.DUMMYFUNCTION("""COMPUTED_VALUE"""),"Площадь Волкова, набережная, парк Ангелов, бульвар Строителей и около  военного училища, район Лесной поляны , Красная Горка")</f>
        <v>Площадь Волкова, набережная, парк Ангелов, бульвар Строителей и около  военного училища, район Лесной поляны , Красная Горка</v>
      </c>
      <c r="L26" s="6" t="str">
        <f>IFERROR(__xludf.DUMMYFUNCTION("""COMPUTED_VALUE"""),"Не знаю ")</f>
        <v>Не знаю </v>
      </c>
      <c r="M26" s="6" t="str">
        <f>IFERROR(__xludf.DUMMYFUNCTION("""COMPUTED_VALUE"""),"Досточка,")</f>
        <v>Досточка,</v>
      </c>
      <c r="N26" s="6" t="str">
        <f>IFERROR(__xludf.DUMMYFUNCTION("""COMPUTED_VALUE"""),"Чистота и экология, хорошие дороги, много парков и скверов,  налаженный и чистый транспорт, инфраструктура ( магазины с качественным ассортиментом, кинотеатры, театры, музеи, спортсооружения)")</f>
        <v>Чистота и экология, хорошие дороги, много парков и скверов,  налаженный и чистый транспорт, инфраструктура ( магазины с качественным ассортиментом, кинотеатры, театры, музеи, спортсооружения)</v>
      </c>
      <c r="O26" s="6" t="str">
        <f>IFERROR(__xludf.DUMMYFUNCTION("""COMPUTED_VALUE"""),"Отмыть ")</f>
        <v>Отмыть </v>
      </c>
      <c r="P26" s="6" t="str">
        <f>IFERROR(__xludf.DUMMYFUNCTION("""COMPUTED_VALUE"""),"Афиша Кемерово, сибдепо, все 42,")</f>
        <v>Афиша Кемерово, сибдепо, все 42,</v>
      </c>
      <c r="Q26"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26" s="6" t="str">
        <f>IFERROR(__xludf.DUMMYFUNCTION("""COMPUTED_VALUE"""),"День Победы, день шахтёра, ")</f>
        <v>День Победы, день шахтёра, </v>
      </c>
      <c r="S26" s="6" t="str">
        <f>IFERROR(__xludf.DUMMYFUNCTION("""COMPUTED_VALUE"""),"Нет, не приходилось")</f>
        <v>Нет, не приходилось</v>
      </c>
      <c r="T26" s="6" t="str">
        <f>IFERROR(__xludf.DUMMYFUNCTION("""COMPUTED_VALUE"""),"Памятник Шахтёру и Красная Горка")</f>
        <v>Памятник Шахтёру и Красная Горка</v>
      </c>
      <c r="U26" s="6" t="str">
        <f>IFERROR(__xludf.DUMMYFUNCTION("""COMPUTED_VALUE"""),"Площадь Волкова")</f>
        <v>Площадь Волкова</v>
      </c>
      <c r="V26" s="6" t="str">
        <f>IFERROR(__xludf.DUMMYFUNCTION("""COMPUTED_VALUE"""),"Промышленность")</f>
        <v>Промышленность</v>
      </c>
      <c r="W26" s="6" t="str">
        <f>IFERROR(__xludf.DUMMYFUNCTION("""COMPUTED_VALUE"""),"Основательные, хозяйственные")</f>
        <v>Основательные, хозяйственные</v>
      </c>
      <c r="X26" s="6" t="str">
        <f>IFERROR(__xludf.DUMMYFUNCTION("""COMPUTED_VALUE"""),"Площадь Волкова,  Улица весенняя и набережная ")</f>
        <v>Площадь Волкова,  Улица весенняя и набережная </v>
      </c>
      <c r="Y26" s="6" t="str">
        <f>IFERROR(__xludf.DUMMYFUNCTION("""COMPUTED_VALUE"""),"Концерт Дмитрия Хворостовского в день шахтёра на площади ")</f>
        <v>Концерт Дмитрия Хворостовского в день шахтёра на площади </v>
      </c>
      <c r="Z26" s="6" t="str">
        <f>IFERROR(__xludf.DUMMYFUNCTION("""COMPUTED_VALUE"""),"Концерт «доктор Ватсон» ко дню победы ")</f>
        <v>Концерт «доктор Ватсон» ко дню победы </v>
      </c>
      <c r="AA26" s="6" t="str">
        <f>IFERROR(__xludf.DUMMYFUNCTION("""COMPUTED_VALUE"""),"Отказ выезда полиции когда убивали девушку")</f>
        <v>Отказ выезда полиции когда убивали девушку</v>
      </c>
      <c r="AB26" s="6" t="str">
        <f>IFERROR(__xludf.DUMMYFUNCTION("""COMPUTED_VALUE"""),"Музыкальных кафе, канатную дорогу из парка чудес в Бор")</f>
        <v>Музыкальных кафе, канатную дорогу из парка чудес в Бор</v>
      </c>
      <c r="AC26" s="6" t="str">
        <f>IFERROR(__xludf.DUMMYFUNCTION("""COMPUTED_VALUE"""),"Спортивные- ")</f>
        <v>Спортивные- </v>
      </c>
      <c r="AD26" s="6" t="str">
        <f>IFERROR(__xludf.DUMMYFUNCTION("""COMPUTED_VALUE"""),"Созидания")</f>
        <v>Созидания</v>
      </c>
      <c r="AE26" s="6" t="str">
        <f>IFERROR(__xludf.DUMMYFUNCTION("""COMPUTED_VALUE"""),"Женский")</f>
        <v>Женский</v>
      </c>
      <c r="AF26" s="6" t="str">
        <f>IFERROR(__xludf.DUMMYFUNCTION("""COMPUTED_VALUE"""),"старше 55")</f>
        <v>старше 55</v>
      </c>
      <c r="AG26" s="6"/>
      <c r="AH26" s="6"/>
      <c r="AI26" s="6"/>
      <c r="AJ26" s="6"/>
      <c r="AK26" s="6"/>
      <c r="AL26" s="6"/>
      <c r="AM26" s="6"/>
    </row>
    <row r="27">
      <c r="A27" s="4">
        <v>26.0</v>
      </c>
      <c r="B27" s="6" t="str">
        <f>IFERROR(__xludf.DUMMYFUNCTION("""COMPUTED_VALUE"""),"Образование. Преподаю в колледже")</f>
        <v>Образование. Преподаю в колледже</v>
      </c>
      <c r="C27" s="6" t="str">
        <f>IFERROR(__xludf.DUMMYFUNCTION("""COMPUTED_VALUE"""),"нет")</f>
        <v>нет</v>
      </c>
      <c r="D27" s="6" t="str">
        <f>IFERROR(__xludf.DUMMYFUNCTION("""COMPUTED_VALUE"""),"Центральный")</f>
        <v>Центральный</v>
      </c>
      <c r="E27" s="6" t="str">
        <f>IFERROR(__xludf.DUMMYFUNCTION("""COMPUTED_VALUE"""),"В районе официальном - все исторические здания центра: на Арочной, Набережная и т.д.")</f>
        <v>В районе официальном - все исторические здания центра: на Арочной, Набережная и т.д.</v>
      </c>
      <c r="F27" s="6" t="str">
        <f>IFERROR(__xludf.DUMMYFUNCTION("""COMPUTED_VALUE"""),"Живу здесь с рождения")</f>
        <v>Живу здесь с рождения</v>
      </c>
      <c r="G27" s="6" t="str">
        <f>IFERROR(__xludf.DUMMYFUNCTION("""COMPUTED_VALUE"""),"Комсомольский парк, Красная Горка, Набережная Томи, парки, где гулять с детьми (Комсомольский, Антошка, Жукова), Металлплощадка, Журавли, Кировская набережная, Сосновый бор, Кедровый бор, Елыкаевская слобода")</f>
        <v>Комсомольский парк, Красная Горка, Набережная Томи, парки, где гулять с детьми (Комсомольский, Антошка, Жукова), Металлплощадка, Журавли, Кировская набережная, Сосновый бор, Кедровый бор, Елыкаевская слобода</v>
      </c>
      <c r="H27" s="6" t="str">
        <f>IFERROR(__xludf.DUMMYFUNCTION("""COMPUTED_VALUE"""),"простор, набережная, заводы, газ, баннеры")</f>
        <v>простор, набережная, заводы, газ, баннеры</v>
      </c>
      <c r="I27" s="6" t="str">
        <f>IFERROR(__xludf.DUMMYFUNCTION("""COMPUTED_VALUE"""),"Вера Волошина, Себальд Рутгерс, Ван Лохем, Белла Ахмадулина, Геннадий Юров, Владимир Мазаев")</f>
        <v>Вера Волошина, Себальд Рутгерс, Ван Лохем, Белла Ахмадулина, Геннадий Юров, Владимир Мазаев</v>
      </c>
      <c r="J27" s="6" t="str">
        <f>IFERROR(__xludf.DUMMYFUNCTION("""COMPUTED_VALUE"""),"Ирина Федорова, Борис Гребенщиков, Лидия Цуканова")</f>
        <v>Ирина Федорова, Борис Гребенщиков, Лидия Цуканова</v>
      </c>
      <c r="K27" s="6" t="str">
        <f>IFERROR(__xludf.DUMMYFUNCTION("""COMPUTED_VALUE"""),"Набережная в Кировском, Церковь в пос. Комиссарово, ")</f>
        <v>Набережная в Кировском, Церковь в пос. Комиссарово, </v>
      </c>
      <c r="L27" s="6" t="str">
        <f>IFERROR(__xludf.DUMMYFUNCTION("""COMPUTED_VALUE"""),"Город Кемерово иногда путали с прибалтийским курортным городком Кемери.")</f>
        <v>Город Кемерово иногда путали с прибалтийским курортным городком Кемери.</v>
      </c>
      <c r="M27" s="6" t="str">
        <f>IFERROR(__xludf.DUMMYFUNCTION("""COMPUTED_VALUE"""),"Швейка, Соцгород, народные названия советских магазинов (профессорский, чёрный и т.д.)")</f>
        <v>Швейка, Соцгород, народные названия советских магазинов (профессорский, чёрный и т.д.)</v>
      </c>
      <c r="N27" s="6" t="str">
        <f>IFERROR(__xludf.DUMMYFUNCTION("""COMPUTED_VALUE"""),"Города идеального? Чистота тротуаров, воспитанные жители, много деревьев и многолетних клумб, в парках больше тишины - меньше аттракционов, гармоничная (а не точечная застройка)")</f>
        <v>Города идеального? Чистота тротуаров, воспитанные жители, много деревьев и многолетних клумб, в парках больше тишины - меньше аттракционов, гармоничная (а не точечная застройка)</v>
      </c>
      <c r="O27" s="6" t="str">
        <f>IFERROR(__xludf.DUMMYFUNCTION("""COMPUTED_VALUE"""),"См. вопрос 13 + привести в гармоничный вид вывески магазинов (убрать бьющий по глазам красный), сократить количество баннеров, в том числе и социальных, патриотических, убрать баннеры ко Дню победы с пивных магазинов и мусоровозов!!! Штрафовать за окурки/"&amp;"курение на остановках, за парковку на газонах, привести в порядок пространство возле 5 поликлиники (не проехать - не пройти!), убрать шторки в маршрутках и автобусах (грязь и неудобство), запретить заклеивать окна в маршрутках рекламой (ограничить размер)"&amp;"...")</f>
        <v>См. вопрос 13 + привести в гармоничный вид вывески магазинов (убрать бьющий по глазам красный), сократить количество баннеров, в том числе и социальных, патриотических, убрать баннеры ко Дню победы с пивных магазинов и мусоровозов!!! Штрафовать за окурки/курение на остановках, за парковку на газонах, привести в порядок пространство возле 5 поликлиники (не проехать - не пройти!), убрать шторки в маршрутках и автобусах (грязь и неудобство), запретить заклеивать окна в маршрутках рекламой (ограничить размер)...</v>
      </c>
      <c r="P27" s="6" t="str">
        <f>IFERROR(__xludf.DUMMYFUNCTION("""COMPUTED_VALUE"""),"Фейсбук, новости ТВ, обсуждения и советы коллег")</f>
        <v>Фейсбук, новости ТВ, обсуждения и советы коллег</v>
      </c>
      <c r="Q27"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ак"&amp;"ции/запуск новых предприятий), Где погулять, пофотаться?")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 Где погулять, пофотаться?</v>
      </c>
      <c r="R27" s="6" t="str">
        <f>IFERROR(__xludf.DUMMYFUNCTION("""COMPUTED_VALUE"""),"Не люблю общегородских праздников")</f>
        <v>Не люблю общегородских праздников</v>
      </c>
      <c r="S27" s="6" t="str">
        <f>IFERROR(__xludf.DUMMYFUNCTION("""COMPUTED_VALUE"""),"Нет, не приходилось")</f>
        <v>Нет, не приходилось</v>
      </c>
      <c r="T27" s="6" t="str">
        <f>IFERROR(__xludf.DUMMYFUNCTION("""COMPUTED_VALUE"""),"АИК ""Кузбасс"", Бор, Эрнст Неизвестный, Архитектура (конструктивизм - сталинский ампир): Весенняя-Арочная-Набережная-Советский. Томь, Сосновый бор, мосты")</f>
        <v>АИК "Кузбасс", Бор, Эрнст Неизвестный, Архитектура (конструктивизм - сталинский ампир): Весенняя-Арочная-Набережная-Советский. Томь, Сосновый бор, мосты</v>
      </c>
      <c r="U27" s="6" t="str">
        <f>IFERROR(__xludf.DUMMYFUNCTION("""COMPUTED_VALUE"""),"Набережная, вид от Цирка, мосты, вид от Эрнста Неизвестного, Телевышку")</f>
        <v>Набережная, вид от Цирка, мосты, вид от Эрнста Неизвестного, Телевышку</v>
      </c>
      <c r="V27" s="6" t="str">
        <f>IFERROR(__xludf.DUMMYFUNCTION("""COMPUTED_VALUE"""),"А обязательно гордиться, особенно собой? Можно просто любить, даже вопреки? Построили его, наверное)))")</f>
        <v>А обязательно гордиться, особенно собой? Можно просто любить, даже вопреки? Построили его, наверное)))</v>
      </c>
      <c r="W27" s="6" t="str">
        <f>IFERROR(__xludf.DUMMYFUNCTION("""COMPUTED_VALUE"""),"Суровые, стойкие и мужественные")</f>
        <v>Суровые, стойкие и мужественные</v>
      </c>
      <c r="X27" s="6" t="str">
        <f>IFERROR(__xludf.DUMMYFUNCTION("""COMPUTED_VALUE"""),"Крутой - подняться в горку от Моста до Радуги. Можно на велосипеде. Забраться на любую горку. Крутую.")</f>
        <v>Крутой - подняться в горку от Моста до Радуги. Можно на велосипеде. Забраться на любую горку. Крутую.</v>
      </c>
      <c r="Y27" s="6" t="str">
        <f>IFERROR(__xludf.DUMMYFUNCTION("""COMPUTED_VALUE"""),"Концерт Бориса Гребенщикова на площади Советов")</f>
        <v>Концерт Бориса Гребенщикова на площади Советов</v>
      </c>
      <c r="Z27" s="6" t="str">
        <f>IFERROR(__xludf.DUMMYFUNCTION("""COMPUTED_VALUE"""),"События как Event? Рок-концерт возле Магнита")</f>
        <v>События как Event? Рок-концерт возле Магнита</v>
      </c>
      <c r="AA27" s="6" t="str">
        <f>IFERROR(__xludf.DUMMYFUNCTION("""COMPUTED_VALUE"""),"Снос деревьев на Октябрьском")</f>
        <v>Снос деревьев на Октябрьском</v>
      </c>
      <c r="AB27" s="6" t="str">
        <f>IFERROR(__xludf.DUMMYFUNCTION("""COMPUTED_VALUE"""),"Открытые лекции, развитие детей")</f>
        <v>Открытые лекции, развитие детей</v>
      </c>
      <c r="AC27" s="6" t="str">
        <f>IFERROR(__xludf.DUMMYFUNCTION("""COMPUTED_VALUE"""),"Открытые концертные площадки, уличные музыканты, художники, вкусняшки, кулинарные фестивали")</f>
        <v>Открытые концертные площадки, уличные музыканты, художники, вкусняшки, кулинарные фестивали</v>
      </c>
      <c r="AD27" s="6" t="str">
        <f>IFERROR(__xludf.DUMMYFUNCTION("""COMPUTED_VALUE"""),"В любой")</f>
        <v>В любой</v>
      </c>
      <c r="AE27" s="6" t="str">
        <f>IFERROR(__xludf.DUMMYFUNCTION("""COMPUTED_VALUE"""),"Женский")</f>
        <v>Женский</v>
      </c>
      <c r="AF27" s="6" t="str">
        <f>IFERROR(__xludf.DUMMYFUNCTION("""COMPUTED_VALUE"""),"старше 55")</f>
        <v>старше 55</v>
      </c>
      <c r="AG27" s="6"/>
      <c r="AH27" s="6"/>
      <c r="AI27" s="6"/>
      <c r="AJ27" s="6"/>
      <c r="AK27" s="6"/>
      <c r="AL27" s="6"/>
      <c r="AM27" s="6"/>
    </row>
    <row r="28">
      <c r="A28" s="4">
        <v>27.0</v>
      </c>
      <c r="B28" s="6" t="str">
        <f>IFERROR(__xludf.DUMMYFUNCTION("""COMPUTED_VALUE"""),"программист, графический дизайнер, копирайтер")</f>
        <v>программист, графический дизайнер, копирайтер</v>
      </c>
      <c r="C28" s="6" t="str">
        <f>IFERROR(__xludf.DUMMYFUNCTION("""COMPUTED_VALUE"""),"активный отдых, чтение")</f>
        <v>активный отдых, чтение</v>
      </c>
      <c r="D28" s="6" t="str">
        <f>IFERROR(__xludf.DUMMYFUNCTION("""COMPUTED_VALUE"""),"Центральный")</f>
        <v>Центральный</v>
      </c>
      <c r="E28" s="6" t="str">
        <f>IFERROR(__xludf.DUMMYFUNCTION("""COMPUTED_VALUE"""),"Набережная, центр, Весенняя, парк Ангелов")</f>
        <v>Набережная, центр, Весенняя, парк Ангелов</v>
      </c>
      <c r="F28" s="6" t="str">
        <f>IFERROR(__xludf.DUMMYFUNCTION("""COMPUTED_VALUE"""),"Переехал сюда из другого места (откуда? укажите в графе другое), Томск")</f>
        <v>Переехал сюда из другого места (откуда? укажите в графе другое), Томск</v>
      </c>
      <c r="G28" s="6" t="str">
        <f>IFERROR(__xludf.DUMMYFUNCTION("""COMPUTED_VALUE"""),"Набережная, центр, горсад, парк Антошка, Пионерский бульвар, Бульвар Строителей.")</f>
        <v>Набережная, центр, горсад, парк Антошка, Пионерский бульвар, Бульвар Строителей.</v>
      </c>
      <c r="H28" s="6" t="str">
        <f>IFERROR(__xludf.DUMMYFUNCTION("""COMPUTED_VALUE"""),"промышленный, провинциальный, депрессивный, криминальный, бедный")</f>
        <v>промышленный, провинциальный, депрессивный, криминальный, бедный</v>
      </c>
      <c r="I28" s="6" t="str">
        <f>IFERROR(__xludf.DUMMYFUNCTION("""COMPUTED_VALUE"""),"Михайло Волков, Василий Федоров")</f>
        <v>Михайло Волков, Василий Федоров</v>
      </c>
      <c r="J28" s="6" t="str">
        <f>IFERROR(__xludf.DUMMYFUNCTION("""COMPUTED_VALUE"""),"не знаю таких")</f>
        <v>не знаю таких</v>
      </c>
      <c r="K28" s="6" t="str">
        <f>IFERROR(__xludf.DUMMYFUNCTION("""COMPUTED_VALUE"""),"Фонтан в парке Ангелов")</f>
        <v>Фонтан в парке Ангелов</v>
      </c>
      <c r="L28" s="6" t="str">
        <f>IFERROR(__xludf.DUMMYFUNCTION("""COMPUTED_VALUE"""),"известные истории: Зимняя вишня ")</f>
        <v>известные истории: Зимняя вишня </v>
      </c>
      <c r="M28" s="6" t="str">
        <f>IFERROR(__xludf.DUMMYFUNCTION("""COMPUTED_VALUE"""),"нет")</f>
        <v>нет</v>
      </c>
      <c r="N28" s="6" t="str">
        <f>IFERROR(__xludf.DUMMYFUNCTION("""COMPUTED_VALUE"""),"предприятия с рабочими местами, доступное жилье, детская инфраструктура, социальная инфраструктура и медицина, благоустроенная городская среда")</f>
        <v>предприятия с рабочими местами, доступное жилье, детская инфраструктура, социальная инфраструктура и медицина, благоустроенная городская среда</v>
      </c>
      <c r="O28" s="6" t="str">
        <f>IFERROR(__xludf.DUMMYFUNCTION("""COMPUTED_VALUE"""),"Заасфальтировать тротуары, битые со времен СССР; 
Привести в порядок разрушающуюся набережную в горсаду; 
Вместе с новыми домами строить подземные гаражи, чтобы жители не заставляли дворы машинами;
На месте пустырей обустроить места досуга и отдыха горожа"&amp;"н;
Установить в каждом парке и сквере ПЛАТНЫЕ ЧИСТЫЕ общественные туалеты, т к бесплатные настолько сильно уделываются и редко убираются, что без отвращения невозможно даже близко подойти, особенно с ребенком;
Обустроить пляж в черте города недалеко от це"&amp;"нтра.")</f>
        <v>Заасфальтировать тротуары, битые со времен СССР; 
Привести в порядок разрушающуюся набережную в горсаду; 
Вместе с новыми домами строить подземные гаражи, чтобы жители не заставляли дворы машинами;
На месте пустырей обустроить места досуга и отдыха горожан;
Установить в каждом парке и сквере ПЛАТНЫЕ ЧИСТЫЕ общественные туалеты, т к бесплатные настолько сильно уделываются и редко убираются, что без отвращения невозможно даже близко подойти, особенно с ребенком;
Обустроить пляж в черте города недалеко от центра.</v>
      </c>
      <c r="P28" s="6" t="str">
        <f>IFERROR(__xludf.DUMMYFUNCTION("""COMPUTED_VALUE"""),"Интернет (преимущественно VK), личное общение офлайн")</f>
        <v>Интернет (преимущественно VK), личное общение офлайн</v>
      </c>
      <c r="Q2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28" s="6" t="str">
        <f>IFERROR(__xludf.DUMMYFUNCTION("""COMPUTED_VALUE"""),"Все")</f>
        <v>Все</v>
      </c>
      <c r="S28" s="6" t="str">
        <f>IFERROR(__xludf.DUMMYFUNCTION("""COMPUTED_VALUE"""),"Писал и расклеивал объявления/афиши, Через социальные сети (Какие? Укажите в графе другое), Делал рассылку по электронной почте, VK")</f>
        <v>Писал и расклеивал объявления/афиши, Через социальные сети (Какие? Укажите в графе другое), Делал рассылку по электронной почте, VK</v>
      </c>
      <c r="T28" s="6" t="str">
        <f>IFERROR(__xludf.DUMMYFUNCTION("""COMPUTED_VALUE"""),"Известен за пределами Зимней вишней; для жителей и гостей в Кемерово нет ничего уникального, обычный провинциальный город.")</f>
        <v>Известен за пределами Зимней вишней; для жителей и гостей в Кемерово нет ничего уникального, обычный провинциальный город.</v>
      </c>
      <c r="U28" s="6" t="str">
        <f>IFERROR(__xludf.DUMMYFUNCTION("""COMPUTED_VALUE"""),"Исторический центр, горсад, набережная. ул Весенняя")</f>
        <v>Исторический центр, горсад, набережная. ул Весенняя</v>
      </c>
      <c r="V28" s="6" t="str">
        <f>IFERROR(__xludf.DUMMYFUNCTION("""COMPUTED_VALUE"""),"не знаю")</f>
        <v>не знаю</v>
      </c>
      <c r="W28" s="6" t="str">
        <f>IFERROR(__xludf.DUMMYFUNCTION("""COMPUTED_VALUE"""),"закрытые, депрессивные")</f>
        <v>закрытые, депрессивные</v>
      </c>
      <c r="X28" s="6" t="str">
        <f>IFERROR(__xludf.DUMMYFUNCTION("""COMPUTED_VALUE"""),"исторический центр, набережная, горсад")</f>
        <v>исторический центр, набережная, горсад</v>
      </c>
      <c r="Y28" s="6" t="str">
        <f>IFERROR(__xludf.DUMMYFUNCTION("""COMPUTED_VALUE"""),"Из позитивного ничего")</f>
        <v>Из позитивного ничего</v>
      </c>
      <c r="Z28" s="6" t="str">
        <f>IFERROR(__xludf.DUMMYFUNCTION("""COMPUTED_VALUE"""),"не было таких")</f>
        <v>не было таких</v>
      </c>
      <c r="AA28" s="6" t="str">
        <f>IFERROR(__xludf.DUMMYFUNCTION("""COMPUTED_VALUE"""),"весенне-летний локдаун 2020")</f>
        <v>весенне-летний локдаун 2020</v>
      </c>
      <c r="AB28" s="6" t="str">
        <f>IFERROR(__xludf.DUMMYFUNCTION("""COMPUTED_VALUE"""),"Этого хватает")</f>
        <v>Этого хватает</v>
      </c>
      <c r="AC28" s="6" t="str">
        <f>IFERROR(__xludf.DUMMYFUNCTION("""COMPUTED_VALUE"""),"Детские досуговые, ну и все прочие, кроме гей парадов. Больше позитива.")</f>
        <v>Детские досуговые, ну и все прочие, кроме гей парадов. Больше позитива.</v>
      </c>
      <c r="AD28" s="6" t="str">
        <f>IFERROR(__xludf.DUMMYFUNCTION("""COMPUTED_VALUE"""),"в роли жителя города, мнение которого что-то значит ")</f>
        <v>в роли жителя города, мнение которого что-то значит </v>
      </c>
      <c r="AE28" s="6" t="str">
        <f>IFERROR(__xludf.DUMMYFUNCTION("""COMPUTED_VALUE"""),"Женский")</f>
        <v>Женский</v>
      </c>
      <c r="AF28" s="6" t="str">
        <f>IFERROR(__xludf.DUMMYFUNCTION("""COMPUTED_VALUE"""),"30-44")</f>
        <v>30-44</v>
      </c>
      <c r="AG28" s="6"/>
      <c r="AH28" s="6"/>
      <c r="AI28" s="6"/>
      <c r="AJ28" s="6"/>
      <c r="AK28" s="6"/>
      <c r="AL28" s="6"/>
      <c r="AM28" s="6"/>
    </row>
    <row r="29">
      <c r="A29" s="4">
        <v>28.0</v>
      </c>
      <c r="B29" s="6" t="str">
        <f>IFERROR(__xludf.DUMMYFUNCTION("""COMPUTED_VALUE"""),"Преподаю в вузе ")</f>
        <v>Преподаю в вузе </v>
      </c>
      <c r="C29" s="6" t="str">
        <f>IFERROR(__xludf.DUMMYFUNCTION("""COMPUTED_VALUE"""),"Чтение, шитьё, просмотр сериалов, разведение цветов, вязание, пешие прогулки ")</f>
        <v>Чтение, шитьё, просмотр сериалов, разведение цветов, вязание, пешие прогулки </v>
      </c>
      <c r="D29" s="6" t="str">
        <f>IFERROR(__xludf.DUMMYFUNCTION("""COMPUTED_VALUE"""),"Лесная поляна, называем просто Поляна")</f>
        <v>Лесная поляна, называем просто Поляна</v>
      </c>
      <c r="E29" s="6" t="str">
        <f>IFERROR(__xludf.DUMMYFUNCTION("""COMPUTED_VALUE"""),"Бульвар Осенний, парк, смотровая площадка у оленя , ботанический сад ")</f>
        <v>Бульвар Осенний, парк, смотровая площадка у оленя , ботанический сад </v>
      </c>
      <c r="F29" s="6" t="str">
        <f>IFERROR(__xludf.DUMMYFUNCTION("""COMPUTED_VALUE"""),"Переехал сюда из другого места (откуда? укажите в графе другое), Нижний Новгород ")</f>
        <v>Переехал сюда из другого места (откуда? укажите в графе другое), Нижний Новгород </v>
      </c>
      <c r="G29" s="6" t="str">
        <f>IFERROR(__xludf.DUMMYFUNCTION("""COMPUTED_VALUE"""),"Набережная Томи, Бор, парк Ангелов")</f>
        <v>Набережная Томи, Бор, парк Ангелов</v>
      </c>
      <c r="H29" s="6" t="str">
        <f>IFERROR(__xludf.DUMMYFUNCTION("""COMPUTED_VALUE"""),"Река, набережная, улица Весенняя, фонтан, проспект")</f>
        <v>Река, набережная, улица Весенняя, фонтан, проспект</v>
      </c>
      <c r="I29" s="6" t="str">
        <f>IFERROR(__xludf.DUMMYFUNCTION("""COMPUTED_VALUE"""),"Волков,, Леонов, Фёдоров ")</f>
        <v>Волков,, Леонов, Фёдоров </v>
      </c>
      <c r="J29" s="6" t="str">
        <f>IFERROR(__xludf.DUMMYFUNCTION("""COMPUTED_VALUE"""),"Владимир Михайлов ")</f>
        <v>Владимир Михайлов </v>
      </c>
      <c r="K29" s="6" t="str">
        <f>IFERROR(__xludf.DUMMYFUNCTION("""COMPUTED_VALUE"""),"Площадь Волкова, набережная, парк Ангелов, бульвар Строителей и около  военного училища, район Лесной поляны , Красная Горка")</f>
        <v>Площадь Волкова, набережная, парк Ангелов, бульвар Строителей и около  военного училища, район Лесной поляны , Красная Горка</v>
      </c>
      <c r="L29" s="6" t="str">
        <f>IFERROR(__xludf.DUMMYFUNCTION("""COMPUTED_VALUE"""),"Не знаю ")</f>
        <v>Не знаю </v>
      </c>
      <c r="M29" s="6" t="str">
        <f>IFERROR(__xludf.DUMMYFUNCTION("""COMPUTED_VALUE"""),"Досточка,")</f>
        <v>Досточка,</v>
      </c>
      <c r="N29" s="6" t="str">
        <f>IFERROR(__xludf.DUMMYFUNCTION("""COMPUTED_VALUE"""),"Чистота и экология, хорошие дороги, много парков и скверов,  налаженный и чистый транспорт, инфраструктура ( магазины с качественным ассортиментом, кинотеатры, театры, музеи, спортсооружения)")</f>
        <v>Чистота и экология, хорошие дороги, много парков и скверов,  налаженный и чистый транспорт, инфраструктура ( магазины с качественным ассортиментом, кинотеатры, театры, музеи, спортсооружения)</v>
      </c>
      <c r="O29" s="6" t="str">
        <f>IFERROR(__xludf.DUMMYFUNCTION("""COMPUTED_VALUE"""),"Отмыть ")</f>
        <v>Отмыть </v>
      </c>
      <c r="P29" s="6" t="str">
        <f>IFERROR(__xludf.DUMMYFUNCTION("""COMPUTED_VALUE"""),"Афиша Кемерово, сибдепо, все 42,")</f>
        <v>Афиша Кемерово, сибдепо, все 42,</v>
      </c>
      <c r="Q29"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29" s="6" t="str">
        <f>IFERROR(__xludf.DUMMYFUNCTION("""COMPUTED_VALUE"""),"День Победы, день шахтёра, ")</f>
        <v>День Победы, день шахтёра, </v>
      </c>
      <c r="S29" s="6" t="str">
        <f>IFERROR(__xludf.DUMMYFUNCTION("""COMPUTED_VALUE"""),"Нет, не приходилось")</f>
        <v>Нет, не приходилось</v>
      </c>
      <c r="T29" s="6" t="str">
        <f>IFERROR(__xludf.DUMMYFUNCTION("""COMPUTED_VALUE"""),"Памятник Шахтёру и Красная Горка")</f>
        <v>Памятник Шахтёру и Красная Горка</v>
      </c>
      <c r="U29" s="6" t="str">
        <f>IFERROR(__xludf.DUMMYFUNCTION("""COMPUTED_VALUE"""),"Площадь Волкова")</f>
        <v>Площадь Волкова</v>
      </c>
      <c r="V29" s="6" t="str">
        <f>IFERROR(__xludf.DUMMYFUNCTION("""COMPUTED_VALUE"""),"Промышленность")</f>
        <v>Промышленность</v>
      </c>
      <c r="W29" s="6" t="str">
        <f>IFERROR(__xludf.DUMMYFUNCTION("""COMPUTED_VALUE"""),"Основательные, хозяйственные")</f>
        <v>Основательные, хозяйственные</v>
      </c>
      <c r="X29" s="6" t="str">
        <f>IFERROR(__xludf.DUMMYFUNCTION("""COMPUTED_VALUE"""),"Площадь Волкова,  Улица весенняя и набережная ")</f>
        <v>Площадь Волкова,  Улица весенняя и набережная </v>
      </c>
      <c r="Y29" s="6" t="str">
        <f>IFERROR(__xludf.DUMMYFUNCTION("""COMPUTED_VALUE"""),"Концерт Дмитрия Хворостовского в день шахтёра на площади ")</f>
        <v>Концерт Дмитрия Хворостовского в день шахтёра на площади </v>
      </c>
      <c r="Z29" s="6" t="str">
        <f>IFERROR(__xludf.DUMMYFUNCTION("""COMPUTED_VALUE"""),"Концерт «доктор Ватсон» ко дню победы ")</f>
        <v>Концерт «доктор Ватсон» ко дню победы </v>
      </c>
      <c r="AA29" s="6" t="str">
        <f>IFERROR(__xludf.DUMMYFUNCTION("""COMPUTED_VALUE"""),"Отказ выезда полиции когда убивали девушку")</f>
        <v>Отказ выезда полиции когда убивали девушку</v>
      </c>
      <c r="AB29" s="6" t="str">
        <f>IFERROR(__xludf.DUMMYFUNCTION("""COMPUTED_VALUE"""),"Музыкальных кафе, канатную дорогу из парка чудес в Бор")</f>
        <v>Музыкальных кафе, канатную дорогу из парка чудес в Бор</v>
      </c>
      <c r="AC29" s="6" t="str">
        <f>IFERROR(__xludf.DUMMYFUNCTION("""COMPUTED_VALUE"""),"Спортивные- ")</f>
        <v>Спортивные- </v>
      </c>
      <c r="AD29" s="6" t="str">
        <f>IFERROR(__xludf.DUMMYFUNCTION("""COMPUTED_VALUE"""),"Созидания")</f>
        <v>Созидания</v>
      </c>
      <c r="AE29" s="6" t="str">
        <f>IFERROR(__xludf.DUMMYFUNCTION("""COMPUTED_VALUE"""),"Женский")</f>
        <v>Женский</v>
      </c>
      <c r="AF29" s="6" t="str">
        <f>IFERROR(__xludf.DUMMYFUNCTION("""COMPUTED_VALUE"""),"старше 55")</f>
        <v>старше 55</v>
      </c>
      <c r="AG29" s="6"/>
      <c r="AH29" s="6"/>
      <c r="AI29" s="6"/>
      <c r="AJ29" s="6"/>
      <c r="AK29" s="6"/>
      <c r="AL29" s="6"/>
      <c r="AM29" s="6"/>
    </row>
    <row r="30">
      <c r="A30" s="4">
        <v>29.0</v>
      </c>
      <c r="B30" s="6" t="str">
        <f>IFERROR(__xludf.DUMMYFUNCTION("""COMPUTED_VALUE"""),"ИТ")</f>
        <v>ИТ</v>
      </c>
      <c r="C30" s="6" t="str">
        <f>IFERROR(__xludf.DUMMYFUNCTION("""COMPUTED_VALUE"""),"Спать")</f>
        <v>Спать</v>
      </c>
      <c r="D30" s="6" t="str">
        <f>IFERROR(__xludf.DUMMYFUNCTION("""COMPUTED_VALUE"""),"Швейка")</f>
        <v>Швейка</v>
      </c>
      <c r="E30" s="6" t="str">
        <f>IFERROR(__xludf.DUMMYFUNCTION("""COMPUTED_VALUE"""),"Парк ангелов")</f>
        <v>Парк ангелов</v>
      </c>
      <c r="F30" s="6" t="str">
        <f>IFERROR(__xludf.DUMMYFUNCTION("""COMPUTED_VALUE"""),"Живу здесь с рождения")</f>
        <v>Живу здесь с рождения</v>
      </c>
      <c r="G30" s="6" t="str">
        <f>IFERROR(__xludf.DUMMYFUNCTION("""COMPUTED_VALUE"""),"В ленту")</f>
        <v>В ленту</v>
      </c>
      <c r="H30" s="6" t="str">
        <f>IFERROR(__xludf.DUMMYFUNCTION("""COMPUTED_VALUE"""),"Уголь, дым, пыль...")</f>
        <v>Уголь, дым, пыль...</v>
      </c>
      <c r="I30" s="6" t="str">
        <f>IFERROR(__xludf.DUMMYFUNCTION("""COMPUTED_VALUE"""),"Волков, тулеев")</f>
        <v>Волков, тулеев</v>
      </c>
      <c r="J30" s="6" t="str">
        <f>IFERROR(__xludf.DUMMYFUNCTION("""COMPUTED_VALUE"""),"?")</f>
        <v>?</v>
      </c>
      <c r="K30" s="6" t="str">
        <f>IFERROR(__xludf.DUMMYFUNCTION("""COMPUTED_VALUE"""),"Томская писаница, хаскиленд")</f>
        <v>Томская писаница, хаскиленд</v>
      </c>
      <c r="L30" s="6" t="str">
        <f>IFERROR(__xludf.DUMMYFUNCTION("""COMPUTED_VALUE"""),"Когда из кугзту выпустился девственница - памятник Волкову упадет")</f>
        <v>Когда из кугзту выпустился девственница - памятник Волкову упадет</v>
      </c>
      <c r="M30" s="6" t="str">
        <f>IFERROR(__xludf.DUMMYFUNCTION("""COMPUTED_VALUE"""),"Нет")</f>
        <v>Нет</v>
      </c>
      <c r="N30" s="6" t="str">
        <f>IFERROR(__xludf.DUMMYFUNCTION("""COMPUTED_VALUE"""),"Широкие проспекты, деревья, отсутствие людей")</f>
        <v>Широкие проспекты, деревья, отсутствие людей</v>
      </c>
      <c r="O30" s="6" t="str">
        <f>IFERROR(__xludf.DUMMYFUNCTION("""COMPUTED_VALUE"""),"Убрать грязь и пыль")</f>
        <v>Убрать грязь и пыль</v>
      </c>
      <c r="P30" s="6" t="str">
        <f>IFERROR(__xludf.DUMMYFUNCTION("""COMPUTED_VALUE"""),"Афиша событий")</f>
        <v>Афиша событий</v>
      </c>
      <c r="Q30"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30" s="6" t="str">
        <f>IFERROR(__xludf.DUMMYFUNCTION("""COMPUTED_VALUE"""),"Новый год")</f>
        <v>Новый год</v>
      </c>
      <c r="S30" s="6" t="str">
        <f>IFERROR(__xludf.DUMMYFUNCTION("""COMPUTED_VALUE"""),"Нет, не приходилось")</f>
        <v>Нет, не приходилось</v>
      </c>
      <c r="T30" s="6" t="str">
        <f>IFERROR(__xludf.DUMMYFUNCTION("""COMPUTED_VALUE"""),"Уголь")</f>
        <v>Уголь</v>
      </c>
      <c r="U30" s="6" t="str">
        <f>IFERROR(__xludf.DUMMYFUNCTION("""COMPUTED_VALUE"""),"Площадь советов")</f>
        <v>Площадь советов</v>
      </c>
      <c r="V30" s="6" t="str">
        <f>IFERROR(__xludf.DUMMYFUNCTION("""COMPUTED_VALUE"""),"Построили город")</f>
        <v>Построили город</v>
      </c>
      <c r="W30" s="6" t="str">
        <f>IFERROR(__xludf.DUMMYFUNCTION("""COMPUTED_VALUE"""),"? ")</f>
        <v>? </v>
      </c>
      <c r="X30" s="6" t="str">
        <f>IFERROR(__xludf.DUMMYFUNCTION("""COMPUTED_VALUE"""),"Ленина, советский")</f>
        <v>Ленина, советский</v>
      </c>
      <c r="Y30" s="6" t="str">
        <f>IFERROR(__xludf.DUMMYFUNCTION("""COMPUTED_VALUE"""),"Нет таких")</f>
        <v>Нет таких</v>
      </c>
      <c r="Z30" s="6" t="str">
        <f>IFERROR(__xludf.DUMMYFUNCTION("""COMPUTED_VALUE"""),"Карантин - на улицах было так мало людей")</f>
        <v>Карантин - на улицах было так мало людей</v>
      </c>
      <c r="AA30" s="6" t="str">
        <f>IFERROR(__xludf.DUMMYFUNCTION("""COMPUTED_VALUE"""),"Ямы на дорогах")</f>
        <v>Ямы на дорогах</v>
      </c>
      <c r="AB30" s="6" t="str">
        <f>IFERROR(__xludf.DUMMYFUNCTION("""COMPUTED_VALUE"""),"Клуба алкоголиков")</f>
        <v>Клуба алкоголиков</v>
      </c>
      <c r="AC30" s="6" t="str">
        <f>IFERROR(__xludf.DUMMYFUNCTION("""COMPUTED_VALUE"""),"Дегустация алкоголя")</f>
        <v>Дегустация алкоголя</v>
      </c>
      <c r="AD30" s="6" t="str">
        <f>IFERROR(__xludf.DUMMYFUNCTION("""COMPUTED_VALUE"""),"Участника")</f>
        <v>Участника</v>
      </c>
      <c r="AE30" s="6" t="str">
        <f>IFERROR(__xludf.DUMMYFUNCTION("""COMPUTED_VALUE"""),"Мужской")</f>
        <v>Мужской</v>
      </c>
      <c r="AF30" s="6" t="str">
        <f>IFERROR(__xludf.DUMMYFUNCTION("""COMPUTED_VALUE"""),"18-29")</f>
        <v>18-29</v>
      </c>
      <c r="AG30" s="6"/>
      <c r="AH30" s="6"/>
      <c r="AI30" s="6"/>
      <c r="AJ30" s="6"/>
      <c r="AK30" s="6"/>
      <c r="AL30" s="6"/>
      <c r="AM30" s="6"/>
    </row>
    <row r="31">
      <c r="A31" s="4">
        <v>30.0</v>
      </c>
      <c r="B31" s="6" t="str">
        <f>IFERROR(__xludf.DUMMYFUNCTION("""COMPUTED_VALUE"""),"редактор СМИ")</f>
        <v>редактор СМИ</v>
      </c>
      <c r="C31" s="6" t="str">
        <f>IFERROR(__xludf.DUMMYFUNCTION("""COMPUTED_VALUE"""),"путешествия")</f>
        <v>путешествия</v>
      </c>
      <c r="D31" s="6" t="str">
        <f>IFERROR(__xludf.DUMMYFUNCTION("""COMPUTED_VALUE"""),"Центральный, Центр")</f>
        <v>Центральный, Центр</v>
      </c>
      <c r="E31" s="6" t="str">
        <f>IFERROR(__xludf.DUMMYFUNCTION("""COMPUTED_VALUE"""),"площадь Советов, Весенняя")</f>
        <v>площадь Советов, Весенняя</v>
      </c>
      <c r="F31" s="6" t="str">
        <f>IFERROR(__xludf.DUMMYFUNCTION("""COMPUTED_VALUE"""),"Переехал сюда из другого места (откуда? укажите в графе другое), из Новосибирска")</f>
        <v>Переехал сюда из другого места (откуда? укажите в графе другое), из Новосибирска</v>
      </c>
      <c r="G31" s="6" t="str">
        <f>IFERROR(__xludf.DUMMYFUNCTION("""COMPUTED_VALUE"""),"на Набережную")</f>
        <v>на Набережную</v>
      </c>
      <c r="H31" s="6" t="str">
        <f>IFERROR(__xludf.DUMMYFUNCTION("""COMPUTED_VALUE"""),"уголь, пыль, Тулеев")</f>
        <v>уголь, пыль, Тулеев</v>
      </c>
      <c r="I31" s="6" t="str">
        <f>IFERROR(__xludf.DUMMYFUNCTION("""COMPUTED_VALUE"""),"Михайлов, Небогатов, Горбунова")</f>
        <v>Михайлов, Небогатов, Горбунова</v>
      </c>
      <c r="J31" s="6" t="str">
        <f>IFERROR(__xludf.DUMMYFUNCTION("""COMPUTED_VALUE"""),"Владимир Михайлов")</f>
        <v>Владимир Михайлов</v>
      </c>
      <c r="K31" s="6" t="str">
        <f>IFERROR(__xludf.DUMMYFUNCTION("""COMPUTED_VALUE"""),"Красную горку")</f>
        <v>Красную горку</v>
      </c>
      <c r="L31" s="6" t="str">
        <f>IFERROR(__xludf.DUMMYFUNCTION("""COMPUTED_VALUE"""),"жители всей России боятся ""кемеровских""")</f>
        <v>жители всей России боятся "кемеровских"</v>
      </c>
      <c r="M31" s="6" t="str">
        <f>IFERROR(__xludf.DUMMYFUNCTION("""COMPUTED_VALUE"""),"нет")</f>
        <v>нет</v>
      </c>
      <c r="N31" s="6" t="str">
        <f>IFERROR(__xludf.DUMMYFUNCTION("""COMPUTED_VALUE"""),"нет грязных сугробов, наледи на тротуарах")</f>
        <v>нет грязных сугробов, наледи на тротуарах</v>
      </c>
      <c r="O31" s="6" t="str">
        <f>IFERROR(__xludf.DUMMYFUNCTION("""COMPUTED_VALUE"""),"заняться благоустройством его зимой")</f>
        <v>заняться благоустройством его зимой</v>
      </c>
      <c r="P31" s="6" t="str">
        <f>IFERROR(__xludf.DUMMYFUNCTION("""COMPUTED_VALUE"""),"от друзей")</f>
        <v>от друзей</v>
      </c>
      <c r="Q31" s="6" t="str">
        <f>IFERROR(__xludf.DUMMYFUNCTION("""COMPUTED_VALUE"""),"городская афиша (кино/театр/концерты), культурные новинки (что почитать/что послушать)")</f>
        <v>городская афиша (кино/театр/концерты), культурные новинки (что почитать/что послушать)</v>
      </c>
      <c r="R31" s="6" t="str">
        <f>IFERROR(__xludf.DUMMYFUNCTION("""COMPUTED_VALUE"""),"День города и День шахтера")</f>
        <v>День города и День шахтера</v>
      </c>
      <c r="S31" s="6" t="str">
        <f>IFERROR(__xludf.DUMMYFUNCTION("""COMPUTED_VALUE"""),"Нет, не приходилось")</f>
        <v>Нет, не приходилось</v>
      </c>
      <c r="T31" s="6" t="str">
        <f>IFERROR(__xludf.DUMMYFUNCTION("""COMPUTED_VALUE"""),"тем, что здесь работал Тулеев")</f>
        <v>тем, что здесь работал Тулеев</v>
      </c>
      <c r="U31" s="6" t="str">
        <f>IFERROR(__xludf.DUMMYFUNCTION("""COMPUTED_VALUE"""),"площадь Советов")</f>
        <v>площадь Советов</v>
      </c>
      <c r="V31" s="6" t="str">
        <f>IFERROR(__xludf.DUMMYFUNCTION("""COMPUTED_VALUE"""),"ничего")</f>
        <v>ничего</v>
      </c>
      <c r="W31" s="6" t="str">
        <f>IFERROR(__xludf.DUMMYFUNCTION("""COMPUTED_VALUE"""),"очень жесткие люди")</f>
        <v>очень жесткие люди</v>
      </c>
      <c r="X31" s="6" t="str">
        <f>IFERROR(__xludf.DUMMYFUNCTION("""COMPUTED_VALUE"""),"вокзал-площадь Советов")</f>
        <v>вокзал-площадь Советов</v>
      </c>
      <c r="Y31" s="6" t="str">
        <f>IFERROR(__xludf.DUMMYFUNCTION("""COMPUTED_VALUE"""),"рок-концерт")</f>
        <v>рок-концерт</v>
      </c>
      <c r="Z31" s="6" t="str">
        <f>IFERROR(__xludf.DUMMYFUNCTION("""COMPUTED_VALUE"""),"городские фестивали летом")</f>
        <v>городские фестивали летом</v>
      </c>
      <c r="AA31" s="6" t="str">
        <f>IFERROR(__xludf.DUMMYFUNCTION("""COMPUTED_VALUE"""),"пожар в Зимней вишне")</f>
        <v>пожар в Зимней вишне</v>
      </c>
      <c r="AB31" s="6" t="str">
        <f>IFERROR(__xludf.DUMMYFUNCTION("""COMPUTED_VALUE"""),"никаких")</f>
        <v>никаких</v>
      </c>
      <c r="AC31" s="6" t="str">
        <f>IFERROR(__xludf.DUMMYFUNCTION("""COMPUTED_VALUE"""),"театральные фестивали летом")</f>
        <v>театральные фестивали летом</v>
      </c>
      <c r="AD31" s="6" t="str">
        <f>IFERROR(__xludf.DUMMYFUNCTION("""COMPUTED_VALUE"""),"редактора СМИ")</f>
        <v>редактора СМИ</v>
      </c>
      <c r="AE31" s="6" t="str">
        <f>IFERROR(__xludf.DUMMYFUNCTION("""COMPUTED_VALUE"""),"Мужской")</f>
        <v>Мужской</v>
      </c>
      <c r="AF31" s="6" t="str">
        <f>IFERROR(__xludf.DUMMYFUNCTION("""COMPUTED_VALUE"""),"45-55")</f>
        <v>45-55</v>
      </c>
      <c r="AG31" s="6"/>
      <c r="AH31" s="6"/>
      <c r="AI31" s="6"/>
      <c r="AJ31" s="6"/>
      <c r="AK31" s="6"/>
      <c r="AL31" s="6"/>
      <c r="AM31" s="6"/>
    </row>
    <row r="32">
      <c r="A32" s="4">
        <v>31.0</v>
      </c>
      <c r="B32" s="6" t="str">
        <f>IFERROR(__xludf.DUMMYFUNCTION("""COMPUTED_VALUE"""),"проподаю")</f>
        <v>проподаю</v>
      </c>
      <c r="C32" s="6" t="str">
        <f>IFERROR(__xludf.DUMMYFUNCTION("""COMPUTED_VALUE"""),"изучаю общество, занимаюсь наукой, люблю делать из дерева что-то")</f>
        <v>изучаю общество, занимаюсь наукой, люблю делать из дерева что-то</v>
      </c>
      <c r="D32" s="6" t="str">
        <f>IFERROR(__xludf.DUMMYFUNCTION("""COMPUTED_VALUE"""),"Центр")</f>
        <v>Центр</v>
      </c>
      <c r="E32" s="6" t="str">
        <f>IFERROR(__xludf.DUMMYFUNCTION("""COMPUTED_VALUE"""),"пл.Волкова, сквер у обл.библиотеки, ул.Коммунистическая с бульваром.")</f>
        <v>пл.Волкова, сквер у обл.библиотеки, ул.Коммунистическая с бульваром.</v>
      </c>
      <c r="F32" s="6" t="str">
        <f>IFERROR(__xludf.DUMMYFUNCTION("""COMPUTED_VALUE"""),"Живу здесь с рождения, уезжала, вернулась. Училась в Омске 4 года.")</f>
        <v>Живу здесь с рождения, уезжала, вернулась. Училась в Омске 4 года.</v>
      </c>
      <c r="G32" s="6" t="str">
        <f>IFERROR(__xludf.DUMMYFUNCTION("""COMPUTED_VALUE"""),"ул.Коммунистическая, сквер, ул.Весенняя, набережная Томи, Парк Антошка, Парк Победы")</f>
        <v>ул.Коммунистическая, сквер, ул.Весенняя, набережная Томи, Парк Антошка, Парк Победы</v>
      </c>
      <c r="H32" s="6" t="str">
        <f>IFERROR(__xludf.DUMMYFUNCTION("""COMPUTED_VALUE"""),"родной, красивый, холодный, интенсивный, зеленый")</f>
        <v>родной, красивый, холодный, интенсивный, зеленый</v>
      </c>
      <c r="I32" s="6" t="str">
        <f>IFERROR(__xludf.DUMMYFUNCTION("""COMPUTED_VALUE"""),"Тулеев, Полосухин А.Д., Фомичёва, Ореховский А.А., Богданов, Владимир Михайлов")</f>
        <v>Тулеев, Полосухин А.Д., Фомичёва, Ореховский А.А., Богданов, Владимир Михайлов</v>
      </c>
      <c r="J32" s="6" t="str">
        <f>IFERROR(__xludf.DUMMYFUNCTION("""COMPUTED_VALUE"""),"Басалаев Сергей. Может нынешние и делают много, но нет в них такого, чтобы равняться. Ольга Васильева может быть, Галина Княжева - сотрудник облбиблиотеки.")</f>
        <v>Басалаев Сергей. Может нынешние и делают много, но нет в них такого, чтобы равняться. Ольга Васильева может быть, Галина Княжева - сотрудник облбиблиотеки.</v>
      </c>
      <c r="K32" s="6" t="str">
        <f>IFERROR(__xludf.DUMMYFUNCTION("""COMPUTED_VALUE"""),"Красная горка. Набережная Томи, набережная Томи в Кировском. Парк Жукова")</f>
        <v>Красная горка. Набережная Томи, набережная Томи в Кировском. Парк Жукова</v>
      </c>
      <c r="L32" s="6" t="str">
        <f>IFERROR(__xludf.DUMMYFUNCTION("""COMPUTED_VALUE"""),"Ранешняя: немцы травили всех газом. Выжили двое. Почему? А мы из Кировского. Сейчас разве что про таджиков: поступи в КемГУ и можешь свободно крутить шаурму и работать в такси несколько лет (экспромт)")</f>
        <v>Ранешняя: немцы травили всех газом. Выжили двое. Почему? А мы из Кировского. Сейчас разве что про таджиков: поступи в КемГУ и можешь свободно крутить шаурму и работать в такси несколько лет (экспромт)</v>
      </c>
      <c r="M32" s="6" t="str">
        <f>IFERROR(__xludf.DUMMYFUNCTION("""COMPUTED_VALUE"""),"Нет. Но есть одна характерная черта: изгиб береговой линии правого берега, где бор. По этой линии можно узнать Кемерово в любой схеме. Все здания, построенные в этой волне - наши. Такого больше нигде нет. Наподобие Променада под горой. Цирк вписывается, и"&amp;" мойка с ночным клубом Коллизей(?), даже надувной корт. Города - это квадраты и прямоугольники зданий, горы - треугольники. И только у нас волнистый рельеф. Потому там чужеродный будет казаться любой монолит типа Варвары.(откуда она вообще взялась? Никогд"&amp;"а не было и вот началось)")</f>
        <v>Нет. Но есть одна характерная черта: изгиб береговой линии правого берега, где бор. По этой линии можно узнать Кемерово в любой схеме. Все здания, построенные в этой волне - наши. Такого больше нигде нет. Наподобие Променада под горой. Цирк вписывается, и мойка с ночным клубом Коллизей(?), даже надувной корт. Города - это квадраты и прямоугольники зданий, горы - треугольники. И только у нас волнистый рельеф. Потому там чужеродный будет казаться любой монолит типа Варвары.(откуда она вообще взялась? Никогда не было и вот началось)</v>
      </c>
      <c r="N32" s="6" t="str">
        <f>IFERROR(__xludf.DUMMYFUNCTION("""COMPUTED_VALUE"""),"Уюта не хватает. Много открытых пространств, но каких-то уголков, без сторонних глаз нет и оставшиеся убирают. Повсеместное прерывание бульваров. может и безопасно, но уродуют линии улиц, делая невозможным прогулки по бульварам. Озеленение +, но включить "&amp;"кустарники. Наличие лавочек во дворах. Тайные тропы по дворам, которые позволяют миновать шумные улицы. Отсутствие яркого света по ночам!! - сейчас сильное световое загрязнение города. Всего надо в меру. Транспорт после 8 вечера регулярный в сторону окраи"&amp;"н. Пусть хоть на 8 мест, но будет микроавтобус.")</f>
        <v>Уюта не хватает. Много открытых пространств, но каких-то уголков, без сторонних глаз нет и оставшиеся убирают. Повсеместное прерывание бульваров. может и безопасно, но уродуют линии улиц, делая невозможным прогулки по бульварам. Озеленение +, но включить кустарники. Наличие лавочек во дворах. Тайные тропы по дворам, которые позволяют миновать шумные улицы. Отсутствие яркого света по ночам!! - сейчас сильное световое загрязнение города. Всего надо в меру. Транспорт после 8 вечера регулярный в сторону окраин. Пусть хоть на 8 мест, но будет микроавтобус.</v>
      </c>
      <c r="O32" s="6" t="str">
        <f>IFERROR(__xludf.DUMMYFUNCTION("""COMPUTED_VALUE"""),"Да я бы не меняла ничего, все нравится. Даже гаражи были отдушиной. Даже заросли у Искитимки были аутентичные. Особенно радовал дикий берег Томи от Притомской набережной и до Заречных. Гигантомания точно не к лицу городу. Потяряеятся в этих гигантских стр"&amp;"ойках весь уют. А так красиво смотрелась линия Бора с левого берега, такой простор над Искитимкой. Как-то застроят сейчас все пространство и негде будет душе развернуться. Кадетку построили, а что людям с того? О кадетах ни слуху ни духу, что они есть, чт"&amp;"о нет. Никаких пересечений с Кемерово. Живут в своём мире. То же и с судами, и с училищем хореографическим, и с архивом. Точно не надо больше освещать центральные улицы. Отреставрировать Парк Жукова. Я бы вовсе, совсем убрала военную технику из центра гор"&amp;"ода, куда-нибудь в сторону, к окраинам (к кадетам!). Это очень милитаристично, это как отголоски войны, режут сердце. Хочется больше добра, для души. Но сейчас уже вряд ли возможно вырвать танки из Парка, ведь они системообразующие, и уже поколение на них"&amp;" выросло. Проекты для Кемерово должны делать кемеровчане. Они внесут что-то точно родное. Зазванные внесут чужеродные формы, никогда не будут близки горожанам, вызовут отторжение. И не надо про шахтеров в Кемерово и про уголь - их уже нет давно в Кемерово"&amp;", это иллюзии и заблуждения. И потом, прекратить людям в душу плевать, хоть с гаражами этими (ведь убирали в зиму! а зачем?), хоть с автобусами, которых все меньше и те убирают. И все понимают, что им сделают лишь хуже, прикрываясь красивыми словами. Заве"&amp;"ршить бы проект на Красной горке! Было бы и лучше, и для города важнее, чем застраивать московскую площадь... Ведь это наше, родное, а площадь - чужеродный проект. Но что же, пусть делают, город развивается. Посмотрим, что будет.")</f>
        <v>Да я бы не меняла ничего, все нравится. Даже гаражи были отдушиной. Даже заросли у Искитимки были аутентичные. Особенно радовал дикий берег Томи от Притомской набережной и до Заречных. Гигантомания точно не к лицу городу. Потяряеятся в этих гигантских стройках весь уют. А так красиво смотрелась линия Бора с левого берега, такой простор над Искитимкой. Как-то застроят сейчас все пространство и негде будет душе развернуться. Кадетку построили, а что людям с того? О кадетах ни слуху ни духу, что они есть, что нет. Никаких пересечений с Кемерово. Живут в своём мире. То же и с судами, и с училищем хореографическим, и с архивом. Точно не надо больше освещать центральные улицы. Отреставрировать Парк Жукова. Я бы вовсе, совсем убрала военную технику из центра города, куда-нибудь в сторону, к окраинам (к кадетам!). Это очень милитаристично, это как отголоски войны, режут сердце. Хочется больше добра, для души. Но сейчас уже вряд ли возможно вырвать танки из Парка, ведь они системообразующие, и уже поколение на них выросло. Проекты для Кемерово должны делать кемеровчане. Они внесут что-то точно родное. Зазванные внесут чужеродные формы, никогда не будут близки горожанам, вызовут отторжение. И не надо про шахтеров в Кемерово и про уголь - их уже нет давно в Кемерово, это иллюзии и заблуждения. И потом, прекратить людям в душу плевать, хоть с гаражами этими (ведь убирали в зиму! а зачем?), хоть с автобусами, которых все меньше и те убирают. И все понимают, что им сделают лишь хуже, прикрываясь красивыми словами. Завершить бы проект на Красной горке! Было бы и лучше, и для города важнее, чем застраивать московскую площадь... Ведь это наше, родное, а площадь - чужеродный проект. Но что же, пусть делают, город развивается. Посмотрим, что будет.</v>
      </c>
      <c r="P32" s="6" t="str">
        <f>IFERROR(__xludf.DUMMYFUNCTION("""COMPUTED_VALUE"""),"Газета а42 ""любимый"", и тот рассадник новостей криминала. Перепечатывают книги дежурных частей и пресс-релизы. Актуальнее ВашГОРОД и Сибдепо, гораздо лучше. Сайт Внутри и снаружи.")</f>
        <v>Газета а42 "любимый", и тот рассадник новостей криминала. Перепечатывают книги дежурных частей и пресс-релизы. Актуальнее ВашГОРОД и Сибдепо, гораздо лучше. Сайт Внутри и снаружи.</v>
      </c>
      <c r="Q3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(рейтинг"&amp;"и/аналитика/тенденции), интервью с экспертами на разные темы (напишите в разделе Другое свои предложения), не хватает героической тематики. Как-то все приземленно, не на чем воспитывать. Гордиться. Радоваться за них.")</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 не хватает героической тематики. Как-то все приземленно, не на чем воспитывать. Гордиться. Радоваться за них.</v>
      </c>
      <c r="R32" s="6" t="str">
        <f>IFERROR(__xludf.DUMMYFUNCTION("""COMPUTED_VALUE"""),"9 мая. Пасха. День ВДВ (позорники власти, закрывают фонтаны - это низменно). Для других день Города 12 июня. Новый год. День шахтера.")</f>
        <v>9 мая. Пасха. День ВДВ (позорники власти, закрывают фонтаны - это низменно). Для других день Города 12 июня. Новый год. День шахтера.</v>
      </c>
      <c r="S32" s="6" t="str">
        <f>IFERROR(__xludf.DUMMYFUNCTION("""COMPUTED_VALUE"""),"Писал и расклеивал объявления/афиши, выставки, концерты")</f>
        <v>Писал и расклеивал объявления/афиши, выставки, концерты</v>
      </c>
      <c r="T32" s="6" t="str">
        <f>IFERROR(__xludf.DUMMYFUNCTION("""COMPUTED_VALUE"""),"известен лишь шахтерами. Бор. АИК. Старыми зданиями голландца Ван Лохема(?). Химическими производствами. Известен в мировом масштабе в узких кругах исследователем Калачакры В.Бакановым. Известен печатью в 1992 году серии книг Агни-Йоги Кемеровским книжным"&amp;" издательством.")</f>
        <v>известен лишь шахтерами. Бор. АИК. Старыми зданиями голландца Ван Лохема(?). Химическими производствами. Известен в мировом масштабе в узких кругах исследователем Калачакры В.Бакановым. Известен печатью в 1992 году серии книг Агни-Йоги Кемеровским книжным издательством.</v>
      </c>
      <c r="U32" s="6" t="str">
        <f>IFERROR(__xludf.DUMMYFUNCTION("""COMPUTED_VALUE"""),"Советский, Весенняя улица, пл.Советов. (кфс-макдональдс - тепло и сытно)")</f>
        <v>Советский, Весенняя улица, пл.Советов. (кфс-макдональдс - тепло и сытно)</v>
      </c>
      <c r="V32" s="6" t="str">
        <f>IFERROR(__xludf.DUMMYFUNCTION("""COMPUTED_VALUE"""),"Был госпиталь в 19 школе в войну. В ГУМе был цех военный. В Кировском работали все на Коммунаре и Прогрессе и гордились тем, что выпускают. И мы гордились своими родителями, что они там работают. Мы гордились спортсменами, которые показывали высокий урове"&amp;"нь. Этот город дает сильный характер. Несмотря на загазованность, мы делали важное дело. Это делало нас сильнее. Были люди высокой культуры, из Питера, после войны, в 50-е 60-е, которые работали в ДМШ, в техникумах - именно они закладывали лучшее в людях."&amp;" Тулеев много сделал, но начался застой. Михайлов поддерживал город как мог. Но жертва 60 человек дала городу развитие. Они достойны, чтобы их имена навечно были занесены в книгу Памяти города. Ведь именно они дали городу толчок вперед, как ни горько это "&amp;"понимать (а эти события были предсказаны за несколько лет, с количеством жертв почти точно). И кстати, З.Вишня-то была уютным местом... Мы любили там бывать.")</f>
        <v>Был госпиталь в 19 школе в войну. В ГУМе был цех военный. В Кировском работали все на Коммунаре и Прогрессе и гордились тем, что выпускают. И мы гордились своими родителями, что они там работают. Мы гордились спортсменами, которые показывали высокий уровень. Этот город дает сильный характер. Несмотря на загазованность, мы делали важное дело. Это делало нас сильнее. Были люди высокой культуры, из Питера, после войны, в 50-е 60-е, которые работали в ДМШ, в техникумах - именно они закладывали лучшее в людях. Тулеев много сделал, но начался застой. Михайлов поддерживал город как мог. Но жертва 60 человек дала городу развитие. Они достойны, чтобы их имена навечно были занесены в книгу Памяти города. Ведь именно они дали городу толчок вперед, как ни горько это понимать (а эти события были предсказаны за несколько лет, с количеством жертв почти точно). И кстати, З.Вишня-то была уютным местом... Мы любили там бывать.</v>
      </c>
      <c r="W32" s="6" t="str">
        <f>IFERROR(__xludf.DUMMYFUNCTION("""COMPUTED_VALUE"""),"Сильные, суровые. Образованные. Инертные. Последнее может быть связано с настроем на медитативность - ведь у нас очень красивая природа в окрестностях, а там другой ритм, под который человек подстраивается, и ему тяжело в сверх скоростях. Потому кто это н"&amp;"е чувствует - уезжают. за бешенным ритмом. Кто чувствует гармонию природы - остается. Ему здесь комфортно. Вот это не надо нарушать, понимать надо. Для москвичей и людей запада - главное - деньги. Для кемеровчан - гармония с собой и природой. Спасибо вам "&amp;"что удалось это сформулировать. Только не надо думать, что мы готовы работать за нищенскую зарплату. Людей уважать надо.")</f>
        <v>Сильные, суровые. Образованные. Инертные. Последнее может быть связано с настроем на медитативность - ведь у нас очень красивая природа в окрестностях, а там другой ритм, под который человек подстраивается, и ему тяжело в сверх скоростях. Потому кто это не чувствует - уезжают. за бешенным ритмом. Кто чувствует гармонию природы - остается. Ему здесь комфортно. Вот это не надо нарушать, понимать надо. Для москвичей и людей запада - главное - деньги. Для кемеровчан - гармония с собой и природой. Спасибо вам что удалось это сформулировать. Только не надо думать, что мы готовы работать за нищенскую зарплату. Людей уважать надо.</v>
      </c>
      <c r="X32" s="6" t="str">
        <f>IFERROR(__xludf.DUMMYFUNCTION("""COMPUTED_VALUE"""),"Пешком от центра, Весеннюю через мост к Красной горке. Вот бы и дальше достроить. И увы: к горе где ""кузбасс"" - не пройти с дороги, так как не врезан проход к лестнице (это очень унизительно - сделали дорогу, а путь закрыли. Особенно с велосипедом - ник"&amp;"ак). Потому туда не идем.")</f>
        <v>Пешком от центра, Весеннюю через мост к Красной горке. Вот бы и дальше достроить. И увы: к горе где "кузбасс" - не пройти с дороги, так как не врезан проход к лестнице (это очень унизительно - сделали дорогу, а путь закрыли. Особенно с велосипедом - никак). Потому туда не идем.</v>
      </c>
      <c r="Y32" s="6" t="str">
        <f>IFERROR(__xludf.DUMMYFUNCTION("""COMPUTED_VALUE"""),"Чемпионат по хоккею, как в 1986 году, так и в 2008. День города когда впервые 12 июня праздновали, и юбилей Пушкина. Потому что перекрывали центр и была свободная пешеходная зона. Дни шахтера. Из последних рок-концерт на Октябрьском. Но тематика насторажи"&amp;"вала. Но Самое значимое в истории: АИК, колония-коммуна международная. Это была задумка будущего, но не прошло, не оценили до сих пор. Повторить бы...!!!")</f>
        <v>Чемпионат по хоккею, как в 1986 году, так и в 2008. День города когда впервые 12 июня праздновали, и юбилей Пушкина. Потому что перекрывали центр и была свободная пешеходная зона. Дни шахтера. Из последних рок-концерт на Октябрьском. Но тематика настораживала. Но Самое значимое в истории: АИК, колония-коммуна международная. Это была задумка будущего, но не прошло, не оценили до сих пор. Повторить бы...!!!</v>
      </c>
      <c r="Z32" s="6" t="str">
        <f>IFERROR(__xludf.DUMMYFUNCTION("""COMPUTED_VALUE"""),"Облагораживание местности вокруг новой кадетки. Рок-концерт. Защита территории бора.")</f>
        <v>Облагораживание местности вокруг новой кадетки. Рок-концерт. Защита территории бора.</v>
      </c>
      <c r="AA32" s="6" t="str">
        <f>IFERROR(__xludf.DUMMYFUNCTION("""COMPUTED_VALUE"""),"перенос гаражей и ликвидация кооперативов по месту жительства людей. Особенно в пандемию. Особенно в зиму. Когда автобус или маршрутка не приходит по расписанию и вообще не ходит. Например Т42. Или проездает мимо остановки в людьми, как 11Т. Известие(!) о"&amp;" том, что в центральной части города сделают вдоль всех улиц платные парковки!")</f>
        <v>перенос гаражей и ликвидация кооперативов по месту жительства людей. Особенно в пандемию. Особенно в зиму. Когда автобус или маршрутка не приходит по расписанию и вообще не ходит. Например Т42. Или проездает мимо остановки в людьми, как 11Т. Известие(!) о том, что в центральной части города сделают вдоль всех улиц платные парковки!</v>
      </c>
      <c r="AB32" s="6" t="str">
        <f>IFERROR(__xludf.DUMMYFUNCTION("""COMPUTED_VALUE"""),"Все сообщества сейчас в сети. Карантин разобщил и сделал ненужным контактирования с людьми увы. Не хватает сообществ с близкими по духу людьми - альтруистами, желающими хорошего для города и действующими. Но факт, что сообщества уже сложились, и остальные"&amp;" туда не вписываются. Нужны общие дела, поддержка инициатив. Есть векторы и есть проекты, нет коллектива единомышленников и даже просто поддержки дружеской. Наверное, сообщество любителей Кемерово.")</f>
        <v>Все сообщества сейчас в сети. Карантин разобщил и сделал ненужным контактирования с людьми увы. Не хватает сообществ с близкими по духу людьми - альтруистами, желающими хорошего для города и действующими. Но факт, что сообщества уже сложились, и остальные туда не вписываются. Нужны общие дела, поддержка инициатив. Есть векторы и есть проекты, нет коллектива единомышленников и даже просто поддержки дружеской. Наверное, сообщество любителей Кемерово.</v>
      </c>
      <c r="AC32" s="6" t="str">
        <f>IFERROR(__xludf.DUMMYFUNCTION("""COMPUTED_VALUE"""),"Мероприятия, направленные на обращение к прошлому, чтобы на основе этого осознания понять, кто мы есть, чтобы оттолкнуться от этого и развивать дальше. Это для энтузиастов, для души, другие подтянутся. Все мероприятия должны быть не от ""департамента куль"&amp;"туры"", а от личностей, от группы лиц - этузиастов, тогда им поверят. Не должно быть холода и мероприятий ""для галочки"". Экскурсии по городу. И пригородам. Регулярные. По выходным. Неформальные клубы. Небольшие клубы по разным интересам в местах: (н-р л"&amp;"одки), проведение выходного дня, вылазки и т.п Только не за большие деньги - люди не пойдут. Доступное для пожилых.")</f>
        <v>Мероприятия, направленные на обращение к прошлому, чтобы на основе этого осознания понять, кто мы есть, чтобы оттолкнуться от этого и развивать дальше. Это для энтузиастов, для души, другие подтянутся. Все мероприятия должны быть не от "департамента культуры", а от личностей, от группы лиц - этузиастов, тогда им поверят. Не должно быть холода и мероприятий "для галочки". Экскурсии по городу. И пригородам. Регулярные. По выходным. Неформальные клубы. Небольшие клубы по разным интересам в местах: (н-р лодки), проведение выходного дня, вылазки и т.п Только не за большие деньги - люди не пойдут. Доступное для пожилых.</v>
      </c>
      <c r="AD32" s="6" t="str">
        <f>IFERROR(__xludf.DUMMYFUNCTION("""COMPUTED_VALUE"""),"участника")</f>
        <v>участника</v>
      </c>
      <c r="AE32" s="6" t="str">
        <f>IFERROR(__xludf.DUMMYFUNCTION("""COMPUTED_VALUE"""),"Женский")</f>
        <v>Женский</v>
      </c>
      <c r="AF32" s="6" t="str">
        <f>IFERROR(__xludf.DUMMYFUNCTION("""COMPUTED_VALUE"""),"45-55")</f>
        <v>45-55</v>
      </c>
      <c r="AG32" s="6"/>
      <c r="AH32" s="6"/>
      <c r="AI32" s="6"/>
      <c r="AJ32" s="6"/>
      <c r="AK32" s="6"/>
      <c r="AL32" s="6"/>
      <c r="AM32" s="6"/>
    </row>
    <row r="33">
      <c r="A33" s="4">
        <v>32.0</v>
      </c>
      <c r="B33" s="6" t="str">
        <f>IFERROR(__xludf.DUMMYFUNCTION("""COMPUTED_VALUE"""),"Организация мероприятий, онлайн трансляций")</f>
        <v>Организация мероприятий, онлайн трансляций</v>
      </c>
      <c r="C33" s="6" t="str">
        <f>IFERROR(__xludf.DUMMYFUNCTION("""COMPUTED_VALUE"""),"Сложно сказать, то чем занимаюсь и есть хобби, а ещё путешествовать")</f>
        <v>Сложно сказать, то чем занимаюсь и есть хобби, а ещё путешествовать</v>
      </c>
      <c r="D33" s="6" t="str">
        <f>IFERROR(__xludf.DUMMYFUNCTION("""COMPUTED_VALUE"""),"Центральный, центр")</f>
        <v>Центральный, центр</v>
      </c>
      <c r="E33" s="6" t="str">
        <f>IFERROR(__xludf.DUMMYFUNCTION("""COMPUTED_VALUE"""),"Парк антошка")</f>
        <v>Парк антошка</v>
      </c>
      <c r="F33" s="6" t="str">
        <f>IFERROR(__xludf.DUMMYFUNCTION("""COMPUTED_VALUE"""),"Живу здесь с рождения")</f>
        <v>Живу здесь с рождения</v>
      </c>
      <c r="G33" s="6" t="str">
        <f>IFERROR(__xludf.DUMMYFUNCTION("""COMPUTED_VALUE"""),"Бор, бульвар, набережная")</f>
        <v>Бор, бульвар, набережная</v>
      </c>
      <c r="H33" s="6" t="str">
        <f>IFERROR(__xludf.DUMMYFUNCTION("""COMPUTED_VALUE"""),"Шахта, Томь, утки ")</f>
        <v>Шахта, Томь, утки </v>
      </c>
      <c r="I33" s="6" t="str">
        <f>IFERROR(__xludf.DUMMYFUNCTION("""COMPUTED_VALUE"""),"-")</f>
        <v>-</v>
      </c>
      <c r="J33" s="6" t="str">
        <f>IFERROR(__xludf.DUMMYFUNCTION("""COMPUTED_VALUE"""),"-")</f>
        <v>-</v>
      </c>
      <c r="K33" s="6" t="str">
        <f>IFERROR(__xludf.DUMMYFUNCTION("""COMPUTED_VALUE"""),"Бор, сокол, смотровая площадка у памятника шахтерам, красная горка")</f>
        <v>Бор, сокол, смотровая площадка у памятника шахтерам, красная горка</v>
      </c>
      <c r="L33" s="6" t="str">
        <f>IFERROR(__xludf.DUMMYFUNCTION("""COMPUTED_VALUE"""),"- ")</f>
        <v>- </v>
      </c>
      <c r="M33" s="6" t="str">
        <f>IFERROR(__xludf.DUMMYFUNCTION("""COMPUTED_VALUE"""),"Нет")</f>
        <v>Нет</v>
      </c>
      <c r="N33" s="6" t="str">
        <f>IFERROR(__xludf.DUMMYFUNCTION("""COMPUTED_VALUE"""),"Ровные дороги, много парковок, безопасность (камеры), мало людей на улице, чисто, ")</f>
        <v>Ровные дороги, много парковок, безопасность (камеры), мало людей на улице, чисто, </v>
      </c>
      <c r="O33" s="6" t="str">
        <f>IFERROR(__xludf.DUMMYFUNCTION("""COMPUTED_VALUE"""),"Убрать пыль и грязь")</f>
        <v>Убрать пыль и грязь</v>
      </c>
      <c r="P33" s="6" t="str">
        <f>IFERROR(__xludf.DUMMYFUNCTION("""COMPUTED_VALUE"""),"ВК")</f>
        <v>ВК</v>
      </c>
      <c r="Q33"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33" s="6" t="str">
        <f>IFERROR(__xludf.DUMMYFUNCTION("""COMPUTED_VALUE"""),"Особо никакие")</f>
        <v>Особо никакие</v>
      </c>
      <c r="S33"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v>
      </c>
      <c r="T33" s="6" t="str">
        <f>IFERROR(__xludf.DUMMYFUNCTION("""COMPUTED_VALUE"""),"Бор, утки")</f>
        <v>Бор, утки</v>
      </c>
      <c r="U33" s="6" t="str">
        <f>IFERROR(__xludf.DUMMYFUNCTION("""COMPUTED_VALUE"""),"Весенняя")</f>
        <v>Весенняя</v>
      </c>
      <c r="V33" s="6" t="str">
        <f>IFERROR(__xludf.DUMMYFUNCTION("""COMPUTED_VALUE"""),"Развили город")</f>
        <v>Развили город</v>
      </c>
      <c r="W33" s="6" t="str">
        <f>IFERROR(__xludf.DUMMYFUNCTION("""COMPUTED_VALUE"""),"Не улыбаются")</f>
        <v>Не улыбаются</v>
      </c>
      <c r="X33" s="6" t="str">
        <f>IFERROR(__xludf.DUMMYFUNCTION("""COMPUTED_VALUE"""),"Кузнецкий - набережная - весенняя - советский - пионерский - ленина - бульвар строителей.")</f>
        <v>Кузнецкий - набережная - весенняя - советский - пионерский - ленина - бульвар строителей.</v>
      </c>
      <c r="Y33" s="6" t="str">
        <f>IFERROR(__xludf.DUMMYFUNCTION("""COMPUTED_VALUE"""),"Мб сюда спортивные чемпионаты отнести, хотя первая мысль - зимняя вишня. ")</f>
        <v>Мб сюда спортивные чемпионаты отнести, хотя первая мысль - зимняя вишня. </v>
      </c>
      <c r="Z33" s="6" t="str">
        <f>IFERROR(__xludf.DUMMYFUNCTION("""COMPUTED_VALUE"""),"Карантин, город пустой, людей нет, красота")</f>
        <v>Карантин, город пустой, людей нет, красота</v>
      </c>
      <c r="AA33" s="6" t="str">
        <f>IFERROR(__xludf.DUMMYFUNCTION("""COMPUTED_VALUE"""),"Бензин подорожал")</f>
        <v>Бензин подорожал</v>
      </c>
      <c r="AB33" s="6" t="str">
        <f>IFERROR(__xludf.DUMMYFUNCTION("""COMPUTED_VALUE"""),"Все есть, не обо всех правда известно")</f>
        <v>Все есть, не обо всех правда известно</v>
      </c>
      <c r="AC33" s="6" t="str">
        <f>IFERROR(__xludf.DUMMYFUNCTION("""COMPUTED_VALUE"""),"Фестивали еды, музыкальные фесты, научпоп мероприятия. ")</f>
        <v>Фестивали еды, музыкальные фесты, научпоп мероприятия. </v>
      </c>
      <c r="AD33" s="6" t="str">
        <f>IFERROR(__xludf.DUMMYFUNCTION("""COMPUTED_VALUE"""),"Организационной роли")</f>
        <v>Организационной роли</v>
      </c>
      <c r="AE33" s="6" t="str">
        <f>IFERROR(__xludf.DUMMYFUNCTION("""COMPUTED_VALUE"""),"Мужской")</f>
        <v>Мужской</v>
      </c>
      <c r="AF33" s="6" t="str">
        <f>IFERROR(__xludf.DUMMYFUNCTION("""COMPUTED_VALUE"""),"18-29")</f>
        <v>18-29</v>
      </c>
      <c r="AG33" s="6"/>
      <c r="AH33" s="6"/>
      <c r="AI33" s="6"/>
      <c r="AJ33" s="6"/>
      <c r="AK33" s="6"/>
      <c r="AL33" s="6"/>
      <c r="AM33" s="6"/>
    </row>
    <row r="34">
      <c r="A34" s="4">
        <v>33.0</v>
      </c>
      <c r="B34" s="6" t="str">
        <f>IFERROR(__xludf.DUMMYFUNCTION("""COMPUTED_VALUE"""),"Медицина")</f>
        <v>Медицина</v>
      </c>
      <c r="C34" s="6" t="str">
        <f>IFERROR(__xludf.DUMMYFUNCTION("""COMPUTED_VALUE"""),"Нет")</f>
        <v>Нет</v>
      </c>
      <c r="D34" s="6" t="str">
        <f>IFERROR(__xludf.DUMMYFUNCTION("""COMPUTED_VALUE"""),"Ркдничный, красная горка")</f>
        <v>Ркдничный, красная горка</v>
      </c>
      <c r="E34" s="6" t="str">
        <f>IFERROR(__xludf.DUMMYFUNCTION("""COMPUTED_VALUE"""),"Памятник ""сердце шахтёра"" и музей красная горка")</f>
        <v>Памятник "сердце шахтёра" и музей красная горка</v>
      </c>
      <c r="F34" s="6" t="str">
        <f>IFERROR(__xludf.DUMMYFUNCTION("""COMPUTED_VALUE"""),"Живу здесь с рождения")</f>
        <v>Живу здесь с рождения</v>
      </c>
      <c r="G34" s="6" t="str">
        <f>IFERROR(__xludf.DUMMYFUNCTION("""COMPUTED_VALUE"""),"Никуда, предпочитаю ездить в Томск и Новосибирск ")</f>
        <v>Никуда, предпочитаю ездить в Томск и Новосибирск </v>
      </c>
      <c r="H34" s="6" t="str">
        <f>IFERROR(__xludf.DUMMYFUNCTION("""COMPUTED_VALUE"""),"Заводы, грязные улицы, авторитарная власть, неплохие дороги раньше. ")</f>
        <v>Заводы, грязные улицы, авторитарная власть, неплохие дороги раньше. </v>
      </c>
      <c r="I34" s="6" t="str">
        <f>IFERROR(__xludf.DUMMYFUNCTION("""COMPUTED_VALUE"""),"Михайло волков, Михаил Подгорбунский")</f>
        <v>Михайло волков, Михаил Подгорбунский</v>
      </c>
      <c r="J34" s="6" t="str">
        <f>IFERROR(__xludf.DUMMYFUNCTION("""COMPUTED_VALUE"""),"Аман Тулеев")</f>
        <v>Аман Тулеев</v>
      </c>
      <c r="K34" s="6" t="str">
        <f>IFERROR(__xludf.DUMMYFUNCTION("""COMPUTED_VALUE"""),"Надпись Кузбасс на горе, набережная в центре, сквер в центре возле телецентра на набережной")</f>
        <v>Надпись Кузбасс на горе, набережная в центре, сквер в центре возле телецентра на набережной</v>
      </c>
      <c r="L34" s="6" t="str">
        <f>IFERROR(__xludf.DUMMYFUNCTION("""COMPUTED_VALUE"""),"На горе стоит корова это город Кемерово (раньше на месте памятника сердце шахтёра стоял монумент коровы) ")</f>
        <v>На горе стоит корова это город Кемерово (раньше на месте памятника сердце шахтёра стоял монумент коровы) </v>
      </c>
      <c r="M34" s="6" t="str">
        <f>IFERROR(__xludf.DUMMYFUNCTION("""COMPUTED_VALUE"""),"Нет")</f>
        <v>Нет</v>
      </c>
      <c r="N34" s="6" t="str">
        <f>IFERROR(__xludf.DUMMYFUNCTION("""COMPUTED_VALUE""")," активная культурная жизнь города (выставки, постановки, и тд) наличие мест отдыха и досуга для детей, качественная медицина и социалка, чистота улиц и дворов, качественные условия для развития бизнеса и сообществ. ")</f>
        <v> активная культурная жизнь города (выставки, постановки, и тд) наличие мест отдыха и досуга для детей, качественная медицина и социалка, чистота улиц и дворов, качественные условия для развития бизнеса и сообществ. </v>
      </c>
      <c r="O34" s="6" t="str">
        <f>IFERROR(__xludf.DUMMYFUNCTION("""COMPUTED_VALUE"""),"Навести порядок в предомовых территориях, сделать их комфортным для детей, для автовладельцев, для пожилых людей... Ну и конечно сделать эти территории чистыми ежедневно, а не по великим праздникам")</f>
        <v>Навести порядок в предомовых территориях, сделать их комфортным для детей, для автовладельцев, для пожилых людей... Ну и конечно сделать эти территории чистыми ежедневно, а не по великим праздникам</v>
      </c>
      <c r="P34" s="6" t="str">
        <f>IFERROR(__xludf.DUMMYFUNCTION("""COMPUTED_VALUE"""),"Соц сети фейсбуке и инстаграм ")</f>
        <v>Соц сети фейсбуке и инстаграм </v>
      </c>
      <c r="Q34" s="6" t="str">
        <f>IFERROR(__xludf.DUMMYFUNCTION("""COMPUTED_VALUE"""),"куда пойти в свободное время, интервью с местными предпринимателями, результаты местных исследований (рейтинги/аналитика/тенденции)")</f>
        <v>куда пойти в свободное время, интервью с местными предпринимателями, результаты местных исследований (рейтинги/аналитика/тенденции)</v>
      </c>
      <c r="R34" s="6" t="str">
        <f>IFERROR(__xludf.DUMMYFUNCTION("""COMPUTED_VALUE"""),"День медика, День города и день шахтёра ")</f>
        <v>День медика, День города и день шахтёра </v>
      </c>
      <c r="S34"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34" s="6" t="str">
        <f>IFERROR(__xludf.DUMMYFUNCTION("""COMPUTED_VALUE"""),"Район красной горки, старые здания, но они скоро развалятся")</f>
        <v>Район красной горки, старые здания, но они скоро развалятся</v>
      </c>
      <c r="U34" s="6" t="str">
        <f>IFERROR(__xludf.DUMMYFUNCTION("""COMPUTED_VALUE"""),"Набережная в центральном районе, бульвар строителей в ленинском")</f>
        <v>Набережная в центральном районе, бульвар строителей в ленинском</v>
      </c>
      <c r="V34" s="6" t="str">
        <f>IFERROR(__xludf.DUMMYFUNCTION("""COMPUTED_VALUE"""),"Вышли на горбатый мост в 90-е и отстаивали свои права")</f>
        <v>Вышли на горбатый мост в 90-е и отстаивали свои права</v>
      </c>
      <c r="W34" s="6" t="str">
        <f>IFERROR(__xludf.DUMMYFUNCTION("""COMPUTED_VALUE"""),"Грустные ")</f>
        <v>Грустные </v>
      </c>
      <c r="X34" s="6" t="str">
        <f>IFERROR(__xludf.DUMMYFUNCTION("""COMPUTED_VALUE"""),"Красная горка-набережная центр-парк ангелов на ленина")</f>
        <v>Красная горка-набережная центр-парк ангелов на ленина</v>
      </c>
      <c r="Y34" s="6" t="str">
        <f>IFERROR(__xludf.DUMMYFUNCTION("""COMPUTED_VALUE"""),"Снос ларьков и рынков")</f>
        <v>Снос ларьков и рынков</v>
      </c>
      <c r="Z34" s="6" t="str">
        <f>IFERROR(__xludf.DUMMYFUNCTION("""COMPUTED_VALUE"""),"Нет таких")</f>
        <v>Нет таких</v>
      </c>
      <c r="AA34" s="6" t="str">
        <f>IFERROR(__xludf.DUMMYFUNCTION("""COMPUTED_VALUE"""),"Закручивание гаек для бизнеса")</f>
        <v>Закручивание гаек для бизнеса</v>
      </c>
      <c r="AB34" s="6" t="str">
        <f>IFERROR(__xludf.DUMMYFUNCTION("""COMPUTED_VALUE"""),"Их просто нет либо их не видно, начните с любого")</f>
        <v>Их просто нет либо их не видно, начните с любого</v>
      </c>
      <c r="AC34" s="6" t="str">
        <f>IFERROR(__xludf.DUMMYFUNCTION("""COMPUTED_VALUE"""),"Больше выставок, больше диалога с властью")</f>
        <v>Больше выставок, больше диалога с властью</v>
      </c>
      <c r="AD34" s="6" t="str">
        <f>IFERROR(__xludf.DUMMYFUNCTION("""COMPUTED_VALUE"""),"Роль зависит от проекта, когда будет что обсуждать можно определиться с ролью")</f>
        <v>Роль зависит от проекта, когда будет что обсуждать можно определиться с ролью</v>
      </c>
      <c r="AE34" s="6" t="str">
        <f>IFERROR(__xludf.DUMMYFUNCTION("""COMPUTED_VALUE"""),"Мужской")</f>
        <v>Мужской</v>
      </c>
      <c r="AF34" s="6" t="str">
        <f>IFERROR(__xludf.DUMMYFUNCTION("""COMPUTED_VALUE"""),"30-44")</f>
        <v>30-44</v>
      </c>
      <c r="AG34" s="6"/>
      <c r="AH34" s="6"/>
      <c r="AI34" s="6"/>
      <c r="AJ34" s="6"/>
      <c r="AK34" s="6"/>
      <c r="AL34" s="6"/>
      <c r="AM34" s="6"/>
    </row>
    <row r="35">
      <c r="A35" s="4">
        <v>34.0</v>
      </c>
      <c r="B35" s="6" t="str">
        <f>IFERROR(__xludf.DUMMYFUNCTION("""COMPUTED_VALUE"""),"Служащий")</f>
        <v>Служащий</v>
      </c>
      <c r="C35" s="6" t="str">
        <f>IFERROR(__xludf.DUMMYFUNCTION("""COMPUTED_VALUE"""),"Велоспорт")</f>
        <v>Велоспорт</v>
      </c>
      <c r="D35" s="6" t="str">
        <f>IFERROR(__xludf.DUMMYFUNCTION("""COMPUTED_VALUE"""),"Заводский")</f>
        <v>Заводский</v>
      </c>
      <c r="E35" s="6" t="str">
        <f>IFERROR(__xludf.DUMMYFUNCTION("""COMPUTED_VALUE"""),"Ж/д вокзал, училище культуры, парк ангелов")</f>
        <v>Ж/д вокзал, училище культуры, парк ангелов</v>
      </c>
      <c r="F35" s="6" t="str">
        <f>IFERROR(__xludf.DUMMYFUNCTION("""COMPUTED_VALUE"""),"Живу здесь с рождения")</f>
        <v>Живу здесь с рождения</v>
      </c>
      <c r="G35" s="6" t="str">
        <f>IFERROR(__xludf.DUMMYFUNCTION("""COMPUTED_VALUE"""),"В сосновый бор, в центр города")</f>
        <v>В сосновый бор, в центр города</v>
      </c>
      <c r="H35" s="6" t="str">
        <f>IFERROR(__xludf.DUMMYFUNCTION("""COMPUTED_VALUE"""),"Зелень, холод, что-то среднее")</f>
        <v>Зелень, холод, что-то среднее</v>
      </c>
      <c r="I35" s="6" t="str">
        <f>IFERROR(__xludf.DUMMYFUNCTION("""COMPUTED_VALUE"""),"Леонов, Гришковец, Гена Букин:)")</f>
        <v>Леонов, Гришковец, Гена Букин:)</v>
      </c>
      <c r="J35" s="6" t="str">
        <f>IFERROR(__xludf.DUMMYFUNCTION("""COMPUTED_VALUE"""),"затрудняюсь ответить, можно отметить вклад Владимира Михайлова бывшего мэра")</f>
        <v>затрудняюсь ответить, можно отметить вклад Владимира Михайлова бывшего мэра</v>
      </c>
      <c r="K35" s="6" t="str">
        <f>IFERROR(__xludf.DUMMYFUNCTION("""COMPUTED_VALUE"""),"Старая пристань, Сосновый бор, Парк ангелов, Памятник погибшим шахтерам, бульвар строителей, центр города и бар ""Бельгия"" ")</f>
        <v>Старая пристань, Сосновый бор, Парк ангелов, Памятник погибшим шахтерам, бульвар строителей, центр города и бар "Бельгия" </v>
      </c>
      <c r="L35" s="6" t="str">
        <f>IFERROR(__xludf.DUMMYFUNCTION("""COMPUTED_VALUE"""),"Есть одна шутка, что вид Кузнецкого моста с высоты напоминает фалический предмет, но это не точно:)")</f>
        <v>Есть одна шутка, что вид Кузнецкого моста с высоты напоминает фалический предмет, но это не точно:)</v>
      </c>
      <c r="M35" s="6" t="str">
        <f>IFERROR(__xludf.DUMMYFUNCTION("""COMPUTED_VALUE"""),"Мультифора ")</f>
        <v>Мультифора </v>
      </c>
      <c r="N35" s="6" t="str">
        <f>IFERROR(__xludf.DUMMYFUNCTION("""COMPUTED_VALUE"""),"Наличие хорошего пассажирского транспорта, хорошие дороги в том числе и тротуары, своевременный ремонт фасадов в дворе, качественная уборка снега в зимний период, наличие доступной среды для инвалидов")</f>
        <v>Наличие хорошего пассажирского транспорта, хорошие дороги в том числе и тротуары, своевременный ремонт фасадов в дворе, качественная уборка снега в зимний период, наличие доступной среды для инвалидов</v>
      </c>
      <c r="O35" s="6" t="str">
        <f>IFERROR(__xludf.DUMMYFUNCTION("""COMPUTED_VALUE"""),"Отремонтировать фасады домов")</f>
        <v>Отремонтировать фасады домов</v>
      </c>
      <c r="P35" s="6" t="str">
        <f>IFERROR(__xludf.DUMMYFUNCTION("""COMPUTED_VALUE"""),"сайт ""Ваш город"", А42, ВК, инстаграм, телеграмм")</f>
        <v>сайт "Ваш город", А42, ВК, инстаграм, телеграмм</v>
      </c>
      <c r="Q35" s="6" t="str">
        <f>IFERROR(__xludf.DUMMYFUNCTION("""COMPUTED_VALUE"""),"интервью с местными политиками, интервью с местными творческими личностями,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резул"&amp;"ьтаты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политиками, интервью с местными творческими личностями,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35" s="6" t="str">
        <f>IFERROR(__xludf.DUMMYFUNCTION("""COMPUTED_VALUE"""),"Для меня день шахтера и день города, за других не смогу ответить")</f>
        <v>Для меня день шахтера и день города, за других не смогу ответить</v>
      </c>
      <c r="S35" s="6" t="str">
        <f>IFERROR(__xludf.DUMMYFUNCTION("""COMPUTED_VALUE"""),"Нет, не приходилось")</f>
        <v>Нет, не приходилось</v>
      </c>
      <c r="T35" s="6" t="str">
        <f>IFERROR(__xludf.DUMMYFUNCTION("""COMPUTED_VALUE"""),"Чаще всего люди приезжают в Кемерово по работе, также можно развивать промышленный туризм, думаю есть, что показать")</f>
        <v>Чаще всего люди приезжают в Кемерово по работе, также можно развивать промышленный туризм, думаю есть, что показать</v>
      </c>
      <c r="U35" s="6" t="str">
        <f>IFERROR(__xludf.DUMMYFUNCTION("""COMPUTED_VALUE"""),"Затрудняюсь ответить, но при упоминании города первым делом вспоминаю улицу Весеннюю")</f>
        <v>Затрудняюсь ответить, но при упоминании города первым делом вспоминаю улицу Весеннюю</v>
      </c>
      <c r="V35" s="6" t="str">
        <f>IFERROR(__xludf.DUMMYFUNCTION("""COMPUTED_VALUE"""),"Что не уничтожили исторический центр и не дали настроить на его месте безликих, дешевых зданий.")</f>
        <v>Что не уничтожили исторический центр и не дали настроить на его месте безликих, дешевых зданий.</v>
      </c>
      <c r="W35" s="6" t="str">
        <f>IFERROR(__xludf.DUMMYFUNCTION("""COMPUTED_VALUE"""),"Добрые ")</f>
        <v>Добрые </v>
      </c>
      <c r="X35" s="6" t="str">
        <f>IFERROR(__xludf.DUMMYFUNCTION("""COMPUTED_VALUE"""),"Начать с парка ангелов, потом пройтись по Весенней, потом пройтись по Советскому проспекту, посмотреть площадь Советов, потом свернуть на Ордженикидзе, пройтись по набережной, прокатиться на колесе обозрение и если останутся силы посмотреть на закат на см"&amp;"отровой площадке в сосновом бору ")</f>
        <v>Начать с парка ангелов, потом пройтись по Весенней, потом пройтись по Советскому проспекту, посмотреть площадь Советов, потом свернуть на Ордженикидзе, пройтись по набережной, прокатиться на колесе обозрение и если останутся силы посмотреть на закат на смотровой площадке в сосновом бору </v>
      </c>
      <c r="Y35" s="6" t="str">
        <f>IFERROR(__xludf.DUMMYFUNCTION("""COMPUTED_VALUE"""),"Рок фестиваль ""Герои мирового рока""")</f>
        <v>Рок фестиваль "Герои мирового рока"</v>
      </c>
      <c r="Z35" s="6" t="str">
        <f>IFERROR(__xludf.DUMMYFUNCTION("""COMPUTED_VALUE"""),"Начало строительства культурного кластера, начало освоения территории за Притомским проспектом, обновление городского пассажирского транспорта и массовый ремонт тротуаров в прошлом году ")</f>
        <v>Начало строительства культурного кластера, начало освоения территории за Притомским проспектом, обновление городского пассажирского транспорта и массовый ремонт тротуаров в прошлом году </v>
      </c>
      <c r="AA35" s="6" t="str">
        <f>IFERROR(__xludf.DUMMYFUNCTION("""COMPUTED_VALUE"""),"Плохая очистка снега зимой 2020-2021")</f>
        <v>Плохая очистка снега зимой 2020-2021</v>
      </c>
      <c r="AB35" s="6" t="str">
        <f>IFERROR(__xludf.DUMMYFUNCTION("""COMPUTED_VALUE"""),"Достаточно в городе сообществ, очень много муниципальных организаций культуры и спорта и дополнительного образования, но эффективность деятельности вызывает сомнение, нужно реформировать, то что уже есть")</f>
        <v>Достаточно в городе сообществ, очень много муниципальных организаций культуры и спорта и дополнительного образования, но эффективность деятельности вызывает сомнение, нужно реформировать, то что уже есть</v>
      </c>
      <c r="AC35" s="6" t="str">
        <f>IFERROR(__xludf.DUMMYFUNCTION("""COMPUTED_VALUE"""),"Чаще проводить музыкальные фестивали с приглашением интересных команд")</f>
        <v>Чаще проводить музыкальные фестивали с приглашением интересных команд</v>
      </c>
      <c r="AD35" s="6" t="str">
        <f>IFERROR(__xludf.DUMMYFUNCTION("""COMPUTED_VALUE"""),"В качестве волонтера")</f>
        <v>В качестве волонтера</v>
      </c>
      <c r="AE35" s="6" t="str">
        <f>IFERROR(__xludf.DUMMYFUNCTION("""COMPUTED_VALUE"""),"Мужской")</f>
        <v>Мужской</v>
      </c>
      <c r="AF35" s="6" t="str">
        <f>IFERROR(__xludf.DUMMYFUNCTION("""COMPUTED_VALUE"""),"18-29")</f>
        <v>18-29</v>
      </c>
      <c r="AG35" s="6"/>
      <c r="AH35" s="6"/>
      <c r="AI35" s="6"/>
      <c r="AJ35" s="6"/>
      <c r="AK35" s="6"/>
      <c r="AL35" s="6"/>
      <c r="AM35" s="6"/>
    </row>
    <row r="36">
      <c r="A36" s="4">
        <v>35.0</v>
      </c>
      <c r="B36" s="6" t="str">
        <f>IFERROR(__xludf.DUMMYFUNCTION("""COMPUTED_VALUE"""),"Бизнес")</f>
        <v>Бизнес</v>
      </c>
      <c r="C36" s="6" t="str">
        <f>IFERROR(__xludf.DUMMYFUNCTION("""COMPUTED_VALUE"""),"Компьютерные игры")</f>
        <v>Компьютерные игры</v>
      </c>
      <c r="D36" s="6" t="str">
        <f>IFERROR(__xludf.DUMMYFUNCTION("""COMPUTED_VALUE"""),"Центральном")</f>
        <v>Центральном</v>
      </c>
      <c r="E36" s="6" t="str">
        <f>IFERROR(__xludf.DUMMYFUNCTION("""COMPUTED_VALUE"""),"Комсомольский парк")</f>
        <v>Комсомольский парк</v>
      </c>
      <c r="F36" s="6" t="str">
        <f>IFERROR(__xludf.DUMMYFUNCTION("""COMPUTED_VALUE"""),"Живу здесь с рождения")</f>
        <v>Живу здесь с рождения</v>
      </c>
      <c r="G36" s="6" t="str">
        <f>IFERROR(__xludf.DUMMYFUNCTION("""COMPUTED_VALUE"""),"Набережная, комсомольский парк, пакр чудес")</f>
        <v>Набережная, комсомольский парк, пакр чудес</v>
      </c>
      <c r="H36" s="6" t="str">
        <f>IFERROR(__xludf.DUMMYFUNCTION("""COMPUTED_VALUE"""),"Скучный, новострой, грязный, загруженный, родной")</f>
        <v>Скучный, новострой, грязный, загруженный, родной</v>
      </c>
      <c r="I36" s="6" t="str">
        <f>IFERROR(__xludf.DUMMYFUNCTION("""COMPUTED_VALUE"""),"Леонов, Волков, Рутгерс")</f>
        <v>Леонов, Волков, Рутгерс</v>
      </c>
      <c r="J36" s="6" t="str">
        <f>IFERROR(__xludf.DUMMYFUNCTION("""COMPUTED_VALUE"""),"Не знаю таких")</f>
        <v>Не знаю таких</v>
      </c>
      <c r="K36" s="6" t="str">
        <f>IFERROR(__xludf.DUMMYFUNCTION("""COMPUTED_VALUE"""),"Площадь Волкова, надпись Кузбасс на правом берегу, изгиб реки в Сухово")</f>
        <v>Площадь Волкова, надпись Кузбасс на правом берегу, изгиб реки в Сухово</v>
      </c>
      <c r="L36" s="6" t="str">
        <f>IFERROR(__xludf.DUMMYFUNCTION("""COMPUTED_VALUE"""),"Песня ""Человек из Кемерово""")</f>
        <v>Песня "Человек из Кемерово"</v>
      </c>
      <c r="M36" s="6" t="str">
        <f>IFERROR(__xludf.DUMMYFUNCTION("""COMPUTED_VALUE"""),"Нет")</f>
        <v>Нет</v>
      </c>
      <c r="N36" s="6" t="str">
        <f>IFERROR(__xludf.DUMMYFUNCTION("""COMPUTED_VALUE"""),"Большие дворы с озеленением, места массового воздуха, достопримечательности для пеших прогулок")</f>
        <v>Большие дворы с озеленением, места массового воздуха, достопримечательности для пеших прогулок</v>
      </c>
      <c r="O36" s="6" t="str">
        <f>IFERROR(__xludf.DUMMYFUNCTION("""COMPUTED_VALUE"""),"Почистить от грязи дороги и благоустроить придомовые территории")</f>
        <v>Почистить от грязи дороги и благоустроить придомовые территории</v>
      </c>
      <c r="P36" s="6" t="str">
        <f>IFERROR(__xludf.DUMMYFUNCTION("""COMPUTED_VALUE"""),"сибдепо, КП")</f>
        <v>сибдепо, КП</v>
      </c>
      <c r="Q36" s="6" t="str">
        <f>IFERROR(__xludf.DUMMYFUNCTION("""COMPUTED_VALUE"""),"куда пойти в свободное время, где вкусно поесть/открытие новых кафе/ресторанов,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с"&amp;"вои предложения)")</f>
        <v>куда пойти в свободное время, где вкусно поесть/открытие новых кафе/ресторанов,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36" s="6" t="str">
        <f>IFERROR(__xludf.DUMMYFUNCTION("""COMPUTED_VALUE"""),"9 мая, день шахтера")</f>
        <v>9 мая, день шахтера</v>
      </c>
      <c r="S36" s="6" t="str">
        <f>IFERROR(__xludf.DUMMYFUNCTION("""COMPUTED_VALUE"""),"организовывал мероприятия от своей организации")</f>
        <v>организовывал мероприятия от своей организации</v>
      </c>
      <c r="T36" s="6" t="str">
        <f>IFERROR(__xludf.DUMMYFUNCTION("""COMPUTED_VALUE"""),"Город шахтеров и заводчан")</f>
        <v>Город шахтеров и заводчан</v>
      </c>
      <c r="U36" s="6" t="str">
        <f>IFERROR(__xludf.DUMMYFUNCTION("""COMPUTED_VALUE"""),"Площадь Советов")</f>
        <v>Площадь Советов</v>
      </c>
      <c r="V36" s="6" t="str">
        <f>IFERROR(__xludf.DUMMYFUNCTION("""COMPUTED_VALUE"""),"Расширяли и благоустраивали его")</f>
        <v>Расширяли и благоустраивали его</v>
      </c>
      <c r="W36" s="6" t="str">
        <f>IFERROR(__xludf.DUMMYFUNCTION("""COMPUTED_VALUE"""),"Не боятся трудностей, держат слово, надежные")</f>
        <v>Не боятся трудностей, держат слово, надежные</v>
      </c>
      <c r="X36" s="6" t="str">
        <f>IFERROR(__xludf.DUMMYFUNCTION("""COMPUTED_VALUE"""),"От парка чудес до окончания детской железной дорого на ленинградском 1а")</f>
        <v>От парка чудес до окончания детской железной дорого на ленинградском 1а</v>
      </c>
      <c r="Y36" s="6" t="str">
        <f>IFERROR(__xludf.DUMMYFUNCTION("""COMPUTED_VALUE"""),"Переименование в Кемерово")</f>
        <v>Переименование в Кемерово</v>
      </c>
      <c r="Z36" s="6" t="str">
        <f>IFERROR(__xludf.DUMMYFUNCTION("""COMPUTED_VALUE"""),"Бессмертный полк")</f>
        <v>Бессмертный полк</v>
      </c>
      <c r="AA36" s="6" t="str">
        <f>IFERROR(__xludf.DUMMYFUNCTION("""COMPUTED_VALUE"""),"Карантин и масочный режим")</f>
        <v>Карантин и масочный режим</v>
      </c>
      <c r="AB36" s="6" t="str">
        <f>IFERROR(__xludf.DUMMYFUNCTION("""COMPUTED_VALUE"""),"Филателистов-авантюристов")</f>
        <v>Филателистов-авантюристов</v>
      </c>
      <c r="AC36" s="6" t="str">
        <f>IFERROR(__xludf.DUMMYFUNCTION("""COMPUTED_VALUE"""),"События, популяризирующие область и город, с местным колоритом, развлекательные, происходящие сразу на нескольких площадках")</f>
        <v>События, популяризирующие область и город, с местным колоритом, развлекательные, происходящие сразу на нескольких площадках</v>
      </c>
      <c r="AD36" s="6" t="str">
        <f>IFERROR(__xludf.DUMMYFUNCTION("""COMPUTED_VALUE"""),"Теоретика")</f>
        <v>Теоретика</v>
      </c>
      <c r="AE36" s="6" t="str">
        <f>IFERROR(__xludf.DUMMYFUNCTION("""COMPUTED_VALUE"""),"Мужской")</f>
        <v>Мужской</v>
      </c>
      <c r="AF36" s="6" t="str">
        <f>IFERROR(__xludf.DUMMYFUNCTION("""COMPUTED_VALUE"""),"30-44")</f>
        <v>30-44</v>
      </c>
      <c r="AG36" s="6"/>
      <c r="AH36" s="6"/>
      <c r="AI36" s="6"/>
      <c r="AJ36" s="6"/>
      <c r="AK36" s="6"/>
      <c r="AL36" s="6"/>
      <c r="AM36" s="6"/>
    </row>
    <row r="37">
      <c r="A37" s="4">
        <v>36.0</v>
      </c>
      <c r="B37" s="6" t="str">
        <f>IFERROR(__xludf.DUMMYFUNCTION("""COMPUTED_VALUE"""),"Менеджер проектов")</f>
        <v>Менеджер проектов</v>
      </c>
      <c r="C37" s="6" t="str">
        <f>IFERROR(__xludf.DUMMYFUNCTION("""COMPUTED_VALUE"""),"Музыка")</f>
        <v>Музыка</v>
      </c>
      <c r="D37" s="6" t="str">
        <f>IFERROR(__xludf.DUMMYFUNCTION("""COMPUTED_VALUE"""),"Центральный")</f>
        <v>Центральный</v>
      </c>
      <c r="E37" s="6" t="str">
        <f>IFERROR(__xludf.DUMMYFUNCTION("""COMPUTED_VALUE"""),"Площадь Советов, улица Весенняя, Притомская набережная, Проспект Советский, отдельно можно отметить Harats pub с его деревянным фасадом,  ")</f>
        <v>Площадь Советов, улица Весенняя, Притомская набережная, Проспект Советский, отдельно можно отметить Harats pub с его деревянным фасадом,  </v>
      </c>
      <c r="F37" s="6" t="str">
        <f>IFERROR(__xludf.DUMMYFUNCTION("""COMPUTED_VALUE"""),"Живу здесь с рождения")</f>
        <v>Живу здесь с рождения</v>
      </c>
      <c r="G37" s="6" t="str">
        <f>IFERROR(__xludf.DUMMYFUNCTION("""COMPUTED_VALUE"""),"гуляю по центру, хожу в бар Harats, бар Reload, Булочную кондитерскую и прочие места, находящиеся в центре города.")</f>
        <v>гуляю по центру, хожу в бар Harats, бар Reload, Булочную кондитерскую и прочие места, находящиеся в центре города.</v>
      </c>
      <c r="H37" s="6" t="str">
        <f>IFERROR(__xludf.DUMMYFUNCTION("""COMPUTED_VALUE"""),"Спокойствие, разнообразие, нетипичность, свобода мысли")</f>
        <v>Спокойствие, разнообразие, нетипичность, свобода мысли</v>
      </c>
      <c r="I37" s="6" t="str">
        <f>IFERROR(__xludf.DUMMYFUNCTION("""COMPUTED_VALUE"""),"Михайло Волков, Алексей Леонов, Виталий Раздаев, ")</f>
        <v>Михайло Волков, Алексей Леонов, Виталий Раздаев, </v>
      </c>
      <c r="J37" s="6" t="str">
        <f>IFERROR(__xludf.DUMMYFUNCTION("""COMPUTED_VALUE"""),"не знаю имён, но точно не из высшего руководства города или области. ")</f>
        <v>не знаю имён, но точно не из высшего руководства города или области. </v>
      </c>
      <c r="K37" s="6" t="str">
        <f>IFERROR(__xludf.DUMMYFUNCTION("""COMPUTED_VALUE"""),"Центр города. Квадрат - Кузнецкий, Красноармейская, Притомская набережная, Соборная. Всё, что внутри этих границ.")</f>
        <v>Центр города. Квадрат - Кузнецкий, Красноармейская, Притомская набережная, Соборная. Всё, что внутри этих границ.</v>
      </c>
      <c r="L37" s="6" t="str">
        <f>IFERROR(__xludf.DUMMYFUNCTION("""COMPUTED_VALUE"""),"""Небо рухнет на землю, перестанет расти трава, он придет и молча поправит всё - Человек из Кемерова""")</f>
        <v>"Небо рухнет на землю, перестанет расти трава, он придет и молча поправит всё - Человек из Кемерова"</v>
      </c>
      <c r="M37" s="6" t="str">
        <f>IFERROR(__xludf.DUMMYFUNCTION("""COMPUTED_VALUE"""),"не припомню")</f>
        <v>не припомню</v>
      </c>
      <c r="N37" s="6" t="str">
        <f>IFERROR(__xludf.DUMMYFUNCTION("""COMPUTED_VALUE""")," Разнообразие городской среды (множество стилей, акцентов),  ровные и логически выстроенные дороги (а не как кольцо на Московском), разнообразие архитектуры (не  однообразные спальные районы, где куча одинаковых многоквартирников), Зелень, много зелени.")</f>
        <v> Разнообразие городской среды (множество стилей, акцентов),  ровные и логически выстроенные дороги (а не как кольцо на Московском), разнообразие архитектуры (не  однообразные спальные районы, где куча одинаковых многоквартирников), Зелень, много зелени.</v>
      </c>
      <c r="O37" s="6" t="str">
        <f>IFERROR(__xludf.DUMMYFUNCTION("""COMPUTED_VALUE"""),"Перестать строить одинаковые многоквартирные дома около которых, к тому же, нет парковок. Перестать ставить кругом танки. Эти деньги лучше пустить на пандусы для инвалидов или социальное жилье для малоимущих. В общем, на что-то реально полезное")</f>
        <v>Перестать строить одинаковые многоквартирные дома около которых, к тому же, нет парковок. Перестать ставить кругом танки. Эти деньги лучше пустить на пандусы для инвалидов или социальное жилье для малоимущих. В общем, на что-то реально полезное</v>
      </c>
      <c r="P37" s="6" t="str">
        <f>IFERROR(__xludf.DUMMYFUNCTION("""COMPUTED_VALUE"""),"Вконтакте, Инстаграм")</f>
        <v>Вконтакте, Инстаграм</v>
      </c>
      <c r="Q37"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интервью с экспертами на разные темы (напишите в раз"&amp;"деле Другое свои предложения), Что было сделано полезного за день и кому это реально помогло, а главное как.")</f>
        <v>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интервью с экспертами на разные темы (напишите в разделе Другое свои предложения), Что было сделано полезного за день и кому это реально помогло, а главное как.</v>
      </c>
      <c r="R37" s="6" t="str">
        <f>IFERROR(__xludf.DUMMYFUNCTION("""COMPUTED_VALUE"""),"Никакие. Большинство из них - мало кому реально нужная показуха. В ситуации, когда город утопает в грязи, нищите и классовом неравенстве (бензин по 50 рублей) не до праздников. А если ещё и центр города переделают ""под одну гребёнку"", то можно будет сме"&amp;"ло отсюда уезжать. Точнее это станет куда проще сделать. ")</f>
        <v>Никакие. Большинство из них - мало кому реально нужная показуха. В ситуации, когда город утопает в грязи, нищите и классовом неравенстве (бензин по 50 рублей) не до праздников. А если ещё и центр города переделают "под одну гребёнку", то можно будет смело отсюда уезжать. Точнее это станет куда проще сделать. </v>
      </c>
      <c r="S37" s="6" t="str">
        <f>IFERROR(__xludf.DUMMYFUNCTION("""COMPUTED_VALUE"""),"Через социальные сети (Какие? Укажите в графе другое), музыкальные концерты")</f>
        <v>Через социальные сети (Какие? Укажите в графе другое), музыкальные концерты</v>
      </c>
      <c r="T37" s="6" t="str">
        <f>IFERROR(__xludf.DUMMYFUNCTION("""COMPUTED_VALUE"""),"Культурные люди, красивый и компактный центр.")</f>
        <v>Культурные люди, красивый и компактный центр.</v>
      </c>
      <c r="U37" s="6" t="str">
        <f>IFERROR(__xludf.DUMMYFUNCTION("""COMPUTED_VALUE"""),"Центр города. Квадрат - Кузнецкий, Красноармейская, Притомская набережная, Соборная. Всё, что внутри этих границ.")</f>
        <v>Центр города. Квадрат - Кузнецкий, Красноармейская, Притомская набережная, Соборная. Всё, что внутри этих границ.</v>
      </c>
      <c r="V37" s="6" t="str">
        <f>IFERROR(__xludf.DUMMYFUNCTION("""COMPUTED_VALUE"""),"В начале 20-го века часть Кемеровчан внесли вклад в победу в войне. Они и их потомки могут по праву собой гордиться. Те, кто проектировал и строил город примерно до 90-х могут собой гордиться.")</f>
        <v>В начале 20-го века часть Кемеровчан внесли вклад в победу в войне. Они и их потомки могут по праву собой гордиться. Те, кто проектировал и строил город примерно до 90-х могут собой гордиться.</v>
      </c>
      <c r="W37" s="6" t="str">
        <f>IFERROR(__xludf.DUMMYFUNCTION("""COMPUTED_VALUE"""),"Интеллигентные, уравновешенные, интересуются искусством, размеренные.")</f>
        <v>Интеллигентные, уравновешенные, интересуются искусством, размеренные.</v>
      </c>
      <c r="X37" s="6" t="str">
        <f>IFERROR(__xludf.DUMMYFUNCTION("""COMPUTED_VALUE"""),"Весенняя от Красноармейской, Советский, Кирова, Притомская набережная до Арочной, ул. Красная до филармонии, от филармонии на пл.Советов, далее на Советский, с советского на фонтан, по весенней , направо на Ноградскую до 50 лет октября, развернуться , обр"&amp;"атно на Весеннюю и до Красноармейской")</f>
        <v>Весенняя от Красноармейской, Советский, Кирова, Притомская набережная до Арочной, ул. Красная до филармонии, от филармонии на пл.Советов, далее на Советский, с советского на фонтан, по весенней , направо на Ноградскую до 50 лет октября, развернуться , обратно на Весеннюю и до Красноармейской</v>
      </c>
      <c r="Y37" s="6" t="str">
        <f>IFERROR(__xludf.DUMMYFUNCTION("""COMPUTED_VALUE"""),"Рок концерт ""Легенды мирового рока"" в июле 2019.")</f>
        <v>Рок концерт "Легенды мирового рока" в июле 2019.</v>
      </c>
      <c r="Z37" s="6" t="str">
        <f>IFERROR(__xludf.DUMMYFUNCTION("""COMPUTED_VALUE"""),"никакие")</f>
        <v>никакие</v>
      </c>
      <c r="AA37" s="6" t="str">
        <f>IFERROR(__xludf.DUMMYFUNCTION("""COMPUTED_VALUE"""),"Новость о том, что в центре города собираются переделать все фасады под единый стиль. Просто знаю на 90%, что сделано будет плохо из плохих материалов и главный профит будет тем, кто это затеял и поставщикам материалов (такой, разумеется будет кто-то один"&amp;"). Город потеряет много ярких выделяющихся элементов, будет потрачено огромное количество денег, которые можно потратить с большей пользой. Главный негатив вызывает мысль о том, что руководство города и области вообще поднимает какие-то подобные проекты, "&amp;"в то время, когда некоторым людям, в том числе ветеранам и пенсионерам нечего есть, в больницах не хватает мест, люди дичают от нехватки денег и постоянного роста цен, по улицам ходят бабушки, единственный способ выжить для которых - просить денег или еды"&amp;" у прохожих. А ведь они могут быть теми людьми, которые строили этот город, развивали его в своё время, честно трудились, теперь же остались никому не нужны. Зачем ветерану труда, которому нечего есть или негде жить куча танков, флагов победы и новые фаса"&amp;"ды зданий?")</f>
        <v>Новость о том, что в центре города собираются переделать все фасады под единый стиль. Просто знаю на 90%, что сделано будет плохо из плохих материалов и главный профит будет тем, кто это затеял и поставщикам материалов (такой, разумеется будет кто-то один). Город потеряет много ярких выделяющихся элементов, будет потрачено огромное количество денег, которые можно потратить с большей пользой. Главный негатив вызывает мысль о том, что руководство города и области вообще поднимает какие-то подобные проекты, в то время, когда некоторым людям, в том числе ветеранам и пенсионерам нечего есть, в больницах не хватает мест, люди дичают от нехватки денег и постоянного роста цен, по улицам ходят бабушки, единственный способ выжить для которых - просить денег или еды у прохожих. А ведь они могут быть теми людьми, которые строили этот город, развивали его в своё время, честно трудились, теперь же остались никому не нужны. Зачем ветерану труда, которому нечего есть или негде жить куча танков, флагов победы и новые фасады зданий?</v>
      </c>
      <c r="AB37" s="6" t="str">
        <f>IFERROR(__xludf.DUMMYFUNCTION("""COMPUTED_VALUE"""),"творческих, культурных не привязанных к указке руководства города")</f>
        <v>творческих, культурных не привязанных к указке руководства города</v>
      </c>
      <c r="AC37" s="6" t="str">
        <f>IFERROR(__xludf.DUMMYFUNCTION("""COMPUTED_VALUE"""),"Массовые мероприятия с привлечением артистов и деятелей, которые интересны жителям города. Пример - уральская ночь музыки.")</f>
        <v>Массовые мероприятия с привлечением артистов и деятелей, которые интересны жителям города. Пример - уральская ночь музыки.</v>
      </c>
      <c r="AD37" s="6" t="str">
        <f>IFERROR(__xludf.DUMMYFUNCTION("""COMPUTED_VALUE"""),"Участник самих проектов, помощник в организации")</f>
        <v>Участник самих проектов, помощник в организации</v>
      </c>
      <c r="AE37" s="6" t="str">
        <f>IFERROR(__xludf.DUMMYFUNCTION("""COMPUTED_VALUE"""),"Мужской")</f>
        <v>Мужской</v>
      </c>
      <c r="AF37" s="6" t="str">
        <f>IFERROR(__xludf.DUMMYFUNCTION("""COMPUTED_VALUE"""),"30-44")</f>
        <v>30-44</v>
      </c>
      <c r="AG37" s="6"/>
      <c r="AH37" s="6"/>
      <c r="AI37" s="6"/>
      <c r="AJ37" s="6"/>
      <c r="AK37" s="6"/>
      <c r="AL37" s="6"/>
      <c r="AM37" s="6"/>
    </row>
    <row r="38">
      <c r="A38" s="4">
        <v>37.0</v>
      </c>
      <c r="B38" s="6" t="str">
        <f>IFERROR(__xludf.DUMMYFUNCTION("""COMPUTED_VALUE"""),"Предпринимательство")</f>
        <v>Предпринимательство</v>
      </c>
      <c r="C38" s="6" t="str">
        <f>IFERROR(__xludf.DUMMYFUNCTION("""COMPUTED_VALUE"""),"Йога, фортепиано")</f>
        <v>Йога, фортепиано</v>
      </c>
      <c r="D38" s="6" t="str">
        <f>IFERROR(__xludf.DUMMYFUNCTION("""COMPUTED_VALUE"""),"Центральный район")</f>
        <v>Центральный район</v>
      </c>
      <c r="E38" s="6" t="str">
        <f>IFERROR(__xludf.DUMMYFUNCTION("""COMPUTED_VALUE"""),"Набережная, ул.Весенняя, площадь Советов")</f>
        <v>Набережная, ул.Весенняя, площадь Советов</v>
      </c>
      <c r="F38" s="6" t="str">
        <f>IFERROR(__xludf.DUMMYFUNCTION("""COMPUTED_VALUE"""),"Переехал сюда из другого места (откуда? укажите в графе другое), Новокузнецк, 12 лет назад")</f>
        <v>Переехал сюда из другого места (откуда? укажите в графе другое), Новокузнецк, 12 лет назад</v>
      </c>
      <c r="G38" s="6" t="str">
        <f>IFERROR(__xludf.DUMMYFUNCTION("""COMPUTED_VALUE"""),"Лесная поляна, филармония, музыкальный театр, рестораны Порт42 и Гриль42, кино, парки Юбилейный, Жукова, Антошка, Парк Чудес")</f>
        <v>Лесная поляна, филармония, музыкальный театр, рестораны Порт42 и Гриль42, кино, парки Юбилейный, Жукова, Антошка, Парк Чудес</v>
      </c>
      <c r="H38" s="6" t="str">
        <f>IFERROR(__xludf.DUMMYFUNCTION("""COMPUTED_VALUE"""),"Ленин, площадь, уголь, администрация, река Томь")</f>
        <v>Ленин, площадь, уголь, администрация, река Томь</v>
      </c>
      <c r="I38" s="6" t="str">
        <f>IFERROR(__xludf.DUMMYFUNCTION("""COMPUTED_VALUE"""),"Волков")</f>
        <v>Волков</v>
      </c>
      <c r="J38" s="6" t="str">
        <f>IFERROR(__xludf.DUMMYFUNCTION("""COMPUTED_VALUE"""),"Михайлов, Середюк, Бочкарев")</f>
        <v>Михайлов, Середюк, Бочкарев</v>
      </c>
      <c r="K38" s="6" t="str">
        <f>IFERROR(__xludf.DUMMYFUNCTION("""COMPUTED_VALUE"""),"Лесная поляна, Красная горка, набережная")</f>
        <v>Лесная поляна, Красная горка, набережная</v>
      </c>
      <c r="L38" s="6" t="str">
        <f>IFERROR(__xludf.DUMMYFUNCTION("""COMPUTED_VALUE"""),"Щегловка")</f>
        <v>Щегловка</v>
      </c>
      <c r="M38" s="6" t="str">
        <f>IFERROR(__xludf.DUMMYFUNCTION("""COMPUTED_VALUE"""),"Нет")</f>
        <v>Нет</v>
      </c>
      <c r="N38" s="6" t="str">
        <f>IFERROR(__xludf.DUMMYFUNCTION("""COMPUTED_VALUE"""),"Безопасность, чистота, климат, сообщества, культурные слбытия")</f>
        <v>Безопасность, чистота, климат, сообщества, культурные слбытия</v>
      </c>
      <c r="O38" s="6" t="str">
        <f>IFERROR(__xludf.DUMMYFUNCTION("""COMPUTED_VALUE"""),"Убрать частный сектор и вычистить спальные районы ")</f>
        <v>Убрать частный сектор и вычистить спальные районы </v>
      </c>
      <c r="P38" s="6" t="str">
        <f>IFERROR(__xludf.DUMMYFUNCTION("""COMPUTED_VALUE"""),"Яндекс.Афиша, vse42")</f>
        <v>Яндекс.Афиша, vse42</v>
      </c>
      <c r="Q38" s="6" t="str">
        <f>IFERROR(__xludf.DUMMYFUNCTION("""COMPUTED_VALUE"""),"куда пойти в свободное время,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(рейтинги/аналитика/тенденции)"&amp;", интервью с экспертами на разные темы (напишите в разделе Другое свои предложения), Работа сообществ")</f>
        <v>куда пойти в свободное время,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Работа сообществ</v>
      </c>
      <c r="R38" s="6" t="str">
        <f>IFERROR(__xludf.DUMMYFUNCTION("""COMPUTED_VALUE"""),"9 мая, новый год")</f>
        <v>9 мая, новый год</v>
      </c>
      <c r="S38" s="6" t="str">
        <f>IFERROR(__xludf.DUMMYFUNCTION("""COMPUTED_VALUE"""),"Делал рассылку по электронной почте, Обращался в редакции электронных городских СМИ, Обращался в редакции городских газет, телевидения, радио")</f>
        <v>Делал рассылку по электронной почте, Обращался в редакции электронных городских СМИ, Обращался в редакции городских газет, телевидения, радио</v>
      </c>
      <c r="T38" s="6" t="str">
        <f>IFERROR(__xludf.DUMMYFUNCTION("""COMPUTED_VALUE"""),"Потенциал развития, чистота, благоустройство (только центр), культурная жизнь")</f>
        <v>Потенциал развития, чистота, благоустройство (только центр), культурная жизнь</v>
      </c>
      <c r="U38" s="6" t="str">
        <f>IFERROR(__xludf.DUMMYFUNCTION("""COMPUTED_VALUE"""),"Площадь советов, Лесная поляна, Набережная")</f>
        <v>Площадь советов, Лесная поляна, Набережная</v>
      </c>
      <c r="V38" s="6" t="str">
        <f>IFERROR(__xludf.DUMMYFUNCTION("""COMPUTED_VALUE"""),"Не знаю")</f>
        <v>Не знаю</v>
      </c>
      <c r="W38" s="6" t="str">
        <f>IFERROR(__xludf.DUMMYFUNCTION("""COMPUTED_VALUE"""),"Закрытые (замкнутые), озабоченные жизнью и работой, грустные")</f>
        <v>Закрытые (замкнутые), озабоченные жизнью и работой, грустные</v>
      </c>
      <c r="X38" s="6" t="str">
        <f>IFERROR(__xludf.DUMMYFUNCTION("""COMPUTED_VALUE"""),"Парк Жукова-Площадь советов-Набережная-Парк чудес")</f>
        <v>Парк Жукова-Площадь советов-Набережная-Парк чудес</v>
      </c>
      <c r="Y38" s="6" t="str">
        <f>IFERROR(__xludf.DUMMYFUNCTION("""COMPUTED_VALUE"""),"Не знаю")</f>
        <v>Не знаю</v>
      </c>
      <c r="Z38" s="6" t="str">
        <f>IFERROR(__xludf.DUMMYFUNCTION("""COMPUTED_VALUE"""),"Рок концерт на день шахтера, фестиваль Яркий город, строительство новых социальных объектов")</f>
        <v>Рок концерт на день шахтера, фестиваль Яркий город, строительство новых социальных объектов</v>
      </c>
      <c r="AA38" s="6" t="str">
        <f>IFERROR(__xludf.DUMMYFUNCTION("""COMPUTED_VALUE"""),"Наличие негативных блогеров, отказ в разрешении на строительство аквапарка")</f>
        <v>Наличие негативных блогеров, отказ в разрешении на строительство аквапарка</v>
      </c>
      <c r="AB38" s="6" t="str">
        <f>IFERROR(__xludf.DUMMYFUNCTION("""COMPUTED_VALUE"""),"Предпринимательское сообщество, научное сообщество")</f>
        <v>Предпринимательское сообщество, научное сообщество</v>
      </c>
      <c r="AC38" s="6" t="str">
        <f>IFERROR(__xludf.DUMMYFUNCTION("""COMPUTED_VALUE"""),"Хакатоны для школьников, арт-пространства,  спортивные соревнования и культурные мероприятия международного уровня, аквапарк")</f>
        <v>Хакатоны для школьников, арт-пространства,  спортивные соревнования и культурные мероприятия международного уровня, аквапарк</v>
      </c>
      <c r="AD38" s="6" t="str">
        <f>IFERROR(__xludf.DUMMYFUNCTION("""COMPUTED_VALUE"""),"В роли соучастника. (вопрос не понятен).")</f>
        <v>В роли соучастника. (вопрос не понятен).</v>
      </c>
      <c r="AE38" s="6" t="str">
        <f>IFERROR(__xludf.DUMMYFUNCTION("""COMPUTED_VALUE"""),"Мужской")</f>
        <v>Мужской</v>
      </c>
      <c r="AF38" s="6" t="str">
        <f>IFERROR(__xludf.DUMMYFUNCTION("""COMPUTED_VALUE"""),"30-44")</f>
        <v>30-44</v>
      </c>
      <c r="AG38" s="6"/>
      <c r="AH38" s="6"/>
      <c r="AI38" s="6"/>
      <c r="AJ38" s="6"/>
      <c r="AK38" s="6"/>
      <c r="AL38" s="6"/>
      <c r="AM38" s="6"/>
    </row>
    <row r="39">
      <c r="A39" s="4">
        <v>38.0</v>
      </c>
      <c r="B39" s="6" t="str">
        <f>IFERROR(__xludf.DUMMYFUNCTION("""COMPUTED_VALUE"""),"Сотрудник IT компании")</f>
        <v>Сотрудник IT компании</v>
      </c>
      <c r="C39" s="6" t="str">
        <f>IFERROR(__xludf.DUMMYFUNCTION("""COMPUTED_VALUE"""),"Есть. Воспитание своих любимых собак")</f>
        <v>Есть. Воспитание своих любимых собак</v>
      </c>
      <c r="D39" s="6" t="str">
        <f>IFERROR(__xludf.DUMMYFUNCTION("""COMPUTED_VALUE"""),"Заводский. ""Около швейки"", ""Возле политеховских общаг""")</f>
        <v>Заводский. "Около швейки", "Возле политеховских общаг"</v>
      </c>
      <c r="E39" s="6" t="str">
        <f>IFERROR(__xludf.DUMMYFUNCTION("""COMPUTED_VALUE"""),"В дребезги разбитая дорогая на Рукавишникова. Очень значимый объект, в сёлах такого не встретишь. А если серьёзно - в 10 минутах ходьбы парк Ангелов")</f>
        <v>В дребезги разбитая дорогая на Рукавишникова. Очень значимый объект, в сёлах такого не встретишь. А если серьёзно - в 10 минутах ходьбы парк Ангелов</v>
      </c>
      <c r="F39" s="6" t="str">
        <f>IFERROR(__xludf.DUMMYFUNCTION("""COMPUTED_VALUE"""),"Живу здесь с рождения")</f>
        <v>Живу здесь с рождения</v>
      </c>
      <c r="G39" s="6" t="str">
        <f>IFERROR(__xludf.DUMMYFUNCTION("""COMPUTED_VALUE"""),"Сосновый бор (для прогулки с собаками), набережная томи.")</f>
        <v>Сосновый бор (для прогулки с собаками), набережная томи.</v>
      </c>
      <c r="H39" s="6" t="str">
        <f>IFERROR(__xludf.DUMMYFUNCTION("""COMPUTED_VALUE"""),"Трубы. Оранжевые светофоры. 18 миллионов. Голливуд. ")</f>
        <v>Трубы. Оранжевые светофоры. 18 миллионов. Голливуд. </v>
      </c>
      <c r="I39" s="6" t="str">
        <f>IFERROR(__xludf.DUMMYFUNCTION("""COMPUTED_VALUE"""),"-")</f>
        <v>-</v>
      </c>
      <c r="J39" s="6" t="str">
        <f>IFERROR(__xludf.DUMMYFUNCTION("""COMPUTED_VALUE"""),"Действительно, кто они?")</f>
        <v>Действительно, кто они?</v>
      </c>
      <c r="K39" s="6" t="str">
        <f>IFERROR(__xludf.DUMMYFUNCTION("""COMPUTED_VALUE"""),"Сердце Шахтёра, Парк ангелов, Набережную томи")</f>
        <v>Сердце Шахтёра, Парк ангелов, Набережную томи</v>
      </c>
      <c r="L39" s="6" t="str">
        <f>IFERROR(__xludf.DUMMYFUNCTION("""COMPUTED_VALUE"""),"-")</f>
        <v>-</v>
      </c>
      <c r="M39" s="6" t="str">
        <f>IFERROR(__xludf.DUMMYFUNCTION("""COMPUTED_VALUE"""),"Швейка, пятая полка")</f>
        <v>Швейка, пятая полка</v>
      </c>
      <c r="N39" s="6" t="str">
        <f>IFERROR(__xludf.DUMMYFUNCTION("""COMPUTED_VALUE"""),"1. Наличие мест для выгула собак и занятий с ними. Мест, которые соответствуют требования и потребностям. На текущий момент в Кемерово таких мест НЕТ! Единственно место на Лесной поляне - возведено средствами жильцов
2. Наличие мест для выгула собак и зан"&amp;"ятий с ними. Мест, которые соответствуют требования и потребностям на текущий момент в Кемерово таких мест НЕТ! Мест в городе можно сосчитать по пальцам 2-х рук, и это вдумайтесь, на пол миллиона жителей!!!! И те не соответствуют требованиям и выглядят ка"&amp;"к ПОСЛЕ БОМБЁЖКИ!!! Единственно место на Лесной поляне - возведено средствами жильцов
3. Наличие мест для выгула собак и занятий с ними. Мест, которые соответствуют требования и потребностям. На текущий момент в Кемерово таких мест НЕТ! Единственно место "&amp;"на Лесной поляне - возведено средствами жильцов
4. Чистые дороги и дворовые территории. Просто безобразное отношение управляющих компаний и предприятий обслуживающих дороги
5. Наличие бОльшего количества популярных магазинов одежды. Если необходимо купить"&amp;" качественные и недорогие вещи - приходится ехать в Новосибирск, Томск, Новокузнецк. В городе Кемерово отвратительные и бесполезные ТЦ")</f>
        <v>1. Наличие мест для выгула собак и занятий с ними. Мест, которые соответствуют требования и потребностям. На текущий момент в Кемерово таких мест НЕТ! Единственно место на Лесной поляне - возведено средствами жильцов
2. Наличие мест для выгула собак и занятий с ними. Мест, которые соответствуют требования и потребностям на текущий момент в Кемерово таких мест НЕТ! Мест в городе можно сосчитать по пальцам 2-х рук, и это вдумайтесь, на пол миллиона жителей!!!! И те не соответствуют требованиям и выглядят как ПОСЛЕ БОМБЁЖКИ!!! Единственно место на Лесной поляне - возведено средствами жильцов
3. Наличие мест для выгула собак и занятий с ними. Мест, которые соответствуют требования и потребностям. На текущий момент в Кемерово таких мест НЕТ! Единственно место на Лесной поляне - возведено средствами жильцов
4. Чистые дороги и дворовые территории. Просто безобразное отношение управляющих компаний и предприятий обслуживающих дороги
5. Наличие бОльшего количества популярных магазинов одежды. Если необходимо купить качественные и недорогие вещи - приходится ехать в Новосибирск, Томск, Новокузнецк. В городе Кемерово отвратительные и бесполезные ТЦ</v>
      </c>
      <c r="O39" s="6" t="str">
        <f>IFERROR(__xludf.DUMMYFUNCTION("""COMPUTED_VALUE"""),"Снести к чертям весь частник на сибиряках и в Кировском.  Если речь идёт про наш прекрасный центр - то в нашем прекрасном центре на столько все старинно, что складывается впечатление, что этот город не для молодёжи. Необходимо бОльшее количество построек "&amp;"с современным внешним видом.
Закрасить трубы на Кузнецком, да хоть в цвет неба с облочками, лишь бы не лицезреть эти отвратные постройки.
Необходимо больше зелени. С каждым годом её становится только меньше")</f>
        <v>Снести к чертям весь частник на сибиряках и в Кировском.  Если речь идёт про наш прекрасный центр - то в нашем прекрасном центре на столько все старинно, что складывается впечатление, что этот город не для молодёжи. Необходимо бОльшее количество построек с современным внешним видом.
Закрасить трубы на Кузнецком, да хоть в цвет неба с облочками, лишь бы не лицезреть эти отвратные постройки.
Необходимо больше зелени. С каждым годом её становится только меньше</v>
      </c>
      <c r="P39" s="6" t="str">
        <f>IFERROR(__xludf.DUMMYFUNCTION("""COMPUTED_VALUE"""),"Сарафанное радио. Иначе, если до меня это не дошло - это не интересно и другие люди этим не интересуются")</f>
        <v>Сарафанное радио. Иначе, если до меня это не дошло - это не интересно и другие люди этим не интересуются</v>
      </c>
      <c r="Q39"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бизнес-новости (средний чек/рекламные акции/запуск новых предприятий), результаты местных исследо"&amp;"ваний (рейтинги/аналитика/тенденции)")</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39" s="6" t="str">
        <f>IFERROR(__xludf.DUMMYFUNCTION("""COMPUTED_VALUE"""),"День шахтёра, только ради салют, иначе это сборище пьяни и быдла во дворах и общественных местах города")</f>
        <v>День шахтёра, только ради салют, иначе это сборище пьяни и быдла во дворах и общественных местах города</v>
      </c>
      <c r="S39" s="6" t="str">
        <f>IFERROR(__xludf.DUMMYFUNCTION("""COMPUTED_VALUE"""),"Нет, не приходилось")</f>
        <v>Нет, не приходилось</v>
      </c>
      <c r="T39" s="6" t="str">
        <f>IFERROR(__xludf.DUMMYFUNCTION("""COMPUTED_VALUE"""),"Ёлка за 18 миллионов. Друзья из других регионов катастрофически удивляются тому, что у нас оранжевые светофоры и называют это - ""совок какой то""")</f>
        <v>Ёлка за 18 миллионов. Друзья из других регионов катастрофически удивляются тому, что у нас оранжевые светофоры и называют это - "совок какой то"</v>
      </c>
      <c r="U39" s="6" t="str">
        <f>IFERROR(__xludf.DUMMYFUNCTION("""COMPUTED_VALUE"""),"ул. Весенняя")</f>
        <v>ул. Весенняя</v>
      </c>
      <c r="V39" s="6" t="str">
        <f>IFERROR(__xludf.DUMMYFUNCTION("""COMPUTED_VALUE"""),"На мой взгляд люди ждут инициативы от властей. Власть ждёт предложений от горожан (или не ждёт). Порочный круг, в котором ничего не происходит")</f>
        <v>На мой взгляд люди ждут инициативы от властей. Власть ждёт предложений от горожан (или не ждёт). Порочный круг, в котором ничего не происходит</v>
      </c>
      <c r="W39" s="6" t="str">
        <f>IFERROR(__xludf.DUMMYFUNCTION("""COMPUTED_VALUE"""),"Зависит от района. Но каждый хочет/заслуживает жить в городе, который соответствует их ожиданиям. По этому услышаны должны быть ВСЕ")</f>
        <v>Зависит от района. Но каждый хочет/заслуживает жить в городе, который соответствует их ожиданиям. По этому услышаны должны быть ВСЕ</v>
      </c>
      <c r="X39" s="6" t="str">
        <f>IFERROR(__xludf.DUMMYFUNCTION("""COMPUTED_VALUE"""),"Весенняя - Набережная томи - Арочная")</f>
        <v>Весенняя - Набережная томи - Арочная</v>
      </c>
      <c r="Y39" s="6" t="str">
        <f>IFERROR(__xludf.DUMMYFUNCTION("""COMPUTED_VALUE"""),"Bandy")</f>
        <v>Bandy</v>
      </c>
      <c r="Z39" s="6" t="str">
        <f>IFERROR(__xludf.DUMMYFUNCTION("""COMPUTED_VALUE"""),"- ")</f>
        <v>- </v>
      </c>
      <c r="AA39" s="6" t="str">
        <f>IFERROR(__xludf.DUMMYFUNCTION("""COMPUTED_VALUE"""),"Крайнее неуважение к собаководам. И крайнее неуважения самих собаководов к другим людям. Даёшь места для выгула и штрафы за неубранные продукты жизнедеятельности. Мама не воспитала - пусть рубль воспитывает. Вырученные деньги пустить на постройку мест для"&amp;" выгула.
Вопрос по отлову бездомных собак. В обществе происходят негодования по этому вопросу, тратятся десятки миллионов в год. Вопрос сможет решиться только стерилизацией!")</f>
        <v>Крайнее неуважение к собаководам. И крайнее неуважения самих собаководов к другим людям. Даёшь места для выгула и штрафы за неубранные продукты жизнедеятельности. Мама не воспитала - пусть рубль воспитывает. Вырученные деньги пустить на постройку мест для выгула.
Вопрос по отлову бездомных собак. В обществе происходят негодования по этому вопросу, тратятся десятки миллионов в год. Вопрос сможет решиться только стерилизацией!</v>
      </c>
      <c r="AB39" s="6" t="str">
        <f>IFERROR(__xludf.DUMMYFUNCTION("""COMPUTED_VALUE"""),"-")</f>
        <v>-</v>
      </c>
      <c r="AC39" s="6" t="str">
        <f>IFERROR(__xludf.DUMMYFUNCTION("""COMPUTED_VALUE"""),"Необходимо больше мест досуга. ")</f>
        <v>Необходимо больше мест досуга. </v>
      </c>
      <c r="AD39" s="6" t="str">
        <f>IFERROR(__xludf.DUMMYFUNCTION("""COMPUTED_VALUE"""),"Готов заняться вопросом реализации мест для выгула собак.")</f>
        <v>Готов заняться вопросом реализации мест для выгула собак.</v>
      </c>
      <c r="AE39" s="6" t="str">
        <f>IFERROR(__xludf.DUMMYFUNCTION("""COMPUTED_VALUE"""),"Мужской")</f>
        <v>Мужской</v>
      </c>
      <c r="AF39" s="6" t="str">
        <f>IFERROR(__xludf.DUMMYFUNCTION("""COMPUTED_VALUE"""),"18-29")</f>
        <v>18-29</v>
      </c>
      <c r="AG39" s="6"/>
      <c r="AH39" s="6"/>
      <c r="AI39" s="6"/>
      <c r="AJ39" s="6"/>
      <c r="AK39" s="6"/>
      <c r="AL39" s="6"/>
      <c r="AM39" s="6"/>
    </row>
    <row r="40">
      <c r="A40" s="4">
        <v>39.0</v>
      </c>
      <c r="B40" s="6" t="str">
        <f>IFERROR(__xludf.DUMMYFUNCTION("""COMPUTED_VALUE"""),"IT менеджер")</f>
        <v>IT менеджер</v>
      </c>
      <c r="C40" s="6" t="str">
        <f>IFERROR(__xludf.DUMMYFUNCTION("""COMPUTED_VALUE"""),"Каратэ, DIY")</f>
        <v>Каратэ, DIY</v>
      </c>
      <c r="D40" s="6" t="str">
        <f>IFERROR(__xludf.DUMMYFUNCTION("""COMPUTED_VALUE"""),"Центр")</f>
        <v>Центр</v>
      </c>
      <c r="E40" s="6" t="str">
        <f>IFERROR(__xludf.DUMMYFUNCTION("""COMPUTED_VALUE"""),"Весенняя, фонтан, набережная")</f>
        <v>Весенняя, фонтан, набережная</v>
      </c>
      <c r="F40" s="6" t="str">
        <f>IFERROR(__xludf.DUMMYFUNCTION("""COMPUTED_VALUE"""),"Живу здесь с рождения")</f>
        <v>Живу здесь с рождения</v>
      </c>
      <c r="G40" s="6" t="str">
        <f>IFERROR(__xludf.DUMMYFUNCTION("""COMPUTED_VALUE"""),"Везде, кроме южного и кировского")</f>
        <v>Везде, кроме южного и кировского</v>
      </c>
      <c r="H40" s="6" t="str">
        <f>IFERROR(__xludf.DUMMYFUNCTION("""COMPUTED_VALUE"""),"Маленький, близкий, доступный, дымный, иногда вонючий")</f>
        <v>Маленький, близкий, доступный, дымный, иногда вонючий</v>
      </c>
      <c r="I40" s="6" t="str">
        <f>IFERROR(__xludf.DUMMYFUNCTION("""COMPUTED_VALUE"""),"Леонов, Волошина")</f>
        <v>Леонов, Волошина</v>
      </c>
      <c r="J40" s="6" t="str">
        <f>IFERROR(__xludf.DUMMYFUNCTION("""COMPUTED_VALUE"""),"не знаю таких")</f>
        <v>не знаю таких</v>
      </c>
      <c r="K40" s="6" t="str">
        <f>IFERROR(__xludf.DUMMYFUNCTION("""COMPUTED_VALUE"""),"Весь центр бы показал, красную горку, бор")</f>
        <v>Весь центр бы показал, красную горку, бор</v>
      </c>
      <c r="L40" s="6" t="str">
        <f>IFERROR(__xludf.DUMMYFUNCTION("""COMPUTED_VALUE"""),"не знаю таких")</f>
        <v>не знаю таких</v>
      </c>
      <c r="M40" s="6" t="str">
        <f>IFERROR(__xludf.DUMMYFUNCTION("""COMPUTED_VALUE"""),"Кирыч, Радуга, швейка")</f>
        <v>Кирыч, Радуга, швейка</v>
      </c>
      <c r="N40" s="6" t="str">
        <f>IFERROR(__xludf.DUMMYFUNCTION("""COMPUTED_VALUE"""),"Наличие прогулочных зон, время в дороге на работе и с нее, экология, наличие развлечений, виды")</f>
        <v>Наличие прогулочных зон, время в дороге на работе и с нее, экология, наличие развлечений, виды</v>
      </c>
      <c r="O40" s="6" t="str">
        <f>IFERROR(__xludf.DUMMYFUNCTION("""COMPUTED_VALUE"""),"Покрасить все дома в городе в современные цвета, построить здания с необычной современной архитектурой")</f>
        <v>Покрасить все дома в городе в современные цвета, построить здания с необычной современной архитектурой</v>
      </c>
      <c r="P40" s="6" t="str">
        <f>IFERROR(__xludf.DUMMYFUNCTION("""COMPUTED_VALUE"""),"Вконтакте, А42")</f>
        <v>Вконтакте, А42</v>
      </c>
      <c r="Q40"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чек/реклам"&amp;"ные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40" s="6" t="str">
        <f>IFERROR(__xludf.DUMMYFUNCTION("""COMPUTED_VALUE"""),"День города")</f>
        <v>День города</v>
      </c>
      <c r="S40" s="6" t="str">
        <f>IFERROR(__xludf.DUMMYFUNCTION("""COMPUTED_VALUE"""),"Писал и расклеивал объявления/афиши")</f>
        <v>Писал и расклеивал объявления/афиши</v>
      </c>
      <c r="T40" s="6" t="str">
        <f>IFERROR(__xludf.DUMMYFUNCTION("""COMPUTED_VALUE"""),"Ничего супер уникального не обнаружил")</f>
        <v>Ничего супер уникального не обнаружил</v>
      </c>
      <c r="U40" s="6" t="str">
        <f>IFERROR(__xludf.DUMMYFUNCTION("""COMPUTED_VALUE"""),"Дамтеатр и советский проспект")</f>
        <v>Дамтеатр и советский проспект</v>
      </c>
      <c r="V40" s="6" t="str">
        <f>IFERROR(__xludf.DUMMYFUNCTION("""COMPUTED_VALUE"""),"нет ответа")</f>
        <v>нет ответа</v>
      </c>
      <c r="W40" s="6" t="str">
        <f>IFERROR(__xludf.DUMMYFUNCTION("""COMPUTED_VALUE"""),"не сильно быдло.")</f>
        <v>не сильно быдло.</v>
      </c>
      <c r="X40" s="6" t="str">
        <f>IFERROR(__xludf.DUMMYFUNCTION("""COMPUTED_VALUE"""),"Весеняя, советский, набережная, парк Жукова")</f>
        <v>Весеняя, советский, набережная, парк Жукова</v>
      </c>
      <c r="Y40" s="6" t="str">
        <f>IFERROR(__xludf.DUMMYFUNCTION("""COMPUTED_VALUE"""),"Концерт Within Temptation")</f>
        <v>Концерт Within Temptation</v>
      </c>
      <c r="Z40" s="6" t="str">
        <f>IFERROR(__xludf.DUMMYFUNCTION("""COMPUTED_VALUE"""),"нет таких")</f>
        <v>нет таких</v>
      </c>
      <c r="AA40" s="6" t="str">
        <f>IFERROR(__xludf.DUMMYFUNCTION("""COMPUTED_VALUE"""),"Постоянный рост числа наркоманов и вич инфецированных")</f>
        <v>Постоянный рост числа наркоманов и вич инфецированных</v>
      </c>
      <c r="AB40" s="6" t="str">
        <f>IFERROR(__xludf.DUMMYFUNCTION("""COMPUTED_VALUE"""),"Интересных")</f>
        <v>Интересных</v>
      </c>
      <c r="AC40" s="6" t="str">
        <f>IFERROR(__xludf.DUMMYFUNCTION("""COMPUTED_VALUE"""),"Открытие новых предприятий в инновационных сферах")</f>
        <v>Открытие новых предприятий в инновационных сферах</v>
      </c>
      <c r="AD40" s="6" t="str">
        <f>IFERROR(__xludf.DUMMYFUNCTION("""COMPUTED_VALUE"""),"в составе команды организаторов")</f>
        <v>в составе команды организаторов</v>
      </c>
      <c r="AE40" s="6" t="str">
        <f>IFERROR(__xludf.DUMMYFUNCTION("""COMPUTED_VALUE"""),"Мужской")</f>
        <v>Мужской</v>
      </c>
      <c r="AF40" s="6" t="str">
        <f>IFERROR(__xludf.DUMMYFUNCTION("""COMPUTED_VALUE"""),"30-44")</f>
        <v>30-44</v>
      </c>
      <c r="AG40" s="6"/>
      <c r="AH40" s="6"/>
      <c r="AI40" s="6"/>
      <c r="AJ40" s="6"/>
      <c r="AK40" s="6"/>
      <c r="AL40" s="6"/>
      <c r="AM40" s="6"/>
    </row>
    <row r="41">
      <c r="A41" s="4">
        <v>40.0</v>
      </c>
      <c r="B41" s="6" t="str">
        <f>IFERROR(__xludf.DUMMYFUNCTION("""COMPUTED_VALUE"""),"Работаю в IT компании")</f>
        <v>Работаю в IT компании</v>
      </c>
      <c r="C41" s="6" t="str">
        <f>IFERROR(__xludf.DUMMYFUNCTION("""COMPUTED_VALUE"""),"Сноуборд")</f>
        <v>Сноуборд</v>
      </c>
      <c r="D41" s="6" t="str">
        <f>IFERROR(__xludf.DUMMYFUNCTION("""COMPUTED_VALUE"""),"Радуга")</f>
        <v>Радуга</v>
      </c>
      <c r="E41" s="6" t="str">
        <f>IFERROR(__xludf.DUMMYFUNCTION("""COMPUTED_VALUE"""),"Офис GoodLine, сосновый бор")</f>
        <v>Офис GoodLine, сосновый бор</v>
      </c>
      <c r="F41" s="6" t="str">
        <f>IFERROR(__xludf.DUMMYFUNCTION("""COMPUTED_VALUE"""),"Переехал сюда из другого места (откуда? укажите в графе другое), Березовский Кемеровская область")</f>
        <v>Переехал сюда из другого места (откуда? укажите в графе другое), Березовский Кемеровская область</v>
      </c>
      <c r="G41" s="6" t="str">
        <f>IFERROR(__xludf.DUMMYFUNCTION("""COMPUTED_VALUE"""),"Сосновый Бор, тетр детей и молодежи, центр города")</f>
        <v>Сосновый Бор, тетр детей и молодежи, центр города</v>
      </c>
      <c r="H41" s="6" t="str">
        <f>IFERROR(__xludf.DUMMYFUNCTION("""COMPUTED_VALUE"""),"Гришковец, Кузбасс, Береза, Уют, Дом")</f>
        <v>Гришковец, Кузбасс, Береза, Уют, Дом</v>
      </c>
      <c r="I41" s="6" t="str">
        <f>IFERROR(__xludf.DUMMYFUNCTION("""COMPUTED_VALUE"""),"Терешкова")</f>
        <v>Терешкова</v>
      </c>
      <c r="J41" s="6" t="str">
        <f>IFERROR(__xludf.DUMMYFUNCTION("""COMPUTED_VALUE"""),"Цивилев, Тулеев")</f>
        <v>Цивилев, Тулеев</v>
      </c>
      <c r="K41" s="6" t="str">
        <f>IFERROR(__xludf.DUMMYFUNCTION("""COMPUTED_VALUE"""),"Ресторан Забой, центр города, крест")</f>
        <v>Ресторан Забой, центр города, крест</v>
      </c>
      <c r="L41" s="6" t="str">
        <f>IFERROR(__xludf.DUMMYFUNCTION("""COMPUTED_VALUE"""),"не знаю")</f>
        <v>не знаю</v>
      </c>
      <c r="M41" s="6" t="str">
        <f>IFERROR(__xludf.DUMMYFUNCTION("""COMPUTED_VALUE"""),"Не знаю")</f>
        <v>Не знаю</v>
      </c>
      <c r="N41" s="6" t="str">
        <f>IFERROR(__xludf.DUMMYFUNCTION("""COMPUTED_VALUE"""),"Отсутствие пробок, компактность территории, уют, достаточность досуговых мест, доступность жилья")</f>
        <v>Отсутствие пробок, компактность территории, уют, достаточность досуговых мест, доступность жилья</v>
      </c>
      <c r="O41" s="6" t="str">
        <f>IFERROR(__xludf.DUMMYFUNCTION("""COMPUTED_VALUE"""),"дороги")</f>
        <v>дороги</v>
      </c>
      <c r="P41" s="6" t="str">
        <f>IFERROR(__xludf.DUMMYFUNCTION("""COMPUTED_VALUE"""),"инстаграм")</f>
        <v>инстаграм</v>
      </c>
      <c r="Q4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криминальные новости (происшествия/преступления)"&amp;",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криминальные новости (происшествия/преступления), новости про новые профессии/куда поступать/вакансии</v>
      </c>
      <c r="R41" s="6" t="str">
        <f>IFERROR(__xludf.DUMMYFUNCTION("""COMPUTED_VALUE"""),"день победы")</f>
        <v>день победы</v>
      </c>
      <c r="S41" s="6" t="str">
        <f>IFERROR(__xludf.DUMMYFUNCTION("""COMPUTED_VALUE"""),"Нет, не приходилось")</f>
        <v>Нет, не приходилось</v>
      </c>
      <c r="T41" s="6" t="str">
        <f>IFERROR(__xludf.DUMMYFUNCTION("""COMPUTED_VALUE"""),"для меня он уникален своим родством")</f>
        <v>для меня он уникален своим родством</v>
      </c>
      <c r="U41" s="6" t="str">
        <f>IFERROR(__xludf.DUMMYFUNCTION("""COMPUTED_VALUE"""),"площадь у театра драмы")</f>
        <v>площадь у театра драмы</v>
      </c>
      <c r="V41" s="6" t="str">
        <f>IFERROR(__xludf.DUMMYFUNCTION("""COMPUTED_VALUE"""),"строительство города, его преображение, фиксация в книге истории кемерова")</f>
        <v>строительство города, его преображение, фиксация в книге истории кемерова</v>
      </c>
      <c r="W41" s="6" t="str">
        <f>IFERROR(__xludf.DUMMYFUNCTION("""COMPUTED_VALUE"""),"Кемеровчане не самые солидарные водители)")</f>
        <v>Кемеровчане не самые солидарные водители)</v>
      </c>
      <c r="X41" s="6" t="str">
        <f>IFERROR(__xludf.DUMMYFUNCTION("""COMPUTED_VALUE"""),"центр-сосновый бор-бульвар строителей")</f>
        <v>центр-сосновый бор-бульвар строителей</v>
      </c>
      <c r="Y41" s="6" t="str">
        <f>IFERROR(__xludf.DUMMYFUNCTION("""COMPUTED_VALUE"""),"Пожар в зимней вишне")</f>
        <v>Пожар в зимней вишне</v>
      </c>
      <c r="Z41" s="6" t="str">
        <f>IFERROR(__xludf.DUMMYFUNCTION("""COMPUTED_VALUE"""),"строительство кадетского училища")</f>
        <v>строительство кадетского училища</v>
      </c>
      <c r="AA41" s="6" t="str">
        <f>IFERROR(__xludf.DUMMYFUNCTION("""COMPUTED_VALUE"""),"более 2 х лет-зимняя вишня")</f>
        <v>более 2 х лет-зимняя вишня</v>
      </c>
      <c r="AB41" s="6" t="str">
        <f>IFERROR(__xludf.DUMMYFUNCTION("""COMPUTED_VALUE"""),"Клубов для саморазвития (самопознание, бизнес, финансы, медитации)")</f>
        <v>Клубов для саморазвития (самопознание, бизнес, финансы, медитации)</v>
      </c>
      <c r="AC41" s="6" t="str">
        <f>IFERROR(__xludf.DUMMYFUNCTION("""COMPUTED_VALUE"""),"массовые организованные мероприятия")</f>
        <v>массовые организованные мероприятия</v>
      </c>
      <c r="AD41" s="6" t="str">
        <f>IFERROR(__xludf.DUMMYFUNCTION("""COMPUTED_VALUE"""),"участник")</f>
        <v>участник</v>
      </c>
      <c r="AE41" s="6" t="str">
        <f>IFERROR(__xludf.DUMMYFUNCTION("""COMPUTED_VALUE"""),"Женский")</f>
        <v>Женский</v>
      </c>
      <c r="AF41" s="6" t="str">
        <f>IFERROR(__xludf.DUMMYFUNCTION("""COMPUTED_VALUE"""),"30-44")</f>
        <v>30-44</v>
      </c>
      <c r="AG41" s="6"/>
      <c r="AH41" s="6"/>
      <c r="AI41" s="6"/>
      <c r="AJ41" s="6"/>
      <c r="AK41" s="6"/>
      <c r="AL41" s="6"/>
      <c r="AM41" s="6"/>
    </row>
    <row r="42">
      <c r="A42" s="4">
        <v>41.0</v>
      </c>
      <c r="B42" s="6" t="str">
        <f>IFERROR(__xludf.DUMMYFUNCTION("""COMPUTED_VALUE"""),"Работаю.")</f>
        <v>Работаю.</v>
      </c>
      <c r="C42" s="6" t="str">
        <f>IFERROR(__xludf.DUMMYFUNCTION("""COMPUTED_VALUE"""),"читать.")</f>
        <v>читать.</v>
      </c>
      <c r="D42" s="6" t="str">
        <f>IFERROR(__xludf.DUMMYFUNCTION("""COMPUTED_VALUE"""),"ленинский")</f>
        <v>ленинский</v>
      </c>
      <c r="E42" s="6" t="str">
        <f>IFERROR(__xludf.DUMMYFUNCTION("""COMPUTED_VALUE"""),"-")</f>
        <v>-</v>
      </c>
      <c r="F42" s="6" t="str">
        <f>IFERROR(__xludf.DUMMYFUNCTION("""COMPUTED_VALUE"""),"Живу здесь с рождения")</f>
        <v>Живу здесь с рождения</v>
      </c>
      <c r="G42" s="6" t="str">
        <f>IFERROR(__xludf.DUMMYFUNCTION("""COMPUTED_VALUE"""),"-")</f>
        <v>-</v>
      </c>
      <c r="H42" s="6" t="str">
        <f>IFERROR(__xludf.DUMMYFUNCTION("""COMPUTED_VALUE"""),"-")</f>
        <v>-</v>
      </c>
      <c r="I42" s="6" t="str">
        <f>IFERROR(__xludf.DUMMYFUNCTION("""COMPUTED_VALUE"""),"-")</f>
        <v>-</v>
      </c>
      <c r="J42" s="6" t="str">
        <f>IFERROR(__xludf.DUMMYFUNCTION("""COMPUTED_VALUE"""),"-")</f>
        <v>-</v>
      </c>
      <c r="K42" s="6" t="str">
        <f>IFERROR(__xludf.DUMMYFUNCTION("""COMPUTED_VALUE"""),"-")</f>
        <v>-</v>
      </c>
      <c r="L42" s="6" t="str">
        <f>IFERROR(__xludf.DUMMYFUNCTION("""COMPUTED_VALUE"""),"-")</f>
        <v>-</v>
      </c>
      <c r="M42" s="6" t="str">
        <f>IFERROR(__xludf.DUMMYFUNCTION("""COMPUTED_VALUE"""),"-")</f>
        <v>-</v>
      </c>
      <c r="N42" s="6" t="str">
        <f>IFERROR(__xludf.DUMMYFUNCTION("""COMPUTED_VALUE"""),"транспорт")</f>
        <v>транспорт</v>
      </c>
      <c r="O42" s="6" t="str">
        <f>IFERROR(__xludf.DUMMYFUNCTION("""COMPUTED_VALUE"""),"да")</f>
        <v>да</v>
      </c>
      <c r="P42" s="6" t="str">
        <f>IFERROR(__xludf.DUMMYFUNCTION("""COMPUTED_VALUE"""),"-")</f>
        <v>-</v>
      </c>
      <c r="Q42" s="6" t="str">
        <f>IFERROR(__xludf.DUMMYFUNCTION("""COMPUTED_VALUE"""),"читать литературу по работе.")</f>
        <v>читать литературу по работе.</v>
      </c>
      <c r="R42" s="6" t="str">
        <f>IFERROR(__xludf.DUMMYFUNCTION("""COMPUTED_VALUE"""),"-")</f>
        <v>-</v>
      </c>
      <c r="S42" s="6" t="str">
        <f>IFERROR(__xludf.DUMMYFUNCTION("""COMPUTED_VALUE"""),"Нет, не приходилось")</f>
        <v>Нет, не приходилось</v>
      </c>
      <c r="T42" s="6" t="str">
        <f>IFERROR(__xludf.DUMMYFUNCTION("""COMPUTED_VALUE"""),"-")</f>
        <v>-</v>
      </c>
      <c r="U42" s="6" t="str">
        <f>IFERROR(__xludf.DUMMYFUNCTION("""COMPUTED_VALUE"""),"-")</f>
        <v>-</v>
      </c>
      <c r="V42" s="6" t="str">
        <f>IFERROR(__xludf.DUMMYFUNCTION("""COMPUTED_VALUE"""),"-")</f>
        <v>-</v>
      </c>
      <c r="W42" s="6" t="str">
        <f>IFERROR(__xludf.DUMMYFUNCTION("""COMPUTED_VALUE"""),"-")</f>
        <v>-</v>
      </c>
      <c r="X42" s="6" t="str">
        <f>IFERROR(__xludf.DUMMYFUNCTION("""COMPUTED_VALUE"""),"-")</f>
        <v>-</v>
      </c>
      <c r="Y42" s="6" t="str">
        <f>IFERROR(__xludf.DUMMYFUNCTION("""COMPUTED_VALUE"""),"-")</f>
        <v>-</v>
      </c>
      <c r="Z42" s="6" t="str">
        <f>IFERROR(__xludf.DUMMYFUNCTION("""COMPUTED_VALUE"""),"-")</f>
        <v>-</v>
      </c>
      <c r="AA42" s="6" t="str">
        <f>IFERROR(__xludf.DUMMYFUNCTION("""COMPUTED_VALUE"""),"-")</f>
        <v>-</v>
      </c>
      <c r="AB42" s="6" t="str">
        <f>IFERROR(__xludf.DUMMYFUNCTION("""COMPUTED_VALUE"""),"-")</f>
        <v>-</v>
      </c>
      <c r="AC42" s="6" t="str">
        <f>IFERROR(__xludf.DUMMYFUNCTION("""COMPUTED_VALUE"""),"-")</f>
        <v>-</v>
      </c>
      <c r="AD42" s="6" t="str">
        <f>IFERROR(__xludf.DUMMYFUNCTION("""COMPUTED_VALUE"""),"-")</f>
        <v>-</v>
      </c>
      <c r="AE42" s="6" t="str">
        <f>IFERROR(__xludf.DUMMYFUNCTION("""COMPUTED_VALUE"""),"Мужской")</f>
        <v>Мужской</v>
      </c>
      <c r="AF42" s="6" t="str">
        <f>IFERROR(__xludf.DUMMYFUNCTION("""COMPUTED_VALUE"""),"30-44")</f>
        <v>30-44</v>
      </c>
      <c r="AG42" s="6"/>
      <c r="AH42" s="6"/>
      <c r="AI42" s="6"/>
      <c r="AJ42" s="6"/>
      <c r="AK42" s="6"/>
      <c r="AL42" s="6"/>
      <c r="AM42" s="6"/>
    </row>
    <row r="43">
      <c r="A43" s="4">
        <v>42.0</v>
      </c>
      <c r="B43" s="6" t="str">
        <f>IFERROR(__xludf.DUMMYFUNCTION("""COMPUTED_VALUE"""),"ИТ ")</f>
        <v>ИТ </v>
      </c>
      <c r="C43" s="6" t="str">
        <f>IFERROR(__xludf.DUMMYFUNCTION("""COMPUTED_VALUE"""),"чтение")</f>
        <v>чтение</v>
      </c>
      <c r="D43" s="6" t="str">
        <f>IFERROR(__xludf.DUMMYFUNCTION("""COMPUTED_VALUE"""),"Кировский")</f>
        <v>Кировский</v>
      </c>
      <c r="E43" s="6" t="str">
        <f>IFERROR(__xludf.DUMMYFUNCTION("""COMPUTED_VALUE"""),"Набережная")</f>
        <v>Набережная</v>
      </c>
      <c r="F43" s="6" t="str">
        <f>IFERROR(__xludf.DUMMYFUNCTION("""COMPUTED_VALUE"""),"Живу здесь с рождения")</f>
        <v>Живу здесь с рождения</v>
      </c>
      <c r="G43" s="6" t="str">
        <f>IFERROR(__xludf.DUMMYFUNCTION("""COMPUTED_VALUE"""),"набережная в кировском, набережная в центре, парк березовая роща, парк чудес, кафе, театры, музеи")</f>
        <v>набережная в кировском, набережная в центре, парк березовая роща, парк чудес, кафе, театры, музеи</v>
      </c>
      <c r="H43" s="6" t="str">
        <f>IFERROR(__xludf.DUMMYFUNCTION("""COMPUTED_VALUE"""),"михайло волков")</f>
        <v>михайло волков</v>
      </c>
      <c r="I43" s="6" t="str">
        <f>IFERROR(__xludf.DUMMYFUNCTION("""COMPUTED_VALUE"""),"гришковец, малышева")</f>
        <v>гришковец, малышева</v>
      </c>
      <c r="J43" s="6" t="str">
        <f>IFERROR(__xludf.DUMMYFUNCTION("""COMPUTED_VALUE"""),"нет таких")</f>
        <v>нет таких</v>
      </c>
      <c r="K43" s="6" t="str">
        <f>IFERROR(__xludf.DUMMYFUNCTION("""COMPUTED_VALUE"""),"парки, набережные")</f>
        <v>парки, набережные</v>
      </c>
      <c r="L43" s="6" t="str">
        <f>IFERROR(__xludf.DUMMYFUNCTION("""COMPUTED_VALUE"""),"не знаю")</f>
        <v>не знаю</v>
      </c>
      <c r="M43" s="6" t="str">
        <f>IFERROR(__xludf.DUMMYFUNCTION("""COMPUTED_VALUE"""),"нет")</f>
        <v>нет</v>
      </c>
      <c r="N43" s="6" t="str">
        <f>IFERROR(__xludf.DUMMYFUNCTION("""COMPUTED_VALUE"""),"свободные дороги, доступное жилье, чистые улицы, безопасность на улицах, развитая инфраструктура")</f>
        <v>свободные дороги, доступное жилье, чистые улицы, безопасность на улицах, развитая инфраструктура</v>
      </c>
      <c r="O43" s="6" t="str">
        <f>IFERROR(__xludf.DUMMYFUNCTION("""COMPUTED_VALUE"""),"пешеходные дорожки,дворы")</f>
        <v>пешеходные дорожки,дворы</v>
      </c>
      <c r="P43" s="6" t="str">
        <f>IFERROR(__xludf.DUMMYFUNCTION("""COMPUTED_VALUE"""),"группы из вк")</f>
        <v>группы из вк</v>
      </c>
      <c r="Q43"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43" s="6" t="str">
        <f>IFERROR(__xludf.DUMMYFUNCTION("""COMPUTED_VALUE"""),"день города, 9 мая")</f>
        <v>день города, 9 мая</v>
      </c>
      <c r="S43" s="6" t="str">
        <f>IFERROR(__xludf.DUMMYFUNCTION("""COMPUTED_VALUE"""),"Нет, не приходилось")</f>
        <v>Нет, не приходилось</v>
      </c>
      <c r="T43" s="6" t="str">
        <f>IFERROR(__xludf.DUMMYFUNCTION("""COMPUTED_VALUE"""),"печальными событиями")</f>
        <v>печальными событиями</v>
      </c>
      <c r="U43" s="6" t="str">
        <f>IFERROR(__xludf.DUMMYFUNCTION("""COMPUTED_VALUE"""),"площадь советов, улица кирова")</f>
        <v>площадь советов, улица кирова</v>
      </c>
      <c r="V43" s="6" t="str">
        <f>IFERROR(__xludf.DUMMYFUNCTION("""COMPUTED_VALUE"""),"затрудняюсь")</f>
        <v>затрудняюсь</v>
      </c>
      <c r="W43" s="6" t="str">
        <f>IFERROR(__xludf.DUMMYFUNCTION("""COMPUTED_VALUE"""),"открытые к новому")</f>
        <v>открытые к новому</v>
      </c>
      <c r="X43" s="6" t="str">
        <f>IFERROR(__xludf.DUMMYFUNCTION("""COMPUTED_VALUE"""),"по центральному району")</f>
        <v>по центральному району</v>
      </c>
      <c r="Y43" s="6" t="str">
        <f>IFERROR(__xludf.DUMMYFUNCTION("""COMPUTED_VALUE"""),"открытие угля")</f>
        <v>открытие угля</v>
      </c>
      <c r="Z43" s="6" t="str">
        <f>IFERROR(__xludf.DUMMYFUNCTION("""COMPUTED_VALUE"""),"никакие")</f>
        <v>никакие</v>
      </c>
      <c r="AA43" s="6" t="str">
        <f>IFERROR(__xludf.DUMMYFUNCTION("""COMPUTED_VALUE"""),"никакие")</f>
        <v>никакие</v>
      </c>
      <c r="AB43" s="6" t="str">
        <f>IFERROR(__xludf.DUMMYFUNCTION("""COMPUTED_VALUE"""),"не участвую в сообществах")</f>
        <v>не участвую в сообществах</v>
      </c>
      <c r="AC43" s="6" t="str">
        <f>IFERROR(__xludf.DUMMYFUNCTION("""COMPUTED_VALUE"""),"мероприятия для всей семьи")</f>
        <v>мероприятия для всей семьи</v>
      </c>
      <c r="AD43" s="6" t="str">
        <f>IFERROR(__xludf.DUMMYFUNCTION("""COMPUTED_VALUE"""),"-")</f>
        <v>-</v>
      </c>
      <c r="AE43" s="6" t="str">
        <f>IFERROR(__xludf.DUMMYFUNCTION("""COMPUTED_VALUE"""),"Женский")</f>
        <v>Женский</v>
      </c>
      <c r="AF43" s="6" t="str">
        <f>IFERROR(__xludf.DUMMYFUNCTION("""COMPUTED_VALUE"""),"18-29")</f>
        <v>18-29</v>
      </c>
      <c r="AG43" s="6"/>
      <c r="AH43" s="6"/>
      <c r="AI43" s="6"/>
      <c r="AJ43" s="6"/>
      <c r="AK43" s="6"/>
      <c r="AL43" s="6"/>
      <c r="AM43" s="6"/>
    </row>
    <row r="44">
      <c r="A44" s="4">
        <v>43.0</v>
      </c>
      <c r="B44" s="6" t="str">
        <f>IFERROR(__xludf.DUMMYFUNCTION("""COMPUTED_VALUE"""),"Работаю, экологом на предприятии")</f>
        <v>Работаю, экологом на предприятии</v>
      </c>
      <c r="C44" s="6" t="str">
        <f>IFERROR(__xludf.DUMMYFUNCTION("""COMPUTED_VALUE"""),"Выпечка")</f>
        <v>Выпечка</v>
      </c>
      <c r="D44" s="6" t="str">
        <f>IFERROR(__xludf.DUMMYFUNCTION("""COMPUTED_VALUE"""),"Европейские провинции, Сухово. Называю Гадюкино. ")</f>
        <v>Европейские провинции, Сухово. Называю Гадюкино. </v>
      </c>
      <c r="E44" s="6" t="str">
        <f>IFERROR(__xludf.DUMMYFUNCTION("""COMPUTED_VALUE"""),"Детский сад у черта на рогах. Огороженная территория под магазин. А вместо магазина 6ой год одна трава")</f>
        <v>Детский сад у черта на рогах. Огороженная территория под магазин. А вместо магазина 6ой год одна трава</v>
      </c>
      <c r="F44" s="6" t="str">
        <f>IFERROR(__xludf.DUMMYFUNCTION("""COMPUTED_VALUE"""),"Переехал сюда из другого места (откуда? укажите в графе другое), Из Юрги")</f>
        <v>Переехал сюда из другого места (откуда? укажите в графе другое), Из Юрги</v>
      </c>
      <c r="G44" s="6" t="str">
        <f>IFERROR(__xludf.DUMMYFUNCTION("""COMPUTED_VALUE"""),"Прогулки на бульваре. Парк в. Волошиной.  НАШ ПАРК.  ")</f>
        <v>Прогулки на бульваре. Парк в. Волошиной.  НАШ ПАРК.  </v>
      </c>
      <c r="H44" s="6" t="str">
        <f>IFERROR(__xludf.DUMMYFUNCTION("""COMPUTED_VALUE"""),"Уголь, грязь, деревня, развитие, недовольные люди")</f>
        <v>Уголь, грязь, деревня, развитие, недовольные люди</v>
      </c>
      <c r="I44" s="6" t="str">
        <f>IFERROR(__xludf.DUMMYFUNCTION("""COMPUTED_VALUE"""),"Михайлов, Тулеев. ")</f>
        <v>Михайлов, Тулеев. </v>
      </c>
      <c r="J44" s="6" t="str">
        <f>IFERROR(__xludf.DUMMYFUNCTION("""COMPUTED_VALUE"""),"Волков А. П.  - не просто бизнесмен, а человек дающий много рабочих мест городу. А Волков А. А.  Помогает развивать фермерство.! ")</f>
        <v>Волков А. П.  - не просто бизнесмен, а человек дающий много рабочих мест городу. А Волков А. А.  Помогает развивать фермерство.! </v>
      </c>
      <c r="K44" s="6" t="str">
        <f>IFERROR(__xludf.DUMMYFUNCTION("""COMPUTED_VALUE"""),"Парк Кузбасский. Парк В. Волошиной. Парк Жукова, Сосновый бор, Томская Писанница")</f>
        <v>Парк Кузбасский. Парк В. Волошиной. Парк Жукова, Сосновый бор, Томская Писанница</v>
      </c>
      <c r="L44" s="6" t="str">
        <f>IFERROR(__xludf.DUMMYFUNCTION("""COMPUTED_VALUE"""),".. ")</f>
        <v>.. </v>
      </c>
      <c r="M44" s="6" t="str">
        <f>IFERROR(__xludf.DUMMYFUNCTION("""COMPUTED_VALUE"""),"Нет")</f>
        <v>Нет</v>
      </c>
      <c r="N44" s="6" t="str">
        <f>IFERROR(__xludf.DUMMYFUNCTION("""COMPUTED_VALUE"""),"Высокий уровень зарплат, возможности развиваться, качественное образование и медицина.  Доступность детсадов и школ. ")</f>
        <v>Высокий уровень зарплат, возможности развиваться, качественное образование и медицина.  Доступность детсадов и школ. </v>
      </c>
      <c r="O44" s="6" t="str">
        <f>IFERROR(__xludf.DUMMYFUNCTION("""COMPUTED_VALUE"""),"Дороги!  Количество урн! Их катастрофически мало.  Ввести штрафы за выгул собак и не уборку за ними.... Г##на! ")</f>
        <v>Дороги!  Количество урн! Их катастрофически мало.  Ввести штрафы за выгул собак и не уборку за ними.... Г##на! </v>
      </c>
      <c r="P44" s="6" t="str">
        <f>IFERROR(__xludf.DUMMYFUNCTION("""COMPUTED_VALUE"""),"Кемдетки, инцеденткемерово в инстаграме. От знакомых. ")</f>
        <v>Кемдетки, инцеденткемерово в инстаграме. От знакомых. </v>
      </c>
      <c r="Q44" s="6" t="str">
        <f>IFERROR(__xludf.DUMMYFUNCTION("""COMPUTED_VALUE"""),"куда пойти в свободное время, городская афиша (кино/театр/концерты),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иссл"&amp;"едований (рейтинги/аналитика/тенденции)")</f>
        <v>куда пойти в свободное время, городская афиша (кино/театр/концерты),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44" s="6" t="str">
        <f>IFERROR(__xludf.DUMMYFUNCTION("""COMPUTED_VALUE"""),"День города! 12 июня! Это день рождения моего мужа! Самый лучший летний праздник. Зимой новый год. ")</f>
        <v>День города! 12 июня! Это день рождения моего мужа! Самый лучший летний праздник. Зимой новый год. </v>
      </c>
      <c r="S44" s="6" t="str">
        <f>IFERROR(__xludf.DUMMYFUNCTION("""COMPUTED_VALUE"""),"Делал рассылку по электронной почте, Работала на радио. В студенческие. ")</f>
        <v>Делал рассылку по электронной почте, Работала на радио. В студенческие. </v>
      </c>
      <c r="T44" s="6" t="str">
        <f>IFERROR(__xludf.DUMMYFUNCTION("""COMPUTED_VALUE"""),"Кемерово был прославлен Тулеевым, углем, в свое время!  Потом печальная слава Зимней вишни. ")</f>
        <v>Кемерово был прославлен Тулеевым, углем, в свое время!  Потом печальная слава Зимней вишни. </v>
      </c>
      <c r="U44" s="6" t="str">
        <f>IFERROR(__xludf.DUMMYFUNCTION("""COMPUTED_VALUE"""),"Площадь советов.  Цирк. ")</f>
        <v>Площадь советов.  Цирк. </v>
      </c>
      <c r="V44" s="6" t="str">
        <f>IFERROR(__xludf.DUMMYFUNCTION("""COMPUTED_VALUE"""),"Работали. Честно трудились. ")</f>
        <v>Работали. Честно трудились. </v>
      </c>
      <c r="W44" s="6" t="str">
        <f>IFERROR(__xludf.DUMMYFUNCTION("""COMPUTED_VALUE"""),"Угрюмые. Уставшие. Недовольные. Многие не хотят что то делать сами, а готовы только осуждать других. ")</f>
        <v>Угрюмые. Уставшие. Недовольные. Многие не хотят что то делать сами, а готовы только осуждать других. </v>
      </c>
      <c r="X44" s="6" t="str">
        <f>IFERROR(__xludf.DUMMYFUNCTION("""COMPUTED_VALUE"""),"Красная горка, набережная, площадь советов")</f>
        <v>Красная горка, набережная, площадь советов</v>
      </c>
      <c r="Y44" s="6" t="str">
        <f>IFERROR(__xludf.DUMMYFUNCTION("""COMPUTED_VALUE"""),"Пожар Зимней вишни. Кроме него нечего в голову не идет")</f>
        <v>Пожар Зимней вишни. Кроме него нечего в голову не идет</v>
      </c>
      <c r="Z44" s="6" t="str">
        <f>IFERROR(__xludf.DUMMYFUNCTION("""COMPUTED_VALUE"""),"Сделали дорогу к Европейским провинциям. Но забыли пустить общественный транспорт. ")</f>
        <v>Сделали дорогу к Европейским провинциям. Но забыли пустить общественный транспорт. </v>
      </c>
      <c r="AA44" s="6" t="str">
        <f>IFERROR(__xludf.DUMMYFUNCTION("""COMPUTED_VALUE"""),"Пожар в Зиней вишне. Уход Тулеев. И внезапное появление Цивилева! ")</f>
        <v>Пожар в Зиней вишне. Уход Тулеев. И внезапное появление Цивилева! </v>
      </c>
      <c r="AB44" s="6" t="str">
        <f>IFERROR(__xludf.DUMMYFUNCTION("""COMPUTED_VALUE"""),"... ")</f>
        <v>... </v>
      </c>
      <c r="AC44" s="6" t="str">
        <f>IFERROR(__xludf.DUMMYFUNCTION("""COMPUTED_VALUE"""),"Праздники в районах города.  Можно по выходным, например на бульваре летом делать детские игровые программы")</f>
        <v>Праздники в районах города.  Можно по выходным, например на бульваре летом делать детские игровые программы</v>
      </c>
      <c r="AD44" s="6" t="str">
        <f>IFERROR(__xludf.DUMMYFUNCTION("""COMPUTED_VALUE"""),"Участник, идейный вдохновить! Смотря как это возможно. ")</f>
        <v>Участник, идейный вдохновить! Смотря как это возможно. </v>
      </c>
      <c r="AE44" s="6" t="str">
        <f>IFERROR(__xludf.DUMMYFUNCTION("""COMPUTED_VALUE"""),"Женский")</f>
        <v>Женский</v>
      </c>
      <c r="AF44" s="6" t="str">
        <f>IFERROR(__xludf.DUMMYFUNCTION("""COMPUTED_VALUE"""),"30-44")</f>
        <v>30-44</v>
      </c>
      <c r="AG44" s="6"/>
      <c r="AH44" s="6"/>
      <c r="AI44" s="6"/>
      <c r="AJ44" s="6"/>
      <c r="AK44" s="6"/>
      <c r="AL44" s="6"/>
      <c r="AM44" s="6"/>
    </row>
    <row r="45">
      <c r="A45" s="4">
        <v>44.0</v>
      </c>
      <c r="B45" s="6" t="str">
        <f>IFERROR(__xludf.DUMMYFUNCTION("""COMPUTED_VALUE"""),"дизайнер")</f>
        <v>дизайнер</v>
      </c>
      <c r="C45" s="6" t="str">
        <f>IFERROR(__xludf.DUMMYFUNCTION("""COMPUTED_VALUE"""),"фотография")</f>
        <v>фотография</v>
      </c>
      <c r="D45" s="6" t="str">
        <f>IFERROR(__xludf.DUMMYFUNCTION("""COMPUTED_VALUE"""),"центральный")</f>
        <v>центральный</v>
      </c>
      <c r="E45" s="6" t="str">
        <f>IFERROR(__xludf.DUMMYFUNCTION("""COMPUTED_VALUE"""),"бульвар")</f>
        <v>бульвар</v>
      </c>
      <c r="F45" s="6" t="str">
        <f>IFERROR(__xludf.DUMMYFUNCTION("""COMPUTED_VALUE"""),"Переехал сюда из другого места (откуда? укажите в графе другое), в детстве переехал с родителями из города Тайга")</f>
        <v>Переехал сюда из другого места (откуда? укажите в графе другое), в детстве переехал с родителями из города Тайга</v>
      </c>
      <c r="G45" s="6" t="str">
        <f>IFERROR(__xludf.DUMMYFUNCTION("""COMPUTED_VALUE"""),"бульвар, набережная")</f>
        <v>бульвар, набережная</v>
      </c>
      <c r="H45" s="6" t="str">
        <f>IFERROR(__xludf.DUMMYFUNCTION("""COMPUTED_VALUE"""),"буквы на горе, смог, азот, остров, старый мост")</f>
        <v>буквы на горе, смог, азот, остров, старый мост</v>
      </c>
      <c r="I45" s="6" t="str">
        <f>IFERROR(__xludf.DUMMYFUNCTION("""COMPUTED_VALUE"""),"не знаю")</f>
        <v>не знаю</v>
      </c>
      <c r="J45" s="6" t="str">
        <f>IFERROR(__xludf.DUMMYFUNCTION("""COMPUTED_VALUE"""),"не знаю")</f>
        <v>не знаю</v>
      </c>
      <c r="K45" s="6" t="str">
        <f>IFERROR(__xludf.DUMMYFUNCTION("""COMPUTED_VALUE"""),"красная горка, парк ангелов, бульвар")</f>
        <v>красная горка, парк ангелов, бульвар</v>
      </c>
      <c r="L45" s="6" t="str">
        <f>IFERROR(__xludf.DUMMYFUNCTION("""COMPUTED_VALUE"""),"не знаю")</f>
        <v>не знаю</v>
      </c>
      <c r="M45" s="6" t="str">
        <f>IFERROR(__xludf.DUMMYFUNCTION("""COMPUTED_VALUE"""),"нет")</f>
        <v>нет</v>
      </c>
      <c r="N45" s="6" t="str">
        <f>IFERROR(__xludf.DUMMYFUNCTION("""COMPUTED_VALUE"""),"благоприятная окружающая среда, большое количество зелени, комфортные дороги,
интересные арт-пространства, парки, скверы и тд.")</f>
        <v>благоприятная окружающая среда, большое количество зелени, комфортные дороги,
интересные арт-пространства, парки, скверы и тд.</v>
      </c>
      <c r="O45" s="6" t="str">
        <f>IFERROR(__xludf.DUMMYFUNCTION("""COMPUTED_VALUE"""),"отремонтировать проспект Ленина (в районе вокзала) чтобы приезжие видили город в красе, а не в разрухе")</f>
        <v>отремонтировать проспект Ленина (в районе вокзала) чтобы приезжие видили город в красе, а не в разрухе</v>
      </c>
      <c r="P45" s="6" t="str">
        <f>IFERROR(__xludf.DUMMYFUNCTION("""COMPUTED_VALUE"""),"инстаграм/вконтакте  инцедент кемерово, а42")</f>
        <v>инстаграм/вконтакте  инцедент кемерово, а42</v>
      </c>
      <c r="Q4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45" s="6" t="str">
        <f>IFERROR(__xludf.DUMMYFUNCTION("""COMPUTED_VALUE"""),"я не хожу на них")</f>
        <v>я не хожу на них</v>
      </c>
      <c r="S45" s="6" t="str">
        <f>IFERROR(__xludf.DUMMYFUNCTION("""COMPUTED_VALUE"""),"Нет, не приходилось")</f>
        <v>Нет, не приходилось</v>
      </c>
      <c r="T45" s="6" t="str">
        <f>IFERROR(__xludf.DUMMYFUNCTION("""COMPUTED_VALUE"""),"слышал от москвича (у вас такие буквы на горе как в Голевуде)")</f>
        <v>слышал от москвича (у вас такие буквы на горе как в Голевуде)</v>
      </c>
      <c r="U45" s="6" t="str">
        <f>IFERROR(__xludf.DUMMYFUNCTION("""COMPUTED_VALUE"""),"площадь советов")</f>
        <v>площадь советов</v>
      </c>
      <c r="V45" s="6" t="str">
        <f>IFERROR(__xludf.DUMMYFUNCTION("""COMPUTED_VALUE"""),"не знаю")</f>
        <v>не знаю</v>
      </c>
      <c r="W45" s="6" t="str">
        <f>IFERROR(__xludf.DUMMYFUNCTION("""COMPUTED_VALUE"""),"не знаю")</f>
        <v>не знаю</v>
      </c>
      <c r="X45" s="6" t="str">
        <f>IFERROR(__xludf.DUMMYFUNCTION("""COMPUTED_VALUE"""),"по новому району притомскому")</f>
        <v>по новому району притомскому</v>
      </c>
      <c r="Y45" s="6" t="str">
        <f>IFERROR(__xludf.DUMMYFUNCTION("""COMPUTED_VALUE"""),"не знаю")</f>
        <v>не знаю</v>
      </c>
      <c r="Z45" s="6" t="str">
        <f>IFERROR(__xludf.DUMMYFUNCTION("""COMPUTED_VALUE"""),"Рок фест ")</f>
        <v>Рок фест </v>
      </c>
      <c r="AA45" s="6" t="str">
        <f>IFERROR(__xludf.DUMMYFUNCTION("""COMPUTED_VALUE"""),"большая загазованность города на протижении всей зимы 2020")</f>
        <v>большая загазованность города на протижении всей зимы 2020</v>
      </c>
      <c r="AB45" s="6" t="str">
        <f>IFERROR(__xludf.DUMMYFUNCTION("""COMPUTED_VALUE"""),"хватает")</f>
        <v>хватает</v>
      </c>
      <c r="AC45" s="6" t="str">
        <f>IFERROR(__xludf.DUMMYFUNCTION("""COMPUTED_VALUE"""),"фестивали (комик кон) рок, музыка на открытой площадке")</f>
        <v>фестивали (комик кон) рок, музыка на открытой площадке</v>
      </c>
      <c r="AD45" s="6" t="str">
        <f>IFERROR(__xludf.DUMMYFUNCTION("""COMPUTED_VALUE"""),"как фотограф")</f>
        <v>как фотограф</v>
      </c>
      <c r="AE45" s="6" t="str">
        <f>IFERROR(__xludf.DUMMYFUNCTION("""COMPUTED_VALUE"""),"Мужской")</f>
        <v>Мужской</v>
      </c>
      <c r="AF45" s="6" t="str">
        <f>IFERROR(__xludf.DUMMYFUNCTION("""COMPUTED_VALUE"""),"18-29")</f>
        <v>18-29</v>
      </c>
      <c r="AG45" s="6"/>
      <c r="AH45" s="6"/>
      <c r="AI45" s="6"/>
      <c r="AJ45" s="6"/>
      <c r="AK45" s="6"/>
      <c r="AL45" s="6"/>
      <c r="AM45" s="6"/>
    </row>
    <row r="46">
      <c r="A46" s="4">
        <v>45.0</v>
      </c>
      <c r="B46" s="6" t="str">
        <f>IFERROR(__xludf.DUMMYFUNCTION("""COMPUTED_VALUE"""),"работаю")</f>
        <v>работаю</v>
      </c>
      <c r="C46" s="6" t="str">
        <f>IFERROR(__xludf.DUMMYFUNCTION("""COMPUTED_VALUE"""),"фитнес")</f>
        <v>фитнес</v>
      </c>
      <c r="D46" s="6" t="str">
        <f>IFERROR(__xludf.DUMMYFUNCTION("""COMPUTED_VALUE"""),"Рудничный-Радуга")</f>
        <v>Рудничный-Радуга</v>
      </c>
      <c r="E46" s="6" t="str">
        <f>IFERROR(__xludf.DUMMYFUNCTION("""COMPUTED_VALUE"""),"сосновый бор, памятник шахтеру, аллея дружбы народов, храм святителя Филарета")</f>
        <v>сосновый бор, памятник шахтеру, аллея дружбы народов, храм святителя Филарета</v>
      </c>
      <c r="F46" s="6" t="str">
        <f>IFERROR(__xludf.DUMMYFUNCTION("""COMPUTED_VALUE"""),"Живу здесь с рождения")</f>
        <v>Живу здесь с рождения</v>
      </c>
      <c r="G46" s="6" t="str">
        <f>IFERROR(__xludf.DUMMYFUNCTION("""COMPUTED_VALUE"""),"сосновый бор, театры (драмы и музыкальный), спортзал")</f>
        <v>сосновый бор, театры (драмы и музыкальный), спортзал</v>
      </c>
      <c r="H46" s="6" t="str">
        <f>IFERROR(__xludf.DUMMYFUNCTION("""COMPUTED_VALUE"""),"город, бор, крест, Томь, трубы")</f>
        <v>город, бор, крест, Томь, трубы</v>
      </c>
      <c r="I46" s="6" t="str">
        <f>IFERROR(__xludf.DUMMYFUNCTION("""COMPUTED_VALUE"""),"Михайло Волков, Двужильный, Волошина, Рутгерс")</f>
        <v>Михайло Волков, Двужильный, Волошина, Рутгерс</v>
      </c>
      <c r="J46" s="6" t="str">
        <f>IFERROR(__xludf.DUMMYFUNCTION("""COMPUTED_VALUE"""),"Владимир Михайлов")</f>
        <v>Владимир Михайлов</v>
      </c>
      <c r="K46" s="6" t="str">
        <f>IFERROR(__xludf.DUMMYFUNCTION("""COMPUTED_VALUE"""),"музей Красная горка")</f>
        <v>музей Красная горка</v>
      </c>
      <c r="L46" s="6" t="str">
        <f>IFERROR(__xludf.DUMMYFUNCTION("""COMPUTED_VALUE"""),"*")</f>
        <v>*</v>
      </c>
      <c r="M46" s="6" t="str">
        <f>IFERROR(__xludf.DUMMYFUNCTION("""COMPUTED_VALUE"""),"мультифора, колба")</f>
        <v>мультифора, колба</v>
      </c>
      <c r="N46" s="6" t="str">
        <f>IFERROR(__xludf.DUMMYFUNCTION("""COMPUTED_VALUE"""),"хорошие дороги, грамотная организация дорожного движения, очищенные от снега парковки возле организаций массового пользования, чистый воздух, отсутствие мусора и грязи")</f>
        <v>хорошие дороги, грамотная организация дорожного движения, очищенные от снега парковки возле организаций массового пользования, чистый воздух, отсутствие мусора и грязи</v>
      </c>
      <c r="O46" s="6" t="str">
        <f>IFERROR(__xludf.DUMMYFUNCTION("""COMPUTED_VALUE"""),"убрать грязь и поддерживать город в чистоте")</f>
        <v>убрать грязь и поддерживать город в чистоте</v>
      </c>
      <c r="P46" s="6" t="str">
        <f>IFERROR(__xludf.DUMMYFUNCTION("""COMPUTED_VALUE"""),"Вконтакте, кассы.ру")</f>
        <v>Вконтакте, кассы.ру</v>
      </c>
      <c r="Q46" s="6" t="str">
        <f>IFERROR(__xludf.DUMMYFUNCTION("""COMPUTED_VALUE"""),"городская афиша (кино/театр/концерты), интервью с местными предпринимателями, криминальные новости (происшествия/преступления)")</f>
        <v>городская афиша (кино/театр/концерты), интервью с местными предпринимателями, криминальные новости (происшествия/преступления)</v>
      </c>
      <c r="R46" s="6" t="str">
        <f>IFERROR(__xludf.DUMMYFUNCTION("""COMPUTED_VALUE"""),"день шахтера, день победы")</f>
        <v>день шахтера, день победы</v>
      </c>
      <c r="S46" s="6" t="str">
        <f>IFERROR(__xludf.DUMMYFUNCTION("""COMPUTED_VALUE"""),"Нет, не приходилось")</f>
        <v>Нет, не приходилось</v>
      </c>
      <c r="T46" s="6" t="str">
        <f>IFERROR(__xludf.DUMMYFUNCTION("""COMPUTED_VALUE"""),"к сожалению сейчас стал известен Зимней Вишней")</f>
        <v>к сожалению сейчас стал известен Зимней Вишней</v>
      </c>
      <c r="U46" s="6" t="str">
        <f>IFERROR(__xludf.DUMMYFUNCTION("""COMPUTED_VALUE"""),"филармония")</f>
        <v>филармония</v>
      </c>
      <c r="V46" s="6" t="str">
        <f>IFERROR(__xludf.DUMMYFUNCTION("""COMPUTED_VALUE"""),"внесли огромный вклад во время ВОВ")</f>
        <v>внесли огромный вклад во время ВОВ</v>
      </c>
      <c r="W46" s="6" t="str">
        <f>IFERROR(__xludf.DUMMYFUNCTION("""COMPUTED_VALUE"""),"суровые, но отзывчивые")</f>
        <v>суровые, но отзывчивые</v>
      </c>
      <c r="X46" s="6" t="str">
        <f>IFERROR(__xludf.DUMMYFUNCTION("""COMPUTED_VALUE"""),"сосновый (рудничный) бор")</f>
        <v>сосновый (рудничный) бор</v>
      </c>
      <c r="Y46" s="6" t="str">
        <f>IFERROR(__xludf.DUMMYFUNCTION("""COMPUTED_VALUE"""),"чемпионат мира по хоккею с мячом")</f>
        <v>чемпионат мира по хоккею с мячом</v>
      </c>
      <c r="Z46" s="6" t="str">
        <f>IFERROR(__xludf.DUMMYFUNCTION("""COMPUTED_VALUE"""),"строительство новых микрорайонов, других объектов (кадетский корпус, арбитражный суд, кассационный суд)")</f>
        <v>строительство новых микрорайонов, других объектов (кадетский корпус, арбитражный суд, кассационный суд)</v>
      </c>
      <c r="AA46" s="6" t="str">
        <f>IFERROR(__xludf.DUMMYFUNCTION("""COMPUTED_VALUE"""),"пробки по утрам и вечерам")</f>
        <v>пробки по утрам и вечерам</v>
      </c>
      <c r="AB46" s="6" t="str">
        <f>IFERROR(__xludf.DUMMYFUNCTION("""COMPUTED_VALUE"""),"всего хватает")</f>
        <v>всего хватает</v>
      </c>
      <c r="AC46" s="6" t="str">
        <f>IFERROR(__xludf.DUMMYFUNCTION("""COMPUTED_VALUE"""),"*")</f>
        <v>*</v>
      </c>
      <c r="AD46" s="6" t="str">
        <f>IFERROR(__xludf.DUMMYFUNCTION("""COMPUTED_VALUE"""),"*")</f>
        <v>*</v>
      </c>
      <c r="AE46" s="6" t="str">
        <f>IFERROR(__xludf.DUMMYFUNCTION("""COMPUTED_VALUE"""),"Женский")</f>
        <v>Женский</v>
      </c>
      <c r="AF46" s="6" t="str">
        <f>IFERROR(__xludf.DUMMYFUNCTION("""COMPUTED_VALUE"""),"30-44")</f>
        <v>30-44</v>
      </c>
      <c r="AG46" s="6"/>
      <c r="AH46" s="6"/>
      <c r="AI46" s="6"/>
      <c r="AJ46" s="6"/>
      <c r="AK46" s="6"/>
      <c r="AL46" s="6"/>
      <c r="AM46" s="6"/>
    </row>
    <row r="47">
      <c r="A47" s="4">
        <v>46.0</v>
      </c>
      <c r="B47" s="6" t="str">
        <f>IFERROR(__xludf.DUMMYFUNCTION("""COMPUTED_VALUE"""),"Электрик")</f>
        <v>Электрик</v>
      </c>
      <c r="C47" s="6" t="str">
        <f>IFERROR(__xludf.DUMMYFUNCTION("""COMPUTED_VALUE"""),"Есть")</f>
        <v>Есть</v>
      </c>
      <c r="D47" s="6" t="str">
        <f>IFERROR(__xludf.DUMMYFUNCTION("""COMPUTED_VALUE"""),"Кировский район")</f>
        <v>Кировский район</v>
      </c>
      <c r="E47" s="6" t="str">
        <f>IFERROR(__xludf.DUMMYFUNCTION("""COMPUTED_VALUE"""),"Набережная")</f>
        <v>Набережная</v>
      </c>
      <c r="F47" s="6" t="str">
        <f>IFERROR(__xludf.DUMMYFUNCTION("""COMPUTED_VALUE"""),"Живу здесь с рождения")</f>
        <v>Живу здесь с рождения</v>
      </c>
      <c r="G47" s="6" t="str">
        <f>IFERROR(__xludf.DUMMYFUNCTION("""COMPUTED_VALUE"""),"На доп. заработки после основной работы т.к. техническая профессия не ценится в наше время. Но если не будет нас, то все развалится.")</f>
        <v>На доп. заработки после основной работы т.к. техническая профессия не ценится в наше время. Но если не будет нас, то все развалится.</v>
      </c>
      <c r="H47" s="6" t="str">
        <f>IFERROR(__xludf.DUMMYFUNCTION("""COMPUTED_VALUE"""),"Гниль, грязь, грязный воздух, тоска.")</f>
        <v>Гниль, грязь, грязный воздух, тоска.</v>
      </c>
      <c r="I47" s="6" t="str">
        <f>IFERROR(__xludf.DUMMYFUNCTION("""COMPUTED_VALUE"""),"Михайло Волков. Он и обрёк наш край на постоянные копания грунта, отмывания денег и уничтожения экологии.")</f>
        <v>Михайло Волков. Он и обрёк наш край на постоянные копания грунта, отмывания денег и уничтожения экологии.</v>
      </c>
      <c r="J47" s="6" t="str">
        <f>IFERROR(__xludf.DUMMYFUNCTION("""COMPUTED_VALUE"""),"Цивилев. С его помощью кредит Кузбасса стал просто огромен.")</f>
        <v>Цивилев. С его помощью кредит Кузбасса стал просто огромен.</v>
      </c>
      <c r="K47" s="6" t="str">
        <f>IFERROR(__xludf.DUMMYFUNCTION("""COMPUTED_VALUE"""),"Аэропот")</f>
        <v>Аэропот</v>
      </c>
      <c r="L47" s="6" t="str">
        <f>IFERROR(__xludf.DUMMYFUNCTION("""COMPUTED_VALUE"""),"-")</f>
        <v>-</v>
      </c>
      <c r="M47" s="6" t="str">
        <f>IFERROR(__xludf.DUMMYFUNCTION("""COMPUTED_VALUE"""),"-")</f>
        <v>-</v>
      </c>
      <c r="N47" s="6" t="str">
        <f>IFERROR(__xludf.DUMMYFUNCTION("""COMPUTED_VALUE"""),"-")</f>
        <v>-</v>
      </c>
      <c r="O47" s="6" t="str">
        <f>IFERROR(__xludf.DUMMYFUNCTION("""COMPUTED_VALUE"""),"-")</f>
        <v>-</v>
      </c>
      <c r="P47" s="6" t="str">
        <f>IFERROR(__xludf.DUMMYFUNCTION("""COMPUTED_VALUE"""),"-")</f>
        <v>-</v>
      </c>
      <c r="Q47" s="6" t="str">
        <f>IFERROR(__xludf.DUMMYFUNCTION("""COMPUTED_VALUE"""),"Не смотрю телевизор.")</f>
        <v>Не смотрю телевизор.</v>
      </c>
      <c r="R47" s="6" t="str">
        <f>IFERROR(__xludf.DUMMYFUNCTION("""COMPUTED_VALUE"""),"--")</f>
        <v>--</v>
      </c>
      <c r="S47" s="6" t="str">
        <f>IFERROR(__xludf.DUMMYFUNCTION("""COMPUTED_VALUE"""),"Нет, не приходилось")</f>
        <v>Нет, не приходилось</v>
      </c>
      <c r="T47" s="6" t="str">
        <f>IFERROR(__xludf.DUMMYFUNCTION("""COMPUTED_VALUE"""),"-")</f>
        <v>-</v>
      </c>
      <c r="U47" s="6" t="str">
        <f>IFERROR(__xludf.DUMMYFUNCTION("""COMPUTED_VALUE"""),"-")</f>
        <v>-</v>
      </c>
      <c r="V47" s="6" t="str">
        <f>IFERROR(__xludf.DUMMYFUNCTION("""COMPUTED_VALUE"""),"-")</f>
        <v>-</v>
      </c>
      <c r="W47" s="6" t="str">
        <f>IFERROR(__xludf.DUMMYFUNCTION("""COMPUTED_VALUE"""),"-")</f>
        <v>-</v>
      </c>
      <c r="X47" s="6" t="str">
        <f>IFERROR(__xludf.DUMMYFUNCTION("""COMPUTED_VALUE"""),"-")</f>
        <v>-</v>
      </c>
      <c r="Y47" s="6" t="str">
        <f>IFERROR(__xludf.DUMMYFUNCTION("""COMPUTED_VALUE"""),"-")</f>
        <v>-</v>
      </c>
      <c r="Z47" s="6" t="str">
        <f>IFERROR(__xludf.DUMMYFUNCTION("""COMPUTED_VALUE"""),"-")</f>
        <v>-</v>
      </c>
      <c r="AA47" s="6" t="str">
        <f>IFERROR(__xludf.DUMMYFUNCTION("""COMPUTED_VALUE"""),"-")</f>
        <v>-</v>
      </c>
      <c r="AB47" s="6" t="str">
        <f>IFERROR(__xludf.DUMMYFUNCTION("""COMPUTED_VALUE"""),"-")</f>
        <v>-</v>
      </c>
      <c r="AC47" s="6" t="str">
        <f>IFERROR(__xludf.DUMMYFUNCTION("""COMPUTED_VALUE"""),"-")</f>
        <v>-</v>
      </c>
      <c r="AD47" s="6" t="str">
        <f>IFERROR(__xludf.DUMMYFUNCTION("""COMPUTED_VALUE"""),"-")</f>
        <v>-</v>
      </c>
      <c r="AE47" s="6" t="str">
        <f>IFERROR(__xludf.DUMMYFUNCTION("""COMPUTED_VALUE"""),"Мужской")</f>
        <v>Мужской</v>
      </c>
      <c r="AF47" s="6" t="str">
        <f>IFERROR(__xludf.DUMMYFUNCTION("""COMPUTED_VALUE"""),"18-29")</f>
        <v>18-29</v>
      </c>
      <c r="AG47" s="6"/>
      <c r="AH47" s="6"/>
      <c r="AI47" s="6"/>
      <c r="AJ47" s="6"/>
      <c r="AK47" s="6"/>
      <c r="AL47" s="6"/>
      <c r="AM47" s="6"/>
    </row>
    <row r="48">
      <c r="A48" s="4">
        <v>47.0</v>
      </c>
      <c r="B48" s="6" t="str">
        <f>IFERROR(__xludf.DUMMYFUNCTION("""COMPUTED_VALUE"""),"ит")</f>
        <v>ит</v>
      </c>
      <c r="C48" s="6" t="str">
        <f>IFERROR(__xludf.DUMMYFUNCTION("""COMPUTED_VALUE"""),"нет")</f>
        <v>нет</v>
      </c>
      <c r="D48" s="6" t="str">
        <f>IFERROR(__xludf.DUMMYFUNCTION("""COMPUTED_VALUE"""),"Рудничный")</f>
        <v>Рудничный</v>
      </c>
      <c r="E48" s="6" t="str">
        <f>IFERROR(__xludf.DUMMYFUNCTION("""COMPUTED_VALUE"""),"Дк Шахтеров")</f>
        <v>Дк Шахтеров</v>
      </c>
      <c r="F48" s="6" t="str">
        <f>IFERROR(__xludf.DUMMYFUNCTION("""COMPUTED_VALUE"""),"Живу здесь с рождения")</f>
        <v>Живу здесь с рождения</v>
      </c>
      <c r="G48" s="6" t="str">
        <f>IFERROR(__xludf.DUMMYFUNCTION("""COMPUTED_VALUE"""),"Никуда")</f>
        <v>Никуда</v>
      </c>
      <c r="H48" s="6" t="str">
        <f>IFERROR(__xludf.DUMMYFUNCTION("""COMPUTED_VALUE"""),"Зимняя вишня, площадь советов, шахты, goodline, стройка")</f>
        <v>Зимняя вишня, площадь советов, шахты, goodline, стройка</v>
      </c>
      <c r="I48" s="6" t="str">
        <f>IFERROR(__xludf.DUMMYFUNCTION("""COMPUTED_VALUE"""),"Михайло Волков. Алексей Леонов, Аман Тулеев")</f>
        <v>Михайло Волков. Алексей Леонов, Аман Тулеев</v>
      </c>
      <c r="J48" s="6" t="str">
        <f>IFERROR(__xludf.DUMMYFUNCTION("""COMPUTED_VALUE"""),"Аман Тулеев")</f>
        <v>Аман Тулеев</v>
      </c>
      <c r="K48" s="6" t="str">
        <f>IFERROR(__xludf.DUMMYFUNCTION("""COMPUTED_VALUE"""),"Лесная Поляна")</f>
        <v>Лесная Поляна</v>
      </c>
      <c r="L48" s="6" t="str">
        <f>IFERROR(__xludf.DUMMYFUNCTION("""COMPUTED_VALUE"""),"Пожар в зимней вишне")</f>
        <v>Пожар в зимней вишне</v>
      </c>
      <c r="M48" s="6" t="str">
        <f>IFERROR(__xludf.DUMMYFUNCTION("""COMPUTED_VALUE"""),"Нет")</f>
        <v>Нет</v>
      </c>
      <c r="N48" s="6" t="str">
        <f>IFERROR(__xludf.DUMMYFUNCTION("""COMPUTED_VALUE"""),"Чистый воздух, ровные дороги, наличие тротуаров, уборка снега зимой, снижение оплаты за имущество")</f>
        <v>Чистый воздух, ровные дороги, наличие тротуаров, уборка снега зимой, снижение оплаты за имущество</v>
      </c>
      <c r="O48" s="6" t="str">
        <f>IFERROR(__xludf.DUMMYFUNCTION("""COMPUTED_VALUE"""),"Построить третий мост")</f>
        <v>Построить третий мост</v>
      </c>
      <c r="P48" s="6" t="str">
        <f>IFERROR(__xludf.DUMMYFUNCTION("""COMPUTED_VALUE"""),"Сарафанное радио")</f>
        <v>Сарафанное радио</v>
      </c>
      <c r="Q48"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48" s="6" t="str">
        <f>IFERROR(__xludf.DUMMYFUNCTION("""COMPUTED_VALUE"""),"День города, день шахтера")</f>
        <v>День города, день шахтера</v>
      </c>
      <c r="S48" s="6" t="str">
        <f>IFERROR(__xludf.DUMMYFUNCTION("""COMPUTED_VALUE"""),"Нет, не приходилось")</f>
        <v>Нет, не приходилось</v>
      </c>
      <c r="T48" s="6" t="str">
        <f>IFERROR(__xludf.DUMMYFUNCTION("""COMPUTED_VALUE"""),"Пожар в зимней вишне")</f>
        <v>Пожар в зимней вишне</v>
      </c>
      <c r="U48" s="6" t="str">
        <f>IFERROR(__xludf.DUMMYFUNCTION("""COMPUTED_VALUE"""),"Памятник Ленину")</f>
        <v>Памятник Ленину</v>
      </c>
      <c r="V48" s="6" t="str">
        <f>IFERROR(__xludf.DUMMYFUNCTION("""COMPUTED_VALUE"""),"Полет в космос")</f>
        <v>Полет в космос</v>
      </c>
      <c r="W48" s="6" t="str">
        <f>IFERROR(__xludf.DUMMYFUNCTION("""COMPUTED_VALUE"""),"Молчаливые")</f>
        <v>Молчаливые</v>
      </c>
      <c r="X48" s="6" t="str">
        <f>IFERROR(__xludf.DUMMYFUNCTION("""COMPUTED_VALUE"""),"Набережная")</f>
        <v>Набережная</v>
      </c>
      <c r="Y48" s="6" t="str">
        <f>IFERROR(__xludf.DUMMYFUNCTION("""COMPUTED_VALUE"""),"Объединение деревень в город")</f>
        <v>Объединение деревень в город</v>
      </c>
      <c r="Z48" s="6" t="str">
        <f>IFERROR(__xludf.DUMMYFUNCTION("""COMPUTED_VALUE"""),"Свадьба")</f>
        <v>Свадьба</v>
      </c>
      <c r="AA48" s="6" t="str">
        <f>IFERROR(__xludf.DUMMYFUNCTION("""COMPUTED_VALUE"""),"Пожар в зимней вишне")</f>
        <v>Пожар в зимней вишне</v>
      </c>
      <c r="AB48" s="6" t="str">
        <f>IFERROR(__xludf.DUMMYFUNCTION("""COMPUTED_VALUE"""),"Не знаю")</f>
        <v>Не знаю</v>
      </c>
      <c r="AC48" s="6" t="str">
        <f>IFERROR(__xludf.DUMMYFUNCTION("""COMPUTED_VALUE"""),"Улучшить качество воздуха")</f>
        <v>Улучшить качество воздуха</v>
      </c>
      <c r="AD48" s="6" t="str">
        <f>IFERROR(__xludf.DUMMYFUNCTION("""COMPUTED_VALUE"""),"В рамках рабочей группы")</f>
        <v>В рамках рабочей группы</v>
      </c>
      <c r="AE48" s="6" t="str">
        <f>IFERROR(__xludf.DUMMYFUNCTION("""COMPUTED_VALUE"""),"Мужской")</f>
        <v>Мужской</v>
      </c>
      <c r="AF48" s="6" t="str">
        <f>IFERROR(__xludf.DUMMYFUNCTION("""COMPUTED_VALUE"""),"30-44")</f>
        <v>30-44</v>
      </c>
      <c r="AG48" s="6"/>
      <c r="AH48" s="6"/>
      <c r="AI48" s="6"/>
      <c r="AJ48" s="6"/>
      <c r="AK48" s="6"/>
      <c r="AL48" s="6"/>
      <c r="AM48" s="6"/>
    </row>
    <row r="49">
      <c r="A49" s="4">
        <v>48.0</v>
      </c>
      <c r="B49" s="6" t="str">
        <f>IFERROR(__xludf.DUMMYFUNCTION("""COMPUTED_VALUE"""),"оценкой качества обслуживания")</f>
        <v>оценкой качества обслуживания</v>
      </c>
      <c r="C49" s="6" t="str">
        <f>IFERROR(__xludf.DUMMYFUNCTION("""COMPUTED_VALUE"""),"Рисую")</f>
        <v>Рисую</v>
      </c>
      <c r="D49" s="6" t="str">
        <f>IFERROR(__xludf.DUMMYFUNCTION("""COMPUTED_VALUE"""),"Лесная поляна")</f>
        <v>Лесная поляна</v>
      </c>
      <c r="E49" s="6" t="str">
        <f>IFERROR(__xludf.DUMMYFUNCTION("""COMPUTED_VALUE"""),"Их очень много, т.к. район очень красивый, новый и современный. ")</f>
        <v>Их очень много, т.к. район очень красивый, новый и современный. </v>
      </c>
      <c r="F49" s="6" t="str">
        <f>IFERROR(__xludf.DUMMYFUNCTION("""COMPUTED_VALUE"""),"Живу здесь с рождения")</f>
        <v>Живу здесь с рождения</v>
      </c>
      <c r="G49" s="6" t="str">
        <f>IFERROR(__xludf.DUMMYFUNCTION("""COMPUTED_VALUE"""),"Выезжаем на природу")</f>
        <v>Выезжаем на природу</v>
      </c>
      <c r="H49" s="6" t="str">
        <f>IFERROR(__xludf.DUMMYFUNCTION("""COMPUTED_VALUE"""),"уютный, маленький, родной, зеленый")</f>
        <v>уютный, маленький, родной, зеленый</v>
      </c>
      <c r="I49" s="6" t="str">
        <f>IFERROR(__xludf.DUMMYFUNCTION("""COMPUTED_VALUE"""),"Леонов А. А.")</f>
        <v>Леонов А. А.</v>
      </c>
      <c r="J49" s="6" t="str">
        <f>IFERROR(__xludf.DUMMYFUNCTION("""COMPUTED_VALUE"""),"Михайлов В. В.")</f>
        <v>Михайлов В. В.</v>
      </c>
      <c r="K49" s="6" t="str">
        <f>IFERROR(__xludf.DUMMYFUNCTION("""COMPUTED_VALUE""")," ж. р Лесная поляна")</f>
        <v> ж. р Лесная поляна</v>
      </c>
      <c r="L49" s="6" t="str">
        <f>IFERROR(__xludf.DUMMYFUNCTION("""COMPUTED_VALUE"""),"они все не про плюсы города, не могу вспомнить ")</f>
        <v>они все не про плюсы города, не могу вспомнить </v>
      </c>
      <c r="M49" s="6" t="str">
        <f>IFERROR(__xludf.DUMMYFUNCTION("""COMPUTED_VALUE"""),"нет")</f>
        <v>нет</v>
      </c>
      <c r="N49" s="6" t="str">
        <f>IFERROR(__xludf.DUMMYFUNCTION("""COMPUTED_VALUE"""),"чистота, красота, доступность")</f>
        <v>чистота, красота, доступность</v>
      </c>
      <c r="O49" s="6" t="str">
        <f>IFERROR(__xludf.DUMMYFUNCTION("""COMPUTED_VALUE"""),"центральную набережную, гор сад")</f>
        <v>центральную набережную, гор сад</v>
      </c>
      <c r="P49" s="6" t="str">
        <f>IFERROR(__xludf.DUMMYFUNCTION("""COMPUTED_VALUE"""),"Инстаграм")</f>
        <v>Инстаграм</v>
      </c>
      <c r="Q49"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49" s="6" t="str">
        <f>IFERROR(__xludf.DUMMYFUNCTION("""COMPUTED_VALUE"""),"Праздник 9 мая")</f>
        <v>Праздник 9 мая</v>
      </c>
      <c r="S49" s="6" t="str">
        <f>IFERROR(__xludf.DUMMYFUNCTION("""COMPUTED_VALUE"""),"Нет, не приходилось")</f>
        <v>Нет, не приходилось</v>
      </c>
      <c r="T49" s="6" t="str">
        <f>IFERROR(__xludf.DUMMYFUNCTION("""COMPUTED_VALUE"""),"Ни чем. Мало кто за пределами СФО знает о нашем городе. Только по трагедии в ""Зимней вишне""")</f>
        <v>Ни чем. Мало кто за пределами СФО знает о нашем городе. Только по трагедии в "Зимней вишне"</v>
      </c>
      <c r="U49" s="6" t="str">
        <f>IFERROR(__xludf.DUMMYFUNCTION("""COMPUTED_VALUE"""),"ул. Весенняя, драм театр")</f>
        <v>ул. Весенняя, драм театр</v>
      </c>
      <c r="V49" s="6" t="str">
        <f>IFERROR(__xludf.DUMMYFUNCTION("""COMPUTED_VALUE"""),"-
")</f>
        <v>-
</v>
      </c>
      <c r="W49" s="6" t="str">
        <f>IFERROR(__xludf.DUMMYFUNCTION("""COMPUTED_VALUE"""),"Отзывчивые, общительные, открытые. ")</f>
        <v>Отзывчивые, общительные, открытые. </v>
      </c>
      <c r="X49" s="6" t="str">
        <f>IFERROR(__xludf.DUMMYFUNCTION("""COMPUTED_VALUE"""),"центр города, лесная поляна")</f>
        <v>центр города, лесная поляна</v>
      </c>
      <c r="Y49" s="6" t="str">
        <f>IFERROR(__xludf.DUMMYFUNCTION("""COMPUTED_VALUE"""),"Смена власти в 2018")</f>
        <v>Смена власти в 2018</v>
      </c>
      <c r="Z49" s="6" t="str">
        <f>IFERROR(__xludf.DUMMYFUNCTION("""COMPUTED_VALUE"""),"-")</f>
        <v>-</v>
      </c>
      <c r="AA49" s="6" t="str">
        <f>IFERROR(__xludf.DUMMYFUNCTION("""COMPUTED_VALUE"""),"-")</f>
        <v>-</v>
      </c>
      <c r="AB49" s="6" t="str">
        <f>IFERROR(__xludf.DUMMYFUNCTION("""COMPUTED_VALUE"""),"-")</f>
        <v>-</v>
      </c>
      <c r="AC49" s="6" t="str">
        <f>IFERROR(__xludf.DUMMYFUNCTION("""COMPUTED_VALUE"""),"-")</f>
        <v>-</v>
      </c>
      <c r="AD49" s="6" t="str">
        <f>IFERROR(__xludf.DUMMYFUNCTION("""COMPUTED_VALUE"""),"участник")</f>
        <v>участник</v>
      </c>
      <c r="AE49" s="6" t="str">
        <f>IFERROR(__xludf.DUMMYFUNCTION("""COMPUTED_VALUE"""),"Женский")</f>
        <v>Женский</v>
      </c>
      <c r="AF49" s="6" t="str">
        <f>IFERROR(__xludf.DUMMYFUNCTION("""COMPUTED_VALUE"""),"30-44")</f>
        <v>30-44</v>
      </c>
      <c r="AG49" s="6"/>
      <c r="AH49" s="6"/>
      <c r="AI49" s="6"/>
      <c r="AJ49" s="6"/>
      <c r="AK49" s="6"/>
      <c r="AL49" s="6"/>
      <c r="AM49" s="6"/>
    </row>
    <row r="50">
      <c r="A50" s="4">
        <v>49.0</v>
      </c>
      <c r="B50" s="6" t="str">
        <f>IFERROR(__xludf.DUMMYFUNCTION("""COMPUTED_VALUE"""),"Разработка программного обеспечения")</f>
        <v>Разработка программного обеспечения</v>
      </c>
      <c r="C50" s="6" t="str">
        <f>IFERROR(__xludf.DUMMYFUNCTION("""COMPUTED_VALUE"""),"Разработка игр")</f>
        <v>Разработка игр</v>
      </c>
      <c r="D50" s="6" t="str">
        <f>IFERROR(__xludf.DUMMYFUNCTION("""COMPUTED_VALUE"""),"Центральный")</f>
        <v>Центральный</v>
      </c>
      <c r="E50" s="6" t="str">
        <f>IFERROR(__xludf.DUMMYFUNCTION("""COMPUTED_VALUE"""),"площадь Советов")</f>
        <v>площадь Советов</v>
      </c>
      <c r="F50" s="6" t="str">
        <f>IFERROR(__xludf.DUMMYFUNCTION("""COMPUTED_VALUE"""),"Живу здесь с рождения")</f>
        <v>Живу здесь с рождения</v>
      </c>
      <c r="G50" s="6" t="str">
        <f>IFERROR(__xludf.DUMMYFUNCTION("""COMPUTED_VALUE"""),"ТЦ")</f>
        <v>ТЦ</v>
      </c>
      <c r="H50" s="6" t="str">
        <f>IFERROR(__xludf.DUMMYFUNCTION("""COMPUTED_VALUE"""),"Деревня, Сибирь, суровость, ")</f>
        <v>Деревня, Сибирь, суровость, </v>
      </c>
      <c r="I50" s="6" t="str">
        <f>IFERROR(__xludf.DUMMYFUNCTION("""COMPUTED_VALUE"""),"Владимир Давыдович Мартемьянов")</f>
        <v>Владимир Давыдович Мартемьянов</v>
      </c>
      <c r="J50" s="6" t="str">
        <f>IFERROR(__xludf.DUMMYFUNCTION("""COMPUTED_VALUE"""),"За других горожан не отвечу, но для меня - сотрудники компании Goodline")</f>
        <v>За других горожан не отвечу, но для меня - сотрудники компании Goodline</v>
      </c>
      <c r="K50" s="6" t="str">
        <f>IFERROR(__xludf.DUMMYFUNCTION("""COMPUTED_VALUE"""),"Офис Goodline")</f>
        <v>Офис Goodline</v>
      </c>
      <c r="L50" s="6" t="str">
        <f>IFERROR(__xludf.DUMMYFUNCTION("""COMPUTED_VALUE"""),"Такие отсутствуют.")</f>
        <v>Такие отсутствуют.</v>
      </c>
      <c r="M50" s="6" t="str">
        <f>IFERROR(__xludf.DUMMYFUNCTION("""COMPUTED_VALUE"""),"Нет")</f>
        <v>Нет</v>
      </c>
      <c r="N50" s="6" t="str">
        <f>IFERROR(__xludf.DUMMYFUNCTION("""COMPUTED_VALUE"""),"Отсутствие пробок, разнообразие кухни, быстрая доставка товаров из других городов и стран, уборка/засыпание льда, отсутствие затоплений на дорогах")</f>
        <v>Отсутствие пробок, разнообразие кухни, быстрая доставка товаров из других городов и стран, уборка/засыпание льда, отсутствие затоплений на дорогах</v>
      </c>
      <c r="O50" s="6" t="str">
        <f>IFERROR(__xludf.DUMMYFUNCTION("""COMPUTED_VALUE"""),"Добавить больше красок и форм")</f>
        <v>Добавить больше красок и форм</v>
      </c>
      <c r="P50" s="6" t="str">
        <f>IFERROR(__xludf.DUMMYFUNCTION("""COMPUTED_VALUE"""),"Группы во ВКонтакте: Типичный Кемерово, Инцидент Кемерово, Город Кемерово; сайт a42.ru")</f>
        <v>Группы во ВКонтакте: Типичный Кемерово, Инцидент Кемерово, Город Кемерово; сайт a42.ru</v>
      </c>
      <c r="Q50" s="6" t="str">
        <f>IFERROR(__xludf.DUMMYFUNCTION("""COMPUTED_VALUE"""),"где вкусно поесть/открытие новых кафе/ресторанов,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(рейтинги/аналитика"&amp;"/тенденции)")</f>
        <v>где вкусно поесть/открытие новых кафе/ресторанов,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50" s="6" t="str">
        <f>IFERROR(__xludf.DUMMYFUNCTION("""COMPUTED_VALUE"""),"Новый Год. Зачем Вы меня про других жителей спрашиваете? :)")</f>
        <v>Новый Год. Зачем Вы меня про других жителей спрашиваете? :)</v>
      </c>
      <c r="S50" s="6" t="str">
        <f>IFERROR(__xludf.DUMMYFUNCTION("""COMPUTED_VALUE"""),"Нет, не приходилось")</f>
        <v>Нет, не приходилось</v>
      </c>
      <c r="T50" s="6" t="str">
        <f>IFERROR(__xludf.DUMMYFUNCTION("""COMPUTED_VALUE"""),"Для больших деревень - офис Goodline")</f>
        <v>Для больших деревень - офис Goodline</v>
      </c>
      <c r="U50" s="6" t="str">
        <f>IFERROR(__xludf.DUMMYFUNCTION("""COMPUTED_VALUE"""),"площадь Советов")</f>
        <v>площадь Советов</v>
      </c>
      <c r="V50" s="6" t="str">
        <f>IFERROR(__xludf.DUMMYFUNCTION("""COMPUTED_VALUE"""),"Усердно трудились")</f>
        <v>Усердно трудились</v>
      </c>
      <c r="W50" s="6" t="str">
        <f>IFERROR(__xludf.DUMMYFUNCTION("""COMPUTED_VALUE"""),"Суровые")</f>
        <v>Суровые</v>
      </c>
      <c r="X50" s="6" t="str">
        <f>IFERROR(__xludf.DUMMYFUNCTION("""COMPUTED_VALUE"""),"Аллея Славы -&gt; набережная -&gt; Парк Чудес")</f>
        <v>Аллея Славы -&gt; набережная -&gt; Парк Чудес</v>
      </c>
      <c r="Y50" s="6" t="str">
        <f>IFERROR(__xludf.DUMMYFUNCTION("""COMPUTED_VALUE"""),"Основание города")</f>
        <v>Основание города</v>
      </c>
      <c r="Z50" s="6" t="str">
        <f>IFERROR(__xludf.DUMMYFUNCTION("""COMPUTED_VALUE"""),"Снятие ограничений")</f>
        <v>Снятие ограничений</v>
      </c>
      <c r="AA50" s="6" t="str">
        <f>IFERROR(__xludf.DUMMYFUNCTION("""COMPUTED_VALUE"""),"Карантинные ограничения")</f>
        <v>Карантинные ограничения</v>
      </c>
      <c r="AB50" s="6" t="str">
        <f>IFERROR(__xludf.DUMMYFUNCTION("""COMPUTED_VALUE"""),"Игровых джемов и хакатонов")</f>
        <v>Игровых джемов и хакатонов</v>
      </c>
      <c r="AC50" s="6" t="str">
        <f>IFERROR(__xludf.DUMMYFUNCTION("""COMPUTED_VALUE"""),"Крупные VR-площадки")</f>
        <v>Крупные VR-площадки</v>
      </c>
      <c r="AD50" s="6" t="str">
        <f>IFERROR(__xludf.DUMMYFUNCTION("""COMPUTED_VALUE"""),"Наблюдатель/тестировщик")</f>
        <v>Наблюдатель/тестировщик</v>
      </c>
      <c r="AE50" s="6" t="str">
        <f>IFERROR(__xludf.DUMMYFUNCTION("""COMPUTED_VALUE"""),"Мужской")</f>
        <v>Мужской</v>
      </c>
      <c r="AF50" s="6" t="str">
        <f>IFERROR(__xludf.DUMMYFUNCTION("""COMPUTED_VALUE"""),"18-29")</f>
        <v>18-29</v>
      </c>
      <c r="AG50" s="6"/>
      <c r="AH50" s="6"/>
      <c r="AI50" s="6"/>
      <c r="AJ50" s="6"/>
      <c r="AK50" s="6"/>
      <c r="AL50" s="6"/>
      <c r="AM50" s="6"/>
    </row>
    <row r="51">
      <c r="A51" s="4">
        <v>50.0</v>
      </c>
      <c r="B51" s="6" t="str">
        <f>IFERROR(__xludf.DUMMYFUNCTION("""COMPUTED_VALUE"""),"Бережливый сервис")</f>
        <v>Бережливый сервис</v>
      </c>
      <c r="C51" s="6" t="str">
        <f>IFERROR(__xludf.DUMMYFUNCTION("""COMPUTED_VALUE"""),"Пишу книги")</f>
        <v>Пишу книги</v>
      </c>
      <c r="D51" s="6" t="str">
        <f>IFERROR(__xludf.DUMMYFUNCTION("""COMPUTED_VALUE"""),"Центральный, у глав почтамта, центр")</f>
        <v>Центральный, у глав почтамта, центр</v>
      </c>
      <c r="E51" s="6" t="str">
        <f>IFERROR(__xludf.DUMMYFUNCTION("""COMPUTED_VALUE"""),"Набережная, советский, весенняя, площадь советов, парк чудес, сквер у орбиты, кемгу, парк ангелов, парк победы")</f>
        <v>Набережная, советский, весенняя, площадь советов, парк чудес, сквер у орбиты, кемгу, парк ангелов, парк победы</v>
      </c>
      <c r="F51" s="6" t="str">
        <f>IFERROR(__xludf.DUMMYFUNCTION("""COMPUTED_VALUE"""),"Живу здесь с рождения")</f>
        <v>Живу здесь с рождения</v>
      </c>
      <c r="G51" s="6" t="str">
        <f>IFERROR(__xludf.DUMMYFUNCTION("""COMPUTED_VALUE"""),"Лента, Леруа, кфс, другие кафе, Лапландия, радуга, бульвар строителей, парки, концерты")</f>
        <v>Лента, Леруа, кфс, другие кафе, Лапландия, радуга, бульвар строителей, парки, концерты</v>
      </c>
      <c r="H51" s="6" t="str">
        <f>IFERROR(__xludf.DUMMYFUNCTION("""COMPUTED_VALUE"""),"Уголь, Кемчик, Кузбасс, Сибирь, смог")</f>
        <v>Уголь, Кемчик, Кузбасс, Сибирь, смог</v>
      </c>
      <c r="I51" s="6" t="str">
        <f>IFERROR(__xludf.DUMMYFUNCTION("""COMPUTED_VALUE"""),"Волков, Рутгерс, Волошина, Дружинин")</f>
        <v>Волков, Рутгерс, Волошина, Дружинин</v>
      </c>
      <c r="J51" s="6" t="str">
        <f>IFERROR(__xludf.DUMMYFUNCTION("""COMPUTED_VALUE"""),"Гришковец, Леонов")</f>
        <v>Гришковец, Леонов</v>
      </c>
      <c r="K51" s="6" t="str">
        <f>IFERROR(__xludf.DUMMYFUNCTION("""COMPUTED_VALUE"""),"Набережная, парк ангелов, площадь Советов, бульвар строителей, это_офис")</f>
        <v>Набережная, парк ангелов, площадь Советов, бульвар строителей, это_офис</v>
      </c>
      <c r="L51" s="6" t="str">
        <f>IFERROR(__xludf.DUMMYFUNCTION("""COMPUTED_VALUE"""),"История строительства канатной дороги над Томью. ")</f>
        <v>История строительства канатной дороги над Томью. </v>
      </c>
      <c r="M51" s="6" t="str">
        <f>IFERROR(__xludf.DUMMYFUNCTION("""COMPUTED_VALUE"""),"Яшка, главка")</f>
        <v>Яшка, главка</v>
      </c>
      <c r="N51" s="6" t="str">
        <f>IFERROR(__xludf.DUMMYFUNCTION("""COMPUTED_VALUE"""),"1.Регулярный общественный транспорт, 2. вывоз мусора, 3. ремонт дорог, ремент зданий, 4. транспортная развязка, отсутвие пробок, 5. торговые центры, ")</f>
        <v>1.Регулярный общественный транспорт, 2. вывоз мусора, 3. ремонт дорог, ремент зданий, 4. транспортная развязка, отсутвие пробок, 5. торговые центры, </v>
      </c>
      <c r="O51" s="6" t="str">
        <f>IFERROR(__xludf.DUMMYFUNCTION("""COMPUTED_VALUE"""),"1. Регулярность общественного транспорта 2. Крупный тц как планета в нвкз")</f>
        <v>1. Регулярность общественного транспорта 2. Крупный тц как планета в нвкз</v>
      </c>
      <c r="P51" s="6" t="str">
        <f>IFERROR(__xludf.DUMMYFUNCTION("""COMPUTED_VALUE"""),"А42, афиши на остановка, друзья, таргетированная реклама")</f>
        <v>А42, афиши на остановка, друзья, таргетированная реклама</v>
      </c>
      <c r="Q51"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криминальные новости (происшествия/преступления), рез"&amp;"ультаты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51" s="6" t="str">
        <f>IFERROR(__xludf.DUMMYFUNCTION("""COMPUTED_VALUE"""),"День города, день победы, новый год")</f>
        <v>День города, день победы, новый год</v>
      </c>
      <c r="S51" s="6" t="str">
        <f>IFERROR(__xludf.DUMMYFUNCTION("""COMPUTED_VALUE"""),"Через социальные сети (Какие? Укажите в графе другое), Вк, было в 2013")</f>
        <v>Через социальные сети (Какие? Укажите в графе другое), Вк, было в 2013</v>
      </c>
      <c r="T51" s="6" t="str">
        <f>IFERROR(__xludf.DUMMYFUNCTION("""COMPUTED_VALUE"""),"Шахтерский край, зимняя вишня, рядом шерегеш")</f>
        <v>Шахтерский край, зимняя вишня, рядом шерегеш</v>
      </c>
      <c r="U51" s="6" t="str">
        <f>IFERROR(__xludf.DUMMYFUNCTION("""COMPUTED_VALUE"""),"Памятник шахтеру, красная Горка, надпись кузбасс")</f>
        <v>Памятник шахтеру, красная Горка, надпись кузбасс</v>
      </c>
      <c r="V51" s="6" t="str">
        <f>IFERROR(__xludf.DUMMYFUNCTION("""COMPUTED_VALUE"""),"Строили и работаои на крупных заводах, + ставили крутые театральные постановки, + исследования учёных в вузах")</f>
        <v>Строили и работаои на крупных заводах, + ставили крутые театральные постановки, + исследования учёных в вузах</v>
      </c>
      <c r="W51" s="6" t="str">
        <f>IFERROR(__xludf.DUMMYFUNCTION("""COMPUTED_VALUE"""),"Угрюмый, конфликтный, жалующийся. К сожалению, впечатление от людей в общих общественных пространствах именно такое. ")</f>
        <v>Угрюмый, конфликтный, жалующийся. К сожалению, впечатление от людей в общих общественных пространствах именно такое. </v>
      </c>
      <c r="X51" s="6" t="str">
        <f>IFERROR(__xludf.DUMMYFUNCTION("""COMPUTED_VALUE"""),"Набережная, площадь советов, парк ангелов, парк победы")</f>
        <v>Набережная, площадь советов, парк ангелов, парк победы</v>
      </c>
      <c r="Y51" s="6" t="str">
        <f>IFERROR(__xludf.DUMMYFUNCTION("""COMPUTED_VALUE"""),"Забастовки шахтеров в начале 90ых")</f>
        <v>Забастовки шахтеров в начале 90ых</v>
      </c>
      <c r="Z51" s="6" t="str">
        <f>IFERROR(__xludf.DUMMYFUNCTION("""COMPUTED_VALUE"""),"Начало строительства культурного кластера")</f>
        <v>Начало строительства культурного кластера</v>
      </c>
      <c r="AA51" s="6" t="str">
        <f>IFERROR(__xludf.DUMMYFUNCTION("""COMPUTED_VALUE"""),"Непоследовательные ограничения из-за вируса")</f>
        <v>Непоследовательные ограничения из-за вируса</v>
      </c>
      <c r="AB51" s="6" t="str">
        <f>IFERROR(__xludf.DUMMYFUNCTION("""COMPUTED_VALUE"""),"Нет потребности в сообществах")</f>
        <v>Нет потребности в сообществах</v>
      </c>
      <c r="AC51" s="6" t="str">
        <f>IFERROR(__xludf.DUMMYFUNCTION("""COMPUTED_VALUE"""),"Конценты известных исполнителей")</f>
        <v>Конценты известных исполнителей</v>
      </c>
      <c r="AD51" s="6" t="str">
        <f>IFERROR(__xludf.DUMMYFUNCTION("""COMPUTED_VALUE"""),"Предлагать идеи, смотреть за реализацией")</f>
        <v>Предлагать идеи, смотреть за реализацией</v>
      </c>
      <c r="AE51" s="6" t="str">
        <f>IFERROR(__xludf.DUMMYFUNCTION("""COMPUTED_VALUE"""),"Женский")</f>
        <v>Женский</v>
      </c>
      <c r="AF51" s="6" t="str">
        <f>IFERROR(__xludf.DUMMYFUNCTION("""COMPUTED_VALUE"""),"18-29")</f>
        <v>18-29</v>
      </c>
      <c r="AG51" s="6"/>
      <c r="AH51" s="6"/>
      <c r="AI51" s="6"/>
      <c r="AJ51" s="6"/>
      <c r="AK51" s="6"/>
      <c r="AL51" s="6"/>
      <c r="AM51" s="6"/>
    </row>
    <row r="52">
      <c r="A52" s="4">
        <v>51.0</v>
      </c>
      <c r="B52" s="6" t="str">
        <f>IFERROR(__xludf.DUMMYFUNCTION("""COMPUTED_VALUE"""),"Занимаюсь всё что связано с видеопроизводством")</f>
        <v>Занимаюсь всё что связано с видеопроизводством</v>
      </c>
      <c r="C52" s="6" t="str">
        <f>IFERROR(__xludf.DUMMYFUNCTION("""COMPUTED_VALUE"""),"Компьютерные игры")</f>
        <v>Компьютерные игры</v>
      </c>
      <c r="D52" s="6" t="str">
        <f>IFERROR(__xludf.DUMMYFUNCTION("""COMPUTED_VALUE"""),"Центральный, Центр")</f>
        <v>Центральный, Центр</v>
      </c>
      <c r="E52" s="6" t="str">
        <f>IFERROR(__xludf.DUMMYFUNCTION("""COMPUTED_VALUE"""),"Смотровая площадка на Пионерском бульваре")</f>
        <v>Смотровая площадка на Пионерском бульваре</v>
      </c>
      <c r="F52" s="6" t="str">
        <f>IFERROR(__xludf.DUMMYFUNCTION("""COMPUTED_VALUE"""),"Живу здесь с рождения")</f>
        <v>Живу здесь с рождения</v>
      </c>
      <c r="G52" s="6" t="str">
        <f>IFERROR(__xludf.DUMMYFUNCTION("""COMPUTED_VALUE"""),"Набережная, Ул. Весенняя, Площадь Советов")</f>
        <v>Набережная, Ул. Весенняя, Площадь Советов</v>
      </c>
      <c r="H52" s="6" t="str">
        <f>IFERROR(__xludf.DUMMYFUNCTION("""COMPUTED_VALUE"""),"Пыль, деревня, дым, деревья,  закат")</f>
        <v>Пыль, деревня, дым, деревья,  закат</v>
      </c>
      <c r="I52" s="6" t="str">
        <f>IFERROR(__xludf.DUMMYFUNCTION("""COMPUTED_VALUE"""),"Волков, Рутгерс")</f>
        <v>Волков, Рутгерс</v>
      </c>
      <c r="J52" s="6" t="str">
        <f>IFERROR(__xludf.DUMMYFUNCTION("""COMPUTED_VALUE"""),"Геннадий Букин")</f>
        <v>Геннадий Букин</v>
      </c>
      <c r="K52" s="6" t="str">
        <f>IFERROR(__xludf.DUMMYFUNCTION("""COMPUTED_VALUE"""),"Надпись КУЗБАСС, Красная горка")</f>
        <v>Надпись КУЗБАСС, Красная горка</v>
      </c>
      <c r="L52" s="6" t="str">
        <f>IFERROR(__xludf.DUMMYFUNCTION("""COMPUTED_VALUE"""),"В чужом глазу соломину видеть, в своём —  бревна не замечать")</f>
        <v>В чужом глазу соломину видеть, в своём —  бревна не замечать</v>
      </c>
      <c r="M52" s="6" t="str">
        <f>IFERROR(__xludf.DUMMYFUNCTION("""COMPUTED_VALUE"""),"Напильник")</f>
        <v>Напильник</v>
      </c>
      <c r="N52" s="6" t="str">
        <f>IFERROR(__xludf.DUMMYFUNCTION("""COMPUTED_VALUE"""),"Чистота, безопасность, удобный общественный транспорт, прогулочные зоны, маленький автомобильный траффик, ТЦ с нормальными магазинами одежды")</f>
        <v>Чистота, безопасность, удобный общественный транспорт, прогулочные зоны, маленький автомобильный траффик, ТЦ с нормальными магазинами одежды</v>
      </c>
      <c r="O52" s="6" t="str">
        <f>IFERROR(__xludf.DUMMYFUNCTION("""COMPUTED_VALUE"""),"Чистить город от пыли и газа, перестать обрезать деревья")</f>
        <v>Чистить город от пыли и газа, перестать обрезать деревья</v>
      </c>
      <c r="P52" s="7" t="str">
        <f>IFERROR(__xludf.DUMMYFUNCTION("""COMPUTED_VALUE"""),"A42.RU")</f>
        <v>A42.RU</v>
      </c>
      <c r="Q52" s="6" t="str">
        <f>IFERROR(__xludf.DUMMYFUNCTION("""COMPUTED_VALUE"""),"интервью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f>
        <v>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v>
      </c>
      <c r="R52" s="6" t="str">
        <f>IFERROR(__xludf.DUMMYFUNCTION("""COMPUTED_VALUE"""),"Новый Год")</f>
        <v>Новый Год</v>
      </c>
      <c r="S52" s="6" t="str">
        <f>IFERROR(__xludf.DUMMYFUNCTION("""COMPUTED_VALUE"""),"Обращался в редакции электронных городских СМИ")</f>
        <v>Обращался в редакции электронных городских СМИ</v>
      </c>
      <c r="T52" s="6" t="str">
        <f>IFERROR(__xludf.DUMMYFUNCTION("""COMPUTED_VALUE"""),"Кемерово знаменит трагическим событием пожара в Зимней Вишне. ")</f>
        <v>Кемерово знаменит трагическим событием пожара в Зимней Вишне. </v>
      </c>
      <c r="U52" s="6" t="str">
        <f>IFERROR(__xludf.DUMMYFUNCTION("""COMPUTED_VALUE"""),"Набережная, Драмтеатр")</f>
        <v>Набережная, Драмтеатр</v>
      </c>
      <c r="V52" s="6" t="str">
        <f>IFERROR(__xludf.DUMMYFUNCTION("""COMPUTED_VALUE"""),"Не мусорили бы где живут, культурно развивались")</f>
        <v>Не мусорили бы где живут, культурно развивались</v>
      </c>
      <c r="W52" s="6" t="str">
        <f>IFERROR(__xludf.DUMMYFUNCTION("""COMPUTED_VALUE"""),"Суровость, малокультурность, ")</f>
        <v>Суровость, малокультурность, </v>
      </c>
      <c r="X52" s="6" t="str">
        <f>IFERROR(__xludf.DUMMYFUNCTION("""COMPUTED_VALUE"""),"От филармонии по набережной до Драмтеатра")</f>
        <v>От филармонии по набережной до Драмтеатра</v>
      </c>
      <c r="Y52" s="6" t="str">
        <f>IFERROR(__xludf.DUMMYFUNCTION("""COMPUTED_VALUE"""),"Создание Автономной Индустриальной Колонии «Кузбасс»")</f>
        <v>Создание Автономной Индустриальной Колонии «Кузбасс»</v>
      </c>
      <c r="Z52" s="6" t="str">
        <f>IFERROR(__xludf.DUMMYFUNCTION("""COMPUTED_VALUE"""),"Появились новые автобусы")</f>
        <v>Появились новые автобусы</v>
      </c>
      <c r="AA52" s="6" t="str">
        <f>IFERROR(__xludf.DUMMYFUNCTION("""COMPUTED_VALUE"""),"Вырубили все деревья в центре у Искитимки")</f>
        <v>Вырубили все деревья в центре у Искитимки</v>
      </c>
      <c r="AB52" s="6" t="str">
        <f>IFERROR(__xludf.DUMMYFUNCTION("""COMPUTED_VALUE"""),"Сообщества игровых стримеров")</f>
        <v>Сообщества игровых стримеров</v>
      </c>
      <c r="AC52" s="6" t="str">
        <f>IFERROR(__xludf.DUMMYFUNCTION("""COMPUTED_VALUE"""),"Дворовые активности")</f>
        <v>Дворовые активности</v>
      </c>
      <c r="AD52" s="6" t="str">
        <f>IFERROR(__xludf.DUMMYFUNCTION("""COMPUTED_VALUE"""),"Участник")</f>
        <v>Участник</v>
      </c>
      <c r="AE52" s="6" t="str">
        <f>IFERROR(__xludf.DUMMYFUNCTION("""COMPUTED_VALUE"""),"Мужской")</f>
        <v>Мужской</v>
      </c>
      <c r="AF52" s="6" t="str">
        <f>IFERROR(__xludf.DUMMYFUNCTION("""COMPUTED_VALUE"""),"30-44")</f>
        <v>30-44</v>
      </c>
      <c r="AG52" s="6"/>
      <c r="AH52" s="6"/>
      <c r="AI52" s="6"/>
      <c r="AJ52" s="6"/>
      <c r="AK52" s="6"/>
      <c r="AL52" s="6"/>
      <c r="AM52" s="6"/>
    </row>
    <row r="53">
      <c r="A53" s="4">
        <v>52.0</v>
      </c>
      <c r="B53" s="6" t="str">
        <f>IFERROR(__xludf.DUMMYFUNCTION("""COMPUTED_VALUE"""),"Работаю в IT")</f>
        <v>Работаю в IT</v>
      </c>
      <c r="C53" s="6" t="str">
        <f>IFERROR(__xludf.DUMMYFUNCTION("""COMPUTED_VALUE"""),"Слежу за профессиональным спортом")</f>
        <v>Слежу за профессиональным спортом</v>
      </c>
      <c r="D53" s="6" t="str">
        <f>IFERROR(__xludf.DUMMYFUNCTION("""COMPUTED_VALUE"""),"Рудничный (Радуга) и Кировский (Кировский или Кирыч)")</f>
        <v>Рудничный (Радуга) и Кировский (Кировский или Кирыч)</v>
      </c>
      <c r="E53" s="6" t="str">
        <f>IFERROR(__xludf.DUMMYFUNCTION("""COMPUTED_VALUE"""),"Кировский сам по себе знаковое место, сталинские дома, парки, набережная.")</f>
        <v>Кировский сам по себе знаковое место, сталинские дома, парки, набережная.</v>
      </c>
      <c r="F53" s="6" t="str">
        <f>IFERROR(__xludf.DUMMYFUNCTION("""COMPUTED_VALUE"""),"Живу здесь с рождения")</f>
        <v>Живу здесь с рождения</v>
      </c>
      <c r="G53" s="6" t="str">
        <f>IFERROR(__xludf.DUMMYFUNCTION("""COMPUTED_VALUE"""),"В основном в кафе и заведения центра города, так как альтернативы нет")</f>
        <v>В основном в кафе и заведения центра города, так как альтернативы нет</v>
      </c>
      <c r="H53" s="6" t="str">
        <f>IFERROR(__xludf.DUMMYFUNCTION("""COMPUTED_VALUE"""),"Компактный, серый, грязный, приятный, прогрессивный")</f>
        <v>Компактный, серый, грязный, приятный, прогрессивный</v>
      </c>
      <c r="I53" s="6" t="str">
        <f>IFERROR(__xludf.DUMMYFUNCTION("""COMPUTED_VALUE"""),"Раздаев, Леонов, Волошина")</f>
        <v>Раздаев, Леонов, Волошина</v>
      </c>
      <c r="J53" s="6" t="str">
        <f>IFERROR(__xludf.DUMMYFUNCTION("""COMPUTED_VALUE"""),"Затрудняюсь ответить")</f>
        <v>Затрудняюсь ответить</v>
      </c>
      <c r="K53" s="6" t="str">
        <f>IFERROR(__xludf.DUMMYFUNCTION("""COMPUTED_VALUE"""),"Показал бы кировский, так как у приезжих нет стереотипа о районе, центр города.")</f>
        <v>Показал бы кировский, так как у приезжих нет стереотипа о районе, центр города.</v>
      </c>
      <c r="L53" s="6" t="str">
        <f>IFERROR(__xludf.DUMMYFUNCTION("""COMPUTED_VALUE"""),"Затрудняюсь ответить")</f>
        <v>Затрудняюсь ответить</v>
      </c>
      <c r="M53" s="6" t="str">
        <f>IFERROR(__xludf.DUMMYFUNCTION("""COMPUTED_VALUE"""),"Нет")</f>
        <v>Нет</v>
      </c>
      <c r="N53" s="6" t="str">
        <f>IFERROR(__xludf.DUMMYFUNCTION("""COMPUTED_VALUE"""),"Город должен быть зеленый, иметь развитую систему транспорта, достаточно цифровизован, иметь уровень развлечений хотя бы на уровне Новокузнецка, быть чистым")</f>
        <v>Город должен быть зеленый, иметь развитую систему транспорта, достаточно цифровизован, иметь уровень развлечений хотя бы на уровне Новокузнецка, быть чистым</v>
      </c>
      <c r="O53" s="6" t="str">
        <f>IFERROR(__xludf.DUMMYFUNCTION("""COMPUTED_VALUE"""),"Начать следить за зданиями, являющимися объектами архитектурного наследия (говорю как житель одного из таких домов) ибо если этого не делать, то вместо архитектуры в городе останутся только новостройки. Ввести дизайн-код, при этом его применение не должно"&amp;" быть поголовным (к ситуации с харатсом и его фасадом). Провести транспортную реформу. Вернуть футбольный клуб Кузбасс.")</f>
        <v>Начать следить за зданиями, являющимися объектами архитектурного наследия (говорю как житель одного из таких домов) ибо если этого не делать, то вместо архитектуры в городе останутся только новостройки. Ввести дизайн-код, при этом его применение не должно быть поголовным (к ситуации с харатсом и его фасадом). Провести транспортную реформу. Вернуть футбольный клуб Кузбасс.</v>
      </c>
      <c r="P53" s="6" t="str">
        <f>IFERROR(__xludf.DUMMYFUNCTION("""COMPUTED_VALUE"""),"Соц.сети, А42, Сибдепо")</f>
        <v>Соц.сети, А42, Сибдепо</v>
      </c>
      <c r="Q53"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53" s="6" t="str">
        <f>IFERROR(__xludf.DUMMYFUNCTION("""COMPUTED_VALUE"""),"Предновогодние недели - новый год")</f>
        <v>Предновогодние недели - новый год</v>
      </c>
      <c r="S53" s="6" t="str">
        <f>IFERROR(__xludf.DUMMYFUNCTION("""COMPUTED_VALUE"""),"Обращался в редакции электронных городских СМИ, Выступал в эфире кемеровского радио")</f>
        <v>Обращался в редакции электронных городских СМИ, Выступал в эфире кемеровского радио</v>
      </c>
      <c r="T53" s="6" t="str">
        <f>IFERROR(__xludf.DUMMYFUNCTION("""COMPUTED_VALUE"""),"У нас умеют развивать спорт, бенди, воллейбол и минифутбол это доказывают. Но при этом на спорт быстро забивают. Увы сейчас город знают только из-за Зимней Вишни.")</f>
        <v>У нас умеют развивать спорт, бенди, воллейбол и минифутбол это доказывают. Но при этом на спорт быстро забивают. Увы сейчас город знают только из-за Зимней Вишни.</v>
      </c>
      <c r="U53" s="6" t="str">
        <f>IFERROR(__xludf.DUMMYFUNCTION("""COMPUTED_VALUE"""),"Советский проспект от Я до Площади советов. Весенняя улица.")</f>
        <v>Советский проспект от Я до Площади советов. Весенняя улица.</v>
      </c>
      <c r="V53" s="6" t="str">
        <f>IFERROR(__xludf.DUMMYFUNCTION("""COMPUTED_VALUE"""),"Кемеровчанам последних лет 20 гордиться особо не за что. Но в целом можно гордиться тем городом, что получилось создать. Он индивидуален и куда бы я не приезжал мне не хватает его компактности и целостности.")</f>
        <v>Кемеровчанам последних лет 20 гордиться особо не за что. Но в целом можно гордиться тем городом, что получилось создать. Он индивидуален и куда бы я не приезжал мне не хватает его компактности и целостности.</v>
      </c>
      <c r="W53" s="6" t="str">
        <f>IFERROR(__xludf.DUMMYFUNCTION("""COMPUTED_VALUE"""),"Закрытые, консервативные, провластные")</f>
        <v>Закрытые, консервативные, провластные</v>
      </c>
      <c r="X53" s="6" t="str">
        <f>IFERROR(__xludf.DUMMYFUNCTION("""COMPUTED_VALUE"""),"Маршрут по ""сталинскому"" Кировскому. В центре это маршрут от Швейки до Площади Волкова, далее до Драмы и оттуда по набережной до гор.сада и на Кирова.")</f>
        <v>Маршрут по "сталинскому" Кировскому. В центре это маршрут от Швейки до Площади Волкова, далее до Драмы и оттуда по набережной до гор.сада и на Кирова.</v>
      </c>
      <c r="Y53" s="6" t="str">
        <f>IFERROR(__xludf.DUMMYFUNCTION("""COMPUTED_VALUE"""),"ЧМ по Бенди, Зимняя Вишня, эстафета олимпийского огня, ")</f>
        <v>ЧМ по Бенди, Зимняя Вишня, эстафета олимпийского огня, </v>
      </c>
      <c r="Z53" s="6" t="str">
        <f>IFERROR(__xludf.DUMMYFUNCTION("""COMPUTED_VALUE"""),"Позитивного не запомнилось ничего")</f>
        <v>Позитивного не запомнилось ничего</v>
      </c>
      <c r="AA53" s="6" t="str">
        <f>IFERROR(__xludf.DUMMYFUNCTION("""COMPUTED_VALUE"""),"Ухудшение ситуации с транспортом, уехать куда либо из центра все тяжелее. Отсутствие уборки снега. Проблемы с экологией.")</f>
        <v>Ухудшение ситуации с транспортом, уехать куда либо из центра все тяжелее. Отсутствие уборки снега. Проблемы с экологией.</v>
      </c>
      <c r="AB53" s="6" t="str">
        <f>IFERROR(__xludf.DUMMYFUNCTION("""COMPUTED_VALUE"""),"Гастрономических, настолки, спорт.")</f>
        <v>Гастрономических, настолки, спорт.</v>
      </c>
      <c r="AC53" s="6" t="str">
        <f>IFERROR(__xludf.DUMMYFUNCTION("""COMPUTED_VALUE"""),"Больше необчынх заведений общепита, хотя бы один аймакс")</f>
        <v>Больше необчынх заведений общепита, хотя бы один аймакс</v>
      </c>
      <c r="AD53" s="6" t="str">
        <f>IFERROR(__xludf.DUMMYFUNCTION("""COMPUTED_VALUE"""),"Готов вносить идеи, прорабатывать их и помогать воплощать в жизнь. Меня интересует сохранение советского архитектурного наследия и в целом развитие Кировского района, в котором есть огромный потенциал.")</f>
        <v>Готов вносить идеи, прорабатывать их и помогать воплощать в жизнь. Меня интересует сохранение советского архитектурного наследия и в целом развитие Кировского района, в котором есть огромный потенциал.</v>
      </c>
      <c r="AE53" s="6" t="str">
        <f>IFERROR(__xludf.DUMMYFUNCTION("""COMPUTED_VALUE"""),"Мужской")</f>
        <v>Мужской</v>
      </c>
      <c r="AF53" s="6" t="str">
        <f>IFERROR(__xludf.DUMMYFUNCTION("""COMPUTED_VALUE"""),"18-29")</f>
        <v>18-29</v>
      </c>
      <c r="AG53" s="6"/>
      <c r="AH53" s="6"/>
      <c r="AI53" s="6"/>
      <c r="AJ53" s="6"/>
      <c r="AK53" s="6"/>
      <c r="AL53" s="6"/>
      <c r="AM53" s="6"/>
    </row>
    <row r="54">
      <c r="A54" s="4">
        <v>53.0</v>
      </c>
      <c r="B54" s="6" t="str">
        <f>IFERROR(__xludf.DUMMYFUNCTION("""COMPUTED_VALUE"""),"Офисный работник")</f>
        <v>Офисный работник</v>
      </c>
      <c r="C54" s="6" t="str">
        <f>IFERROR(__xludf.DUMMYFUNCTION("""COMPUTED_VALUE"""),"Путешествия")</f>
        <v>Путешествия</v>
      </c>
      <c r="D54" s="6" t="str">
        <f>IFERROR(__xludf.DUMMYFUNCTION("""COMPUTED_VALUE"""),"Центральный")</f>
        <v>Центральный</v>
      </c>
      <c r="E54" s="6" t="str">
        <f>IFERROR(__xludf.DUMMYFUNCTION("""COMPUTED_VALUE"""),"Кадетское училище")</f>
        <v>Кадетское училище</v>
      </c>
      <c r="F54" s="6" t="str">
        <f>IFERROR(__xludf.DUMMYFUNCTION("""COMPUTED_VALUE"""),"Переехал сюда из другого места (откуда? укажите в графе другое), из Киселевска")</f>
        <v>Переехал сюда из другого места (откуда? укажите в графе другое), из Киселевска</v>
      </c>
      <c r="G54" s="6" t="str">
        <f>IFERROR(__xludf.DUMMYFUNCTION("""COMPUTED_VALUE"""),"Набережная, центр, the librarry, бар Бельгия, Киндерленд, Баржа, Авиатор, Елыкаевская слобода")</f>
        <v>Набережная, центр, the librarry, бар Бельгия, Киндерленд, Баржа, Авиатор, Елыкаевская слобода</v>
      </c>
      <c r="H54" s="6" t="str">
        <f>IFERROR(__xludf.DUMMYFUNCTION("""COMPUTED_VALUE"""),"смог, Весенька, Лапа, Набережная, зимняя вишня")</f>
        <v>смог, Весенька, Лапа, Набережная, зимняя вишня</v>
      </c>
      <c r="I54" s="6" t="str">
        <f>IFERROR(__xludf.DUMMYFUNCTION("""COMPUTED_VALUE"""),"Алексей Леонов, Тулеев")</f>
        <v>Алексей Леонов, Тулеев</v>
      </c>
      <c r="J54" s="6" t="str">
        <f>IFERROR(__xludf.DUMMYFUNCTION("""COMPUTED_VALUE"""),"Михайлов, ")</f>
        <v>Михайлов, </v>
      </c>
      <c r="K54" s="6" t="str">
        <f>IFERROR(__xludf.DUMMYFUNCTION("""COMPUTED_VALUE"""),"Скворечник, Дворы на Арочной, Журавли, Весенняя, клумба")</f>
        <v>Скворечник, Дворы на Арочной, Журавли, Весенняя, клумба</v>
      </c>
      <c r="L54" s="6" t="str">
        <f>IFERROR(__xludf.DUMMYFUNCTION("""COMPUTED_VALUE"""),"Зимой воздух загрязняет частный сектор, а не заводы. В Кемерово суровый народ. ")</f>
        <v>Зимой воздух загрязняет частный сектор, а не заводы. В Кемерово суровый народ. </v>
      </c>
      <c r="M54" s="6" t="str">
        <f>IFERROR(__xludf.DUMMYFUNCTION("""COMPUTED_VALUE"""),"Весенька, Лапа")</f>
        <v>Весенька, Лапа</v>
      </c>
      <c r="N54" s="6" t="str">
        <f>IFERROR(__xludf.DUMMYFUNCTION("""COMPUTED_VALUE"""),"Экология, приятные общественные пространства, хорошие дороги, наличие крупных сетевых магазинов, обустроенные набережные")</f>
        <v>Экология, приятные общественные пространства, хорошие дороги, наличие крупных сетевых магазинов, обустроенные набережные</v>
      </c>
      <c r="O54" s="6" t="str">
        <f>IFERROR(__xludf.DUMMYFUNCTION("""COMPUTED_VALUE"""),"Отреставрировать старые здания, отреставрировать (НЕ ЗАМЕНИТЬ) старые фонари и лавочки, больше крупных деревьев высаживать, установить дизайн-код зданий и вывесок, проверить выполнение ремонта дорог")</f>
        <v>Отреставрировать старые здания, отреставрировать (НЕ ЗАМЕНИТЬ) старые фонари и лавочки, больше крупных деревьев высаживать, установить дизайн-код зданий и вывесок, проверить выполнение ремонта дорог</v>
      </c>
      <c r="P54" s="6" t="str">
        <f>IFERROR(__xludf.DUMMYFUNCTION("""COMPUTED_VALUE"""),"инстаграм")</f>
        <v>инстаграм</v>
      </c>
      <c r="Q54" s="6" t="str">
        <f>IFERROR(__xludf.DUMMYFUNCTION("""COMPUTED_VALUE"""),"интервью с местными творческими личностями, интервью с местными предпринимателями, новости про новые профессии/куда поступать/вакансии")</f>
        <v>интервью с местными творческими личностями, интервью с местными предпринимателями, новости про новые профессии/куда поступать/вакансии</v>
      </c>
      <c r="R54" s="6" t="str">
        <f>IFERROR(__xludf.DUMMYFUNCTION("""COMPUTED_VALUE"""),"Для меня и близких не особо важны, мы их избегаем. Другие любят бессмертный полк, день города, салюты")</f>
        <v>Для меня и близких не особо важны, мы их избегаем. Другие любят бессмертный полк, день города, салюты</v>
      </c>
      <c r="S54" s="6" t="str">
        <f>IFERROR(__xludf.DUMMYFUNCTION("""COMPUTED_VALUE"""),"Нет, не приходилось")</f>
        <v>Нет, не приходилось</v>
      </c>
      <c r="T54" s="6" t="str">
        <f>IFERROR(__xludf.DUMMYFUNCTION("""COMPUTED_VALUE"""),"Знаменит Пожаром в Зимней вишне :(
Уникального ничего нет, Кемерово - самый обычный город")</f>
        <v>Знаменит Пожаром в Зимней вишне :(
Уникального ничего нет, Кемерово - самый обычный город</v>
      </c>
      <c r="U54" s="6" t="str">
        <f>IFERROR(__xludf.DUMMYFUNCTION("""COMPUTED_VALUE"""),"Весенняя, ноградская, островского, 50 лет октября")</f>
        <v>Весенняя, ноградская, островского, 50 лет октября</v>
      </c>
      <c r="V54" s="6" t="str">
        <f>IFERROR(__xludf.DUMMYFUNCTION("""COMPUTED_VALUE"""),"Построили город")</f>
        <v>Построили город</v>
      </c>
      <c r="W54" s="6" t="str">
        <f>IFERROR(__xludf.DUMMYFUNCTION("""COMPUTED_VALUE"""),"Не улыбаются; Жалуются на жизнь, но ничего не хотят делать, чтобы изменить ее; отзывчивые; ленивые")</f>
        <v>Не улыбаются; Жалуются на жизнь, но ничего не хотят делать, чтобы изменить ее; отзывчивые; ленивые</v>
      </c>
      <c r="X54" s="6" t="str">
        <f>IFERROR(__xludf.DUMMYFUNCTION("""COMPUTED_VALUE"""),"весенняя, островского, арочная, набережная, парк победы, парк около филармонии, московский проспект от волгоградской до бульвара, бульвар")</f>
        <v>весенняя, островского, арочная, набережная, парк победы, парк около филармонии, московский проспект от волгоградской до бульвара, бульвар</v>
      </c>
      <c r="Y54" s="6" t="str">
        <f>IFERROR(__xludf.DUMMYFUNCTION("""COMPUTED_VALUE"""),"Пожар в Зимней вишне")</f>
        <v>Пожар в Зимней вишне</v>
      </c>
      <c r="Z54" s="6" t="str">
        <f>IFERROR(__xludf.DUMMYFUNCTION("""COMPUTED_VALUE"""),"открытие парка ангелов,  начало благоустройства притомского проспекта")</f>
        <v>открытие парка ангелов,  начало благоустройства притомского проспекта</v>
      </c>
      <c r="AA54" s="6" t="str">
        <f>IFERROR(__xludf.DUMMYFUNCTION("""COMPUTED_VALUE"""),"Пожар в зимней вишне")</f>
        <v>Пожар в зимней вишне</v>
      </c>
      <c r="AB54" s="6" t="str">
        <f>IFERROR(__xludf.DUMMYFUNCTION("""COMPUTED_VALUE"""),"не знаю")</f>
        <v>не знаю</v>
      </c>
      <c r="AC54" s="6" t="str">
        <f>IFERROR(__xludf.DUMMYFUNCTION("""COMPUTED_VALUE"""),"не знаю")</f>
        <v>не знаю</v>
      </c>
      <c r="AD54" s="6" t="str">
        <f>IFERROR(__xludf.DUMMYFUNCTION("""COMPUTED_VALUE"""),"Посетитель")</f>
        <v>Посетитель</v>
      </c>
      <c r="AE54" s="6" t="str">
        <f>IFERROR(__xludf.DUMMYFUNCTION("""COMPUTED_VALUE"""),"Женский")</f>
        <v>Женский</v>
      </c>
      <c r="AF54" s="6" t="str">
        <f>IFERROR(__xludf.DUMMYFUNCTION("""COMPUTED_VALUE"""),"18-29")</f>
        <v>18-29</v>
      </c>
      <c r="AG54" s="6"/>
      <c r="AH54" s="6"/>
      <c r="AI54" s="6"/>
      <c r="AJ54" s="6"/>
      <c r="AK54" s="6"/>
      <c r="AL54" s="6"/>
      <c r="AM54" s="6"/>
    </row>
    <row r="55">
      <c r="A55" s="4">
        <v>54.0</v>
      </c>
      <c r="B55" s="6" t="str">
        <f>IFERROR(__xludf.DUMMYFUNCTION("""COMPUTED_VALUE"""),"сайты продвигаю")</f>
        <v>сайты продвигаю</v>
      </c>
      <c r="C55" s="6" t="str">
        <f>IFERROR(__xludf.DUMMYFUNCTION("""COMPUTED_VALUE"""),"книги")</f>
        <v>книги</v>
      </c>
      <c r="D55" s="6" t="str">
        <f>IFERROR(__xludf.DUMMYFUNCTION("""COMPUTED_VALUE"""),"центральный, никак")</f>
        <v>центральный, никак</v>
      </c>
      <c r="E55" s="6" t="str">
        <f>IFERROR(__xludf.DUMMYFUNCTION("""COMPUTED_VALUE"""),"пионерский бульвар, лапландия")</f>
        <v>пионерский бульвар, лапландия</v>
      </c>
      <c r="F55" s="6" t="str">
        <f>IFERROR(__xludf.DUMMYFUNCTION("""COMPUTED_VALUE"""),"Переехал сюда из другого места (откуда? укажите в графе другое), переехала из посёлка Кемеровской области, чтобы поступить в вуз, в итоге осталась тут")</f>
        <v>Переехал сюда из другого места (откуда? укажите в графе другое), переехала из посёлка Кемеровской области, чтобы поступить в вуз, в итоге осталась тут</v>
      </c>
      <c r="G55" s="6" t="str">
        <f>IFERROR(__xludf.DUMMYFUNCTION("""COMPUTED_VALUE"""),"набережная, пионерский и строительный бульвары, весенька, окрестности кадетки, клумба, бильярд, тц, кальянки, общепит, ну и просто по городу иногда")</f>
        <v>набережная, пионерский и строительный бульвары, весенька, окрестности кадетки, клумба, бильярд, тц, кальянки, общепит, ну и просто по городу иногда</v>
      </c>
      <c r="H55" s="6" t="str">
        <f>IFERROR(__xludf.DUMMYFUNCTION("""COMPUTED_VALUE"""),"пыль, грязь, скука, провинция, трясина")</f>
        <v>пыль, грязь, скука, провинция, трясина</v>
      </c>
      <c r="I55" s="6" t="str">
        <f>IFERROR(__xludf.DUMMYFUNCTION("""COMPUTED_VALUE"""),"Васильев, Горбачёв, Волков")</f>
        <v>Васильев, Горбачёв, Волков</v>
      </c>
      <c r="J55" s="6" t="str">
        <f>IFERROR(__xludf.DUMMYFUNCTION("""COMPUTED_VALUE"""),"-")</f>
        <v>-</v>
      </c>
      <c r="K55" s="6" t="str">
        <f>IFERROR(__xludf.DUMMYFUNCTION("""COMPUTED_VALUE"""),"памятник Лобсанга Рампы (мне, кстати, интересно, почему его вообще установили в городе) + то, что перечислено в пункте 6")</f>
        <v>памятник Лобсанга Рампы (мне, кстати, интересно, почему его вообще установили в городе) + то, что перечислено в пункте 6</v>
      </c>
      <c r="L55" s="6" t="str">
        <f>IFERROR(__xludf.DUMMYFUNCTION("""COMPUTED_VALUE"""),"Идет медведь по лесу, видит, машина горит. Сел в нее и сгорел.")</f>
        <v>Идет медведь по лесу, видит, машина горит. Сел в нее и сгорел.</v>
      </c>
      <c r="M55" s="6" t="str">
        <f>IFERROR(__xludf.DUMMYFUNCTION("""COMPUTED_VALUE"""),"-")</f>
        <v>-</v>
      </c>
      <c r="N55" s="6" t="str">
        <f>IFERROR(__xludf.DUMMYFUNCTION("""COMPUTED_VALUE"""),"1. метро, 2. чистые и ровные пешеходные дорожки, 3. движ для молодёжи (в том числе, когда артисты приезжают именно в кем, а не ты едешь за артистами в нск и томск), 4. наличие федеральных магазинов (в кеме практически негде купить нормальную одежду, прихо"&amp;"дится заказывать), 5. большое количество авианаправлений (хотя бы в пределах рф)")</f>
        <v>1. метро, 2. чистые и ровные пешеходные дорожки, 3. движ для молодёжи (в том числе, когда артисты приезжают именно в кем, а не ты едешь за артистами в нск и томск), 4. наличие федеральных магазинов (в кеме практически негде купить нормальную одежду, приходится заказывать), 5. большое количество авианаправлений (хотя бы в пределах рф)</v>
      </c>
      <c r="O55" s="6" t="str">
        <f>IFERROR(__xludf.DUMMYFUNCTION("""COMPUTED_VALUE"""),"заставить работать коммунальные службы, грязь — огромная проблема города")</f>
        <v>заставить работать коммунальные службы, грязь — огромная проблема города</v>
      </c>
      <c r="P55" s="6" t="str">
        <f>IFERROR(__xludf.DUMMYFUNCTION("""COMPUTED_VALUE"""),"в пабликах и каналах интересных мне мест, от друзей")</f>
        <v>в пабликах и каналах интересных мне мест, от друзей</v>
      </c>
      <c r="Q5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5" s="6" t="str">
        <f>IFERROR(__xludf.DUMMYFUNCTION("""COMPUTED_VALUE"""),"-")</f>
        <v>-</v>
      </c>
      <c r="S55" s="6" t="str">
        <f>IFERROR(__xludf.DUMMYFUNCTION("""COMPUTED_VALUE"""),"Нет, не приходилось")</f>
        <v>Нет, не приходилось</v>
      </c>
      <c r="T55" s="6" t="str">
        <f>IFERROR(__xludf.DUMMYFUNCTION("""COMPUTED_VALUE"""),"когда людям из других городов я говорю, что живу в Кемерове, они отвечают: «аа, это где зв сгорела»")</f>
        <v>когда людям из других городов я говорю, что живу в Кемерове, они отвечают: «аа, это где зв сгорела»</v>
      </c>
      <c r="U55" s="6" t="str">
        <f>IFERROR(__xludf.DUMMYFUNCTION("""COMPUTED_VALUE"""),"администрация")</f>
        <v>администрация</v>
      </c>
      <c r="V55" s="6" t="str">
        <f>IFERROR(__xludf.DUMMYFUNCTION("""COMPUTED_VALUE"""),"-")</f>
        <v>-</v>
      </c>
      <c r="W55" s="6" t="str">
        <f>IFERROR(__xludf.DUMMYFUNCTION("""COMPUTED_VALUE"""),"не вижу отличий от остальных провинциальных россиян")</f>
        <v>не вижу отличий от остальных провинциальных россиян</v>
      </c>
      <c r="X55" s="6" t="str">
        <f>IFERROR(__xludf.DUMMYFUNCTION("""COMPUTED_VALUE"""),"филармония -&gt; набережная -&gt; парк чудес -&gt; весенька")</f>
        <v>филармония -&gt; набережная -&gt; парк чудес -&gt; весенька</v>
      </c>
      <c r="Y55" s="6" t="str">
        <f>IFERROR(__xludf.DUMMYFUNCTION("""COMPUTED_VALUE"""),"-")</f>
        <v>-</v>
      </c>
      <c r="Z55" s="6" t="str">
        <f>IFERROR(__xludf.DUMMYFUNCTION("""COMPUTED_VALUE"""),"-")</f>
        <v>-</v>
      </c>
      <c r="AA55" s="6" t="str">
        <f>IFERROR(__xludf.DUMMYFUNCTION("""COMPUTED_VALUE"""),"-")</f>
        <v>-</v>
      </c>
      <c r="AB55" s="6" t="str">
        <f>IFERROR(__xludf.DUMMYFUNCTION("""COMPUTED_VALUE"""),"какие-нибудь туристические сообщества, книжные, мб они и есть, но слишком закрытые и не пиарятся, просто не откуда о них узнать")</f>
        <v>какие-нибудь туристические сообщества, книжные, мб они и есть, но слишком закрытые и не пиарятся, просто не откуда о них узнать</v>
      </c>
      <c r="AC55" s="6" t="str">
        <f>IFERROR(__xludf.DUMMYFUNCTION("""COMPUTED_VALUE"""),"привозить интересных исполнителей, устраивать литературные вечера, квартирники")</f>
        <v>привозить интересных исполнителей, устраивать литературные вечера, квартирники</v>
      </c>
      <c r="AD55" s="6" t="str">
        <f>IFERROR(__xludf.DUMMYFUNCTION("""COMPUTED_VALUE"""),"организация мероприятий из пунктов 27-28, хотелось бы заниматься тем, что интересно")</f>
        <v>организация мероприятий из пунктов 27-28, хотелось бы заниматься тем, что интересно</v>
      </c>
      <c r="AE55" s="6" t="str">
        <f>IFERROR(__xludf.DUMMYFUNCTION("""COMPUTED_VALUE"""),"Женский")</f>
        <v>Женский</v>
      </c>
      <c r="AF55" s="6" t="str">
        <f>IFERROR(__xludf.DUMMYFUNCTION("""COMPUTED_VALUE"""),"18-29")</f>
        <v>18-29</v>
      </c>
      <c r="AG55" s="6"/>
      <c r="AH55" s="6"/>
      <c r="AI55" s="6"/>
      <c r="AJ55" s="6"/>
      <c r="AK55" s="6"/>
      <c r="AL55" s="6"/>
      <c r="AM55" s="6"/>
    </row>
    <row r="56">
      <c r="A56" s="4">
        <v>55.0</v>
      </c>
      <c r="B56" s="6" t="str">
        <f>IFERROR(__xludf.DUMMYFUNCTION("""COMPUTED_VALUE"""),"Копирайтер, пишу тексты")</f>
        <v>Копирайтер, пишу тексты</v>
      </c>
      <c r="C56" s="6" t="str">
        <f>IFERROR(__xludf.DUMMYFUNCTION("""COMPUTED_VALUE"""),"йога, бег, чтение, кухня ")</f>
        <v>йога, бег, чтение, кухня </v>
      </c>
      <c r="D56" s="6" t="str">
        <f>IFERROR(__xludf.DUMMYFUNCTION("""COMPUTED_VALUE"""),"Шалготарьян, так и называю )")</f>
        <v>Шалготарьян, так и называю )</v>
      </c>
      <c r="E56" s="6" t="str">
        <f>IFERROR(__xludf.DUMMYFUNCTION("""COMPUTED_VALUE"""),"Почтовое отделение, Мечеть, Кузбасский парк, Бульвар Строителей, прогулочная зона рядом с кадеткой, Красное озеро, Лента")</f>
        <v>Почтовое отделение, Мечеть, Кузбасский парк, Бульвар Строителей, прогулочная зона рядом с кадеткой, Красное озеро, Лента</v>
      </c>
      <c r="F56" s="6" t="str">
        <f>IFERROR(__xludf.DUMMYFUNCTION("""COMPUTED_VALUE"""),"Живу здесь с рождения")</f>
        <v>Живу здесь с рождения</v>
      </c>
      <c r="G56" s="6" t="str">
        <f>IFERROR(__xludf.DUMMYFUNCTION("""COMPUTED_VALUE"""),"Нравится гулять в Лесной поляне и центральном районе. Часто бегаю в пределах своего района.")</f>
        <v>Нравится гулять в Лесной поляне и центральном районе. Часто бегаю в пределах своего района.</v>
      </c>
      <c r="H56" s="6" t="str">
        <f>IFERROR(__xludf.DUMMYFUNCTION("""COMPUTED_VALUE"""),"Молодежный, холодный зимой и жаркий летом")</f>
        <v>Молодежный, холодный зимой и жаркий летом</v>
      </c>
      <c r="I56" s="6" t="str">
        <f>IFERROR(__xludf.DUMMYFUNCTION("""COMPUTED_VALUE"""),"Леонов, Гришковец")</f>
        <v>Леонов, Гришковец</v>
      </c>
      <c r="J56" s="6" t="str">
        <f>IFERROR(__xludf.DUMMYFUNCTION("""COMPUTED_VALUE"""),"Михаил Беляев - открыл несколько классных заведений ")</f>
        <v>Михаил Беляев - открыл несколько классных заведений </v>
      </c>
      <c r="K56" s="6" t="str">
        <f>IFERROR(__xludf.DUMMYFUNCTION("""COMPUTED_VALUE"""),"Моя любимая панорама с видом на лес на лесной поляне. Кузгту, где я училась. Берег Томи возле лазурного берега. Вид на город из серебряного бора. Парк ангелов. Прогуляться по бульвару. Прогуляться по центру.")</f>
        <v>Моя любимая панорама с видом на лес на лесной поляне. Кузгту, где я училась. Берег Томи возле лазурного берега. Вид на город из серебряного бора. Парк ангелов. Прогуляться по бульвару. Прогуляться по центру.</v>
      </c>
      <c r="L56" s="6" t="str">
        <f>IFERROR(__xludf.DUMMYFUNCTION("""COMPUTED_VALUE"""),"не знаю")</f>
        <v>не знаю</v>
      </c>
      <c r="M56" s="6" t="str">
        <f>IFERROR(__xludf.DUMMYFUNCTION("""COMPUTED_VALUE"""),"не знаю")</f>
        <v>не знаю</v>
      </c>
      <c r="N56" s="6" t="str">
        <f>IFERROR(__xludf.DUMMYFUNCTION("""COMPUTED_VALUE"""),"качественный транспорт, инфраструктура (магазины, мед центры и т.д.), развитые сервисы доставки, интересные мероприятия и ивенты, красивая архитектура")</f>
        <v>качественный транспорт, инфраструктура (магазины, мед центры и т.д.), развитые сервисы доставки, интересные мероприятия и ивенты, красивая архитектура</v>
      </c>
      <c r="O56" s="6" t="str">
        <f>IFERROR(__xludf.DUMMYFUNCTION("""COMPUTED_VALUE"""),"заменить маршрутки на новый транспорт. сделать что-то с панельками.")</f>
        <v>заменить маршрутки на новый транспорт. сделать что-то с панельками.</v>
      </c>
      <c r="P56" s="6" t="str">
        <f>IFERROR(__xludf.DUMMYFUNCTION("""COMPUTED_VALUE"""),"обычно таргетированная реклама в инстаграм сама меня находит :)")</f>
        <v>обычно таргетированная реклама в инстаграм сама меня находит :)</v>
      </c>
      <c r="Q5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резу"&amp;"льтаты местных исследований (рейтинги/аналитика/тенденции), не смогла остановиться на 3х")</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 не смогла остановиться на 3х</v>
      </c>
      <c r="R56" s="6" t="str">
        <f>IFERROR(__xludf.DUMMYFUNCTION("""COMPUTED_VALUE"""),"9 мая, Новый год, день города. Для других, думаю, то же самое.")</f>
        <v>9 мая, Новый год, день города. Для других, думаю, то же самое.</v>
      </c>
      <c r="S56" s="6" t="str">
        <f>IFERROR(__xludf.DUMMYFUNCTION("""COMPUTED_VALUE"""),"Нет, не приходилось")</f>
        <v>Нет, не приходилось</v>
      </c>
      <c r="T56" s="6" t="str">
        <f>IFERROR(__xludf.DUMMYFUNCTION("""COMPUTED_VALUE"""),"Кузбасс - шахтерский край, но хотелось бы создать и новые ассоциации. Не думаю, что наш город сильно отличается от других региональных центров. Можно показать интересные места, но что-то именно уникальное на ум не приходит.")</f>
        <v>Кузбасс - шахтерский край, но хотелось бы создать и новые ассоциации. Не думаю, что наш город сильно отличается от других региональных центров. Можно показать интересные места, но что-то именно уникальное на ум не приходит.</v>
      </c>
      <c r="U56" s="6" t="str">
        <f>IFERROR(__xludf.DUMMYFUNCTION("""COMPUTED_VALUE"""),"Драма, набережная, Кирова - наверное, самые популярные места ")</f>
        <v>Драма, набережная, Кирова - наверное, самые популярные места </v>
      </c>
      <c r="V56" s="6" t="str">
        <f>IFERROR(__xludf.DUMMYFUNCTION("""COMPUTED_VALUE"""),"Современное - молодежные проекты по созданию архитектурных объектов своими руками, открытие интересных заведений. Раньше, наверное, славились и гордились ударным трудом.")</f>
        <v>Современное - молодежные проекты по созданию архитектурных объектов своими руками, открытие интересных заведений. Раньше, наверное, славились и гордились ударным трудом.</v>
      </c>
      <c r="W56" s="6" t="str">
        <f>IFERROR(__xludf.DUMMYFUNCTION("""COMPUTED_VALUE"""),"Люди везде разные. Но если в целом, пока поближе не начнешь общаться, большинство угрюмые и закрытые, потом раскрываются. А вообще мы стойкие - спокойно переживаем такие холодные зимы.")</f>
        <v>Люди везде разные. Но если в целом, пока поближе не начнешь общаться, большинство угрюмые и закрытые, потом раскрываются. А вообще мы стойкие - спокойно переживаем такие холодные зимы.</v>
      </c>
      <c r="X56" s="6" t="str">
        <f>IFERROR(__xludf.DUMMYFUNCTION("""COMPUTED_VALUE"""),"драмтеатр, набережная, заглянуть в тусовочный уголок на Ноградской, дальше на 50 лет в сторону Кузгту, показать первый корпус и дальше в парк Ангелов.")</f>
        <v>драмтеатр, набережная, заглянуть в тусовочный уголок на Ноградской, дальше на 50 лет в сторону Кузгту, показать первый корпус и дальше в парк Ангелов.</v>
      </c>
      <c r="Y56" s="6" t="str">
        <f>IFERROR(__xludf.DUMMYFUNCTION("""COMPUTED_VALUE"""),"не знаю")</f>
        <v>не знаю</v>
      </c>
      <c r="Z56" s="6" t="str">
        <f>IFERROR(__xludf.DUMMYFUNCTION("""COMPUTED_VALUE"""),"открытие арт-объектов, которые горожане проектировали и строили сами. открытие стройки кластера на Притомском, снос гаражей возле университетского моста, облагороженный бульвар строителей, открытие кадетки. бесплатный рок-концерт")</f>
        <v>открытие арт-объектов, которые горожане проектировали и строили сами. открытие стройки кластера на Притомском, снос гаражей возле университетского моста, облагороженный бульвар строителей, открытие кадетки. бесплатный рок-концерт</v>
      </c>
      <c r="AA56" s="6" t="str">
        <f>IFERROR(__xludf.DUMMYFUNCTION("""COMPUTED_VALUE"""),"опять поплыл везде асфальт, в моем районе изменили некоторые маршруты и теперь трудно добираться в центр на общественном транспорте. сделали большую прогулочную зону вокруг кадетки, но она как ""мертвая"", не хватает больше точек притяжения, каких-то каче"&amp;"лей или объектов, с которыми можно взаимодействовать. продолжают строить некрасивое и несовременное жилье.")</f>
        <v>опять поплыл везде асфальт, в моем районе изменили некоторые маршруты и теперь трудно добираться в центр на общественном транспорте. сделали большую прогулочную зону вокруг кадетки, но она как "мертвая", не хватает больше точек притяжения, каких-то качелей или объектов, с которыми можно взаимодействовать. продолжают строить некрасивое и несовременное жилье.</v>
      </c>
      <c r="AB56" s="6" t="str">
        <f>IFERROR(__xludf.DUMMYFUNCTION("""COMPUTED_VALUE"""),"английский клуб, книжный клуб, органы самоуправления, которые были бы услышаны органами власти и горожане могли влиять на развитие архитектурного облика города, урбанистики.")</f>
        <v>английский клуб, книжный клуб, органы самоуправления, которые были бы услышаны органами власти и горожане могли влиять на развитие архитектурного облика города, урбанистики.</v>
      </c>
      <c r="AC56" s="6" t="str">
        <f>IFERROR(__xludf.DUMMYFUNCTION("""COMPUTED_VALUE"""),"музыкальные фестивали для молодых исполнителей, больше творческих мастер-классов, выставки фотографов и художников")</f>
        <v>музыкальные фестивали для молодых исполнителей, больше творческих мастер-классов, выставки фотографов и художников</v>
      </c>
      <c r="AD56" s="6" t="str">
        <f>IFERROR(__xludf.DUMMYFUNCTION("""COMPUTED_VALUE"""),"идейный вдохновитель, возможно, организация")</f>
        <v>идейный вдохновитель, возможно, организация</v>
      </c>
      <c r="AE56" s="6" t="str">
        <f>IFERROR(__xludf.DUMMYFUNCTION("""COMPUTED_VALUE"""),"Женский")</f>
        <v>Женский</v>
      </c>
      <c r="AF56" s="6" t="str">
        <f>IFERROR(__xludf.DUMMYFUNCTION("""COMPUTED_VALUE"""),"18-29")</f>
        <v>18-29</v>
      </c>
      <c r="AG56" s="6"/>
      <c r="AH56" s="6"/>
      <c r="AI56" s="6"/>
      <c r="AJ56" s="6"/>
      <c r="AK56" s="6"/>
      <c r="AL56" s="6"/>
      <c r="AM56" s="6"/>
    </row>
    <row r="57">
      <c r="A57" s="4">
        <v>56.0</v>
      </c>
      <c r="B57" s="6" t="str">
        <f>IFERROR(__xludf.DUMMYFUNCTION("""COMPUTED_VALUE"""),"Работаю")</f>
        <v>Работаю</v>
      </c>
      <c r="C57" s="6" t="str">
        <f>IFERROR(__xludf.DUMMYFUNCTION("""COMPUTED_VALUE"""),"Активные виды спорта")</f>
        <v>Активные виды спорта</v>
      </c>
      <c r="D57" s="6" t="str">
        <f>IFERROR(__xludf.DUMMYFUNCTION("""COMPUTED_VALUE"""),"Ленинский, пр Лениградский")</f>
        <v>Ленинский, пр Лениградский</v>
      </c>
      <c r="E57" s="6" t="str">
        <f>IFERROR(__xludf.DUMMYFUNCTION("""COMPUTED_VALUE"""),"все храмы, церкви, набережная, разные парки ")</f>
        <v>все храмы, церкви, набережная, разные парки </v>
      </c>
      <c r="F57" s="6" t="str">
        <f>IFERROR(__xludf.DUMMYFUNCTION("""COMPUTED_VALUE"""),"переехала из Иркутска")</f>
        <v>переехала из Иркутска</v>
      </c>
      <c r="G57" s="6" t="str">
        <f>IFERROR(__xludf.DUMMYFUNCTION("""COMPUTED_VALUE"""),"Кузбасский парк")</f>
        <v>Кузбасский парк</v>
      </c>
      <c r="H57" s="6" t="str">
        <f>IFERROR(__xludf.DUMMYFUNCTION("""COMPUTED_VALUE"""),"зеленый, молодой, летом яркий, красивый, развивающийся")</f>
        <v>зеленый, молодой, летом яркий, красивый, развивающийся</v>
      </c>
      <c r="I57" s="6" t="str">
        <f>IFERROR(__xludf.DUMMYFUNCTION("""COMPUTED_VALUE"""),"Леонов, Космодемьянская")</f>
        <v>Леонов, Космодемьянская</v>
      </c>
      <c r="J57" s="6" t="str">
        <f>IFERROR(__xludf.DUMMYFUNCTION("""COMPUTED_VALUE"""),"Вопрос поставлен заведомо так, чтобы написать ""Тулеев"". это заслуженно")</f>
        <v>Вопрос поставлен заведомо так, чтобы написать "Тулеев". это заслуженно</v>
      </c>
      <c r="K57" s="6" t="str">
        <f>IFERROR(__xludf.DUMMYFUNCTION("""COMPUTED_VALUE"""),"Знаменский собор, набережная, красная горка")</f>
        <v>Знаменский собор, набережная, красная горка</v>
      </c>
      <c r="L57" s="6" t="str">
        <f>IFERROR(__xludf.DUMMYFUNCTION("""COMPUTED_VALUE"""),"не знаю таких")</f>
        <v>не знаю таких</v>
      </c>
      <c r="M57" s="6" t="str">
        <f>IFERROR(__xludf.DUMMYFUNCTION("""COMPUTED_VALUE"""),"никаких")</f>
        <v>никаких</v>
      </c>
      <c r="N57" s="6" t="str">
        <f>IFERROR(__xludf.DUMMYFUNCTION("""COMPUTED_VALUE"""),"красивые парки, места для прогулок, больше места для активного времяпрепровождения")</f>
        <v>красивые парки, места для прогулок, больше места для активного времяпрепровождения</v>
      </c>
      <c r="O57" s="6" t="str">
        <f>IFERROR(__xludf.DUMMYFUNCTION("""COMPUTED_VALUE"""),"воздуууууух- экология хромает")</f>
        <v>воздуууууух- экология хромает</v>
      </c>
      <c r="P57" s="6" t="str">
        <f>IFERROR(__xludf.DUMMYFUNCTION("""COMPUTED_VALUE"""),"в 21:05 новости")</f>
        <v>в 21:05 новости</v>
      </c>
      <c r="Q57"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но"&amp;"вости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"&amp;"предложения)")</f>
        <v>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57" s="6" t="str">
        <f>IFERROR(__xludf.DUMMYFUNCTION("""COMPUTED_VALUE"""),"день шахтера, 300 лет кузбассу, день семьи, любви и верности")</f>
        <v>день шахтера, 300 лет кузбассу, день семьи, любви и верности</v>
      </c>
      <c r="S57" s="6" t="str">
        <f>IFERROR(__xludf.DUMMYFUNCTION("""COMPUTED_VALUE"""),"Обращался в редакции городских газет, телевидения, радио")</f>
        <v>Обращался в редакции городских газет, телевидения, радио</v>
      </c>
      <c r="T57" s="6" t="str">
        <f>IFERROR(__xludf.DUMMYFUNCTION("""COMPUTED_VALUE"""),"кузнецкий уг бассейн, трагедия в зимней вишне")</f>
        <v>кузнецкий уг бассейн, трагедия в зимней вишне</v>
      </c>
      <c r="U57" s="6" t="str">
        <f>IFERROR(__xludf.DUMMYFUNCTION("""COMPUTED_VALUE"""),"красная горка (музей)")</f>
        <v>красная горка (музей)</v>
      </c>
      <c r="V57" s="6" t="str">
        <f>IFERROR(__xludf.DUMMYFUNCTION("""COMPUTED_VALUE"""),"построили город от и до")</f>
        <v>построили город от и до</v>
      </c>
      <c r="W57" s="6" t="str">
        <f>IFERROR(__xludf.DUMMYFUNCTION("""COMPUTED_VALUE"""),"дружелюбные, а есть и не очень")</f>
        <v>дружелюбные, а есть и не очень</v>
      </c>
      <c r="X57" s="6" t="str">
        <f>IFERROR(__xludf.DUMMYFUNCTION("""COMPUTED_VALUE"""),"набережная")</f>
        <v>набережная</v>
      </c>
      <c r="Y57" s="6" t="str">
        <f>IFERROR(__xludf.DUMMYFUNCTION("""COMPUTED_VALUE"""),"не знаю")</f>
        <v>не знаю</v>
      </c>
      <c r="Z57" s="6" t="str">
        <f>IFERROR(__xludf.DUMMYFUNCTION("""COMPUTED_VALUE"""),"все")</f>
        <v>все</v>
      </c>
      <c r="AA57" s="6" t="str">
        <f>IFERROR(__xludf.DUMMYFUNCTION("""COMPUTED_VALUE"""),"*")</f>
        <v>*</v>
      </c>
      <c r="AB57" s="6" t="str">
        <f>IFERROR(__xludf.DUMMYFUNCTION("""COMPUTED_VALUE"""),"организацию праздников ")</f>
        <v>организацию праздников </v>
      </c>
      <c r="AC57" s="6" t="str">
        <f>IFERROR(__xludf.DUMMYFUNCTION("""COMPUTED_VALUE"""),"*")</f>
        <v>*</v>
      </c>
      <c r="AD57" s="6" t="str">
        <f>IFERROR(__xludf.DUMMYFUNCTION("""COMPUTED_VALUE"""),"помощника организац мероприятий")</f>
        <v>помощника организац мероприятий</v>
      </c>
      <c r="AE57" s="6" t="str">
        <f>IFERROR(__xludf.DUMMYFUNCTION("""COMPUTED_VALUE"""),"Женский")</f>
        <v>Женский</v>
      </c>
      <c r="AF57" s="6" t="str">
        <f>IFERROR(__xludf.DUMMYFUNCTION("""COMPUTED_VALUE"""),"18-29")</f>
        <v>18-29</v>
      </c>
      <c r="AG57" s="6"/>
      <c r="AH57" s="6"/>
      <c r="AI57" s="6"/>
      <c r="AJ57" s="6"/>
      <c r="AK57" s="6"/>
      <c r="AL57" s="6"/>
      <c r="AM57" s="6"/>
    </row>
    <row r="58">
      <c r="A58" s="4">
        <v>57.0</v>
      </c>
      <c r="B58" s="6" t="str">
        <f>IFERROR(__xludf.DUMMYFUNCTION("""COMPUTED_VALUE"""),"Ращу семилетнего сына,будущего первоклассника.")</f>
        <v>Ращу семилетнего сына,будущего первоклассника.</v>
      </c>
      <c r="C58" s="6" t="str">
        <f>IFERROR(__xludf.DUMMYFUNCTION("""COMPUTED_VALUE"""),"Надеюсь,что рисование  картин по номерам станет моим хобби.")</f>
        <v>Надеюсь,что рисование  картин по номерам станет моим хобби.</v>
      </c>
      <c r="D58" s="6" t="str">
        <f>IFERROR(__xludf.DUMMYFUNCTION("""COMPUTED_VALUE"""),"Кировский. Кирыч.")</f>
        <v>Кировский. Кирыч.</v>
      </c>
      <c r="E58" s="6" t="str">
        <f>IFERROR(__xludf.DUMMYFUNCTION("""COMPUTED_VALUE"""),"Набережная.")</f>
        <v>Набережная.</v>
      </c>
      <c r="F58" s="6" t="str">
        <f>IFERROR(__xludf.DUMMYFUNCTION("""COMPUTED_VALUE"""),"Живу здесь с рождения")</f>
        <v>Живу здесь с рождения</v>
      </c>
      <c r="G58" s="6" t="str">
        <f>IFERROR(__xludf.DUMMYFUNCTION("""COMPUTED_VALUE"""),"Набережная в кировском и в центре,Парк им.Веры Волошиной,Парк Чудес.")</f>
        <v>Набережная в кировском и в центре,Парк им.Веры Волошиной,Парк Чудес.</v>
      </c>
      <c r="H58" s="6" t="str">
        <f>IFERROR(__xludf.DUMMYFUNCTION("""COMPUTED_VALUE"""),"Столица Кузбасса,Угольная Столица,самый грязный город,самые плохие дороги,самая худшая власть.")</f>
        <v>Столица Кузбасса,Угольная Столица,самый грязный город,самые плохие дороги,самая худшая власть.</v>
      </c>
      <c r="I58" s="6" t="str">
        <f>IFERROR(__xludf.DUMMYFUNCTION("""COMPUTED_VALUE"""),"Михайло Волков,Вера Волошина.")</f>
        <v>Михайло Волков,Вера Волошина.</v>
      </c>
      <c r="J58" s="6" t="str">
        <f>IFERROR(__xludf.DUMMYFUNCTION("""COMPUTED_VALUE"""),"Аман Тулеев,Евгений Гришковец.")</f>
        <v>Аман Тулеев,Евгений Гришковец.</v>
      </c>
      <c r="K58" s="6" t="str">
        <f>IFERROR(__xludf.DUMMYFUNCTION("""COMPUTED_VALUE"""),"Музей ""Красная Горка"",Вечный Огонь,Сосновый Бор.-")</f>
        <v>Музей "Красная Горка",Вечный Огонь,Сосновый Бор.-</v>
      </c>
      <c r="L58" s="6" t="str">
        <f>IFERROR(__xludf.DUMMYFUNCTION("""COMPUTED_VALUE"""),"-")</f>
        <v>-</v>
      </c>
      <c r="M58" s="6" t="str">
        <f>IFERROR(__xludf.DUMMYFUNCTION("""COMPUTED_VALUE"""),"-")</f>
        <v>-</v>
      </c>
      <c r="N58" s="6" t="str">
        <f>IFERROR(__xludf.DUMMYFUNCTION("""COMPUTED_VALUE"""),"Хороший асфальт независимо от районов города,уборка и вывоз мусора с придомовых территорий,ТРАНСПОРТ-независимо от районов города и погодных условий,доступность секций для всех детей,безопасность.")</f>
        <v>Хороший асфальт независимо от районов города,уборка и вывоз мусора с придомовых территорий,ТРАНСПОРТ-независимо от районов города и погодных условий,доступность секций для всех детей,безопасность.</v>
      </c>
      <c r="O58" s="6" t="str">
        <f>IFERROR(__xludf.DUMMYFUNCTION("""COMPUTED_VALUE"""),"Асфальт,дороги,мусорки.")</f>
        <v>Асфальт,дороги,мусорки.</v>
      </c>
      <c r="P58" s="6" t="str">
        <f>IFERROR(__xludf.DUMMYFUNCTION("""COMPUTED_VALUE"""),"Вконтакте,Инстаграм.")</f>
        <v>Вконтакте,Инстаграм.</v>
      </c>
      <c r="Q58" s="6" t="str">
        <f>IFERROR(__xludf.DUMMYFUNCTION("""COMPUTED_VALUE"""),"интервью с местными политиками, бизнес-новости (средний чек/рекламные акции/запуск новых предприятий), льготы и все для детей.")</f>
        <v>интервью с местными политиками, бизнес-новости (средний чек/рекламные акции/запуск новых предприятий), льготы и все для детей.</v>
      </c>
      <c r="R58" s="6" t="str">
        <f>IFERROR(__xludf.DUMMYFUNCTION("""COMPUTED_VALUE"""),"День города,День Шахтера-просто интересно,а не то,что прям важно.")</f>
        <v>День города,День Шахтера-просто интересно,а не то,что прям важно.</v>
      </c>
      <c r="S58" s="6" t="str">
        <f>IFERROR(__xludf.DUMMYFUNCTION("""COMPUTED_VALUE"""),"Нет, не приходилось")</f>
        <v>Нет, не приходилось</v>
      </c>
      <c r="T58" s="6" t="str">
        <f>IFERROR(__xludf.DUMMYFUNCTION("""COMPUTED_VALUE"""),"затрудняюсь ответить.")</f>
        <v>затрудняюсь ответить.</v>
      </c>
      <c r="U58" s="6" t="str">
        <f>IFERROR(__xludf.DUMMYFUNCTION("""COMPUTED_VALUE"""),"Площадь Советов,ул.Арочная,Набережная.")</f>
        <v>Площадь Советов,ул.Арочная,Набережная.</v>
      </c>
      <c r="V58" s="6" t="str">
        <f>IFERROR(__xludf.DUMMYFUNCTION("""COMPUTED_VALUE"""),"Добывали уголь.")</f>
        <v>Добывали уголь.</v>
      </c>
      <c r="W58" s="6" t="str">
        <f>IFERROR(__xludf.DUMMYFUNCTION("""COMPUTED_VALUE"""),"Все жители больше добрые,чем злые,всегда помогут(в транспорте,на улице).")</f>
        <v>Все жители больше добрые,чем злые,всегда помогут(в транспорте,на улице).</v>
      </c>
      <c r="X58" s="6" t="str">
        <f>IFERROR(__xludf.DUMMYFUNCTION("""COMPUTED_VALUE"""),"""Круиз"" летом по Томи.")</f>
        <v>"Круиз" летом по Томи.</v>
      </c>
      <c r="Y58" s="6" t="str">
        <f>IFERROR(__xludf.DUMMYFUNCTION("""COMPUTED_VALUE"""),"Уход губернатора в 2018 г.")</f>
        <v>Уход губернатора в 2018 г.</v>
      </c>
      <c r="Z58" s="6" t="str">
        <f>IFERROR(__xludf.DUMMYFUNCTION("""COMPUTED_VALUE"""),"Никаких.")</f>
        <v>Никаких.</v>
      </c>
      <c r="AA58" s="6" t="str">
        <f>IFERROR(__xludf.DUMMYFUNCTION("""COMPUTED_VALUE"""),"Затрудняюсь ответить.")</f>
        <v>Затрудняюсь ответить.</v>
      </c>
      <c r="AB58" s="6" t="str">
        <f>IFERROR(__xludf.DUMMYFUNCTION("""COMPUTED_VALUE"""),"Бесплатный присмотр за детьми после рабочего дня или на выходных.Бесплатной поддержки мам.Бесплатной психологической помощи,юридической.")</f>
        <v>Бесплатный присмотр за детьми после рабочего дня или на выходных.Бесплатной поддержки мам.Бесплатной психологической помощи,юридической.</v>
      </c>
      <c r="AC58" s="6" t="str">
        <f>IFERROR(__xludf.DUMMYFUNCTION("""COMPUTED_VALUE"""),"Очень мало бесплатных мероприятий.(любых)")</f>
        <v>Очень мало бесплатных мероприятий.(любых)</v>
      </c>
      <c r="AD58" s="6" t="str">
        <f>IFERROR(__xludf.DUMMYFUNCTION("""COMPUTED_VALUE"""),"Может,участвовать в каком-то фонде...")</f>
        <v>Может,участвовать в каком-то фонде...</v>
      </c>
      <c r="AE58" s="6" t="str">
        <f>IFERROR(__xludf.DUMMYFUNCTION("""COMPUTED_VALUE"""),"Женский")</f>
        <v>Женский</v>
      </c>
      <c r="AF58" s="6" t="str">
        <f>IFERROR(__xludf.DUMMYFUNCTION("""COMPUTED_VALUE"""),"30-44")</f>
        <v>30-44</v>
      </c>
      <c r="AG58" s="6"/>
      <c r="AH58" s="6"/>
      <c r="AI58" s="6"/>
      <c r="AJ58" s="6"/>
      <c r="AK58" s="6"/>
      <c r="AL58" s="6"/>
      <c r="AM58" s="6"/>
    </row>
    <row r="59">
      <c r="A59" s="4">
        <v>58.0</v>
      </c>
      <c r="B59" s="6" t="str">
        <f>IFERROR(__xludf.DUMMYFUNCTION("""COMPUTED_VALUE"""),"Телевидение. Работаю в телекоме.")</f>
        <v>Телевидение. Работаю в телекоме.</v>
      </c>
      <c r="C59" s="6" t="str">
        <f>IFERROR(__xludf.DUMMYFUNCTION("""COMPUTED_VALUE"""),"Футбол: просмотр и игра; коллекционирование монет и купюр.")</f>
        <v>Футбол: просмотр и игра; коллекционирование монет и купюр.</v>
      </c>
      <c r="D59" s="6" t="str">
        <f>IFERROR(__xludf.DUMMYFUNCTION("""COMPUTED_VALUE"""),"Центральный район. Называю «Центром»")</f>
        <v>Центральный район. Называю «Центром»</v>
      </c>
      <c r="E59" s="6" t="str">
        <f>IFERROR(__xludf.DUMMYFUNCTION("""COMPUTED_VALUE"""),"Красная горка, Набережная в Центральном районе, Сосновый бор, Филармония и Площадь Советов, бульвар Строетелей, Набережная в Кировском районе")</f>
        <v>Красная горка, Набережная в Центральном районе, Сосновый бор, Филармония и Площадь Советов, бульвар Строетелей, Набережная в Кировском районе</v>
      </c>
      <c r="F59" s="6" t="str">
        <f>IFERROR(__xludf.DUMMYFUNCTION("""COMPUTED_VALUE"""),"Переехал сюда из другого места (откуда? укажите в графе другое), г. Оренбург")</f>
        <v>Переехал сюда из другого места (откуда? укажите в графе другое), г. Оренбург</v>
      </c>
      <c r="G59" s="6" t="str">
        <f>IFERROR(__xludf.DUMMYFUNCTION("""COMPUTED_VALUE"""),"Парк Победы, Парк Антошка, Весенняя улица, Проспект Советский, Парк Чудес, Набережная в Центральном районе")</f>
        <v>Парк Победы, Парк Антошка, Весенняя улица, Проспект Советский, Парк Чудес, Набережная в Центральном районе</v>
      </c>
      <c r="H59" s="6" t="str">
        <f>IFERROR(__xludf.DUMMYFUNCTION("""COMPUTED_VALUE"""),"красивый центр, крупнейший парк, индустриальное сердце, химический центр, культурный кластер,")</f>
        <v>красивый центр, крупнейший парк, индустриальное сердце, химический центр, культурный кластер,</v>
      </c>
      <c r="I59" s="6" t="str">
        <f>IFERROR(__xludf.DUMMYFUNCTION("""COMPUTED_VALUE"""),"Михайло Волков, Вдовин Николай Михайлович, Леонов Алексей Архипович, Волошина Вера, Двужильный Юрий, Абдулов Иван Филиппович")</f>
        <v>Михайло Волков, Вдовин Николай Михайлович, Леонов Алексей Архипович, Волошина Вера, Двужильный Юрий, Абдулов Иван Филиппович</v>
      </c>
      <c r="J59" s="6" t="str">
        <f>IFERROR(__xludf.DUMMYFUNCTION("""COMPUTED_VALUE"""),"Владимир Михайлов, Владимир Александрович Раздаев, Виталий Александрович Раздаев, Евгений Гришковец")</f>
        <v>Владимир Михайлов, Владимир Александрович Раздаев, Виталий Александрович Раздаев, Евгений Гришковец</v>
      </c>
      <c r="K59" s="6" t="str">
        <f>IFERROR(__xludf.DUMMYFUNCTION("""COMPUTED_VALUE"""),"Во-первых, монумент «Память Шахётрам Кузбасса», далее – Красную горку, площадь, Советов, Парк Победы, Площадь Волкова, Филармонию, Набережную в Центральном районе ")</f>
        <v>Во-первых, монумент «Память Шахётрам Кузбасса», далее – Красную горку, площадь, Советов, Парк Победы, Площадь Волкова, Филармонию, Набережную в Центральном районе </v>
      </c>
      <c r="L59" s="6" t="str">
        <f>IFERROR(__xludf.DUMMYFUNCTION("""COMPUTED_VALUE"""),"«Вчера я пил с человеком из Кемерова» Многие люди за пределами КО в Сибири считают, что кемеровчане очень и очень много пьют, и при этом не сильно пьянеют.")</f>
        <v>«Вчера я пил с человеком из Кемерова» Многие люди за пределами КО в Сибири считают, что кемеровчане очень и очень много пьют, и при этом не сильно пьянеют.</v>
      </c>
      <c r="M59" s="6" t="str">
        <f>IFERROR(__xludf.DUMMYFUNCTION("""COMPUTED_VALUE"""),"Нет")</f>
        <v>Нет</v>
      </c>
      <c r="N59" s="6" t="str">
        <f>IFERROR(__xludf.DUMMYFUNCTION("""COMPUTED_VALUE"""),"Транспортная инфраструктура; чистота города (отсутствие мусора и пыли); хорошие дороги без ям и выбоин; своевременная уборка снега с улиц и дворов; большое количество мест для прогулок; большое количество деревьев, кустарников и цветов")</f>
        <v>Транспортная инфраструктура; чистота города (отсутствие мусора и пыли); хорошие дороги без ям и выбоин; своевременная уборка снега с улиц и дворов; большое количество мест для прогулок; большое количество деревьев, кустарников и цветов</v>
      </c>
      <c r="O59" s="6" t="str">
        <f>IFERROR(__xludf.DUMMYFUNCTION("""COMPUTED_VALUE"""),"Отремонтировать внешний вид домов, но не только фасады, а полностью")</f>
        <v>Отремонтировать внешний вид домов, но не только фасады, а полностью</v>
      </c>
      <c r="P59" s="6" t="str">
        <f>IFERROR(__xludf.DUMMYFUNCTION("""COMPUTED_VALUE"""),"В основном, от жены, а также от коллег и друзей во всевозможных чатах")</f>
        <v>В основном, от жены, а также от коллег и друзей во всевозможных чатах</v>
      </c>
      <c r="Q59"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криминальные новости (происшествия/преступления), новости про новые профессии/куда поступать/вака"&amp;"нсии,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59" s="6" t="str">
        <f>IFERROR(__xludf.DUMMYFUNCTION("""COMPUTED_VALUE"""),"День Победы, День Шахтёра, День города, День Труда. Для горожан важны первые три, по моему мнению.")</f>
        <v>День Победы, День Шахтёра, День города, День Труда. Для горожан важны первые три, по моему мнению.</v>
      </c>
      <c r="S59"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59" s="6" t="str">
        <f>IFERROR(__xludf.DUMMYFUNCTION("""COMPUTED_VALUE"""),"Город известен многим тем, что через него проходит федеральная трасса")</f>
        <v>Город известен многим тем, что через него проходит федеральная трасса</v>
      </c>
      <c r="U59" s="6" t="str">
        <f>IFERROR(__xludf.DUMMYFUNCTION("""COMPUTED_VALUE"""),"Красная горка")</f>
        <v>Красная горка</v>
      </c>
      <c r="V59" s="6" t="str">
        <f>IFERROR(__xludf.DUMMYFUNCTION("""COMPUTED_VALUE"""),"Химическое крыло города")</f>
        <v>Химическое крыло города</v>
      </c>
      <c r="W59" s="6" t="str">
        <f>IFERROR(__xludf.DUMMYFUNCTION("""COMPUTED_VALUE"""),"Серьезные, с душой,  не сразу открывающиеся")</f>
        <v>Серьезные, с душой,  не сразу открывающиеся</v>
      </c>
      <c r="X59" s="6" t="str">
        <f>IFERROR(__xludf.DUMMYFUNCTION("""COMPUTED_VALUE"""),"Мемомриал «Память Шахтёрам Кузбасса», Музей «Красная горка», Сосновый бор, Площадь Советов, площадь Пушкина, Проспект Советский, Драмматический театр им. Луначарского, Парк Чудес, Набережная, Филармония, Парк Победы.")</f>
        <v>Мемомриал «Память Шахтёрам Кузбасса», Музей «Красная горка», Сосновый бор, Площадь Советов, площадь Пушкина, Проспект Советский, Драмматический театр им. Луначарского, Парк Чудес, Набережная, Филармония, Парк Победы.</v>
      </c>
      <c r="Y59" s="6" t="str">
        <f>IFERROR(__xludf.DUMMYFUNCTION("""COMPUTED_VALUE"""),"Обнаружение «горелой горы»")</f>
        <v>Обнаружение «горелой горы»</v>
      </c>
      <c r="Z59" s="6" t="str">
        <f>IFERROR(__xludf.DUMMYFUNCTION("""COMPUTED_VALUE"""),"Начало строительства огромного комплекса Культурного кластера, застройка набережной на Притомском проспекте")</f>
        <v>Начало строительства огромного комплекса Культурного кластера, застройка набережной на Притомском проспекте</v>
      </c>
      <c r="AA59" s="6" t="str">
        <f>IFERROR(__xludf.DUMMYFUNCTION("""COMPUTED_VALUE"""),"Не могу вспомнить")</f>
        <v>Не могу вспомнить</v>
      </c>
      <c r="AB59" s="6" t="str">
        <f>IFERROR(__xludf.DUMMYFUNCTION("""COMPUTED_VALUE"""),"Затрудняюсь ответить")</f>
        <v>Затрудняюсь ответить</v>
      </c>
      <c r="AC59" s="6" t="str">
        <f>IFERROR(__xludf.DUMMYFUNCTION("""COMPUTED_VALUE"""),"Бесплатные концерты под открытым небом, например, как Симфоночь в «Томской писанице»")</f>
        <v>Бесплатные концерты под открытым небом, например, как Симфоночь в «Томской писанице»</v>
      </c>
      <c r="AD59" s="6" t="str">
        <f>IFERROR(__xludf.DUMMYFUNCTION("""COMPUTED_VALUE"""),"Конечный потребитель")</f>
        <v>Конечный потребитель</v>
      </c>
      <c r="AE59" s="6" t="str">
        <f>IFERROR(__xludf.DUMMYFUNCTION("""COMPUTED_VALUE"""),"Мужской")</f>
        <v>Мужской</v>
      </c>
      <c r="AF59" s="6" t="str">
        <f>IFERROR(__xludf.DUMMYFUNCTION("""COMPUTED_VALUE"""),"30-44")</f>
        <v>30-44</v>
      </c>
      <c r="AG59" s="6"/>
      <c r="AH59" s="6"/>
      <c r="AI59" s="6"/>
      <c r="AJ59" s="6"/>
      <c r="AK59" s="6"/>
      <c r="AL59" s="6"/>
      <c r="AM59" s="6"/>
    </row>
    <row r="60">
      <c r="A60" s="4">
        <v>59.0</v>
      </c>
      <c r="B60" s="6" t="str">
        <f>IFERROR(__xludf.DUMMYFUNCTION("""COMPUTED_VALUE"""),"Интернет")</f>
        <v>Интернет</v>
      </c>
      <c r="C60" s="6" t="str">
        <f>IFERROR(__xludf.DUMMYFUNCTION("""COMPUTED_VALUE"""),"Нумизматика")</f>
        <v>Нумизматика</v>
      </c>
      <c r="D60" s="6" t="str">
        <f>IFERROR(__xludf.DUMMYFUNCTION("""COMPUTED_VALUE"""),"Сейчас Радуга, через год Лесная поляна")</f>
        <v>Сейчас Радуга, через год Лесная поляна</v>
      </c>
      <c r="E60" s="6" t="str">
        <f>IFERROR(__xludf.DUMMYFUNCTION("""COMPUTED_VALUE"""),"Ботанический сад, Сосновый бор, Красная горка")</f>
        <v>Ботанический сад, Сосновый бор, Красная горка</v>
      </c>
      <c r="F60" s="6" t="str">
        <f>IFERROR(__xludf.DUMMYFUNCTION("""COMPUTED_VALUE"""),"Живу здесь с рождения")</f>
        <v>Живу здесь с рождения</v>
      </c>
      <c r="G60" s="6" t="str">
        <f>IFERROR(__xludf.DUMMYFUNCTION("""COMPUTED_VALUE"""),"набережная, гор сад, бульвар строителей, юбилейный, космос, парк ангелов, Томская писаница")</f>
        <v>набережная, гор сад, бульвар строителей, юбилейный, космос, парк ангелов, Томская писаница</v>
      </c>
      <c r="H60" s="6" t="str">
        <f>IFERROR(__xludf.DUMMYFUNCTION("""COMPUTED_VALUE"""),"экология, дефицит, тупик, миграция, широкие улицы")</f>
        <v>экология, дефицит, тупик, миграция, широкие улицы</v>
      </c>
      <c r="I60" s="6" t="str">
        <f>IFERROR(__xludf.DUMMYFUNCTION("""COMPUTED_VALUE"""),"Леонов, Волошина, Двужильный, Волков")</f>
        <v>Леонов, Волошина, Двужильный, Волков</v>
      </c>
      <c r="J60" s="6" t="str">
        <f>IFERROR(__xludf.DUMMYFUNCTION("""COMPUTED_VALUE"""),"Тулеев, Михайлов")</f>
        <v>Тулеев, Михайлов</v>
      </c>
      <c r="K60" s="6" t="str">
        <f>IFERROR(__xludf.DUMMYFUNCTION("""COMPUTED_VALUE"""),"Красная горка, шахтер с горящим сердцем, Президентское кадетское училище, Томская писаница")</f>
        <v>Красная горка, шахтер с горящим сердцем, Президентское кадетское училище, Томская писаница</v>
      </c>
      <c r="L60" s="6" t="str">
        <f>IFERROR(__xludf.DUMMYFUNCTION("""COMPUTED_VALUE"""),"нет")</f>
        <v>нет</v>
      </c>
      <c r="M60" s="6" t="str">
        <f>IFERROR(__xludf.DUMMYFUNCTION("""COMPUTED_VALUE"""),"нет")</f>
        <v>нет</v>
      </c>
      <c r="N60" s="6" t="str">
        <f>IFERROR(__xludf.DUMMYFUNCTION("""COMPUTED_VALUE"""),"Экология, чистота, дороги, наличие товаров, наличие работы, ср зп более 50к ")</f>
        <v>Экология, чистота, дороги, наличие товаров, наличие работы, ср зп более 50к </v>
      </c>
      <c r="O60" s="6" t="str">
        <f>IFERROR(__xludf.DUMMYFUNCTION("""COMPUTED_VALUE"""),"покрасить старые дома, по примеру домов напротив кадетского училища")</f>
        <v>покрасить старые дома, по примеру домов напротив кадетского училища</v>
      </c>
      <c r="P60" s="6" t="str">
        <f>IFERROR(__xludf.DUMMYFUNCTION("""COMPUTED_VALUE"""),"VK, инстаграм")</f>
        <v>VK, инстаграм</v>
      </c>
      <c r="Q60"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60" s="6" t="str">
        <f>IFERROR(__xludf.DUMMYFUNCTION("""COMPUTED_VALUE"""),"день города, день победы ")</f>
        <v>день города, день победы </v>
      </c>
      <c r="S60" s="6" t="str">
        <f>IFERROR(__xludf.DUMMYFUNCTION("""COMPUTED_VALUE"""),"был организатором посадки деревьев ")</f>
        <v>был организатором посадки деревьев </v>
      </c>
      <c r="T60" s="6" t="str">
        <f>IFERROR(__xludf.DUMMYFUNCTION("""COMPUTED_VALUE"""),"известен Зимней вишней, Уникального ничего")</f>
        <v>известен Зимней вишней, Уникального ничего</v>
      </c>
      <c r="U60" s="6" t="str">
        <f>IFERROR(__xludf.DUMMYFUNCTION("""COMPUTED_VALUE"""),"Набережная ")</f>
        <v>Набережная </v>
      </c>
      <c r="V60" s="6" t="str">
        <f>IFERROR(__xludf.DUMMYFUNCTION("""COMPUTED_VALUE"""),"ничего")</f>
        <v>ничего</v>
      </c>
      <c r="W60" s="6" t="str">
        <f>IFERROR(__xludf.DUMMYFUNCTION("""COMPUTED_VALUE"""),"вежливость на дорогах")</f>
        <v>вежливость на дорогах</v>
      </c>
      <c r="X60" s="6" t="str">
        <f>IFERROR(__xludf.DUMMYFUNCTION("""COMPUTED_VALUE"""),"Весенняя и набережная ")</f>
        <v>Весенняя и набережная </v>
      </c>
      <c r="Y60" s="6" t="str">
        <f>IFERROR(__xludf.DUMMYFUNCTION("""COMPUTED_VALUE"""),"Bandy")</f>
        <v>Bandy</v>
      </c>
      <c r="Z60" s="6" t="str">
        <f>IFERROR(__xludf.DUMMYFUNCTION("""COMPUTED_VALUE"""),"никакие ")</f>
        <v>никакие </v>
      </c>
      <c r="AA60" s="6" t="str">
        <f>IFERROR(__xludf.DUMMYFUNCTION("""COMPUTED_VALUE"""),"никакие ")</f>
        <v>никакие </v>
      </c>
      <c r="AB60" s="6" t="str">
        <f>IFERROR(__xludf.DUMMYFUNCTION("""COMPUTED_VALUE"""),"никаких")</f>
        <v>никаких</v>
      </c>
      <c r="AC60" s="6" t="str">
        <f>IFERROR(__xludf.DUMMYFUNCTION("""COMPUTED_VALUE"""),"незнаю")</f>
        <v>незнаю</v>
      </c>
      <c r="AD60" s="6" t="str">
        <f>IFERROR(__xludf.DUMMYFUNCTION("""COMPUTED_VALUE"""),"наблюдатель")</f>
        <v>наблюдатель</v>
      </c>
      <c r="AE60" s="6" t="str">
        <f>IFERROR(__xludf.DUMMYFUNCTION("""COMPUTED_VALUE"""),"Мужской")</f>
        <v>Мужской</v>
      </c>
      <c r="AF60" s="6" t="str">
        <f>IFERROR(__xludf.DUMMYFUNCTION("""COMPUTED_VALUE"""),"30-44")</f>
        <v>30-44</v>
      </c>
      <c r="AG60" s="6"/>
      <c r="AH60" s="6"/>
      <c r="AI60" s="6"/>
      <c r="AJ60" s="6"/>
      <c r="AK60" s="6"/>
      <c r="AL60" s="6"/>
      <c r="AM60" s="6"/>
    </row>
    <row r="61">
      <c r="A61" s="4">
        <v>60.0</v>
      </c>
      <c r="B61" s="6" t="str">
        <f>IFERROR(__xludf.DUMMYFUNCTION("""COMPUTED_VALUE"""),"Администратор")</f>
        <v>Администратор</v>
      </c>
      <c r="C61" s="6" t="str">
        <f>IFERROR(__xludf.DUMMYFUNCTION("""COMPUTED_VALUE"""),"Футбол, CS:GO")</f>
        <v>Футбол, CS:GO</v>
      </c>
      <c r="D61" s="6" t="str">
        <f>IFERROR(__xludf.DUMMYFUNCTION("""COMPUTED_VALUE"""),"Живу в Ленинском. Так и называю. ")</f>
        <v>Живу в Ленинском. Так и называю. </v>
      </c>
      <c r="E61" s="6" t="str">
        <f>IFERROR(__xludf.DUMMYFUNCTION("""COMPUTED_VALUE"""),"Тулеевский парк (или как он официально называется), ГЦС ""Кузбасс"".")</f>
        <v>Тулеевский парк (или как он официально называется), ГЦС "Кузбасс".</v>
      </c>
      <c r="F61" s="6" t="str">
        <f>IFERROR(__xludf.DUMMYFUNCTION("""COMPUTED_VALUE"""),"Живу здесь с рождения")</f>
        <v>Живу здесь с рождения</v>
      </c>
      <c r="G61" s="6" t="str">
        <f>IFERROR(__xludf.DUMMYFUNCTION("""COMPUTED_VALUE"""),"Лапландия, если речь про шоппинг (К сожалению, нет других нормальных ТЦ). На Бульваре строителей можно погулять, там сейчас красиво и есть разные кафешки рядом. ")</f>
        <v>Лапландия, если речь про шоппинг (К сожалению, нет других нормальных ТЦ). На Бульваре строителей можно погулять, там сейчас красиво и есть разные кафешки рядом. </v>
      </c>
      <c r="H61" s="6" t="str">
        <f>IFERROR(__xludf.DUMMYFUNCTION("""COMPUTED_VALUE"""),"Уголь, черное небо, уют (наш город реально уютный, но это хорошо для тех кому за 35 и есть дети, для молодежи не хватает движухи), чистота, деревня (не в плане инфраструктуры или чего-то другого, а в плане того, что город очень маленький и очень многие ме"&amp;"жду собой знакомы)")</f>
        <v>Уголь, черное небо, уют (наш город реально уютный, но это хорошо для тех кому за 35 и есть дети, для молодежи не хватает движухи), чистота, деревня (не в плане инфраструктуры или чего-то другого, а в плане того, что город очень маленький и очень многие между собой знакомы)</v>
      </c>
      <c r="I61" s="6" t="str">
        <f>IFERROR(__xludf.DUMMYFUNCTION("""COMPUTED_VALUE"""),"Волков, Виталий Раздаев")</f>
        <v>Волков, Виталий Раздаев</v>
      </c>
      <c r="J61" s="6" t="str">
        <f>IFERROR(__xludf.DUMMYFUNCTION("""COMPUTED_VALUE"""),"Я думаю, что люди ни на кого не ровняются, по крайней мере ни разу не слышал ни от кого такого. 
Имени не помню, но думаю большой вклад внес главный архитектор г. Кемерово, который изначально разрабатывал проект ""Город - сад"" (закрытые дворы, внутри кот"&amp;"орых растут деревья или другая зелень), считаю это хорошей идеей, в центре действительно приятные дворы. ")</f>
        <v>Я думаю, что люди ни на кого не ровняются, по крайней мере ни разу не слышал ни от кого такого. 
Имени не помню, но думаю большой вклад внес главный архитектор г. Кемерово, который изначально разрабатывал проект "Город - сад" (закрытые дворы, внутри которых растут деревья или другая зелень), считаю это хорошей идеей, в центре действительно приятные дворы. </v>
      </c>
      <c r="K61" s="6" t="str">
        <f>IFERROR(__xludf.DUMMYFUNCTION("""COMPUTED_VALUE"""),"Не знаю у нас каких-то действительно интересных достопримечательностей или памятников.
Показал бы наш бульвар, приятное место в городе. Специально не показывал бы, но если бы были рядом, то показал парк ангелов. (трагичное место, но сделали хорошее место "&amp;"для будущих поколений). А больше и нет мест, в которых можно погулять или посмотреть на что-нибудь. (Вряд ли кому-нибудь хоть сколько-нибудь интересно смотреть на памятник Волкова и тому подобное)")</f>
        <v>Не знаю у нас каких-то действительно интересных достопримечательностей или памятников.
Показал бы наш бульвар, приятное место в городе. Специально не показывал бы, но если бы были рядом, то показал парк ангелов. (трагичное место, но сделали хорошее место для будущих поколений). А больше и нет мест, в которых можно погулять или посмотреть на что-нибудь. (Вряд ли кому-нибудь хоть сколько-нибудь интересно смотреть на памятник Волкова и тому подобное)</v>
      </c>
      <c r="L61" s="6" t="str">
        <f>IFERROR(__xludf.DUMMYFUNCTION("""COMPUTED_VALUE"""),"Не знаю. ")</f>
        <v>Не знаю. </v>
      </c>
      <c r="M61" s="6" t="str">
        <f>IFERROR(__xludf.DUMMYFUNCTION("""COMPUTED_VALUE"""),"Нет. Единственное может быть - это название, обозначающее определенный райончик, ""Шалго"".
")</f>
        <v>Нет. Единственное может быть - это название, обозначающее определенный райончик, "Шалго".
</v>
      </c>
      <c r="N61" s="6" t="str">
        <f>IFERROR(__xludf.DUMMYFUNCTION("""COMPUTED_VALUE"""),"1. Развитие дорожного сообщения, построили в Ленинском районе продление Комсомольского до Ленин - просто СУПЕР!
2. Поддержка дорожного полотна в хорошем состоянии
3. Наличие мест для прогулок (тут супер проблема, Бульвар - круто, но нужно еще.) Побольше б"&amp;"ы парков и скверов. 
4. Возможность пешего передвижения по городу (тут все ок у нас)
5. Наличие магазинов с актуальным ассортиментом (купить какой-то нестандартный пиджак или просто стильную одежду практически нереально, очень мало магазинов. В НВКЗ в Пла"&amp;"нете больше выбора, чем по всему Кемерову.)")</f>
        <v>1. Развитие дорожного сообщения, построили в Ленинском районе продление Комсомольского до Ленин - просто СУПЕР!
2. Поддержка дорожного полотна в хорошем состоянии
3. Наличие мест для прогулок (тут супер проблема, Бульвар - круто, но нужно еще.) Побольше бы парков и скверов. 
4. Возможность пешего передвижения по городу (тут все ок у нас)
5. Наличие магазинов с актуальным ассортиментом (купить какой-то нестандартный пиджак или просто стильную одежду практически нереально, очень мало магазинов. В НВКЗ в Планете больше выбора, чем по всему Кемерову.)</v>
      </c>
      <c r="O61" s="6" t="str">
        <f>IFERROR(__xludf.DUMMYFUNCTION("""COMPUTED_VALUE"""),"Перестать разрешать строить магниту (и остальным) свои сараи прямоугольные. (такой, как около Лапландии).Такие постройки выглядят ужасно и портят общий вид. 
Тут денег не напасешься, но было бы хорошо внешне освежить дома на Ленина хотя бы. ")</f>
        <v>Перестать разрешать строить магниту (и остальным) свои сараи прямоугольные. (такой, как около Лапландии).Такие постройки выглядят ужасно и портят общий вид. 
Тут денег не напасешься, но было бы хорошо внешне освежить дома на Ленина хотя бы. </v>
      </c>
      <c r="P61" s="6" t="str">
        <f>IFERROR(__xludf.DUMMYFUNCTION("""COMPUTED_VALUE"""),"Таргетированная реклама, которая крутится на меня в инстаграме, в тематических группах про Кемерово в ВК. ")</f>
        <v>Таргетированная реклама, которая крутится на меня в инстаграме, в тематических группах про Кемерово в ВК. </v>
      </c>
      <c r="Q61"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61" s="6" t="str">
        <f>IFERROR(__xludf.DUMMYFUNCTION("""COMPUTED_VALUE"""),"Для меня нет общегородских праздников, которые были бы важны мне.
Но то, что на День города, который совпадает с днем России, организуется много точек для горожан - это отлично!")</f>
        <v>Для меня нет общегородских праздников, которые были бы важны мне.
Но то, что на День города, который совпадает с днем России, организуется много точек для горожан - это отлично!</v>
      </c>
      <c r="S61" s="6" t="str">
        <f>IFERROR(__xludf.DUMMYFUNCTION("""COMPUTED_VALUE"""),"Писал и расклеивал объявления/афиши, Где вариант ответа ""Да, приходилось""?) Да, и самостоятельно организовывал городские события (например, Азбука пожарного в 2019) и помогал в организации (не сосчитать все, точки для горожан на День шахтера, города и т"&amp;"д)")</f>
        <v>Писал и расклеивал объявления/афиши, Где вариант ответа "Да, приходилось"?) Да, и самостоятельно организовывал городские события (например, Азбука пожарного в 2019) и помогал в организации (не сосчитать все, точки для горожан на День шахтера, города и тд)</v>
      </c>
      <c r="T61" s="6" t="str">
        <f>IFERROR(__xludf.DUMMYFUNCTION("""COMPUTED_VALUE"""),"Знаменит углем, есть (или были?) мощные компании. 
Плюс минус уникален думаю, что у нас относительно чисто. Босяком не походишь конечно, но не валяется мусор повсюду, как в НСК например. ")</f>
        <v>Знаменит углем, есть (или были?) мощные компании. 
Плюс минус уникален думаю, что у нас относительно чисто. Босяком не походишь конечно, но не валяется мусор повсюду, как в НСК например. </v>
      </c>
      <c r="U61" s="6" t="str">
        <f>IFERROR(__xludf.DUMMYFUNCTION("""COMPUTED_VALUE"""),"ЦУМ, для меня это символ центра")</f>
        <v>ЦУМ, для меня это символ центра</v>
      </c>
      <c r="V61" s="6" t="str">
        <f>IFERROR(__xludf.DUMMYFUNCTION("""COMPUTED_VALUE"""),"Во время войны много предприятий было, которые поставляли продукцию на фронт. (тот же ""Коммунар""), люди много трудились. 
Добыча угля сюда явно не должна входить, обычный бизнес, не более, хотя в Советском союзе возможно и обеспечивали другие регионы, "&amp;"но это предполагаю, точно не знаю. ")</f>
        <v>Во время войны много предприятий было, которые поставляли продукцию на фронт. (тот же "Коммунар"), люди много трудились. 
Добыча угля сюда явно не должна входить, обычный бизнес, не более, хотя в Советском союзе возможно и обеспечивали другие регионы, но это предполагаю, точно не знаю. </v>
      </c>
      <c r="W61" s="6" t="str">
        <f>IFERROR(__xludf.DUMMYFUNCTION("""COMPUTED_VALUE"""),"1. Хмурые (к сожалению, это относится практически ко всем жителям нашей страны, что в НСК, в Томске, МСК)
2. Неторопливые, нет такой беготни в ТЦ, как в НСК например. Все спокойно ходят, по эскалатору никто не обгоняет, все спокойно стоят и ждут пока доед"&amp;"ут.
3. Хочу верить в то, что добрые (думаю должно быть больше взаимовыручки, чем в мегаполисах)")</f>
        <v>1. Хмурые (к сожалению, это относится практически ко всем жителям нашей страны, что в НСК, в Томске, МСК)
2. Неторопливые, нет такой беготни в ТЦ, как в НСК например. Все спокойно ходят, по эскалатору никто не обгоняет, все спокойно стоят и ждут пока доедут.
3. Хочу верить в то, что добрые (думаю должно быть больше взаимовыручки, чем в мегаполисах)</v>
      </c>
      <c r="X61" s="6" t="str">
        <f>IFERROR(__xludf.DUMMYFUNCTION("""COMPUTED_VALUE"""),"Бульвар - &gt; Лапландия -&gt; около Администрации можно чуток погулять")</f>
        <v>Бульвар - &gt; Лапландия -&gt; около Администрации можно чуток погулять</v>
      </c>
      <c r="Y61" s="6" t="str">
        <f>IFERROR(__xludf.DUMMYFUNCTION("""COMPUTED_VALUE"""),"Переименование из Щегловска в Кемерово :)")</f>
        <v>Переименование из Щегловска в Кемерово :)</v>
      </c>
      <c r="Z61" s="6" t="str">
        <f>IFERROR(__xludf.DUMMYFUNCTION("""COMPUTED_VALUE"""),"По датам не помню, больше 2-х лет или нет, перечислю из последнего:
1. Открытие нового участка дороги на Комсомольском, очень рад этому.
2. Открытие ГЦС Кузбасс
3. Реставрация Бульвара строителей
4. Начало стройки на притомском и культурного кластера на Б"&amp;"ульваре около КемГУ, круто что город развивается")</f>
        <v>По датам не помню, больше 2-х лет или нет, перечислю из последнего:
1. Открытие нового участка дороги на Комсомольском, очень рад этому.
2. Открытие ГЦС Кузбасс
3. Реставрация Бульвара строителей
4. Начало стройки на притомском и культурного кластера на Бульваре около КемГУ, круто что город развивается</v>
      </c>
      <c r="AA61" s="6" t="str">
        <f>IFERROR(__xludf.DUMMYFUNCTION("""COMPUTED_VALUE"""),"Негодование - когда безветренная погода, зимой дышать нечем (черное небо). Есть ощущение, что в 2021 году уже есть технологии, позволяющие очень сильно фильтровать выбросы, просто никто не хочет тратить $ на это.  ")</f>
        <v>Негодование - когда безветренная погода, зимой дышать нечем (черное небо). Есть ощущение, что в 2021 году уже есть технологии, позволяющие очень сильно фильтровать выбросы, просто никто не хочет тратить $ на это.  </v>
      </c>
      <c r="AB61" s="6" t="str">
        <f>IFERROR(__xludf.DUMMYFUNCTION("""COMPUTED_VALUE"""),"Не до конца понимаю, что подразумевается под сообществом, но было бы классно оживить хоккей с шайбой и допустим развить сообщество граффитистов. Ребята красиво рисуют, такие локации как в парке Антошка нужно поставить и на Бульваре где-нибудь и в других м"&amp;"естах, где люди гуляют, выглядит классно. ")</f>
        <v>Не до конца понимаю, что подразумевается под сообществом, но было бы классно оживить хоккей с шайбой и допустим развить сообщество граффитистов. Ребята красиво рисуют, такие локации как в парке Антошка нужно поставить и на Бульваре где-нибудь и в других местах, где люди гуляют, выглядит классно. </v>
      </c>
      <c r="AC61" s="6" t="str">
        <f>IFERROR(__xludf.DUMMYFUNCTION("""COMPUTED_VALUE"""),"Концерты медийных личностей, думаю их не хватает больше всего.")</f>
        <v>Концерты медийных личностей, думаю их не хватает больше всего.</v>
      </c>
      <c r="AD61" s="6" t="str">
        <f>IFERROR(__xludf.DUMMYFUNCTION("""COMPUTED_VALUE"""),"В роли наблюдателя, я уже нареализовывался с лихвой, как говорится :)")</f>
        <v>В роли наблюдателя, я уже нареализовывался с лихвой, как говорится :)</v>
      </c>
      <c r="AE61" s="6" t="str">
        <f>IFERROR(__xludf.DUMMYFUNCTION("""COMPUTED_VALUE"""),"Мужской")</f>
        <v>Мужской</v>
      </c>
      <c r="AF61" s="6" t="str">
        <f>IFERROR(__xludf.DUMMYFUNCTION("""COMPUTED_VALUE"""),"18-29")</f>
        <v>18-29</v>
      </c>
      <c r="AG61" s="6"/>
      <c r="AH61" s="6"/>
      <c r="AI61" s="6"/>
      <c r="AJ61" s="6"/>
      <c r="AK61" s="6"/>
      <c r="AL61" s="6"/>
      <c r="AM61" s="6"/>
    </row>
    <row r="62">
      <c r="A62" s="4">
        <v>61.0</v>
      </c>
      <c r="B62" s="6" t="str">
        <f>IFERROR(__xludf.DUMMYFUNCTION("""COMPUTED_VALUE"""),"Служащий ")</f>
        <v>Служащий </v>
      </c>
      <c r="C62" s="6" t="str">
        <f>IFERROR(__xludf.DUMMYFUNCTION("""COMPUTED_VALUE"""),"Велосипед, чтение, стрельба ")</f>
        <v>Велосипед, чтение, стрельба </v>
      </c>
      <c r="D62" s="6" t="str">
        <f>IFERROR(__xludf.DUMMYFUNCTION("""COMPUTED_VALUE"""),"Ленинский, так и называю ")</f>
        <v>Ленинский, так и называю </v>
      </c>
      <c r="E62" s="6" t="str">
        <f>IFERROR(__xludf.DUMMYFUNCTION("""COMPUTED_VALUE"""),"Аврора, он же тц лето, КемТИПП - он же Кемгу, церковь, мечеть ")</f>
        <v>Аврора, он же тц лето, КемТИПП - он же Кемгу, церковь, мечеть </v>
      </c>
      <c r="F62" s="6" t="str">
        <f>IFERROR(__xludf.DUMMYFUNCTION("""COMPUTED_VALUE"""),"Живу здесь с рождения")</f>
        <v>Живу здесь с рождения</v>
      </c>
      <c r="G62" s="6" t="str">
        <f>IFERROR(__xludf.DUMMYFUNCTION("""COMPUTED_VALUE"""),"Бульвар строителей, парк в суховском, центр, обзорные площадки в городе ")</f>
        <v>Бульвар строителей, парк в суховском, центр, обзорные площадки в городе </v>
      </c>
      <c r="H62" s="6" t="str">
        <f>IFERROR(__xludf.DUMMYFUNCTION("""COMPUTED_VALUE"""),"Уголь, река, шахты, ")</f>
        <v>Уголь, река, шахты, </v>
      </c>
      <c r="I62" s="6" t="str">
        <f>IFERROR(__xludf.DUMMYFUNCTION("""COMPUTED_VALUE"""),"Леонов, Волков, терешкова, Волошина")</f>
        <v>Леонов, Волков, терешкова, Волошина</v>
      </c>
      <c r="J62" s="6" t="str">
        <f>IFERROR(__xludf.DUMMYFUNCTION("""COMPUTED_VALUE"""),"Сложно сказать")</f>
        <v>Сложно сказать</v>
      </c>
      <c r="K62" s="6" t="str">
        <f>IFERROR(__xludf.DUMMYFUNCTION("""COMPUTED_VALUE"""),"Красная поляна, лесна поляна, штольня, писанина, ")</f>
        <v>Красная поляна, лесна поляна, штольня, писанина, </v>
      </c>
      <c r="L62" s="6" t="str">
        <f>IFERROR(__xludf.DUMMYFUNCTION("""COMPUTED_VALUE"""),"Бузотёры - по мнению тулеева ")</f>
        <v>Бузотёры - по мнению тулеева </v>
      </c>
      <c r="M62" s="6" t="str">
        <f>IFERROR(__xludf.DUMMYFUNCTION("""COMPUTED_VALUE"""),"Нет")</f>
        <v>Нет</v>
      </c>
      <c r="N62" s="6" t="str">
        <f>IFERROR(__xludf.DUMMYFUNCTION("""COMPUTED_VALUE"""),"Чистые улицы, ровные дороги, чистый воздух, зелёный, развитый транспорт ")</f>
        <v>Чистые улицы, ровные дороги, чистый воздух, зелёный, развитый транспорт </v>
      </c>
      <c r="O62" s="6" t="str">
        <f>IFERROR(__xludf.DUMMYFUNCTION("""COMPUTED_VALUE"""),"Транспорт, дороги ")</f>
        <v>Транспорт, дороги </v>
      </c>
      <c r="P62" s="6" t="str">
        <f>IFERROR(__xludf.DUMMYFUNCTION("""COMPUTED_VALUE"""),"Типичный Кемерово ")</f>
        <v>Типичный Кемерово </v>
      </c>
      <c r="Q62" s="6" t="str">
        <f>IFERROR(__xludf.DUMMYFUNCTION("""COMPUTED_VALUE"""),"где вкусно поесть/открытие новых кафе/ресторанов, городская афиша (кино/театр/концерты), интервью с местными предпринимателями")</f>
        <v>где вкусно поесть/открытие новых кафе/ресторанов, городская афиша (кино/театр/концерты), интервью с местными предпринимателями</v>
      </c>
      <c r="R62" s="6" t="str">
        <f>IFERROR(__xludf.DUMMYFUNCTION("""COMPUTED_VALUE"""),"День Победы, день шахтёра, день города ")</f>
        <v>День Победы, день шахтёра, день города </v>
      </c>
      <c r="S62" s="6" t="str">
        <f>IFERROR(__xludf.DUMMYFUNCTION("""COMPUTED_VALUE"""),"Нет, не приходилось")</f>
        <v>Нет, не приходилось</v>
      </c>
      <c r="T62" s="6" t="str">
        <f>IFERROR(__xludf.DUMMYFUNCTION("""COMPUTED_VALUE"""),"Зимней вишней знаменит ")</f>
        <v>Зимней вишней знаменит </v>
      </c>
      <c r="U62" s="6" t="str">
        <f>IFERROR(__xludf.DUMMYFUNCTION("""COMPUTED_VALUE"""),"Орбита, драмтеатр, часовня ")</f>
        <v>Орбита, драмтеатр, часовня </v>
      </c>
      <c r="V62" s="6" t="str">
        <f>IFERROR(__xludf.DUMMYFUNCTION("""COMPUTED_VALUE"""),"Построили город, заводы, дороги, садили деревья ")</f>
        <v>Построили город, заводы, дороги, садили деревья </v>
      </c>
      <c r="W62" s="6" t="str">
        <f>IFERROR(__xludf.DUMMYFUNCTION("""COMPUTED_VALUE"""),"Замкнутые, молчаливые, ")</f>
        <v>Замкнутые, молчаливые, </v>
      </c>
      <c r="X62" s="6" t="str">
        <f>IFERROR(__xludf.DUMMYFUNCTION("""COMPUTED_VALUE"""),"Центр, красная поляна, надпись «Кемерово»")</f>
        <v>Центр, красная поляна, надпись «Кемерово»</v>
      </c>
      <c r="Y62" s="6" t="str">
        <f>IFERROR(__xludf.DUMMYFUNCTION("""COMPUTED_VALUE"""),"Рок концерт ")</f>
        <v>Рок концерт </v>
      </c>
      <c r="Z62" s="6" t="str">
        <f>IFERROR(__xludf.DUMMYFUNCTION("""COMPUTED_VALUE"""),"Рок концерт ")</f>
        <v>Рок концерт </v>
      </c>
      <c r="AA62" s="6" t="str">
        <f>IFERROR(__xludf.DUMMYFUNCTION("""COMPUTED_VALUE"""),"Не уверен в датах: планы об открыть шахты в районе лесной поляны, зимняя вишня, а затем открытие парка ангелов ")</f>
        <v>Не уверен в датах: планы об открыть шахты в районе лесной поляны, зимняя вишня, а затем открытие парка ангелов </v>
      </c>
      <c r="AB62" s="6" t="str">
        <f>IFERROR(__xludf.DUMMYFUNCTION("""COMPUTED_VALUE"""),"Затрудняюсь ответить ")</f>
        <v>Затрудняюсь ответить </v>
      </c>
      <c r="AC62" s="6" t="str">
        <f>IFERROR(__xludf.DUMMYFUNCTION("""COMPUTED_VALUE"""),"Спорт мероприятия 
Концерты ")</f>
        <v>Спорт мероприятия 
Концерты </v>
      </c>
      <c r="AD62" s="6" t="str">
        <f>IFERROR(__xludf.DUMMYFUNCTION("""COMPUTED_VALUE"""),"Участник, генератор идей ")</f>
        <v>Участник, генератор идей </v>
      </c>
      <c r="AE62" s="6" t="str">
        <f>IFERROR(__xludf.DUMMYFUNCTION("""COMPUTED_VALUE"""),"Мужской")</f>
        <v>Мужской</v>
      </c>
      <c r="AF62" s="6" t="str">
        <f>IFERROR(__xludf.DUMMYFUNCTION("""COMPUTED_VALUE"""),"30-44")</f>
        <v>30-44</v>
      </c>
      <c r="AG62" s="6"/>
      <c r="AH62" s="6"/>
      <c r="AI62" s="6"/>
      <c r="AJ62" s="6"/>
      <c r="AK62" s="6"/>
      <c r="AL62" s="6"/>
      <c r="AM62" s="6"/>
    </row>
    <row r="63">
      <c r="A63" s="4">
        <v>62.0</v>
      </c>
      <c r="B63" s="6" t="str">
        <f>IFERROR(__xludf.DUMMYFUNCTION("""COMPUTED_VALUE"""),"Дизайнер, Иллюстратор, AR-creator")</f>
        <v>Дизайнер, Иллюстратор, AR-creator</v>
      </c>
      <c r="C63" s="6" t="str">
        <f>IFERROR(__xludf.DUMMYFUNCTION("""COMPUTED_VALUE"""),"бег, сноуборд, дизайн, шахматы")</f>
        <v>бег, сноуборд, дизайн, шахматы</v>
      </c>
      <c r="D63" s="6" t="str">
        <f>IFERROR(__xludf.DUMMYFUNCTION("""COMPUTED_VALUE"""),"Центральный район")</f>
        <v>Центральный район</v>
      </c>
      <c r="E63" s="6" t="str">
        <f>IFERROR(__xludf.DUMMYFUNCTION("""COMPUTED_VALUE"""),"Притомская набережная, парк у филармонии, орбита, площадь пушкина, старый кинотеатр москва который закрыт много лет, весенняя, да наверное весь центр - ведь он очень маленький. Улица мичурина, от политеховских общежитий до пересечения с ленина, она очень "&amp;"красивая - очень зеленая в летнее время. Из заведений в центре знаковый Стамбул, фотомир на драме где до сих пор можно проявить пленку. Когда жила на фпк мне внешне очень нравились дома в щегловском переулке - с террасами, и очень не похожие на все осталь"&amp;"ное в городе.")</f>
        <v>Притомская набережная, парк у филармонии, орбита, площадь пушкина, старый кинотеатр москва который закрыт много лет, весенняя, да наверное весь центр - ведь он очень маленький. Улица мичурина, от политеховских общежитий до пересечения с ленина, она очень красивая - очень зеленая в летнее время. Из заведений в центре знаковый Стамбул, фотомир на драме где до сих пор можно проявить пленку. Когда жила на фпк мне внешне очень нравились дома в щегловском переулке - с террасами, и очень не похожие на все остальное в городе.</v>
      </c>
      <c r="F63" s="6" t="str">
        <f>IFERROR(__xludf.DUMMYFUNCTION("""COMPUTED_VALUE"""),"Живу здесь с рождения")</f>
        <v>Живу здесь с рождения</v>
      </c>
      <c r="G63" s="6" t="str">
        <f>IFERROR(__xludf.DUMMYFUNCTION("""COMPUTED_VALUE"""),"Передвигаюсь по городу в свободное время только в местах где можно бегать - парки, набережная. А так в свободное время стараюсь выезжать за город, потому что гуляние по городу это для меня максимально неинтересно, ведь я все знаю вдоль и поперек.")</f>
        <v>Передвигаюсь по городу в свободное время только в местах где можно бегать - парки, набережная. А так в свободное время стараюсь выезжать за город, потому что гуляние по городу это для меня максимально неинтересно, ведь я все знаю вдоль и поперек.</v>
      </c>
      <c r="H63" s="6" t="str">
        <f>IFERROR(__xludf.DUMMYFUNCTION("""COMPUTED_VALUE"""),"зелень, лужи - моря, модульность, коробки, парковки")</f>
        <v>зелень, лужи - моря, модульность, коробки, парковки</v>
      </c>
      <c r="I63" s="6" t="str">
        <f>IFERROR(__xludf.DUMMYFUNCTION("""COMPUTED_VALUE"""),"Михайло Волков")</f>
        <v>Михайло Волков</v>
      </c>
      <c r="J63" s="6" t="str">
        <f>IFERROR(__xludf.DUMMYFUNCTION("""COMPUTED_VALUE"""),"Илья Варламов, Александр Бессмертных, Артем Вахитов")</f>
        <v>Илья Варламов, Александр Бессмертных, Артем Вахитов</v>
      </c>
      <c r="K63" s="6" t="str">
        <f>IFERROR(__xludf.DUMMYFUNCTION("""COMPUTED_VALUE"""),"Вид на город с лысой горы или бора, прогулка по центру, конезавод в трещевском поселке (несколько озер и огромные поля по которым гуляют десятки коней на выгуле, очень спокойное и красивое место)")</f>
        <v>Вид на город с лысой горы или бора, прогулка по центру, конезавод в трещевском поселке (несколько озер и огромные поля по которым гуляют десятки коней на выгуле, очень спокойное и красивое место)</v>
      </c>
      <c r="L63" s="6" t="str">
        <f>IFERROR(__xludf.DUMMYFUNCTION("""COMPUTED_VALUE"""),"Таких не знаю")</f>
        <v>Таких не знаю</v>
      </c>
      <c r="M63" s="6" t="str">
        <f>IFERROR(__xludf.DUMMYFUNCTION("""COMPUTED_VALUE"""),"Обозначения мест которые только местные и поймут - типа орбита, элита")</f>
        <v>Обозначения мест которые только местные и поймут - типа орбита, элита</v>
      </c>
      <c r="N63" s="6" t="str">
        <f>IFERROR(__xludf.DUMMYFUNCTION("""COMPUTED_VALUE"""),"Общегородские пространства с озеленением (типа парка ангелов но в строенные в обычную среду улиц), платные парковки и шлагбаумы во дворы (мой двор заставлен машинами не влезающими на парковку пушкина, иногда подпирают подьездную дверь, поэтому для меня эт"&amp;"о очень важно, и ведь когда то площадь пушкина была красивейшим сквером без автомобильного движения), спортивная инфраструктура (например есть один манеж беговой в кемерово - на волгоградской, было бы круто иметь в каждом районе подобный центр, как и басс"&amp;"ейн. Больше интересных парков. Фасады зданий - в большинстве случаев реконструкцию сейчас делают фасадной плиткой что выглядит очень грустно и как то по колхозному. Минимум рекламных элементов на зданиях (пример питер, там почти нет рекламного шума не тол"&amp;"ько в центре, но и в новых районах). Дворовые территории, чтобы старые клумбы не сносили и не ставили какие то цветные шины, а восстанавливали, ведь это наша культура, а шины точно не придают шарм.")</f>
        <v>Общегородские пространства с озеленением (типа парка ангелов но в строенные в обычную среду улиц), платные парковки и шлагбаумы во дворы (мой двор заставлен машинами не влезающими на парковку пушкина, иногда подпирают подьездную дверь, поэтому для меня это очень важно, и ведь когда то площадь пушкина была красивейшим сквером без автомобильного движения), спортивная инфраструктура (например есть один манеж беговой в кемерово - на волгоградской, было бы круто иметь в каждом районе подобный центр, как и бассейн. Больше интересных парков. Фасады зданий - в большинстве случаев реконструкцию сейчас делают фасадной плиткой что выглядит очень грустно и как то по колхозному. Минимум рекламных элементов на зданиях (пример питер, там почти нет рекламного шума не только в центре, но и в новых районах). Дворовые территории, чтобы старые клумбы не сносили и не ставили какие то цветные шины, а восстанавливали, ведь это наша культура, а шины точно не придают шарм.</v>
      </c>
      <c r="O63" s="6" t="str">
        <f>IFERROR(__xludf.DUMMYFUNCTION("""COMPUTED_VALUE"""),"Фасадная плитка, Убрать кондиционеры на внутреннюю часть дома с уличной, либо в декоративные короба, Дома в центре не реставрируют, ссылаясь на то что они старые и являются достоянием, да они старые, но от того что их не реставрируют они просто рассыпаютс"&amp;"я, они в ужасных трещинах как после бомбежки а на крышах некоторых вообще растут кусты, было бы здорово если бы старые дома смогли преобразить, восстановив то какими они были, с лепниной и прочим. Больше плитки на тротуарах, естественных насыпей или мягки"&amp;"х покрытий в парках, а не асфальта. Остановки которые действительно защищают от ветра и дождя, на всех наших в дождь с ветром ты мокрый на сквозь.")</f>
        <v>Фасадная плитка, Убрать кондиционеры на внутреннюю часть дома с уличной, либо в декоративные короба, Дома в центре не реставрируют, ссылаясь на то что они старые и являются достоянием, да они старые, но от того что их не реставрируют они просто рассыпаются, они в ужасных трещинах как после бомбежки а на крышах некоторых вообще растут кусты, было бы здорово если бы старые дома смогли преобразить, восстановив то какими они были, с лепниной и прочим. Больше плитки на тротуарах, естественных насыпей или мягких покрытий в парках, а не асфальта. Остановки которые действительно защищают от ветра и дождя, на всех наших в дождь с ветром ты мокрый на сквозь.</v>
      </c>
      <c r="P63" s="6" t="str">
        <f>IFERROR(__xludf.DUMMYFUNCTION("""COMPUTED_VALUE"""),"В основном инстаграм, много кто из друзей в сторис выкладывает интересные вещи, а концерты и кино из афиши. Что то из рекламы попадается")</f>
        <v>В основном инстаграм, много кто из друзей в сторис выкладывает интересные вещи, а концерты и кино из афиши. Что то из рекламы попадается</v>
      </c>
      <c r="Q63" s="6" t="str">
        <f>IFERROR(__xludf.DUMMYFUNCTION("""COMPUTED_VALUE"""),"где вкусно поесть/открытие новых кафе/ресторанов, городская афиша (кино/театр/концерты), интервью с местными творческими личностями, результаты местных исследований (рейтинги/аналитика/тенденции)")</f>
        <v>где вкусно поесть/открытие новых кафе/ресторанов, городская афиша (кино/театр/концерты), интервью с местными творческими личностями, результаты местных исследований (рейтинги/аналитика/тенденции)</v>
      </c>
      <c r="R63" s="6" t="str">
        <f>IFERROR(__xludf.DUMMYFUNCTION("""COMPUTED_VALUE"""),"Майские праздники")</f>
        <v>Майские праздники</v>
      </c>
      <c r="S63" s="6" t="str">
        <f>IFERROR(__xludf.DUMMYFUNCTION("""COMPUTED_VALUE"""),"Нет, не приходилось")</f>
        <v>Нет, не приходилось</v>
      </c>
      <c r="T63" s="6" t="str">
        <f>IFERROR(__xludf.DUMMYFUNCTION("""COMPUTED_VALUE"""),"Столица шахтерского края, зимняя вишня, блог варламова")</f>
        <v>Столица шахтерского края, зимняя вишня, блог варламова</v>
      </c>
      <c r="U63" s="6" t="str">
        <f>IFERROR(__xludf.DUMMYFUNCTION("""COMPUTED_VALUE"""),"Советский проспект")</f>
        <v>Советский проспект</v>
      </c>
      <c r="V63" s="6" t="str">
        <f>IFERROR(__xludf.DUMMYFUNCTION("""COMPUTED_VALUE"""),"Не знаю")</f>
        <v>Не знаю</v>
      </c>
      <c r="W63" s="6" t="str">
        <f>IFERROR(__xludf.DUMMYFUNCTION("""COMPUTED_VALUE"""),"Как и все люди, откуда бы они ни были - порой простые, душевные, добрые и отзывчивые, порой очень эмоциональны и злы, все зависит от ситуации")</f>
        <v>Как и все люди, откуда бы они ни были - порой простые, душевные, добрые и отзывчивые, порой очень эмоциональны и злы, все зависит от ситуации</v>
      </c>
      <c r="X63" s="6" t="str">
        <f>IFERROR(__xludf.DUMMYFUNCTION("""COMPUTED_VALUE"""),"центр города, парк ангелов, клумба спейс")</f>
        <v>центр города, парк ангелов, клумба спейс</v>
      </c>
      <c r="Y63" s="6" t="str">
        <f>IFERROR(__xludf.DUMMYFUNCTION("""COMPUTED_VALUE"""),"Пожар в зимней вишне и возведение парка ангелов, ситуация ужаснейшая, но то каким вышел парк это прекрасно, остается надеяться что на его внешнем виде и удобствах будут учится и совершенствовать городские пространства")</f>
        <v>Пожар в зимней вишне и возведение парка ангелов, ситуация ужаснейшая, но то каким вышел парк это прекрасно, остается надеяться что на его внешнем виде и удобствах будут учится и совершенствовать городские пространства</v>
      </c>
      <c r="Z63" s="6" t="str">
        <f>IFERROR(__xludf.DUMMYFUNCTION("""COMPUTED_VALUE"""),"Забег рф по притомскому, кино под открытым небом на химике, запуск городских проектов от варламова")</f>
        <v>Забег рф по притомскому, кино под открытым небом на химике, запуск городских проектов от варламова</v>
      </c>
      <c r="AA63" s="6" t="str">
        <f>IFERROR(__xludf.DUMMYFUNCTION("""COMPUTED_VALUE"""),"Машин больше - парковки нет в центре, грязь, невероятное количество говна собак - возможно стоит расставлять баки с пакетами, пофигизм жэка и нежелание работать, в этом году хотела купить самокат чтобы ездить на работу, но потом поняла что от мостов из це"&amp;"нтра до другого берега (радуги) нет велосипедных или пешеходных зон, к сожалению у нас это не возможно. ")</f>
        <v>Машин больше - парковки нет в центре, грязь, невероятное количество говна собак - возможно стоит расставлять баки с пакетами, пофигизм жэка и нежелание работать, в этом году хотела купить самокат чтобы ездить на работу, но потом поняла что от мостов из центра до другого берега (радуги) нет велосипедных или пешеходных зон, к сожалению у нас это не возможно. </v>
      </c>
      <c r="AB63" s="6" t="str">
        <f>IFERROR(__xludf.DUMMYFUNCTION("""COMPUTED_VALUE"""),"не знаю")</f>
        <v>не знаю</v>
      </c>
      <c r="AC63" s="6" t="str">
        <f>IFERROR(__xludf.DUMMYFUNCTION("""COMPUTED_VALUE"""),"Чего то такого же позитивного как и просмотр кино под открытым небом, может каких то спортивных мероприятий")</f>
        <v>Чего то такого же позитивного как и просмотр кино под открытым небом, может каких то спортивных мероприятий</v>
      </c>
      <c r="AD63" s="6" t="str">
        <f>IFERROR(__xludf.DUMMYFUNCTION("""COMPUTED_VALUE"""),"пока не знаю")</f>
        <v>пока не знаю</v>
      </c>
      <c r="AE63" s="6" t="str">
        <f>IFERROR(__xludf.DUMMYFUNCTION("""COMPUTED_VALUE"""),"Женский")</f>
        <v>Женский</v>
      </c>
      <c r="AF63" s="6" t="str">
        <f>IFERROR(__xludf.DUMMYFUNCTION("""COMPUTED_VALUE"""),"18-29")</f>
        <v>18-29</v>
      </c>
      <c r="AG63" s="6"/>
      <c r="AH63" s="6"/>
      <c r="AI63" s="6"/>
      <c r="AJ63" s="6"/>
      <c r="AK63" s="6"/>
      <c r="AL63" s="6"/>
      <c r="AM63" s="6"/>
    </row>
    <row r="64">
      <c r="A64" s="4">
        <v>63.0</v>
      </c>
      <c r="B64" s="6" t="str">
        <f>IFERROR(__xludf.DUMMYFUNCTION("""COMPUTED_VALUE"""),"телеком, инженер")</f>
        <v>телеком, инженер</v>
      </c>
      <c r="C64" s="6" t="str">
        <f>IFERROR(__xludf.DUMMYFUNCTION("""COMPUTED_VALUE"""),"фото изредко")</f>
        <v>фото изредко</v>
      </c>
      <c r="D64" s="6" t="str">
        <f>IFERROR(__xludf.DUMMYFUNCTION("""COMPUTED_VALUE"""),"Парк Ангелов. ""Швейка""")</f>
        <v>Парк Ангелов. "Швейка"</v>
      </c>
      <c r="E64" s="6" t="str">
        <f>IFERROR(__xludf.DUMMYFUNCTION("""COMPUTED_VALUE"""),"Парк Ангелов, библиотека, КузГТУ, кинотеатр")</f>
        <v>Парк Ангелов, библиотека, КузГТУ, кинотеатр</v>
      </c>
      <c r="F64" s="6" t="str">
        <f>IFERROR(__xludf.DUMMYFUNCTION("""COMPUTED_VALUE"""),"Живу здесь с рождения")</f>
        <v>Живу здесь с рождения</v>
      </c>
      <c r="G64" s="6" t="str">
        <f>IFERROR(__xludf.DUMMYFUNCTION("""COMPUTED_VALUE"""),"Кинотеатры, детские места развлечений.")</f>
        <v>Кинотеатры, детские места развлечений.</v>
      </c>
      <c r="H64" s="6" t="str">
        <f>IFERROR(__xludf.DUMMYFUNCTION("""COMPUTED_VALUE"""),"Томь, Волков, Политех, столиц, кузбасс")</f>
        <v>Томь, Волков, Политех, столиц, кузбасс</v>
      </c>
      <c r="I64" s="6" t="str">
        <f>IFERROR(__xludf.DUMMYFUNCTION("""COMPUTED_VALUE"""),"Леонов, Антипов , Бобров , Васильев , Волошина , Мартемьянов , ")</f>
        <v>Леонов, Антипов , Бобров , Васильев , Волошина , Мартемьянов , </v>
      </c>
      <c r="J64" s="6" t="str">
        <f>IFERROR(__xludf.DUMMYFUNCTION("""COMPUTED_VALUE"""),"Тулеев, Цивелёв, Михайлов")</f>
        <v>Тулеев, Цивелёв, Михайлов</v>
      </c>
      <c r="K64" s="6" t="str">
        <f>IFERROR(__xludf.DUMMYFUNCTION("""COMPUTED_VALUE"""),"Поклонный крест")</f>
        <v>Поклонный крест</v>
      </c>
      <c r="L64" s="6" t="str">
        <f>IFERROR(__xludf.DUMMYFUNCTION("""COMPUTED_VALUE"""),"Песня ""Человек из Кемерово""")</f>
        <v>Песня "Человек из Кемерово"</v>
      </c>
      <c r="M64" s="6" t="str">
        <f>IFERROR(__xludf.DUMMYFUNCTION("""COMPUTED_VALUE"""),"столица кузбасса")</f>
        <v>столица кузбасса</v>
      </c>
      <c r="N64" s="6" t="str">
        <f>IFERROR(__xludf.DUMMYFUNCTION("""COMPUTED_VALUE"""),"Транспорт, пешеходные и велосипедные дорожки, парки, скверы, детские развлекательные объекты")</f>
        <v>Транспорт, пешеходные и велосипедные дорожки, парки, скверы, детские развлекательные объекты</v>
      </c>
      <c r="O64" s="6" t="str">
        <f>IFERROR(__xludf.DUMMYFUNCTION("""COMPUTED_VALUE"""),"Полностью перестроить район вокзала")</f>
        <v>Полностью перестроить район вокзала</v>
      </c>
      <c r="P64" s="6" t="str">
        <f>IFERROR(__xludf.DUMMYFUNCTION("""COMPUTED_VALUE"""),"а42, городские сообщества в соц. сетях")</f>
        <v>а42, городские сообщества в соц. сетях</v>
      </c>
      <c r="Q64"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64" s="6" t="str">
        <f>IFERROR(__xludf.DUMMYFUNCTION("""COMPUTED_VALUE"""),"День победы, день города, день Шахтера")</f>
        <v>День победы, день города, день Шахтера</v>
      </c>
      <c r="S64" s="6" t="str">
        <f>IFERROR(__xludf.DUMMYFUNCTION("""COMPUTED_VALUE"""),"Нет, не приходилось")</f>
        <v>Нет, не приходилось</v>
      </c>
      <c r="T64" s="6" t="str">
        <f>IFERROR(__xludf.DUMMYFUNCTION("""COMPUTED_VALUE"""),"Театры, кинотеатры, музеи, парки, скверы")</f>
        <v>Театры, кинотеатры, музеи, парки, скверы</v>
      </c>
      <c r="U64" s="6" t="str">
        <f>IFERROR(__xludf.DUMMYFUNCTION("""COMPUTED_VALUE"""),"Площадь Ленина")</f>
        <v>Площадь Ленина</v>
      </c>
      <c r="V64" s="6" t="str">
        <f>IFERROR(__xludf.DUMMYFUNCTION("""COMPUTED_VALUE"""),"много настроили и строят")</f>
        <v>много настроили и строят</v>
      </c>
      <c r="W64" s="6" t="str">
        <f>IFERROR(__xludf.DUMMYFUNCTION("""COMPUTED_VALUE"""),"нет отличительных качеств")</f>
        <v>нет отличительных качеств</v>
      </c>
      <c r="X64" s="6" t="str">
        <f>IFERROR(__xludf.DUMMYFUNCTION("""COMPUTED_VALUE"""),"Драмтеатр, весенняя, набережная реки Томь, парк Победы, парт Антошка")</f>
        <v>Драмтеатр, весенняя, набережная реки Томь, парк Победы, парт Антошка</v>
      </c>
      <c r="Y64" s="6" t="str">
        <f>IFERROR(__xludf.DUMMYFUNCTION("""COMPUTED_VALUE"""),"Проведение чемпионата мира по хоккею с мячом")</f>
        <v>Проведение чемпионата мира по хоккею с мячом</v>
      </c>
      <c r="Z64" s="6" t="str">
        <f>IFERROR(__xludf.DUMMYFUNCTION("""COMPUTED_VALUE"""),"снесли зимнюю вишню и построили парк ангелов")</f>
        <v>снесли зимнюю вишню и построили парк ангелов</v>
      </c>
      <c r="AA64" s="6" t="str">
        <f>IFERROR(__xludf.DUMMYFUNCTION("""COMPUTED_VALUE"""),"не было событий, которые вызвали бы негодования")</f>
        <v>не было событий, которые вызвали бы негодования</v>
      </c>
      <c r="AB64" s="6" t="str">
        <f>IFERROR(__xludf.DUMMYFUNCTION("""COMPUTED_VALUE"""),"нет таких")</f>
        <v>нет таких</v>
      </c>
      <c r="AC64" s="6" t="str">
        <f>IFERROR(__xludf.DUMMYFUNCTION("""COMPUTED_VALUE"""),"мероприятия для детей")</f>
        <v>мероприятия для детей</v>
      </c>
      <c r="AD64" s="6" t="str">
        <f>IFERROR(__xludf.DUMMYFUNCTION("""COMPUTED_VALUE"""),"только как наблюдатель")</f>
        <v>только как наблюдатель</v>
      </c>
      <c r="AE64" s="6" t="str">
        <f>IFERROR(__xludf.DUMMYFUNCTION("""COMPUTED_VALUE"""),"Мужской")</f>
        <v>Мужской</v>
      </c>
      <c r="AF64" s="6" t="str">
        <f>IFERROR(__xludf.DUMMYFUNCTION("""COMPUTED_VALUE"""),"30-44")</f>
        <v>30-44</v>
      </c>
      <c r="AG64" s="6"/>
      <c r="AH64" s="6"/>
      <c r="AI64" s="6"/>
      <c r="AJ64" s="6"/>
      <c r="AK64" s="6"/>
      <c r="AL64" s="6"/>
      <c r="AM64" s="6"/>
    </row>
    <row r="65">
      <c r="A65" s="4">
        <v>64.0</v>
      </c>
      <c r="B65" s="6" t="str">
        <f>IFERROR(__xludf.DUMMYFUNCTION("""COMPUTED_VALUE"""),"развиваю интернет магазин продуктов")</f>
        <v>развиваю интернет магазин продуктов</v>
      </c>
      <c r="C65" s="6" t="str">
        <f>IFERROR(__xludf.DUMMYFUNCTION("""COMPUTED_VALUE"""),"да - чтение книг, растяжка ( спорт)")</f>
        <v>да - чтение книг, растяжка ( спорт)</v>
      </c>
      <c r="D65" s="6" t="str">
        <f>IFERROR(__xludf.DUMMYFUNCTION("""COMPUTED_VALUE"""),"Ленинский")</f>
        <v>Ленинский</v>
      </c>
      <c r="E65" s="6" t="str">
        <f>IFERROR(__xludf.DUMMYFUNCTION("""COMPUTED_VALUE"""),"парк за собором на химиков")</f>
        <v>парк за собором на химиков</v>
      </c>
      <c r="F65" s="6" t="str">
        <f>IFERROR(__xludf.DUMMYFUNCTION("""COMPUTED_VALUE"""),"Переехал сюда из другого места (откуда? укажите в графе другое), переехала после школы с Белово")</f>
        <v>Переехал сюда из другого места (откуда? укажите в графе другое), переехала после школы с Белово</v>
      </c>
      <c r="G65" s="6" t="str">
        <f>IFERROR(__xludf.DUMMYFUNCTION("""COMPUTED_VALUE"""),"Томская писанница, гуляем в центре на набережной, парк жукова, у кадетки ( новой), сосновый бор")</f>
        <v>Томская писанница, гуляем в центре на набережной, парк жукова, у кадетки ( новой), сосновый бор</v>
      </c>
      <c r="H65" s="6" t="str">
        <f>IFERROR(__xludf.DUMMYFUNCTION("""COMPUTED_VALUE"""),"шахты, нет нормальных ТЦ, зеленый красивый компактный город")</f>
        <v>шахты, нет нормальных ТЦ, зеленый красивый компактный город</v>
      </c>
      <c r="I65" s="6" t="str">
        <f>IFERROR(__xludf.DUMMYFUNCTION("""COMPUTED_VALUE"""),"не знаю")</f>
        <v>не знаю</v>
      </c>
      <c r="J65" s="6" t="str">
        <f>IFERROR(__xludf.DUMMYFUNCTION("""COMPUTED_VALUE"""),"не знаю")</f>
        <v>не знаю</v>
      </c>
      <c r="K65" s="6" t="str">
        <f>IFERROR(__xludf.DUMMYFUNCTION("""COMPUTED_VALUE"""),"томская писанница, погулять на лесной поляне")</f>
        <v>томская писанница, погулять на лесной поляне</v>
      </c>
      <c r="L65" s="6" t="str">
        <f>IFERROR(__xludf.DUMMYFUNCTION("""COMPUTED_VALUE"""),"не знаю")</f>
        <v>не знаю</v>
      </c>
      <c r="M65" s="6" t="str">
        <f>IFERROR(__xludf.DUMMYFUNCTION("""COMPUTED_VALUE"""),"нет")</f>
        <v>нет</v>
      </c>
      <c r="N65" s="6" t="str">
        <f>IFERROR(__xludf.DUMMYFUNCTION("""COMPUTED_VALUE"""),"современные крупные ТЦ ( с бутиками масс-маркет), красивый зеленый город, транспортная развязка хорошая, культурные пространства, спортивные залы современные, много красивых интерьерных кафе, парки зеленые, чтобы летом можно было придти положить плед - по"&amp;"читать книгу ( устраивать пикники)")</f>
        <v>современные крупные ТЦ ( с бутиками масс-маркет), красивый зеленый город, транспортная развязка хорошая, культурные пространства, спортивные залы современные, много красивых интерьерных кафе, парки зеленые, чтобы летом можно было придти положить плед - почитать книгу ( устраивать пикники)</v>
      </c>
      <c r="O65" s="6" t="str">
        <f>IFERROR(__xludf.DUMMYFUNCTION("""COMPUTED_VALUE"""),"сосновый бор  - облагородить, парк сделйате  - как в Нск нарымский сквер, ТЦ откройте типа Планеты в Новокузнецке, Ауры в Нск")</f>
        <v>сосновый бор  - облагородить, парк сделйате  - как в Нск нарымский сквер, ТЦ откройте типа Планеты в Новокузнецке, Ауры в Нск</v>
      </c>
      <c r="P65" s="6" t="str">
        <f>IFERROR(__xludf.DUMMYFUNCTION("""COMPUTED_VALUE"""),"не помню, инста- друзья")</f>
        <v>не помню, инста- друзья</v>
      </c>
      <c r="Q6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бизнес-новости (средний чек/рекламные акции/запуск новых предприятий)</v>
      </c>
      <c r="R65" s="6" t="str">
        <f>IFERROR(__xludf.DUMMYFUNCTION("""COMPUTED_VALUE"""),"9 мая новый год")</f>
        <v>9 мая новый год</v>
      </c>
      <c r="S65" s="6" t="str">
        <f>IFERROR(__xludf.DUMMYFUNCTION("""COMPUTED_VALUE"""),"Нет, не приходилось")</f>
        <v>Нет, не приходилось</v>
      </c>
      <c r="T65" s="6" t="str">
        <f>IFERROR(__xludf.DUMMYFUNCTION("""COMPUTED_VALUE"""),"известен шахтами")</f>
        <v>известен шахтами</v>
      </c>
      <c r="U65" s="6" t="str">
        <f>IFERROR(__xludf.DUMMYFUNCTION("""COMPUTED_VALUE"""),"не знаю")</f>
        <v>не знаю</v>
      </c>
      <c r="V65" s="6" t="str">
        <f>IFERROR(__xludf.DUMMYFUNCTION("""COMPUTED_VALUE"""),"не знаю. хорошо - что стали строить много новых домов")</f>
        <v>не знаю. хорошо - что стали строить много новых домов</v>
      </c>
      <c r="W65" s="6" t="str">
        <f>IFERROR(__xludf.DUMMYFUNCTION("""COMPUTED_VALUE"""),"закрытые, зажатые")</f>
        <v>закрытые, зажатые</v>
      </c>
      <c r="X65" s="6" t="str">
        <f>IFERROR(__xludf.DUMMYFUNCTION("""COMPUTED_VALUE"""),"набережная ")</f>
        <v>набережная </v>
      </c>
      <c r="Y65" s="6" t="str">
        <f>IFERROR(__xludf.DUMMYFUNCTION("""COMPUTED_VALUE"""),"не знаю")</f>
        <v>не знаю</v>
      </c>
      <c r="Z65" s="6" t="str">
        <f>IFERROR(__xludf.DUMMYFUNCTION("""COMPUTED_VALUE"""),"не помню")</f>
        <v>не помню</v>
      </c>
      <c r="AA65" s="6" t="str">
        <f>IFERROR(__xludf.DUMMYFUNCTION("""COMPUTED_VALUE"""),"зимняя вишня")</f>
        <v>зимняя вишня</v>
      </c>
      <c r="AB65" s="6" t="str">
        <f>IFERROR(__xludf.DUMMYFUNCTION("""COMPUTED_VALUE"""),"не знаю как описать, где бы тусовались люди от 30 до 35")</f>
        <v>не знаю как описать, где бы тусовались люди от 30 до 35</v>
      </c>
      <c r="AC65" s="6" t="str">
        <f>IFERROR(__xludf.DUMMYFUNCTION("""COMPUTED_VALUE"""),"надо подумать, тороплюсь")</f>
        <v>надо подумать, тороплюсь</v>
      </c>
      <c r="AD65" s="6" t="str">
        <f>IFERROR(__xludf.DUMMYFUNCTION("""COMPUTED_VALUE"""),"голосовать ")</f>
        <v>голосовать </v>
      </c>
      <c r="AE65" s="6" t="str">
        <f>IFERROR(__xludf.DUMMYFUNCTION("""COMPUTED_VALUE"""),"Женский")</f>
        <v>Женский</v>
      </c>
      <c r="AF65" s="6" t="str">
        <f>IFERROR(__xludf.DUMMYFUNCTION("""COMPUTED_VALUE"""),"30-44")</f>
        <v>30-44</v>
      </c>
      <c r="AG65" s="6"/>
      <c r="AH65" s="6"/>
      <c r="AI65" s="6"/>
      <c r="AJ65" s="6"/>
      <c r="AK65" s="6"/>
      <c r="AL65" s="6"/>
      <c r="AM65" s="6"/>
    </row>
    <row r="66">
      <c r="A66" s="4">
        <v>65.0</v>
      </c>
      <c r="B66" s="6" t="str">
        <f>IFERROR(__xludf.DUMMYFUNCTION("""COMPUTED_VALUE"""),"Менеджер Отдела сохранения активной клиентской базы. Взаимодействие с внешним и внутренним клиентами компании, помощь и консультация в вопросах о компании. Аналитика, проработка идей по улучшению качества обслуживания и удержания клиентов. Частый гость в "&amp;"проектах где требуется custdev и глубинное интервью. Если коротко, люблю общаться и помогать.)")</f>
        <v>Менеджер Отдела сохранения активной клиентской базы. Взаимодействие с внешним и внутренним клиентами компании, помощь и консультация в вопросах о компании. Аналитика, проработка идей по улучшению качества обслуживания и удержания клиентов. Частый гость в проектах где требуется custdev и глубинное интервью. Если коротко, люблю общаться и помогать.)</v>
      </c>
      <c r="C66" s="6" t="str">
        <f>IFERROR(__xludf.DUMMYFUNCTION("""COMPUTED_VALUE"""),"Основное хобби это моя жена и сын ими я увлечен, каждый день. Второстепенное - электрика, так же является и доп. заработком.")</f>
        <v>Основное хобби это моя жена и сын ими я увлечен, каждый день. Второстепенное - электрика, так же является и доп. заработком.</v>
      </c>
      <c r="D66" s="6" t="str">
        <f>IFERROR(__xludf.DUMMYFUNCTION("""COMPUTED_VALUE"""),"Центральный. Остановка универмаг, вообще называем район Юбилейного)")</f>
        <v>Центральный. Остановка универмаг, вообще называем район Юбилейного)</v>
      </c>
      <c r="E66" s="6" t="str">
        <f>IFERROR(__xludf.DUMMYFUNCTION("""COMPUTED_VALUE"""),"Драм театр, площадь советов, парк им. Веры Волошиной. Бульвар (на строителей), сосновый бор, красная горка, вокзал, хлебзавод.")</f>
        <v>Драм театр, площадь советов, парк им. Веры Волошиной. Бульвар (на строителей), сосновый бор, красная горка, вокзал, хлебзавод.</v>
      </c>
      <c r="F66" s="6" t="str">
        <f>IFERROR(__xludf.DUMMYFUNCTION("""COMPUTED_VALUE"""),"Живу здесь с рождения")</f>
        <v>Живу здесь с рождения</v>
      </c>
      <c r="G66" s="6" t="str">
        <f>IFERROR(__xludf.DUMMYFUNCTION("""COMPUTED_VALUE"""),"Так как времени свободного от работы и доп. заработка не так много, то чаще всего ходим туда где ближе - это парк им.Веры Волошиной, но мы его называем Юбилейный с детства.")</f>
        <v>Так как времени свободного от работы и доп. заработка не так много, то чаще всего ходим туда где ближе - это парк им.Веры Волошиной, но мы его называем Юбилейный с детства.</v>
      </c>
      <c r="H66" s="6" t="str">
        <f>IFERROR(__xludf.DUMMYFUNCTION("""COMPUTED_VALUE"""),"Большая деревня, вежливые водители, торгуй-развлекайся, безразличные жители, самый обычный")</f>
        <v>Большая деревня, вежливые водители, торгуй-развлекайся, безразличные жители, самый обычный</v>
      </c>
      <c r="I66" s="6" t="str">
        <f>IFERROR(__xludf.DUMMYFUNCTION("""COMPUTED_VALUE"""),"Волков")</f>
        <v>Волков</v>
      </c>
      <c r="J66" s="6" t="str">
        <f>IFERROR(__xludf.DUMMYFUNCTION("""COMPUTED_VALUE"""),"Леонов, Гришковец.")</f>
        <v>Леонов, Гришковец.</v>
      </c>
      <c r="K66" s="6" t="str">
        <f>IFERROR(__xludf.DUMMYFUNCTION("""COMPUTED_VALUE"""),"Японское кладбище на пред заводском. Завод ""коммунар"" в кировском, так мы его назвали, не знаю можно ли сейчас туда попасть давно там не был, вообще нельзя там находится, но если меня попросили показать что-то интересное, отвел бы именно туда. Когда там"&amp;" находишься, такое ощущение будто попадаешь в другое время.")</f>
        <v>Японское кладбище на пред заводском. Завод "коммунар" в кировском, так мы его назвали, не знаю можно ли сейчас туда попасть давно там не был, вообще нельзя там находится, но если меня попросили показать что-то интересное, отвел бы именно туда. Когда там находишься, такое ощущение будто попадаешь в другое время.</v>
      </c>
      <c r="L66" s="6" t="str">
        <f>IFERROR(__xludf.DUMMYFUNCTION("""COMPUTED_VALUE"""),"Всегда одно слышу, Кемерово это большая деревня, говорят что-то про то что ты что то сказал дома, завтра уже весь город знает.")</f>
        <v>Всегда одно слышу, Кемерово это большая деревня, говорят что-то про то что ты что то сказал дома, завтра уже весь город знает.</v>
      </c>
      <c r="M66" s="6" t="str">
        <f>IFERROR(__xludf.DUMMYFUNCTION("""COMPUTED_VALUE"""),"По-кемеровски не разу не слышал.")</f>
        <v>По-кемеровски не разу не слышал.</v>
      </c>
      <c r="N66" s="6" t="str">
        <f>IFERROR(__xludf.DUMMYFUNCTION("""COMPUTED_VALUE"""),"Экологичный, Возможность на транспорте добираться из одной точки города в другую, без препятствий, свои продукты, по нормальной цене, то что сейчас на прилавках едой не назовёшь, порядок, а не создание видимости это про работу правоохранительных органов и"&amp;" порядочные соседи)")</f>
        <v>Экологичный, Возможность на транспорте добираться из одной точки города в другую, без препятствий, свои продукты, по нормальной цене, то что сейчас на прилавках едой не назовёшь, порядок, а не создание видимости это про работу правоохранительных органов и порядочные соседи)</v>
      </c>
      <c r="O66" s="6" t="str">
        <f>IFERROR(__xludf.DUMMYFUNCTION("""COMPUTED_VALUE"""),"Да надо ходя бы косметику навести нормальную, что то пытаются красить, но выглядит это ужасно, например вокзал покрасили в цвет которым красят в больницах, и так весь город в таком цвете и обязать жителей убирать за своими питомцами, повсюду это ... от их"&amp;" питомцев.")</f>
        <v>Да надо ходя бы косметику навести нормальную, что то пытаются красить, но выглядит это ужасно, например вокзал покрасили в цвет которым красят в больницах, и так весь город в таком цвете и обязать жителей убирать за своими питомцами, повсюду это ... от их питомцев.</v>
      </c>
      <c r="P66" s="6" t="str">
        <f>IFERROR(__xludf.DUMMYFUNCTION("""COMPUTED_VALUE"""),"Я узнаю из скидки a42 в нашем чате, можно попасть в интересные места по доступной для меня цене благодаря весьма не плохим скидкам.")</f>
        <v>Я узнаю из скидки a42 в нашем чате, можно попасть в интересные места по доступной для меня цене благодаря весьма не плохим скидкам.</v>
      </c>
      <c r="Q66"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66" s="6" t="str">
        <f>IFERROR(__xludf.DUMMYFUNCTION("""COMPUTED_VALUE"""),"День шахтера, друзья шахтеры.")</f>
        <v>День шахтера, друзья шахтеры.</v>
      </c>
      <c r="S66" s="6" t="str">
        <f>IFERROR(__xludf.DUMMYFUNCTION("""COMPUTED_VALUE"""),"Нет, не приходилось")</f>
        <v>Нет, не приходилось</v>
      </c>
      <c r="T66" s="6" t="str">
        <f>IFERROR(__xludf.DUMMYFUNCTION("""COMPUTED_VALUE"""),"Уголь, спрашивая иногородних, отвечают аа у вас там уголь, шахтеры.")</f>
        <v>Уголь, спрашивая иногородних, отвечают аа у вас там уголь, шахтеры.</v>
      </c>
      <c r="U66" s="6" t="str">
        <f>IFERROR(__xludf.DUMMYFUNCTION("""COMPUTED_VALUE"""),"По факту центр юбилейный, в любую точку города добираешься примерно за 20-30 минут")</f>
        <v>По факту центр юбилейный, в любую точку города добираешься примерно за 20-30 минут</v>
      </c>
      <c r="V66" s="6" t="str">
        <f>IFERROR(__xludf.DUMMYFUNCTION("""COMPUTED_VALUE"""),"Думаю что предки добывали уголь, строили, развивали город были едины. Сейчас это может и есть, но не видно. Чего то нового нет, суд строят новый. а зачем он? Чем старый был плох? Как городу это поможет. ")</f>
        <v>Думаю что предки добывали уголь, строили, развивали город были едины. Сейчас это может и есть, но не видно. Чего то нового нет, суд строят новый. а зачем он? Чем старый был плох? Как городу это поможет. </v>
      </c>
      <c r="W66" s="6" t="str">
        <f>IFERROR(__xludf.DUMMYFUNCTION("""COMPUTED_VALUE"""),"Большинство отзывчивые, в глубине добрые, очень уставшие.")</f>
        <v>Большинство отзывчивые, в глубине добрые, очень уставшие.</v>
      </c>
      <c r="X66" s="6" t="str">
        <f>IFERROR(__xludf.DUMMYFUNCTION("""COMPUTED_VALUE"""),"От вокзала, сразу в центр, перекусить в дороги, благо есть с чего выбрать. После в Городской сад и на бережную, вечный огонь, после фонтан и по весенней.)")</f>
        <v>От вокзала, сразу в центр, перекусить в дороги, благо есть с чего выбрать. После в Городской сад и на бережную, вечный огонь, после фонтан и по весенней.)</v>
      </c>
      <c r="Y66" s="6" t="str">
        <f>IFERROR(__xludf.DUMMYFUNCTION("""COMPUTED_VALUE"""),"Нашли уголь.")</f>
        <v>Нашли уголь.</v>
      </c>
      <c r="Z66" s="6" t="str">
        <f>IFERROR(__xludf.DUMMYFUNCTION("""COMPUTED_VALUE"""),"Goodline open, кинопоказы, без при увеличений очень крутые и яркие мероприятия.")</f>
        <v>Goodline open, кинопоказы, без при увеличений очень крутые и яркие мероприятия.</v>
      </c>
      <c r="AA66" s="6" t="str">
        <f>IFERROR(__xludf.DUMMYFUNCTION("""COMPUTED_VALUE"""),"Постройка парка отдыха, на месте трагедии тц ""Зимняя Вишня"".")</f>
        <v>Постройка парка отдыха, на месте трагедии тц "Зимняя Вишня".</v>
      </c>
      <c r="AB66" s="6" t="str">
        <f>IFERROR(__xludf.DUMMYFUNCTION("""COMPUTED_VALUE"""),"не думал об этом, труд поглощается время, тут правильнее задать вопрос, есть ли время у меня быть участником какого-либо сообщества")</f>
        <v>не думал об этом, труд поглощается время, тут правильнее задать вопрос, есть ли время у меня быть участником какого-либо сообщества</v>
      </c>
      <c r="AC66" s="6" t="str">
        <f>IFERROR(__xludf.DUMMYFUNCTION("""COMPUTED_VALUE"""),"Семейных, что-то в стиле посадки деревьев, уборок в парках.  Убирать город надо, подавать пример всем, призывать людей к чистоте, помогать и уважать друг друга.")</f>
        <v>Семейных, что-то в стиле посадки деревьев, уборок в парках.  Убирать город надо, подавать пример всем, призывать людей к чистоте, помогать и уважать друг друга.</v>
      </c>
      <c r="AD66" s="6" t="str">
        <f>IFERROR(__xludf.DUMMYFUNCTION("""COMPUTED_VALUE"""),"Как участник потому что смогу проводить время  с семьёй и готов сделать что-то безвозмездно, в роли руководителя так не выйдет, слишком много времени это занимает, тут уже прям работать надо это не совсем участие.")</f>
        <v>Как участник потому что смогу проводить время  с семьёй и готов сделать что-то безвозмездно, в роли руководителя так не выйдет, слишком много времени это занимает, тут уже прям работать надо это не совсем участие.</v>
      </c>
      <c r="AE66" s="6" t="str">
        <f>IFERROR(__xludf.DUMMYFUNCTION("""COMPUTED_VALUE"""),"Мужской")</f>
        <v>Мужской</v>
      </c>
      <c r="AF66" s="6" t="str">
        <f>IFERROR(__xludf.DUMMYFUNCTION("""COMPUTED_VALUE"""),"30-44")</f>
        <v>30-44</v>
      </c>
      <c r="AG66" s="6"/>
      <c r="AH66" s="6"/>
      <c r="AI66" s="6"/>
      <c r="AJ66" s="6"/>
      <c r="AK66" s="6"/>
      <c r="AL66" s="6"/>
      <c r="AM66" s="6"/>
    </row>
    <row r="67">
      <c r="A67" s="4">
        <v>66.0</v>
      </c>
      <c r="B67" s="6" t="str">
        <f>IFERROR(__xludf.DUMMYFUNCTION("""COMPUTED_VALUE"""),"Пиар")</f>
        <v>Пиар</v>
      </c>
      <c r="C67" s="6" t="str">
        <f>IFERROR(__xludf.DUMMYFUNCTION("""COMPUTED_VALUE"""),"Спорт")</f>
        <v>Спорт</v>
      </c>
      <c r="D67" s="6" t="str">
        <f>IFERROR(__xludf.DUMMYFUNCTION("""COMPUTED_VALUE"""),"Центральный. Старый центр")</f>
        <v>Центральный. Старый центр</v>
      </c>
      <c r="E67" s="6" t="str">
        <f>IFERROR(__xludf.DUMMYFUNCTION("""COMPUTED_VALUE"""),"Набережная")</f>
        <v>Набережная</v>
      </c>
      <c r="F67"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67" s="6" t="str">
        <f>IFERROR(__xludf.DUMMYFUNCTION("""COMPUTED_VALUE"""),"Спортзал")</f>
        <v>Спортзал</v>
      </c>
      <c r="H67" s="6" t="str">
        <f>IFERROR(__xludf.DUMMYFUNCTION("""COMPUTED_VALUE"""),"Загазованный и дымный, грязный снег, плохой аромат зимой")</f>
        <v>Загазованный и дымный, грязный снег, плохой аромат зимой</v>
      </c>
      <c r="I67" s="6" t="str">
        <f>IFERROR(__xludf.DUMMYFUNCTION("""COMPUTED_VALUE"""),"Леонов")</f>
        <v>Леонов</v>
      </c>
      <c r="J67" s="6" t="str">
        <f>IFERROR(__xludf.DUMMYFUNCTION("""COMPUTED_VALUE"""),"Раздаев. Остальные давно свалили и забыли как страшный сон")</f>
        <v>Раздаев. Остальные давно свалили и забыли как страшный сон</v>
      </c>
      <c r="K67" s="6" t="str">
        <f>IFERROR(__xludf.DUMMYFUNCTION("""COMPUTED_VALUE"""),"Другую сторону Томи (Кировскую набережную)")</f>
        <v>Другую сторону Томи (Кировскую набережную)</v>
      </c>
      <c r="L67" s="6" t="str">
        <f>IFERROR(__xludf.DUMMYFUNCTION("""COMPUTED_VALUE"""),"-")</f>
        <v>-</v>
      </c>
      <c r="M67" s="6" t="str">
        <f>IFERROR(__xludf.DUMMYFUNCTION("""COMPUTED_VALUE"""),"-")</f>
        <v>-</v>
      </c>
      <c r="N67" s="6" t="str">
        <f>IFERROR(__xludf.DUMMYFUNCTION("""COMPUTED_VALUE"""),"Чистый воздух, чистые улицы, чистый транспорт, чистые люди, чистые общественные места")</f>
        <v>Чистый воздух, чистые улицы, чистый транспорт, чистые люди, чистые общественные места</v>
      </c>
      <c r="O67" s="6" t="str">
        <f>IFERROR(__xludf.DUMMYFUNCTION("""COMPUTED_VALUE"""),"Убраться на улицах города, увозить зимой грязный снег, убрать ужасные некрасивые несовременные вывески, покрасить дома не только со стороны улицы, но и внутри. Но больше проблем вызывает не внешний вид, а экология. Это просто ужас, особенно зимой. И именн"&amp;"о на это надо обратить внимание, а не на внешний вид, все мои товарищи уехали только по этой причине - нечем дышать")</f>
        <v>Убраться на улицах города, увозить зимой грязный снег, убрать ужасные некрасивые несовременные вывески, покрасить дома не только со стороны улицы, но и внутри. Но больше проблем вызывает не внешний вид, а экология. Это просто ужас, особенно зимой. И именно на это надо обратить внимание, а не на внешний вид, все мои товарищи уехали только по этой причине - нечем дышать</v>
      </c>
      <c r="P67" s="6" t="str">
        <f>IFERROR(__xludf.DUMMYFUNCTION("""COMPUTED_VALUE"""),"А42, мэрия города, телеграм-каналы")</f>
        <v>А42, мэрия города, телеграм-каналы</v>
      </c>
      <c r="Q67" s="6" t="str">
        <f>IFERROR(__xludf.DUMMYFUNCTION("""COMPUTED_VALUE"""),"бизнес-новости (средний чек/рекламные акции/запуск новых предприятий)")</f>
        <v>бизнес-новости (средний чек/рекламные акции/запуск новых предприятий)</v>
      </c>
      <c r="R67" s="6" t="str">
        <f>IFERROR(__xludf.DUMMYFUNCTION("""COMPUTED_VALUE"""),"По-моему, существует только один чисто городской праздник - День города")</f>
        <v>По-моему, существует только один чисто городской праздник - День города</v>
      </c>
      <c r="S67" s="6" t="str">
        <f>IFERROR(__xludf.DUMMYFUNCTION("""COMPUTED_VALUE"""),"Нет, не приходилось")</f>
        <v>Нет, не приходилось</v>
      </c>
      <c r="T67" s="6" t="str">
        <f>IFERROR(__xludf.DUMMYFUNCTION("""COMPUTED_VALUE"""),"Зимняя вишня, Парк ангелов, плохая экология")</f>
        <v>Зимняя вишня, Парк ангелов, плохая экология</v>
      </c>
      <c r="U67" s="6" t="str">
        <f>IFERROR(__xludf.DUMMYFUNCTION("""COMPUTED_VALUE"""),"Парк ангелов, площадь Советов")</f>
        <v>Парк ангелов, площадь Советов</v>
      </c>
      <c r="V67" s="6" t="str">
        <f>IFERROR(__xludf.DUMMYFUNCTION("""COMPUTED_VALUE"""),"-")</f>
        <v>-</v>
      </c>
      <c r="W67" s="6" t="str">
        <f>IFERROR(__xludf.DUMMYFUNCTION("""COMPUTED_VALUE"""),"-")</f>
        <v>-</v>
      </c>
      <c r="X67" s="6" t="str">
        <f>IFERROR(__xludf.DUMMYFUNCTION("""COMPUTED_VALUE"""),"На машине по старому центру и только")</f>
        <v>На машине по старому центру и только</v>
      </c>
      <c r="Y67" s="6" t="str">
        <f>IFERROR(__xludf.DUMMYFUNCTION("""COMPUTED_VALUE"""),"Зимняя вишня, уход Тулеева")</f>
        <v>Зимняя вишня, уход Тулеева</v>
      </c>
      <c r="Z67" s="6" t="str">
        <f>IFERROR(__xludf.DUMMYFUNCTION("""COMPUTED_VALUE"""),"Елка на площади Советов")</f>
        <v>Елка на площади Советов</v>
      </c>
      <c r="AA67" s="6" t="str">
        <f>IFERROR(__xludf.DUMMYFUNCTION("""COMPUTED_VALUE"""),"Какой хитренький вопрос:) ")</f>
        <v>Какой хитренький вопрос:) </v>
      </c>
      <c r="AB67" s="6" t="str">
        <f>IFERROR(__xludf.DUMMYFUNCTION("""COMPUTED_VALUE"""),"-")</f>
        <v>-</v>
      </c>
      <c r="AC67" s="6" t="str">
        <f>IFERROR(__xludf.DUMMYFUNCTION("""COMPUTED_VALUE"""),"-")</f>
        <v>-</v>
      </c>
      <c r="AD67" s="6" t="str">
        <f>IFERROR(__xludf.DUMMYFUNCTION("""COMPUTED_VALUE"""),"-")</f>
        <v>-</v>
      </c>
      <c r="AE67" s="6" t="str">
        <f>IFERROR(__xludf.DUMMYFUNCTION("""COMPUTED_VALUE"""),"Женский")</f>
        <v>Женский</v>
      </c>
      <c r="AF67" s="6" t="str">
        <f>IFERROR(__xludf.DUMMYFUNCTION("""COMPUTED_VALUE"""),"30-44")</f>
        <v>30-44</v>
      </c>
      <c r="AG67" s="6"/>
      <c r="AH67" s="6"/>
      <c r="AI67" s="6"/>
      <c r="AJ67" s="6"/>
      <c r="AK67" s="6"/>
      <c r="AL67" s="6"/>
      <c r="AM67" s="6"/>
    </row>
    <row r="68">
      <c r="A68" s="4">
        <v>67.0</v>
      </c>
      <c r="B68" s="6" t="str">
        <f>IFERROR(__xludf.DUMMYFUNCTION("""COMPUTED_VALUE"""),"Я программист, разработчик БД")</f>
        <v>Я программист, разработчик БД</v>
      </c>
      <c r="C68" s="6" t="str">
        <f>IFERROR(__xludf.DUMMYFUNCTION("""COMPUTED_VALUE"""),"Увлекаюсь нахлыстовой рыбалкой летом, Сноубордом - зимой")</f>
        <v>Увлекаюсь нахлыстовой рыбалкой летом, Сноубордом - зимой</v>
      </c>
      <c r="D68" s="6" t="str">
        <f>IFERROR(__xludf.DUMMYFUNCTION("""COMPUTED_VALUE"""),"Рудничный район (Радуга)")</f>
        <v>Рудничный район (Радуга)</v>
      </c>
      <c r="E68" s="6" t="str">
        <f>IFERROR(__xludf.DUMMYFUNCTION("""COMPUTED_VALUE"""),"рядом - Сосновый бор, на главной улице небольшая, ухоженная церквушка. Музей шахтерской славы - Красная горка с памятником Шахтерам. ДК Шахтеров")</f>
        <v>рядом - Сосновый бор, на главной улице небольшая, ухоженная церквушка. Музей шахтерской славы - Красная горка с памятником Шахтерам. ДК Шахтеров</v>
      </c>
      <c r="F68" s="6" t="str">
        <f>IFERROR(__xludf.DUMMYFUNCTION("""COMPUTED_VALUE"""),"Живу здесь с рождения")</f>
        <v>Живу здесь с рождения</v>
      </c>
      <c r="G68" s="6" t="str">
        <f>IFERROR(__xludf.DUMMYFUNCTION("""COMPUTED_VALUE"""),"в БОР либо прям у дома либо в сосновый. В парк Чудес и на набережную реки Томь")</f>
        <v>в БОР либо прям у дома либо в сосновый. В парк Чудес и на набережную реки Томь</v>
      </c>
      <c r="H68" s="6" t="str">
        <f>IFERROR(__xludf.DUMMYFUNCTION("""COMPUTED_VALUE"""),"Уголь, Вишня, Колдобины, ГорСад, Уют")</f>
        <v>Уголь, Вишня, Колдобины, ГорСад, Уют</v>
      </c>
      <c r="I68" s="6" t="str">
        <f>IFERROR(__xludf.DUMMYFUNCTION("""COMPUTED_VALUE"""),"Леонов А.А. и Раздаев В.А. Волошина В.Д.")</f>
        <v>Леонов А.А. и Раздаев В.А. Волошина В.Д.</v>
      </c>
      <c r="J68" s="6" t="str">
        <f>IFERROR(__xludf.DUMMYFUNCTION("""COMPUTED_VALUE"""),"затрудняюсь ответить")</f>
        <v>затрудняюсь ответить</v>
      </c>
      <c r="K68" s="6" t="str">
        <f>IFERROR(__xludf.DUMMYFUNCTION("""COMPUTED_VALUE"""),"Парк победы, музей Красная горка")</f>
        <v>Парк победы, музей Красная горка</v>
      </c>
      <c r="L68" s="6" t="str">
        <f>IFERROR(__xludf.DUMMYFUNCTION("""COMPUTED_VALUE"""),"затрудняюсь")</f>
        <v>затрудняюсь</v>
      </c>
      <c r="M68" s="6" t="str">
        <f>IFERROR(__xludf.DUMMYFUNCTION("""COMPUTED_VALUE"""),"-")</f>
        <v>-</v>
      </c>
      <c r="N68" s="6" t="str">
        <f>IFERROR(__xludf.DUMMYFUNCTION("""COMPUTED_VALUE"""),"Наличие рабочих мест с достойной оплатой труда, Отсутствие пробок, доступность муниципальных учреждений, работа коммунальных служб - чистота, плотность населения до 1 млн человек")</f>
        <v>Наличие рабочих мест с достойной оплатой труда, Отсутствие пробок, доступность муниципальных учреждений, работа коммунальных служб - чистота, плотность населения до 1 млн человек</v>
      </c>
      <c r="O68" s="6" t="str">
        <f>IFERROR(__xludf.DUMMYFUNCTION("""COMPUTED_VALUE"""),"Нормально ремонтировать дороги - везде, не только в центре. Построить объездную дорогу для большегрузов и транзитников")</f>
        <v>Нормально ремонтировать дороги - везде, не только в центре. Построить объездную дорогу для большегрузов и транзитников</v>
      </c>
      <c r="P68" s="6" t="str">
        <f>IFERROR(__xludf.DUMMYFUNCTION("""COMPUTED_VALUE"""),"Как правило от друзей и знакомых")</f>
        <v>Как правило от друзей и знакомых</v>
      </c>
      <c r="Q68" s="6" t="str">
        <f>IFERROR(__xludf.DUMMYFUNCTION("""COMPUTED_VALUE"""),"городская афиша (кино/театр/концерты), криминальные новости (происшествия/преступления), новости про новые профессии/куда поступать/вакансии")</f>
        <v>городская афиша (кино/театр/концерты), криминальные новости (происшествия/преступления), новости про новые профессии/куда поступать/вакансии</v>
      </c>
      <c r="R68" s="6" t="str">
        <f>IFERROR(__xludf.DUMMYFUNCTION("""COMPUTED_VALUE"""),"День победы, день города")</f>
        <v>День победы, день города</v>
      </c>
      <c r="S68" s="6" t="str">
        <f>IFERROR(__xludf.DUMMYFUNCTION("""COMPUTED_VALUE"""),"Нет, не приходилось")</f>
        <v>Нет, не приходилось</v>
      </c>
      <c r="T68" s="6" t="str">
        <f>IFERROR(__xludf.DUMMYFUNCTION("""COMPUTED_VALUE"""),"затрудняюсь сказать")</f>
        <v>затрудняюсь сказать</v>
      </c>
      <c r="U68" s="6" t="str">
        <f>IFERROR(__xludf.DUMMYFUNCTION("""COMPUTED_VALUE"""),"Театр Драмы")</f>
        <v>Театр Драмы</v>
      </c>
      <c r="V68" s="6" t="str">
        <f>IFERROR(__xludf.DUMMYFUNCTION("""COMPUTED_VALUE"""),"затрудняюсь сказать")</f>
        <v>затрудняюсь сказать</v>
      </c>
      <c r="W68" s="6" t="str">
        <f>IFERROR(__xludf.DUMMYFUNCTION("""COMPUTED_VALUE"""),"Беспечные и близорукие")</f>
        <v>Беспечные и близорукие</v>
      </c>
      <c r="X68" s="6" t="str">
        <f>IFERROR(__xludf.DUMMYFUNCTION("""COMPUTED_VALUE"""),"Парк Чудес - Набережная Томи - Парк победы")</f>
        <v>Парк Чудес - Набережная Томи - Парк победы</v>
      </c>
      <c r="Y68" s="6" t="str">
        <f>IFERROR(__xludf.DUMMYFUNCTION("""COMPUTED_VALUE"""),"затрудняюсь сказать")</f>
        <v>затрудняюсь сказать</v>
      </c>
      <c r="Z68" s="6" t="str">
        <f>IFERROR(__xludf.DUMMYFUNCTION("""COMPUTED_VALUE"""),"Начало строительства московской площади и облагораживание прилегающей территории")</f>
        <v>Начало строительства московской площади и облагораживание прилегающей территории</v>
      </c>
      <c r="AA68" s="6" t="str">
        <f>IFERROR(__xludf.DUMMYFUNCTION("""COMPUTED_VALUE"""),"Пандемия и не соблюдения масочного режима")</f>
        <v>Пандемия и не соблюдения масочного режима</v>
      </c>
      <c r="AB68" s="6" t="str">
        <f>IFERROR(__xludf.DUMMYFUNCTION("""COMPUTED_VALUE"""),"затрудняюсь сказать")</f>
        <v>затрудняюсь сказать</v>
      </c>
      <c r="AC68" s="6" t="str">
        <f>IFERROR(__xludf.DUMMYFUNCTION("""COMPUTED_VALUE"""),"мне всего хватает")</f>
        <v>мне всего хватает</v>
      </c>
      <c r="AD68" s="6" t="str">
        <f>IFERROR(__xludf.DUMMYFUNCTION("""COMPUTED_VALUE"""),"затрудняюсь сказать")</f>
        <v>затрудняюсь сказать</v>
      </c>
      <c r="AE68" s="6" t="str">
        <f>IFERROR(__xludf.DUMMYFUNCTION("""COMPUTED_VALUE"""),"Мужской")</f>
        <v>Мужской</v>
      </c>
      <c r="AF68" s="6" t="str">
        <f>IFERROR(__xludf.DUMMYFUNCTION("""COMPUTED_VALUE"""),"30-44")</f>
        <v>30-44</v>
      </c>
      <c r="AG68" s="6"/>
      <c r="AH68" s="6"/>
      <c r="AI68" s="6"/>
      <c r="AJ68" s="6"/>
      <c r="AK68" s="6"/>
      <c r="AL68" s="6"/>
      <c r="AM68" s="6"/>
    </row>
    <row r="69">
      <c r="A69" s="4">
        <v>68.0</v>
      </c>
      <c r="B69" s="6" t="str">
        <f>IFERROR(__xludf.DUMMYFUNCTION("""COMPUTED_VALUE"""),"Охранная,работаю")</f>
        <v>Охранная,работаю</v>
      </c>
      <c r="C69" s="6" t="str">
        <f>IFERROR(__xludf.DUMMYFUNCTION("""COMPUTED_VALUE"""),"Огород круглый год")</f>
        <v>Огород круглый год</v>
      </c>
      <c r="D69" s="6" t="str">
        <f>IFERROR(__xludf.DUMMYFUNCTION("""COMPUTED_VALUE"""),"Фпк")</f>
        <v>Фпк</v>
      </c>
      <c r="E69" s="6" t="str">
        <f>IFERROR(__xludf.DUMMYFUNCTION("""COMPUTED_VALUE"""),"Сквер у фантана")</f>
        <v>Сквер у фантана</v>
      </c>
      <c r="F69" s="6" t="str">
        <f>IFERROR(__xludf.DUMMYFUNCTION("""COMPUTED_VALUE"""),"Живу здесь с рождения")</f>
        <v>Живу здесь с рождения</v>
      </c>
      <c r="G69" s="6" t="str">
        <f>IFERROR(__xludf.DUMMYFUNCTION("""COMPUTED_VALUE"""),"Музеи, заповедники, развлечения")</f>
        <v>Музеи, заповедники, развлечения</v>
      </c>
      <c r="H69" s="6" t="str">
        <f>IFERROR(__xludf.DUMMYFUNCTION("""COMPUTED_VALUE"""),"Томь , город,деревня ")</f>
        <v>Томь , город,деревня </v>
      </c>
      <c r="I69" s="6" t="str">
        <f>IFERROR(__xludf.DUMMYFUNCTION("""COMPUTED_VALUE"""),"Волков, Рутгерс, Волошина, Мартемьянов, ")</f>
        <v>Волков, Рутгерс, Волошина, Мартемьянов, </v>
      </c>
      <c r="J69" s="6" t="str">
        <f>IFERROR(__xludf.DUMMYFUNCTION("""COMPUTED_VALUE"""),"Раздаев,Тулеев, Леонов,Подгорбунский,Бобров")</f>
        <v>Раздаев,Тулеев, Леонов,Подгорбунский,Бобров</v>
      </c>
      <c r="K69" s="6" t="str">
        <f>IFERROR(__xludf.DUMMYFUNCTION("""COMPUTED_VALUE"""),"Красная горка, музеи,памятники ")</f>
        <v>Красная горка, музеи,памятники </v>
      </c>
      <c r="L69" s="6" t="str">
        <f>IFERROR(__xludf.DUMMYFUNCTION("""COMPUTED_VALUE"""),"Вот моя деревня, вот мой дом родной!")</f>
        <v>Вот моя деревня, вот мой дом родной!</v>
      </c>
      <c r="M69" s="6" t="str">
        <f>IFERROR(__xludf.DUMMYFUNCTION("""COMPUTED_VALUE"""),"-")</f>
        <v>-</v>
      </c>
      <c r="N69" s="6" t="str">
        <f>IFERROR(__xludf.DUMMYFUNCTION("""COMPUTED_VALUE"""),"Уют, ")</f>
        <v>Уют, </v>
      </c>
      <c r="O69" s="6" t="str">
        <f>IFERROR(__xludf.DUMMYFUNCTION("""COMPUTED_VALUE"""),"Своевременная уборка ( сезонная)")</f>
        <v>Своевременная уборка ( сезонная)</v>
      </c>
      <c r="P69" s="6" t="str">
        <f>IFERROR(__xludf.DUMMYFUNCTION("""COMPUTED_VALUE"""),"Вести Кузбасс, интернет")</f>
        <v>Вести Кузбасс, интернет</v>
      </c>
      <c r="Q69" s="6" t="str">
        <f>IFERROR(__xludf.DUMMYFUNCTION("""COMPUTED_VALUE"""),"куда пойти в свободное время, городская афиша (кино/театр/концерты), криминальные новости (происшествия/преступления), результаты местных исследований (рейтинги/аналитика/тенденции), Всего понемногу!")</f>
        <v>куда пойти в свободное время, городская афиша (кино/театр/концерты), криминальные новости (происшествия/преступления), результаты местных исследований (рейтинги/аналитика/тенденции), Всего понемногу!</v>
      </c>
      <c r="R69" s="6" t="str">
        <f>IFERROR(__xludf.DUMMYFUNCTION("""COMPUTED_VALUE"""),"День шахтера, города!")</f>
        <v>День шахтера, города!</v>
      </c>
      <c r="S69" s="6" t="str">
        <f>IFERROR(__xludf.DUMMYFUNCTION("""COMPUTED_VALUE"""),"Нет, не приходилось")</f>
        <v>Нет, не приходилось</v>
      </c>
      <c r="T69" s="6" t="str">
        <f>IFERROR(__xludf.DUMMYFUNCTION("""COMPUTED_VALUE"""),"Уголь, кокс и 2 лисьих хвоста!")</f>
        <v>Уголь, кокс и 2 лисьих хвоста!</v>
      </c>
      <c r="U69" s="6" t="str">
        <f>IFERROR(__xludf.DUMMYFUNCTION("""COMPUTED_VALUE"""),"Часовня шахтёрам,площадь советов")</f>
        <v>Часовня шахтёрам,площадь советов</v>
      </c>
      <c r="V69" s="6" t="str">
        <f>IFERROR(__xludf.DUMMYFUNCTION("""COMPUTED_VALUE"""),"Строили и работали на благо города")</f>
        <v>Строили и работали на благо города</v>
      </c>
      <c r="W69" s="6" t="str">
        <f>IFERROR(__xludf.DUMMYFUNCTION("""COMPUTED_VALUE"""),"Да просто хорошие люди")</f>
        <v>Да просто хорошие люди</v>
      </c>
      <c r="X69" s="6" t="str">
        <f>IFERROR(__xludf.DUMMYFUNCTION("""COMPUTED_VALUE"""),"По мосту на красную горку")</f>
        <v>По мосту на красную горку</v>
      </c>
      <c r="Y69" s="6" t="str">
        <f>IFERROR(__xludf.DUMMYFUNCTION("""COMPUTED_VALUE"""),"Ждём-с 300 летия! У нас все впереди!!!")</f>
        <v>Ждём-с 300 летия! У нас все впереди!!!</v>
      </c>
      <c r="Z69" s="6" t="str">
        <f>IFERROR(__xludf.DUMMYFUNCTION("""COMPUTED_VALUE"""),"Мрачненько было😱")</f>
        <v>Мрачненько было😱</v>
      </c>
      <c r="AA69" s="6" t="str">
        <f>IFERROR(__xludf.DUMMYFUNCTION("""COMPUTED_VALUE"""),"Зимняя вишня ")</f>
        <v>Зимняя вишня </v>
      </c>
      <c r="AB69" s="6" t="str">
        <f>IFERROR(__xludf.DUMMYFUNCTION("""COMPUTED_VALUE"""),"?")</f>
        <v>?</v>
      </c>
      <c r="AC69" s="6" t="str">
        <f>IFERROR(__xludf.DUMMYFUNCTION("""COMPUTED_VALUE"""),"Уличные,общественные ,развлекательные")</f>
        <v>Уличные,общественные ,развлекательные</v>
      </c>
      <c r="AD69" s="6" t="str">
        <f>IFERROR(__xludf.DUMMYFUNCTION("""COMPUTED_VALUE"""),"В любой ,приглашайте!")</f>
        <v>В любой ,приглашайте!</v>
      </c>
      <c r="AE69" s="6" t="str">
        <f>IFERROR(__xludf.DUMMYFUNCTION("""COMPUTED_VALUE"""),"Женский")</f>
        <v>Женский</v>
      </c>
      <c r="AF69" s="6" t="str">
        <f>IFERROR(__xludf.DUMMYFUNCTION("""COMPUTED_VALUE"""),"45-55")</f>
        <v>45-55</v>
      </c>
      <c r="AG69" s="6"/>
      <c r="AH69" s="6"/>
      <c r="AI69" s="6"/>
      <c r="AJ69" s="6"/>
      <c r="AK69" s="6"/>
      <c r="AL69" s="6"/>
      <c r="AM69" s="6"/>
    </row>
    <row r="70">
      <c r="A70" s="4">
        <v>69.0</v>
      </c>
      <c r="B70" s="6" t="str">
        <f>IFERROR(__xludf.DUMMYFUNCTION("""COMPUTED_VALUE"""),"Работаю")</f>
        <v>Работаю</v>
      </c>
      <c r="C70" s="6" t="str">
        <f>IFERROR(__xludf.DUMMYFUNCTION("""COMPUTED_VALUE"""),"-")</f>
        <v>-</v>
      </c>
      <c r="D70" s="6" t="str">
        <f>IFERROR(__xludf.DUMMYFUNCTION("""COMPUTED_VALUE"""),"Центральный район. ""Центр""")</f>
        <v>Центральный район. "Центр"</v>
      </c>
      <c r="E70" s="6" t="str">
        <f>IFERROR(__xludf.DUMMYFUNCTION("""COMPUTED_VALUE"""),"Драмтеатр, Музыкальный театр, филармония, цирк, администрация области и другие культурные и административные здания, а также Парк Ангелов, набережная, Весенняя улица и десятки памятников")</f>
        <v>Драмтеатр, Музыкальный театр, филармония, цирк, администрация области и другие культурные и административные здания, а также Парк Ангелов, набережная, Весенняя улица и десятки памятников</v>
      </c>
      <c r="F70" s="6" t="str">
        <f>IFERROR(__xludf.DUMMYFUNCTION("""COMPUTED_VALUE"""),"Живу здесь с рождения")</f>
        <v>Живу здесь с рождения</v>
      </c>
      <c r="G70" s="6" t="str">
        <f>IFERROR(__xludf.DUMMYFUNCTION("""COMPUTED_VALUE"""),"Прогуляться по центру")</f>
        <v>Прогуляться по центру</v>
      </c>
      <c r="H70" s="6" t="str">
        <f>IFERROR(__xludf.DUMMYFUNCTION("""COMPUTED_VALUE"""),"Небольшой, знакомый, индустриальный, неэкологичный, простой")</f>
        <v>Небольшой, знакомый, индустриальный, неэкологичный, простой</v>
      </c>
      <c r="I70" s="6" t="str">
        <f>IFERROR(__xludf.DUMMYFUNCTION("""COMPUTED_VALUE"""),"Алексей Леонов, Вера Волошина")</f>
        <v>Алексей Леонов, Вера Волошина</v>
      </c>
      <c r="J70" s="6" t="str">
        <f>IFERROR(__xludf.DUMMYFUNCTION("""COMPUTED_VALUE"""),"-")</f>
        <v>-</v>
      </c>
      <c r="K70" s="6" t="str">
        <f>IFERROR(__xludf.DUMMYFUNCTION("""COMPUTED_VALUE"""),"Центральные улицы города с базовыми достопримечательностями, вид на левобережные заводы с правого берега Томи, Парк Ангелов, бульвар Строителей, Лесную Поляну")</f>
        <v>Центральные улицы города с базовыми достопримечательностями, вид на левобережные заводы с правого берега Томи, Парк Ангелов, бульвар Строителей, Лесную Поляну</v>
      </c>
      <c r="L70" s="6" t="str">
        <f>IFERROR(__xludf.DUMMYFUNCTION("""COMPUTED_VALUE"""),"-")</f>
        <v>-</v>
      </c>
      <c r="M70" s="6" t="str">
        <f>IFERROR(__xludf.DUMMYFUNCTION("""COMPUTED_VALUE"""),"-")</f>
        <v>-</v>
      </c>
      <c r="N70" s="6" t="str">
        <f>IFERROR(__xludf.DUMMYFUNCTION("""COMPUTED_VALUE"""),"Чистые улицы и чистый воздух, продуманная и работающая система городского транспорта (и новый работающий транспорт), высокий уровень школьного и высшего образования, разнообразная культурная (регулярные приезды российских и мировых звёзд музыки, театра) и"&amp;" спортивная (наличие в городе профессионального футбольного/хоккейного клуба высшего из возможных дивизионов), современные большие безопасные торговые центры с магазинами известных мировых брендов масс-маркета и не только")</f>
        <v>Чистые улицы и чистый воздух, продуманная и работающая система городского транспорта (и новый работающий транспорт), высокий уровень школьного и высшего образования, разнообразная культурная (регулярные приезды российских и мировых звёзд музыки, театра) и спортивная (наличие в городе профессионального футбольного/хоккейного клуба высшего из возможных дивизионов), современные большие безопасные торговые центры с магазинами известных мировых брендов масс-маркета и не только</v>
      </c>
      <c r="O70" s="6" t="str">
        <f>IFERROR(__xludf.DUMMYFUNCTION("""COMPUTED_VALUE"""),"Убрать грязь с улиц, убрать частный сектор из центра города, привести хрущёвки в нормальное состояние, вернуть зелень ")</f>
        <v>Убрать грязь с улиц, убрать частный сектор из центра города, привести хрущёвки в нормальное состояние, вернуть зелень </v>
      </c>
      <c r="P70" s="6" t="str">
        <f>IFERROR(__xludf.DUMMYFUNCTION("""COMPUTED_VALUE"""),"Instagram, ВК")</f>
        <v>Instagram, ВК</v>
      </c>
      <c r="Q70" s="6" t="str">
        <f>IFERROR(__xludf.DUMMYFUNCTION("""COMPUTED_VALUE"""),"где вкусно поесть/открытие новых кафе/ресторанов, криминальные новости (происшествия/преступления), результаты местных исследований (рейтинги/аналитика/тенденции)")</f>
        <v>где вкусно поесть/открытие новых кафе/ресторанов, криминальные новости (происшествия/преступления), результаты местных исследований (рейтинги/аналитика/тенденции)</v>
      </c>
      <c r="R70" s="6" t="str">
        <f>IFERROR(__xludf.DUMMYFUNCTION("""COMPUTED_VALUE"""),"День города, 9 Мая")</f>
        <v>День города, 9 Мая</v>
      </c>
      <c r="S70" s="6" t="str">
        <f>IFERROR(__xludf.DUMMYFUNCTION("""COMPUTED_VALUE"""),"Нет, не приходилось")</f>
        <v>Нет, не приходилось</v>
      </c>
      <c r="T70" s="6" t="str">
        <f>IFERROR(__xludf.DUMMYFUNCTION("""COMPUTED_VALUE"""),"Известен город углём, который у нас в городе на самом деле не добывается, а также событиями, которые произошли 25 марта 2018 года. Ничего особенно уникального в городе нет")</f>
        <v>Известен город углём, который у нас в городе на самом деле не добывается, а также событиями, которые произошли 25 марта 2018 года. Ничего особенно уникального в городе нет</v>
      </c>
      <c r="U70" s="6" t="str">
        <f>IFERROR(__xludf.DUMMYFUNCTION("""COMPUTED_VALUE"""),"Совесткий - Весенняя - Набережная")</f>
        <v>Совесткий - Весенняя - Набережная</v>
      </c>
      <c r="V70" s="6" t="str">
        <f>IFERROR(__xludf.DUMMYFUNCTION("""COMPUTED_VALUE"""),"-")</f>
        <v>-</v>
      </c>
      <c r="W70" s="6" t="str">
        <f>IFERROR(__xludf.DUMMYFUNCTION("""COMPUTED_VALUE"""),"Среднестатистический россиянин ничем не отличается от города к городу. Люди с хорошими и плохими человеческими качествами есть в любом городе.")</f>
        <v>Среднестатистический россиянин ничем не отличается от города к городу. Люди с хорошими и плохими человеческими качествами есть в любом городе.</v>
      </c>
      <c r="X70" s="6" t="str">
        <f>IFERROR(__xludf.DUMMYFUNCTION("""COMPUTED_VALUE"""),"Символический центр")</f>
        <v>Символический центр</v>
      </c>
      <c r="Y70" s="6" t="str">
        <f>IFERROR(__xludf.DUMMYFUNCTION("""COMPUTED_VALUE"""),"Переименование Щегловска в Кемерово")</f>
        <v>Переименование Щегловска в Кемерово</v>
      </c>
      <c r="Z70" s="6" t="str">
        <f>IFERROR(__xludf.DUMMYFUNCTION("""COMPUTED_VALUE"""),"Открытие авиарейсов по новым направлениям, открытие новой дороги в Новокузнецк, фестиваль ""Герои мирового рока""")</f>
        <v>Открытие авиарейсов по новым направлениям, открытие новой дороги в Новокузнецк, фестиваль "Герои мирового рока"</v>
      </c>
      <c r="AA70" s="6" t="str">
        <f>IFERROR(__xludf.DUMMYFUNCTION("""COMPUTED_VALUE"""),"Плохое состояние дорог (в том числе недавно отремонтированных) и тротуаров, ужасное состояние дворов даже в центре города, тотальное несоблюдение закона о тишине горожанами по ночам и управляющими компаниями по утрам, в городе по-прежнему нет нормальных Т"&amp;"Ц, поэтому приходится ездить в Новокузнецк или Новосибирск")</f>
        <v>Плохое состояние дорог (в том числе недавно отремонтированных) и тротуаров, ужасное состояние дворов даже в центре города, тотальное несоблюдение закона о тишине горожанами по ночам и управляющими компаниями по утрам, в городе по-прежнему нет нормальных ТЦ, поэтому приходится ездить в Новокузнецк или Новосибирск</v>
      </c>
      <c r="AB70" s="6" t="str">
        <f>IFERROR(__xludf.DUMMYFUNCTION("""COMPUTED_VALUE"""),"-")</f>
        <v>-</v>
      </c>
      <c r="AC70" s="6" t="str">
        <f>IFERROR(__xludf.DUMMYFUNCTION("""COMPUTED_VALUE"""),"Культурные и спортивные мероприятия всероссийского уровня")</f>
        <v>Культурные и спортивные мероприятия всероссийского уровня</v>
      </c>
      <c r="AD70" s="6" t="str">
        <f>IFERROR(__xludf.DUMMYFUNCTION("""COMPUTED_VALUE"""),"-")</f>
        <v>-</v>
      </c>
      <c r="AE70" s="6" t="str">
        <f>IFERROR(__xludf.DUMMYFUNCTION("""COMPUTED_VALUE"""),"Мужской")</f>
        <v>Мужской</v>
      </c>
      <c r="AF70" s="6" t="str">
        <f>IFERROR(__xludf.DUMMYFUNCTION("""COMPUTED_VALUE"""),"30-44")</f>
        <v>30-44</v>
      </c>
      <c r="AG70" s="6"/>
      <c r="AH70" s="6"/>
      <c r="AI70" s="6"/>
      <c r="AJ70" s="6"/>
      <c r="AK70" s="6"/>
      <c r="AL70" s="6"/>
      <c r="AM70" s="6"/>
    </row>
    <row r="71">
      <c r="A71" s="4">
        <v>70.0</v>
      </c>
      <c r="B71" s="6" t="str">
        <f>IFERROR(__xludf.DUMMYFUNCTION("""COMPUTED_VALUE"""),"Ивент-менеджер")</f>
        <v>Ивент-менеджер</v>
      </c>
      <c r="C71" s="6" t="str">
        <f>IFERROR(__xludf.DUMMYFUNCTION("""COMPUTED_VALUE"""),"Музыка, спорт, кино")</f>
        <v>Музыка, спорт, кино</v>
      </c>
      <c r="D71" s="6" t="str">
        <f>IFERROR(__xludf.DUMMYFUNCTION("""COMPUTED_VALUE"""),"Притомский")</f>
        <v>Притомский</v>
      </c>
      <c r="E71" s="6" t="str">
        <f>IFERROR(__xludf.DUMMYFUNCTION("""COMPUTED_VALUE"""),"Детская железная дорога, суд")</f>
        <v>Детская железная дорога, суд</v>
      </c>
      <c r="F71" s="6" t="str">
        <f>IFERROR(__xludf.DUMMYFUNCTION("""COMPUTED_VALUE"""),"Живу здесь с рождения")</f>
        <v>Живу здесь с рождения</v>
      </c>
      <c r="G71" s="6" t="str">
        <f>IFERROR(__xludf.DUMMYFUNCTION("""COMPUTED_VALUE"""),"Центр (Драматический театр, набережная и так далее)
Бульвар Строителей
Парк рядом с Кадетским училищем")</f>
        <v>Центр (Драматический театр, набережная и так далее)
Бульвар Строителей
Парк рядом с Кадетским училищем</v>
      </c>
      <c r="H71" s="6" t="str">
        <f>IFERROR(__xludf.DUMMYFUNCTION("""COMPUTED_VALUE"""),"Уголь, Сибирь, два берега, бенди, буквы на горе ")</f>
        <v>Уголь, Сибирь, два берега, бенди, буквы на горе </v>
      </c>
      <c r="I71" s="6" t="str">
        <f>IFERROR(__xludf.DUMMYFUNCTION("""COMPUTED_VALUE"""),"Леонов, Штоколов, Вера Волошина, Михайло Волков, Рутгерс")</f>
        <v>Леонов, Штоколов, Вера Волошина, Михайло Волков, Рутгерс</v>
      </c>
      <c r="J71" s="6" t="str">
        <f>IFERROR(__xludf.DUMMYFUNCTION("""COMPUTED_VALUE"""),"Гришковец, Раздаев, Виктор Логинов, Елена Малышева, Максим Лахно, Иван Базанов, Алла Духова, Алла Михеева, Иван Прозоров, Клим Сонаткин, Александр Серебярков")</f>
        <v>Гришковец, Раздаев, Виктор Логинов, Елена Малышева, Максим Лахно, Иван Базанов, Алла Духова, Алла Михеева, Иван Прозоров, Клим Сонаткин, Александр Серебярков</v>
      </c>
      <c r="K71" s="6" t="str">
        <f>IFERROR(__xludf.DUMMYFUNCTION("""COMPUTED_VALUE"""),"Красная горка, Лесная поляна, Сосновый бор, Парк Ангелов, памятник джазу (если остался), театр для детей и молодежи, Музыкальный театр Кузбасса")</f>
        <v>Красная горка, Лесная поляна, Сосновый бор, Парк Ангелов, памятник джазу (если остался), театр для детей и молодежи, Музыкальный театр Кузбасса</v>
      </c>
      <c r="L71" s="6" t="str">
        <f>IFERROR(__xludf.DUMMYFUNCTION("""COMPUTED_VALUE"""),"Песня БГ ""Человек из Кемерово""
""Зимняя вишня"" 
Чемпионат мира по хоккею с мячом 
Кока-кола мэн
Коновалов")</f>
        <v>Песня БГ "Человек из Кемерово"
"Зимняя вишня" 
Чемпионат мира по хоккею с мячом 
Кока-кола мэн
Коновалов</v>
      </c>
      <c r="M71" s="6" t="str">
        <f>IFERROR(__xludf.DUMMYFUNCTION("""COMPUTED_VALUE"""),"""Подор"" (продукция компании ""Подорожник"")")</f>
        <v>"Подор" (продукция компании "Подорожник")</v>
      </c>
      <c r="N71" s="6" t="str">
        <f>IFERROR(__xludf.DUMMYFUNCTION("""COMPUTED_VALUE"""),"Чистота города 
Насыщенная инфраструктура (школы, детские сады, парки, образовательные и спортивные учреждения и так далее) 
Развитая сеть общественного транспорта
Большой выбор магазинов (продуктовых, вещевых, техники и так далее)
Наличие зон отдыха")</f>
        <v>Чистота города 
Насыщенная инфраструктура (школы, детские сады, парки, образовательные и спортивные учреждения и так далее) 
Развитая сеть общественного транспорта
Большой выбор магазинов (продуктовых, вещевых, техники и так далее)
Наличие зон отдыха</v>
      </c>
      <c r="O71" s="6" t="str">
        <f>IFERROR(__xludf.DUMMYFUNCTION("""COMPUTED_VALUE"""),"Сохранить исторический вид зданий (где это возможно)")</f>
        <v>Сохранить исторический вид зданий (где это возможно)</v>
      </c>
      <c r="P71" s="6" t="str">
        <f>IFERROR(__xludf.DUMMYFUNCTION("""COMPUTED_VALUE"""),"Твиттер, телеграм-каналы
Информация от знакомых, друзей и родственников")</f>
        <v>Твиттер, телеграм-каналы
Информация от знакомых, друзей и родственников</v>
      </c>
      <c r="Q71"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71" s="6" t="str">
        <f>IFERROR(__xludf.DUMMYFUNCTION("""COMPUTED_VALUE"""),"Затрудняюсь ответить")</f>
        <v>Затрудняюсь ответить</v>
      </c>
      <c r="S71" s="6" t="str">
        <f>IFERROR(__xludf.DUMMYFUNCTION("""COMPUTED_VALUE"""),"Организация творческих фестивалей, организация музыкальных концертов")</f>
        <v>Организация творческих фестивалей, организация музыкальных концертов</v>
      </c>
      <c r="T71" s="6" t="str">
        <f>IFERROR(__xludf.DUMMYFUNCTION("""COMPUTED_VALUE"""),"Трагедия с ""Зимней вишней""
Чемпионат мира по бенди
Российская студенческая весна")</f>
        <v>Трагедия с "Зимней вишней"
Чемпионат мира по бенди
Российская студенческая весна</v>
      </c>
      <c r="U71" s="6" t="str">
        <f>IFERROR(__xludf.DUMMYFUNCTION("""COMPUTED_VALUE"""),"Площадь от Филармонии до ТЦ ""Я""")</f>
        <v>Площадь от Филармонии до ТЦ "Я"</v>
      </c>
      <c r="V71" s="6" t="str">
        <f>IFERROR(__xludf.DUMMYFUNCTION("""COMPUTED_VALUE"""),"Открытие театра ""Ложа""
Концерт ""Легенды рока""
Переименование аэропорта в ""Аэропорт имени Леонова"" 
Проведение крупных спортивных турниров
Развитие студенческих движений и студенческого творчества")</f>
        <v>Открытие театра "Ложа"
Концерт "Легенды рока"
Переименование аэропорта в "Аэропорт имени Леонова" 
Проведение крупных спортивных турниров
Развитие студенческих движений и студенческого творчества</v>
      </c>
      <c r="W71" s="6" t="str">
        <f>IFERROR(__xludf.DUMMYFUNCTION("""COMPUTED_VALUE"""),"Трудолюбие, здоровый скептицизм")</f>
        <v>Трудолюбие, здоровый скептицизм</v>
      </c>
      <c r="X71" s="6" t="str">
        <f>IFERROR(__xludf.DUMMYFUNCTION("""COMPUTED_VALUE"""),"Филармония - Советский - Музыкальный театр - Весенняя до Вечного огня - Набережная - Горсад - до стадиона - Парк Ангелов - Антошка")</f>
        <v>Филармония - Советский - Музыкальный театр - Весенняя до Вечного огня - Набережная - Горсад - до стадиона - Парк Ангелов - Антошка</v>
      </c>
      <c r="Y71" s="6" t="str">
        <f>IFERROR(__xludf.DUMMYFUNCTION("""COMPUTED_VALUE"""),"Пожар в ""Зимней вишни"" ")</f>
        <v>Пожар в "Зимней вишни" </v>
      </c>
      <c r="Z71" s="6" t="str">
        <f>IFERROR(__xludf.DUMMYFUNCTION("""COMPUTED_VALUE"""),"Развитие профессиональных спортивных клубов (ВК ""Кузбасс"", МФК ""Корпорация АСИ"")
Чемпионство ВК ""Кузбасс""")</f>
        <v>Развитие профессиональных спортивных клубов (ВК "Кузбасс", МФК "Корпорация АСИ")
Чемпионство ВК "Кузбасс"</v>
      </c>
      <c r="AA71" s="6" t="str">
        <f>IFERROR(__xludf.DUMMYFUNCTION("""COMPUTED_VALUE"""),"Проблема ""Черного неба""")</f>
        <v>Проблема "Черного неба"</v>
      </c>
      <c r="AB71" s="6" t="str">
        <f>IFERROR(__xludf.DUMMYFUNCTION("""COMPUTED_VALUE"""),"Сообщества профессиональных ивентщиков ")</f>
        <v>Сообщества профессиональных ивентщиков </v>
      </c>
      <c r="AC71" s="6" t="str">
        <f>IFERROR(__xludf.DUMMYFUNCTION("""COMPUTED_VALUE"""),"Концерты и спектакли (разной направленности)
Разноплановые городские фестивали")</f>
        <v>Концерты и спектакли (разной направленности)
Разноплановые городские фестивали</v>
      </c>
      <c r="AD71" s="6" t="str">
        <f>IFERROR(__xludf.DUMMYFUNCTION("""COMPUTED_VALUE"""),"Генератор идей, организатор")</f>
        <v>Генератор идей, организатор</v>
      </c>
      <c r="AE71" s="6" t="str">
        <f>IFERROR(__xludf.DUMMYFUNCTION("""COMPUTED_VALUE"""),"Мужской")</f>
        <v>Мужской</v>
      </c>
      <c r="AF71" s="6" t="str">
        <f>IFERROR(__xludf.DUMMYFUNCTION("""COMPUTED_VALUE"""),"30-44")</f>
        <v>30-44</v>
      </c>
      <c r="AG71" s="6"/>
      <c r="AH71" s="6"/>
      <c r="AI71" s="6"/>
      <c r="AJ71" s="6"/>
      <c r="AK71" s="6"/>
      <c r="AL71" s="6"/>
      <c r="AM71" s="6"/>
    </row>
    <row r="72">
      <c r="A72" s="4">
        <v>71.0</v>
      </c>
      <c r="B72" s="6" t="str">
        <f>IFERROR(__xludf.DUMMYFUNCTION("""COMPUTED_VALUE"""),"контент-менеджер")</f>
        <v>контент-менеджер</v>
      </c>
      <c r="C72" s="6" t="str">
        <f>IFERROR(__xludf.DUMMYFUNCTION("""COMPUTED_VALUE"""),"Книги, фильмы, кулинария ")</f>
        <v>Книги, фильмы, кулинария </v>
      </c>
      <c r="D72" s="6" t="str">
        <f>IFERROR(__xludf.DUMMYFUNCTION("""COMPUTED_VALUE"""),"В Центральном районе, я его называю ""у Собора""")</f>
        <v>В Центральном районе, я его называю "у Собора"</v>
      </c>
      <c r="E72" s="6" t="str">
        <f>IFERROR(__xludf.DUMMYFUNCTION("""COMPUTED_VALUE"""),"Собор, набережная, парк Жукова, парк ""Антошка"", цирк")</f>
        <v>Собор, набережная, парк Жукова, парк "Антошка", цирк</v>
      </c>
      <c r="F72" s="6" t="str">
        <f>IFERROR(__xludf.DUMMYFUNCTION("""COMPUTED_VALUE"""),"Переехал сюда из другого места (откуда? укажите в графе другое), из Ленинска-Кузнецкого, переехала с родителями, так как папе предложили здесь работу")</f>
        <v>Переехал сюда из другого места (откуда? укажите в графе другое), из Ленинска-Кузнецкого, переехала с родителями, так как папе предложили здесь работу</v>
      </c>
      <c r="G72" s="6" t="str">
        <f>IFERROR(__xludf.DUMMYFUNCTION("""COMPUTED_VALUE"""),"гуляю по центру (драмтеатр, филармония и т.п.), иногда выезжаю на природу за город")</f>
        <v>гуляю по центру (драмтеатр, филармония и т.п.), иногда выезжаю на природу за город</v>
      </c>
      <c r="H72" s="6" t="str">
        <f>IFERROR(__xludf.DUMMYFUNCTION("""COMPUTED_VALUE"""),"смог, грязь, бор, набережная, трамваи")</f>
        <v>смог, грязь, бор, набережная, трамваи</v>
      </c>
      <c r="I72" s="6" t="str">
        <f>IFERROR(__xludf.DUMMYFUNCTION("""COMPUTED_VALUE"""),"Леонов")</f>
        <v>Леонов</v>
      </c>
      <c r="J72" s="6" t="str">
        <f>IFERROR(__xludf.DUMMYFUNCTION("""COMPUTED_VALUE"""),"Гришковец, Роман Янченко")</f>
        <v>Гришковец, Роман Янченко</v>
      </c>
      <c r="K72" s="6" t="str">
        <f>IFERROR(__xludf.DUMMYFUNCTION("""COMPUTED_VALUE"""),"Арт-пространство ""Клумба"", улицу Весеннюю, уток в Искитимке, Парк Ангелов")</f>
        <v>Арт-пространство "Клумба", улицу Весеннюю, уток в Искитимке, Парк Ангелов</v>
      </c>
      <c r="L72" s="6" t="str">
        <f>IFERROR(__xludf.DUMMYFUNCTION("""COMPUTED_VALUE"""),".")</f>
        <v>.</v>
      </c>
      <c r="M72" s="6" t="str">
        <f>IFERROR(__xludf.DUMMYFUNCTION("""COMPUTED_VALUE"""),"нет")</f>
        <v>нет</v>
      </c>
      <c r="N72" s="6" t="str">
        <f>IFERROR(__xludf.DUMMYFUNCTION("""COMPUTED_VALUE"""),"Чистота, удобный общественный транспорт, пешеходные зоны, растения")</f>
        <v>Чистота, удобный общественный транспорт, пешеходные зоны, растения</v>
      </c>
      <c r="O72" s="6" t="str">
        <f>IFERROR(__xludf.DUMMYFUNCTION("""COMPUTED_VALUE"""),"Прекратить строить высотки, заняться озеленением и увеличить число пешеходных зон")</f>
        <v>Прекратить строить высотки, заняться озеленением и увеличить число пешеходных зон</v>
      </c>
      <c r="P72" s="6" t="str">
        <f>IFERROR(__xludf.DUMMYFUNCTION("""COMPUTED_VALUE"""),"От друзей, СМИ (VSE42.Ru, A42.RU)")</f>
        <v>От друзей, СМИ (VSE42.Ru, A42.RU)</v>
      </c>
      <c r="Q72" s="6" t="str">
        <f>IFERROR(__xludf.DUMMYFUNCTION("""COMPUTED_VALUE"""),"криминальные новости (происшествия/преступления), результаты местных исследований (рейтинги/аналитика/тенденции), Интервью с представителями меньшинств из Кузбасса или статьи о социальных проблемах в Кузбассе ")</f>
        <v>криминальные новости (происшествия/преступления), результаты местных исследований (рейтинги/аналитика/тенденции), Интервью с представителями меньшинств из Кузбасса или статьи о социальных проблемах в Кузбассе </v>
      </c>
      <c r="R72" s="6" t="str">
        <f>IFERROR(__xludf.DUMMYFUNCTION("""COMPUTED_VALUE"""),"Лично меня и моих знакомых ни один городской праздник не трогает")</f>
        <v>Лично меня и моих знакомых ни один городской праздник не трогает</v>
      </c>
      <c r="S72" s="6" t="str">
        <f>IFERROR(__xludf.DUMMYFUNCTION("""COMPUTED_VALUE"""),"Нет, не приходилось")</f>
        <v>Нет, не приходилось</v>
      </c>
      <c r="T72" s="6" t="str">
        <f>IFERROR(__xludf.DUMMYFUNCTION("""COMPUTED_VALUE"""),"Известен шахтами, плохой экологией, пожаром в ""Зимней вишне"" и убийством девушки Веры Пехтелевой - не очень слава в целом. Я не могу вспомнить ничего уникального в Кемерове.")</f>
        <v>Известен шахтами, плохой экологией, пожаром в "Зимней вишне" и убийством девушки Веры Пехтелевой - не очень слава в целом. Я не могу вспомнить ничего уникального в Кемерове.</v>
      </c>
      <c r="U72" s="6" t="str">
        <f>IFERROR(__xludf.DUMMYFUNCTION("""COMPUTED_VALUE"""),"Весь центр города (от ТЦ ""Я"" до филармонии)")</f>
        <v>Весь центр города (от ТЦ "Я" до филармонии)</v>
      </c>
      <c r="V72" s="6" t="str">
        <f>IFERROR(__xludf.DUMMYFUNCTION("""COMPUTED_VALUE"""),"Понятия не имею")</f>
        <v>Понятия не имею</v>
      </c>
      <c r="W72" s="6" t="str">
        <f>IFERROR(__xludf.DUMMYFUNCTION("""COMPUTED_VALUE"""),"Грустные, но в то же время добрые, много пьют. ")</f>
        <v>Грустные, но в то же время добрые, много пьют. </v>
      </c>
      <c r="X72" s="6" t="str">
        <f>IFERROR(__xludf.DUMMYFUNCTION("""COMPUTED_VALUE"""),"по центру, потому что это единственное симпатичное место в городе")</f>
        <v>по центру, потому что это единственное симпатичное место в городе</v>
      </c>
      <c r="Y72" s="6" t="str">
        <f>IFERROR(__xludf.DUMMYFUNCTION("""COMPUTED_VALUE"""),"Пронесли олимпийский огонь ")</f>
        <v>Пронесли олимпийский огонь </v>
      </c>
      <c r="Z72" s="6" t="str">
        <f>IFERROR(__xludf.DUMMYFUNCTION("""COMPUTED_VALUE"""),"Не могу ничего вспомнить")</f>
        <v>Не могу ничего вспомнить</v>
      </c>
      <c r="AA72" s="6" t="str">
        <f>IFERROR(__xludf.DUMMYFUNCTION("""COMPUTED_VALUE"""),"Убийства, не только громкие, но и ""бытовуха"", постоянный режим черного неба и сейчас ужасная грязь, которая образовалась из-за невывезенного и нечищенного снега, вызывает раздражение")</f>
        <v>Убийства, не только громкие, но и "бытовуха", постоянный режим черного неба и сейчас ужасная грязь, которая образовалась из-за невывезенного и нечищенного снега, вызывает раздражение</v>
      </c>
      <c r="AB72" s="6" t="str">
        <f>IFERROR(__xludf.DUMMYFUNCTION("""COMPUTED_VALUE"""),"Я считаю, что в городе достаточно сообществ, но мне они не сильно интересны. ")</f>
        <v>Я считаю, что в городе достаточно сообществ, но мне они не сильно интересны. </v>
      </c>
      <c r="AC72" s="6" t="str">
        <f>IFERROR(__xludf.DUMMYFUNCTION("""COMPUTED_VALUE"""),"Думаю, события не помогут. Необходимо менять подход к обустройству города и обратить серьезное внимание на экологию (не только на словах).")</f>
        <v>Думаю, события не помогут. Необходимо менять подход к обустройству города и обратить серьезное внимание на экологию (не только на словах).</v>
      </c>
      <c r="AD72" s="6" t="str">
        <f>IFERROR(__xludf.DUMMYFUNCTION("""COMPUTED_VALUE"""),"Я бы хотела предлагать что-то, только если не нужно бодаться с властями, которые, как правило, всячески противятся изменениям")</f>
        <v>Я бы хотела предлагать что-то, только если не нужно бодаться с властями, которые, как правило, всячески противятся изменениям</v>
      </c>
      <c r="AE72" s="6" t="str">
        <f>IFERROR(__xludf.DUMMYFUNCTION("""COMPUTED_VALUE"""),"Женский")</f>
        <v>Женский</v>
      </c>
      <c r="AF72" s="6" t="str">
        <f>IFERROR(__xludf.DUMMYFUNCTION("""COMPUTED_VALUE"""),"18-29")</f>
        <v>18-29</v>
      </c>
      <c r="AG72" s="6"/>
      <c r="AH72" s="6"/>
      <c r="AI72" s="6"/>
      <c r="AJ72" s="6"/>
      <c r="AK72" s="6"/>
      <c r="AL72" s="6"/>
      <c r="AM72" s="6"/>
    </row>
    <row r="73">
      <c r="A73" s="4">
        <v>72.0</v>
      </c>
      <c r="B73" s="6" t="str">
        <f>IFERROR(__xludf.DUMMYFUNCTION("""COMPUTED_VALUE"""),"Телекоммуникации")</f>
        <v>Телекоммуникации</v>
      </c>
      <c r="C73" s="6" t="str">
        <f>IFERROR(__xludf.DUMMYFUNCTION("""COMPUTED_VALUE"""),"история России")</f>
        <v>история России</v>
      </c>
      <c r="D73" s="6" t="str">
        <f>IFERROR(__xludf.DUMMYFUNCTION("""COMPUTED_VALUE"""),"административно - Центральный. Называю ""около Лапландии"", т.к. это не настоящий центр")</f>
        <v>административно - Центральный. Называю "около Лапландии", т.к. это не настоящий центр</v>
      </c>
      <c r="E73" s="6" t="str">
        <f>IFERROR(__xludf.DUMMYFUNCTION("""COMPUTED_VALUE"""),"Пресловутая Лапландия, недалеко обновленный б-р Строителей, сквер около кадетского училища, торчащий ГК Кристалл")</f>
        <v>Пресловутая Лапландия, недалеко обновленный б-р Строителей, сквер около кадетского училища, торчащий ГК Кристалл</v>
      </c>
      <c r="F73" s="6" t="str">
        <f>IFERROR(__xludf.DUMMYFUNCTION("""COMPUTED_VALUE"""),"Живу здесь с рождения")</f>
        <v>Живу здесь с рождения</v>
      </c>
      <c r="G73" s="6" t="str">
        <f>IFERROR(__xludf.DUMMYFUNCTION("""COMPUTED_VALUE"""),"Пара ресторанов (грильбар42, порт 42). На велосипеде по б-ру Строителей и вокруг него, больше никуда - ездить на велике неудобно (бор далеко, другой берег, да и там всё для бега только).")</f>
        <v>Пара ресторанов (грильбар42, порт 42). На велосипеде по б-ру Строителей и вокруг него, больше никуда - ездить на велике неудобно (бор далеко, другой берег, да и там всё для бега только).</v>
      </c>
      <c r="H73" s="6" t="str">
        <f>IFERROR(__xludf.DUMMYFUNCTION("""COMPUTED_VALUE"""),"родина, заводы, уголь, комфорт, смог")</f>
        <v>родина, заводы, уголь, комфорт, смог</v>
      </c>
      <c r="I73" s="6" t="str">
        <f>IFERROR(__xludf.DUMMYFUNCTION("""COMPUTED_VALUE"""),"Волошина, Мартемьянов, Подгорбунский, Рутгерс, Фёдоров, Захаров")</f>
        <v>Волошина, Мартемьянов, Подгорбунский, Рутгерс, Фёдоров, Захаров</v>
      </c>
      <c r="J73" s="6" t="str">
        <f>IFERROR(__xludf.DUMMYFUNCTION("""COMPUTED_VALUE"""),"Из современников, никого из известных")</f>
        <v>Из современников, никого из известных</v>
      </c>
      <c r="K73" s="6" t="str">
        <f>IFERROR(__xludf.DUMMYFUNCTION("""COMPUTED_VALUE"""),"Набережная в центе, ул. Весенняя, пл. Волкова, пл. Пушкина, смотровая площадка под памятнику шахтеру (Э.Неизвестного), строительство вдоль Притомского проспекта. Вид на проспект Ленина с 16-го этажа дома Ленина, 121, ну или от цирка хотя бы.")</f>
        <v>Набережная в центе, ул. Весенняя, пл. Волкова, пл. Пушкина, смотровая площадка под памятнику шахтеру (Э.Неизвестного), строительство вдоль Притомского проспекта. Вид на проспект Ленина с 16-го этажа дома Ленина, 121, ну или от цирка хотя бы.</v>
      </c>
      <c r="L73" s="6" t="str">
        <f>IFERROR(__xludf.DUMMYFUNCTION("""COMPUTED_VALUE"""),"""Человек из Кемерова"". Задравший всех удравший в Искитимку бегемот. ")</f>
        <v>"Человек из Кемерова". Задравший всех удравший в Искитимку бегемот. </v>
      </c>
      <c r="M73" s="6" t="str">
        <f>IFERROR(__xludf.DUMMYFUNCTION("""COMPUTED_VALUE"""),"нет")</f>
        <v>нет</v>
      </c>
      <c r="N73" s="6" t="str">
        <f>IFERROR(__xludf.DUMMYFUNCTION("""COMPUTED_VALUE"""),"Предсказуемый и не переполненный общественный транспорт (не маршрутки!!). Управляемый трафик на дорогах. Места для совместного активного отдыха с детьми (безопасные веломаршруты, лесок в пешей доступности). Вообще, пешая доступность (на расстоянии 1-2 км)"&amp;" для хотя бы 5 мест, куда можно сходить погулять. Тишина в вечернее и ночное время. Чистый воздух. Побольше цветов в ботаническом смысле. И поразнообразнее и погармоничнее палитру бы в художественном смысле.")</f>
        <v>Предсказуемый и не переполненный общественный транспорт (не маршрутки!!). Управляемый трафик на дорогах. Места для совместного активного отдыха с детьми (безопасные веломаршруты, лесок в пешей доступности). Вообще, пешая доступность (на расстоянии 1-2 км) для хотя бы 5 мест, куда можно сходить погулять. Тишина в вечернее и ночное время. Чистый воздух. Побольше цветов в ботаническом смысле. И поразнообразнее и погармоничнее палитру бы в художественном смысле.</v>
      </c>
      <c r="O73" s="6" t="str">
        <f>IFERROR(__xludf.DUMMYFUNCTION("""COMPUTED_VALUE"""),"Запретить вентилируемый фасад из одних и тех же металлических панелей! Живём, как на складе композита.
Уничтожить пыле-грязевые ""газоны"" - от них только грязь, пыль и сжирание площадей. Или всё в бетон (парковки, лавочки, прогул зоны), или норм озелене"&amp;"ние с учетом сезонности и топчущихся по нему людей.
Нормальный общественный транспорт (предсказуемый, большой, комфортный), а не маршрутки! Платные парковки в центре. Шлагбаумы во дворы, автоматизация доступа через них для служб города.
Тротуары отремон"&amp;"тировать, чтобы не скакать сайгаком через ямы/лужи. Шумоизоляцию между проезжей частью и тротуарами, где возможно (из норм всесезонного кустарника, например).")</f>
        <v>Запретить вентилируемый фасад из одних и тех же металлических панелей! Живём, как на складе композита.
Уничтожить пыле-грязевые "газоны" - от них только грязь, пыль и сжирание площадей. Или всё в бетон (парковки, лавочки, прогул зоны), или норм озеленение с учетом сезонности и топчущихся по нему людей.
Нормальный общественный транспорт (предсказуемый, большой, комфортный), а не маршрутки! Платные парковки в центре. Шлагбаумы во дворы, автоматизация доступа через них для служб города.
Тротуары отремонтировать, чтобы не скакать сайгаком через ямы/лужи. Шумоизоляцию между проезжей частью и тротуарами, где возможно (из норм всесезонного кустарника, например).</v>
      </c>
      <c r="P73" s="6" t="str">
        <f>IFERROR(__xludf.DUMMYFUNCTION("""COMPUTED_VALUE"""),"в городе ничего интересного не происходит. Читаю gazeta.a42.ru, ""Бузотеров"" в телеге.")</f>
        <v>в городе ничего интересного не происходит. Читаю gazeta.a42.ru, "Бузотеров" в телеге.</v>
      </c>
      <c r="Q73" s="6" t="str">
        <f>IFERROR(__xludf.DUMMYFUNCTION("""COMPUTED_VALUE"""),"куда пойти в свободное время,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73" s="6" t="str">
        <f>IFERROR(__xludf.DUMMYFUNCTION("""COMPUTED_VALUE"""),"не знаю таких")</f>
        <v>не знаю таких</v>
      </c>
      <c r="S73" s="6" t="str">
        <f>IFERROR(__xludf.DUMMYFUNCTION("""COMPUTED_VALUE"""),"Нет, не приходилось")</f>
        <v>Нет, не приходилось</v>
      </c>
      <c r="T73" s="6" t="str">
        <f>IFERROR(__xludf.DUMMYFUNCTION("""COMPUTED_VALUE"""),"Известен плохой экологией и криминалом. Однако, город удобнее и комфортнее многих, особенно в Сибири. Чем уникален для гостей - не знаю, показывать и хвастать особо нечем.")</f>
        <v>Известен плохой экологией и криминалом. Однако, город удобнее и комфортнее многих, особенно в Сибири. Чем уникален для гостей - не знаю, показывать и хвастать особо нечем.</v>
      </c>
      <c r="U73" s="6" t="str">
        <f>IFERROR(__xludf.DUMMYFUNCTION("""COMPUTED_VALUE"""),"Площадь Советов, Весенняя, Набережная.")</f>
        <v>Площадь Советов, Весенняя, Набережная.</v>
      </c>
      <c r="V73" s="6" t="str">
        <f>IFERROR(__xludf.DUMMYFUNCTION("""COMPUTED_VALUE"""),"1. Выстроили город во время войны.
2. Хорошо спланировали развитие в 60-70-е годы, этого хватило до 2000-х годов.")</f>
        <v>1. Выстроили город во время войны.
2. Хорошо спланировали развитие в 60-70-е годы, этого хватило до 2000-х годов.</v>
      </c>
      <c r="W73" s="6" t="str">
        <f>IFERROR(__xludf.DUMMYFUNCTION("""COMPUTED_VALUE"""),"Спокойные, ироничные, не суетятся, даже тормозные порой.")</f>
        <v>Спокойные, ироничные, не суетятся, даже тормозные порой.</v>
      </c>
      <c r="X73" s="6" t="str">
        <f>IFERROR(__xludf.DUMMYFUNCTION("""COMPUTED_VALUE"""),"Летом Весенняя - Набережная.
Зимой - Советский от Драмы, Орджоникидзе, Набережная, Весенняя, Драма, пл. Волкова.")</f>
        <v>Летом Весенняя - Набережная.
Зимой - Советский от Драмы, Орджоникидзе, Набережная, Весенняя, Драма, пл. Волкова.</v>
      </c>
      <c r="Y73" s="6" t="str">
        <f>IFERROR(__xludf.DUMMYFUNCTION("""COMPUTED_VALUE"""),"Строительство ""хрущевок"" за ул. Фабричной в сторону б-ра Строителей, и массовое переселение людей из бараков и коммуналок в нормальные персональные квартиры.")</f>
        <v>Строительство "хрущевок" за ул. Фабричной в сторону б-ра Строителей, и массовое переселение людей из бараков и коммуналок в нормальные персональные квартиры.</v>
      </c>
      <c r="Z73" s="6" t="str">
        <f>IFERROR(__xludf.DUMMYFUNCTION("""COMPUTED_VALUE"""),"Никакие. Би-2 собирались приехать, но и их отменили из-за коронавируса.")</f>
        <v>Никакие. Би-2 собирались приехать, но и их отменили из-за коронавируса.</v>
      </c>
      <c r="AA73" s="6" t="str">
        <f>IFERROR(__xludf.DUMMYFUNCTION("""COMPUTED_VALUE"""),"нет таких")</f>
        <v>нет таких</v>
      </c>
      <c r="AB73" s="6" t="str">
        <f>IFERROR(__xludf.DUMMYFUNCTION("""COMPUTED_VALUE"""),"не знаю")</f>
        <v>не знаю</v>
      </c>
      <c r="AC73" s="6" t="str">
        <f>IFERROR(__xludf.DUMMYFUNCTION("""COMPUTED_VALUE"""),"Концерты современных популярных исполнителей, а не вышедших в тираж дцать лет назад.")</f>
        <v>Концерты современных популярных исполнителей, а не вышедших в тираж дцать лет назад.</v>
      </c>
      <c r="AD73" s="6" t="str">
        <f>IFERROR(__xludf.DUMMYFUNCTION("""COMPUTED_VALUE"""),"участник рабочей группы, связанной с телекоммуникациями и транспортом")</f>
        <v>участник рабочей группы, связанной с телекоммуникациями и транспортом</v>
      </c>
      <c r="AE73" s="6" t="str">
        <f>IFERROR(__xludf.DUMMYFUNCTION("""COMPUTED_VALUE"""),"Мужской")</f>
        <v>Мужской</v>
      </c>
      <c r="AF73" s="6" t="str">
        <f>IFERROR(__xludf.DUMMYFUNCTION("""COMPUTED_VALUE"""),"30-44")</f>
        <v>30-44</v>
      </c>
      <c r="AG73" s="6"/>
      <c r="AH73" s="6"/>
      <c r="AI73" s="6"/>
      <c r="AJ73" s="6"/>
      <c r="AK73" s="6"/>
      <c r="AL73" s="6"/>
      <c r="AM73" s="6"/>
    </row>
    <row r="74">
      <c r="A74" s="4">
        <v>73.0</v>
      </c>
      <c r="B74" s="6" t="str">
        <f>IFERROR(__xludf.DUMMYFUNCTION("""COMPUTED_VALUE"""),"смм")</f>
        <v>смм</v>
      </c>
      <c r="C74" s="6" t="str">
        <f>IFERROR(__xludf.DUMMYFUNCTION("""COMPUTED_VALUE"""),"занимаюсь своей собакой и йогой")</f>
        <v>занимаюсь своей собакой и йогой</v>
      </c>
      <c r="D74" s="6" t="str">
        <f>IFERROR(__xludf.DUMMYFUNCTION("""COMPUTED_VALUE"""),"Ленинский, так и называю")</f>
        <v>Ленинский, так и называю</v>
      </c>
      <c r="E74" s="6" t="str">
        <f>IFERROR(__xludf.DUMMYFUNCTION("""COMPUTED_VALUE"""),"парковая зона около кадетского училища")</f>
        <v>парковая зона около кадетского училища</v>
      </c>
      <c r="F74" s="6" t="str">
        <f>IFERROR(__xludf.DUMMYFUNCTION("""COMPUTED_VALUE"""),"Живу здесь с рождения")</f>
        <v>Живу здесь с рождения</v>
      </c>
      <c r="G74" s="6" t="str">
        <f>IFERROR(__xludf.DUMMYFUNCTION("""COMPUTED_VALUE"""),"в оставшийся лесок у красного озера, хотя и его скоро вырубят; парковая зона у кадетского училища")</f>
        <v>в оставшийся лесок у красного озера, хотя и его скоро вырубят; парковая зона у кадетского училища</v>
      </c>
      <c r="H74" s="6" t="str">
        <f>IFERROR(__xludf.DUMMYFUNCTION("""COMPUTED_VALUE"""),"мусор, застройка, ")</f>
        <v>мусор, застройка, </v>
      </c>
      <c r="I74" s="6" t="str">
        <f>IFERROR(__xludf.DUMMYFUNCTION("""COMPUTED_VALUE"""),"Леонов")</f>
        <v>Леонов</v>
      </c>
      <c r="J74" s="6" t="str">
        <f>IFERROR(__xludf.DUMMYFUNCTION("""COMPUTED_VALUE"""),"Гришковец")</f>
        <v>Гришковец</v>
      </c>
      <c r="K74" s="6" t="str">
        <f>IFERROR(__xludf.DUMMYFUNCTION("""COMPUTED_VALUE"""),"парковую зону около кадетского училища")</f>
        <v>парковую зону около кадетского училища</v>
      </c>
      <c r="L74" s="6" t="str">
        <f>IFERROR(__xludf.DUMMYFUNCTION("""COMPUTED_VALUE"""),"кока-кола мен, Коновалов")</f>
        <v>кока-кола мен, Коновалов</v>
      </c>
      <c r="M74" s="6" t="str">
        <f>IFERROR(__xludf.DUMMYFUNCTION("""COMPUTED_VALUE"""),"-")</f>
        <v>-</v>
      </c>
      <c r="N74" s="6" t="str">
        <f>IFERROR(__xludf.DUMMYFUNCTION("""COMPUTED_VALUE"""),"Нет пробок, есть парки, чистый город, чистый воздух, развитая инфраструктура")</f>
        <v>Нет пробок, есть парки, чистый город, чистый воздух, развитая инфраструктура</v>
      </c>
      <c r="O74" s="6" t="str">
        <f>IFERROR(__xludf.DUMMYFUNCTION("""COMPUTED_VALUE"""),"покрасить дома со всех сторон")</f>
        <v>покрасить дома со всех сторон</v>
      </c>
      <c r="P74" s="6" t="str">
        <f>IFERROR(__xludf.DUMMYFUNCTION("""COMPUTED_VALUE"""),"новостные порталы")</f>
        <v>новостные порталы</v>
      </c>
      <c r="Q74"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74" s="6" t="str">
        <f>IFERROR(__xludf.DUMMYFUNCTION("""COMPUTED_VALUE"""),"-")</f>
        <v>-</v>
      </c>
      <c r="S74" s="6" t="str">
        <f>IFERROR(__xludf.DUMMYFUNCTION("""COMPUTED_VALUE"""),"Обращался в редакции городских газет, телевидения, радио")</f>
        <v>Обращался в редакции городских газет, телевидения, радио</v>
      </c>
      <c r="T74" s="6" t="str">
        <f>IFERROR(__xludf.DUMMYFUNCTION("""COMPUTED_VALUE"""),"пожар в зимней вишни, убийством веры и яны, шахтами, углём")</f>
        <v>пожар в зимней вишни, убийством веры и яны, шахтами, углём</v>
      </c>
      <c r="U74" s="6" t="str">
        <f>IFERROR(__xludf.DUMMYFUNCTION("""COMPUTED_VALUE"""),"Ленин на площади советов")</f>
        <v>Ленин на площади советов</v>
      </c>
      <c r="V74" s="6" t="str">
        <f>IFERROR(__xludf.DUMMYFUNCTION("""COMPUTED_VALUE"""),"-")</f>
        <v>-</v>
      </c>
      <c r="W74" s="6" t="str">
        <f>IFERROR(__xludf.DUMMYFUNCTION("""COMPUTED_VALUE"""),"смурные, грубые")</f>
        <v>смурные, грубые</v>
      </c>
      <c r="X74" s="6" t="str">
        <f>IFERROR(__xludf.DUMMYFUNCTION("""COMPUTED_VALUE"""),"проехать мимо")</f>
        <v>проехать мимо</v>
      </c>
      <c r="Y74" s="6" t="str">
        <f>IFERROR(__xludf.DUMMYFUNCTION("""COMPUTED_VALUE"""),"рсв в 2004 году, чемпионат по хоккею с мячом")</f>
        <v>рсв в 2004 году, чемпионат по хоккею с мячом</v>
      </c>
      <c r="Z74" s="6" t="str">
        <f>IFERROR(__xludf.DUMMYFUNCTION("""COMPUTED_VALUE"""),"-")</f>
        <v>-</v>
      </c>
      <c r="AA74" s="6" t="str">
        <f>IFERROR(__xludf.DUMMYFUNCTION("""COMPUTED_VALUE"""),"пожар в зимней вишни, убийство веры")</f>
        <v>пожар в зимней вишни, убийство веры</v>
      </c>
      <c r="AB74" s="6" t="str">
        <f>IFERROR(__xludf.DUMMYFUNCTION("""COMPUTED_VALUE"""),"сообщества адекватных собачников")</f>
        <v>сообщества адекватных собачников</v>
      </c>
      <c r="AC74" s="6" t="str">
        <f>IFERROR(__xludf.DUMMYFUNCTION("""COMPUTED_VALUE"""),"улучшить экологию, уменьшить выбросы")</f>
        <v>улучшить экологию, уменьшить выбросы</v>
      </c>
      <c r="AD74" s="6" t="str">
        <f>IFERROR(__xludf.DUMMYFUNCTION("""COMPUTED_VALUE"""),"-")</f>
        <v>-</v>
      </c>
      <c r="AE74" s="6" t="str">
        <f>IFERROR(__xludf.DUMMYFUNCTION("""COMPUTED_VALUE"""),"Женский")</f>
        <v>Женский</v>
      </c>
      <c r="AF74" s="6" t="str">
        <f>IFERROR(__xludf.DUMMYFUNCTION("""COMPUTED_VALUE"""),"18-29")</f>
        <v>18-29</v>
      </c>
      <c r="AG74" s="6"/>
      <c r="AH74" s="6"/>
      <c r="AI74" s="6"/>
      <c r="AJ74" s="6"/>
      <c r="AK74" s="6"/>
      <c r="AL74" s="6"/>
      <c r="AM74" s="6"/>
    </row>
    <row r="75">
      <c r="A75" s="4">
        <v>74.0</v>
      </c>
      <c r="B75" s="6" t="str">
        <f>IFERROR(__xludf.DUMMYFUNCTION("""COMPUTED_VALUE"""),"я организовываю продажи рекламы и социальных сетей, а также простраиваю и контролирую весь бизнес-процесс")</f>
        <v>я организовываю продажи рекламы и социальных сетей, а также простраиваю и контролирую весь бизнес-процесс</v>
      </c>
      <c r="C75" s="6" t="str">
        <f>IFERROR(__xludf.DUMMYFUNCTION("""COMPUTED_VALUE"""),"рисование и спорт")</f>
        <v>рисование и спорт</v>
      </c>
      <c r="D75" s="6" t="str">
        <f>IFERROR(__xludf.DUMMYFUNCTION("""COMPUTED_VALUE"""),"Ленинский. Называю место, где живу ""Московский"" (согласно проспекту). Еще иногда ""На Бульваре""")</f>
        <v>Ленинский. Называю место, где живу "Московский" (согласно проспекту). Еще иногда "На Бульваре"</v>
      </c>
      <c r="E75" s="6" t="str">
        <f>IFERROR(__xludf.DUMMYFUNCTION("""COMPUTED_VALUE"""),"Парк у кадетского корпуса, красное озеро, весь бульвар строителей из 3х частей")</f>
        <v>Парк у кадетского корпуса, красное озеро, весь бульвар строителей из 3х частей</v>
      </c>
      <c r="F75" s="6" t="str">
        <f>IFERROR(__xludf.DUMMYFUNCTION("""COMPUTED_VALUE"""),"Живу здесь с рождения")</f>
        <v>Живу здесь с рождения</v>
      </c>
      <c r="G75" s="6" t="str">
        <f>IFERROR(__xludf.DUMMYFUNCTION("""COMPUTED_VALUE"""),"1. Набережная
2. бульвар строителей от Московского  до Химиков
3. Парк Жукова и парк Антошка
4. Бор Рудничного района")</f>
        <v>1. Набережная
2. бульвар строителей от Московского  до Химиков
3. Парк Жукова и парк Антошка
4. Бор Рудничного района</v>
      </c>
      <c r="H75" s="6" t="str">
        <f>IFERROR(__xludf.DUMMYFUNCTION("""COMPUTED_VALUE"""),"уютный, мой, легко доехать, есть инфраструктура, красивый")</f>
        <v>уютный, мой, легко доехать, есть инфраструктура, красивый</v>
      </c>
      <c r="I75" s="6" t="str">
        <f>IFERROR(__xludf.DUMMYFUNCTION("""COMPUTED_VALUE"""),"Чернов П.А. (художник), Леонов А.А.")</f>
        <v>Чернов П.А. (художник), Леонов А.А.</v>
      </c>
      <c r="J75" s="6" t="str">
        <f>IFERROR(__xludf.DUMMYFUNCTION("""COMPUTED_VALUE"""),"Сухацкий В.А., Михайлов В.В.")</f>
        <v>Сухацкий В.А., Михайлов В.В.</v>
      </c>
      <c r="K75" s="6" t="str">
        <f>IFERROR(__xludf.DUMMYFUNCTION("""COMPUTED_VALUE"""),"Музей ""Красная горка"", Краеведческий музей, Это_офис, Парк Ангелов, ")</f>
        <v>Музей "Красная горка", Краеведческий музей, Это_офис, Парк Ангелов, </v>
      </c>
      <c r="L75" s="6" t="str">
        <f>IFERROR(__xludf.DUMMYFUNCTION("""COMPUTED_VALUE"""),"терпение и труд все перетрут")</f>
        <v>терпение и труд все перетрут</v>
      </c>
      <c r="M75" s="6" t="str">
        <f>IFERROR(__xludf.DUMMYFUNCTION("""COMPUTED_VALUE"""),"нет")</f>
        <v>нет</v>
      </c>
      <c r="N75" s="6" t="str">
        <f>IFERROR(__xludf.DUMMYFUNCTION("""COMPUTED_VALUE"""),"1. легко добраться в любую точку
2. деревья, бор в городе
3. парки, где можно гулять и бегать
4. качественные дороги
5. чистота (своевременная уборка мусора и культурные горожане)")</f>
        <v>1. легко добраться в любую точку
2. деревья, бор в городе
3. парки, где можно гулять и бегать
4. качественные дороги
5. чистота (своевременная уборка мусора и культурные горожане)</v>
      </c>
      <c r="O75" s="6" t="str">
        <f>IFERROR(__xludf.DUMMYFUNCTION("""COMPUTED_VALUE"""),"фасады домов. как пример, на московском дома покрасили в голубой цвет и сделали подсветку. смотрится светло, число, аккуратно")</f>
        <v>фасады домов. как пример, на московском дома покрасили в голубой цвет и сделали подсветку. смотрится светло, число, аккуратно</v>
      </c>
      <c r="P75" s="6" t="str">
        <f>IFERROR(__xludf.DUMMYFUNCTION("""COMPUTED_VALUE"""),"a42.ru, инстаграм")</f>
        <v>a42.ru, инстаграм</v>
      </c>
      <c r="Q75" s="6" t="str">
        <f>IFERROR(__xludf.DUMMYFUNCTION("""COMPUTED_VALUE"""),"городская афиша (кино/театр/концерты), интервью с местными предпринимателями, бизнес-новости (средний чек/рекламные акции/запуск новых предприятий)")</f>
        <v>городская афиша (кино/театр/концерты), интервью с местными предпринимателями, бизнес-новости (средний чек/рекламные акции/запуск новых предприятий)</v>
      </c>
      <c r="R75" s="6" t="str">
        <f>IFERROR(__xludf.DUMMYFUNCTION("""COMPUTED_VALUE"""),"День города, день шахтера")</f>
        <v>День города, день шахтера</v>
      </c>
      <c r="S75" s="6" t="str">
        <f>IFERROR(__xludf.DUMMYFUNCTION("""COMPUTED_VALUE"""),"Нет, не приходилось")</f>
        <v>Нет, не приходилось</v>
      </c>
      <c r="T75" s="6" t="str">
        <f>IFERROR(__xludf.DUMMYFUNCTION("""COMPUTED_VALUE"""),"набережная")</f>
        <v>набережная</v>
      </c>
      <c r="U75" s="6" t="str">
        <f>IFERROR(__xludf.DUMMYFUNCTION("""COMPUTED_VALUE"""),"вечный огонь")</f>
        <v>вечный огонь</v>
      </c>
      <c r="V75" s="6" t="str">
        <f>IFERROR(__xludf.DUMMYFUNCTION("""COMPUTED_VALUE"""),"просто есть неравнодушные люди, и их очень много. кто-то у многоэтажного дома цветы высаживает, чтобы просто было красиво, кто-то занимается физическим воспитанием детей из малоимущих семей (бесплатно). даже просто рассказывать о красивых местах города - "&amp;"это тоже хорошо. только надо не жаловаться, что грязно/пыльно/места мало и т.д., а пробовать решать проблемы, если что-то не устраивает или предлагать решения")</f>
        <v>просто есть неравнодушные люди, и их очень много. кто-то у многоэтажного дома цветы высаживает, чтобы просто было красиво, кто-то занимается физическим воспитанием детей из малоимущих семей (бесплатно). даже просто рассказывать о красивых местах города - это тоже хорошо. только надо не жаловаться, что грязно/пыльно/места мало и т.д., а пробовать решать проблемы, если что-то не устраивает или предлагать решения</v>
      </c>
      <c r="W75" s="6" t="str">
        <f>IFERROR(__xludf.DUMMYFUNCTION("""COMPUTED_VALUE"""),"трудолюбивые и добрые")</f>
        <v>трудолюбивые и добрые</v>
      </c>
      <c r="X75" s="6" t="str">
        <f>IFERROR(__xludf.DUMMYFUNCTION("""COMPUTED_VALUE"""),"летняя пешая прогулка от Филармонии, вдоль набережной, вечный огонь, через парк Чудес, по Советскому и далее по Весенней ")</f>
        <v>летняя пешая прогулка от Филармонии, вдоль набережной, вечный огонь, через парк Чудес, по Советскому и далее по Весенней </v>
      </c>
      <c r="Y75" s="6" t="str">
        <f>IFERROR(__xludf.DUMMYFUNCTION("""COMPUTED_VALUE"""),"не могу сказать, что за все время существования, т.к. не так хорошо знаю историю города, но, например, ремонт краеведческого музея - это большое событие и прекрасный источник знаний о родном городе")</f>
        <v>не могу сказать, что за все время существования, т.к. не так хорошо знаю историю города, но, например, ремонт краеведческого музея - это большое событие и прекрасный источник знаний о родном городе</v>
      </c>
      <c r="Z75" s="6" t="str">
        <f>IFERROR(__xludf.DUMMYFUNCTION("""COMPUTED_VALUE"""),"все связано с благоустройством города, т.е. ремонт бульвара строителей, создание парка у кадетского корпуса и строительство кадетского корпуса. ремонт аэропорта - большое преимущество. Аэропорт внутренних авиалиний стал намного комфортнее")</f>
        <v>все связано с благоустройством города, т.е. ремонт бульвара строителей, создание парка у кадетского корпуса и строительство кадетского корпуса. ремонт аэропорта - большое преимущество. Аэропорт внутренних авиалиний стал намного комфортнее</v>
      </c>
      <c r="AA75" s="6" t="str">
        <f>IFERROR(__xludf.DUMMYFUNCTION("""COMPUTED_VALUE"""),"сложно сказать. самое страшное событие было 3 года назад и последствия не иссякнут. ")</f>
        <v>сложно сказать. самое страшное событие было 3 года назад и последствия не иссякнут. </v>
      </c>
      <c r="AB75" s="6" t="str">
        <f>IFERROR(__xludf.DUMMYFUNCTION("""COMPUTED_VALUE"""),"мне не хватает спортивных сообществ. было бы здорово делать в летнее время на открытом воздухе для всех желающих фитнес, йогу и т.д. Собирать горожан на командные игры: волейбол, футбол. Просто на спортивных площадках. Люди будут объединяться ходить семья"&amp;"ми, знакомиться с единомышленниками. пока знаю только о беговых марафонах")</f>
        <v>мне не хватает спортивных сообществ. было бы здорово делать в летнее время на открытом воздухе для всех желающих фитнес, йогу и т.д. Собирать горожан на командные игры: волейбол, футбол. Просто на спортивных площадках. Люди будут объединяться ходить семьями, знакомиться с единомышленниками. пока знаю только о беговых марафонах</v>
      </c>
      <c r="AC75" s="6" t="str">
        <f>IFERROR(__xludf.DUMMYFUNCTION("""COMPUTED_VALUE"""),"музыкальные фестивали, мастер-классы по изготовлению декора. и все обязательно направлено на семейное времяпрепровождение, с детьми. ")</f>
        <v>музыкальные фестивали, мастер-классы по изготовлению декора. и все обязательно направлено на семейное времяпрепровождение, с детьми. </v>
      </c>
      <c r="AD75" s="6" t="str">
        <f>IFERROR(__xludf.DUMMYFUNCTION("""COMPUTED_VALUE"""),"роль жителя Кемерова. я люблю свой город. я с удовольствием рассказываю лично и  в своем аккаунте в инсте друзьям о каких-то событиях или новых местах. ")</f>
        <v>роль жителя Кемерова. я люблю свой город. я с удовольствием рассказываю лично и  в своем аккаунте в инсте друзьям о каких-то событиях или новых местах. </v>
      </c>
      <c r="AE75" s="6" t="str">
        <f>IFERROR(__xludf.DUMMYFUNCTION("""COMPUTED_VALUE"""),"Женский")</f>
        <v>Женский</v>
      </c>
      <c r="AF75" s="6" t="str">
        <f>IFERROR(__xludf.DUMMYFUNCTION("""COMPUTED_VALUE"""),"30-44")</f>
        <v>30-44</v>
      </c>
      <c r="AG75" s="6"/>
      <c r="AH75" s="6"/>
      <c r="AI75" s="6"/>
      <c r="AJ75" s="6"/>
      <c r="AK75" s="6"/>
      <c r="AL75" s="6"/>
      <c r="AM75" s="6"/>
    </row>
    <row r="76">
      <c r="A76" s="4">
        <v>75.0</v>
      </c>
      <c r="B76" s="6" t="str">
        <f>IFERROR(__xludf.DUMMYFUNCTION("""COMPUTED_VALUE"""),"🏡👩Домохозяйка")</f>
        <v>🏡👩Домохозяйка</v>
      </c>
      <c r="C76" s="6" t="str">
        <f>IFERROR(__xludf.DUMMYFUNCTION("""COMPUTED_VALUE"""),"Чтение, готовка, фитнесс")</f>
        <v>Чтение, готовка, фитнесс</v>
      </c>
      <c r="D76" s="6" t="str">
        <f>IFERROR(__xludf.DUMMYFUNCTION("""COMPUTED_VALUE"""),"Центральный")</f>
        <v>Центральный</v>
      </c>
      <c r="E76" s="6" t="str">
        <f>IFERROR(__xludf.DUMMYFUNCTION("""COMPUTED_VALUE"""),"Пар Веры Волошиной")</f>
        <v>Пар Веры Волошиной</v>
      </c>
      <c r="F76" s="6" t="str">
        <f>IFERROR(__xludf.DUMMYFUNCTION("""COMPUTED_VALUE"""),"Живу здесь с рождения")</f>
        <v>Живу здесь с рождения</v>
      </c>
      <c r="G76" s="6" t="str">
        <f>IFERROR(__xludf.DUMMYFUNCTION("""COMPUTED_VALUE"""),"Парк Антошка, три Лапландия, парк Веры Волошиной, в гости)). ")</f>
        <v>Парк Антошка, три Лапландия, парк Веры Волошиной, в гости)). </v>
      </c>
      <c r="H76" s="6" t="str">
        <f>IFERROR(__xludf.DUMMYFUNCTION("""COMPUTED_VALUE"""),"Вера Волошиной парк, уголь, Цивилев, площадь Ленина) ")</f>
        <v>Вера Волошиной парк, уголь, Цивилев, площадь Ленина) </v>
      </c>
      <c r="I76" s="6" t="str">
        <f>IFERROR(__xludf.DUMMYFUNCTION("""COMPUTED_VALUE"""),"Тулеев, Волков. ")</f>
        <v>Тулеев, Волков. </v>
      </c>
      <c r="J76" s="6" t="str">
        <f>IFERROR(__xludf.DUMMYFUNCTION("""COMPUTED_VALUE"""),"Тулеев, Цивилев, Заузелков")</f>
        <v>Тулеев, Цивилев, Заузелков</v>
      </c>
      <c r="K76" s="6" t="str">
        <f>IFERROR(__xludf.DUMMYFUNCTION("""COMPUTED_VALUE"""),"Памятник мать и дитя в центре, памтники у драмтеатра. ")</f>
        <v>Памятник мать и дитя в центре, памтники у драмтеатра. </v>
      </c>
      <c r="L76" s="6" t="str">
        <f>IFERROR(__xludf.DUMMYFUNCTION("""COMPUTED_VALUE"""),"Незнаю к сожалению ((")</f>
        <v>Незнаю к сожалению ((</v>
      </c>
      <c r="M76" s="6" t="str">
        <f>IFERROR(__xludf.DUMMYFUNCTION("""COMPUTED_VALUE"""),"Нет")</f>
        <v>Нет</v>
      </c>
      <c r="N76" s="6" t="str">
        <f>IFERROR(__xludf.DUMMYFUNCTION("""COMPUTED_VALUE"""),"Все под боком, чистый воздух, много мест где можно гулять, много транспорта. ")</f>
        <v>Все под боком, чистый воздух, много мест где можно гулять, много транспорта. </v>
      </c>
      <c r="O76" s="6" t="str">
        <f>IFERROR(__xludf.DUMMYFUNCTION("""COMPUTED_VALUE"""),"Все и так хорошо. ")</f>
        <v>Все и так хорошо. </v>
      </c>
      <c r="P76" s="6" t="str">
        <f>IFERROR(__xludf.DUMMYFUNCTION("""COMPUTED_VALUE"""),"Инстаграмм, телевидение")</f>
        <v>Инстаграмм, телевидение</v>
      </c>
      <c r="Q7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н"&amp;"а разные темы (напишите в разделе Другое свои предложения), Здоровье, кулинария, мода и стиль")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 Здоровье, кулинария, мода и стиль</v>
      </c>
      <c r="R76" s="6" t="str">
        <f>IFERROR(__xludf.DUMMYFUNCTION("""COMPUTED_VALUE"""),"Новый год и день шахтера")</f>
        <v>Новый год и день шахтера</v>
      </c>
      <c r="S76" s="6" t="str">
        <f>IFERROR(__xludf.DUMMYFUNCTION("""COMPUTED_VALUE"""),"Нет, не приходилось")</f>
        <v>Нет, не приходилось</v>
      </c>
      <c r="T76" s="6" t="str">
        <f>IFERROR(__xludf.DUMMYFUNCTION("""COMPUTED_VALUE"""),"Душевность людей")</f>
        <v>Душевность людей</v>
      </c>
      <c r="U76" s="6" t="str">
        <f>IFERROR(__xludf.DUMMYFUNCTION("""COMPUTED_VALUE"""),"Площадь Волкова")</f>
        <v>Площадь Волкова</v>
      </c>
      <c r="V76" s="6" t="str">
        <f>IFERROR(__xludf.DUMMYFUNCTION("""COMPUTED_VALUE"""),"Вкладывали душу в его становление")</f>
        <v>Вкладывали душу в его становление</v>
      </c>
      <c r="W76" s="6" t="str">
        <f>IFERROR(__xludf.DUMMYFUNCTION("""COMPUTED_VALUE"""),"Добрые, душевные, чистые. ")</f>
        <v>Добрые, душевные, чистые. </v>
      </c>
      <c r="X76" s="6" t="str">
        <f>IFERROR(__xludf.DUMMYFUNCTION("""COMPUTED_VALUE"""),"Каждый сам решает и выбирает, сложно сказать). ")</f>
        <v>Каждый сам решает и выбирает, сложно сказать). </v>
      </c>
      <c r="Y76" s="6" t="str">
        <f>IFERROR(__xludf.DUMMYFUNCTION("""COMPUTED_VALUE"""),"Кемерово появился) ")</f>
        <v>Кемерово появился) </v>
      </c>
      <c r="Z76" s="6" t="str">
        <f>IFERROR(__xludf.DUMMYFUNCTION("""COMPUTED_VALUE"""),"Каждый день как праздник) ")</f>
        <v>Каждый день как праздник) </v>
      </c>
      <c r="AA76" s="6" t="str">
        <f>IFERROR(__xludf.DUMMYFUNCTION("""COMPUTED_VALUE"""),"Нет таких")</f>
        <v>Нет таких</v>
      </c>
      <c r="AB76" s="6" t="str">
        <f>IFERROR(__xludf.DUMMYFUNCTION("""COMPUTED_VALUE"""),"Всего хватает")</f>
        <v>Всего хватает</v>
      </c>
      <c r="AC76" s="6" t="str">
        <f>IFERROR(__xludf.DUMMYFUNCTION("""COMPUTED_VALUE"""),"Все нормально")</f>
        <v>Все нормально</v>
      </c>
      <c r="AD76" s="6" t="str">
        <f>IFERROR(__xludf.DUMMYFUNCTION("""COMPUTED_VALUE"""),"Помощник организатора")</f>
        <v>Помощник организатора</v>
      </c>
      <c r="AE76" s="6" t="str">
        <f>IFERROR(__xludf.DUMMYFUNCTION("""COMPUTED_VALUE"""),"Женский")</f>
        <v>Женский</v>
      </c>
      <c r="AF76" s="6" t="str">
        <f>IFERROR(__xludf.DUMMYFUNCTION("""COMPUTED_VALUE"""),"30-44")</f>
        <v>30-44</v>
      </c>
      <c r="AG76" s="6"/>
      <c r="AH76" s="6"/>
      <c r="AI76" s="6"/>
      <c r="AJ76" s="6"/>
      <c r="AK76" s="6"/>
      <c r="AL76" s="6"/>
      <c r="AM76" s="6"/>
    </row>
    <row r="77">
      <c r="A77" s="4">
        <v>76.0</v>
      </c>
      <c r="B77" s="6" t="str">
        <f>IFERROR(__xludf.DUMMYFUNCTION("""COMPUTED_VALUE"""),"SMM")</f>
        <v>SMM</v>
      </c>
      <c r="C77" s="6" t="str">
        <f>IFERROR(__xludf.DUMMYFUNCTION("""COMPUTED_VALUE"""),"вэб дизайн")</f>
        <v>вэб дизайн</v>
      </c>
      <c r="D77" s="6" t="str">
        <f>IFERROR(__xludf.DUMMYFUNCTION("""COMPUTED_VALUE"""),"Кировский ")</f>
        <v>Кировский </v>
      </c>
      <c r="E77" s="6" t="str">
        <f>IFERROR(__xludf.DUMMYFUNCTION("""COMPUTED_VALUE"""),"ДК / набережная / берёзовая роща / дамба")</f>
        <v>ДК / набережная / берёзовая роща / дамба</v>
      </c>
      <c r="F77" s="6" t="str">
        <f>IFERROR(__xludf.DUMMYFUNCTION("""COMPUTED_VALUE"""),"Живу здесь с рождения")</f>
        <v>Живу здесь с рождения</v>
      </c>
      <c r="G77" s="6" t="str">
        <f>IFERROR(__xludf.DUMMYFUNCTION("""COMPUTED_VALUE"""),"В торговые центры, в кинотеатры, Красная горка, Сосновый бор, Парк чудес")</f>
        <v>В торговые центры, в кинотеатры, Красная горка, Сосновый бор, Парк чудес</v>
      </c>
      <c r="H77" s="6" t="str">
        <f>IFERROR(__xludf.DUMMYFUNCTION("""COMPUTED_VALUE"""),"Зимняя вишня, Тулеев, Подорожник, Кока-Кола мэн, Томская писаница")</f>
        <v>Зимняя вишня, Тулеев, Подорожник, Кока-Кола мэн, Томская писаница</v>
      </c>
      <c r="I77" s="6" t="str">
        <f>IFERROR(__xludf.DUMMYFUNCTION("""COMPUTED_VALUE"""),"Леонов, Волков, Виктор Логинов, Леонид Коновалов")</f>
        <v>Леонов, Волков, Виктор Логинов, Леонид Коновалов</v>
      </c>
      <c r="J77" s="6" t="str">
        <f>IFERROR(__xludf.DUMMYFUNCTION("""COMPUTED_VALUE"""),"Леонов")</f>
        <v>Леонов</v>
      </c>
      <c r="K77" s="6" t="str">
        <f>IFERROR(__xludf.DUMMYFUNCTION("""COMPUTED_VALUE"""),"Сквер Парк Ангелов")</f>
        <v>Сквер Парк Ангелов</v>
      </c>
      <c r="L77" s="6" t="str">
        <f>IFERROR(__xludf.DUMMYFUNCTION("""COMPUTED_VALUE"""),"Не припомню")</f>
        <v>Не припомню</v>
      </c>
      <c r="M77" s="6" t="str">
        <f>IFERROR(__xludf.DUMMYFUNCTION("""COMPUTED_VALUE"""),"Мультифора, Мультикасса, ""Подорожник""")</f>
        <v>Мультифора, Мультикасса, "Подорожник"</v>
      </c>
      <c r="N77" s="6" t="str">
        <f>IFERROR(__xludf.DUMMYFUNCTION("""COMPUTED_VALUE"""),"Развитая инфраструктура( когда из любой точки города можно спокойно доехать до центра за 25 минут) .Доступный общественный транспорт")</f>
        <v>Развитая инфраструктура( когда из любой точки города можно спокойно доехать до центра за 25 минут) .Доступный общественный транспорт</v>
      </c>
      <c r="O77" s="6" t="str">
        <f>IFERROR(__xludf.DUMMYFUNCTION("""COMPUTED_VALUE"""),"В Кировском районе очень плохо с освещением улиц в ночное время, лампочки еле светят. Так же много лет нет абсолютно никакого освещения на пересечение улиц Ишимская с Шахтёрской. Вдоль дороги ночью идут люди (из-за отсутствия пешеходных тропинок), часто в"&amp;"стречные машины слепят друг друга на повороте из-за чего водитель не видит ни людей ни куда поворачивает. В остальном добавить бы пляжные зоны с песком. Обустроить остров. Снести старый мост. Ликвидировать стихийные свалки вдоль береговой линии и в частно"&amp;"м секторе. Добавить нормальные аттракционы в парках")</f>
        <v>В Кировском районе очень плохо с освещением улиц в ночное время, лампочки еле светят. Так же много лет нет абсолютно никакого освещения на пересечение улиц Ишимская с Шахтёрской. Вдоль дороги ночью идут люди (из-за отсутствия пешеходных тропинок), часто встречные машины слепят друг друга на повороте из-за чего водитель не видит ни людей ни куда поворачивает. В остальном добавить бы пляжные зоны с песком. Обустроить остров. Снести старый мост. Ликвидировать стихийные свалки вдоль береговой линии и в частном секторе. Добавить нормальные аттракционы в парках</v>
      </c>
      <c r="P77" s="6" t="str">
        <f>IFERROR(__xludf.DUMMYFUNCTION("""COMPUTED_VALUE"""),"Местные паблики в ВК, Инстаграм:  A42, Инцидент Кемерово, Инцидент Кузбасс, Типичный Кемерово, Шесть рукопожатий ")</f>
        <v>Местные паблики в ВК, Инстаграм:  A42, Инцидент Кемерово, Инцидент Кузбасс, Типичный Кемерово, Шесть рукопожатий </v>
      </c>
      <c r="Q77"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 Истории местных жит"&amp;"елей")</f>
        <v>городская афиша (кино/театр/концерты),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 Истории местных жителей</v>
      </c>
      <c r="R77" s="6" t="str">
        <f>IFERROR(__xludf.DUMMYFUNCTION("""COMPUTED_VALUE"""),"новый год, день города, 9 мая")</f>
        <v>новый год, день города, 9 мая</v>
      </c>
      <c r="S77" s="6" t="str">
        <f>IFERROR(__xludf.DUMMYFUNCTION("""COMPUTED_VALUE"""),"Нет, не приходилось, Обращался в редакции электронных городских СМИ")</f>
        <v>Нет, не приходилось, Обращался в редакции электронных городских СМИ</v>
      </c>
      <c r="T77" s="6" t="str">
        <f>IFERROR(__xludf.DUMMYFUNCTION("""COMPUTED_VALUE"""),"Единственный в мире реликтовый лес, расположенный в черте города - Сосновый бор. А так же трагично известен пожаром в Зимней вишне. ")</f>
        <v>Единственный в мире реликтовый лес, расположенный в черте города - Сосновый бор. А так же трагично известен пожаром в Зимней вишне. </v>
      </c>
      <c r="U77" s="6" t="str">
        <f>IFERROR(__xludf.DUMMYFUNCTION("""COMPUTED_VALUE"""),"Красная горка")</f>
        <v>Красная горка</v>
      </c>
      <c r="V77" s="6" t="str">
        <f>IFERROR(__xludf.DUMMYFUNCTION("""COMPUTED_VALUE"""),"Ничего")</f>
        <v>Ничего</v>
      </c>
      <c r="W77" s="6" t="str">
        <f>IFERROR(__xludf.DUMMYFUNCTION("""COMPUTED_VALUE"""),"чаще встречается: равнодушие")</f>
        <v>чаще встречается: равнодушие</v>
      </c>
      <c r="X77" s="6" t="str">
        <f>IFERROR(__xludf.DUMMYFUNCTION("""COMPUTED_VALUE"""),"по Весенней улице до набережной, от набережной до Красной горки ")</f>
        <v>по Весенней улице до набережной, от набережной до Красной горки </v>
      </c>
      <c r="Y77" s="6" t="str">
        <f>IFERROR(__xludf.DUMMYFUNCTION("""COMPUTED_VALUE"""),"Пожар в Зимней вишне")</f>
        <v>Пожар в Зимней вишне</v>
      </c>
      <c r="Z77" s="6" t="str">
        <f>IFERROR(__xludf.DUMMYFUNCTION("""COMPUTED_VALUE"""),"Фестиваль Легенды Рока ")</f>
        <v>Фестиваль Легенды Рока </v>
      </c>
      <c r="AA77" s="6" t="str">
        <f>IFERROR(__xludf.DUMMYFUNCTION("""COMPUTED_VALUE"""),"Некомпетентность персонала в больницах, хамство и наглость")</f>
        <v>Некомпетентность персонала в больницах, хамство и наглость</v>
      </c>
      <c r="AB77" s="6" t="str">
        <f>IFERROR(__xludf.DUMMYFUNCTION("""COMPUTED_VALUE"""),"Затрудняюсь ответить")</f>
        <v>Затрудняюсь ответить</v>
      </c>
      <c r="AC77" s="6" t="str">
        <f>IFERROR(__xludf.DUMMYFUNCTION("""COMPUTED_VALUE"""),"Большие открытые концерты с мировыми звездами как Легенды Рока в 2019году.")</f>
        <v>Большие открытые концерты с мировыми звездами как Легенды Рока в 2019году.</v>
      </c>
      <c r="AD77" s="6" t="str">
        <f>IFERROR(__xludf.DUMMYFUNCTION("""COMPUTED_VALUE"""),"Не знаю")</f>
        <v>Не знаю</v>
      </c>
      <c r="AE77" s="6" t="str">
        <f>IFERROR(__xludf.DUMMYFUNCTION("""COMPUTED_VALUE"""),"Мужской")</f>
        <v>Мужской</v>
      </c>
      <c r="AF77" s="6" t="str">
        <f>IFERROR(__xludf.DUMMYFUNCTION("""COMPUTED_VALUE"""),"18-29")</f>
        <v>18-29</v>
      </c>
      <c r="AG77" s="6"/>
      <c r="AH77" s="6"/>
      <c r="AI77" s="6"/>
      <c r="AJ77" s="6"/>
      <c r="AK77" s="6"/>
      <c r="AL77" s="6"/>
      <c r="AM77" s="6"/>
    </row>
    <row r="78">
      <c r="A78" s="4">
        <v>77.0</v>
      </c>
      <c r="B78" s="6" t="str">
        <f>IFERROR(__xludf.DUMMYFUNCTION("""COMPUTED_VALUE"""),"IT. Тестирование сетевого оборудования.")</f>
        <v>IT. Тестирование сетевого оборудования.</v>
      </c>
      <c r="C78" s="6" t="str">
        <f>IFERROR(__xludf.DUMMYFUNCTION("""COMPUTED_VALUE"""),"Да. Велоезда.")</f>
        <v>Да. Велоезда.</v>
      </c>
      <c r="D78" s="6" t="str">
        <f>IFERROR(__xludf.DUMMYFUNCTION("""COMPUTED_VALUE"""),"Ленинский. Ленинский ( район Променада-2).")</f>
        <v>Ленинский. Ленинский ( район Променада-2).</v>
      </c>
      <c r="E78" s="6" t="str">
        <f>IFERROR(__xludf.DUMMYFUNCTION("""COMPUTED_VALUE"""),"Бульвар Строителей, Кузбасский парк.")</f>
        <v>Бульвар Строителей, Кузбасский парк.</v>
      </c>
      <c r="F78" s="6" t="str">
        <f>IFERROR(__xludf.DUMMYFUNCTION("""COMPUTED_VALUE"""),"Живу здесь с рождения")</f>
        <v>Живу здесь с рождения</v>
      </c>
      <c r="G78" s="6" t="str">
        <f>IFERROR(__xludf.DUMMYFUNCTION("""COMPUTED_VALUE"""),"Никуда - сижу дома.")</f>
        <v>Никуда - сижу дома.</v>
      </c>
      <c r="H78" s="6" t="str">
        <f>IFERROR(__xludf.DUMMYFUNCTION("""COMPUTED_VALUE"""),"Волков, дом, завод, родной, Кузбасс")</f>
        <v>Волков, дом, завод, родной, Кузбасс</v>
      </c>
      <c r="I78" s="6" t="str">
        <f>IFERROR(__xludf.DUMMYFUNCTION("""COMPUTED_VALUE"""),"Алексей Леонов, Михайло Волков, Евгений Гришковец")</f>
        <v>Алексей Леонов, Михайло Волков, Евгений Гришковец</v>
      </c>
      <c r="J78" s="6" t="str">
        <f>IFERROR(__xludf.DUMMYFUNCTION("""COMPUTED_VALUE"""),"Не знаю(")</f>
        <v>Не знаю(</v>
      </c>
      <c r="K78" s="6" t="str">
        <f>IFERROR(__xludf.DUMMYFUNCTION("""COMPUTED_VALUE"""),"""Парк чудес"", Бульвар Строителей, пр. Советский (от Кузнецкого до Администрации), ЦУМ, Кузбасский парк, Театр драмы им. Луначарского, ул. Веенняя, притомская набережная.")</f>
        <v>"Парк чудес", Бульвар Строителей, пр. Советский (от Кузнецкого до Администрации), ЦУМ, Кузбасский парк, Театр драмы им. Луначарского, ул. Веенняя, притомская набережная.</v>
      </c>
      <c r="L78" s="6" t="str">
        <f>IFERROR(__xludf.DUMMYFUNCTION("""COMPUTED_VALUE"""),"В Нью Йорке мужик с сумкой тормозит такси, просит подвезти до Кемерово. Таксист говорит, что понятия не имеет что это вообще такое. Мужик объясняет, что это в России в Сибири. Таксист отнекивается, дескать дорого будет стоить. Мужик говорит: ""Я оплачу"" "&amp;"и открывает сумку, а та битком набита баксами. Таксист увидел и спрашивает: ""О, так тебе в кировский или на южный?"".")</f>
        <v>В Нью Йорке мужик с сумкой тормозит такси, просит подвезти до Кемерово. Таксист говорит, что понятия не имеет что это вообще такое. Мужик объясняет, что это в России в Сибири. Таксист отнекивается, дескать дорого будет стоить. Мужик говорит: "Я оплачу" и открывает сумку, а та битком набита баксами. Таксист увидел и спрашивает: "О, так тебе в кировский или на южный?".</v>
      </c>
      <c r="M78" s="6" t="str">
        <f>IFERROR(__xludf.DUMMYFUNCTION("""COMPUTED_VALUE"""),"Нет.")</f>
        <v>Нет.</v>
      </c>
      <c r="N78" s="6" t="str">
        <f>IFERROR(__xludf.DUMMYFUNCTION("""COMPUTED_VALUE"""),"Красиво, развитая транспортная инфраструктура, магазины поблизости, хорошая работа в городе, безопасность.")</f>
        <v>Красиво, развитая транспортная инфраструктура, магазины поблизости, хорошая работа в городе, безопасность.</v>
      </c>
      <c r="O78" s="6" t="str">
        <f>IFERROR(__xludf.DUMMYFUNCTION("""COMPUTED_VALUE"""),"Научить любым способом людей не мусорить или убирать за собой срач.")</f>
        <v>Научить любым способом людей не мусорить или убирать за собой срач.</v>
      </c>
      <c r="P78" s="6" t="str">
        <f>IFERROR(__xludf.DUMMYFUNCTION("""COMPUTED_VALUE"""),"Друзья, корпоративные ресурсы Good Line, vk.com")</f>
        <v>Друзья, корпоративные ресурсы Good Line, vk.com</v>
      </c>
      <c r="Q78" s="6" t="str">
        <f>IFERROR(__xludf.DUMMYFUNCTION("""COMPUTED_VALUE"""),"куда пойти в свободное время, интервью с местными творческими личностями, криминальные новости (происшествия/преступления)")</f>
        <v>куда пойти в свободное время, интервью с местными творческими личностями, криминальные новости (происшествия/преступления)</v>
      </c>
      <c r="R78" s="6" t="str">
        <f>IFERROR(__xludf.DUMMYFUNCTION("""COMPUTED_VALUE"""),"Никакие.")</f>
        <v>Никакие.</v>
      </c>
      <c r="S78" s="6" t="str">
        <f>IFERROR(__xludf.DUMMYFUNCTION("""COMPUTED_VALUE"""),"Нет, не приходилось")</f>
        <v>Нет, не приходилось</v>
      </c>
      <c r="T78" s="6" t="str">
        <f>IFERROR(__xludf.DUMMYFUNCTION("""COMPUTED_VALUE"""),"Международный аэропорт, пивзавод, музей ""Красная горка"", большое колесо обозрения, стадион Химик.")</f>
        <v>Международный аэропорт, пивзавод, музей "Красная горка", большое колесо обозрения, стадион Химик.</v>
      </c>
      <c r="U78" s="6" t="str">
        <f>IFERROR(__xludf.DUMMYFUNCTION("""COMPUTED_VALUE"""),"Советский проспект.")</f>
        <v>Советский проспект.</v>
      </c>
      <c r="V78" s="6" t="str">
        <f>IFERROR(__xludf.DUMMYFUNCTION("""COMPUTED_VALUE"""),"Слетали в космос, построили много красивых/полезных зданий/мест, не голосовали за ЕдРо.")</f>
        <v>Слетали в космос, построили много красивых/полезных зданий/мест, не голосовали за ЕдРо.</v>
      </c>
      <c r="W78" s="6" t="str">
        <f>IFERROR(__xludf.DUMMYFUNCTION("""COMPUTED_VALUE"""),"Разные как и везде. Бесят многие люди, не видящие кроме себя на улице никого.")</f>
        <v>Разные как и везде. Бесят многие люди, не видящие кроме себя на улице никого.</v>
      </c>
      <c r="X78" s="6" t="str">
        <f>IFERROR(__xludf.DUMMYFUNCTION("""COMPUTED_VALUE"""),"ЦУМ - Парк чудес - притомская набережная - Весенняя - Советский - площадь Пушкина - Цирк - Пионерский б-р - Ленина - Комсомольский парк - Ленина - б-р Строителей - Химиков - Кузбасский парк - Комсомольский.")</f>
        <v>ЦУМ - Парк чудес - притомская набережная - Весенняя - Советский - площадь Пушкина - Цирк - Пионерский б-р - Ленина - Комсомольский парк - Ленина - б-р Строителей - Химиков - Кузбасский парк - Комсомольский.</v>
      </c>
      <c r="Y78" s="6" t="str">
        <f>IFERROR(__xludf.DUMMYFUNCTION("""COMPUTED_VALUE"""),"Найден каменный уголь.")</f>
        <v>Найден каменный уголь.</v>
      </c>
      <c r="Z78" s="6" t="str">
        <f>IFERROR(__xludf.DUMMYFUNCTION("""COMPUTED_VALUE"""),"Никакие.")</f>
        <v>Никакие.</v>
      </c>
      <c r="AA78" s="6" t="str">
        <f>IFERROR(__xludf.DUMMYFUNCTION("""COMPUTED_VALUE"""),"Пожар в ""Зимней вишне"" ((")</f>
        <v>Пожар в "Зимней вишне" ((</v>
      </c>
      <c r="AB78" s="6" t="str">
        <f>IFERROR(__xludf.DUMMYFUNCTION("""COMPUTED_VALUE"""),"Никаких.")</f>
        <v>Никаких.</v>
      </c>
      <c r="AC78" s="6" t="str">
        <f>IFERROR(__xludf.DUMMYFUNCTION("""COMPUTED_VALUE"""),"Концерты известных, в том числе, зарубежных металл групп.")</f>
        <v>Концерты известных, в том числе, зарубежных металл групп.</v>
      </c>
      <c r="AD78" s="6" t="str">
        <f>IFERROR(__xludf.DUMMYFUNCTION("""COMPUTED_VALUE"""),"Затрудняюсь ответить.")</f>
        <v>Затрудняюсь ответить.</v>
      </c>
      <c r="AE78" s="6" t="str">
        <f>IFERROR(__xludf.DUMMYFUNCTION("""COMPUTED_VALUE"""),"Мужской")</f>
        <v>Мужской</v>
      </c>
      <c r="AF78" s="6" t="str">
        <f>IFERROR(__xludf.DUMMYFUNCTION("""COMPUTED_VALUE"""),"30-44")</f>
        <v>30-44</v>
      </c>
      <c r="AG78" s="6"/>
      <c r="AH78" s="6"/>
      <c r="AI78" s="6"/>
      <c r="AJ78" s="6"/>
      <c r="AK78" s="6"/>
      <c r="AL78" s="6"/>
      <c r="AM78" s="6"/>
    </row>
    <row r="79">
      <c r="A79" s="4">
        <v>78.0</v>
      </c>
      <c r="B79" s="6" t="str">
        <f>IFERROR(__xludf.DUMMYFUNCTION("""COMPUTED_VALUE"""),"Работаю в крупном магазине")</f>
        <v>Работаю в крупном магазине</v>
      </c>
      <c r="C79" s="6" t="str">
        <f>IFERROR(__xludf.DUMMYFUNCTION("""COMPUTED_VALUE"""),"Коллекционирование")</f>
        <v>Коллекционирование</v>
      </c>
      <c r="D79" s="6" t="str">
        <f>IFERROR(__xludf.DUMMYFUNCTION("""COMPUTED_VALUE"""),"Центральный")</f>
        <v>Центральный</v>
      </c>
      <c r="E79" s="6" t="str">
        <f>IFERROR(__xludf.DUMMYFUNCTION("""COMPUTED_VALUE"""),"Парк В. Волошиной")</f>
        <v>Парк В. Волошиной</v>
      </c>
      <c r="F79" s="6" t="str">
        <f>IFERROR(__xludf.DUMMYFUNCTION("""COMPUTED_VALUE"""),"Живу здесь с рождения")</f>
        <v>Живу здесь с рождения</v>
      </c>
      <c r="G79" s="6" t="str">
        <f>IFERROR(__xludf.DUMMYFUNCTION("""COMPUTED_VALUE"""),"В гости, ТЦ")</f>
        <v>В гости, ТЦ</v>
      </c>
      <c r="H79" s="6" t="str">
        <f>IFERROR(__xludf.DUMMYFUNCTION("""COMPUTED_VALUE"""),"Заводы, уголь, поезда, экология, спорт")</f>
        <v>Заводы, уголь, поезда, экология, спорт</v>
      </c>
      <c r="I79" s="6" t="str">
        <f>IFERROR(__xludf.DUMMYFUNCTION("""COMPUTED_VALUE"""),"Тулеев, Леонов, Волошина, Волков")</f>
        <v>Тулеев, Леонов, Волошина, Волков</v>
      </c>
      <c r="J79" s="6" t="str">
        <f>IFERROR(__xludf.DUMMYFUNCTION("""COMPUTED_VALUE"""),"Тулеев, Мазикин, Смертин")</f>
        <v>Тулеев, Мазикин, Смертин</v>
      </c>
      <c r="K79" s="6" t="str">
        <f>IFERROR(__xludf.DUMMYFUNCTION("""COMPUTED_VALUE"""),"Парки, театры, набережная")</f>
        <v>Парки, театры, набережная</v>
      </c>
      <c r="L79" s="6" t="str">
        <f>IFERROR(__xludf.DUMMYFUNCTION("""COMPUTED_VALUE"""),"Мало клоп да вонуч, без труда не вытяниш и рыбку из пруда")</f>
        <v>Мало клоп да вонуч, без труда не вытяниш и рыбку из пруда</v>
      </c>
      <c r="M79" s="6" t="str">
        <f>IFERROR(__xludf.DUMMYFUNCTION("""COMPUTED_VALUE"""),"Нет")</f>
        <v>Нет</v>
      </c>
      <c r="N79" s="6" t="str">
        <f>IFERROR(__xludf.DUMMYFUNCTION("""COMPUTED_VALUE"""),"Экология, высокий уровень зп, новая современная архитектура, маштабность. ")</f>
        <v>Экология, высокий уровень зп, новая современная архитектура, маштабность. </v>
      </c>
      <c r="O79" s="6" t="str">
        <f>IFERROR(__xludf.DUMMYFUNCTION("""COMPUTED_VALUE"""),"Строить красивые прочные здания, избавлятся от хрущевок, культурные зеленые насаждения. ")</f>
        <v>Строить красивые прочные здания, избавлятся от хрущевок, культурные зеленые насаждения. </v>
      </c>
      <c r="P79" s="6" t="str">
        <f>IFERROR(__xludf.DUMMYFUNCTION("""COMPUTED_VALUE"""),"Интернет  паблики в вк о Кемерово")</f>
        <v>Интернет  паблики в вк о Кемерово</v>
      </c>
      <c r="Q79" s="6" t="str">
        <f>IFERROR(__xludf.DUMMYFUNCTION("""COMPUTED_VALUE"""),"городская афиша (кино/театр/концерты),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рез"&amp;"ультаты местных исследований (рейтинги/аналитика/тенденции)")</f>
        <v>городская афиша (кино/театр/концерты),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79" s="6" t="str">
        <f>IFERROR(__xludf.DUMMYFUNCTION("""COMPUTED_VALUE"""),"День шахтера, новый год, 9 мая, 8 марта, 23 февраля")</f>
        <v>День шахтера, новый год, 9 мая, 8 марта, 23 февраля</v>
      </c>
      <c r="S79" s="6" t="str">
        <f>IFERROR(__xludf.DUMMYFUNCTION("""COMPUTED_VALUE"""),"Обращался в редакции городских газет, телевидения, радио")</f>
        <v>Обращался в редакции городских газет, телевидения, радио</v>
      </c>
      <c r="T79" s="6" t="str">
        <f>IFERROR(__xludf.DUMMYFUNCTION("""COMPUTED_VALUE"""),"Знаменит людьми, углем")</f>
        <v>Знаменит людьми, углем</v>
      </c>
      <c r="U79" s="6" t="str">
        <f>IFERROR(__xludf.DUMMYFUNCTION("""COMPUTED_VALUE"""),"Площадь совета")</f>
        <v>Площадь совета</v>
      </c>
      <c r="V79" s="6" t="str">
        <f>IFERROR(__xludf.DUMMYFUNCTION("""COMPUTED_VALUE"""),"Заботились о городе")</f>
        <v>Заботились о городе</v>
      </c>
      <c r="W79" s="6" t="str">
        <f>IFERROR(__xludf.DUMMYFUNCTION("""COMPUTED_VALUE"""),"Предприимчивые, криминальные")</f>
        <v>Предприимчивые, криминальные</v>
      </c>
      <c r="X79" s="6" t="str">
        <f>IFERROR(__xludf.DUMMYFUNCTION("""COMPUTED_VALUE"""),"Набережная")</f>
        <v>Набережная</v>
      </c>
      <c r="Y79" s="6" t="str">
        <f>IFERROR(__xludf.DUMMYFUNCTION("""COMPUTED_VALUE"""),"Рок фестиваль")</f>
        <v>Рок фестиваль</v>
      </c>
      <c r="Z79" s="6" t="str">
        <f>IFERROR(__xludf.DUMMYFUNCTION("""COMPUTED_VALUE"""),"Нет такихх")</f>
        <v>Нет такихх</v>
      </c>
      <c r="AA79" s="6" t="str">
        <f>IFERROR(__xludf.DUMMYFUNCTION("""COMPUTED_VALUE"""),"Плохой воздух")</f>
        <v>Плохой воздух</v>
      </c>
      <c r="AB79" s="6" t="str">
        <f>IFERROR(__xludf.DUMMYFUNCTION("""COMPUTED_VALUE"""),"Не знаю")</f>
        <v>Не знаю</v>
      </c>
      <c r="AC79" s="6" t="str">
        <f>IFERROR(__xludf.DUMMYFUNCTION("""COMPUTED_VALUE"""),"Мировые концерты известных исполнителей")</f>
        <v>Мировые концерты известных исполнителей</v>
      </c>
      <c r="AD79" s="6" t="str">
        <f>IFERROR(__xludf.DUMMYFUNCTION("""COMPUTED_VALUE"""),"Организатор")</f>
        <v>Организатор</v>
      </c>
      <c r="AE79" s="6" t="str">
        <f>IFERROR(__xludf.DUMMYFUNCTION("""COMPUTED_VALUE"""),"Мужской")</f>
        <v>Мужской</v>
      </c>
      <c r="AF79" s="6" t="str">
        <f>IFERROR(__xludf.DUMMYFUNCTION("""COMPUTED_VALUE"""),"30-44")</f>
        <v>30-44</v>
      </c>
      <c r="AG79" s="6"/>
      <c r="AH79" s="6"/>
      <c r="AI79" s="6"/>
      <c r="AJ79" s="6"/>
      <c r="AK79" s="6"/>
      <c r="AL79" s="6"/>
      <c r="AM79" s="6"/>
    </row>
    <row r="80">
      <c r="A80" s="4">
        <v>79.0</v>
      </c>
      <c r="B80" s="6" t="str">
        <f>IFERROR(__xludf.DUMMYFUNCTION("""COMPUTED_VALUE"""),"Продавец")</f>
        <v>Продавец</v>
      </c>
      <c r="C80" s="6" t="str">
        <f>IFERROR(__xludf.DUMMYFUNCTION("""COMPUTED_VALUE"""),"Музыка, книги, пешие прогулки")</f>
        <v>Музыка, книги, пешие прогулки</v>
      </c>
      <c r="D80" s="6" t="str">
        <f>IFERROR(__xludf.DUMMYFUNCTION("""COMPUTED_VALUE"""),"Заводский")</f>
        <v>Заводский</v>
      </c>
      <c r="E80" s="6" t="str">
        <f>IFERROR(__xludf.DUMMYFUNCTION("""COMPUTED_VALUE"""),"ТЦ Ретро, скверик около него")</f>
        <v>ТЦ Ретро, скверик около него</v>
      </c>
      <c r="F80" s="6" t="str">
        <f>IFERROR(__xludf.DUMMYFUNCTION("""COMPUTED_VALUE"""),"Переехал сюда из другого места (откуда? укажите в графе другое), Березовский")</f>
        <v>Переехал сюда из другого места (откуда? укажите в графе другое), Березовский</v>
      </c>
      <c r="G80" s="6" t="str">
        <f>IFERROR(__xludf.DUMMYFUNCTION("""COMPUTED_VALUE"""),"Парки: Антошка, Жукова. Скверы: Юности, Орбита. Притомская Набережная. Ул. Весенняя, пр. Советский.")</f>
        <v>Парки: Антошка, Жукова. Скверы: Юности, Орбита. Притомская Набережная. Ул. Весенняя, пр. Советский.</v>
      </c>
      <c r="H80" s="6" t="str">
        <f>IFERROR(__xludf.DUMMYFUNCTION("""COMPUTED_VALUE"""),"Зима, угарный газ, Томь, Проспект Ленина, Красная горка")</f>
        <v>Зима, угарный газ, Томь, Проспект Ленина, Красная горка</v>
      </c>
      <c r="I80" s="6" t="str">
        <f>IFERROR(__xludf.DUMMYFUNCTION("""COMPUTED_VALUE"""),"Себольд Рутгерс, Эрнст Май, Вера Волошина, Юрий Двужильный")</f>
        <v>Себольд Рутгерс, Эрнст Май, Вера Волошина, Юрий Двужильный</v>
      </c>
      <c r="J80" s="6" t="str">
        <f>IFERROR(__xludf.DUMMYFUNCTION("""COMPUTED_VALUE"""),"Лучшие уезжают :(")</f>
        <v>Лучшие уезжают :(</v>
      </c>
      <c r="K80" s="6" t="str">
        <f>IFERROR(__xludf.DUMMYFUNCTION("""COMPUTED_VALUE"""),"Притомская Набережная, Центральные улицы, скверы и парки в Центре, Рудничный бор")</f>
        <v>Притомская Набережная, Центральные улицы, скверы и парки в Центре, Рудничный бор</v>
      </c>
      <c r="L80" s="6" t="str">
        <f>IFERROR(__xludf.DUMMYFUNCTION("""COMPUTED_VALUE"""),"Не знаю таких")</f>
        <v>Не знаю таких</v>
      </c>
      <c r="M80" s="6" t="str">
        <f>IFERROR(__xludf.DUMMYFUNCTION("""COMPUTED_VALUE"""),"Мультифора, Мультикасса")</f>
        <v>Мультифора, Мультикасса</v>
      </c>
      <c r="N80" s="6" t="str">
        <f>IFERROR(__xludf.DUMMYFUNCTION("""COMPUTED_VALUE"""),"Адекватная экология, просторные проспекты, тихие дворы, уютные скверы и парки, удобный транспорт.")</f>
        <v>Адекватная экология, просторные проспекты, тихие дворы, уютные скверы и парки, удобный транспорт.</v>
      </c>
      <c r="O80" s="6" t="str">
        <f>IFERROR(__xludf.DUMMYFUNCTION("""COMPUTED_VALUE"""),"Сделать больше скверов и парков, привести в порядок уже имеющиеся. Сделать больше пешеходных зон. Ликвидировать стихийные парковки во дворах и на газонах.  ")</f>
        <v>Сделать больше скверов и парков, привести в порядок уже имеющиеся. Сделать больше пешеходных зон. Ликвидировать стихийные парковки во дворах и на газонах.  </v>
      </c>
      <c r="P80" s="6" t="str">
        <f>IFERROR(__xludf.DUMMYFUNCTION("""COMPUTED_VALUE"""),"Инстаграм")</f>
        <v>Инстаграм</v>
      </c>
      <c r="Q80"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80" s="6" t="str">
        <f>IFERROR(__xludf.DUMMYFUNCTION("""COMPUTED_VALUE"""),"День города, Новый год, Масленица")</f>
        <v>День города, Новый год, Масленица</v>
      </c>
      <c r="S80" s="6" t="str">
        <f>IFERROR(__xludf.DUMMYFUNCTION("""COMPUTED_VALUE"""),"Через социальные сети (Какие? Укажите в графе другое), Обращался в редакции электронных городских СМИ, ВК")</f>
        <v>Через социальные сети (Какие? Укажите в графе другое), Обращался в редакции электронных городских СМИ, ВК</v>
      </c>
      <c r="T80" s="6" t="str">
        <f>IFERROR(__xludf.DUMMYFUNCTION("""COMPUTED_VALUE"""),"Известен углем, Тулеевым, Гришковцом, песней ""человек из Кемерова"", группой ""Макулатура"" и трагедией в ТЦ Зимняя Вишня. Уникального - история АИК Кузбасс, Рудничный бор.")</f>
        <v>Известен углем, Тулеевым, Гришковцом, песней "человек из Кемерова", группой "Макулатура" и трагедией в ТЦ Зимняя Вишня. Уникального - история АИК Кузбасс, Рудничный бор.</v>
      </c>
      <c r="U80" s="6" t="str">
        <f>IFERROR(__xludf.DUMMYFUNCTION("""COMPUTED_VALUE"""),"Район Драматического театра")</f>
        <v>Район Драматического театра</v>
      </c>
      <c r="V80" s="6" t="str">
        <f>IFERROR(__xludf.DUMMYFUNCTION("""COMPUTED_VALUE"""),"Затрудняюсь с ответом")</f>
        <v>Затрудняюсь с ответом</v>
      </c>
      <c r="W80" s="6" t="str">
        <f>IFERROR(__xludf.DUMMYFUNCTION("""COMPUTED_VALUE"""),"Недоверчивые, завистливые, простодушные")</f>
        <v>Недоверчивые, завистливые, простодушные</v>
      </c>
      <c r="X80" s="6" t="str">
        <f>IFERROR(__xludf.DUMMYFUNCTION("""COMPUTED_VALUE"""),"Советский, Кирова, Притомская набережная, Орджоникидзе, Ноградская, Весенняя, П")</f>
        <v>Советский, Кирова, Притомская набережная, Орджоникидзе, Ноградская, Весенняя, П</v>
      </c>
      <c r="Y80" s="6" t="str">
        <f>IFERROR(__xludf.DUMMYFUNCTION("""COMPUTED_VALUE"""),"Зимняя вишня :(")</f>
        <v>Зимняя вишня :(</v>
      </c>
      <c r="Z80" s="6" t="str">
        <f>IFERROR(__xludf.DUMMYFUNCTION("""COMPUTED_VALUE"""),"Не припомню")</f>
        <v>Не припомню</v>
      </c>
      <c r="AA80" s="6" t="str">
        <f>IFERROR(__xludf.DUMMYFUNCTION("""COMPUTED_VALUE"""),"Не припомню")</f>
        <v>Не припомню</v>
      </c>
      <c r="AB80" s="6" t="str">
        <f>IFERROR(__xludf.DUMMYFUNCTION("""COMPUTED_VALUE"""),"Музыкальных (рок, джаз), поэтических и литературных. ")</f>
        <v>Музыкальных (рок, джаз), поэтических и литературных. </v>
      </c>
      <c r="AC80" s="6" t="str">
        <f>IFERROR(__xludf.DUMMYFUNCTION("""COMPUTED_VALUE"""),"Городские уличные фестивали искусств")</f>
        <v>Городские уличные фестивали искусств</v>
      </c>
      <c r="AD80" s="6" t="str">
        <f>IFERROR(__xludf.DUMMYFUNCTION("""COMPUTED_VALUE"""),"В роли человека, у которого спросили его мнение")</f>
        <v>В роли человека, у которого спросили его мнение</v>
      </c>
      <c r="AE80" s="6" t="str">
        <f>IFERROR(__xludf.DUMMYFUNCTION("""COMPUTED_VALUE"""),"Мужской")</f>
        <v>Мужской</v>
      </c>
      <c r="AF80" s="6" t="str">
        <f>IFERROR(__xludf.DUMMYFUNCTION("""COMPUTED_VALUE"""),"30-44")</f>
        <v>30-44</v>
      </c>
      <c r="AG80" s="6"/>
      <c r="AH80" s="6"/>
      <c r="AI80" s="6"/>
      <c r="AJ80" s="6"/>
      <c r="AK80" s="6"/>
      <c r="AL80" s="6"/>
      <c r="AM80" s="6"/>
    </row>
    <row r="81">
      <c r="A81" s="4">
        <v>80.0</v>
      </c>
      <c r="B81" s="6" t="str">
        <f>IFERROR(__xludf.DUMMYFUNCTION("""COMPUTED_VALUE"""),"Работаю менеджером группы в компании интернет-провайдера ")</f>
        <v>Работаю менеджером группы в компании интернет-провайдера </v>
      </c>
      <c r="C81" s="6" t="str">
        <f>IFERROR(__xludf.DUMMYFUNCTION("""COMPUTED_VALUE"""),"Сейчас заниматься каким то хобби дорого. Сейчас интересна тема эпоксидной смолы и создание предметов интерьера в разных техниках")</f>
        <v>Сейчас заниматься каким то хобби дорого. Сейчас интересна тема эпоксидной смолы и создание предметов интерьера в разных техниках</v>
      </c>
      <c r="D81" s="6" t="str">
        <f>IFERROR(__xludf.DUMMYFUNCTION("""COMPUTED_VALUE"""),"В центральном. Центр")</f>
        <v>В центральном. Центр</v>
      </c>
      <c r="E81" s="6" t="str">
        <f>IFERROR(__xludf.DUMMYFUNCTION("""COMPUTED_VALUE"""),"Парк Жукова, Парк Ангелов, Кофейня скворечник, Фонтан около филармонии, мой дом с видом на заказ")</f>
        <v>Парк Жукова, Парк Ангелов, Кофейня скворечник, Фонтан около филармонии, мой дом с видом на заказ</v>
      </c>
      <c r="F81" s="6" t="str">
        <f>IFERROR(__xludf.DUMMYFUNCTION("""COMPUTED_VALUE"""),"Живу здесь с рождения")</f>
        <v>Живу здесь с рождения</v>
      </c>
      <c r="G81" s="6" t="str">
        <f>IFERROR(__xludf.DUMMYFUNCTION("""COMPUTED_VALUE"""),"Сосновый бор, Берег реки томь в сторону Яшкино, Зеленогорск")</f>
        <v>Сосновый бор, Берег реки томь в сторону Яшкино, Зеленогорск</v>
      </c>
      <c r="H81" s="6" t="str">
        <f>IFERROR(__xludf.DUMMYFUNCTION("""COMPUTED_VALUE"""),"Родной, Пасмурный, Грустный, Отдаленный, Спокойный")</f>
        <v>Родной, Пасмурный, Грустный, Отдаленный, Спокойный</v>
      </c>
      <c r="I81" s="6" t="str">
        <f>IFERROR(__xludf.DUMMYFUNCTION("""COMPUTED_VALUE"""),"Леонов, Ворошилова")</f>
        <v>Леонов, Ворошилова</v>
      </c>
      <c r="J81" s="6" t="str">
        <f>IFERROR(__xludf.DUMMYFUNCTION("""COMPUTED_VALUE"""),"Тулеев, Гудлаин-это не человек, но большой вклад есть и люди об этом говорят. ")</f>
        <v>Тулеев, Гудлаин-это не человек, но большой вклад есть и люди об этом говорят. </v>
      </c>
      <c r="K81" s="6" t="str">
        <f>IFERROR(__xludf.DUMMYFUNCTION("""COMPUTED_VALUE"""),"Набережную, красная горка")</f>
        <v>Набережную, красная горка</v>
      </c>
      <c r="L81" s="6" t="str">
        <f>IFERROR(__xludf.DUMMYFUNCTION("""COMPUTED_VALUE"""),"В заводском районе живут одни цыгане. Кировский опасный район")</f>
        <v>В заводском районе живут одни цыгане. Кировский опасный район</v>
      </c>
      <c r="M81" s="6" t="str">
        <f>IFERROR(__xludf.DUMMYFUNCTION("""COMPUTED_VALUE"""),"Фабричка. ")</f>
        <v>Фабричка. </v>
      </c>
      <c r="N81" s="6" t="str">
        <f>IFERROR(__xludf.DUMMYFUNCTION("""COMPUTED_VALUE"""),"Чистота. Разнообразие. Удобство. Развитие. Активность")</f>
        <v>Чистота. Разнообразие. Удобство. Развитие. Активность</v>
      </c>
      <c r="O81" s="6" t="str">
        <f>IFERROR(__xludf.DUMMYFUNCTION("""COMPUTED_VALUE"""),"Убрать статую Ленина на площади Советов. Организовать работу парков. Обновит фасады домов. Сделать больше достопримечательностей")</f>
        <v>Убрать статую Ленина на площади Советов. Организовать работу парков. Обновит фасады домов. Сделать больше достопримечательностей</v>
      </c>
      <c r="P81" s="6" t="str">
        <f>IFERROR(__xludf.DUMMYFUNCTION("""COMPUTED_VALUE""")," Инстаграмм А42, Сибдепо, Geoprokem")</f>
        <v> Инстаграмм А42, Сибдепо, Geoprokem</v>
      </c>
      <c r="Q81"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бизнес-новости (средний чек/рекламные акции/запуск новых предприятий)</v>
      </c>
      <c r="R81" s="6" t="str">
        <f>IFERROR(__xludf.DUMMYFUNCTION("""COMPUTED_VALUE"""),"День города, День шахтера")</f>
        <v>День города, День шахтера</v>
      </c>
      <c r="S81" s="6" t="str">
        <f>IFERROR(__xludf.DUMMYFUNCTION("""COMPUTED_VALUE"""),"Нет, не приходилось")</f>
        <v>Нет, не приходилось</v>
      </c>
      <c r="T81" s="6" t="str">
        <f>IFERROR(__xludf.DUMMYFUNCTION("""COMPUTED_VALUE"""),"Самобытность. Река Томь. Парк Ангелов")</f>
        <v>Самобытность. Река Томь. Парк Ангелов</v>
      </c>
      <c r="U81" s="6" t="str">
        <f>IFERROR(__xludf.DUMMYFUNCTION("""COMPUTED_VALUE"""),"Площадь Советов")</f>
        <v>Площадь Советов</v>
      </c>
      <c r="V81" s="6" t="str">
        <f>IFERROR(__xludf.DUMMYFUNCTION("""COMPUTED_VALUE"""),"Развивали город. Давали новый виток развития города. Строят новые дома и социальные объекты")</f>
        <v>Развивали город. Давали новый виток развития города. Строят новые дома и социальные объекты</v>
      </c>
      <c r="W81" s="6" t="str">
        <f>IFERROR(__xludf.DUMMYFUNCTION("""COMPUTED_VALUE"""),"Сложно как то определить конкретные качества. В городе есть разные люди и за счет этого и создается колорит города. Что то конкретное выделить не могу")</f>
        <v>Сложно как то определить конкретные качества. В городе есть разные люди и за счет этого и создается колорит города. Что то конкретное выделить не могу</v>
      </c>
      <c r="X81" s="6" t="str">
        <f>IFERROR(__xludf.DUMMYFUNCTION("""COMPUTED_VALUE"""),"Красная горка-Сосновый бор-Набережная-Филармония-Парк Жукова-Парк Ангелов")</f>
        <v>Красная горка-Сосновый бор-Набережная-Филармония-Парк Жукова-Парк Ангелов</v>
      </c>
      <c r="Y81" s="6" t="str">
        <f>IFERROR(__xludf.DUMMYFUNCTION("""COMPUTED_VALUE"""),"Концерт рок-групп рядом с гостиницей Кристалл")</f>
        <v>Концерт рок-групп рядом с гостиницей Кристалл</v>
      </c>
      <c r="Z81" s="6" t="str">
        <f>IFERROR(__xludf.DUMMYFUNCTION("""COMPUTED_VALUE"""),"Кинопоказ от гудлаин. открытие кото-кафе. праздник на день города и день шахтера. уроки сальсы в парке чудес")</f>
        <v>Кинопоказ от гудлаин. открытие кото-кафе. праздник на день города и день шахтера. уроки сальсы в парке чудес</v>
      </c>
      <c r="AA81" s="6" t="str">
        <f>IFERROR(__xludf.DUMMYFUNCTION("""COMPUTED_VALUE"""),"пожар в тц. отжатие москвичами наших рэу")</f>
        <v>пожар в тц. отжатие москвичами наших рэу</v>
      </c>
      <c r="AB81" s="6" t="str">
        <f>IFERROR(__xludf.DUMMYFUNCTION("""COMPUTED_VALUE"""),"тут надо понимать что вкладывается в понимание сообщество. Я бы хотела быть наблюдателем в развитии города. Принимать участие по желанию в проектах, которые мне интересны. Хочется что бы это было все открыто и доступно")</f>
        <v>тут надо понимать что вкладывается в понимание сообщество. Я бы хотела быть наблюдателем в развитии города. Принимать участие по желанию в проектах, которые мне интересны. Хочется что бы это было все открыто и доступно</v>
      </c>
      <c r="AC81" s="6" t="str">
        <f>IFERROR(__xludf.DUMMYFUNCTION("""COMPUTED_VALUE"""),"Больше приглашенных гостей. Больше освещенности мероприятий.")</f>
        <v>Больше приглашенных гостей. Больше освещенности мероприятий.</v>
      </c>
      <c r="AD81" s="6" t="str">
        <f>IFERROR(__xludf.DUMMYFUNCTION("""COMPUTED_VALUE"""),"Участником, реализатором, генератором мыслей")</f>
        <v>Участником, реализатором, генератором мыслей</v>
      </c>
      <c r="AE81" s="6" t="str">
        <f>IFERROR(__xludf.DUMMYFUNCTION("""COMPUTED_VALUE"""),"Женский")</f>
        <v>Женский</v>
      </c>
      <c r="AF81" s="6" t="str">
        <f>IFERROR(__xludf.DUMMYFUNCTION("""COMPUTED_VALUE"""),"18-29")</f>
        <v>18-29</v>
      </c>
      <c r="AG81" s="6"/>
      <c r="AH81" s="6"/>
      <c r="AI81" s="6"/>
      <c r="AJ81" s="6"/>
      <c r="AK81" s="6"/>
      <c r="AL81" s="6"/>
      <c r="AM81" s="6"/>
    </row>
    <row r="82">
      <c r="A82" s="4">
        <v>81.0</v>
      </c>
      <c r="B82" s="6" t="str">
        <f>IFERROR(__xludf.DUMMYFUNCTION("""COMPUTED_VALUE"""),"Разработчик програмного обеспечения")</f>
        <v>Разработчик програмного обеспечения</v>
      </c>
      <c r="C82" s="6" t="str">
        <f>IFERROR(__xludf.DUMMYFUNCTION("""COMPUTED_VALUE"""),"Спорт, информационные технологии")</f>
        <v>Спорт, информационные технологии</v>
      </c>
      <c r="D82" s="6" t="str">
        <f>IFERROR(__xludf.DUMMYFUNCTION("""COMPUTED_VALUE"""),"Радуга")</f>
        <v>Радуга</v>
      </c>
      <c r="E82" s="6" t="str">
        <f>IFERROR(__xludf.DUMMYFUNCTION("""COMPUTED_VALUE"""),"Сосновый бор")</f>
        <v>Сосновый бор</v>
      </c>
      <c r="F82" s="6" t="str">
        <f>IFERROR(__xludf.DUMMYFUNCTION("""COMPUTED_VALUE"""),"Переехал сюда из другого места (откуда? укажите в графе другое), г. Белогорск, Амурской области")</f>
        <v>Переехал сюда из другого места (откуда? укажите в графе другое), г. Белогорск, Амурской области</v>
      </c>
      <c r="G82" s="6" t="str">
        <f>IFERROR(__xludf.DUMMYFUNCTION("""COMPUTED_VALUE"""),"Сосновый бор, набержная в центре, бульвар строителей, берег реки, торговые центры")</f>
        <v>Сосновый бор, набержная в центре, бульвар строителей, берег реки, торговые центры</v>
      </c>
      <c r="H82" s="6" t="str">
        <f>IFERROR(__xludf.DUMMYFUNCTION("""COMPUTED_VALUE"""),"Уголь, тайга, мороз, река, заводы")</f>
        <v>Уголь, тайга, мороз, река, заводы</v>
      </c>
      <c r="I82" s="6" t="str">
        <f>IFERROR(__xludf.DUMMYFUNCTION("""COMPUTED_VALUE"""),"не знаю")</f>
        <v>не знаю</v>
      </c>
      <c r="J82" s="6" t="str">
        <f>IFERROR(__xludf.DUMMYFUNCTION("""COMPUTED_VALUE"""),"не знаю")</f>
        <v>не знаю</v>
      </c>
      <c r="K82" s="6" t="str">
        <f>IFERROR(__xludf.DUMMYFUNCTION("""COMPUTED_VALUE"""),"Лесная поляна, памятни шахтерам, красная горка")</f>
        <v>Лесная поляна, памятни шахтерам, красная горка</v>
      </c>
      <c r="L82" s="6" t="str">
        <f>IFERROR(__xludf.DUMMYFUNCTION("""COMPUTED_VALUE"""),"не знаю")</f>
        <v>не знаю</v>
      </c>
      <c r="M82" s="6" t="str">
        <f>IFERROR(__xludf.DUMMYFUNCTION("""COMPUTED_VALUE"""),"нет")</f>
        <v>нет</v>
      </c>
      <c r="N82" s="6" t="str">
        <f>IFERROR(__xludf.DUMMYFUNCTION("""COMPUTED_VALUE"""),"Качественные дороги, чистый воздух, опрятные строяения, отсутвие пробок, достойны уровень з/п горожан, хорошая работа правоохранителей")</f>
        <v>Качественные дороги, чистый воздух, опрятные строяения, отсутвие пробок, достойны уровень з/п горожан, хорошая работа правоохранителей</v>
      </c>
      <c r="O82" s="6" t="str">
        <f>IFERROR(__xludf.DUMMYFUNCTION("""COMPUTED_VALUE"""),"Отреставрировать старые строения, озеленить ухоженными кустарниками, невысокими деревьями")</f>
        <v>Отреставрировать старые строения, озеленить ухоженными кустарниками, невысокими деревьями</v>
      </c>
      <c r="P82" s="6" t="str">
        <f>IFERROR(__xludf.DUMMYFUNCTION("""COMPUTED_VALUE"""),"Только в потоке обще-мировых новостей, конкретно местными новостями интересуюсь мало")</f>
        <v>Только в потоке обще-мировых новостей, конкретно местными новостями интересуюсь мало</v>
      </c>
      <c r="Q82" s="6" t="str">
        <f>IFERROR(__xludf.DUMMYFUNCTION("""COMPUTED_VALUE"""),"бизнес-новости (средний чек/рекламные акции/запуск новых предприятий), планы по развитию города (производства, строительство районов и т.п.)")</f>
        <v>бизнес-новости (средний чек/рекламные акции/запуск новых предприятий), планы по развитию города (производства, строительство районов и т.п.)</v>
      </c>
      <c r="R82" s="6" t="str">
        <f>IFERROR(__xludf.DUMMYFUNCTION("""COMPUTED_VALUE"""),"9 мая, день города, день шахтера, новый год")</f>
        <v>9 мая, день города, день шахтера, новый год</v>
      </c>
      <c r="S82" s="6" t="str">
        <f>IFERROR(__xludf.DUMMYFUNCTION("""COMPUTED_VALUE"""),"Нет, не приходилось")</f>
        <v>Нет, не приходилось</v>
      </c>
      <c r="T82" s="6" t="str">
        <f>IFERROR(__xludf.DUMMYFUNCTION("""COMPUTED_VALUE"""),"Суровый сибирский город)")</f>
        <v>Суровый сибирский город)</v>
      </c>
      <c r="U82" s="6" t="str">
        <f>IFERROR(__xludf.DUMMYFUNCTION("""COMPUTED_VALUE"""),"Угольный край")</f>
        <v>Угольный край</v>
      </c>
      <c r="V82" s="6" t="str">
        <f>IFERROR(__xludf.DUMMYFUNCTION("""COMPUTED_VALUE"""),"Построили инфраструткуру и места отдыха, жилье, дороги. Сохранили репутацию города положительной.")</f>
        <v>Построили инфраструткуру и места отдыха, жилье, дороги. Сохранили репутацию города положительной.</v>
      </c>
      <c r="W82" s="6" t="str">
        <f>IFERROR(__xludf.DUMMYFUNCTION("""COMPUTED_VALUE"""),"Мужественные, отзывчевые, адекватные")</f>
        <v>Мужественные, отзывчевые, адекватные</v>
      </c>
      <c r="X82" s="6" t="str">
        <f>IFERROR(__xludf.DUMMYFUNCTION("""COMPUTED_VALUE"""),"Бульвар строителей, наверное")</f>
        <v>Бульвар строителей, наверное</v>
      </c>
      <c r="Y82" s="6" t="str">
        <f>IFERROR(__xludf.DUMMYFUNCTION("""COMPUTED_VALUE"""),"не знаю")</f>
        <v>не знаю</v>
      </c>
      <c r="Z82" s="6" t="str">
        <f>IFERROR(__xludf.DUMMYFUNCTION("""COMPUTED_VALUE"""),"Преимущественно адекватное реагирование жителей на карантин и протестные акции. Строительство новых объектов и микрорайонов.")</f>
        <v>Преимущественно адекватное реагирование жителей на карантин и протестные акции. Строительство новых объектов и микрорайонов.</v>
      </c>
      <c r="AA82" s="6" t="str">
        <f>IFERROR(__xludf.DUMMYFUNCTION("""COMPUTED_VALUE"""),"Случай с убийством девушки при котором полиция не выехала по вызовам. ")</f>
        <v>Случай с убийством девушки при котором полиция не выехала по вызовам. </v>
      </c>
      <c r="AB82" s="6" t="str">
        <f>IFERROR(__xludf.DUMMYFUNCTION("""COMPUTED_VALUE"""),"у меня нет нужды в сообществах")</f>
        <v>у меня нет нужды в сообществах</v>
      </c>
      <c r="AC82" s="6" t="str">
        <f>IFERROR(__xludf.DUMMYFUNCTION("""COMPUTED_VALUE"""),"Какой-нибудь Зауральский экономический форум может. Стройка аквапарка.")</f>
        <v>Какой-нибудь Зауральский экономический форум может. Стройка аквапарка.</v>
      </c>
      <c r="AD82" s="6" t="str">
        <f>IFERROR(__xludf.DUMMYFUNCTION("""COMPUTED_VALUE"""),"В роли налогоплательщика )")</f>
        <v>В роли налогоплательщика )</v>
      </c>
      <c r="AE82" s="6" t="str">
        <f>IFERROR(__xludf.DUMMYFUNCTION("""COMPUTED_VALUE"""),"Мужской")</f>
        <v>Мужской</v>
      </c>
      <c r="AF82" s="6" t="str">
        <f>IFERROR(__xludf.DUMMYFUNCTION("""COMPUTED_VALUE"""),"30-44")</f>
        <v>30-44</v>
      </c>
      <c r="AG82" s="6"/>
      <c r="AH82" s="6"/>
      <c r="AI82" s="6"/>
      <c r="AJ82" s="6"/>
      <c r="AK82" s="6"/>
      <c r="AL82" s="6"/>
      <c r="AM82" s="6"/>
    </row>
    <row r="83">
      <c r="A83" s="4">
        <v>82.0</v>
      </c>
      <c r="B83" s="6" t="str">
        <f>IFERROR(__xludf.DUMMYFUNCTION("""COMPUTED_VALUE"""),"Подбор персонала")</f>
        <v>Подбор персонала</v>
      </c>
      <c r="C83" s="6" t="str">
        <f>IFERROR(__xludf.DUMMYFUNCTION("""COMPUTED_VALUE"""),"Юмор, танцы были, рукодельничаю")</f>
        <v>Юмор, танцы были, рукодельничаю</v>
      </c>
      <c r="D83" s="6" t="str">
        <f>IFERROR(__xludf.DUMMYFUNCTION("""COMPUTED_VALUE"""),"Радуга! Только так, иногородние мне завидуют и спрашивают про лепреконов. ")</f>
        <v>Радуга! Только так, иногородние мне завидуют и спрашивают про лепреконов. </v>
      </c>
      <c r="E83" s="6" t="str">
        <f>IFERROR(__xludf.DUMMYFUNCTION("""COMPUTED_VALUE"""),"Бор, который на ул. Серебряный бор (дикий, красивый, за ним поле пшеницы и ручей). ")</f>
        <v>Бор, который на ул. Серебряный бор (дикий, красивый, за ним поле пшеницы и ручей). </v>
      </c>
      <c r="F83" s="6" t="str">
        <f>IFERROR(__xludf.DUMMYFUNCTION("""COMPUTED_VALUE"""),"Переехал сюда из другого места (откуда? укажите в графе другое), Анжеро-Судженск, приехала учиться в универе")</f>
        <v>Переехал сюда из другого места (откуда? укажите в графе другое), Анжеро-Судженск, приехала учиться в универе</v>
      </c>
      <c r="G83" s="6" t="str">
        <f>IFERROR(__xludf.DUMMYFUNCTION("""COMPUTED_VALUE"""),"Холодно - на мероприятия (базары, стенд-апы, заведения), тепло - гулять в бор. Но нечасто куда-то хожу, если честно, мне лень бывает. ")</f>
        <v>Холодно - на мероприятия (базары, стенд-апы, заведения), тепло - гулять в бор. Но нечасто куда-то хожу, если честно, мне лень бывает. </v>
      </c>
      <c r="H83" s="6" t="str">
        <f>IFERROR(__xludf.DUMMYFUNCTION("""COMPUTED_VALUE"""),"Река. Открытость. Родной. Центр. Комфорт. ")</f>
        <v>Река. Открытость. Родной. Центр. Комфорт. </v>
      </c>
      <c r="I83" s="6" t="str">
        <f>IFERROR(__xludf.DUMMYFUNCTION("""COMPUTED_VALUE"""),"Алексей Леонов")</f>
        <v>Алексей Леонов</v>
      </c>
      <c r="J83" s="6" t="str">
        <f>IFERROR(__xludf.DUMMYFUNCTION("""COMPUTED_VALUE"""),"Евгений Гришковец")</f>
        <v>Евгений Гришковец</v>
      </c>
      <c r="K83" s="6" t="str">
        <f>IFERROR(__xludf.DUMMYFUNCTION("""COMPUTED_VALUE"""),"Повела бы в лес)) к шахтеру однозначно. Бульвар Строителей. Лесная поляна.  ")</f>
        <v>Повела бы в лес)) к шахтеру однозначно. Бульвар Строителей. Лесная поляна.  </v>
      </c>
      <c r="L83" s="6" t="str">
        <f>IFERROR(__xludf.DUMMYFUNCTION("""COMPUTED_VALUE"""),"Шутка про свет выключить в аэропорту)) Вечное противостояние с Новокузнецком. ")</f>
        <v>Шутка про свет выключить в аэропорту)) Вечное противостояние с Новокузнецком. </v>
      </c>
      <c r="M83" s="6" t="str">
        <f>IFERROR(__xludf.DUMMYFUNCTION("""COMPUTED_VALUE"""),"Так сразу не припоминаю. ")</f>
        <v>Так сразу не припоминаю. </v>
      </c>
      <c r="N83" s="6" t="str">
        <f>IFERROR(__xludf.DUMMYFUNCTION("""COMPUTED_VALUE"""),"Транспорт. Места отдыха на природе, хотелось бы у воды. Наличие ТЦ. Оплата труда. Чистота, ухоженность. ")</f>
        <v>Транспорт. Места отдыха на природе, хотелось бы у воды. Наличие ТЦ. Оплата труда. Чистота, ухоженность. </v>
      </c>
      <c r="O83" s="6" t="str">
        <f>IFERROR(__xludf.DUMMYFUNCTION("""COMPUTED_VALUE"""),"Баннерная реклама, вывески, вообще много рекламы вдоль дорог. Они пестрят и закрывают весь город. В СПб, например, вывески организаций в едином стиле, а столбов со щитами нет совсем. Светофоры оранжевые - кошмар.")</f>
        <v>Баннерная реклама, вывески, вообще много рекламы вдоль дорог. Они пестрят и закрывают весь город. В СПб, например, вывески организаций в едином стиле, а столбов со щитами нет совсем. Светофоры оранжевые - кошмар.</v>
      </c>
      <c r="P83" s="6" t="str">
        <f>IFERROR(__xludf.DUMMYFUNCTION("""COMPUTED_VALUE"""),"Кассы.ру, Qticket, рассылки тематических групп ВК")</f>
        <v>Кассы.ру, Qticket, рассылки тематических групп ВК</v>
      </c>
      <c r="Q83" s="6" t="str">
        <f>IFERROR(__xludf.DUMMYFUNCTION("""COMPUTED_VALUE"""),"результаты местных исследований (рейтинги/аналитика/тенденции)")</f>
        <v>результаты местных исследований (рейтинги/аналитика/тенденции)</v>
      </c>
      <c r="R83" s="6" t="str">
        <f>IFERROR(__xludf.DUMMYFUNCTION("""COMPUTED_VALUE"""),"Я не очень люблю большие скопления людей, давно не ходила на праздники. ")</f>
        <v>Я не очень люблю большие скопления людей, давно не ходила на праздники. </v>
      </c>
      <c r="S83" s="6" t="str">
        <f>IFERROR(__xludf.DUMMYFUNCTION("""COMPUTED_VALUE"""),"Нет, не приходилось")</f>
        <v>Нет, не приходилось</v>
      </c>
      <c r="T83" s="6" t="str">
        <f>IFERROR(__xludf.DUMMYFUNCTION("""COMPUTED_VALUE"""),"Знаменит тем, что его до сих пор никто не знает за пределами СФО. И те, кто побывал, удивляются. И наши светофоры, конечно. ")</f>
        <v>Знаменит тем, что его до сих пор никто не знает за пределами СФО. И те, кто побывал, удивляются. И наши светофоры, конечно. </v>
      </c>
      <c r="U83" s="6" t="str">
        <f>IFERROR(__xludf.DUMMYFUNCTION("""COMPUTED_VALUE"""),"Весенька) и набережная")</f>
        <v>Весенька) и набережная</v>
      </c>
      <c r="V83" s="6" t="str">
        <f>IFERROR(__xludf.DUMMYFUNCTION("""COMPUTED_VALUE"""),"Делали своё дело, то, что у них получается лучше всего, на суперпрофессиональном уровне. Это люди с уникальным набором личностных и проф.качеств. ")</f>
        <v>Делали своё дело, то, что у них получается лучше всего, на суперпрофессиональном уровне. Это люди с уникальным набором личностных и проф.качеств. </v>
      </c>
      <c r="W83" s="6" t="str">
        <f>IFERROR(__xludf.DUMMYFUNCTION("""COMPUTED_VALUE"""),"Открытые точно. Занятые, нет бездельников. ")</f>
        <v>Открытые точно. Занятые, нет бездельников. </v>
      </c>
      <c r="X83" s="6" t="str">
        <f>IFERROR(__xludf.DUMMYFUNCTION("""COMPUTED_VALUE"""),"Ооо, не знаю(")</f>
        <v>Ооо, не знаю(</v>
      </c>
      <c r="Y83" s="6" t="str">
        <f>IFERROR(__xludf.DUMMYFUNCTION("""COMPUTED_VALUE"""),"Бэнди. Рок фест)")</f>
        <v>Бэнди. Рок фест)</v>
      </c>
      <c r="Z83" s="6" t="str">
        <f>IFERROR(__xludf.DUMMYFUNCTION("""COMPUTED_VALUE"""),"Изменился городской ландшафт, бульвар - конфетка. Безналичная оплата транспорта. ")</f>
        <v>Изменился городской ландшафт, бульвар - конфетка. Безналичная оплата транспорта. </v>
      </c>
      <c r="AA83" s="6" t="str">
        <f>IFERROR(__xludf.DUMMYFUNCTION("""COMPUTED_VALUE"""),"Не припомню")</f>
        <v>Не припомню</v>
      </c>
      <c r="AB83" s="6" t="str">
        <f>IFERROR(__xludf.DUMMYFUNCTION("""COMPUTED_VALUE"""),"Мне хватает")</f>
        <v>Мне хватает</v>
      </c>
      <c r="AC83" s="6" t="str">
        <f>IFERROR(__xludf.DUMMYFUNCTION("""COMPUTED_VALUE"""),"У меня есть стартап)) вечерние дискотеки! Не ночные, а для тех, кто ночью спит, но очень любит танцевать под музыку. Как раньше в школе) Они могут быть тематические, нет дресс-кода, можно кроссы, для здоровья позвоночника. С 19 до 23, например. ")</f>
        <v>У меня есть стартап)) вечерние дискотеки! Не ночные, а для тех, кто ночью спит, но очень любит танцевать под музыку. Как раньше в школе) Они могут быть тематические, нет дресс-кода, можно кроссы, для здоровья позвоночника. С 19 до 23, например. </v>
      </c>
      <c r="AD83" s="6" t="str">
        <f>IFERROR(__xludf.DUMMYFUNCTION("""COMPUTED_VALUE"""),"Я могу помогать в информационной сфере, наверное. Филолог, много общаюсь с людьми, интересуюсь современной культурой, в теме, так сказать.")</f>
        <v>Я могу помогать в информационной сфере, наверное. Филолог, много общаюсь с людьми, интересуюсь современной культурой, в теме, так сказать.</v>
      </c>
      <c r="AE83" s="6" t="str">
        <f>IFERROR(__xludf.DUMMYFUNCTION("""COMPUTED_VALUE"""),"Женский")</f>
        <v>Женский</v>
      </c>
      <c r="AF83" s="6" t="str">
        <f>IFERROR(__xludf.DUMMYFUNCTION("""COMPUTED_VALUE"""),"30-44")</f>
        <v>30-44</v>
      </c>
      <c r="AG83" s="6"/>
      <c r="AH83" s="6"/>
      <c r="AI83" s="6"/>
      <c r="AJ83" s="6"/>
      <c r="AK83" s="6"/>
      <c r="AL83" s="6"/>
      <c r="AM83" s="6"/>
    </row>
    <row r="84">
      <c r="A84" s="4">
        <v>83.0</v>
      </c>
      <c r="B84" s="6" t="str">
        <f>IFERROR(__xludf.DUMMYFUNCTION("""COMPUTED_VALUE"""),"ИТ")</f>
        <v>ИТ</v>
      </c>
      <c r="C84" s="6" t="str">
        <f>IFERROR(__xludf.DUMMYFUNCTION("""COMPUTED_VALUE"""),"нет")</f>
        <v>нет</v>
      </c>
      <c r="D84" s="6" t="str">
        <f>IFERROR(__xludf.DUMMYFUNCTION("""COMPUTED_VALUE"""),"Ленинский (на Бульваре)")</f>
        <v>Ленинский (на Бульваре)</v>
      </c>
      <c r="E84" s="6" t="str">
        <f>IFERROR(__xludf.DUMMYFUNCTION("""COMPUTED_VALUE"""),"Центр спорта ""Кузбасс"", Бульвар, Парк Кузбасский, Московский проспект, культовый жилой комплекс Три поросенка")</f>
        <v>Центр спорта "Кузбасс", Бульвар, Парк Кузбасский, Московский проспект, культовый жилой комплекс Три поросенка</v>
      </c>
      <c r="F84" s="6" t="str">
        <f>IFERROR(__xludf.DUMMYFUNCTION("""COMPUTED_VALUE"""),"Переехал сюда из другого места (откуда? укажите в графе другое), Ленинск-Кузнецкий")</f>
        <v>Переехал сюда из другого места (откуда? укажите в графе другое), Ленинск-Кузнецкий</v>
      </c>
      <c r="G84" s="6" t="str">
        <f>IFERROR(__xludf.DUMMYFUNCTION("""COMPUTED_VALUE"""),"Бульвар, Центр+Набережная, Красная горка, Бор")</f>
        <v>Бульвар, Центр+Набережная, Красная горка, Бор</v>
      </c>
      <c r="H84" s="6" t="str">
        <f>IFERROR(__xludf.DUMMYFUNCTION("""COMPUTED_VALUE"""),"Уголь, шахтеры, Сибирь, Кузбасс, оранжевый пищащий светофор (реально много знакомых из России запоминают наши светофоры)")</f>
        <v>Уголь, шахтеры, Сибирь, Кузбасс, оранжевый пищащий светофор (реально много знакомых из России запоминают наши светофоры)</v>
      </c>
      <c r="I84" s="6" t="str">
        <f>IFERROR(__xludf.DUMMYFUNCTION("""COMPUTED_VALUE"""),"Михайло Волков, Леонов")</f>
        <v>Михайло Волков, Леонов</v>
      </c>
      <c r="J84" s="6" t="str">
        <f>IFERROR(__xludf.DUMMYFUNCTION("""COMPUTED_VALUE"""),"Гришковец")</f>
        <v>Гришковец</v>
      </c>
      <c r="K84" s="6" t="str">
        <f>IFERROR(__xludf.DUMMYFUNCTION("""COMPUTED_VALUE"""),"это офис")</f>
        <v>это офис</v>
      </c>
      <c r="L84" s="6" t="str">
        <f>IFERROR(__xludf.DUMMYFUNCTION("""COMPUTED_VALUE"""),"Кококола-мен, человек из кемерово Гребенщикова, Зимняя вишня, махать маршруткам, чтобы они остановились")</f>
        <v>Кококола-мен, человек из кемерово Гребенщикова, Зимняя вишня, махать маршруткам, чтобы они остановились</v>
      </c>
      <c r="M84" s="6" t="str">
        <f>IFERROR(__xludf.DUMMYFUNCTION("""COMPUTED_VALUE"""),"Мультифора вместо Файла, шаурма а не шаверма, ")</f>
        <v>Мультифора вместо Файла, шаурма а не шаверма, </v>
      </c>
      <c r="N84" s="6" t="str">
        <f>IFERROR(__xludf.DUMMYFUNCTION("""COMPUTED_VALUE"""),"доступность общественного транспорта, не перегруженная инфраструктура (отсутствие сильных пробок, достаточное количество школ/больниц/итд на количество населения), наличие свободных пространств (парки, бульвары), экология и чистота, высокая сознательность"&amp;" населения (адекватное поведение людей на дороге и в общественных местах, низкая преступность, мусор на улицах)")</f>
        <v>доступность общественного транспорта, не перегруженная инфраструктура (отсутствие сильных пробок, достаточное количество школ/больниц/итд на количество населения), наличие свободных пространств (парки, бульвары), экология и чистота, высокая сознательность населения (адекватное поведение людей на дороге и в общественных местах, низкая преступность, мусор на улицах)</v>
      </c>
      <c r="O84" s="6" t="str">
        <f>IFERROR(__xludf.DUMMYFUNCTION("""COMPUTED_VALUE"""),"убрать трубы теплотрасс")</f>
        <v>убрать трубы теплотрасс</v>
      </c>
      <c r="P84" s="6" t="str">
        <f>IFERROR(__xludf.DUMMYFUNCTION("""COMPUTED_VALUE"""),"новостные рекомендации гугла")</f>
        <v>новостные рекомендации гугла</v>
      </c>
      <c r="Q84" s="6" t="str">
        <f>IFERROR(__xludf.DUMMYFUNCTION("""COMPUTED_VALUE"""),"куда пойти в свободное время, где вкусно поесть/открытие новых кафе/ресторанов")</f>
        <v>куда пойти в свободное время, где вкусно поесть/открытие новых кафе/ресторанов</v>
      </c>
      <c r="R84" s="6" t="str">
        <f>IFERROR(__xludf.DUMMYFUNCTION("""COMPUTED_VALUE"""),"Для меня - ни какие; для горожан - день города, 9 мая, НГ")</f>
        <v>Для меня - ни какие; для горожан - день города, 9 мая, НГ</v>
      </c>
      <c r="S84" s="6" t="str">
        <f>IFERROR(__xludf.DUMMYFUNCTION("""COMPUTED_VALUE"""),"Нет, не приходилось")</f>
        <v>Нет, не приходилось</v>
      </c>
      <c r="T84" s="6" t="str">
        <f>IFERROR(__xludf.DUMMYFUNCTION("""COMPUTED_VALUE"""),"Знаменит он Зимней вишней, конечно. ")</f>
        <v>Знаменит он Зимней вишней, конечно. </v>
      </c>
      <c r="U84" s="6" t="str">
        <f>IFERROR(__xludf.DUMMYFUNCTION("""COMPUTED_VALUE"""),"площадь советов, красная горка")</f>
        <v>площадь советов, красная горка</v>
      </c>
      <c r="V84" s="6" t="str">
        <f>IFERROR(__xludf.DUMMYFUNCTION("""COMPUTED_VALUE"""),"затрудняюсь ответить")</f>
        <v>затрудняюсь ответить</v>
      </c>
      <c r="W84" s="6" t="str">
        <f>IFERROR(__xludf.DUMMYFUNCTION("""COMPUTED_VALUE"""),"Многие отмечают, что мы скучные. Нет в городе ""движухи"" как в соседних городах типа Новосибирска или Томска. Но мне кажется, что это не так уж и плохо. Мы такой ""Городок"" из известной песни. Да ни чего не происходит, зато все спокойно, тихо и уютно. ")</f>
        <v>Многие отмечают, что мы скучные. Нет в городе "движухи" как в соседних городах типа Новосибирска или Томска. Но мне кажется, что это не так уж и плохо. Мы такой "Городок" из известной песни. Да ни чего не происходит, зато все спокойно, тихо и уютно. </v>
      </c>
      <c r="X84" s="6" t="str">
        <f>IFERROR(__xludf.DUMMYFUNCTION("""COMPUTED_VALUE"""),"Набережная-весенняя-площадь волкова-парк ангелов")</f>
        <v>Набережная-весенняя-площадь волкова-парк ангелов</v>
      </c>
      <c r="Y84" s="6" t="str">
        <f>IFERROR(__xludf.DUMMYFUNCTION("""COMPUTED_VALUE"""),"затрудняюсь ответить")</f>
        <v>затрудняюсь ответить</v>
      </c>
      <c r="Z84" s="6" t="str">
        <f>IFERROR(__xludf.DUMMYFUNCTION("""COMPUTED_VALUE"""),"ремонт бульвара строителей, снос или возвращение строек у долгостроев в городе, ")</f>
        <v>ремонт бульвара строителей, снос или возвращение строек у долгостроев в городе, </v>
      </c>
      <c r="AA84" s="6" t="str">
        <f>IFERROR(__xludf.DUMMYFUNCTION("""COMPUTED_VALUE"""),"зимняя вишня (чуть больше двух лет правда уже), сокращение общественного транспорта в городе")</f>
        <v>зимняя вишня (чуть больше двух лет правда уже), сокращение общественного транспорта в городе</v>
      </c>
      <c r="AB84" s="6" t="str">
        <f>IFERROR(__xludf.DUMMYFUNCTION("""COMPUTED_VALUE"""),"музыкальных")</f>
        <v>музыкальных</v>
      </c>
      <c r="AC84" s="6" t="str">
        <f>IFERROR(__xludf.DUMMYFUNCTION("""COMPUTED_VALUE"""),"музыкальных")</f>
        <v>музыкальных</v>
      </c>
      <c r="AD84" s="6" t="str">
        <f>IFERROR(__xludf.DUMMYFUNCTION("""COMPUTED_VALUE"""),"затрудняюсь ответить")</f>
        <v>затрудняюсь ответить</v>
      </c>
      <c r="AE84" s="6" t="str">
        <f>IFERROR(__xludf.DUMMYFUNCTION("""COMPUTED_VALUE"""),"Мужской")</f>
        <v>Мужской</v>
      </c>
      <c r="AF84" s="6" t="str">
        <f>IFERROR(__xludf.DUMMYFUNCTION("""COMPUTED_VALUE"""),"18-29")</f>
        <v>18-29</v>
      </c>
      <c r="AG84" s="6"/>
      <c r="AH84" s="6"/>
      <c r="AI84" s="6"/>
      <c r="AJ84" s="6"/>
      <c r="AK84" s="6"/>
      <c r="AL84" s="6"/>
      <c r="AM84" s="6"/>
    </row>
    <row r="85">
      <c r="A85" s="4">
        <v>84.0</v>
      </c>
      <c r="B85" s="6" t="str">
        <f>IFERROR(__xludf.DUMMYFUNCTION("""COMPUTED_VALUE"""),"Экономист")</f>
        <v>Экономист</v>
      </c>
      <c r="C85" s="6" t="str">
        <f>IFERROR(__xludf.DUMMYFUNCTION("""COMPUTED_VALUE"""),"Танцы")</f>
        <v>Танцы</v>
      </c>
      <c r="D85" s="6" t="str">
        <f>IFERROR(__xludf.DUMMYFUNCTION("""COMPUTED_VALUE"""),"Ленинский, ленинский)")</f>
        <v>Ленинский, ленинский)</v>
      </c>
      <c r="E85" s="6" t="str">
        <f>IFERROR(__xludf.DUMMYFUNCTION("""COMPUTED_VALUE"""),"Нету")</f>
        <v>Нету</v>
      </c>
      <c r="F85" s="6" t="str">
        <f>IFERROR(__xludf.DUMMYFUNCTION("""COMPUTED_VALUE"""),"Живу здесь с рождения")</f>
        <v>Живу здесь с рождения</v>
      </c>
      <c r="G85" s="6" t="str">
        <f>IFERROR(__xludf.DUMMYFUNCTION("""COMPUTED_VALUE"""),"Бульвар строителей, центральный район, комсомольский парк")</f>
        <v>Бульвар строителей, центральный район, комсомольский парк</v>
      </c>
      <c r="H85" s="6" t="str">
        <f>IFERROR(__xludf.DUMMYFUNCTION("""COMPUTED_VALUE"""),"Зимняя вишня, лапландия, юбилейный, кузбасс, уголь ")</f>
        <v>Зимняя вишня, лапландия, юбилейный, кузбасс, уголь </v>
      </c>
      <c r="I85" s="6" t="str">
        <f>IFERROR(__xludf.DUMMYFUNCTION("""COMPUTED_VALUE"""),"Не знаю ")</f>
        <v>Не знаю </v>
      </c>
      <c r="J85" s="6" t="str">
        <f>IFERROR(__xludf.DUMMYFUNCTION("""COMPUTED_VALUE"""),"Не знаю")</f>
        <v>Не знаю</v>
      </c>
      <c r="K85" s="6" t="str">
        <f>IFERROR(__xludf.DUMMYFUNCTION("""COMPUTED_VALUE"""),"-")</f>
        <v>-</v>
      </c>
      <c r="L85" s="6" t="str">
        <f>IFERROR(__xludf.DUMMYFUNCTION("""COMPUTED_VALUE"""),"-")</f>
        <v>-</v>
      </c>
      <c r="M85" s="6" t="str">
        <f>IFERROR(__xludf.DUMMYFUNCTION("""COMPUTED_VALUE"""),"-")</f>
        <v>-</v>
      </c>
      <c r="N85" s="6" t="str">
        <f>IFERROR(__xludf.DUMMYFUNCTION("""COMPUTED_VALUE"""),"Хорошие дороги")</f>
        <v>Хорошие дороги</v>
      </c>
      <c r="O85" s="6" t="str">
        <f>IFERROR(__xludf.DUMMYFUNCTION("""COMPUTED_VALUE"""),"Доступность для инвалидов")</f>
        <v>Доступность для инвалидов</v>
      </c>
      <c r="P85" s="6" t="str">
        <f>IFERROR(__xludf.DUMMYFUNCTION("""COMPUTED_VALUE"""),"Вк")</f>
        <v>Вк</v>
      </c>
      <c r="Q8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85" s="6" t="str">
        <f>IFERROR(__xludf.DUMMYFUNCTION("""COMPUTED_VALUE"""),"День города, 9 мая")</f>
        <v>День города, 9 мая</v>
      </c>
      <c r="S85" s="6" t="str">
        <f>IFERROR(__xludf.DUMMYFUNCTION("""COMPUTED_VALUE"""),"Нет, не приходилось")</f>
        <v>Нет, не приходилось</v>
      </c>
      <c r="T85" s="6" t="str">
        <f>IFERROR(__xludf.DUMMYFUNCTION("""COMPUTED_VALUE"""),"Не знаю")</f>
        <v>Не знаю</v>
      </c>
      <c r="U85" s="6" t="str">
        <f>IFERROR(__xludf.DUMMYFUNCTION("""COMPUTED_VALUE"""),"Не знаю")</f>
        <v>Не знаю</v>
      </c>
      <c r="V85" s="6" t="str">
        <f>IFERROR(__xludf.DUMMYFUNCTION("""COMPUTED_VALUE"""),"Ничего")</f>
        <v>Ничего</v>
      </c>
      <c r="W85" s="6" t="str">
        <f>IFERROR(__xludf.DUMMYFUNCTION("""COMPUTED_VALUE"""),"Наглые")</f>
        <v>Наглые</v>
      </c>
      <c r="X85" s="6" t="str">
        <f>IFERROR(__xludf.DUMMYFUNCTION("""COMPUTED_VALUE"""),"Центр ")</f>
        <v>Центр </v>
      </c>
      <c r="Y85" s="6" t="str">
        <f>IFERROR(__xludf.DUMMYFUNCTION("""COMPUTED_VALUE"""),"Не знаю")</f>
        <v>Не знаю</v>
      </c>
      <c r="Z85" s="6" t="str">
        <f>IFERROR(__xludf.DUMMYFUNCTION("""COMPUTED_VALUE"""),"-")</f>
        <v>-</v>
      </c>
      <c r="AA85" s="6" t="str">
        <f>IFERROR(__xludf.DUMMYFUNCTION("""COMPUTED_VALUE"""),"Зимняя вишня")</f>
        <v>Зимняя вишня</v>
      </c>
      <c r="AB85" s="6" t="str">
        <f>IFERROR(__xludf.DUMMYFUNCTION("""COMPUTED_VALUE"""),"-")</f>
        <v>-</v>
      </c>
      <c r="AC85" s="6" t="str">
        <f>IFERROR(__xludf.DUMMYFUNCTION("""COMPUTED_VALUE"""),"-")</f>
        <v>-</v>
      </c>
      <c r="AD85" s="6" t="str">
        <f>IFERROR(__xludf.DUMMYFUNCTION("""COMPUTED_VALUE"""),"-")</f>
        <v>-</v>
      </c>
      <c r="AE85" s="6" t="str">
        <f>IFERROR(__xludf.DUMMYFUNCTION("""COMPUTED_VALUE"""),"Женский")</f>
        <v>Женский</v>
      </c>
      <c r="AF85" s="6" t="str">
        <f>IFERROR(__xludf.DUMMYFUNCTION("""COMPUTED_VALUE"""),"30-44")</f>
        <v>30-44</v>
      </c>
      <c r="AG85" s="6"/>
      <c r="AH85" s="6"/>
      <c r="AI85" s="6"/>
      <c r="AJ85" s="6"/>
      <c r="AK85" s="6"/>
      <c r="AL85" s="6"/>
      <c r="AM85" s="6"/>
    </row>
    <row r="86">
      <c r="A86" s="4">
        <v>85.0</v>
      </c>
      <c r="B86" s="6" t="str">
        <f>IFERROR(__xludf.DUMMYFUNCTION("""COMPUTED_VALUE"""),"Препод вуза, переводчик")</f>
        <v>Препод вуза, переводчик</v>
      </c>
      <c r="C86" s="6" t="str">
        <f>IFERROR(__xludf.DUMMYFUNCTION("""COMPUTED_VALUE"""),"Живопись")</f>
        <v>Живопись</v>
      </c>
      <c r="D86" s="6" t="str">
        <f>IFERROR(__xludf.DUMMYFUNCTION("""COMPUTED_VALUE"""),"На областной больнице, оно же горгаи")</f>
        <v>На областной больнице, оно же горгаи</v>
      </c>
      <c r="E86" s="6" t="str">
        <f>IFERROR(__xludf.DUMMYFUNCTION("""COMPUTED_VALUE"""),"Небоскребы, небоскребы... и самолет у 35 школы")</f>
        <v>Небоскребы, небоскребы... и самолет у 35 школы</v>
      </c>
      <c r="F86" s="6" t="str">
        <f>IFERROR(__xludf.DUMMYFUNCTION("""COMPUTED_VALUE"""),"Живу здесь с рождения")</f>
        <v>Живу здесь с рождения</v>
      </c>
      <c r="G86" s="6" t="str">
        <f>IFERROR(__xludf.DUMMYFUNCTION("""COMPUTED_VALUE"""),"Набережная")</f>
        <v>Набережная</v>
      </c>
      <c r="H86" s="6" t="str">
        <f>IFERROR(__xludf.DUMMYFUNCTION("""COMPUTED_VALUE"""),"Томь, уголь, сибирь, тайга, смог")</f>
        <v>Томь, уголь, сибирь, тайга, смог</v>
      </c>
      <c r="I86" s="6" t="str">
        <f>IFERROR(__xludf.DUMMYFUNCTION("""COMPUTED_VALUE"""),"Рутгерс, Ван Лохем")</f>
        <v>Рутгерс, Ван Лохем</v>
      </c>
      <c r="J86" s="6" t="str">
        <f>IFERROR(__xludf.DUMMYFUNCTION("""COMPUTED_VALUE"""),"Без понятия")</f>
        <v>Без понятия</v>
      </c>
      <c r="K86" s="6" t="str">
        <f>IFERROR(__xludf.DUMMYFUNCTION("""COMPUTED_VALUE"""),"Красная горка; зона рекультивации на Владимирской шахте (бывшая Волкова)")</f>
        <v>Красная горка; зона рекультивации на Владимирской шахте (бывшая Волкова)</v>
      </c>
      <c r="L86" s="6" t="str">
        <f>IFERROR(__xludf.DUMMYFUNCTION("""COMPUTED_VALUE"""),"Это у вас шахтеры касками стучат...")</f>
        <v>Это у вас шахтеры касками стучат...</v>
      </c>
      <c r="M86" s="6" t="str">
        <f>IFERROR(__xludf.DUMMYFUNCTION("""COMPUTED_VALUE"""),"""Через Топки добирались?"" ""Где живешь? - На радуге...""")</f>
        <v>"Через Топки добирались?" "Где живешь? - На радуге..."</v>
      </c>
      <c r="N86" s="6" t="str">
        <f>IFERROR(__xludf.DUMMYFUNCTION("""COMPUTED_VALUE"""),"Отсутствие собачьего говна; подвалы - кошкам; газонокосильщиков - на фиг; вменяемые водители; черное небо - к газонокосильщикам...")</f>
        <v>Отсутствие собачьего говна; подвалы - кошкам; газонокосильщиков - на фиг; вменяемые водители; черное небо - к газонокосильщикам...</v>
      </c>
      <c r="O86" s="6" t="str">
        <f>IFERROR(__xludf.DUMMYFUNCTION("""COMPUTED_VALUE"""),"Убрать рекламный щит с ""Лазурного""")</f>
        <v>Убрать рекламный щит с "Лазурного"</v>
      </c>
      <c r="P86" s="6" t="str">
        <f>IFERROR(__xludf.DUMMYFUNCTION("""COMPUTED_VALUE"""),"Некогда ")</f>
        <v>Некогда </v>
      </c>
      <c r="Q86" s="6" t="str">
        <f>IFERROR(__xludf.DUMMYFUNCTION("""COMPUTED_VALUE"""),"куда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f>
        <v>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v>
      </c>
      <c r="R86" s="6" t="str">
        <f>IFERROR(__xludf.DUMMYFUNCTION("""COMPUTED_VALUE"""),"Когда-то - 9 мая, сейчас - ничего")</f>
        <v>Когда-то - 9 мая, сейчас - ничего</v>
      </c>
      <c r="S86" s="6" t="str">
        <f>IFERROR(__xludf.DUMMYFUNCTION("""COMPUTED_VALUE"""),"Нет, не приходилось")</f>
        <v>Нет, не приходилось</v>
      </c>
      <c r="T86" s="6" t="str">
        <f>IFERROR(__xludf.DUMMYFUNCTION("""COMPUTED_VALUE"""),"""Дистрикт 12""")</f>
        <v>"Дистрикт 12"</v>
      </c>
      <c r="U86" s="6" t="str">
        <f>IFERROR(__xludf.DUMMYFUNCTION("""COMPUTED_VALUE"""),"Советский пр. От площади до макдональдса")</f>
        <v>Советский пр. От площади до макдональдса</v>
      </c>
      <c r="V86" s="6" t="str">
        <f>IFERROR(__xludf.DUMMYFUNCTION("""COMPUTED_VALUE"""),"Без понятия")</f>
        <v>Без понятия</v>
      </c>
      <c r="W86" s="6" t="str">
        <f>IFERROR(__xludf.DUMMYFUNCTION("""COMPUTED_VALUE"""),"Матерятся жители Кемерово...")</f>
        <v>Матерятся жители Кемерово...</v>
      </c>
      <c r="X86" s="6" t="str">
        <f>IFERROR(__xludf.DUMMYFUNCTION("""COMPUTED_VALUE"""),"От филармонии до драмы через набережную")</f>
        <v>От филармонии до драмы через набережную</v>
      </c>
      <c r="Y86" s="6" t="str">
        <f>IFERROR(__xludf.DUMMYFUNCTION("""COMPUTED_VALUE"""),"Долго сочиняли вопрос?")</f>
        <v>Долго сочиняли вопрос?</v>
      </c>
      <c r="Z86" s="6" t="str">
        <f>IFERROR(__xludf.DUMMYFUNCTION("""COMPUTED_VALUE"""),"Рождественская ярмарка где-то в начале Советского в декабре 2019")</f>
        <v>Рождественская ярмарка где-то в начале Советского в декабре 2019</v>
      </c>
      <c r="AA86" s="6" t="str">
        <f>IFERROR(__xludf.DUMMYFUNCTION("""COMPUTED_VALUE"""),"Превратившаяся в грязевой карьер пойма Искитимки")</f>
        <v>Превратившаяся в грязевой карьер пойма Искитимки</v>
      </c>
      <c r="AB86" s="6" t="str">
        <f>IFERROR(__xludf.DUMMYFUNCTION("""COMPUTED_VALUE"""),"Я ничем не интересуюсь, мне все равно")</f>
        <v>Я ничем не интересуюсь, мне все равно</v>
      </c>
      <c r="AC86" s="6" t="str">
        <f>IFERROR(__xludf.DUMMYFUNCTION("""COMPUTED_VALUE"""),"Что-нибудь без привязки к идеологии...")</f>
        <v>Что-нибудь без привязки к идеологии...</v>
      </c>
      <c r="AD86" s="6" t="str">
        <f>IFERROR(__xludf.DUMMYFUNCTION("""COMPUTED_VALUE"""),"Гость")</f>
        <v>Гость</v>
      </c>
      <c r="AE86" s="6" t="str">
        <f>IFERROR(__xludf.DUMMYFUNCTION("""COMPUTED_VALUE"""),"Женский")</f>
        <v>Женский</v>
      </c>
      <c r="AF86" s="6" t="str">
        <f>IFERROR(__xludf.DUMMYFUNCTION("""COMPUTED_VALUE"""),"30-44")</f>
        <v>30-44</v>
      </c>
      <c r="AG86" s="6"/>
      <c r="AH86" s="6"/>
      <c r="AI86" s="6"/>
      <c r="AJ86" s="6"/>
      <c r="AK86" s="6"/>
      <c r="AL86" s="6"/>
      <c r="AM86" s="6"/>
    </row>
    <row r="87">
      <c r="A87" s="4">
        <v>86.0</v>
      </c>
      <c r="B87" s="6" t="str">
        <f>IFERROR(__xludf.DUMMYFUNCTION("""COMPUTED_VALUE"""),"Маркетинг ")</f>
        <v>Маркетинг </v>
      </c>
      <c r="C87" s="6" t="str">
        <f>IFERROR(__xludf.DUMMYFUNCTION("""COMPUTED_VALUE"""),"Кино")</f>
        <v>Кино</v>
      </c>
      <c r="D87" s="6" t="str">
        <f>IFERROR(__xludf.DUMMYFUNCTION("""COMPUTED_VALUE"""),"Бульвар ")</f>
        <v>Бульвар </v>
      </c>
      <c r="E87" s="6" t="str">
        <f>IFERROR(__xludf.DUMMYFUNCTION("""COMPUTED_VALUE"""),"Бульвар, кузбасский парк, красное озеро, кадетское училище")</f>
        <v>Бульвар, кузбасский парк, красное озеро, кадетское училище</v>
      </c>
      <c r="F87" s="6" t="str">
        <f>IFERROR(__xludf.DUMMYFUNCTION("""COMPUTED_VALUE"""),"Живу здесь с рождения")</f>
        <v>Живу здесь с рождения</v>
      </c>
      <c r="G87" s="6" t="str">
        <f>IFERROR(__xludf.DUMMYFUNCTION("""COMPUTED_VALUE"""),"Бассейн, парк чудес, йети парк, Водкин двор, хаски ленд")</f>
        <v>Бассейн, парк чудес, йети парк, Водкин двор, хаски ленд</v>
      </c>
      <c r="H87" s="6" t="str">
        <f>IFERROR(__xludf.DUMMYFUNCTION("""COMPUTED_VALUE"""),"Шахтёрский край, администрация, серость-грязь (как сейчас), квадрат (замкнутое пространство)")</f>
        <v>Шахтёрский край, администрация, серость-грязь (как сейчас), квадрат (замкнутое пространство)</v>
      </c>
      <c r="I87" s="6" t="str">
        <f>IFERROR(__xludf.DUMMYFUNCTION("""COMPUTED_VALUE"""),"Волков, Вера Волошина")</f>
        <v>Волков, Вера Волошина</v>
      </c>
      <c r="J87" s="6" t="str">
        <f>IFERROR(__xludf.DUMMYFUNCTION("""COMPUTED_VALUE"""),"Не могу вспомнить ни одного кроме Михайлова. ")</f>
        <v>Не могу вспомнить ни одного кроме Михайлова. </v>
      </c>
      <c r="K87" s="6" t="str">
        <f>IFERROR(__xludf.DUMMYFUNCTION("""COMPUTED_VALUE"""),"Сосновый Бор")</f>
        <v>Сосновый Бор</v>
      </c>
      <c r="L87" s="6" t="str">
        <f>IFERROR(__xludf.DUMMYFUNCTION("""COMPUTED_VALUE"""),"Бузотёры ")</f>
        <v>Бузотёры </v>
      </c>
      <c r="M87" s="6" t="str">
        <f>IFERROR(__xludf.DUMMYFUNCTION("""COMPUTED_VALUE"""),"— ")</f>
        <v>— </v>
      </c>
      <c r="N87" s="6" t="str">
        <f>IFERROR(__xludf.DUMMYFUNCTION("""COMPUTED_VALUE"""),"Места семейного активного досуга, чистый воздух, благоустроенные парки и скверы, парковки, велодорожки. ")</f>
        <v>Места семейного активного досуга, чистый воздух, благоустроенные парки и скверы, парковки, велодорожки. </v>
      </c>
      <c r="O87" s="6" t="str">
        <f>IFERROR(__xludf.DUMMYFUNCTION("""COMPUTED_VALUE"""),"Покрасить дома. Без слез не взглянешь. ")</f>
        <v>Покрасить дома. Без слез не взглянешь. </v>
      </c>
      <c r="P87" s="6" t="str">
        <f>IFERROR(__xludf.DUMMYFUNCTION("""COMPUTED_VALUE"""),"Инста")</f>
        <v>Инста</v>
      </c>
      <c r="Q87" s="6" t="str">
        <f>IFERROR(__xludf.DUMMYFUNCTION("""COMPUTED_VALUE"""),"Не читаю местные новости ")</f>
        <v>Не читаю местные новости </v>
      </c>
      <c r="R87" s="6" t="str">
        <f>IFERROR(__xludf.DUMMYFUNCTION("""COMPUTED_VALUE"""),"—")</f>
        <v>—</v>
      </c>
      <c r="S87"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v>
      </c>
      <c r="T87" s="6" t="str">
        <f>IFERROR(__xludf.DUMMYFUNCTION("""COMPUTED_VALUE"""),"Зимней вишней")</f>
        <v>Зимней вишней</v>
      </c>
      <c r="U87" s="6" t="str">
        <f>IFERROR(__xludf.DUMMYFUNCTION("""COMPUTED_VALUE"""),"Площадь советов ")</f>
        <v>Площадь советов </v>
      </c>
      <c r="V87" s="6" t="str">
        <f>IFERROR(__xludf.DUMMYFUNCTION("""COMPUTED_VALUE"""),"—")</f>
        <v>—</v>
      </c>
      <c r="W87" s="6" t="str">
        <f>IFERROR(__xludf.DUMMYFUNCTION("""COMPUTED_VALUE"""),"—")</f>
        <v>—</v>
      </c>
      <c r="X87" s="6" t="str">
        <f>IFERROR(__xludf.DUMMYFUNCTION("""COMPUTED_VALUE"""),"Весенняя")</f>
        <v>Весенняя</v>
      </c>
      <c r="Y87" s="6" t="str">
        <f>IFERROR(__xludf.DUMMYFUNCTION("""COMPUTED_VALUE"""),"—")</f>
        <v>—</v>
      </c>
      <c r="Z87" s="6" t="str">
        <f>IFERROR(__xludf.DUMMYFUNCTION("""COMPUTED_VALUE"""),"Кинопоказ")</f>
        <v>Кинопоказ</v>
      </c>
      <c r="AA87" s="6" t="str">
        <f>IFERROR(__xludf.DUMMYFUNCTION("""COMPUTED_VALUE"""),"Зимняя вишня")</f>
        <v>Зимняя вишня</v>
      </c>
      <c r="AB87" s="6" t="str">
        <f>IFERROR(__xludf.DUMMYFUNCTION("""COMPUTED_VALUE"""),"—")</f>
        <v>—</v>
      </c>
      <c r="AC87" s="6" t="str">
        <f>IFERROR(__xludf.DUMMYFUNCTION("""COMPUTED_VALUE"""),"—")</f>
        <v>—</v>
      </c>
      <c r="AD87" s="6" t="str">
        <f>IFERROR(__xludf.DUMMYFUNCTION("""COMPUTED_VALUE"""),"Наблюдатель ")</f>
        <v>Наблюдатель </v>
      </c>
      <c r="AE87" s="6" t="str">
        <f>IFERROR(__xludf.DUMMYFUNCTION("""COMPUTED_VALUE"""),"Женский")</f>
        <v>Женский</v>
      </c>
      <c r="AF87" s="6" t="str">
        <f>IFERROR(__xludf.DUMMYFUNCTION("""COMPUTED_VALUE"""),"30-44")</f>
        <v>30-44</v>
      </c>
      <c r="AG87" s="6"/>
      <c r="AH87" s="6"/>
      <c r="AI87" s="6"/>
      <c r="AJ87" s="6"/>
      <c r="AK87" s="6"/>
      <c r="AL87" s="6"/>
      <c r="AM87" s="6"/>
    </row>
    <row r="88">
      <c r="A88" s="4">
        <v>87.0</v>
      </c>
      <c r="B88" s="6" t="str">
        <f>IFERROR(__xludf.DUMMYFUNCTION("""COMPUTED_VALUE"""),"Провожу психологические игры")</f>
        <v>Провожу психологические игры</v>
      </c>
      <c r="C88" s="6" t="str">
        <f>IFERROR(__xludf.DUMMYFUNCTION("""COMPUTED_VALUE"""),"Вышивка декоративными стежками")</f>
        <v>Вышивка декоративными стежками</v>
      </c>
      <c r="D88" s="6" t="str">
        <f>IFERROR(__xludf.DUMMYFUNCTION("""COMPUTED_VALUE"""),"Ленинский. Ленинский")</f>
        <v>Ленинский. Ленинский</v>
      </c>
      <c r="E88" s="6" t="str">
        <f>IFERROR(__xludf.DUMMYFUNCTION("""COMPUTED_VALUE"""),"Храм Святой Троицы")</f>
        <v>Храм Святой Троицы</v>
      </c>
      <c r="F88" s="6" t="str">
        <f>IFERROR(__xludf.DUMMYFUNCTION("""COMPUTED_VALUE"""),"Переехал сюда из другого места (откуда? укажите в графе другое), Березовский")</f>
        <v>Переехал сюда из другого места (откуда? укажите в графе другое), Березовский</v>
      </c>
      <c r="G88" s="6" t="str">
        <f>IFERROR(__xludf.DUMMYFUNCTION("""COMPUTED_VALUE"""),"Наш парк на Металлплощадке, Набережная Томи, пруд возле Шевелей, Комсомольский парк")</f>
        <v>Наш парк на Металлплощадке, Набережная Томи, пруд возле Шевелей, Комсомольский парк</v>
      </c>
      <c r="H88" s="6" t="str">
        <f>IFERROR(__xludf.DUMMYFUNCTION("""COMPUTED_VALUE"""),"Шахтёр, Воин, Скульптура Томи на Набережной, тюрьмы, чудоковатые люди")</f>
        <v>Шахтёр, Воин, Скульптура Томи на Набережной, тюрьмы, чудоковатые люди</v>
      </c>
      <c r="I88" s="6" t="str">
        <f>IFERROR(__xludf.DUMMYFUNCTION("""COMPUTED_VALUE"""),"Михайлов - мэр Кемерово, Михайло Волков, Вера Волошина, Леонов, Панин,")</f>
        <v>Михайлов - мэр Кемерово, Михайло Волков, Вера Волошина, Леонов, Панин,</v>
      </c>
      <c r="J88" s="6" t="str">
        <f>IFERROR(__xludf.DUMMYFUNCTION("""COMPUTED_VALUE"""),"Евгений Гришковец, Алина Цветкова, Елена Митрофанова, Мария Старинчикова")</f>
        <v>Евгений Гришковец, Алина Цветкова, Елена Митрофанова, Мария Старинчикова</v>
      </c>
      <c r="K88" s="6" t="str">
        <f>IFERROR(__xludf.DUMMYFUNCTION("""COMPUTED_VALUE"""),"Набережная и Вечный огонь, Булочная #1, Драмтеатр, Монумент ""Память шахтёрам Кузбасса"", Поклонная гора, ботанический сад, Театр для детей и молодёжи, ресторан Прованс")</f>
        <v>Набережная и Вечный огонь, Булочная #1, Драмтеатр, Монумент "Память шахтёрам Кузбасса", Поклонная гора, ботанический сад, Театр для детей и молодёжи, ресторан Прованс</v>
      </c>
      <c r="L88" s="6" t="str">
        <f>IFERROR(__xludf.DUMMYFUNCTION("""COMPUTED_VALUE"""),"Песня Человек из Кемерово")</f>
        <v>Песня Человек из Кемерово</v>
      </c>
      <c r="M88" s="6" t="str">
        <f>IFERROR(__xludf.DUMMYFUNCTION("""COMPUTED_VALUE"""),"Возможно и знаю, но не знаю что знаю такие слова")</f>
        <v>Возможно и знаю, но не знаю что знаю такие слова</v>
      </c>
      <c r="N88" s="6" t="str">
        <f>IFERROR(__xludf.DUMMYFUNCTION("""COMPUTED_VALUE"""),"Добрые люди, красивые виды (есть где погулять), река Томь, наличие работы, интересные мероприятия")</f>
        <v>Добрые люди, красивые виды (есть где погулять), река Томь, наличие работы, интересные мероприятия</v>
      </c>
      <c r="O88" s="6" t="str">
        <f>IFERROR(__xludf.DUMMYFUNCTION("""COMPUTED_VALUE"""),"Побольше уличных туалетов и освещение темных улиц")</f>
        <v>Побольше уличных туалетов и освещение темных улиц</v>
      </c>
      <c r="P88" s="6" t="str">
        <f>IFERROR(__xludf.DUMMYFUNCTION("""COMPUTED_VALUE"""),"Фейсбук, приглашение в личные сообщения")</f>
        <v>Фейсбук, приглашение в личные сообщения</v>
      </c>
      <c r="Q88" s="6" t="str">
        <f>IFERROR(__xludf.DUMMYFUNCTION("""COMPUTED_VALUE"""),"где вкусно поесть/открытие новых кафе/ресторанов, интервью с местными творческими личностями, интервью с экспертами на разные темы (напишите в разделе Другое свои предложения)")</f>
        <v>где вкусно поесть/открытие новых кафе/ресторанов, интервью с местными творческими личностями, интервью с экспертами на разные темы (напишите в разделе Другое свои предложения)</v>
      </c>
      <c r="R88" s="6" t="str">
        <f>IFERROR(__xludf.DUMMYFUNCTION("""COMPUTED_VALUE"""),"День шахтёра, день города, Масленица")</f>
        <v>День шахтёра, день города, Масленица</v>
      </c>
      <c r="S88" s="6" t="str">
        <f>IFERROR(__xludf.DUMMYFUNCTION("""COMPUTED_VALUE"""),"Писал и расклеивал объявления/афиши, 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Фейсбук, ВК, Инстаграм, Одноклассники")</f>
        <v>Писал и расклеивал объявления/афиши, 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Фейсбук, ВК, Инстаграм, Одноклассники</v>
      </c>
      <c r="T88" s="6" t="str">
        <f>IFERROR(__xludf.DUMMYFUNCTION("""COMPUTED_VALUE"""),"Тулеев - приезжаю в другие регионы и самый лучший способ объяснить откуда я, это рассказать что губернатор у нас  Тулеев. Скульптура Михайло Волкова на площади Волкова, скульптура св.Варвары в Красной горке, Монумент ""Память шахтёрам Кузбасса""")</f>
        <v>Тулеев - приезжаю в другие регионы и самый лучший способ объяснить откуда я, это рассказать что губернатор у нас  Тулеев. Скульптура Михайло Волкова на площади Волкова, скульптура св.Варвары в Красной горке, Монумент "Память шахтёрам Кузбасса"</v>
      </c>
      <c r="U88" s="6" t="str">
        <f>IFERROR(__xludf.DUMMYFUNCTION("""COMPUTED_VALUE"""),"ДК Москва, ТЦ Радуга, бульвар Строителей")</f>
        <v>ДК Москва, ТЦ Радуга, бульвар Строителей</v>
      </c>
      <c r="V88" s="6" t="str">
        <f>IFERROR(__xludf.DUMMYFUNCTION("""COMPUTED_VALUE"""),"Сохранили Сосновый бор, музей Красная горка")</f>
        <v>Сохранили Сосновый бор, музей Красная горка</v>
      </c>
      <c r="W88" s="6" t="str">
        <f>IFERROR(__xludf.DUMMYFUNCTION("""COMPUTED_VALUE"""),"Дружелюбные, всегда протянут руку помощи, отзывчивые, размеренные")</f>
        <v>Дружелюбные, всегда протянут руку помощи, отзывчивые, размеренные</v>
      </c>
      <c r="X88" s="6" t="str">
        <f>IFERROR(__xludf.DUMMYFUNCTION("""COMPUTED_VALUE"""),"Монумент ""Память шахтёрам Кузбасса"",  
музей ""Краснаяя горка"" и Поклонная гора, гостиница Кристалл - то, откуда виден весь город")</f>
        <v>Монумент "Память шахтёрам Кузбасса",  
музей "Краснаяя горка" и Поклонная гора, гостиница Кристалл - то, откуда виден весь город</v>
      </c>
      <c r="Y88" s="6" t="str">
        <f>IFERROR(__xludf.DUMMYFUNCTION("""COMPUTED_VALUE"""),"Когда село преобразовали в город")</f>
        <v>Когда село преобразовали в город</v>
      </c>
      <c r="Z88" s="6" t="str">
        <f>IFERROR(__xludf.DUMMYFUNCTION("""COMPUTED_VALUE"""),"Нетворкинг с Алиной Цветковой, её же проект Время женщины в бизнесе, ")</f>
        <v>Нетворкинг с Алиной Цветковой, её же проект Время женщины в бизнесе, </v>
      </c>
      <c r="AA88" s="6" t="str">
        <f>IFERROR(__xludf.DUMMYFUNCTION("""COMPUTED_VALUE"""),"То, что хотели забрать Сосновый бор, выруб деревьев возле Искитимки")</f>
        <v>То, что хотели забрать Сосновый бор, выруб деревьев возле Искитимки</v>
      </c>
      <c r="AB88" s="6" t="str">
        <f>IFERROR(__xludf.DUMMYFUNCTION("""COMPUTED_VALUE"""),"Тех, в котроых всегда абсолютно всем протянут руку помощи. ")</f>
        <v>Тех, в котроых всегда абсолютно всем протянут руку помощи. </v>
      </c>
      <c r="AC88" s="6" t="str">
        <f>IFERROR(__xludf.DUMMYFUNCTION("""COMPUTED_VALUE"""),"Бесплатные или с не дорогим билетом, в центре города")</f>
        <v>Бесплатные или с не дорогим билетом, в центре города</v>
      </c>
      <c r="AD88" s="6" t="str">
        <f>IFERROR(__xludf.DUMMYFUNCTION("""COMPUTED_VALUE"""),"Организатор мероприятий для развития жизненных навыков, помогающих преодолевать ситуации любой сложности. ")</f>
        <v>Организатор мероприятий для развития жизненных навыков, помогающих преодолевать ситуации любой сложности. </v>
      </c>
      <c r="AE88" s="6" t="str">
        <f>IFERROR(__xludf.DUMMYFUNCTION("""COMPUTED_VALUE"""),"Женский")</f>
        <v>Женский</v>
      </c>
      <c r="AF88" s="6" t="str">
        <f>IFERROR(__xludf.DUMMYFUNCTION("""COMPUTED_VALUE"""),"45-55")</f>
        <v>45-55</v>
      </c>
      <c r="AG88" s="6"/>
      <c r="AH88" s="6"/>
      <c r="AI88" s="6"/>
      <c r="AJ88" s="6"/>
      <c r="AK88" s="6"/>
      <c r="AL88" s="6"/>
      <c r="AM88" s="6"/>
    </row>
    <row r="89">
      <c r="A89" s="4">
        <v>88.0</v>
      </c>
      <c r="B89" s="6" t="str">
        <f>IFERROR(__xludf.DUMMYFUNCTION("""COMPUTED_VALUE"""),"Работаю, воспитываю ребёнка ")</f>
        <v>Работаю, воспитываю ребёнка </v>
      </c>
      <c r="C89" s="6" t="str">
        <f>IFERROR(__xludf.DUMMYFUNCTION("""COMPUTED_VALUE"""),"Вяжу, делаю соль для ванн, читаю")</f>
        <v>Вяжу, делаю соль для ванн, читаю</v>
      </c>
      <c r="D89" s="6" t="str">
        <f>IFERROR(__xludf.DUMMYFUNCTION("""COMPUTED_VALUE"""),"Район 1 променада ")</f>
        <v>Район 1 променада </v>
      </c>
      <c r="E89" s="6" t="str">
        <f>IFERROR(__xludf.DUMMYFUNCTION("""COMPUTED_VALUE"""),"Комсомольский парк, пионерский бульвар")</f>
        <v>Комсомольский парк, пионерский бульвар</v>
      </c>
      <c r="F89" s="6" t="str">
        <f>IFERROR(__xludf.DUMMYFUNCTION("""COMPUTED_VALUE"""),"Переехал сюда из другого места (откуда? укажите в графе другое), Ленинск-Кузнецкий. ")</f>
        <v>Переехал сюда из другого места (откуда? укажите в графе другое), Ленинск-Кузнецкий. </v>
      </c>
      <c r="G89" s="6" t="str">
        <f>IFERROR(__xludf.DUMMYFUNCTION("""COMPUTED_VALUE"""),"Парки, бульвары, кино, кофейни, театр, бор, ")</f>
        <v>Парки, бульвары, кино, кофейни, театр, бор, </v>
      </c>
      <c r="H89" s="6" t="str">
        <f>IFERROR(__xludf.DUMMYFUNCTION("""COMPUTED_VALUE"""),"Маленький, но уютный; продуманный; ухоженный, преемственный")</f>
        <v>Маленький, но уютный; продуманный; ухоженный, преемственный</v>
      </c>
      <c r="I89" s="6" t="str">
        <f>IFERROR(__xludf.DUMMYFUNCTION("""COMPUTED_VALUE"""),"Затрудняюсь")</f>
        <v>Затрудняюсь</v>
      </c>
      <c r="J89" s="6" t="str">
        <f>IFERROR(__xludf.DUMMYFUNCTION("""COMPUTED_VALUE"""),"Гришковец")</f>
        <v>Гришковец</v>
      </c>
      <c r="K89" s="6" t="str">
        <f>IFERROR(__xludf.DUMMYFUNCTION("""COMPUTED_VALUE"""),"Лесные дачи в Журавлях)")</f>
        <v>Лесные дачи в Журавлях)</v>
      </c>
      <c r="L89" s="6" t="str">
        <f>IFERROR(__xludf.DUMMYFUNCTION("""COMPUTED_VALUE"""),"Мал золотник, да дорог")</f>
        <v>Мал золотник, да дорог</v>
      </c>
      <c r="M89" s="6" t="str">
        <f>IFERROR(__xludf.DUMMYFUNCTION("""COMPUTED_VALUE"""),"Мультифора")</f>
        <v>Мультифора</v>
      </c>
      <c r="N89" s="6" t="str">
        <f>IFERROR(__xludf.DUMMYFUNCTION("""COMPUTED_VALUE"""),"Чистота, отсутствие больших пробок, доступность")</f>
        <v>Чистота, отсутствие больших пробок, доступность</v>
      </c>
      <c r="O89" s="6" t="str">
        <f>IFERROR(__xludf.DUMMYFUNCTION("""COMPUTED_VALUE"""),"Перестать строить одинаковые дома")</f>
        <v>Перестать строить одинаковые дома</v>
      </c>
      <c r="P89" s="6" t="str">
        <f>IFERROR(__xludf.DUMMYFUNCTION("""COMPUTED_VALUE"""),"На работе")</f>
        <v>На работе</v>
      </c>
      <c r="Q89" s="6" t="str">
        <f>IFERROR(__xludf.DUMMYFUNCTION("""COMPUTED_VALUE"""),"куда пойти в свободное время, где вкусно поесть/открытие новых кафе/ресторанов,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поступать/"&amp;"вакансии,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89" s="6" t="str">
        <f>IFERROR(__xludf.DUMMYFUNCTION("""COMPUTED_VALUE"""),"День молодежи, день города, день шахтера")</f>
        <v>День молодежи, день города, день шахтера</v>
      </c>
      <c r="S89" s="6" t="str">
        <f>IFERROR(__xludf.DUMMYFUNCTION("""COMPUTED_VALUE"""),"Нет, не приходилось")</f>
        <v>Нет, не приходилось</v>
      </c>
      <c r="T89" s="6" t="str">
        <f>IFERROR(__xludf.DUMMYFUNCTION("""COMPUTED_VALUE"""),"Развита it сфера")</f>
        <v>Развита it сфера</v>
      </c>
      <c r="U89" s="6" t="str">
        <f>IFERROR(__xludf.DUMMYFUNCTION("""COMPUTED_VALUE"""),"Площадь советов")</f>
        <v>Площадь советов</v>
      </c>
      <c r="V89" s="6" t="str">
        <f>IFERROR(__xludf.DUMMYFUNCTION("""COMPUTED_VALUE"""),"Нарисовали красивые граффити на домах на пр Ленина, реконструкция парка Антошка")</f>
        <v>Нарисовали красивые граффити на домах на пр Ленина, реконструкция парка Антошка</v>
      </c>
      <c r="W89" s="6" t="str">
        <f>IFERROR(__xludf.DUMMYFUNCTION("""COMPUTED_VALUE"""),"Трудолюбие, скромность")</f>
        <v>Трудолюбие, скромность</v>
      </c>
      <c r="X89" s="6" t="str">
        <f>IFERROR(__xludf.DUMMYFUNCTION("""COMPUTED_VALUE"""),"Проспект Советский, набережная")</f>
        <v>Проспект Советский, набережная</v>
      </c>
      <c r="Y89" s="6" t="str">
        <f>IFERROR(__xludf.DUMMYFUNCTION("""COMPUTED_VALUE"""),"Затрудняюсь ответить")</f>
        <v>Затрудняюсь ответить</v>
      </c>
      <c r="Z89" s="6" t="str">
        <f>IFERROR(__xludf.DUMMYFUNCTION("""COMPUTED_VALUE"""),"Не вспомню, скорее всего были ещё до пандемии")</f>
        <v>Не вспомню, скорее всего были ещё до пандемии</v>
      </c>
      <c r="AA89" s="6" t="str">
        <f>IFERROR(__xludf.DUMMYFUNCTION("""COMPUTED_VALUE"""),"Убийство девушки, когда полиция не приехала")</f>
        <v>Убийство девушки, когда полиция не приехала</v>
      </c>
      <c r="AB89" s="6" t="str">
        <f>IFERROR(__xludf.DUMMYFUNCTION("""COMPUTED_VALUE"""),"Сообщества для тех, кто руководит людьми-на котором можно было бы собираться и обсуждать интересные кейсы и опыт")</f>
        <v>Сообщества для тех, кто руководит людьми-на котором можно было бы собираться и обсуждать интересные кейсы и опыт</v>
      </c>
      <c r="AC89" s="6" t="str">
        <f>IFERROR(__xludf.DUMMYFUNCTION("""COMPUTED_VALUE"""),"Я думаю, что больше не хватает адекватного освящения событий. Они наверняка есть, но их надо очень искать.")</f>
        <v>Я думаю, что больше не хватает адекватного освящения событий. Они наверняка есть, но их надо очень искать.</v>
      </c>
      <c r="AD89" s="6" t="str">
        <f>IFERROR(__xludf.DUMMYFUNCTION("""COMPUTED_VALUE"""),"Участник РГ который много обсуждает, но не берет на себя домашку")</f>
        <v>Участник РГ который много обсуждает, но не берет на себя домашку</v>
      </c>
      <c r="AE89" s="6" t="str">
        <f>IFERROR(__xludf.DUMMYFUNCTION("""COMPUTED_VALUE"""),"Женский")</f>
        <v>Женский</v>
      </c>
      <c r="AF89" s="6" t="str">
        <f>IFERROR(__xludf.DUMMYFUNCTION("""COMPUTED_VALUE"""),"30-44")</f>
        <v>30-44</v>
      </c>
      <c r="AG89" s="6"/>
      <c r="AH89" s="6"/>
      <c r="AI89" s="6"/>
      <c r="AJ89" s="6"/>
      <c r="AK89" s="6"/>
      <c r="AL89" s="6"/>
      <c r="AM89" s="6"/>
    </row>
    <row r="90">
      <c r="A90" s="4">
        <v>89.0</v>
      </c>
      <c r="B90" s="6" t="str">
        <f>IFERROR(__xludf.DUMMYFUNCTION("""COMPUTED_VALUE"""),"Инженер строитель")</f>
        <v>Инженер строитель</v>
      </c>
      <c r="C90" s="6" t="str">
        <f>IFERROR(__xludf.DUMMYFUNCTION("""COMPUTED_VALUE"""),"Автомобили, дача")</f>
        <v>Автомобили, дача</v>
      </c>
      <c r="D90" s="6" t="str">
        <f>IFERROR(__xludf.DUMMYFUNCTION("""COMPUTED_VALUE"""),"Ленинский")</f>
        <v>Ленинский</v>
      </c>
      <c r="E90" s="6" t="str">
        <f>IFERROR(__xludf.DUMMYFUNCTION("""COMPUTED_VALUE"""),"Красное озеро, кадетка, бульвар строителей")</f>
        <v>Красное озеро, кадетка, бульвар строителей</v>
      </c>
      <c r="F90" s="6" t="str">
        <f>IFERROR(__xludf.DUMMYFUNCTION("""COMPUTED_VALUE"""),"Переехал сюда из другого места (откуда? укажите в графе другое), Переехал из Анжеро Судженска в 1999 году")</f>
        <v>Переехал сюда из другого места (откуда? укажите в графе другое), Переехал из Анжеро Судженска в 1999 году</v>
      </c>
      <c r="G90" s="6" t="str">
        <f>IFERROR(__xludf.DUMMYFUNCTION("""COMPUTED_VALUE"""),"Набережная, красная горка, бор")</f>
        <v>Набережная, красная горка, бор</v>
      </c>
      <c r="H90" s="6" t="str">
        <f>IFERROR(__xludf.DUMMYFUNCTION("""COMPUTED_VALUE"""),"Щегловка, город безполезных ТЦ")</f>
        <v>Щегловка, город безполезных ТЦ</v>
      </c>
      <c r="I90" s="6" t="str">
        <f>IFERROR(__xludf.DUMMYFUNCTION("""COMPUTED_VALUE"""),"Леонов")</f>
        <v>Леонов</v>
      </c>
      <c r="J90" s="6" t="str">
        <f>IFERROR(__xludf.DUMMYFUNCTION("""COMPUTED_VALUE"""),"Цивилев")</f>
        <v>Цивилев</v>
      </c>
      <c r="K90" s="6" t="str">
        <f>IFERROR(__xludf.DUMMYFUNCTION("""COMPUTED_VALUE"""),"Вид на город с лысой горы")</f>
        <v>Вид на город с лысой горы</v>
      </c>
      <c r="L90" s="6" t="str">
        <f>IFERROR(__xludf.DUMMYFUNCTION("""COMPUTED_VALUE"""),"Не знаю(")</f>
        <v>Не знаю(</v>
      </c>
      <c r="M90" s="6" t="str">
        <f>IFERROR(__xludf.DUMMYFUNCTION("""COMPUTED_VALUE"""),"Мультифора")</f>
        <v>Мультифора</v>
      </c>
      <c r="N90" s="6" t="str">
        <f>IFERROR(__xludf.DUMMYFUNCTION("""COMPUTED_VALUE"""),"Отличные дороги, инфраструктура, хорошие места для отдыха на природе, развитие города в последние годы, достаточно чисто летом")</f>
        <v>Отличные дороги, инфраструктура, хорошие места для отдыха на природе, развитие города в последние годы, достаточно чисто летом</v>
      </c>
      <c r="O90" s="6" t="str">
        <f>IFERROR(__xludf.DUMMYFUNCTION("""COMPUTED_VALUE"""),"Больше парковых зон, благоустройство не центральных районов.")</f>
        <v>Больше парковых зон, благоустройство не центральных районов.</v>
      </c>
      <c r="P90" s="6" t="str">
        <f>IFERROR(__xludf.DUMMYFUNCTION("""COMPUTED_VALUE"""),"А42")</f>
        <v>А42</v>
      </c>
      <c r="Q90"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90" s="6" t="str">
        <f>IFERROR(__xludf.DUMMYFUNCTION("""COMPUTED_VALUE"""),"День шахтера")</f>
        <v>День шахтера</v>
      </c>
      <c r="S90" s="6" t="str">
        <f>IFERROR(__xludf.DUMMYFUNCTION("""COMPUTED_VALUE"""),"Нет, не приходилось, В студотряде ,разные городские мероприятия")</f>
        <v>Нет, не приходилось, В студотряде ,разные городские мероприятия</v>
      </c>
      <c r="T90" s="6" t="str">
        <f>IFERROR(__xludf.DUMMYFUNCTION("""COMPUTED_VALUE"""),"Столица угля и елка за много миллионов")</f>
        <v>Столица угля и елка за много миллионов</v>
      </c>
      <c r="U90" s="6" t="str">
        <f>IFERROR(__xludf.DUMMYFUNCTION("""COMPUTED_VALUE"""),"Площадь советов")</f>
        <v>Площадь советов</v>
      </c>
      <c r="V90" s="6" t="str">
        <f>IFERROR(__xludf.DUMMYFUNCTION("""COMPUTED_VALUE"""),"Поднимали производство в советское время")</f>
        <v>Поднимали производство в советское время</v>
      </c>
      <c r="W90" s="6" t="str">
        <f>IFERROR(__xludf.DUMMYFUNCTION("""COMPUTED_VALUE"""),"Не боятся трудностей, помогают друг другу")</f>
        <v>Не боятся трудностей, помогают друг другу</v>
      </c>
      <c r="X90" s="6" t="str">
        <f>IFERROR(__xludf.DUMMYFUNCTION("""COMPUTED_VALUE"""),"По бору до надписи кузбасс")</f>
        <v>По бору до надписи кузбасс</v>
      </c>
      <c r="Y90" s="6" t="str">
        <f>IFERROR(__xludf.DUMMYFUNCTION("""COMPUTED_VALUE"""),"Смена власти ")</f>
        <v>Смена власти </v>
      </c>
      <c r="Z90" s="6" t="str">
        <f>IFERROR(__xludf.DUMMYFUNCTION("""COMPUTED_VALUE"""),"Расвитие культуры и строительство")</f>
        <v>Расвитие культуры и строительство</v>
      </c>
      <c r="AA90" s="6" t="str">
        <f>IFERROR(__xludf.DUMMYFUNCTION("""COMPUTED_VALUE"""),"Зимняя вишня, режим черного неба всю зиму")</f>
        <v>Зимняя вишня, режим черного неба всю зиму</v>
      </c>
      <c r="AB90" s="6" t="str">
        <f>IFERROR(__xludf.DUMMYFUNCTION("""COMPUTED_VALUE"""),"Не знаю")</f>
        <v>Не знаю</v>
      </c>
      <c r="AC90" s="6" t="str">
        <f>IFERROR(__xludf.DUMMYFUNCTION("""COMPUTED_VALUE"""),"Больше вложений в мероприятия на открытом воздухе, концерты и тд")</f>
        <v>Больше вложений в мероприятия на открытом воздухе, концерты и тд</v>
      </c>
      <c r="AD90" s="6" t="str">
        <f>IFERROR(__xludf.DUMMYFUNCTION("""COMPUTED_VALUE"""),"Зритель")</f>
        <v>Зритель</v>
      </c>
      <c r="AE90" s="6" t="str">
        <f>IFERROR(__xludf.DUMMYFUNCTION("""COMPUTED_VALUE"""),"Мужской")</f>
        <v>Мужской</v>
      </c>
      <c r="AF90" s="6" t="str">
        <f>IFERROR(__xludf.DUMMYFUNCTION("""COMPUTED_VALUE"""),"18-29")</f>
        <v>18-29</v>
      </c>
      <c r="AG90" s="6"/>
      <c r="AH90" s="6"/>
      <c r="AI90" s="6"/>
      <c r="AJ90" s="6"/>
      <c r="AK90" s="6"/>
      <c r="AL90" s="6"/>
      <c r="AM90" s="6"/>
    </row>
    <row r="91">
      <c r="A91" s="4">
        <v>90.0</v>
      </c>
      <c r="B91" s="6" t="str">
        <f>IFERROR(__xludf.DUMMYFUNCTION("""COMPUTED_VALUE"""),"Работаю менеджером по персоналу")</f>
        <v>Работаю менеджером по персоналу</v>
      </c>
      <c r="C91" s="6" t="str">
        <f>IFERROR(__xludf.DUMMYFUNCTION("""COMPUTED_VALUE"""),"Академический хор")</f>
        <v>Академический хор</v>
      </c>
      <c r="D91" s="6" t="str">
        <f>IFERROR(__xludf.DUMMYFUNCTION("""COMPUTED_VALUE"""),"Рудничный район, Кедровка")</f>
        <v>Рудничный район, Кедровка</v>
      </c>
      <c r="E91" s="6" t="str">
        <f>IFERROR(__xludf.DUMMYFUNCTION("""COMPUTED_VALUE"""),"Греческая деревня, парк Победы")</f>
        <v>Греческая деревня, парк Победы</v>
      </c>
      <c r="F91" s="6" t="str">
        <f>IFERROR(__xludf.DUMMYFUNCTION("""COMPUTED_VALUE"""),"Живу здесь с рождения")</f>
        <v>Живу здесь с рождения</v>
      </c>
      <c r="G91" s="6" t="str">
        <f>IFERROR(__xludf.DUMMYFUNCTION("""COMPUTED_VALUE"""),"Сосновый бор, Набережная, Томская писанница, Лесная поляна")</f>
        <v>Сосновый бор, Набережная, Томская писанница, Лесная поляна</v>
      </c>
      <c r="H91" s="6" t="str">
        <f>IFERROR(__xludf.DUMMYFUNCTION("""COMPUTED_VALUE"""),"Уголь, Томь, Кузбасс, Наука, Развитие")</f>
        <v>Уголь, Томь, Кузбасс, Наука, Развитие</v>
      </c>
      <c r="I91" s="6" t="str">
        <f>IFERROR(__xludf.DUMMYFUNCTION("""COMPUTED_VALUE"""),"Гришковец, Тулеев")</f>
        <v>Гришковец, Тулеев</v>
      </c>
      <c r="J91" s="6" t="str">
        <f>IFERROR(__xludf.DUMMYFUNCTION("""COMPUTED_VALUE"""),"не знаю")</f>
        <v>не знаю</v>
      </c>
      <c r="K91" s="6" t="str">
        <f>IFERROR(__xludf.DUMMYFUNCTION("""COMPUTED_VALUE"""),"Красная горка, Парк чудес, Лесная поляна")</f>
        <v>Красная горка, Парк чудес, Лесная поляна</v>
      </c>
      <c r="L91" s="6" t="str">
        <f>IFERROR(__xludf.DUMMYFUNCTION("""COMPUTED_VALUE"""),"не знаю")</f>
        <v>не знаю</v>
      </c>
      <c r="M91" s="6" t="str">
        <f>IFERROR(__xludf.DUMMYFUNCTION("""COMPUTED_VALUE"""),"нет")</f>
        <v>нет</v>
      </c>
      <c r="N91" s="6" t="str">
        <f>IFERROR(__xludf.DUMMYFUNCTION("""COMPUTED_VALUE"""),"удобная транспортная развязка, места досуга в каждом районе, школы и сады в каждом районе, рабочие места близко к дому, чистый воздух")</f>
        <v>удобная транспортная развязка, места досуга в каждом районе, школы и сады в каждом районе, рабочие места близко к дому, чистый воздух</v>
      </c>
      <c r="O91" s="6" t="str">
        <f>IFERROR(__xludf.DUMMYFUNCTION("""COMPUTED_VALUE"""),"фасады зданий и дороги на некоторых улицах ")</f>
        <v>фасады зданий и дороги на некоторых улицах </v>
      </c>
      <c r="P91" s="6" t="str">
        <f>IFERROR(__xludf.DUMMYFUNCTION("""COMPUTED_VALUE"""),"Сайт ""Афиша Кемерово"", инстаграм страницы разных организаций (квизы, бары)")</f>
        <v>Сайт "Афиша Кемерово", инстаграм страницы разных организаций (квизы, бары)</v>
      </c>
      <c r="Q91"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91" s="6" t="str">
        <f>IFERROR(__xludf.DUMMYFUNCTION("""COMPUTED_VALUE"""),"9 мая, 12 июня (День города)")</f>
        <v>9 мая, 12 июня (День города)</v>
      </c>
      <c r="S91" s="6" t="str">
        <f>IFERROR(__xludf.DUMMYFUNCTION("""COMPUTED_VALUE"""),"Нет, не приходилось")</f>
        <v>Нет, не приходилось</v>
      </c>
      <c r="T91" s="6" t="str">
        <f>IFERROR(__xludf.DUMMYFUNCTION("""COMPUTED_VALUE"""),"Томская писаница, Лесная поляна")</f>
        <v>Томская писаница, Лесная поляна</v>
      </c>
      <c r="U91" s="6" t="str">
        <f>IFERROR(__xludf.DUMMYFUNCTION("""COMPUTED_VALUE"""),"площадь Советов")</f>
        <v>площадь Советов</v>
      </c>
      <c r="V91" s="6" t="str">
        <f>IFERROR(__xludf.DUMMYFUNCTION("""COMPUTED_VALUE"""),"построили разрезы и шахты, обеспечили рабочие места. Озеленили центральные пакри")</f>
        <v>построили разрезы и шахты, обеспечили рабочие места. Озеленили центральные пакри</v>
      </c>
      <c r="W91" s="6" t="str">
        <f>IFERROR(__xludf.DUMMYFUNCTION("""COMPUTED_VALUE"""),"ленивые, не хотящие развиваться в основной массе. Не торопливые. ")</f>
        <v>ленивые, не хотящие развиваться в основной массе. Не торопливые. </v>
      </c>
      <c r="X91" s="6" t="str">
        <f>IFERROR(__xludf.DUMMYFUNCTION("""COMPUTED_VALUE"""),"Вокзал- площадь советов - парк чудес - набережная - сосновый бор - лесная поляна")</f>
        <v>Вокзал- площадь советов - парк чудес - набережная - сосновый бор - лесная поляна</v>
      </c>
      <c r="Y91" s="6" t="str">
        <f>IFERROR(__xludf.DUMMYFUNCTION("""COMPUTED_VALUE"""),"открытие спорт центра ""Кузбасс""")</f>
        <v>открытие спорт центра "Кузбасс"</v>
      </c>
      <c r="Z91" s="6" t="str">
        <f>IFERROR(__xludf.DUMMYFUNCTION("""COMPUTED_VALUE"""),"не знаю")</f>
        <v>не знаю</v>
      </c>
      <c r="AA91" s="6" t="str">
        <f>IFERROR(__xludf.DUMMYFUNCTION("""COMPUTED_VALUE"""),"Зимняя вишня, митинги за Навального")</f>
        <v>Зимняя вишня, митинги за Навального</v>
      </c>
      <c r="AB91" s="6" t="str">
        <f>IFERROR(__xludf.DUMMYFUNCTION("""COMPUTED_VALUE"""),"Добровольцев в помощи по благоустройству города, читающих, начинающих бинессменов")</f>
        <v>Добровольцев в помощи по благоустройству города, читающих, начинающих бинессменов</v>
      </c>
      <c r="AC91" s="6" t="str">
        <f>IFERROR(__xludf.DUMMYFUNCTION("""COMPUTED_VALUE"""),"открытые лекции от университетов, ")</f>
        <v>открытые лекции от университетов, </v>
      </c>
      <c r="AD91" s="6" t="str">
        <f>IFERROR(__xludf.DUMMYFUNCTION("""COMPUTED_VALUE"""),"Организация, сопровождение, наставничество")</f>
        <v>Организация, сопровождение, наставничество</v>
      </c>
      <c r="AE91" s="6" t="str">
        <f>IFERROR(__xludf.DUMMYFUNCTION("""COMPUTED_VALUE"""),"Женский")</f>
        <v>Женский</v>
      </c>
      <c r="AF91" s="6" t="str">
        <f>IFERROR(__xludf.DUMMYFUNCTION("""COMPUTED_VALUE"""),"18-29")</f>
        <v>18-29</v>
      </c>
      <c r="AG91" s="6"/>
      <c r="AH91" s="6"/>
      <c r="AI91" s="6"/>
      <c r="AJ91" s="6"/>
      <c r="AK91" s="6"/>
      <c r="AL91" s="6"/>
      <c r="AM91" s="6"/>
    </row>
    <row r="92">
      <c r="A92" s="4">
        <v>91.0</v>
      </c>
      <c r="B92" s="6" t="str">
        <f>IFERROR(__xludf.DUMMYFUNCTION("""COMPUTED_VALUE"""),"Маркетинг ")</f>
        <v>Маркетинг </v>
      </c>
      <c r="C92" s="6" t="str">
        <f>IFERROR(__xludf.DUMMYFUNCTION("""COMPUTED_VALUE"""),"Путешествия, йога, психология, люблю смотреть сериалы ")</f>
        <v>Путешествия, йога, психология, люблю смотреть сериалы </v>
      </c>
      <c r="D92" s="6" t="str">
        <f>IFERROR(__xludf.DUMMYFUNCTION("""COMPUTED_VALUE"""),"Центральный, если нужно уточнение, то говорю Кемерово Сити")</f>
        <v>Центральный, если нужно уточнение, то говорю Кемерово Сити</v>
      </c>
      <c r="E92" s="6" t="str">
        <f>IFERROR(__xludf.DUMMYFUNCTION("""COMPUTED_VALUE"""),"Т.к живу в центральном районе, рассматриваю весь центр (от ул. Красной до пр-кт Кузнецкого) города, как знаковое место ")</f>
        <v>Т.к живу в центральном районе, рассматриваю весь центр (от ул. Красной до пр-кт Кузнецкого) города, как знаковое место </v>
      </c>
      <c r="F92" s="6" t="str">
        <f>IFERROR(__xludf.DUMMYFUNCTION("""COMPUTED_VALUE"""),"Живу здесь с рождения")</f>
        <v>Живу здесь с рождения</v>
      </c>
      <c r="G92" s="6" t="str">
        <f>IFERROR(__xludf.DUMMYFUNCTION("""COMPUTED_VALUE"""),"Гуляю по центру города (улицы Красная, Ногрдаская, пр-кт Советский), реже в Сосновый бор")</f>
        <v>Гуляю по центру города (улицы Красная, Ногрдаская, пр-кт Советский), реже в Сосновый бор</v>
      </c>
      <c r="H92" s="6" t="str">
        <f>IFERROR(__xludf.DUMMYFUNCTION("""COMPUTED_VALUE"""),"Уголь, мороз, промышленность, регион, дом")</f>
        <v>Уголь, мороз, промышленность, регион, дом</v>
      </c>
      <c r="I92" s="6" t="str">
        <f>IFERROR(__xludf.DUMMYFUNCTION("""COMPUTED_VALUE"""),"Первый, кто пришел в голову, Владимир Мартемьянов, т.к в моей школе был его музей.")</f>
        <v>Первый, кто пришел в голову, Владимир Мартемьянов, т.к в моей школе был его музей.</v>
      </c>
      <c r="J92" s="6" t="str">
        <f>IFERROR(__xludf.DUMMYFUNCTION("""COMPUTED_VALUE"""),"Затрудняюсь ответить.")</f>
        <v>Затрудняюсь ответить.</v>
      </c>
      <c r="K92" s="6" t="str">
        <f>IFERROR(__xludf.DUMMYFUNCTION("""COMPUTED_VALUE"""),"Опять таки прогулялась с гостей по центру городу, отвезла в музей Красная горка, потом бы отвела в свои любимые бары\рестораны на ужин")</f>
        <v>Опять таки прогулялась с гостей по центру городу, отвезла в музей Красная горка, потом бы отвела в свои любимые бары\рестораны на ужин</v>
      </c>
      <c r="L92" s="6" t="str">
        <f>IFERROR(__xludf.DUMMYFUNCTION("""COMPUTED_VALUE"""),"Вспомнилась только песня Бориса Гребенщикова ""Человек из Кемерова"" :)")</f>
        <v>Вспомнилась только песня Бориса Гребенщикова "Человек из Кемерова" :)</v>
      </c>
      <c r="M92" s="6" t="str">
        <f>IFERROR(__xludf.DUMMYFUNCTION("""COMPUTED_VALUE"""),"Знаю, что в других регион людей вводит в ступор слово ""мультифора"". Но так говоря не только в Кемерово. ")</f>
        <v>Знаю, что в других регион людей вводит в ступор слово "мультифора". Но так говоря не только в Кемерово. </v>
      </c>
      <c r="N92" s="6" t="str">
        <f>IFERROR(__xludf.DUMMYFUNCTION("""COMPUTED_VALUE"""),"Экология, высокие з\п, транспортный хаб, хорошая хорека, возможности для проведения досуга (парки, ТЦ, выставки, музеи)")</f>
        <v>Экология, высокие з\п, транспортный хаб, хорошая хорека, возможности для проведения досуга (парки, ТЦ, выставки, музеи)</v>
      </c>
      <c r="O92" s="6" t="str">
        <f>IFERROR(__xludf.DUMMYFUNCTION("""COMPUTED_VALUE"""),"Грустные серые спальный района (хочется красок, яркости, особенно зимой), больше зелени\парков. 
Может быть побольше стильных фотозон, как в Южной Корее. ")</f>
        <v>Грустные серые спальный района (хочется красок, яркости, особенно зимой), больше зелени\парков. 
Может быть побольше стильных фотозон, как в Южной Корее. </v>
      </c>
      <c r="P92" s="6" t="str">
        <f>IFERROR(__xludf.DUMMYFUNCTION("""COMPUTED_VALUE"""),"Таргетированная реклама в инстаграм. Либо узнаю от друзей.")</f>
        <v>Таргетированная реклама в инстаграм. Либо узнаю от друзей.</v>
      </c>
      <c r="Q92" s="6" t="str">
        <f>IFERROR(__xludf.DUMMYFUNCTION("""COMPUTED_VALUE"""),"где вкусно поесть/открытие новых кафе/ресторанов, городская афиша (кино/театр/концерты)")</f>
        <v>где вкусно поесть/открытие новых кафе/ресторанов, городская афиша (кино/театр/концерты)</v>
      </c>
      <c r="R92" s="6" t="str">
        <f>IFERROR(__xludf.DUMMYFUNCTION("""COMPUTED_VALUE"""),"Мне и моим близким понравился рок фестиваль в 2019 году. Говорят, что он будет в этом году тоже - очень жду. ")</f>
        <v>Мне и моим близким понравился рок фестиваль в 2019 году. Говорят, что он будет в этом году тоже - очень жду. </v>
      </c>
      <c r="S92" s="6" t="str">
        <f>IFERROR(__xludf.DUMMYFUNCTION("""COMPUTED_VALUE"""),"Нет, не приходилось")</f>
        <v>Нет, не приходилось</v>
      </c>
      <c r="T92" s="6" t="str">
        <f>IFERROR(__xludf.DUMMYFUNCTION("""COMPUTED_VALUE"""),"Известен добычей угля, сибирскими морозами. К сожалению, еще событием связанным с Зимней вишней.
Про уникальность затрудняюсь ответить. ")</f>
        <v>Известен добычей угля, сибирскими морозами. К сожалению, еще событием связанным с Зимней вишней.
Про уникальность затрудняюсь ответить. </v>
      </c>
      <c r="U92" s="6" t="str">
        <f>IFERROR(__xludf.DUMMYFUNCTION("""COMPUTED_VALUE"""),"Наверно, музей Красная горка.")</f>
        <v>Наверно, музей Красная горка.</v>
      </c>
      <c r="V92" s="6" t="str">
        <f>IFERROR(__xludf.DUMMYFUNCTION("""COMPUTED_VALUE"""),"Если говорить про их предков, то не побоялись приехать сюда из разных уголков страны. Остались здесь жить и трудиться на благо города, работали на заводах. 
Моя прабабушка была закройщицей, обшивала весь город,  всем помогала, как могла. ")</f>
        <v>Если говорить про их предков, то не побоялись приехать сюда из разных уголков страны. Остались здесь жить и трудиться на благо города, работали на заводах. 
Моя прабабушка была закройщицей, обшивала весь город,  всем помогала, как могла. </v>
      </c>
      <c r="W92" s="6" t="str">
        <f>IFERROR(__xludf.DUMMYFUNCTION("""COMPUTED_VALUE"""),"Дерзкие, но душевные, интеллигентные, интересные, бесстрашные. ")</f>
        <v>Дерзкие, но душевные, интеллигентные, интересные, бесстрашные. </v>
      </c>
      <c r="X92" s="6" t="str">
        <f>IFERROR(__xludf.DUMMYFUNCTION("""COMPUTED_VALUE"""),"См. вопрос 10. ")</f>
        <v>См. вопрос 10. </v>
      </c>
      <c r="Y92" s="6" t="str">
        <f>IFERROR(__xludf.DUMMYFUNCTION("""COMPUTED_VALUE"""),"Может быть ЧМ по хоккею в 2007 году? 
Хотя, мне больше понравился рок фестиваль. Знаю, что на этот концерт люди специально прилетали\приезжали из разных городов. ")</f>
        <v>Может быть ЧМ по хоккею в 2007 году? 
Хотя, мне больше понравился рок фестиваль. Знаю, что на этот концерт люди специально прилетали\приезжали из разных городов. </v>
      </c>
      <c r="Z92" s="6" t="str">
        <f>IFERROR(__xludf.DUMMYFUNCTION("""COMPUTED_VALUE"""),"Город правда стал круче! Удивляюсь, что кто-то этого не замечает. 
Дороги стали лучше, как-то чище стало, открылось множество классных мест в хореке, построили много новых домов, открываются какие-то арт пространства, были выставки репродукции картин Ван"&amp;" Гога, Фриды Кало. ")</f>
        <v>Город правда стал круче! Удивляюсь, что кто-то этого не замечает. 
Дороги стали лучше, как-то чище стало, открылось множество классных мест в хореке, построили много новых домов, открываются какие-то арт пространства, были выставки репродукции картин Ван Гога, Фриды Кало. </v>
      </c>
      <c r="AA92" s="6" t="str">
        <f>IFERROR(__xludf.DUMMYFUNCTION("""COMPUTED_VALUE"""),"Таких событий не припомню. 
Мне не нравится экология, и отсутствие хорошего авиасообщения в доковидное время. И дороговизна авиабилетов. ")</f>
        <v>Таких событий не припомню. 
Мне не нравится экология, и отсутствие хорошего авиасообщения в доковидное время. И дороговизна авиабилетов. </v>
      </c>
      <c r="AB92" s="6" t="str">
        <f>IFERROR(__xludf.DUMMYFUNCTION("""COMPUTED_VALUE"""),"Лично мне хочется больше сообществ по различных духовным практикам. Хочу, чтобы в Кемерово можно было пройти випассану. ")</f>
        <v>Лично мне хочется больше сообществ по различных духовным практикам. Хочу, чтобы в Кемерово можно было пройти випассану. </v>
      </c>
      <c r="AC92" s="6" t="str">
        <f>IFERROR(__xludf.DUMMYFUNCTION("""COMPUTED_VALUE"""),"Может быть какие-то культурные события, не обязательно что-то классическое, но и современное искусство. Выставки, постановки, арт пространства. Хочется сходить на балет. 
В 2019 году был Рождественский базар на пр-кт Советский 2/8, было бы круто масштабир"&amp;"овать это мероприятие. ")</f>
        <v>Может быть какие-то культурные события, не обязательно что-то классическое, но и современное искусство. Выставки, постановки, арт пространства. Хочется сходить на балет. 
В 2019 году был Рождественский базар на пр-кт Советский 2/8, было бы круто масштабировать это мероприятие. </v>
      </c>
      <c r="AD92" s="6" t="str">
        <f>IFERROR(__xludf.DUMMYFUNCTION("""COMPUTED_VALUE"""),"Затрудняюсь ответить. ")</f>
        <v>Затрудняюсь ответить. </v>
      </c>
      <c r="AE92" s="6" t="str">
        <f>IFERROR(__xludf.DUMMYFUNCTION("""COMPUTED_VALUE"""),"Женский")</f>
        <v>Женский</v>
      </c>
      <c r="AF92" s="6" t="str">
        <f>IFERROR(__xludf.DUMMYFUNCTION("""COMPUTED_VALUE"""),"30-44")</f>
        <v>30-44</v>
      </c>
      <c r="AG92" s="6"/>
      <c r="AH92" s="6"/>
      <c r="AI92" s="6"/>
      <c r="AJ92" s="6"/>
      <c r="AK92" s="6"/>
      <c r="AL92" s="6"/>
      <c r="AM92" s="6"/>
    </row>
    <row r="93">
      <c r="A93" s="4">
        <v>92.0</v>
      </c>
      <c r="B93" s="6" t="str">
        <f>IFERROR(__xludf.DUMMYFUNCTION("""COMPUTED_VALUE"""),"продажи ")</f>
        <v>продажи </v>
      </c>
      <c r="C93" s="6" t="str">
        <f>IFERROR(__xludf.DUMMYFUNCTION("""COMPUTED_VALUE"""),"Сноубординг, рукоделие, рисование ")</f>
        <v>Сноубординг, рукоделие, рисование </v>
      </c>
      <c r="D93" s="6" t="str">
        <f>IFERROR(__xludf.DUMMYFUNCTION("""COMPUTED_VALUE"""),"Центральный, Р-н Юбилейного")</f>
        <v>Центральный, Р-н Юбилейного</v>
      </c>
      <c r="E93" s="6" t="str">
        <f>IFERROR(__xludf.DUMMYFUNCTION("""COMPUTED_VALUE"""),"Набережная, памятник шахтеров, Лесная поляна, Парки, Бульвар")</f>
        <v>Набережная, памятник шахтеров, Лесная поляна, Парки, Бульвар</v>
      </c>
      <c r="F93" s="6" t="str">
        <f>IFERROR(__xludf.DUMMYFUNCTION("""COMPUTED_VALUE"""),"Живу здесь с рождения")</f>
        <v>Живу здесь с рождения</v>
      </c>
      <c r="G93" s="6" t="str">
        <f>IFERROR(__xludf.DUMMYFUNCTION("""COMPUTED_VALUE"""),"любим гулять в центре/набережная, парк Комсомольский ")</f>
        <v>любим гулять в центре/набережная, парк Комсомольский </v>
      </c>
      <c r="H93" s="6" t="str">
        <f>IFERROR(__xludf.DUMMYFUNCTION("""COMPUTED_VALUE"""),"красивый, родной, уютный, ")</f>
        <v>красивый, родной, уютный, </v>
      </c>
      <c r="I93" s="6" t="str">
        <f>IFERROR(__xludf.DUMMYFUNCTION("""COMPUTED_VALUE"""),"Гагарин Ю.А, Леонов Алексей , Терешкова Валентина")</f>
        <v>Гагарин Ю.А, Леонов Алексей , Терешкова Валентина</v>
      </c>
      <c r="J93" s="6" t="str">
        <f>IFERROR(__xludf.DUMMYFUNCTION("""COMPUTED_VALUE"""),"Прохорова Елена,  Гришковец  Евгений, Малышева Елена, Логинов Виктор, Тиньков , Волков")</f>
        <v>Прохорова Елена,  Гришковец  Евгений, Малышева Елена, Логинов Виктор, Тиньков , Волков</v>
      </c>
      <c r="K93" s="6" t="str">
        <f>IFERROR(__xludf.DUMMYFUNCTION("""COMPUTED_VALUE"""),"памятник шахтеров , Красная горка,  Лесная поляна, Центр, набержная")</f>
        <v>памятник шахтеров , Красная горка,  Лесная поляна, Центр, набержная</v>
      </c>
      <c r="L93" s="6" t="str">
        <f>IFERROR(__xludf.DUMMYFUNCTION("""COMPUTED_VALUE"""),"шахтерский край, медведи ходят пешком по городу")</f>
        <v>шахтерский край, медведи ходят пешком по городу</v>
      </c>
      <c r="M93" s="6" t="str">
        <f>IFERROR(__xludf.DUMMYFUNCTION("""COMPUTED_VALUE"""),"не знаю ")</f>
        <v>не знаю </v>
      </c>
      <c r="N93" s="6" t="str">
        <f>IFERROR(__xludf.DUMMYFUNCTION("""COMPUTED_VALUE"""),"Чистый город, развивающейся, красивый, идущий в ногу со временем/ инновационный, безопасный ")</f>
        <v>Чистый город, развивающейся, красивый, идущий в ногу со временем/ инновационный, безопасный </v>
      </c>
      <c r="O93" s="6" t="str">
        <f>IFERROR(__xludf.DUMMYFUNCTION("""COMPUTED_VALUE"""),"снести ветхие дома, ремонт дорог, чистка города")</f>
        <v>снести ветхие дома, ремонт дорог, чистка города</v>
      </c>
      <c r="P93" s="6" t="str">
        <f>IFERROR(__xludf.DUMMYFUNCTION("""COMPUTED_VALUE"""),"а42,вести 42,")</f>
        <v>а42,вести 42,</v>
      </c>
      <c r="Q93"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93" s="6" t="str">
        <f>IFERROR(__xludf.DUMMYFUNCTION("""COMPUTED_VALUE"""),"день города, 9 мая, день шахтеров")</f>
        <v>день города, 9 мая, день шахтеров</v>
      </c>
      <c r="S93" s="6" t="str">
        <f>IFERROR(__xludf.DUMMYFUNCTION("""COMPUTED_VALUE"""),"организация праздников на день города и 1июня ")</f>
        <v>организация праздников на день города и 1июня </v>
      </c>
      <c r="T93" s="6" t="str">
        <f>IFERROR(__xludf.DUMMYFUNCTION("""COMPUTED_VALUE"""),"горнодобывающая промышленность ")</f>
        <v>горнодобывающая промышленность </v>
      </c>
      <c r="U93" s="6" t="str">
        <f>IFERROR(__xludf.DUMMYFUNCTION("""COMPUTED_VALUE"""),"набережная, площадь советов ")</f>
        <v>набережная, площадь советов </v>
      </c>
      <c r="V93" s="6" t="str">
        <f>IFERROR(__xludf.DUMMYFUNCTION("""COMPUTED_VALUE"""),"достигали своих целей, шли в перед, развались, пробовали что-то новое")</f>
        <v>достигали своих целей, шли в перед, развались, пробовали что-то новое</v>
      </c>
      <c r="W93" s="6" t="str">
        <f>IFERROR(__xludf.DUMMYFUNCTION("""COMPUTED_VALUE"""),"Доброжелательные, гостеприимные, готовы подсказать, любящие свой город")</f>
        <v>Доброжелательные, гостеприимные, готовы подсказать, любящие свой город</v>
      </c>
      <c r="X93" s="6" t="str">
        <f>IFERROR(__xludf.DUMMYFUNCTION("""COMPUTED_VALUE"""),"Центр")</f>
        <v>Центр</v>
      </c>
      <c r="Y93" s="6" t="str">
        <f>IFERROR(__xludf.DUMMYFUNCTION("""COMPUTED_VALUE"""),"переименование из Щегловска в Кемерово")</f>
        <v>переименование из Щегловска в Кемерово</v>
      </c>
      <c r="Z93" s="6" t="str">
        <f>IFERROR(__xludf.DUMMYFUNCTION("""COMPUTED_VALUE"""),"Строй сервис организовывал рок концерт на свой ДР")</f>
        <v>Строй сервис организовывал рок концерт на свой ДР</v>
      </c>
      <c r="AA93" s="6" t="str">
        <f>IFERROR(__xludf.DUMMYFUNCTION("""COMPUTED_VALUE"""),"Зимняя вишня, карантин, митинги ")</f>
        <v>Зимняя вишня, карантин, митинги </v>
      </c>
      <c r="AB93" s="6" t="str">
        <f>IFERROR(__xludf.DUMMYFUNCTION("""COMPUTED_VALUE"""),"сортировка мусора, благоустройства города, город без ГАЗОВ")</f>
        <v>сортировка мусора, благоустройства города, город без ГАЗОВ</v>
      </c>
      <c r="AC93" s="6" t="str">
        <f>IFERROR(__xludf.DUMMYFUNCTION("""COMPUTED_VALUE"""),"концерты, конкурсы/соревнования для молодежи, спортивные мероприятия, развлекательные проекты , открытие новых объектов")</f>
        <v>концерты, конкурсы/соревнования для молодежи, спортивные мероприятия, развлекательные проекты , открытие новых объектов</v>
      </c>
      <c r="AD93" s="6" t="str">
        <f>IFERROR(__xludf.DUMMYFUNCTION("""COMPUTED_VALUE"""),"организатор, исполнитель")</f>
        <v>организатор, исполнитель</v>
      </c>
      <c r="AE93" s="6" t="str">
        <f>IFERROR(__xludf.DUMMYFUNCTION("""COMPUTED_VALUE"""),"Женский")</f>
        <v>Женский</v>
      </c>
      <c r="AF93" s="6" t="str">
        <f>IFERROR(__xludf.DUMMYFUNCTION("""COMPUTED_VALUE"""),"30-44")</f>
        <v>30-44</v>
      </c>
      <c r="AG93" s="6"/>
      <c r="AH93" s="6"/>
      <c r="AI93" s="6"/>
      <c r="AJ93" s="6"/>
      <c r="AK93" s="6"/>
      <c r="AL93" s="6"/>
      <c r="AM93" s="6"/>
    </row>
    <row r="94">
      <c r="A94" s="4">
        <v>93.0</v>
      </c>
      <c r="B94" s="6" t="str">
        <f>IFERROR(__xludf.DUMMYFUNCTION("""COMPUTED_VALUE"""),"Продажами")</f>
        <v>Продажами</v>
      </c>
      <c r="C94" s="6" t="str">
        <f>IFERROR(__xludf.DUMMYFUNCTION("""COMPUTED_VALUE"""),"Да. Плавание.")</f>
        <v>Да. Плавание.</v>
      </c>
      <c r="D94" s="6" t="str">
        <f>IFERROR(__xludf.DUMMYFUNCTION("""COMPUTED_VALUE"""),"Заводский. Швейка")</f>
        <v>Заводский. Швейка</v>
      </c>
      <c r="E94" s="6" t="str">
        <f>IFERROR(__xludf.DUMMYFUNCTION("""COMPUTED_VALUE"""),"Парк ангелов")</f>
        <v>Парк ангелов</v>
      </c>
      <c r="F94" s="6" t="str">
        <f>IFERROR(__xludf.DUMMYFUNCTION("""COMPUTED_VALUE"""),"Живу здесь с рождения")</f>
        <v>Живу здесь с рождения</v>
      </c>
      <c r="G94" s="6" t="str">
        <f>IFERROR(__xludf.DUMMYFUNCTION("""COMPUTED_VALUE"""),"Парк Молодежи, набережная")</f>
        <v>Парк Молодежи, набережная</v>
      </c>
      <c r="H94" s="6" t="str">
        <f>IFERROR(__xludf.DUMMYFUNCTION("""COMPUTED_VALUE"""),"Красивый, Родной, Холодный, Дружелюбный,Угольный")</f>
        <v>Красивый, Родной, Холодный, Дружелюбный,Угольный</v>
      </c>
      <c r="I94" s="6" t="str">
        <f>IFERROR(__xludf.DUMMYFUNCTION("""COMPUTED_VALUE"""),"Сарыгин Александр Васильевич, Гагарин Юрий Алексеевич, Мичурин Иван Владимирович")</f>
        <v>Сарыгин Александр Васильевич, Гагарин Юрий Алексеевич, Мичурин Иван Владимирович</v>
      </c>
      <c r="J94" s="6" t="str">
        <f>IFERROR(__xludf.DUMMYFUNCTION("""COMPUTED_VALUE"""),"Андрей Панин, Виктор Логинов, Олег Тиньков")</f>
        <v>Андрей Панин, Виктор Логинов, Олег Тиньков</v>
      </c>
      <c r="K94" s="6" t="str">
        <f>IFERROR(__xludf.DUMMYFUNCTION("""COMPUTED_VALUE"""),"Лесная поляна, Томская писаница")</f>
        <v>Лесная поляна, Томская писаница</v>
      </c>
      <c r="L94" s="6" t="str">
        <f>IFERROR(__xludf.DUMMYFUNCTION("""COMPUTED_VALUE"""),".")</f>
        <v>.</v>
      </c>
      <c r="M94" s="6" t="str">
        <f>IFERROR(__xludf.DUMMYFUNCTION("""COMPUTED_VALUE"""),"незнаю")</f>
        <v>незнаю</v>
      </c>
      <c r="N94" s="6" t="str">
        <f>IFERROR(__xludf.DUMMYFUNCTION("""COMPUTED_VALUE"""),"чистый, красивый, безопасный, развивающий, инновационный")</f>
        <v>чистый, красивый, безопасный, развивающий, инновационный</v>
      </c>
      <c r="O94" s="6" t="str">
        <f>IFERROR(__xludf.DUMMYFUNCTION("""COMPUTED_VALUE"""),"Внешний вид набережной, облагородить парки ")</f>
        <v>Внешний вид набережной, облагородить парки </v>
      </c>
      <c r="P94" s="6" t="str">
        <f>IFERROR(__xludf.DUMMYFUNCTION("""COMPUTED_VALUE"""),"вк, инстаграм")</f>
        <v>вк, инстаграм</v>
      </c>
      <c r="Q94"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бизнес-новости (средний чек/рекламные акции/запуск новых предприятий), результаты мест"&amp;"ных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94" s="6" t="str">
        <f>IFERROR(__xludf.DUMMYFUNCTION("""COMPUTED_VALUE"""),"день города")</f>
        <v>день города</v>
      </c>
      <c r="S94" s="6" t="str">
        <f>IFERROR(__xludf.DUMMYFUNCTION("""COMPUTED_VALUE"""),"Писал и расклеивал объявления/афиши, Обращался в редакции электронных городских СМИ, Обращался в редакции городских газет, телевидения, радио")</f>
        <v>Писал и расклеивал объявления/афиши, Обращался в редакции электронных городских СМИ, Обращался в редакции городских газет, телевидения, радио</v>
      </c>
      <c r="T94" s="6" t="str">
        <f>IFERROR(__xludf.DUMMYFUNCTION("""COMPUTED_VALUE"""),"горнодобывающей промышленностью
")</f>
        <v>горнодобывающей промышленностью
</v>
      </c>
      <c r="U94" s="6" t="str">
        <f>IFERROR(__xludf.DUMMYFUNCTION("""COMPUTED_VALUE"""),"Площадь Советов")</f>
        <v>Площадь Советов</v>
      </c>
      <c r="V94" s="6" t="str">
        <f>IFERROR(__xludf.DUMMYFUNCTION("""COMPUTED_VALUE"""),"Развитием культуры города. ")</f>
        <v>Развитием культуры города. </v>
      </c>
      <c r="W94" s="6" t="str">
        <f>IFERROR(__xludf.DUMMYFUNCTION("""COMPUTED_VALUE"""),"Отзывчивые, добрые, неравнодушные.")</f>
        <v>Отзывчивые, добрые, неравнодушные.</v>
      </c>
      <c r="X94" s="6" t="str">
        <f>IFERROR(__xludf.DUMMYFUNCTION("""COMPUTED_VALUE"""),"лесная поляна")</f>
        <v>лесная поляна</v>
      </c>
      <c r="Y94" s="6" t="str">
        <f>IFERROR(__xludf.DUMMYFUNCTION("""COMPUTED_VALUE"""),"В 2017 году город Кемерово занял 10 место в рейтинге лучших городов по качеству жизни")</f>
        <v>В 2017 году город Кемерово занял 10 место в рейтинге лучших городов по качеству жизни</v>
      </c>
      <c r="Z94" s="6" t="str">
        <f>IFERROR(__xludf.DUMMYFUNCTION("""COMPUTED_VALUE"""),"рок фестиваль")</f>
        <v>рок фестиваль</v>
      </c>
      <c r="AA94" s="6" t="str">
        <f>IFERROR(__xludf.DUMMYFUNCTION("""COMPUTED_VALUE"""),"Пожар вТЦ Зимняя Вишня(3 года назад)")</f>
        <v>Пожар вТЦ Зимняя Вишня(3 года назад)</v>
      </c>
      <c r="AB94" s="6" t="str">
        <f>IFERROR(__xludf.DUMMYFUNCTION("""COMPUTED_VALUE"""),".")</f>
        <v>.</v>
      </c>
      <c r="AC94" s="6" t="str">
        <f>IFERROR(__xludf.DUMMYFUNCTION("""COMPUTED_VALUE"""),"Концерты. В летнее время года оборудовать больше мест для отдыха.  ")</f>
        <v>Концерты. В летнее время года оборудовать больше мест для отдыха.  </v>
      </c>
      <c r="AD94" s="6" t="str">
        <f>IFERROR(__xludf.DUMMYFUNCTION("""COMPUTED_VALUE"""),"роль сложно сказать, но бы с удовольствием поучаствовала в развитии города")</f>
        <v>роль сложно сказать, но бы с удовольствием поучаствовала в развитии города</v>
      </c>
      <c r="AE94" s="6" t="str">
        <f>IFERROR(__xludf.DUMMYFUNCTION("""COMPUTED_VALUE"""),"Женский")</f>
        <v>Женский</v>
      </c>
      <c r="AF94" s="6" t="str">
        <f>IFERROR(__xludf.DUMMYFUNCTION("""COMPUTED_VALUE"""),"30-44")</f>
        <v>30-44</v>
      </c>
      <c r="AG94" s="6"/>
      <c r="AH94" s="6"/>
      <c r="AI94" s="6"/>
      <c r="AJ94" s="6"/>
      <c r="AK94" s="6"/>
      <c r="AL94" s="6"/>
      <c r="AM94" s="6"/>
    </row>
    <row r="95">
      <c r="A95" s="4">
        <v>94.0</v>
      </c>
      <c r="B95" s="6" t="str">
        <f>IFERROR(__xludf.DUMMYFUNCTION("""COMPUTED_VALUE"""),"Продажи")</f>
        <v>Продажи</v>
      </c>
      <c r="C95" s="6" t="str">
        <f>IFERROR(__xludf.DUMMYFUNCTION("""COMPUTED_VALUE"""),"Спорт")</f>
        <v>Спорт</v>
      </c>
      <c r="D95" s="6" t="str">
        <f>IFERROR(__xludf.DUMMYFUNCTION("""COMPUTED_VALUE"""),"Радуга")</f>
        <v>Радуга</v>
      </c>
      <c r="E95" s="6" t="str">
        <f>IFERROR(__xludf.DUMMYFUNCTION("""COMPUTED_VALUE"""),"не знаю")</f>
        <v>не знаю</v>
      </c>
      <c r="F95" s="6" t="str">
        <f>IFERROR(__xludf.DUMMYFUNCTION("""COMPUTED_VALUE"""),"Живу здесь с рождения")</f>
        <v>Живу здесь с рождения</v>
      </c>
      <c r="G95" s="6" t="str">
        <f>IFERROR(__xludf.DUMMYFUNCTION("""COMPUTED_VALUE"""),"Парк")</f>
        <v>Парк</v>
      </c>
      <c r="H95" s="6" t="str">
        <f>IFERROR(__xludf.DUMMYFUNCTION("""COMPUTED_VALUE"""),"Родной, красивый, домашний,спортивный,значимый")</f>
        <v>Родной, красивый, домашний,спортивный,значимый</v>
      </c>
      <c r="I95" s="6" t="str">
        <f>IFERROR(__xludf.DUMMYFUNCTION("""COMPUTED_VALUE"""),"Владимир, Евгений")</f>
        <v>Владимир, Евгений</v>
      </c>
      <c r="J95" s="6" t="str">
        <f>IFERROR(__xludf.DUMMYFUNCTION("""COMPUTED_VALUE"""),"Алексей Леонов, Гагарин Юрий,Терешкова Валентина")</f>
        <v>Алексей Леонов, Гагарин Юрий,Терешкова Валентина</v>
      </c>
      <c r="K95" s="6" t="str">
        <f>IFERROR(__xludf.DUMMYFUNCTION("""COMPUTED_VALUE"""),"Мемориал Славы воинов-кузбассовцев, Площадь советов, Часовня в честь иконы Божией Матери ""Всех скорбящих радость""")</f>
        <v>Мемориал Славы воинов-кузбассовцев, Площадь советов, Часовня в честь иконы Божией Матери "Всех скорбящих радость"</v>
      </c>
      <c r="L95" s="6" t="str">
        <f>IFERROR(__xludf.DUMMYFUNCTION("""COMPUTED_VALUE"""),"""Человека из Кемерово"", притча про медведей")</f>
        <v>"Человека из Кемерово", притча про медведей</v>
      </c>
      <c r="M95" s="6" t="str">
        <f>IFERROR(__xludf.DUMMYFUNCTION("""COMPUTED_VALUE"""),"нет")</f>
        <v>нет</v>
      </c>
      <c r="N95" s="6" t="str">
        <f>IFERROR(__xludf.DUMMYFUNCTION("""COMPUTED_VALUE"""),"Безопасный, благоприятная среда")</f>
        <v>Безопасный, благоприятная среда</v>
      </c>
      <c r="O95" s="6" t="str">
        <f>IFERROR(__xludf.DUMMYFUNCTION("""COMPUTED_VALUE"""),"Благоустройство жилых домов, дорог,")</f>
        <v>Благоустройство жилых домов, дорог,</v>
      </c>
      <c r="P95" s="6" t="str">
        <f>IFERROR(__xludf.DUMMYFUNCTION("""COMPUTED_VALUE"""),"Канал стс, кавер, а42")</f>
        <v>Канал стс, кавер, а42</v>
      </c>
      <c r="Q95"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95" s="6" t="str">
        <f>IFERROR(__xludf.DUMMYFUNCTION("""COMPUTED_VALUE"""),"Спортивные")</f>
        <v>Спортивные</v>
      </c>
      <c r="S95" s="6" t="str">
        <f>IFERROR(__xludf.DUMMYFUNCTION("""COMPUTED_VALUE"""),"Нет, не приходилось, Делал рассылку по электронной почте")</f>
        <v>Нет, не приходилось, Делал рассылку по электронной почте</v>
      </c>
      <c r="T95" s="6" t="str">
        <f>IFERROR(__xludf.DUMMYFUNCTION("""COMPUTED_VALUE"""),"Горнодобывающая промышленность и памятники с этой тематикой")</f>
        <v>Горнодобывающая промышленность и памятники с этой тематикой</v>
      </c>
      <c r="U95" s="6" t="str">
        <f>IFERROR(__xludf.DUMMYFUNCTION("""COMPUTED_VALUE"""),"Площадь советов")</f>
        <v>Площадь советов</v>
      </c>
      <c r="V95" s="6" t="str">
        <f>IFERROR(__xludf.DUMMYFUNCTION("""COMPUTED_VALUE"""),"Берегли и благоустраивали")</f>
        <v>Берегли и благоустраивали</v>
      </c>
      <c r="W95" s="6" t="str">
        <f>IFERROR(__xludf.DUMMYFUNCTION("""COMPUTED_VALUE"""),"Радушные, красивые")</f>
        <v>Радушные, красивые</v>
      </c>
      <c r="X95" s="6" t="str">
        <f>IFERROR(__xludf.DUMMYFUNCTION("""COMPUTED_VALUE"""),"Проспект Советский")</f>
        <v>Проспект Советский</v>
      </c>
      <c r="Y95" s="6" t="str">
        <f>IFERROR(__xludf.DUMMYFUNCTION("""COMPUTED_VALUE"""),"Переименований из Щегловска")</f>
        <v>Переименований из Щегловска</v>
      </c>
      <c r="Z95" s="6" t="str">
        <f>IFERROR(__xludf.DUMMYFUNCTION("""COMPUTED_VALUE"""),"Грелка фест, Шерегеш Спуск с горы в купальниках")</f>
        <v>Грелка фест, Шерегеш Спуск с горы в купальниках</v>
      </c>
      <c r="AA95" s="6" t="str">
        <f>IFERROR(__xludf.DUMMYFUNCTION("""COMPUTED_VALUE"""),"Пожар в ТЦ Зимняя Вишня")</f>
        <v>Пожар в ТЦ Зимняя Вишня</v>
      </c>
      <c r="AB95" s="6" t="str">
        <f>IFERROR(__xludf.DUMMYFUNCTION("""COMPUTED_VALUE"""),"незнаю")</f>
        <v>незнаю</v>
      </c>
      <c r="AC95" s="6" t="str">
        <f>IFERROR(__xludf.DUMMYFUNCTION("""COMPUTED_VALUE"""),"Развлекательных и оздоровительных проектов")</f>
        <v>Развлекательных и оздоровительных проектов</v>
      </c>
      <c r="AD95" s="6" t="str">
        <f>IFERROR(__xludf.DUMMYFUNCTION("""COMPUTED_VALUE"""),"Роль активного лушателя")</f>
        <v>Роль активного лушателя</v>
      </c>
      <c r="AE95" s="6" t="str">
        <f>IFERROR(__xludf.DUMMYFUNCTION("""COMPUTED_VALUE"""),"Женский")</f>
        <v>Женский</v>
      </c>
      <c r="AF95" s="6" t="str">
        <f>IFERROR(__xludf.DUMMYFUNCTION("""COMPUTED_VALUE"""),"30-44")</f>
        <v>30-44</v>
      </c>
      <c r="AG95" s="6"/>
      <c r="AH95" s="6"/>
      <c r="AI95" s="6"/>
      <c r="AJ95" s="6"/>
      <c r="AK95" s="6"/>
      <c r="AL95" s="6"/>
      <c r="AM95" s="6"/>
    </row>
    <row r="96">
      <c r="A96" s="4">
        <v>95.0</v>
      </c>
      <c r="B96" s="6" t="str">
        <f>IFERROR(__xludf.DUMMYFUNCTION("""COMPUTED_VALUE"""),"специалист по продажам , подключением новых абонентов ")</f>
        <v>специалист по продажам , подключением новых абонентов </v>
      </c>
      <c r="C96" s="6" t="str">
        <f>IFERROR(__xludf.DUMMYFUNCTION("""COMPUTED_VALUE"""),"читаю")</f>
        <v>читаю</v>
      </c>
      <c r="D96" s="6" t="str">
        <f>IFERROR(__xludf.DUMMYFUNCTION("""COMPUTED_VALUE"""),"рудничный , радуга ")</f>
        <v>рудничный , радуга </v>
      </c>
      <c r="E96" s="6" t="str">
        <f>IFERROR(__xludf.DUMMYFUNCTION("""COMPUTED_VALUE"""),"сосновый бор ")</f>
        <v>сосновый бор </v>
      </c>
      <c r="F96" s="6" t="str">
        <f>IFERROR(__xludf.DUMMYFUNCTION("""COMPUTED_VALUE"""),"Живу здесь с рождения")</f>
        <v>Живу здесь с рождения</v>
      </c>
      <c r="G96" s="6" t="str">
        <f>IFERROR(__xludf.DUMMYFUNCTION("""COMPUTED_VALUE"""),"набережная ,бор ")</f>
        <v>набережная ,бор </v>
      </c>
      <c r="H96" s="6" t="str">
        <f>IFERROR(__xludf.DUMMYFUNCTION("""COMPUTED_VALUE"""),"кузнецкий , шахтерский , великий , дружный , сибирский")</f>
        <v>кузнецкий , шахтерский , великий , дружный , сибирский</v>
      </c>
      <c r="I96" s="6" t="str">
        <f>IFERROR(__xludf.DUMMYFUNCTION("""COMPUTED_VALUE"""),"Геннадий Юров ")</f>
        <v>Геннадий Юров </v>
      </c>
      <c r="J96" s="6" t="str">
        <f>IFERROR(__xludf.DUMMYFUNCTION("""COMPUTED_VALUE"""),"Аман Гумирович Тулеев")</f>
        <v>Аман Гумирович Тулеев</v>
      </c>
      <c r="K96" s="6" t="str">
        <f>IFERROR(__xludf.DUMMYFUNCTION("""COMPUTED_VALUE"""),"томскую писаницу ")</f>
        <v>томскую писаницу </v>
      </c>
      <c r="L96" s="6" t="str">
        <f>IFERROR(__xludf.DUMMYFUNCTION("""COMPUTED_VALUE"""),"мы Кузбасс и этим гордимся !")</f>
        <v>мы Кузбасс и этим гордимся !</v>
      </c>
      <c r="M96" s="6" t="str">
        <f>IFERROR(__xludf.DUMMYFUNCTION("""COMPUTED_VALUE"""),"кузнецкий мост ")</f>
        <v>кузнецкий мост </v>
      </c>
      <c r="N96" s="6" t="str">
        <f>IFERROR(__xludf.DUMMYFUNCTION("""COMPUTED_VALUE"""),"добрые люди , природа , все рядом , забота о жителях ,уютный город")</f>
        <v>добрые люди , природа , все рядом , забота о жителях ,уютный город</v>
      </c>
      <c r="O96" s="6" t="str">
        <f>IFERROR(__xludf.DUMMYFUNCTION("""COMPUTED_VALUE"""),"побольше рабочих мест сделать ")</f>
        <v>побольше рабочих мест сделать </v>
      </c>
      <c r="P96" s="6" t="str">
        <f>IFERROR(__xludf.DUMMYFUNCTION("""COMPUTED_VALUE"""),"от социальных сетей и пабликов ")</f>
        <v>от социальных сетей и пабликов </v>
      </c>
      <c r="Q96" s="6" t="str">
        <f>IFERROR(__xludf.DUMMYFUNCTION("""COMPUTED_VALUE"""),"куда пойти в свободное время, интервью с местными творческими личностями, криминальные новости (происшествия/преступления)")</f>
        <v>куда пойти в свободное время, интервью с местными творческими личностями, криминальные новости (происшествия/преступления)</v>
      </c>
      <c r="R96" s="6" t="str">
        <f>IFERROR(__xludf.DUMMYFUNCTION("""COMPUTED_VALUE"""),"день города и 9 мая ")</f>
        <v>день города и 9 мая </v>
      </c>
      <c r="S96" s="6" t="str">
        <f>IFERROR(__xludf.DUMMYFUNCTION("""COMPUTED_VALUE"""),"Делал рассылку по электронной почте")</f>
        <v>Делал рассылку по электронной почте</v>
      </c>
      <c r="T96" s="6" t="str">
        <f>IFERROR(__xludf.DUMMYFUNCTION("""COMPUTED_VALUE"""),"шахтерская столица ")</f>
        <v>шахтерская столица </v>
      </c>
      <c r="U96" s="6" t="str">
        <f>IFERROR(__xludf.DUMMYFUNCTION("""COMPUTED_VALUE"""),"площадь совета ")</f>
        <v>площадь совета </v>
      </c>
      <c r="V96" s="6" t="str">
        <f>IFERROR(__xludf.DUMMYFUNCTION("""COMPUTED_VALUE"""),"сопровождали угольную промышленность ")</f>
        <v>сопровождали угольную промышленность </v>
      </c>
      <c r="W96" s="6" t="str">
        <f>IFERROR(__xludf.DUMMYFUNCTION("""COMPUTED_VALUE"""),"открытые и добрые ")</f>
        <v>открытые и добрые </v>
      </c>
      <c r="X96" s="6" t="str">
        <f>IFERROR(__xludf.DUMMYFUNCTION("""COMPUTED_VALUE"""),"набережная")</f>
        <v>набережная</v>
      </c>
      <c r="Y96" s="6" t="str">
        <f>IFERROR(__xludf.DUMMYFUNCTION("""COMPUTED_VALUE"""),"открытие самой дорогой елки ")</f>
        <v>открытие самой дорогой елки </v>
      </c>
      <c r="Z96" s="6" t="str">
        <f>IFERROR(__xludf.DUMMYFUNCTION("""COMPUTED_VALUE"""),"новый год")</f>
        <v>новый год</v>
      </c>
      <c r="AA96" s="6" t="str">
        <f>IFERROR(__xludf.DUMMYFUNCTION("""COMPUTED_VALUE"""),"трагедия зимний вишни ")</f>
        <v>трагедия зимний вишни </v>
      </c>
      <c r="AB96" s="6" t="str">
        <f>IFERROR(__xludf.DUMMYFUNCTION("""COMPUTED_VALUE"""),"молодежное движение мероприятий ")</f>
        <v>молодежное движение мероприятий </v>
      </c>
      <c r="AC96" s="6" t="str">
        <f>IFERROR(__xludf.DUMMYFUNCTION("""COMPUTED_VALUE"""),"больше танцев и песен ")</f>
        <v>больше танцев и песен </v>
      </c>
      <c r="AD96" s="6" t="str">
        <f>IFERROR(__xludf.DUMMYFUNCTION("""COMPUTED_VALUE"""),"в любой ")</f>
        <v>в любой </v>
      </c>
      <c r="AE96" s="6" t="str">
        <f>IFERROR(__xludf.DUMMYFUNCTION("""COMPUTED_VALUE"""),"Женский")</f>
        <v>Женский</v>
      </c>
      <c r="AF96" s="6" t="str">
        <f>IFERROR(__xludf.DUMMYFUNCTION("""COMPUTED_VALUE"""),"30-44")</f>
        <v>30-44</v>
      </c>
      <c r="AG96" s="6"/>
      <c r="AH96" s="6"/>
      <c r="AI96" s="6"/>
      <c r="AJ96" s="6"/>
      <c r="AK96" s="6"/>
      <c r="AL96" s="6"/>
      <c r="AM96" s="6"/>
    </row>
    <row r="97">
      <c r="A97" s="4">
        <v>96.0</v>
      </c>
      <c r="B97" s="6" t="str">
        <f>IFERROR(__xludf.DUMMYFUNCTION("""COMPUTED_VALUE"""),"Абонентское обслуживание и продажи ")</f>
        <v>Абонентское обслуживание и продажи </v>
      </c>
      <c r="C97" s="6" t="str">
        <f>IFERROR(__xludf.DUMMYFUNCTION("""COMPUTED_VALUE"""),"Ходить пешком , готовить, читать ")</f>
        <v>Ходить пешком , готовить, читать </v>
      </c>
      <c r="D97" s="6" t="str">
        <f>IFERROR(__xludf.DUMMYFUNCTION("""COMPUTED_VALUE"""),"Рудничный район . Радуга")</f>
        <v>Рудничный район . Радуга</v>
      </c>
      <c r="E97" s="6" t="str">
        <f>IFERROR(__xludf.DUMMYFUNCTION("""COMPUTED_VALUE"""),"Сосновый бор")</f>
        <v>Сосновый бор</v>
      </c>
      <c r="F97" s="6" t="str">
        <f>IFERROR(__xludf.DUMMYFUNCTION("""COMPUTED_VALUE"""),"Живу здесь с рождения")</f>
        <v>Живу здесь с рождения</v>
      </c>
      <c r="G97" s="6" t="str">
        <f>IFERROR(__xludf.DUMMYFUNCTION("""COMPUTED_VALUE"""),"Чаще всего за город,на дачу или выезжаем на природу. Если в городе то Центр, Бульвар Строителей.")</f>
        <v>Чаще всего за город,на дачу или выезжаем на природу. Если в городе то Центр, Бульвар Строителей.</v>
      </c>
      <c r="H97" s="6" t="str">
        <f>IFERROR(__xludf.DUMMYFUNCTION("""COMPUTED_VALUE"""),"""Зеленый город"", в то же время Серый, Пробки и проблемы с парковочными местами , загазованный.")</f>
        <v>"Зеленый город", в то же время Серый, Пробки и проблемы с парковочными местами , загазованный.</v>
      </c>
      <c r="I97" s="6" t="str">
        <f>IFERROR(__xludf.DUMMYFUNCTION("""COMPUTED_VALUE"""),"Леонов , Вера Волошина")</f>
        <v>Леонов , Вера Волошина</v>
      </c>
      <c r="J97" s="6" t="str">
        <f>IFERROR(__xludf.DUMMYFUNCTION("""COMPUTED_VALUE"""),"Нет ответа на этот вопрос")</f>
        <v>Нет ответа на этот вопрос</v>
      </c>
      <c r="K97" s="6" t="str">
        <f>IFERROR(__xludf.DUMMYFUNCTION("""COMPUTED_VALUE"""),"Увезла бы на Лестную поляну погулять или около Кадетского корпуса ")</f>
        <v>Увезла бы на Лестную поляну погулять или около Кадетского корпуса </v>
      </c>
      <c r="L97" s="6" t="str">
        <f>IFERROR(__xludf.DUMMYFUNCTION("""COMPUTED_VALUE"""),"Нет ответа на этот вопрос ")</f>
        <v>Нет ответа на этот вопрос </v>
      </c>
      <c r="M97" s="6" t="str">
        <f>IFERROR(__xludf.DUMMYFUNCTION("""COMPUTED_VALUE"""),"нет")</f>
        <v>нет</v>
      </c>
      <c r="N97" s="6" t="str">
        <f>IFERROR(__xludf.DUMMYFUNCTION("""COMPUTED_VALUE"""),"Чистый воздух, Чистые улицы и дороги , транспортная доступность , больше парков, мероприятий.")</f>
        <v>Чистый воздух, Чистые улицы и дороги , транспортная доступность , больше парков, мероприятий.</v>
      </c>
      <c r="O97" s="6" t="str">
        <f>IFERROR(__xludf.DUMMYFUNCTION("""COMPUTED_VALUE"""),"Фасады домов, особенно в центре города. Так же Детские сады,школы и поликлиники ")</f>
        <v>Фасады домов, особенно в центре города. Так же Детские сады,школы и поликлиники </v>
      </c>
      <c r="P97" s="6" t="str">
        <f>IFERROR(__xludf.DUMMYFUNCTION("""COMPUTED_VALUE"""),"Инстарграм , местные блогеры, рассказывают знакомые.")</f>
        <v>Инстарграм , местные блогеры, рассказывают знакомые.</v>
      </c>
      <c r="Q97"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97" s="6" t="str">
        <f>IFERROR(__xludf.DUMMYFUNCTION("""COMPUTED_VALUE"""),"День города , 9 мая, День Шахтера, Новый год, День защиты детей ")</f>
        <v>День города , 9 мая, День Шахтера, Новый год, День защиты детей </v>
      </c>
      <c r="S97" s="6" t="str">
        <f>IFERROR(__xludf.DUMMYFUNCTION("""COMPUTED_VALUE"""),"Нет, не приходилось")</f>
        <v>Нет, не приходилось</v>
      </c>
      <c r="T97" s="6" t="str">
        <f>IFERROR(__xludf.DUMMYFUNCTION("""COMPUTED_VALUE"""),"Сердце Кузбасса.")</f>
        <v>Сердце Кузбасса.</v>
      </c>
      <c r="U97" s="6" t="str">
        <f>IFERROR(__xludf.DUMMYFUNCTION("""COMPUTED_VALUE"""),"Площадь Советов")</f>
        <v>Площадь Советов</v>
      </c>
      <c r="V97" s="6" t="str">
        <f>IFERROR(__xludf.DUMMYFUNCTION("""COMPUTED_VALUE"""),"Нет ответа на этот вопрос ")</f>
        <v>Нет ответа на этот вопрос </v>
      </c>
      <c r="W97" s="6" t="str">
        <f>IFERROR(__xludf.DUMMYFUNCTION("""COMPUTED_VALUE"""),"Опишу людей которые встречаются конкретно мне , тк негативных людей к себе не подпускаю, а они у нас есть и в большом количестве .
На моем пути добрые, отзывчивые люди, честные и открытые. Конечно у всех бывает плохое настроение и даже самый добрый челове"&amp;"к может взорваться. НО чаще всего именно такие люди встречаются. ")</f>
        <v>Опишу людей которые встречаются конкретно мне , тк негативных людей к себе не подпускаю, а они у нас есть и в большом количестве .
На моем пути добрые, отзывчивые люди, честные и открытые. Конечно у всех бывает плохое настроение и даже самый добрый человек может взорваться. НО чаще всего именно такие люди встречаются. </v>
      </c>
      <c r="X97" s="6" t="str">
        <f>IFERROR(__xludf.DUMMYFUNCTION("""COMPUTED_VALUE"""),"Через бор на Крест где открывается вид на весь город. ")</f>
        <v>Через бор на Крест где открывается вид на весь город. </v>
      </c>
      <c r="Y97" s="6" t="str">
        <f>IFERROR(__xludf.DUMMYFUNCTION("""COMPUTED_VALUE"""),"Нет ответа на этот вопрос. Мероприятия разного рода проходят , какого то супер запоминающегося не могу вспомнить .")</f>
        <v>Нет ответа на этот вопрос. Мероприятия разного рода проходят , какого то супер запоминающегося не могу вспомнить .</v>
      </c>
      <c r="Z97" s="6" t="str">
        <f>IFERROR(__xludf.DUMMYFUNCTION("""COMPUTED_VALUE"""),"Концерт ко дню города на площади Советов ")</f>
        <v>Концерт ко дню города на площади Советов </v>
      </c>
      <c r="AA97" s="6" t="str">
        <f>IFERROR(__xludf.DUMMYFUNCTION("""COMPUTED_VALUE"""),"Обрушение потолка в Детском саду на Притомском проспекте ")</f>
        <v>Обрушение потолка в Детском саду на Притомском проспекте </v>
      </c>
      <c r="AB97" s="6" t="str">
        <f>IFERROR(__xludf.DUMMYFUNCTION("""COMPUTED_VALUE"""),"Нет ответа на этот вопрос, нет времени участвовать в сообществах и не знаю какие сейчас есть в нашем городе.")</f>
        <v>Нет ответа на этот вопрос, нет времени участвовать в сообществах и не знаю какие сейчас есть в нашем городе.</v>
      </c>
      <c r="AC97" s="6" t="str">
        <f>IFERROR(__xludf.DUMMYFUNCTION("""COMPUTED_VALUE"""),"Концерты и массовые мероприятия  на площади ")</f>
        <v>Концерты и массовые мероприятия  на площади </v>
      </c>
      <c r="AD97" s="6" t="str">
        <f>IFERROR(__xludf.DUMMYFUNCTION("""COMPUTED_VALUE"""),"Организатора")</f>
        <v>Организатора</v>
      </c>
      <c r="AE97" s="6" t="str">
        <f>IFERROR(__xludf.DUMMYFUNCTION("""COMPUTED_VALUE"""),"Женский")</f>
        <v>Женский</v>
      </c>
      <c r="AF97" s="6" t="str">
        <f>IFERROR(__xludf.DUMMYFUNCTION("""COMPUTED_VALUE"""),"18-29")</f>
        <v>18-29</v>
      </c>
      <c r="AG97" s="6"/>
      <c r="AH97" s="6"/>
      <c r="AI97" s="6"/>
      <c r="AJ97" s="6"/>
      <c r="AK97" s="6"/>
      <c r="AL97" s="6"/>
      <c r="AM97" s="6"/>
    </row>
    <row r="98">
      <c r="A98" s="4">
        <v>97.0</v>
      </c>
      <c r="B98" s="6" t="str">
        <f>IFERROR(__xludf.DUMMYFUNCTION("""COMPUTED_VALUE"""),"Работаю менеджером по продажам")</f>
        <v>Работаю менеджером по продажам</v>
      </c>
      <c r="C98" s="6" t="str">
        <f>IFERROR(__xludf.DUMMYFUNCTION("""COMPUTED_VALUE"""),"Да. Фотография")</f>
        <v>Да. Фотография</v>
      </c>
      <c r="D98" s="6" t="str">
        <f>IFERROR(__xludf.DUMMYFUNCTION("""COMPUTED_VALUE"""),"Рудничный. Называю Радуга")</f>
        <v>Рудничный. Называю Радуга</v>
      </c>
      <c r="E98" s="6" t="str">
        <f>IFERROR(__xludf.DUMMYFUNCTION("""COMPUTED_VALUE"""),"Сосновый бор, ТЦ Север, ТЦ Радуга, ТЦ Рио, Макдональдс, офис на Бакинском)")</f>
        <v>Сосновый бор, ТЦ Север, ТЦ Радуга, ТЦ Рио, Макдональдс, офис на Бакинском)</v>
      </c>
      <c r="F98" s="6" t="str">
        <f>IFERROR(__xludf.DUMMYFUNCTION("""COMPUTED_VALUE"""),"Живу здесь с рождения")</f>
        <v>Живу здесь с рождения</v>
      </c>
      <c r="G98" s="6" t="str">
        <f>IFERROR(__xludf.DUMMYFUNCTION("""COMPUTED_VALUE"""),"В Сосновый бор, гора Люскус, ботанический сад, в гости (люблю проводить время именно в домашней обстановке), концерты, изредка в заведения (разные, любимого нет)")</f>
        <v>В Сосновый бор, гора Люскус, ботанический сад, в гости (люблю проводить время именно в домашней обстановке), концерты, изредка в заведения (разные, любимого нет)</v>
      </c>
      <c r="H98" s="6" t="str">
        <f>IFERROR(__xludf.DUMMYFUNCTION("""COMPUTED_VALUE"""),"вонь, пыль, грязь, провинция, серость, уют, родина")</f>
        <v>вонь, пыль, грязь, провинция, серость, уют, родина</v>
      </c>
      <c r="I98" s="6" t="str">
        <f>IFERROR(__xludf.DUMMYFUNCTION("""COMPUTED_VALUE"""),"Леонов А.А., Мартемьянов В.Д, Подгорбунский М.А., Фёдоров В.Д., Михайло Волков, Вера Волошина")</f>
        <v>Леонов А.А., Мартемьянов В.Д, Подгорбунский М.А., Фёдоров В.Д., Михайло Волков, Вера Волошина</v>
      </c>
      <c r="J98" s="6" t="str">
        <f>IFERROR(__xludf.DUMMYFUNCTION("""COMPUTED_VALUE"""),"Гришковец Е.В., Сухацкий Владимир, Барбараш Л.С.")</f>
        <v>Гришковец Е.В., Сухацкий Владимир, Барбараш Л.С.</v>
      </c>
      <c r="K98" s="6" t="str">
        <f>IFERROR(__xludf.DUMMYFUNCTION("""COMPUTED_VALUE"""),"Сосновый бор, Красная горка, площадь Советов, улица Весенняя, Набережная, памятник Шахтерам, ботанический сад, парк Ангелов, Томская Писаница, Шерегеш")</f>
        <v>Сосновый бор, Красная горка, площадь Советов, улица Весенняя, Набережная, памятник Шахтерам, ботанический сад, парк Ангелов, Томская Писаница, Шерегеш</v>
      </c>
      <c r="L98" s="6" t="str">
        <f>IFERROR(__xludf.DUMMYFUNCTION("""COMPUTED_VALUE"""),"истории про кировский район и гоп-стоп в нем")</f>
        <v>истории про кировский район и гоп-стоп в нем</v>
      </c>
      <c r="M98" s="6" t="str">
        <f>IFERROR(__xludf.DUMMYFUNCTION("""COMPUTED_VALUE"""),"не знаю")</f>
        <v>не знаю</v>
      </c>
      <c r="N98" s="6" t="str">
        <f>IFERROR(__xludf.DUMMYFUNCTION("""COMPUTED_VALUE"""),"метро, развитая инфраструктура, хорошие дороги, много культурных мероприятий с приезжими артистами, интересная архитектура")</f>
        <v>метро, развитая инфраструктура, хорошие дороги, много культурных мероприятий с приезжими артистами, интересная архитектура</v>
      </c>
      <c r="O98" s="6" t="str">
        <f>IFERROR(__xludf.DUMMYFUNCTION("""COMPUTED_VALUE"""),"дороги, построить еще один мост, больше интересных архитектурных решений, метро (которого никогда не будет), не трогать Сосновый бор, больше велосипедных дорожек! Настоящих, а не нарисованных по колодцам и только на проспекте Ленина, убрать грязь с дорог,"&amp;" штрафовать по-настоящему собачников за грязь")</f>
        <v>дороги, построить еще один мост, больше интересных архитектурных решений, метро (которого никогда не будет), не трогать Сосновый бор, больше велосипедных дорожек! Настоящих, а не нарисованных по колодцам и только на проспекте Ленина, убрать грязь с дорог, штрафовать по-настоящему собачников за грязь</v>
      </c>
      <c r="P98" s="6" t="str">
        <f>IFERROR(__xludf.DUMMYFUNCTION("""COMPUTED_VALUE"""),"А42")</f>
        <v>А42</v>
      </c>
      <c r="Q98" s="6" t="str">
        <f>IFERROR(__xludf.DUMMYFUNCTION("""COMPUTED_VALUE"""),"культурные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f>
        <v>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v>
      </c>
      <c r="R98" s="6" t="str">
        <f>IFERROR(__xludf.DUMMYFUNCTION("""COMPUTED_VALUE"""),"День города, день 9 мая, день Шахтера, Новый год - все праздники ценны")</f>
        <v>День города, день 9 мая, день Шахтера, Новый год - все праздники ценны</v>
      </c>
      <c r="S98" s="6" t="str">
        <f>IFERROR(__xludf.DUMMYFUNCTION("""COMPUTED_VALUE"""),"Нет, не приходилось")</f>
        <v>Нет, не приходилось</v>
      </c>
      <c r="T98" s="6" t="str">
        <f>IFERROR(__xludf.DUMMYFUNCTION("""COMPUTED_VALUE"""),"Печально знаменит трагедией в Зимней вишне. Уникального? Сосновый бор, музей Красная горка, Томская писаница")</f>
        <v>Печально знаменит трагедией в Зимней вишне. Уникального? Сосновый бор, музей Красная горка, Томская писаница</v>
      </c>
      <c r="U98" s="6" t="str">
        <f>IFERROR(__xludf.DUMMYFUNCTION("""COMPUTED_VALUE"""),"Площадь Советов, Драм Театр, ул. Весенняя")</f>
        <v>Площадь Советов, Драм Театр, ул. Весенняя</v>
      </c>
      <c r="V98" s="6" t="str">
        <f>IFERROR(__xludf.DUMMYFUNCTION("""COMPUTED_VALUE"""),"много работали, погружаясь в дело с головой и мечтали о большем, чем просто поесть и жить ""по-человечески""")</f>
        <v>много работали, погружаясь в дело с головой и мечтали о большем, чем просто поесть и жить "по-человечески"</v>
      </c>
      <c r="W98" s="6" t="str">
        <f>IFERROR(__xludf.DUMMYFUNCTION("""COMPUTED_VALUE"""),"Злые, серые, бездушные, безразличные")</f>
        <v>Злые, серые, бездушные, безразличные</v>
      </c>
      <c r="X98" s="6" t="str">
        <f>IFERROR(__xludf.DUMMYFUNCTION("""COMPUTED_VALUE"""),"ул Дзержинского-Парк Ангелов-50 лет Октября-Весенняя-Парк Чудес-Набережная-Филармония-Советский-Университетский мост Или после Парка Чудес на Кузнецкий мост и в бор")</f>
        <v>ул Дзержинского-Парк Ангелов-50 лет Октября-Весенняя-Парк Чудес-Набережная-Филармония-Советский-Университетский мост Или после Парка Чудес на Кузнецкий мост и в бор</v>
      </c>
      <c r="Y98" s="6" t="str">
        <f>IFERROR(__xludf.DUMMYFUNCTION("""COMPUTED_VALUE"""),"Бэнди 2007")</f>
        <v>Бэнди 2007</v>
      </c>
      <c r="Z98" s="6" t="str">
        <f>IFERROR(__xludf.DUMMYFUNCTION("""COMPUTED_VALUE"""),"Герои мирового рока")</f>
        <v>Герои мирового рока</v>
      </c>
      <c r="AA98" s="6" t="str">
        <f>IFERROR(__xludf.DUMMYFUNCTION("""COMPUTED_VALUE"""),"Бездействие полиции при убийстве Веры Пехтелевой")</f>
        <v>Бездействие полиции при убийстве Веры Пехтелевой</v>
      </c>
      <c r="AB98" s="6" t="str">
        <f>IFERROR(__xludf.DUMMYFUNCTION("""COMPUTED_VALUE"""),"Позитивных")</f>
        <v>Позитивных</v>
      </c>
      <c r="AC98" s="6" t="str">
        <f>IFERROR(__xludf.DUMMYFUNCTION("""COMPUTED_VALUE"""),"Концерты нормальных исполнителей, больше интересных спортивных мероприятий")</f>
        <v>Концерты нормальных исполнителей, больше интересных спортивных мероприятий</v>
      </c>
      <c r="AD98" s="6" t="str">
        <f>IFERROR(__xludf.DUMMYFUNCTION("""COMPUTED_VALUE"""),"в роли наблюдателя")</f>
        <v>в роли наблюдателя</v>
      </c>
      <c r="AE98" s="6" t="str">
        <f>IFERROR(__xludf.DUMMYFUNCTION("""COMPUTED_VALUE"""),"Женский")</f>
        <v>Женский</v>
      </c>
      <c r="AF98" s="6" t="str">
        <f>IFERROR(__xludf.DUMMYFUNCTION("""COMPUTED_VALUE"""),"30-44")</f>
        <v>30-44</v>
      </c>
      <c r="AG98" s="6"/>
      <c r="AH98" s="6"/>
      <c r="AI98" s="6"/>
      <c r="AJ98" s="6"/>
      <c r="AK98" s="6"/>
      <c r="AL98" s="6"/>
      <c r="AM98" s="6"/>
    </row>
    <row r="99">
      <c r="A99" s="4">
        <v>98.0</v>
      </c>
      <c r="B99" s="6" t="str">
        <f>IFERROR(__xludf.DUMMYFUNCTION("""COMPUTED_VALUE"""),"Сертификация и испытания")</f>
        <v>Сертификация и испытания</v>
      </c>
      <c r="C99" s="6" t="str">
        <f>IFERROR(__xludf.DUMMYFUNCTION("""COMPUTED_VALUE"""),"Кино и видеоигры")</f>
        <v>Кино и видеоигры</v>
      </c>
      <c r="D99" s="6" t="str">
        <f>IFERROR(__xludf.DUMMYFUNCTION("""COMPUTED_VALUE"""),"Лесная поляна")</f>
        <v>Лесная поляна</v>
      </c>
      <c r="E99" s="6" t="str">
        <f>IFERROR(__xludf.DUMMYFUNCTION("""COMPUTED_VALUE"""),"Парк Лесная сказка, Скульптура оленя, спуск по Осеннему б-ру")</f>
        <v>Парк Лесная сказка, Скульптура оленя, спуск по Осеннему б-ру</v>
      </c>
      <c r="F99" s="6" t="str">
        <f>IFERROR(__xludf.DUMMYFUNCTION("""COMPUTED_VALUE"""),"Живу здесь с рождения")</f>
        <v>Живу здесь с рождения</v>
      </c>
      <c r="G99" s="6" t="str">
        <f>IFERROR(__xludf.DUMMYFUNCTION("""COMPUTED_VALUE"""),"Гуляю по району проживания (наматываю шаги). На выходных могу выехать в центр города или в Ленинский район поближе к реке")</f>
        <v>Гуляю по району проживания (наматываю шаги). На выходных могу выехать в центр города или в Ленинский район поближе к реке</v>
      </c>
      <c r="H99" s="6" t="str">
        <f>IFERROR(__xludf.DUMMYFUNCTION("""COMPUTED_VALUE"""),"Молодой, маленький, скучный, зеленый")</f>
        <v>Молодой, маленький, скучный, зеленый</v>
      </c>
      <c r="I99" s="6" t="str">
        <f>IFERROR(__xludf.DUMMYFUNCTION("""COMPUTED_VALUE"""),"Не знаю")</f>
        <v>Не знаю</v>
      </c>
      <c r="J99" s="6" t="str">
        <f>IFERROR(__xludf.DUMMYFUNCTION("""COMPUTED_VALUE"""),"Евгений Гришковец, Дмитрий Петин, Алексей Левин")</f>
        <v>Евгений Гришковец, Дмитрий Петин, Алексей Левин</v>
      </c>
      <c r="K99" s="6" t="str">
        <f>IFERROR(__xludf.DUMMYFUNCTION("""COMPUTED_VALUE"""),"Набережная Кировского района, б-р Строителей, выход к Томи в районе Комсомольского проспекта, набережная в Центре города, старый Центр в целом, кинотеатры")</f>
        <v>Набережная Кировского района, б-р Строителей, выход к Томи в районе Комсомольского проспекта, набережная в Центре города, старый Центр в целом, кинотеатры</v>
      </c>
      <c r="L99" s="6" t="str">
        <f>IFERROR(__xludf.DUMMYFUNCTION("""COMPUTED_VALUE"""),"Не знаю")</f>
        <v>Не знаю</v>
      </c>
      <c r="M99" s="6" t="str">
        <f>IFERROR(__xludf.DUMMYFUNCTION("""COMPUTED_VALUE"""),"Мультифора")</f>
        <v>Мультифора</v>
      </c>
      <c r="N99" s="6" t="str">
        <f>IFERROR(__xludf.DUMMYFUNCTION("""COMPUTED_VALUE"""),"Экология, Безопасные и чистые дороги, Хороший общественный транспорт, Возможность трудоустройства, Перспективы для детей")</f>
        <v>Экология, Безопасные и чистые дороги, Хороший общественный транспорт, Возможность трудоустройства, Перспективы для детей</v>
      </c>
      <c r="O99" s="6" t="str">
        <f>IFERROR(__xludf.DUMMYFUNCTION("""COMPUTED_VALUE"""),"Пересмотреть то, как реализовывается проект Безопасные и качественные дороги, не стремиться к большому количеству полос, развивать общественный транспорт, модернизировать троллейбусы и трамваи (пути), что-то сделать со старым мостом в центре, сделать обог"&amp;"реваемые остановки общественного транспорта (особенно на отшибе города), сделать нормальные общественные туалеты, больше ивентов для молодежи - больше прощадок, помогать с организацией музыкальных фестивалей, кинофестивалей, начать обновление фасадов стар"&amp;"ых домов (покраска) (см. район ТЦ Лето), выработать дизайн-код города, навести порядок с вывесками (должны согласовываться в администрации города) и пр.")</f>
        <v>Пересмотреть то, как реализовывается проект Безопасные и качественные дороги, не стремиться к большому количеству полос, развивать общественный транспорт, модернизировать троллейбусы и трамваи (пути), что-то сделать со старым мостом в центре, сделать обогреваемые остановки общественного транспорта (особенно на отшибе города), сделать нормальные общественные туалеты, больше ивентов для молодежи - больше прощадок, помогать с организацией музыкальных фестивалей, кинофестивалей, начать обновление фасадов старых домов (покраска) (см. район ТЦ Лето), выработать дизайн-код города, навести порядок с вывесками (должны согласовываться в администрации города) и пр.</v>
      </c>
      <c r="P99" s="6" t="str">
        <f>IFERROR(__xludf.DUMMYFUNCTION("""COMPUTED_VALUE"""),"VK")</f>
        <v>VK</v>
      </c>
      <c r="Q99" s="6" t="str">
        <f>IFERROR(__xludf.DUMMYFUNCTION("""COMPUTED_VALUE"""),"городская афиша (кино/театр/концерты), значимые новости региона")</f>
        <v>городская афиша (кино/театр/концерты), значимые новости региона</v>
      </c>
      <c r="R99" s="6" t="str">
        <f>IFERROR(__xludf.DUMMYFUNCTION("""COMPUTED_VALUE"""),"9 мая, 12 июня, Новогодние праздники")</f>
        <v>9 мая, 12 июня, Новогодние праздники</v>
      </c>
      <c r="S99" s="6" t="str">
        <f>IFERROR(__xludf.DUMMYFUNCTION("""COMPUTED_VALUE"""),"Нет, не приходилось")</f>
        <v>Нет, не приходилось</v>
      </c>
      <c r="T99" s="6" t="str">
        <f>IFERROR(__xludf.DUMMYFUNCTION("""COMPUTED_VALUE"""),"Молодой город, Промышленность (в основном, химическая), Копикуз, Природа рядом")</f>
        <v>Молодой город, Промышленность (в основном, химическая), Копикуз, Природа рядом</v>
      </c>
      <c r="U99" s="6" t="str">
        <f>IFERROR(__xludf.DUMMYFUNCTION("""COMPUTED_VALUE"""),"Советский пр., ул. Весенняя и все прилегающие к ним улицы")</f>
        <v>Советский пр., ул. Весенняя и все прилегающие к ним улицы</v>
      </c>
      <c r="V99" s="6" t="str">
        <f>IFERROR(__xludf.DUMMYFUNCTION("""COMPUTED_VALUE"""),"Не заню")</f>
        <v>Не заню</v>
      </c>
      <c r="W99" s="6" t="str">
        <f>IFERROR(__xludf.DUMMYFUNCTION("""COMPUTED_VALUE"""),"Неразговорчивые, быдловатые")</f>
        <v>Неразговорчивые, быдловатые</v>
      </c>
      <c r="X99" s="6" t="str">
        <f>IFERROR(__xludf.DUMMYFUNCTION("""COMPUTED_VALUE"""),"Центр города (Набережная, Советский проспект, улица Весенняя)")</f>
        <v>Центр города (Набережная, Советский проспект, улица Весенняя)</v>
      </c>
      <c r="Y99" s="6" t="str">
        <f>IFERROR(__xludf.DUMMYFUNCTION("""COMPUTED_VALUE"""),"Не знаю")</f>
        <v>Не знаю</v>
      </c>
      <c r="Z99" s="6" t="str">
        <f>IFERROR(__xludf.DUMMYFUNCTION("""COMPUTED_VALUE"""),"Концерт Герои мирового рока (масштаб)")</f>
        <v>Концерт Герои мирового рока (масштаб)</v>
      </c>
      <c r="AA99" s="6" t="str">
        <f>IFERROR(__xludf.DUMMYFUNCTION("""COMPUTED_VALUE"""),"Зимняя вишня")</f>
        <v>Зимняя вишня</v>
      </c>
      <c r="AB99" s="6" t="str">
        <f>IFERROR(__xludf.DUMMYFUNCTION("""COMPUTED_VALUE"""),"Культурных (кино)")</f>
        <v>Культурных (кино)</v>
      </c>
      <c r="AC99" s="6" t="str">
        <f>IFERROR(__xludf.DUMMYFUNCTION("""COMPUTED_VALUE"""),"Культурные события для молодежи (кинофестивали, концерты инди-групп, общественные площадки для творчества и самовыражения)")</f>
        <v>Культурные события для молодежи (кинофестивали, концерты инди-групп, общественные площадки для творчества и самовыражения)</v>
      </c>
      <c r="AD99" s="6" t="str">
        <f>IFERROR(__xludf.DUMMYFUNCTION("""COMPUTED_VALUE"""),"Мозговой штурм, аналитика")</f>
        <v>Мозговой штурм, аналитика</v>
      </c>
      <c r="AE99" s="6" t="str">
        <f>IFERROR(__xludf.DUMMYFUNCTION("""COMPUTED_VALUE"""),"Мужской")</f>
        <v>Мужской</v>
      </c>
      <c r="AF99" s="6" t="str">
        <f>IFERROR(__xludf.DUMMYFUNCTION("""COMPUTED_VALUE"""),"30-44")</f>
        <v>30-44</v>
      </c>
      <c r="AG99" s="6"/>
      <c r="AH99" s="6"/>
      <c r="AI99" s="6"/>
      <c r="AJ99" s="6"/>
      <c r="AK99" s="6"/>
      <c r="AL99" s="6"/>
      <c r="AM99" s="6"/>
    </row>
    <row r="100">
      <c r="A100" s="4">
        <v>99.0</v>
      </c>
      <c r="B100" s="6" t="str">
        <f>IFERROR(__xludf.DUMMYFUNCTION("""COMPUTED_VALUE"""),"Развиваю продукт внутри компании Goodline")</f>
        <v>Развиваю продукт внутри компании Goodline</v>
      </c>
      <c r="C100" s="6" t="str">
        <f>IFERROR(__xludf.DUMMYFUNCTION("""COMPUTED_VALUE"""),"Да, фильмы ")</f>
        <v>Да, фильмы </v>
      </c>
      <c r="D100" s="6" t="str">
        <f>IFERROR(__xludf.DUMMYFUNCTION("""COMPUTED_VALUE"""),"Лесная поляна, ЛП")</f>
        <v>Лесная поляна, ЛП</v>
      </c>
      <c r="E100" s="6" t="str">
        <f>IFERROR(__xludf.DUMMYFUNCTION("""COMPUTED_VALUE"""),"Лес рядом с домом")</f>
        <v>Лес рядом с домом</v>
      </c>
      <c r="F100" s="6" t="str">
        <f>IFERROR(__xludf.DUMMYFUNCTION("""COMPUTED_VALUE"""),"Переехал сюда из другого места (откуда? укажите в графе другое), Севастополь, Крым")</f>
        <v>Переехал сюда из другого места (откуда? укажите в графе другое), Севастополь, Крым</v>
      </c>
      <c r="G100" s="6" t="str">
        <f>IFERROR(__xludf.DUMMYFUNCTION("""COMPUTED_VALUE"""),"Томь")</f>
        <v>Томь</v>
      </c>
      <c r="H100" s="6" t="str">
        <f>IFERROR(__xludf.DUMMYFUNCTION("""COMPUTED_VALUE"""),"Снег, колея, Томь, набережная, уголь")</f>
        <v>Снег, колея, Томь, набережная, уголь</v>
      </c>
      <c r="I100" s="6" t="str">
        <f>IFERROR(__xludf.DUMMYFUNCTION("""COMPUTED_VALUE"""),"Цигельник Марк Иосифович")</f>
        <v>Цигельник Марк Иосифович</v>
      </c>
      <c r="J100" s="6" t="str">
        <f>IFERROR(__xludf.DUMMYFUNCTION("""COMPUTED_VALUE"""),"Роман Жаворонков")</f>
        <v>Роман Жаворонков</v>
      </c>
      <c r="K100" s="6" t="str">
        <f>IFERROR(__xludf.DUMMYFUNCTION("""COMPUTED_VALUE"""),"Люскус, д. Пугачи")</f>
        <v>Люскус, д. Пугачи</v>
      </c>
      <c r="L100" s="6" t="str">
        <f>IFERROR(__xludf.DUMMYFUNCTION("""COMPUTED_VALUE"""),"Переобулся в летнюю резиню в середине мая, и не смог поехать на работу из-за снега")</f>
        <v>Переобулся в летнюю резиню в середине мая, и не смог поехать на работу из-за снега</v>
      </c>
      <c r="M100" s="6" t="str">
        <f>IFERROR(__xludf.DUMMYFUNCTION("""COMPUTED_VALUE"""),"Нет")</f>
        <v>Нет</v>
      </c>
      <c r="N100" s="6" t="str">
        <f>IFERROR(__xludf.DUMMYFUNCTION("""COMPUTED_VALUE"""),"Логистика, инфраструктура, чистота, технологии, выбор")</f>
        <v>Логистика, инфраструктура, чистота, технологии, выбор</v>
      </c>
      <c r="O100" s="6" t="str">
        <f>IFERROR(__xludf.DUMMYFUNCTION("""COMPUTED_VALUE"""),"Фасады зданий (всех)")</f>
        <v>Фасады зданий (всех)</v>
      </c>
      <c r="P100" s="6" t="str">
        <f>IFERROR(__xludf.DUMMYFUNCTION("""COMPUTED_VALUE"""),"Инстаграм")</f>
        <v>Инстаграм</v>
      </c>
      <c r="Q100" s="6" t="str">
        <f>IFERROR(__xludf.DUMMYFUNCTION("""COMPUTED_VALUE"""),"городская афиша (кино/театр/концерты),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f>
        <v>городская афиша (кино/театр/концерты),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00" s="6" t="str">
        <f>IFERROR(__xludf.DUMMYFUNCTION("""COMPUTED_VALUE"""),"Для меня - новый год. Для других - День Шахтера")</f>
        <v>Для меня - новый год. Для других - День Шахтера</v>
      </c>
      <c r="S100" s="6" t="str">
        <f>IFERROR(__xludf.DUMMYFUNCTION("""COMPUTED_VALUE"""),"Сам работал в СМИ и писал новости")</f>
        <v>Сам работал в СМИ и писал новости</v>
      </c>
      <c r="T100" s="6" t="str">
        <f>IFERROR(__xludf.DUMMYFUNCTION("""COMPUTED_VALUE"""),"К сожалению - Зимней вишней")</f>
        <v>К сожалению - Зимней вишней</v>
      </c>
      <c r="U100" s="6" t="str">
        <f>IFERROR(__xludf.DUMMYFUNCTION("""COMPUTED_VALUE"""),"Набережную и только ее")</f>
        <v>Набережную и только ее</v>
      </c>
      <c r="V100" s="6" t="str">
        <f>IFERROR(__xludf.DUMMYFUNCTION("""COMPUTED_VALUE"""),"Город был поставщиком фронта - это самый главный подвиг")</f>
        <v>Город был поставщиком фронта - это самый главный подвиг</v>
      </c>
      <c r="W100" s="6" t="str">
        <f>IFERROR(__xludf.DUMMYFUNCTION("""COMPUTED_VALUE"""),"Суровые, конкретные")</f>
        <v>Суровые, конкретные</v>
      </c>
      <c r="X100" s="6" t="str">
        <f>IFERROR(__xludf.DUMMYFUNCTION("""COMPUTED_VALUE"""),"Лесная Поляна и никуда с нее не ехать)")</f>
        <v>Лесная Поляна и никуда с нее не ехать)</v>
      </c>
      <c r="Y100" s="6" t="str">
        <f>IFERROR(__xludf.DUMMYFUNCTION("""COMPUTED_VALUE"""),"Не знаю")</f>
        <v>Не знаю</v>
      </c>
      <c r="Z100" s="6" t="str">
        <f>IFERROR(__xludf.DUMMYFUNCTION("""COMPUTED_VALUE"""),"Никакое")</f>
        <v>Никакое</v>
      </c>
      <c r="AA100" s="6" t="str">
        <f>IFERROR(__xludf.DUMMYFUNCTION("""COMPUTED_VALUE"""),"Это всегда грязный воздух (особенно зимой)")</f>
        <v>Это всегда грязный воздух (особенно зимой)</v>
      </c>
      <c r="AB100" s="6" t="str">
        <f>IFERROR(__xludf.DUMMYFUNCTION("""COMPUTED_VALUE"""),"Еврейских")</f>
        <v>Еврейских</v>
      </c>
      <c r="AC100" s="6" t="str">
        <f>IFERROR(__xludf.DUMMYFUNCTION("""COMPUTED_VALUE"""),"Массовые пикники, субботники")</f>
        <v>Массовые пикники, субботники</v>
      </c>
      <c r="AD100" s="6" t="str">
        <f>IFERROR(__xludf.DUMMYFUNCTION("""COMPUTED_VALUE"""),"Организатора")</f>
        <v>Организатора</v>
      </c>
      <c r="AE100" s="6" t="str">
        <f>IFERROR(__xludf.DUMMYFUNCTION("""COMPUTED_VALUE"""),"Мужской")</f>
        <v>Мужской</v>
      </c>
      <c r="AF100" s="6" t="str">
        <f>IFERROR(__xludf.DUMMYFUNCTION("""COMPUTED_VALUE"""),"30-44")</f>
        <v>30-44</v>
      </c>
      <c r="AG100" s="6"/>
      <c r="AH100" s="6"/>
      <c r="AI100" s="6"/>
      <c r="AJ100" s="6"/>
      <c r="AK100" s="6"/>
      <c r="AL100" s="6"/>
      <c r="AM100" s="6"/>
    </row>
    <row r="101">
      <c r="A101" s="4">
        <v>100.0</v>
      </c>
      <c r="B101" s="6" t="str">
        <f>IFERROR(__xludf.DUMMYFUNCTION("""COMPUTED_VALUE"""),"ИТ")</f>
        <v>ИТ</v>
      </c>
      <c r="C101" s="6" t="str">
        <f>IFERROR(__xludf.DUMMYFUNCTION("""COMPUTED_VALUE"""),"ИТ, отдых на природе, книги")</f>
        <v>ИТ, отдых на природе, книги</v>
      </c>
      <c r="D101" s="6" t="str">
        <f>IFERROR(__xludf.DUMMYFUNCTION("""COMPUTED_VALUE"""),"Кемерово-Сити")</f>
        <v>Кемерово-Сити</v>
      </c>
      <c r="E101" s="6" t="str">
        <f>IFERROR(__xludf.DUMMYFUNCTION("""COMPUTED_VALUE"""),"Высотки Кемерово-Сити, сквер Резникова, новое здание казначейства, строят Московскую площадь, спортивные, выставочные центры, ТЦ, обустраивают набережную Томи и Искитимки")</f>
        <v>Высотки Кемерово-Сити, сквер Резникова, новое здание казначейства, строят Московскую площадь, спортивные, выставочные центры, ТЦ, обустраивают набережную Томи и Искитимки</v>
      </c>
      <c r="F101" s="6" t="str">
        <f>IFERROR(__xludf.DUMMYFUNCTION("""COMPUTED_VALUE"""),"Живу здесь с рождения")</f>
        <v>Живу здесь с рождения</v>
      </c>
      <c r="G101" s="6" t="str">
        <f>IFERROR(__xludf.DUMMYFUNCTION("""COMPUTED_VALUE"""),"окрестности Кемерово-Сити, бор на Радуге, лесная поляна, старый центр")</f>
        <v>окрестности Кемерово-Сити, бор на Радуге, лесная поляна, старый центр</v>
      </c>
      <c r="H101" s="6" t="str">
        <f>IFERROR(__xludf.DUMMYFUNCTION("""COMPUTED_VALUE"""),"Волков, уголь, сосновый бор")</f>
        <v>Волков, уголь, сосновый бор</v>
      </c>
      <c r="I101" s="6" t="str">
        <f>IFERROR(__xludf.DUMMYFUNCTION("""COMPUTED_VALUE"""),"Волков, Леонов")</f>
        <v>Волков, Леонов</v>
      </c>
      <c r="J101" s="6" t="str">
        <f>IFERROR(__xludf.DUMMYFUNCTION("""COMPUTED_VALUE"""),"Гришковец, Панин (Андрей, нормальный который), Малышева")</f>
        <v>Гришковец, Панин (Андрей, нормальный который), Малышева</v>
      </c>
      <c r="K101" s="6" t="str">
        <f>IFERROR(__xludf.DUMMYFUNCTION("""COMPUTED_VALUE"""),"Драмтеатр, набережная, красная горка, сосновый бор, Кемерово-Сити, лесная поляна ")</f>
        <v>Драмтеатр, набережная, красная горка, сосновый бор, Кемерово-Сити, лесная поляна </v>
      </c>
      <c r="L101" s="6" t="str">
        <f>IFERROR(__xludf.DUMMYFUNCTION("""COMPUTED_VALUE"""),"-")</f>
        <v>-</v>
      </c>
      <c r="M101" s="6" t="str">
        <f>IFERROR(__xludf.DUMMYFUNCTION("""COMPUTED_VALUE"""),"-")</f>
        <v>-</v>
      </c>
      <c r="N101" s="6" t="str">
        <f>IFERROR(__xludf.DUMMYFUNCTION("""COMPUTED_VALUE"""),"инфраструктура города, качество образовательных учреждений, чистота города, парки, северы")</f>
        <v>инфраструктура города, качество образовательных учреждений, чистота города, парки, северы</v>
      </c>
      <c r="O101" s="6" t="str">
        <f>IFERROR(__xludf.DUMMYFUNCTION("""COMPUTED_VALUE"""),"довести до конца стройку в окрестности Московсокй площади и реки Искитимка")</f>
        <v>довести до конца стройку в окрестности Московсокй площади и реки Искитимка</v>
      </c>
      <c r="P101" s="6" t="str">
        <f>IFERROR(__xludf.DUMMYFUNCTION("""COMPUTED_VALUE"""),"ВК")</f>
        <v>ВК</v>
      </c>
      <c r="Q101" s="6" t="str">
        <f>IFERROR(__xludf.DUMMYFUNCTION("""COMPUTED_VALUE"""),"куда пойти в свободное время, где вкусно поесть/открытие новых кафе/ресторанов, культурные новинки (что почитать/что послушать)")</f>
        <v>куда пойти в свободное время, где вкусно поесть/открытие новых кафе/ресторанов, культурные новинки (что почитать/что послушать)</v>
      </c>
      <c r="R101" s="6" t="str">
        <f>IFERROR(__xludf.DUMMYFUNCTION("""COMPUTED_VALUE"""),"9 мая, день города")</f>
        <v>9 мая, день города</v>
      </c>
      <c r="S101" s="6" t="str">
        <f>IFERROR(__xludf.DUMMYFUNCTION("""COMPUTED_VALUE"""),"Нет, не приходилось")</f>
        <v>Нет, не приходилось</v>
      </c>
      <c r="T101" s="6" t="str">
        <f>IFERROR(__xludf.DUMMYFUNCTION("""COMPUTED_VALUE"""),"город развивается и это хорошо")</f>
        <v>город развивается и это хорошо</v>
      </c>
      <c r="U101" s="6" t="str">
        <f>IFERROR(__xludf.DUMMYFUNCTION("""COMPUTED_VALUE"""),"Драмтеатр, площадь Советов, Московская площадь")</f>
        <v>Драмтеатр, площадь Советов, Московская площадь</v>
      </c>
      <c r="V101" s="6" t="str">
        <f>IFERROR(__xludf.DUMMYFUNCTION("""COMPUTED_VALUE"""),"Работали с отдачей")</f>
        <v>Работали с отдачей</v>
      </c>
      <c r="W101" s="6" t="str">
        <f>IFERROR(__xludf.DUMMYFUNCTION("""COMPUTED_VALUE"""),"Отзывчивые")</f>
        <v>Отзывчивые</v>
      </c>
      <c r="X101" s="6" t="str">
        <f>IFERROR(__xludf.DUMMYFUNCTION("""COMPUTED_VALUE"""),"Драмтеарт - площадь Советов - Кемерово-Сити и окрестности - бор - лесная поляна")</f>
        <v>Драмтеарт - площадь Советов - Кемерово-Сити и окрестности - бор - лесная поляна</v>
      </c>
      <c r="Y101" s="6" t="str">
        <f>IFERROR(__xludf.DUMMYFUNCTION("""COMPUTED_VALUE"""),"как и для всех городов России - развал СССР")</f>
        <v>как и для всех городов России - развал СССР</v>
      </c>
      <c r="Z101" s="6" t="str">
        <f>IFERROR(__xludf.DUMMYFUNCTION("""COMPUTED_VALUE"""),"подготовка к 300-летию Кузбасса и все с этим связанное")</f>
        <v>подготовка к 300-летию Кузбасса и все с этим связанное</v>
      </c>
      <c r="AA101" s="6" t="str">
        <f>IFERROR(__xludf.DUMMYFUNCTION("""COMPUTED_VALUE"""),"Зимняя Вишня")</f>
        <v>Зимняя Вишня</v>
      </c>
      <c r="AB101" s="6" t="str">
        <f>IFERROR(__xludf.DUMMYFUNCTION("""COMPUTED_VALUE"""),"-")</f>
        <v>-</v>
      </c>
      <c r="AC101" s="6" t="str">
        <f>IFERROR(__xludf.DUMMYFUNCTION("""COMPUTED_VALUE"""),"-")</f>
        <v>-</v>
      </c>
      <c r="AD101" s="6" t="str">
        <f>IFERROR(__xludf.DUMMYFUNCTION("""COMPUTED_VALUE"""),"-")</f>
        <v>-</v>
      </c>
      <c r="AE101" s="6" t="str">
        <f>IFERROR(__xludf.DUMMYFUNCTION("""COMPUTED_VALUE"""),"Мужской")</f>
        <v>Мужской</v>
      </c>
      <c r="AF101" s="6" t="str">
        <f>IFERROR(__xludf.DUMMYFUNCTION("""COMPUTED_VALUE"""),"30-44")</f>
        <v>30-44</v>
      </c>
      <c r="AG101" s="6"/>
      <c r="AH101" s="6"/>
      <c r="AI101" s="6"/>
      <c r="AJ101" s="6"/>
      <c r="AK101" s="6"/>
      <c r="AL101" s="6"/>
      <c r="AM101" s="6"/>
    </row>
    <row r="102">
      <c r="A102" s="4">
        <v>101.0</v>
      </c>
      <c r="B102" s="6" t="str">
        <f>IFERROR(__xludf.DUMMYFUNCTION("""COMPUTED_VALUE"""),"Сервисный работник интернет провайдера")</f>
        <v>Сервисный работник интернет провайдера</v>
      </c>
      <c r="C102" s="6" t="str">
        <f>IFERROR(__xludf.DUMMYFUNCTION("""COMPUTED_VALUE"""),"Велопрогулки")</f>
        <v>Велопрогулки</v>
      </c>
      <c r="D102" s="6" t="str">
        <f>IFERROR(__xludf.DUMMYFUNCTION("""COMPUTED_VALUE"""),"Центральный")</f>
        <v>Центральный</v>
      </c>
      <c r="E102" s="6" t="str">
        <f>IFERROR(__xludf.DUMMYFUNCTION("""COMPUTED_VALUE"""),"Детская РЖД. Цирк. ЗАГС. Центр города. Фонтан.")</f>
        <v>Детская РЖД. Цирк. ЗАГС. Центр города. Фонтан.</v>
      </c>
      <c r="F102" s="6" t="str">
        <f>IFERROR(__xludf.DUMMYFUNCTION("""COMPUTED_VALUE"""),"Живу здесь с рождения")</f>
        <v>Живу здесь с рождения</v>
      </c>
      <c r="G102" s="6" t="str">
        <f>IFERROR(__xludf.DUMMYFUNCTION("""COMPUTED_VALUE"""),"Оз. Красное. Прогулки по району. Велопрогулки по бр. Строителей.")</f>
        <v>Оз. Красное. Прогулки по району. Велопрогулки по бр. Строителей.</v>
      </c>
      <c r="H102" s="6" t="str">
        <f>IFERROR(__xludf.DUMMYFUNCTION("""COMPUTED_VALUE"""),"Уголь. GoodLine. Томская писаница. Центр. Комфорт.")</f>
        <v>Уголь. GoodLine. Томская писаница. Центр. Комфорт.</v>
      </c>
      <c r="I102" s="6" t="str">
        <f>IFERROR(__xludf.DUMMYFUNCTION("""COMPUTED_VALUE"""),"Тулеев. Сердюк. Владимир")</f>
        <v>Тулеев. Сердюк. Владимир</v>
      </c>
      <c r="J102" s="6" t="str">
        <f>IFERROR(__xludf.DUMMYFUNCTION("""COMPUTED_VALUE"""),"Волков. Жаворонков")</f>
        <v>Волков. Жаворонков</v>
      </c>
      <c r="K102" s="6" t="str">
        <f>IFERROR(__xludf.DUMMYFUNCTION("""COMPUTED_VALUE"""),"Незнаю таких")</f>
        <v>Незнаю таких</v>
      </c>
      <c r="L102" s="6" t="str">
        <f>IFERROR(__xludf.DUMMYFUNCTION("""COMPUTED_VALUE"""),"Незнаю таких")</f>
        <v>Незнаю таких</v>
      </c>
      <c r="M102" s="6" t="str">
        <f>IFERROR(__xludf.DUMMYFUNCTION("""COMPUTED_VALUE"""),"Нет")</f>
        <v>Нет</v>
      </c>
      <c r="N102" s="6" t="str">
        <f>IFERROR(__xludf.DUMMYFUNCTION("""COMPUTED_VALUE"""),"Спальный район")</f>
        <v>Спальный район</v>
      </c>
      <c r="O102" s="6" t="str">
        <f>IFERROR(__xludf.DUMMYFUNCTION("""COMPUTED_VALUE"""),"Придомовые парковки")</f>
        <v>Придомовые парковки</v>
      </c>
      <c r="P102" s="6" t="str">
        <f>IFERROR(__xludf.DUMMYFUNCTION("""COMPUTED_VALUE"""),"ВК. GoodLine")</f>
        <v>ВК. GoodLine</v>
      </c>
      <c r="Q10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бизнес-ново"&amp;"сти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02" s="6" t="str">
        <f>IFERROR(__xludf.DUMMYFUNCTION("""COMPUTED_VALUE"""),"Все")</f>
        <v>Все</v>
      </c>
      <c r="S102" s="6" t="str">
        <f>IFERROR(__xludf.DUMMYFUNCTION("""COMPUTED_VALUE"""),"Нет, не приходилось")</f>
        <v>Нет, не приходилось</v>
      </c>
      <c r="T102" s="6" t="str">
        <f>IFERROR(__xludf.DUMMYFUNCTION("""COMPUTED_VALUE"""),"Уголь")</f>
        <v>Уголь</v>
      </c>
      <c r="U102" s="6" t="str">
        <f>IFERROR(__xludf.DUMMYFUNCTION("""COMPUTED_VALUE"""),"Пл. Советов")</f>
        <v>Пл. Советов</v>
      </c>
      <c r="V102" s="6" t="str">
        <f>IFERROR(__xludf.DUMMYFUNCTION("""COMPUTED_VALUE"""),"Трудились")</f>
        <v>Трудились</v>
      </c>
      <c r="W102" s="6" t="str">
        <f>IFERROR(__xludf.DUMMYFUNCTION("""COMPUTED_VALUE"""),"Добрые. Не безучастные")</f>
        <v>Добрые. Не безучастные</v>
      </c>
      <c r="X102" s="6" t="str">
        <f>IFERROR(__xludf.DUMMYFUNCTION("""COMPUTED_VALUE"""),"По. Ленина. По. Советский")</f>
        <v>По. Ленина. По. Советский</v>
      </c>
      <c r="Y102" s="6" t="str">
        <f>IFERROR(__xludf.DUMMYFUNCTION("""COMPUTED_VALUE"""),"Незнаю")</f>
        <v>Незнаю</v>
      </c>
      <c r="Z102" s="6" t="str">
        <f>IFERROR(__xludf.DUMMYFUNCTION("""COMPUTED_VALUE"""),"Никакие")</f>
        <v>Никакие</v>
      </c>
      <c r="AA102" s="6" t="str">
        <f>IFERROR(__xludf.DUMMYFUNCTION("""COMPUTED_VALUE"""),"Нет таких")</f>
        <v>Нет таких</v>
      </c>
      <c r="AB102" s="6" t="str">
        <f>IFERROR(__xludf.DUMMYFUNCTION("""COMPUTED_VALUE"""),"Тех где не нужно работать")</f>
        <v>Тех где не нужно работать</v>
      </c>
      <c r="AC102" s="6" t="str">
        <f>IFERROR(__xludf.DUMMYFUNCTION("""COMPUTED_VALUE"""),"Интересные")</f>
        <v>Интересные</v>
      </c>
      <c r="AD102" s="6" t="str">
        <f>IFERROR(__xludf.DUMMYFUNCTION("""COMPUTED_VALUE"""),"Ни в какой")</f>
        <v>Ни в какой</v>
      </c>
      <c r="AE102" s="6" t="str">
        <f>IFERROR(__xludf.DUMMYFUNCTION("""COMPUTED_VALUE"""),"Мужской")</f>
        <v>Мужской</v>
      </c>
      <c r="AF102" s="6" t="str">
        <f>IFERROR(__xludf.DUMMYFUNCTION("""COMPUTED_VALUE"""),"30-44")</f>
        <v>30-44</v>
      </c>
      <c r="AG102" s="6"/>
      <c r="AH102" s="6"/>
      <c r="AI102" s="6"/>
      <c r="AJ102" s="6"/>
      <c r="AK102" s="6"/>
      <c r="AL102" s="6"/>
      <c r="AM102" s="6"/>
    </row>
    <row r="103">
      <c r="A103" s="4">
        <v>102.0</v>
      </c>
      <c r="B103" s="6" t="str">
        <f>IFERROR(__xludf.DUMMYFUNCTION("""COMPUTED_VALUE"""),"Студент/рабочий")</f>
        <v>Студент/рабочий</v>
      </c>
      <c r="C103" s="6" t="str">
        <f>IFERROR(__xludf.DUMMYFUNCTION("""COMPUTED_VALUE"""),"Нет")</f>
        <v>Нет</v>
      </c>
      <c r="D103" s="6" t="str">
        <f>IFERROR(__xludf.DUMMYFUNCTION("""COMPUTED_VALUE"""),"Центральный, центр")</f>
        <v>Центральный, центр</v>
      </c>
      <c r="E103" s="6" t="str">
        <f>IFERROR(__xludf.DUMMYFUNCTION("""COMPUTED_VALUE"""),"Парк ангелов рядом с домом, весенька ")</f>
        <v>Парк ангелов рядом с домом, весенька </v>
      </c>
      <c r="F103" s="6" t="str">
        <f>IFERROR(__xludf.DUMMYFUNCTION("""COMPUTED_VALUE"""),"Живу здесь с рождения")</f>
        <v>Живу здесь с рождения</v>
      </c>
      <c r="G103" s="6" t="str">
        <f>IFERROR(__xludf.DUMMYFUNCTION("""COMPUTED_VALUE"""),"Бары, парк ангелов")</f>
        <v>Бары, парк ангелов</v>
      </c>
      <c r="H103" s="6" t="str">
        <f>IFERROR(__xludf.DUMMYFUNCTION("""COMPUTED_VALUE"""),"Кузбасс. Уголь. Ленина. Волков. ")</f>
        <v>Кузбасс. Уголь. Ленина. Волков. </v>
      </c>
      <c r="I103" s="6" t="str">
        <f>IFERROR(__xludf.DUMMYFUNCTION("""COMPUTED_VALUE"""),"Волков ")</f>
        <v>Волков </v>
      </c>
      <c r="J103" s="6" t="str">
        <f>IFERROR(__xludf.DUMMYFUNCTION("""COMPUTED_VALUE"""),"Не знаю ")</f>
        <v>Не знаю </v>
      </c>
      <c r="K103" s="6" t="str">
        <f>IFERROR(__xludf.DUMMYFUNCTION("""COMPUTED_VALUE"""),"Площадь советов, весенька, набережная")</f>
        <v>Площадь советов, весенька, набережная</v>
      </c>
      <c r="L103" s="6" t="str">
        <f>IFERROR(__xludf.DUMMYFUNCTION("""COMPUTED_VALUE"""),"Нет")</f>
        <v>Нет</v>
      </c>
      <c r="M103" s="6" t="str">
        <f>IFERROR(__xludf.DUMMYFUNCTION("""COMPUTED_VALUE"""),"Мультифора")</f>
        <v>Мультифора</v>
      </c>
      <c r="N103" s="6" t="str">
        <f>IFERROR(__xludf.DUMMYFUNCTION("""COMPUTED_VALUE"""),"Доступность к дому магазинов, школ,садиков, больниц. Интересные заведения/места, чистота в городе, добрые люди. ")</f>
        <v>Доступность к дому магазинов, школ,садиков, больниц. Интересные заведения/места, чистота в городе, добрые люди. </v>
      </c>
      <c r="O103" s="6" t="str">
        <f>IFERROR(__xludf.DUMMYFUNCTION("""COMPUTED_VALUE"""),"Сделать дороги. ")</f>
        <v>Сделать дороги. </v>
      </c>
      <c r="P103" s="6" t="str">
        <f>IFERROR(__xludf.DUMMYFUNCTION("""COMPUTED_VALUE"""),"Соц сети. Вк инстаграмм")</f>
        <v>Соц сети. Вк инстаграмм</v>
      </c>
      <c r="Q103" s="6" t="str">
        <f>IFERROR(__xludf.DUMMYFUNCTION("""COMPUTED_VALUE"""),"куда пойти в свободное время, криминальные новости (происшествия/преступления), бизнес-новости (средний чек/рекламные акции/запуск новых предприятий)")</f>
        <v>куда пойти в свободное время, криминальные новости (происшествия/преступления), бизнес-новости (средний чек/рекламные акции/запуск новых предприятий)</v>
      </c>
      <c r="R103" s="6" t="str">
        <f>IFERROR(__xludf.DUMMYFUNCTION("""COMPUTED_VALUE"""),"9 мая. Новый год ")</f>
        <v>9 мая. Новый год </v>
      </c>
      <c r="S103" s="6" t="str">
        <f>IFERROR(__xludf.DUMMYFUNCTION("""COMPUTED_VALUE"""),"Нет, не приходилось")</f>
        <v>Нет, не приходилось</v>
      </c>
      <c r="T103" s="6" t="str">
        <f>IFERROR(__xludf.DUMMYFUNCTION("""COMPUTED_VALUE"""),"Углём, главный город области. ")</f>
        <v>Углём, главный город области. </v>
      </c>
      <c r="U103" s="6" t="str">
        <f>IFERROR(__xludf.DUMMYFUNCTION("""COMPUTED_VALUE"""),"Площадь советов")</f>
        <v>Площадь советов</v>
      </c>
      <c r="V103" s="6" t="str">
        <f>IFERROR(__xludf.DUMMYFUNCTION("""COMPUTED_VALUE"""),"Не знаю ")</f>
        <v>Не знаю </v>
      </c>
      <c r="W103" s="6" t="str">
        <f>IFERROR(__xludf.DUMMYFUNCTION("""COMPUTED_VALUE"""),"Относительно добрые")</f>
        <v>Относительно добрые</v>
      </c>
      <c r="X103" s="6" t="str">
        <f>IFERROR(__xludf.DUMMYFUNCTION("""COMPUTED_VALUE"""),"Парк ангелов, площадь советов")</f>
        <v>Парк ангелов, площадь советов</v>
      </c>
      <c r="Y103" s="6" t="str">
        <f>IFERROR(__xludf.DUMMYFUNCTION("""COMPUTED_VALUE"""),"Не знаю ")</f>
        <v>Не знаю </v>
      </c>
      <c r="Z103" s="6" t="str">
        <f>IFERROR(__xludf.DUMMYFUNCTION("""COMPUTED_VALUE"""),"Не запомнилось ")</f>
        <v>Не запомнилось </v>
      </c>
      <c r="AA103" s="6" t="str">
        <f>IFERROR(__xludf.DUMMYFUNCTION("""COMPUTED_VALUE"""),"Убийство студентки в январе 2020, неадекватный мужик, который накинулся на маршрутку на Ленина. ")</f>
        <v>Убийство студентки в январе 2020, неадекватный мужик, который накинулся на маршрутку на Ленина. </v>
      </c>
      <c r="AB103" s="6" t="str">
        <f>IFERROR(__xludf.DUMMYFUNCTION("""COMPUTED_VALUE"""),"Не знаю даже")</f>
        <v>Не знаю даже</v>
      </c>
      <c r="AC103" s="6" t="str">
        <f>IFERROR(__xludf.DUMMYFUNCTION("""COMPUTED_VALUE"""),"Не знаю")</f>
        <v>Не знаю</v>
      </c>
      <c r="AD103" s="6" t="str">
        <f>IFERROR(__xludf.DUMMYFUNCTION("""COMPUTED_VALUE"""),"В любой")</f>
        <v>В любой</v>
      </c>
      <c r="AE103" s="6" t="str">
        <f>IFERROR(__xludf.DUMMYFUNCTION("""COMPUTED_VALUE"""),"Женский")</f>
        <v>Женский</v>
      </c>
      <c r="AF103" s="6" t="str">
        <f>IFERROR(__xludf.DUMMYFUNCTION("""COMPUTED_VALUE"""),"18-29")</f>
        <v>18-29</v>
      </c>
      <c r="AG103" s="6"/>
      <c r="AH103" s="6"/>
      <c r="AI103" s="6"/>
      <c r="AJ103" s="6"/>
      <c r="AK103" s="6"/>
      <c r="AL103" s="6"/>
      <c r="AM103" s="6"/>
    </row>
    <row r="104">
      <c r="A104" s="4">
        <v>103.0</v>
      </c>
      <c r="B104" s="6" t="str">
        <f>IFERROR(__xludf.DUMMYFUNCTION("""COMPUTED_VALUE"""),"Сфера IT")</f>
        <v>Сфера IT</v>
      </c>
      <c r="C104" s="6" t="str">
        <f>IFERROR(__xludf.DUMMYFUNCTION("""COMPUTED_VALUE"""),"Книги, хореография ")</f>
        <v>Книги, хореография </v>
      </c>
      <c r="D104" s="6" t="str">
        <f>IFERROR(__xludf.DUMMYFUNCTION("""COMPUTED_VALUE"""),"Кедровка")</f>
        <v>Кедровка</v>
      </c>
      <c r="E104" s="6" t="str">
        <f>IFERROR(__xludf.DUMMYFUNCTION("""COMPUTED_VALUE"""),"Фонтан, аллея, греческая деревня ")</f>
        <v>Фонтан, аллея, греческая деревня </v>
      </c>
      <c r="F104" s="6" t="str">
        <f>IFERROR(__xludf.DUMMYFUNCTION("""COMPUTED_VALUE"""),"Живу здесь с рождения")</f>
        <v>Живу здесь с рождения</v>
      </c>
      <c r="G104" s="6" t="str">
        <f>IFERROR(__xludf.DUMMYFUNCTION("""COMPUTED_VALUE"""),"Аллея, котлованы, набережная, кафешки")</f>
        <v>Аллея, котлованы, набережная, кафешки</v>
      </c>
      <c r="H104" s="6" t="str">
        <f>IFERROR(__xludf.DUMMYFUNCTION("""COMPUTED_VALUE"""),"Шахтёры, серость, забитые автобусы, Томь, буквы Кузбасс")</f>
        <v>Шахтёры, серость, забитые автобусы, Томь, буквы Кузбасс</v>
      </c>
      <c r="I104" s="6" t="str">
        <f>IFERROR(__xludf.DUMMYFUNCTION("""COMPUTED_VALUE"""),"Михайло Волков")</f>
        <v>Михайло Волков</v>
      </c>
      <c r="J104" s="6" t="str">
        <f>IFERROR(__xludf.DUMMYFUNCTION("""COMPUTED_VALUE"""),"Евгений Гришковец")</f>
        <v>Евгений Гришковец</v>
      </c>
      <c r="K104" s="6" t="str">
        <f>IFERROR(__xludf.DUMMYFUNCTION("""COMPUTED_VALUE"""),"Парк чудес, набережная, парк ангелов, котлованы ")</f>
        <v>Парк чудес, набережная, парк ангелов, котлованы </v>
      </c>
      <c r="L104" s="6" t="str">
        <f>IFERROR(__xludf.DUMMYFUNCTION("""COMPUTED_VALUE"""),"История о том, как Шахтёры били касками в знак протеста")</f>
        <v>История о том, как Шахтёры били касками в знак протеста</v>
      </c>
      <c r="M104" s="6" t="str">
        <f>IFERROR(__xludf.DUMMYFUNCTION("""COMPUTED_VALUE"""),"Мультифора, Яшка")</f>
        <v>Мультифора, Яшка</v>
      </c>
      <c r="N104" s="6" t="str">
        <f>IFERROR(__xludf.DUMMYFUNCTION("""COMPUTED_VALUE"""),"Транспортная доступность, озеленение, чистота, развитая развлекательная индустрия, доступное жилье")</f>
        <v>Транспортная доступность, озеленение, чистота, развитая развлекательная индустрия, доступное жилье</v>
      </c>
      <c r="O104" s="6" t="str">
        <f>IFERROR(__xludf.DUMMYFUNCTION("""COMPUTED_VALUE"""),"Дороги, фасады домов")</f>
        <v>Дороги, фасады домов</v>
      </c>
      <c r="P104" s="6" t="str">
        <f>IFERROR(__xludf.DUMMYFUNCTION("""COMPUTED_VALUE"""),"Работа, друзья, Инстаграм")</f>
        <v>Работа, друзья, Инстаграм</v>
      </c>
      <c r="Q104" s="6" t="str">
        <f>IFERROR(__xludf.DUMMYFUNCTION("""COMPUTED_VALUE"""),"куда пойти в свободное время, где вкусно поесть/открытие новых кафе/ресторанов, результаты местных исследований (рейтинги/аналитика/тенденции)")</f>
        <v>куда пойти в свободное время, где вкусно поесть/открытие новых кафе/ресторанов, результаты местных исследований (рейтинги/аналитика/тенденции)</v>
      </c>
      <c r="R104" s="6" t="str">
        <f>IFERROR(__xludf.DUMMYFUNCTION("""COMPUTED_VALUE"""),"День шахтера, день города, день победы")</f>
        <v>День шахтера, день города, день победы</v>
      </c>
      <c r="S104" s="6" t="str">
        <f>IFERROR(__xludf.DUMMYFUNCTION("""COMPUTED_VALUE"""),"Через социальные сети (Какие? Укажите в графе другое), Вконтакте")</f>
        <v>Через социальные сети (Какие? Укажите в графе другое), Вконтакте</v>
      </c>
      <c r="T104" s="6" t="str">
        <f>IFERROR(__xludf.DUMMYFUNCTION("""COMPUTED_VALUE"""),"шахтерская промышленность ")</f>
        <v>шахтерская промышленность </v>
      </c>
      <c r="U104" s="6" t="str">
        <f>IFERROR(__xludf.DUMMYFUNCTION("""COMPUTED_VALUE"""),"Набережная, буквы Кузбасс, торговый центр Я, весенняя улица")</f>
        <v>Набережная, буквы Кузбасс, торговый центр Я, весенняя улица</v>
      </c>
      <c r="V104" s="6" t="str">
        <f>IFERROR(__xludf.DUMMYFUNCTION("""COMPUTED_VALUE"""),"Развитие IT, образовательной сферы")</f>
        <v>Развитие IT, образовательной сферы</v>
      </c>
      <c r="W104" s="6" t="str">
        <f>IFERROR(__xludf.DUMMYFUNCTION("""COMPUTED_VALUE"""),"Хмурые, действенные, консервативные")</f>
        <v>Хмурые, действенные, консервативные</v>
      </c>
      <c r="X104" s="6" t="str">
        <f>IFERROR(__xludf.DUMMYFUNCTION("""COMPUTED_VALUE"""),"По весенней улице до набережной ")</f>
        <v>По весенней улице до набережной </v>
      </c>
      <c r="Y104" s="6" t="str">
        <f>IFERROR(__xludf.DUMMYFUNCTION("""COMPUTED_VALUE"""),"К сожалению, это пожар в зимней вишне")</f>
        <v>К сожалению, это пожар в зимней вишне</v>
      </c>
      <c r="Z104" s="6" t="str">
        <f>IFERROR(__xludf.DUMMYFUNCTION("""COMPUTED_VALUE"""),"Стройка новых объектов, рок-концерт")</f>
        <v>Стройка новых объектов, рок-концерт</v>
      </c>
      <c r="AA104" s="6" t="str">
        <f>IFERROR(__xludf.DUMMYFUNCTION("""COMPUTED_VALUE"""),"Пожар в зимней вишне, количество фур в городе")</f>
        <v>Пожар в зимней вишне, количество фур в городе</v>
      </c>
      <c r="AB104" s="6" t="str">
        <f>IFERROR(__xludf.DUMMYFUNCTION("""COMPUTED_VALUE"""),"Танцевальных студий в моем районе")</f>
        <v>Танцевальных студий в моем районе</v>
      </c>
      <c r="AC104" s="6" t="str">
        <f>IFERROR(__xludf.DUMMYFUNCTION("""COMPUTED_VALUE"""),"Они наверняка есть, но их мало освещают. Ночные киносеансы, мастер-классы, выезды на природу большими группами")</f>
        <v>Они наверняка есть, но их мало освещают. Ночные киносеансы, мастер-классы, выезды на природу большими группами</v>
      </c>
      <c r="AD104" s="6" t="str">
        <f>IFERROR(__xludf.DUMMYFUNCTION("""COMPUTED_VALUE"""),"Организатор")</f>
        <v>Организатор</v>
      </c>
      <c r="AE104" s="6" t="str">
        <f>IFERROR(__xludf.DUMMYFUNCTION("""COMPUTED_VALUE"""),"Женский")</f>
        <v>Женский</v>
      </c>
      <c r="AF104" s="6" t="str">
        <f>IFERROR(__xludf.DUMMYFUNCTION("""COMPUTED_VALUE"""),"18-29")</f>
        <v>18-29</v>
      </c>
      <c r="AG104" s="6"/>
      <c r="AH104" s="6"/>
      <c r="AI104" s="6"/>
      <c r="AJ104" s="6"/>
      <c r="AK104" s="6"/>
      <c r="AL104" s="6"/>
      <c r="AM104" s="6"/>
    </row>
    <row r="105">
      <c r="A105" s="4">
        <v>104.0</v>
      </c>
      <c r="B105" s="6" t="str">
        <f>IFERROR(__xludf.DUMMYFUNCTION("""COMPUTED_VALUE"""),"Менеджер по продажам")</f>
        <v>Менеджер по продажам</v>
      </c>
      <c r="C105" s="6" t="str">
        <f>IFERROR(__xludf.DUMMYFUNCTION("""COMPUTED_VALUE"""),"Кроссфит")</f>
        <v>Кроссфит</v>
      </c>
      <c r="D105" s="6" t="str">
        <f>IFERROR(__xludf.DUMMYFUNCTION("""COMPUTED_VALUE"""),"Центральный")</f>
        <v>Центральный</v>
      </c>
      <c r="E105" s="6" t="str">
        <f>IFERROR(__xludf.DUMMYFUNCTION("""COMPUTED_VALUE"""),"Набережная, Площадь советов, ул. Весенняя, сквер юности")</f>
        <v>Набережная, Площадь советов, ул. Весенняя, сквер юности</v>
      </c>
      <c r="F105" s="6" t="str">
        <f>IFERROR(__xludf.DUMMYFUNCTION("""COMPUTED_VALUE"""),"Переехал сюда из другого места (откуда? укажите в графе другое), Переехала из г Ленинск-кузнецкий в связи с поступлением в ВУЗ")</f>
        <v>Переехал сюда из другого места (откуда? укажите в графе другое), Переехала из г Ленинск-кузнецкий в связи с поступлением в ВУЗ</v>
      </c>
      <c r="G105" s="6" t="str">
        <f>IFERROR(__xludf.DUMMYFUNCTION("""COMPUTED_VALUE"""),"Набережная, Площадь Советов, Весенняя, Бульвар-Строителей")</f>
        <v>Набережная, Площадь Советов, Весенняя, Бульвар-Строителей</v>
      </c>
      <c r="H105" s="6" t="str">
        <f>IFERROR(__xludf.DUMMYFUNCTION("""COMPUTED_VALUE"""),"Маленький и уютный, но при этом грязный и серый")</f>
        <v>Маленький и уютный, но при этом грязный и серый</v>
      </c>
      <c r="I105" s="6" t="str">
        <f>IFERROR(__xludf.DUMMYFUNCTION("""COMPUTED_VALUE"""),"Михайло Волков, Алексей Леонов, Вера Волошина, М.А Подгорбунский")</f>
        <v>Михайло Волков, Алексей Леонов, Вера Волошина, М.А Подгорбунский</v>
      </c>
      <c r="J105" s="6" t="str">
        <f>IFERROR(__xludf.DUMMYFUNCTION("""COMPUTED_VALUE"""),"В. Сухацкий, Е. Гришковец, Л.С Барбараш")</f>
        <v>В. Сухацкий, Е. Гришковец, Л.С Барбараш</v>
      </c>
      <c r="K105" s="6" t="str">
        <f>IFERROR(__xludf.DUMMYFUNCTION("""COMPUTED_VALUE"""),"Набережная, Площадь Советов, Парк Ангелов")</f>
        <v>Набережная, Площадь Советов, Парк Ангелов</v>
      </c>
      <c r="L105" s="6" t="str">
        <f>IFERROR(__xludf.DUMMYFUNCTION("""COMPUTED_VALUE"""),"Не знаю")</f>
        <v>Не знаю</v>
      </c>
      <c r="M105" s="6" t="str">
        <f>IFERROR(__xludf.DUMMYFUNCTION("""COMPUTED_VALUE"""),"Мультифора")</f>
        <v>Мультифора</v>
      </c>
      <c r="N105" s="6" t="str">
        <f>IFERROR(__xludf.DUMMYFUNCTION("""COMPUTED_VALUE""")," Чистый воздух, чистота на улицах, наличие зеленых зон, места отдыха")</f>
        <v> Чистый воздух, чистота на улицах, наличие зеленых зон, места отдыха</v>
      </c>
      <c r="O105" s="6" t="str">
        <f>IFERROR(__xludf.DUMMYFUNCTION("""COMPUTED_VALUE"""),"Привести в порядок спальные районы города(чистота)")</f>
        <v>Привести в порядок спальные районы города(чистота)</v>
      </c>
      <c r="P105" s="6" t="str">
        <f>IFERROR(__xludf.DUMMYFUNCTION("""COMPUTED_VALUE"""),"СМИ А42, СМИ ВСЕ42 - группы ВК и инстаграм")</f>
        <v>СМИ А42, СМИ ВСЕ42 - группы ВК и инстаграм</v>
      </c>
      <c r="Q10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05" s="6" t="str">
        <f>IFERROR(__xludf.DUMMYFUNCTION("""COMPUTED_VALUE"""),"9 мая")</f>
        <v>9 мая</v>
      </c>
      <c r="S105" s="6" t="str">
        <f>IFERROR(__xludf.DUMMYFUNCTION("""COMPUTED_VALUE"""),"Через социальные сети (Какие? Укажите в графе другое), инстаграм, ВК")</f>
        <v>Через социальные сети (Какие? Укажите в графе другое), инстаграм, ВК</v>
      </c>
      <c r="T105" s="6" t="str">
        <f>IFERROR(__xludf.DUMMYFUNCTION("""COMPUTED_VALUE"""),"Не так давно Кемерово стал знаменит печальным событием в Зимней вишне.
Маленький шахтерский городок, столица Кузбасса. 
Уникальность в наличии большой зеленой зоны - Соснового бора")</f>
        <v>Не так давно Кемерово стал знаменит печальным событием в Зимней вишне.
Маленький шахтерский городок, столица Кузбасса. 
Уникальность в наличии большой зеленой зоны - Соснового бора</v>
      </c>
      <c r="U105" s="6" t="str">
        <f>IFERROR(__xludf.DUMMYFUNCTION("""COMPUTED_VALUE"""),"ул Весенняя, Парк чудес")</f>
        <v>ул Весенняя, Парк чудес</v>
      </c>
      <c r="V105" s="6" t="str">
        <f>IFERROR(__xludf.DUMMYFUNCTION("""COMPUTED_VALUE"""),"Жили и работали ради своей идеи")</f>
        <v>Жили и работали ради своей идеи</v>
      </c>
      <c r="W105" s="6" t="str">
        <f>IFERROR(__xludf.DUMMYFUNCTION("""COMPUTED_VALUE"""),"Отзывчивые, выносливые и терпеливые. Часто завистливые и озлобленные")</f>
        <v>Отзывчивые, выносливые и терпеливые. Часто завистливые и озлобленные</v>
      </c>
      <c r="X105" s="6" t="str">
        <f>IFERROR(__xludf.DUMMYFUNCTION("""COMPUTED_VALUE"""),"Весенняя - Набережная-Филармония-Площадь Советов")</f>
        <v>Весенняя - Набережная-Филармония-Площадь Советов</v>
      </c>
      <c r="Y105" s="6" t="str">
        <f>IFERROR(__xludf.DUMMYFUNCTION("""COMPUTED_VALUE"""),"ЧМ по хоккею с мячом")</f>
        <v>ЧМ по хоккею с мячом</v>
      </c>
      <c r="Z105" s="6" t="str">
        <f>IFERROR(__xludf.DUMMYFUNCTION("""COMPUTED_VALUE"""),"Фестиваль ""Герои мирового рока""")</f>
        <v>Фестиваль "Герои мирового рока"</v>
      </c>
      <c r="AA105" s="6" t="str">
        <f>IFERROR(__xludf.DUMMYFUNCTION("""COMPUTED_VALUE"""),"Забетонировали вход в Альпинистский клуб
Бездействие полиции в громком убийстве девушки
")</f>
        <v>Забетонировали вход в Альпинистский клуб
Бездействие полиции в громком убийстве девушки
</v>
      </c>
      <c r="AB105" s="6" t="str">
        <f>IFERROR(__xludf.DUMMYFUNCTION("""COMPUTED_VALUE"""),"Жаль что закрылось творческое объединение Кот да винчи")</f>
        <v>Жаль что закрылось творческое объединение Кот да винчи</v>
      </c>
      <c r="AC105" s="6" t="str">
        <f>IFERROR(__xludf.DUMMYFUNCTION("""COMPUTED_VALUE"""),"Концерты")</f>
        <v>Концерты</v>
      </c>
      <c r="AD105" s="6" t="str">
        <f>IFERROR(__xludf.DUMMYFUNCTION("""COMPUTED_VALUE"""),"Участвовать в проектах развития города не планирую ")</f>
        <v>Участвовать в проектах развития города не планирую </v>
      </c>
      <c r="AE105" s="6" t="str">
        <f>IFERROR(__xludf.DUMMYFUNCTION("""COMPUTED_VALUE"""),"Женский")</f>
        <v>Женский</v>
      </c>
      <c r="AF105" s="6" t="str">
        <f>IFERROR(__xludf.DUMMYFUNCTION("""COMPUTED_VALUE"""),"18-29")</f>
        <v>18-29</v>
      </c>
      <c r="AG105" s="6"/>
      <c r="AH105" s="6"/>
      <c r="AI105" s="6"/>
      <c r="AJ105" s="6"/>
      <c r="AK105" s="6"/>
      <c r="AL105" s="6"/>
      <c r="AM105" s="6"/>
    </row>
    <row r="106">
      <c r="A106" s="4">
        <v>105.0</v>
      </c>
      <c r="B106" s="6" t="str">
        <f>IFERROR(__xludf.DUMMYFUNCTION("""COMPUTED_VALUE"""),"Работаю")</f>
        <v>Работаю</v>
      </c>
      <c r="C106" s="6" t="str">
        <f>IFERROR(__xludf.DUMMYFUNCTION("""COMPUTED_VALUE"""),"Гулять, смотреть фильмы, читать, заниматься творчеством")</f>
        <v>Гулять, смотреть фильмы, читать, заниматься творчеством</v>
      </c>
      <c r="D106" s="6" t="str">
        <f>IFERROR(__xludf.DUMMYFUNCTION("""COMPUTED_VALUE"""),"Центральный, Центр")</f>
        <v>Центральный, Центр</v>
      </c>
      <c r="E106" s="6" t="str">
        <f>IFERROR(__xludf.DUMMYFUNCTION("""COMPUTED_VALUE"""),"Набережная, ул Весенняя, аллея Пионерского бульвара, парк Веры Волошиной")</f>
        <v>Набережная, ул Весенняя, аллея Пионерского бульвара, парк Веры Волошиной</v>
      </c>
      <c r="F106" s="6" t="str">
        <f>IFERROR(__xludf.DUMMYFUNCTION("""COMPUTED_VALUE"""),"Живу здесь с рождения")</f>
        <v>Живу здесь с рождения</v>
      </c>
      <c r="G106" s="6" t="str">
        <f>IFERROR(__xludf.DUMMYFUNCTION("""COMPUTED_VALUE"""),"Парк Веры Волошиной, Сосновый бор, Набережная и весь старый город")</f>
        <v>Парк Веры Волошиной, Сосновый бор, Набережная и весь старый город</v>
      </c>
      <c r="H106" s="6" t="str">
        <f>IFERROR(__xludf.DUMMYFUNCTION("""COMPUTED_VALUE"""),"Родной, столица Кузбасса, шахтёры, снег, зимняя вишня")</f>
        <v>Родной, столица Кузбасса, шахтёры, снег, зимняя вишня</v>
      </c>
      <c r="I106" s="6" t="str">
        <f>IFERROR(__xludf.DUMMYFUNCTION("""COMPUTED_VALUE"""),"Михайло Волков, Михаил Алексеевич Подгорбунский, Алексей Архипович Леонов, Вера Волошина, Юрий Двужильный, ")</f>
        <v>Михайло Волков, Михаил Алексеевич Подгорбунский, Алексей Архипович Леонов, Вера Волошина, Юрий Двужильный, </v>
      </c>
      <c r="J106" s="6" t="str">
        <f>IFERROR(__xludf.DUMMYFUNCTION("""COMPUTED_VALUE"""),"Владимир Васильевич Михайлов, Евгений Гришковец, Леонид Семёнович Барбараш")</f>
        <v>Владимир Васильевич Михайлов, Евгений Гришковец, Леонид Семёнович Барбараш</v>
      </c>
      <c r="K106" s="6" t="str">
        <f>IFERROR(__xludf.DUMMYFUNCTION("""COMPUTED_VALUE"""),"Сосновый бор, Памятник Шахтеру, Музей заповедник Красная горка")</f>
        <v>Сосновый бор, Памятник Шахтеру, Музей заповедник Красная горка</v>
      </c>
      <c r="L106" s="6" t="str">
        <f>IFERROR(__xludf.DUMMYFUNCTION("""COMPUTED_VALUE"""),"Не зная")</f>
        <v>Не зная</v>
      </c>
      <c r="M106" s="6" t="str">
        <f>IFERROR(__xludf.DUMMYFUNCTION("""COMPUTED_VALUE"""),"Не знаю")</f>
        <v>Не знаю</v>
      </c>
      <c r="N106" s="6" t="str">
        <f>IFERROR(__xludf.DUMMYFUNCTION("""COMPUTED_VALUE"""),"Хорошие дороги круглый год, чистый воздух, чистота, доступное жильё, места отдыха для горожан ")</f>
        <v>Хорошие дороги круглый год, чистый воздух, чистота, доступное жильё, места отдыха для горожан </v>
      </c>
      <c r="O106" s="6" t="str">
        <f>IFERROR(__xludf.DUMMYFUNCTION("""COMPUTED_VALUE"""),"Фасады домов, особенно старых, привести в надлежащий вид, НЕ допускать застройки города в стиле ""металл/стекло""")</f>
        <v>Фасады домов, особенно старых, привести в надлежащий вид, НЕ допускать застройки города в стиле "металл/стекло"</v>
      </c>
      <c r="P106" s="6" t="str">
        <f>IFERROR(__xludf.DUMMYFUNCTION("""COMPUTED_VALUE"""),"Инстаграм, друзья")</f>
        <v>Инстаграм, друзья</v>
      </c>
      <c r="Q10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06" s="6" t="str">
        <f>IFERROR(__xludf.DUMMYFUNCTION("""COMPUTED_VALUE"""),"День Города, День Шахтера")</f>
        <v>День Города, День Шахтера</v>
      </c>
      <c r="S106" s="6" t="str">
        <f>IFERROR(__xludf.DUMMYFUNCTION("""COMPUTED_VALUE"""),"Нет, не приходилось")</f>
        <v>Нет, не приходилось</v>
      </c>
      <c r="T106" s="6" t="str">
        <f>IFERROR(__xludf.DUMMYFUNCTION("""COMPUTED_VALUE"""),"Известен пожаром в Зимней Вишне, Уникальное - Сосновый Бор")</f>
        <v>Известен пожаром в Зимней Вишне, Уникальное - Сосновый Бор</v>
      </c>
      <c r="U106" s="6" t="str">
        <f>IFERROR(__xludf.DUMMYFUNCTION("""COMPUTED_VALUE"""),"Площадь Советов")</f>
        <v>Площадь Советов</v>
      </c>
      <c r="V106" s="6" t="str">
        <f>IFERROR(__xludf.DUMMYFUNCTION("""COMPUTED_VALUE"""),"Упорно трудились, добивались поставленной цели")</f>
        <v>Упорно трудились, добивались поставленной цели</v>
      </c>
      <c r="W106" s="6" t="str">
        <f>IFERROR(__xludf.DUMMYFUNCTION("""COMPUTED_VALUE"""),"Суровые, но в то же время добрые")</f>
        <v>Суровые, но в то же время добрые</v>
      </c>
      <c r="X106" s="6" t="str">
        <f>IFERROR(__xludf.DUMMYFUNCTION("""COMPUTED_VALUE"""),"Площадь Советов - проспект Советский - ул Весенняя - Набережная")</f>
        <v>Площадь Советов - проспект Советский - ул Весенняя - Набережная</v>
      </c>
      <c r="Y106" s="6" t="str">
        <f>IFERROR(__xludf.DUMMYFUNCTION("""COMPUTED_VALUE"""),"Чемпионат Мира по хоккею с мячом, ")</f>
        <v>Чемпионат Мира по хоккею с мячом, </v>
      </c>
      <c r="Z106" s="6" t="str">
        <f>IFERROR(__xludf.DUMMYFUNCTION("""COMPUTED_VALUE"""),"""Герои Мирового рока""")</f>
        <v>"Герои Мирового рока"</v>
      </c>
      <c r="AA106" s="6" t="str">
        <f>IFERROR(__xludf.DUMMYFUNCTION("""COMPUTED_VALUE"""),"Бездействие правоохранительных органов в ситуации с Веры Пехтелевой, ")</f>
        <v>Бездействие правоохранительных органов в ситуации с Веры Пехтелевой, </v>
      </c>
      <c r="AB106" s="6" t="str">
        <f>IFERROR(__xludf.DUMMYFUNCTION("""COMPUTED_VALUE"""),"Что то для людей возрастом от 25 лет т.к. есть много дошкольных, школьных, студенческих сообществ, а после студенчества и податься некуда)")</f>
        <v>Что то для людей возрастом от 25 лет т.к. есть много дошкольных, школьных, студенческих сообществ, а после студенчества и податься некуда)</v>
      </c>
      <c r="AC106" s="6" t="str">
        <f>IFERROR(__xludf.DUMMYFUNCTION("""COMPUTED_VALUE"""),"Концерты известных исполнителей, творческие мероприятия по типу Ночь Музеев и т.д. ")</f>
        <v>Концерты известных исполнителей, творческие мероприятия по типу Ночь Музеев и т.д. </v>
      </c>
      <c r="AD106" s="6" t="str">
        <f>IFERROR(__xludf.DUMMYFUNCTION("""COMPUTED_VALUE"""),"Сложный вопрос, никогда в подобном не участвовала")</f>
        <v>Сложный вопрос, никогда в подобном не участвовала</v>
      </c>
      <c r="AE106" s="6" t="str">
        <f>IFERROR(__xludf.DUMMYFUNCTION("""COMPUTED_VALUE"""),"Женский")</f>
        <v>Женский</v>
      </c>
      <c r="AF106" s="6" t="str">
        <f>IFERROR(__xludf.DUMMYFUNCTION("""COMPUTED_VALUE"""),"30-44")</f>
        <v>30-44</v>
      </c>
      <c r="AG106" s="6"/>
      <c r="AH106" s="6"/>
      <c r="AI106" s="6"/>
      <c r="AJ106" s="6"/>
      <c r="AK106" s="6"/>
      <c r="AL106" s="6"/>
      <c r="AM106" s="6"/>
    </row>
    <row r="107">
      <c r="A107" s="4">
        <v>106.0</v>
      </c>
      <c r="B107" s="6" t="str">
        <f>IFERROR(__xludf.DUMMYFUNCTION("""COMPUTED_VALUE"""),"Электроэнергетик, кроликовод, бровист.")</f>
        <v>Электроэнергетик, кроликовод, бровист.</v>
      </c>
      <c r="C107" s="6" t="str">
        <f>IFERROR(__xludf.DUMMYFUNCTION("""COMPUTED_VALUE"""),"Живопись маслом. Кинология. Сноуборд, велосипед, ролики. Походы в горы, на концерты панк рок групп, в театр и в картинные галереи. Вязание, валяние, вышивание, мыловарение, декупаж, изготовления цветов из фоамирана и все остальные виды дпи. ")</f>
        <v>Живопись маслом. Кинология. Сноуборд, велосипед, ролики. Походы в горы, на концерты панк рок групп, в театр и в картинные галереи. Вязание, валяние, вышивание, мыловарение, декупаж, изготовления цветов из фоамирана и все остальные виды дпи. </v>
      </c>
      <c r="D107" s="6" t="str">
        <f>IFERROR(__xludf.DUMMYFUNCTION("""COMPUTED_VALUE"""),"Кировский. «кирыч», «кировский дистрикт».")</f>
        <v>Кировский. «кирыч», «кировский дистрикт».</v>
      </c>
      <c r="E107" s="6" t="str">
        <f>IFERROR(__xludf.DUMMYFUNCTION("""COMPUTED_VALUE"""),"Улица Попова, со злыми собаками, в промышленной части района на которой легко можно заплутать. Переход через жд пути на станции Правотомской. Множество подходов к Томи из частного сектора, простирающегося близь исторического, самого древнего в городе Нико"&amp;"льского собора. Машинный спуск на набережной. Набережная. Школа 19 там же, представляет особую историческую ценность. Две березовых рощи. Здание, так называемой, Телефонки в сквере на ул. Леонова. 21 микрорайон и озеро Кирпичного завода. Стройгородок. Кол"&amp;"ония особо строго режима. Вся промышленная зона, которая занимает больше половины района, но не работает и в половину былой мощи. Историческое кладбище на Суриково. Большое количество уникальных по архитектуре домов на улице Ушакова, 40 лет октября, Матро"&amp;"сова и Назарово, Севастопольская.")</f>
        <v>Улица Попова, со злыми собаками, в промышленной части района на которой легко можно заплутать. Переход через жд пути на станции Правотомской. Множество подходов к Томи из частного сектора, простирающегося близь исторического, самого древнего в городе Никольского собора. Машинный спуск на набережной. Набережная. Школа 19 там же, представляет особую историческую ценность. Две березовых рощи. Здание, так называемой, Телефонки в сквере на ул. Леонова. 21 микрорайон и озеро Кирпичного завода. Стройгородок. Колония особо строго режима. Вся промышленная зона, которая занимает больше половины района, но не работает и в половину былой мощи. Историческое кладбище на Суриково. Большое количество уникальных по архитектуре домов на улице Ушакова, 40 лет октября, Матросова и Назарово, Севастопольская.</v>
      </c>
      <c r="F107" s="6" t="str">
        <f>IFERROR(__xludf.DUMMYFUNCTION("""COMPUTED_VALUE"""),"Живу здесь с рождения")</f>
        <v>Живу здесь с рождения</v>
      </c>
      <c r="G107" s="6" t="str">
        <f>IFERROR(__xludf.DUMMYFUNCTION("""COMPUTED_VALUE"""),"Свободное время получается проводить только с друзьями, поэтому места соответствующие.
В теплое время года парки, скверы, рощи и бор. Часто набережные. В холодное кофейни, кондитерские. Бары, кинотеатры, концертные площадки, театры (чаще Ложа), выставки ("&amp;"чаще Дом художников), экскурсии по городу. Зародилась приятная традиция брести куда глаза глядят и узнавать новые закоулки города, делали так, когда было много свободного времени. Так же часто возникает мысль кататься на трамвае бесцельно.")</f>
        <v>Свободное время получается проводить только с друзьями, поэтому места соответствующие.
В теплое время года парки, скверы, рощи и бор. Часто набережные. В холодное кофейни, кондитерские. Бары, кинотеатры, концертные площадки, театры (чаще Ложа), выставки (чаще Дом художников), экскурсии по городу. Зародилась приятная традиция брести куда глаза глядят и узнавать новые закоулки города, делали так, когда было много свободного времени. Так же часто возникает мысль кататься на трамвае бесцельно.</v>
      </c>
      <c r="H107" s="6" t="str">
        <f>IFERROR(__xludf.DUMMYFUNCTION("""COMPUTED_VALUE"""),"Промышленный. Не логичный. Недооцененный. Обиженный. Родной. ")</f>
        <v>Промышленный. Не логичный. Недооцененный. Обиженный. Родной. </v>
      </c>
      <c r="I107" s="6" t="str">
        <f>IFERROR(__xludf.DUMMYFUNCTION("""COMPUTED_VALUE"""),"А. А. Леонов, М. Волков, В. Волошина. ")</f>
        <v>А. А. Леонов, М. Волков, В. Волошина. </v>
      </c>
      <c r="J107" s="6" t="str">
        <f>IFERROR(__xludf.DUMMYFUNCTION("""COMPUTED_VALUE"""),"Васильева Ольга,  Наседкин С. С., Забавин Григорий, Гребенщиков Б. Б., Оленич Л. В. ")</f>
        <v>Васильева Ольга,  Наседкин С. С., Забавин Григорий, Гребенщиков Б. Б., Оленич Л. В. </v>
      </c>
      <c r="K107" s="6" t="str">
        <f>IFERROR(__xludf.DUMMYFUNCTION("""COMPUTED_VALUE"""),"Набережная. Кемерово Сити. Весенняя улица. Пл. Советов. КузГТУ внутренний дворик и пл. Волкова. Театр Ложа. Клумба арт пространство. Прошлись бы по дворикам центрального района, дома с арками, с бывшими башенками, улица Арочная и 50 лет Октября. Так же ул"&amp;"ицы 1,2,3,4,5 - заречные и Проспект Ленина от вокзала до Зимней вишни. Искитимку и парк Жукова. Старый мост. Сосновый бор, памятник рук Эрнста Неизвестного, панораму на пром. часть левого берега с обзорной площадки красной горки. Частный сектор красной го"&amp;"рки, дома колбасы и школу Ван Лохема. Кировский район. Сталь мост, центр Кировского. Возможно тайная экскурсия по территории бывших заводов коммунар. Если бы осталось время, то прокатились бы на трамвае 8 до предзаводского района, прошли бы весь бульвар С"&amp;"троителей. Покатались на детской жд. Сходили бы в мечеть Мунура, католический собор и православные Никольский собор и Знаменский. Возможно глянули бы цирк и лесную поляну.")</f>
        <v>Набережная. Кемерово Сити. Весенняя улица. Пл. Советов. КузГТУ внутренний дворик и пл. Волкова. Театр Ложа. Клумба арт пространство. Прошлись бы по дворикам центрального района, дома с арками, с бывшими башенками, улица Арочная и 50 лет Октября. Так же улицы 1,2,3,4,5 - заречные и Проспект Ленина от вокзала до Зимней вишни. Искитимку и парк Жукова. Старый мост. Сосновый бор, памятник рук Эрнста Неизвестного, панораму на пром. часть левого берега с обзорной площадки красной горки. Частный сектор красной горки, дома колбасы и школу Ван Лохема. Кировский район. Сталь мост, центр Кировского. Возможно тайная экскурсия по территории бывших заводов коммунар. Если бы осталось время, то прокатились бы на трамвае 8 до предзаводского района, прошли бы весь бульвар Строителей. Покатались на детской жд. Сходили бы в мечеть Мунура, католический собор и православные Никольский собор и Знаменский. Возможно глянули бы цирк и лесную поляну.</v>
      </c>
      <c r="L107" s="6" t="str">
        <f>IFERROR(__xludf.DUMMYFUNCTION("""COMPUTED_VALUE"""),"Известное видео мем «прощааааай Кемерово... пошёл ....». Денис Кола Мэн. Песня БГ «человек из Кемерово». Рэп про кировский район. Притча про то, когда Михайло Волков на площади перед Политехом уронит уголь. История про Томь разлучницу. ")</f>
        <v>Известное видео мем «прощааааай Кемерово... пошёл ....». Денис Кола Мэн. Песня БГ «человек из Кемерово». Рэп про кировский район. Притча про то, когда Михайло Волков на площади перед Политехом уронит уголь. История про Томь разлучницу. </v>
      </c>
      <c r="M107" s="6" t="str">
        <f>IFERROR(__xludf.DUMMYFUNCTION("""COMPUTED_VALUE"""),"«В Кемерово» не склонять название города. ")</f>
        <v>«В Кемерово» не склонять название города. </v>
      </c>
      <c r="N107" s="6" t="str">
        <f>IFERROR(__xludf.DUMMYFUNCTION("""COMPUTED_VALUE"""),"Развитая транспортная логистика, отсутствие пробок, избыток общественного транспорта, отсутствие не логичных участков дороги, больше парковочных мест в центре, желательно бесплатных. Большой выбор досуга для каждого класса населения и всех финансовых возм"&amp;"ожностей. Чистота и это не только про мусор, но и  отсутсвие сезонных природных пережитков (грязь весной течет на дороги, лужи-океаны после дождя, не уходящие в ливнеку, снег после снегопада на путях движения людей и тп). Воспитанные, культурные и образов"&amp;"анные люди. Приятный внешний вид города, с отсутствием недостроев, трещин и облупившихся фасадов, опрятные вывески, приятные цвета, сохранившиеся и поддерживающиеся в достойном виде исторические памятники архитектуры! ")</f>
        <v>Развитая транспортная логистика, отсутствие пробок, избыток общественного транспорта, отсутствие не логичных участков дороги, больше парковочных мест в центре, желательно бесплатных. Большой выбор досуга для каждого класса населения и всех финансовых возможностей. Чистота и это не только про мусор, но и  отсутсвие сезонных природных пережитков (грязь весной течет на дороги, лужи-океаны после дождя, не уходящие в ливнеку, снег после снегопада на путях движения людей и тп). Воспитанные, культурные и образованные люди. Приятный внешний вид города, с отсутствием недостроев, трещин и облупившихся фасадов, опрятные вывески, приятные цвета, сохранившиеся и поддерживающиеся в достойном виде исторические памятники архитектуры! </v>
      </c>
      <c r="O107" s="6" t="str">
        <f>IFERROR(__xludf.DUMMYFUNCTION("""COMPUTED_VALUE"""),"Не строить человейники и одинаковые микрорайоны с пластиковыми блестящими фасадами. Привести в порядок дороги, сделать больше цивилизованных парковок, что бы на улицах не создавалось впечатления  автосвалок. Сохранить памятки и историческое наследие город"&amp;"а, грамотно вписать в современность. Продолжать развивать уличную культуру и благоустройство мест отдыха. 
Не строить новых космических проектов, а привести в порядок уже имеющиеся территории.  ")</f>
        <v>Не строить человейники и одинаковые микрорайоны с пластиковыми блестящими фасадами. Привести в порядок дороги, сделать больше цивилизованных парковок, что бы на улицах не создавалось впечатления  автосвалок. Сохранить памятки и историческое наследие города, грамотно вписать в современность. Продолжать развивать уличную культуру и благоустройство мест отдыха. 
Не строить новых космических проектов, а привести в порядок уже имеющиеся территории.  </v>
      </c>
      <c r="P107" s="6" t="str">
        <f>IFERROR(__xludf.DUMMYFUNCTION("""COMPUTED_VALUE"""),"Соц сети. Сибдепо, всё42, гудлайн, а42. Паблики Типичный Кемерово, Инцидент Кемерово, Кемерово42. Но в основном непосредственно от первоисточников, например аккаунт Дома художников, Тетра детей и молодежи, театра Ложа, Краеведческого музея, объединения Ры"&amp;"ба Шагала и Внутри снаружи.")</f>
        <v>Соц сети. Сибдепо, всё42, гудлайн, а42. Паблики Типичный Кемерово, Инцидент Кемерово, Кемерово42. Но в основном непосредственно от первоисточников, например аккаунт Дома художников, Тетра детей и молодежи, театра Ложа, Краеведческого музея, объединения Рыба Шагала и Внутри снаружи.</v>
      </c>
      <c r="Q107"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07" s="6" t="str">
        <f>IFERROR(__xludf.DUMMYFUNCTION("""COMPUTED_VALUE"""),"Салюты на университетском мосту. Школьный выпускной. Артификация. ")</f>
        <v>Салюты на университетском мосту. Школьный выпускной. Артификация. </v>
      </c>
      <c r="S107" s="6" t="str">
        <f>IFERROR(__xludf.DUMMYFUNCTION("""COMPUTED_VALUE"""),"Через социальные сети (Какие? Укажите в графе другое)")</f>
        <v>Через социальные сети (Какие? Укажите в графе другое)</v>
      </c>
      <c r="T107" s="6" t="str">
        <f>IFERROR(__xludf.DUMMYFUNCTION("""COMPUTED_VALUE"""),"Показывает весь суровый сибирский колорит, трудности выживания за Уралом, былую промышленную мощь, частичку самобытности и развития культуры в глубинке страны, которая была предоставлена в основ сама себе, огромная роль в победу в ВОВ. ")</f>
        <v>Показывает весь суровый сибирский колорит, трудности выживания за Уралом, былую промышленную мощь, частичку самобытности и развития культуры в глубинке страны, которая была предоставлена в основ сама себе, огромная роль в победу в ВОВ. </v>
      </c>
      <c r="U107" s="6" t="str">
        <f>IFERROR(__xludf.DUMMYFUNCTION("""COMPUTED_VALUE"""),"Главпочтамт, администрация области, Ленин в женском пальто на площади Советов. ")</f>
        <v>Главпочтамт, администрация области, Ленин в женском пальто на площади Советов. </v>
      </c>
      <c r="V107" s="6" t="str">
        <f>IFERROR(__xludf.DUMMYFUNCTION("""COMPUTED_VALUE"""),"Не смотря на трудности, пытались создавать себе все условия для научной и творческой деятельности. Создали охраняемые парки природы. Не окончательно разрушили и перестроили все исторические памятники архитектуры. ")</f>
        <v>Не смотря на трудности, пытались создавать себе все условия для научной и творческой деятельности. Создали охраняемые парки природы. Не окончательно разрушили и перестроили все исторические памятники архитектуры. </v>
      </c>
      <c r="W107" s="6" t="str">
        <f>IFERROR(__xludf.DUMMYFUNCTION("""COMPUTED_VALUE"""),"Суровой, уставший, не многословный, многоконфессиональный, всклочный, с доброй душой и злым языком, вечно всем не довольный, но при этом консервативный и отказывающийся приложить руку к изменениям. ")</f>
        <v>Суровой, уставший, не многословный, многоконфессиональный, всклочный, с доброй душой и злым языком, вечно всем не довольный, но при этом консервативный и отказывающийся приложить руку к изменениям. </v>
      </c>
      <c r="X107" s="6" t="str">
        <f>IFERROR(__xludf.DUMMYFUNCTION("""COMPUTED_VALUE"""),"Начать с обзорной площадки на красной горке, частный сектор исторический, памятник Шахтеру, (если погода, силы и время позволяет Сосновый бор), пешком по мосту Кузнецкому, набережная, гор сад, набережная через вечный огонь и Томь ревьеру плазу, театр дете"&amp;"й и молодежи, Кемерово сити, филармония, Кемгу, пл Советов, главпочтамт, Оперетта, Драмма, Улица весенняя до КузГТУ, зимняя вишня. Далее для более глубоко ознакомления с колоритом на трамвай 8 или 3. ")</f>
        <v>Начать с обзорной площадки на красной горке, частный сектор исторический, памятник Шахтеру, (если погода, силы и время позволяет Сосновый бор), пешком по мосту Кузнецкому, набережная, гор сад, набережная через вечный огонь и Томь ревьеру плазу, театр детей и молодежи, Кемерово сити, филармония, Кемгу, пл Советов, главпочтамт, Оперетта, Драмма, Улица весенняя до КузГТУ, зимняя вишня. Далее для более глубоко ознакомления с колоритом на трамвай 8 или 3. </v>
      </c>
      <c r="Y107" s="6" t="str">
        <f>IFERROR(__xludf.DUMMYFUNCTION("""COMPUTED_VALUE"""),"Артификация. 
Появление арт пространств. Арбат на ул Весенняя. Сохранение Соснового бора. Городские фестивали  и экскурсии.")</f>
        <v>Артификация. 
Появление арт пространств. Арбат на ул Весенняя. Сохранение Соснового бора. Городские фестивали  и экскурсии.</v>
      </c>
      <c r="Z107" s="6" t="str">
        <f>IFERROR(__xludf.DUMMYFUNCTION("""COMPUTED_VALUE"""),"Стройка всем городом в парке Антошка.")</f>
        <v>Стройка всем городом в парке Антошка.</v>
      </c>
      <c r="AA107" s="6" t="str">
        <f>IFERROR(__xludf.DUMMYFUNCTION("""COMPUTED_VALUE"""),"Зимняя вишня, карантинные меры, платная парковка и реформа общественного транспорта. ")</f>
        <v>Зимняя вишня, карантинные меры, платная парковка и реформа общественного транспорта. </v>
      </c>
      <c r="AB107" s="6" t="str">
        <f>IFERROR(__xludf.DUMMYFUNCTION("""COMPUTED_VALUE"""),"Не хватает поддержки и освещения этих сообществ. ")</f>
        <v>Не хватает поддержки и освещения этих сообществ. </v>
      </c>
      <c r="AC107" s="6" t="str">
        <f>IFERROR(__xludf.DUMMYFUNCTION("""COMPUTED_VALUE"""),"Фестивали, кинопоказы под открытом небом, съезды и форумы. Упор на молодежи. ")</f>
        <v>Фестивали, кинопоказы под открытом небом, съезды и форумы. Упор на молодежи. </v>
      </c>
      <c r="AD107" s="6" t="str">
        <f>IFERROR(__xludf.DUMMYFUNCTION("""COMPUTED_VALUE"""),"Активной. ")</f>
        <v>Активной. </v>
      </c>
      <c r="AE107" s="6" t="str">
        <f>IFERROR(__xludf.DUMMYFUNCTION("""COMPUTED_VALUE"""),"Женский")</f>
        <v>Женский</v>
      </c>
      <c r="AF107" s="6" t="str">
        <f>IFERROR(__xludf.DUMMYFUNCTION("""COMPUTED_VALUE"""),"18-29")</f>
        <v>18-29</v>
      </c>
      <c r="AG107" s="6"/>
      <c r="AH107" s="6"/>
      <c r="AI107" s="6"/>
      <c r="AJ107" s="6"/>
      <c r="AK107" s="6"/>
      <c r="AL107" s="6"/>
      <c r="AM107" s="6"/>
    </row>
    <row r="108">
      <c r="A108" s="4">
        <v>107.0</v>
      </c>
      <c r="B108" s="6" t="str">
        <f>IFERROR(__xludf.DUMMYFUNCTION("""COMPUTED_VALUE"""),"Менеджер по персоналу")</f>
        <v>Менеджер по персоналу</v>
      </c>
      <c r="C108" s="6" t="str">
        <f>IFERROR(__xludf.DUMMYFUNCTION("""COMPUTED_VALUE"""),"Да, рисую картины по номерам, люблю читать, выкладываю картины алмазной мозайкой, увлекаюсь спортом - фитнес и плавание")</f>
        <v>Да, рисую картины по номерам, люблю читать, выкладываю картины алмазной мозайкой, увлекаюсь спортом - фитнес и плавание</v>
      </c>
      <c r="D108" s="6" t="str">
        <f>IFERROR(__xludf.DUMMYFUNCTION("""COMPUTED_VALUE"""),"Центральный, район ГИБДД")</f>
        <v>Центральный, район ГИБДД</v>
      </c>
      <c r="E108" s="6" t="str">
        <f>IFERROR(__xludf.DUMMYFUNCTION("""COMPUTED_VALUE"""),"Парк Комсомольский, Пионерский бульвар, Детская РЖД, Парк Жукова, Антошка")</f>
        <v>Парк Комсомольский, Пионерский бульвар, Детская РЖД, Парк Жукова, Антошка</v>
      </c>
      <c r="F108" s="6" t="str">
        <f>IFERROR(__xludf.DUMMYFUNCTION("""COMPUTED_VALUE"""),"Живу здесь с рождения")</f>
        <v>Живу здесь с рождения</v>
      </c>
      <c r="G108" s="6" t="str">
        <f>IFERROR(__xludf.DUMMYFUNCTION("""COMPUTED_VALUE"""),"Парк Комсомольский, Пионерский бульвар, Детская РЖД, Парк Жукова, Антошка, Набережная")</f>
        <v>Парк Комсомольский, Пионерский бульвар, Детская РЖД, Парк Жукова, Антошка, Набережная</v>
      </c>
      <c r="H108" s="6" t="str">
        <f>IFERROR(__xludf.DUMMYFUNCTION("""COMPUTED_VALUE"""),"Шахтер, Томь, Зимняя вишня, Вечный огонь, завод Азот")</f>
        <v>Шахтер, Томь, Зимняя вишня, Вечный огонь, завод Азот</v>
      </c>
      <c r="I108" s="6" t="str">
        <f>IFERROR(__xludf.DUMMYFUNCTION("""COMPUTED_VALUE"""),"Жуков, Космодемьянская, Леонов, Федорова, Ленин")</f>
        <v>Жуков, Космодемьянская, Леонов, Федорова, Ленин</v>
      </c>
      <c r="J108" s="6" t="str">
        <f>IFERROR(__xludf.DUMMYFUNCTION("""COMPUTED_VALUE"""),"Затрудняюсь ответить")</f>
        <v>Затрудняюсь ответить</v>
      </c>
      <c r="K108" s="6" t="str">
        <f>IFERROR(__xludf.DUMMYFUNCTION("""COMPUTED_VALUE"""),"Памятник Маме, новорожденному в капусте, девочка на руке, поезд на вокзале, парк возле ЗАГСа центрального района, граффити в арт пространстве")</f>
        <v>Памятник Маме, новорожденному в капусте, девочка на руке, поезд на вокзале, парк возле ЗАГСа центрального района, граффити в арт пространстве</v>
      </c>
      <c r="L108" s="6" t="str">
        <f>IFERROR(__xludf.DUMMYFUNCTION("""COMPUTED_VALUE"""),"История про пожар в Зимней вишни, печальная - первое что пришло в голову")</f>
        <v>История про пожар в Зимней вишни, печальная - первое что пришло в голову</v>
      </c>
      <c r="M108" s="6" t="str">
        <f>IFERROR(__xludf.DUMMYFUNCTION("""COMPUTED_VALUE"""),"нет")</f>
        <v>нет</v>
      </c>
      <c r="N108" s="6" t="str">
        <f>IFERROR(__xludf.DUMMYFUNCTION("""COMPUTED_VALUE"""),"хорошее место работы и достойная оплата труда, цены на продукты и жкх, отсутствие регулярных и больших пробок,люди")</f>
        <v>хорошее место работы и достойная оплата труда, цены на продукты и жкх, отсутствие регулярных и больших пробок,люди</v>
      </c>
      <c r="O108" s="6" t="str">
        <f>IFERROR(__xludf.DUMMYFUNCTION("""COMPUTED_VALUE"""),"дороги")</f>
        <v>дороги</v>
      </c>
      <c r="P108" s="6" t="str">
        <f>IFERROR(__xludf.DUMMYFUNCTION("""COMPUTED_VALUE"""),"А42, телеграм каналы")</f>
        <v>А42, телеграм каналы</v>
      </c>
      <c r="Q108"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08" s="6" t="str">
        <f>IFERROR(__xludf.DUMMYFUNCTION("""COMPUTED_VALUE"""),"12 июня, 1 июня, день шахтера, день победы")</f>
        <v>12 июня, 1 июня, день шахтера, день победы</v>
      </c>
      <c r="S108" s="6" t="str">
        <f>IFERROR(__xludf.DUMMYFUNCTION("""COMPUTED_VALUE"""),"Нет, не приходилось")</f>
        <v>Нет, не приходилось</v>
      </c>
      <c r="T108" s="6" t="str">
        <f>IFERROR(__xludf.DUMMYFUNCTION("""COMPUTED_VALUE"""),"затрудняюсь")</f>
        <v>затрудняюсь</v>
      </c>
      <c r="U108" s="6" t="str">
        <f>IFERROR(__xludf.DUMMYFUNCTION("""COMPUTED_VALUE"""),"памятник - кузбасс, драм театр")</f>
        <v>памятник - кузбасс, драм театр</v>
      </c>
      <c r="V108" s="6" t="str">
        <f>IFERROR(__xludf.DUMMYFUNCTION("""COMPUTED_VALUE"""),"Посадили деревья и открыли парки такие как Кузбасский")</f>
        <v>Посадили деревья и открыли парки такие как Кузбасский</v>
      </c>
      <c r="W108" s="6" t="str">
        <f>IFERROR(__xludf.DUMMYFUNCTION("""COMPUTED_VALUE"""),"разные - понурые и радостные, мобильные и общительные")</f>
        <v>разные - понурые и радостные, мобильные и общительные</v>
      </c>
      <c r="X108" s="6" t="str">
        <f>IFERROR(__xludf.DUMMYFUNCTION("""COMPUTED_VALUE"""),"Драмтеатр, филармония,ю жукова, антошка, кузбасский")</f>
        <v>Драмтеатр, филармония,ю жукова, антошка, кузбасский</v>
      </c>
      <c r="Y108" s="6" t="str">
        <f>IFERROR(__xludf.DUMMYFUNCTION("""COMPUTED_VALUE"""),"рок концерт")</f>
        <v>рок концерт</v>
      </c>
      <c r="Z108" s="6" t="str">
        <f>IFERROR(__xludf.DUMMYFUNCTION("""COMPUTED_VALUE"""),"Рок концерт")</f>
        <v>Рок концерт</v>
      </c>
      <c r="AA108" s="6" t="str">
        <f>IFERROR(__xludf.DUMMYFUNCTION("""COMPUTED_VALUE"""),"Зимняя вишня")</f>
        <v>Зимняя вишня</v>
      </c>
      <c r="AB108" s="6" t="str">
        <f>IFERROR(__xludf.DUMMYFUNCTION("""COMPUTED_VALUE"""),"Хелперы )) не хватает людям неравнодушия к другим, помочь если упал, довезти если сломалась машина, хотя бывают и хорошие люди")</f>
        <v>Хелперы )) не хватает людям неравнодушия к другим, помочь если упал, довезти если сломалась машина, хотя бывают и хорошие люди</v>
      </c>
      <c r="AC108" s="6" t="str">
        <f>IFERROR(__xludf.DUMMYFUNCTION("""COMPUTED_VALUE"""),"мероприятия на которые можно ходить с детьми")</f>
        <v>мероприятия на которые можно ходить с детьми</v>
      </c>
      <c r="AD108" s="6" t="str">
        <f>IFERROR(__xludf.DUMMYFUNCTION("""COMPUTED_VALUE"""),"Участник")</f>
        <v>Участник</v>
      </c>
      <c r="AE108" s="6" t="str">
        <f>IFERROR(__xludf.DUMMYFUNCTION("""COMPUTED_VALUE"""),"Женский")</f>
        <v>Женский</v>
      </c>
      <c r="AF108" s="6" t="str">
        <f>IFERROR(__xludf.DUMMYFUNCTION("""COMPUTED_VALUE"""),"30-44")</f>
        <v>30-44</v>
      </c>
      <c r="AG108" s="6"/>
      <c r="AH108" s="6"/>
      <c r="AI108" s="6"/>
      <c r="AJ108" s="6"/>
      <c r="AK108" s="6"/>
      <c r="AL108" s="6"/>
      <c r="AM108" s="6"/>
    </row>
    <row r="109">
      <c r="A109" s="4">
        <v>108.0</v>
      </c>
      <c r="B109" s="6" t="str">
        <f>IFERROR(__xludf.DUMMYFUNCTION("""COMPUTED_VALUE"""),"Директор ИТ компании.")</f>
        <v>Директор ИТ компании.</v>
      </c>
      <c r="C109" s="6" t="str">
        <f>IFERROR(__xludf.DUMMYFUNCTION("""COMPUTED_VALUE"""),"Иногда делаю что-нибудь из дерева. Люблю путешествовать.")</f>
        <v>Иногда делаю что-нибудь из дерева. Люблю путешествовать.</v>
      </c>
      <c r="D109" s="6" t="str">
        <f>IFERROR(__xludf.DUMMYFUNCTION("""COMPUTED_VALUE"""),"В Андреевке, называю - село. Родился и вырос в центре.")</f>
        <v>В Андреевке, называю - село. Родился и вырос в центре.</v>
      </c>
      <c r="E109" s="6" t="str">
        <f>IFERROR(__xludf.DUMMYFUNCTION("""COMPUTED_VALUE"""),"В селе - это пруд, где можно плавать летом и тайга, которую видно из окна. Когда жил в центре - это набережная, весеняя.")</f>
        <v>В селе - это пруд, где можно плавать летом и тайга, которую видно из окна. Когда жил в центре - это набережная, весеняя.</v>
      </c>
      <c r="F109" s="6" t="str">
        <f>IFERROR(__xludf.DUMMYFUNCTION("""COMPUTED_VALUE"""),"Живу здесь с рождения")</f>
        <v>Живу здесь с рождения</v>
      </c>
      <c r="G109" s="6" t="str">
        <f>IFERROR(__xludf.DUMMYFUNCTION("""COMPUTED_VALUE"""),"Центр города, пешеходные прогулки. Сосновый бор.")</f>
        <v>Центр города, пешеходные прогулки. Сосновый бор.</v>
      </c>
      <c r="H109" s="6" t="str">
        <f>IFERROR(__xludf.DUMMYFUNCTION("""COMPUTED_VALUE"""),"Смог (грязный воздух), Зелёный, Пыль, Солнечный, Природа")</f>
        <v>Смог (грязный воздух), Зелёный, Пыль, Солнечный, Природа</v>
      </c>
      <c r="I109" s="6" t="str">
        <f>IFERROR(__xludf.DUMMYFUNCTION("""COMPUTED_VALUE"""),"Михайло Волков, Леонов (не совсем кемерово, но всё же), Рутгерс.")</f>
        <v>Михайло Волков, Леонов (не совсем кемерово, но всё же), Рутгерс.</v>
      </c>
      <c r="J109" s="6" t="str">
        <f>IFERROR(__xludf.DUMMYFUNCTION("""COMPUTED_VALUE"""),"На кого ровняются понятия не имею, но много сделали: Михайлов (мэр), Тулеев (как ни крути)")</f>
        <v>На кого ровняются понятия не имею, но много сделали: Михайлов (мэр), Тулеев (как ни крути)</v>
      </c>
      <c r="K109" s="6" t="str">
        <f>IFERROR(__xludf.DUMMYFUNCTION("""COMPUTED_VALUE"""),"Я водил друзей по центру города, показывая мелкие скульптуры (стул со шляпой, срашный слон на лавочке, ещё там что-то). Томская писаница, Сосновый бор.")</f>
        <v>Я водил друзей по центру города, показывая мелкие скульптуры (стул со шляпой, срашный слон на лавочке, ещё там что-то). Томская писаница, Сосновый бор.</v>
      </c>
      <c r="L109" s="6" t="str">
        <f>IFERROR(__xludf.DUMMYFUNCTION("""COMPUTED_VALUE"""),"хз")</f>
        <v>хз</v>
      </c>
      <c r="M109" s="6" t="str">
        <f>IFERROR(__xludf.DUMMYFUNCTION("""COMPUTED_VALUE"""),"нет")</f>
        <v>нет</v>
      </c>
      <c r="N109" s="6" t="str">
        <f>IFERROR(__xludf.DUMMYFUNCTION("""COMPUTED_VALUE"""),"Чистый воздух, мягкий климат, транспортная связанность (когда можно легко улететь в другие города России, а не через МСК), современная архитектура, чистота.")</f>
        <v>Чистый воздух, мягкий климат, транспортная связанность (когда можно легко улететь в другие города России, а не через МСК), современная архитектура, чистота.</v>
      </c>
      <c r="O109" s="6" t="str">
        <f>IFERROR(__xludf.DUMMYFUNCTION("""COMPUTED_VALUE"""),"Экологию? )")</f>
        <v>Экологию? )</v>
      </c>
      <c r="P109" s="6" t="str">
        <f>IFERROR(__xludf.DUMMYFUNCTION("""COMPUTED_VALUE"""),"не интересуюсь")</f>
        <v>не интересуюсь</v>
      </c>
      <c r="Q109" s="6" t="str">
        <f>IFERROR(__xludf.DUMMYFUNCTION("""COMPUTED_VALUE"""),"не читаю новости")</f>
        <v>не читаю новости</v>
      </c>
      <c r="R109" s="6" t="str">
        <f>IFERROR(__xludf.DUMMYFUNCTION("""COMPUTED_VALUE"""),"Когда жил в центре, любой праздник был поводом свалить подальше от толп людей. Сейчас живу загордом, доволен )")</f>
        <v>Когда жил в центре, любой праздник был поводом свалить подальше от толп людей. Сейчас живу загордом, доволен )</v>
      </c>
      <c r="S109" s="6" t="str">
        <f>IFERROR(__xludf.DUMMYFUNCTION("""COMPUTED_VALUE"""),"Нет, не приходилось")</f>
        <v>Нет, не приходилось</v>
      </c>
      <c r="T109" s="6" t="str">
        <f>IFERROR(__xludf.DUMMYFUNCTION("""COMPUTED_VALUE"""),"Шахты? )")</f>
        <v>Шахты? )</v>
      </c>
      <c r="U109" s="6" t="str">
        <f>IFERROR(__xludf.DUMMYFUNCTION("""COMPUTED_VALUE"""),"Драма, набережная, бульвар.")</f>
        <v>Драма, набережная, бульвар.</v>
      </c>
      <c r="V109" s="6" t="str">
        <f>IFERROR(__xludf.DUMMYFUNCTION("""COMPUTED_VALUE"""),"-")</f>
        <v>-</v>
      </c>
      <c r="W109" s="6" t="str">
        <f>IFERROR(__xludf.DUMMYFUNCTION("""COMPUTED_VALUE"""),"Закрытые люди, которые открываются только после долгого личного общения. Недоверчивые, но надёжные.")</f>
        <v>Закрытые люди, которые открываются только после долгого личного общения. Недоверчивые, но надёжные.</v>
      </c>
      <c r="X109" s="6" t="str">
        <f>IFERROR(__xludf.DUMMYFUNCTION("""COMPUTED_VALUE"""),"Центр, конечно. Драмтеатр, весенняя, набережная, пушкина, площадь советов.")</f>
        <v>Центр, конечно. Драмтеатр, весенняя, набережная, пушкина, площадь советов.</v>
      </c>
      <c r="Y109" s="6" t="str">
        <f>IFERROR(__xludf.DUMMYFUNCTION("""COMPUTED_VALUE"""),"Нашли уголь, видимо )")</f>
        <v>Нашли уголь, видимо )</v>
      </c>
      <c r="Z109" s="6" t="str">
        <f>IFERROR(__xludf.DUMMYFUNCTION("""COMPUTED_VALUE"""),"Начались стройки. Аэропорт, заговорили про обхезд города, новые красивые дома.")</f>
        <v>Начались стройки. Аэропорт, заговорили про обхезд города, новые красивые дома.</v>
      </c>
      <c r="AA109" s="6" t="str">
        <f>IFERROR(__xludf.DUMMYFUNCTION("""COMPUTED_VALUE"""),"---")</f>
        <v>---</v>
      </c>
      <c r="AB109" s="6" t="str">
        <f>IFERROR(__xludf.DUMMYFUNCTION("""COMPUTED_VALUE"""),"не могу знать.")</f>
        <v>не могу знать.</v>
      </c>
      <c r="AC109" s="6" t="str">
        <f>IFERROR(__xludf.DUMMYFUNCTION("""COMPUTED_VALUE"""),"хз")</f>
        <v>хз</v>
      </c>
      <c r="AD109" s="6" t="str">
        <f>IFERROR(__xludf.DUMMYFUNCTION("""COMPUTED_VALUE"""),"Счастливого наблюдателя. Готов влиять не умы сотрудников, чтобы оставались жить тут )")</f>
        <v>Счастливого наблюдателя. Готов влиять не умы сотрудников, чтобы оставались жить тут )</v>
      </c>
      <c r="AE109" s="6" t="str">
        <f>IFERROR(__xludf.DUMMYFUNCTION("""COMPUTED_VALUE"""),"Мужской")</f>
        <v>Мужской</v>
      </c>
      <c r="AF109" s="6" t="str">
        <f>IFERROR(__xludf.DUMMYFUNCTION("""COMPUTED_VALUE"""),"30-44")</f>
        <v>30-44</v>
      </c>
      <c r="AG109" s="6"/>
      <c r="AH109" s="6"/>
      <c r="AI109" s="6"/>
      <c r="AJ109" s="6"/>
      <c r="AK109" s="6"/>
      <c r="AL109" s="6"/>
      <c r="AM109" s="6"/>
    </row>
    <row r="110">
      <c r="A110" s="4">
        <v>109.0</v>
      </c>
      <c r="B110" s="6" t="str">
        <f>IFERROR(__xludf.DUMMYFUNCTION("""COMPUTED_VALUE"""),"IT")</f>
        <v>IT</v>
      </c>
      <c r="C110" s="6" t="str">
        <f>IFERROR(__xludf.DUMMYFUNCTION("""COMPUTED_VALUE"""),"Лыжи, сноуборд, велосипед")</f>
        <v>Лыжи, сноуборд, велосипед</v>
      </c>
      <c r="D110" s="6" t="str">
        <f>IFERROR(__xludf.DUMMYFUNCTION("""COMPUTED_VALUE"""),"Лесная Поляна")</f>
        <v>Лесная Поляна</v>
      </c>
      <c r="E110" s="6" t="str">
        <f>IFERROR(__xludf.DUMMYFUNCTION("""COMPUTED_VALUE"""),"Лесная Поляна, Рудничный Бор, Красная Горка, Набережная, Весенняя")</f>
        <v>Лесная Поляна, Рудничный Бор, Красная Горка, Набережная, Весенняя</v>
      </c>
      <c r="F110" s="6" t="str">
        <f>IFERROR(__xludf.DUMMYFUNCTION("""COMPUTED_VALUE"""),"Переехал сюда из другого места (откуда? укажите в графе другое), Таштагольский район")</f>
        <v>Переехал сюда из другого места (откуда? укажите в графе другое), Таштагольский район</v>
      </c>
      <c r="G110" s="6" t="str">
        <f>IFERROR(__xludf.DUMMYFUNCTION("""COMPUTED_VALUE"""),"Рудничный Бор, Серебряный бор, пешеходные тропы за ботаническим садом, Набережная, Парк Победы.")</f>
        <v>Рудничный Бор, Серебряный бор, пешеходные тропы за ботаническим садом, Набережная, Парк Победы.</v>
      </c>
      <c r="H110" s="6" t="str">
        <f>IFERROR(__xludf.DUMMYFUNCTION("""COMPUTED_VALUE"""),"Природа, уголь, уют, бор, Томь")</f>
        <v>Природа, уголь, уют, бор, Томь</v>
      </c>
      <c r="I110" s="6" t="str">
        <f>IFERROR(__xludf.DUMMYFUNCTION("""COMPUTED_VALUE"""),"Михайло Волков, Себальд Рутгерс, Йоханнес ван Лохем, Алексей Леонов")</f>
        <v>Михайло Волков, Себальд Рутгерс, Йоханнес ван Лохем, Алексей Леонов</v>
      </c>
      <c r="J110" s="6" t="str">
        <f>IFERROR(__xludf.DUMMYFUNCTION("""COMPUTED_VALUE"""),"Алексей Леонов, Евгений Гришковец")</f>
        <v>Алексей Леонов, Евгений Гришковец</v>
      </c>
      <c r="K110" s="6" t="str">
        <f>IFERROR(__xludf.DUMMYFUNCTION("""COMPUTED_VALUE"""),"Пешеходный маршрут вокруг озера Суховское, памятники японским военнопленным в Серебряном бору, артефакты советского благоустройства в Рудничном бору, неофициальная смотровая площадка на Лысой горе")</f>
        <v>Пешеходный маршрут вокруг озера Суховское, памятники японским военнопленным в Серебряном бору, артефакты советского благоустройства в Рудничном бору, неофициальная смотровая площадка на Лысой горе</v>
      </c>
      <c r="L110" s="6" t="str">
        <f>IFERROR(__xludf.DUMMYFUNCTION("""COMPUTED_VALUE"""),"Студенческая притча: Михайло Волков на Площади Волкова выронит из рук кусок угля, когда из Политеха выпустится девственница.")</f>
        <v>Студенческая притча: Михайло Волков на Площади Волкова выронит из рук кусок угля, когда из Политеха выпустится девственница.</v>
      </c>
      <c r="M110" s="6" t="str">
        <f>IFERROR(__xludf.DUMMYFUNCTION("""COMPUTED_VALUE"""),"Это же Кировский! Заводский, а не Заводской!")</f>
        <v>Это же Кировский! Заводский, а не Заводской!</v>
      </c>
      <c r="N110" s="6" t="str">
        <f>IFERROR(__xludf.DUMMYFUNCTION("""COMPUTED_VALUE"""),"Дворы без машин, надземные пешеходные переходы на одном уровне с тротуарами, наличие чистых и ухоженных тротуаров, зелёные насаждения в жилых массивах и прогулочных зонах, достаточное количество чистых общественных туалетов (РАБОТАЮЩИХ!!!), приоритет у пе"&amp;"шеходов в центре города, современный бесшумный транспорт со строгим расписанием и отображением в приложении, крытые автобусные остановки, которые защищают от ветра, дождя, солнца и мороза, наличие ухоженных прогулочных зон у воды, интеграция общественных "&amp;"пространств в окружающую природу и рельеф.")</f>
        <v>Дворы без машин, надземные пешеходные переходы на одном уровне с тротуарами, наличие чистых и ухоженных тротуаров, зелёные насаждения в жилых массивах и прогулочных зонах, достаточное количество чистых общественных туалетов (РАБОТАЮЩИХ!!!), приоритет у пешеходов в центре города, современный бесшумный транспорт со строгим расписанием и отображением в приложении, крытые автобусные остановки, которые защищают от ветра, дождя, солнца и мороза, наличие ухоженных прогулочных зон у воды, интеграция общественных пространств в окружающую природу и рельеф.</v>
      </c>
      <c r="O110" s="6" t="str">
        <f>IFERROR(__xludf.DUMMYFUNCTION("""COMPUTED_VALUE"""),"Убрать ПАЗики, модернизировать трамвайную сеть и закупить современные трамваи, заменить все остановочные павильоны, вывести транзитные потоки транспорта за пределы города, посадить взрослые деревья в местах свежей застройки, переделать тротуары, чтобы на "&amp;"них не скапливалась вода. Сделать Ноградскую полностью пешеходной по аналогии с улицей Рождественка в Москве (сейчас на Ноградской транспортный коллапс: 3 полосы из 4-х заставлены автомобилями).")</f>
        <v>Убрать ПАЗики, модернизировать трамвайную сеть и закупить современные трамваи, заменить все остановочные павильоны, вывести транзитные потоки транспорта за пределы города, посадить взрослые деревья в местах свежей застройки, переделать тротуары, чтобы на них не скапливалась вода. Сделать Ноградскую полностью пешеходной по аналогии с улицей Рождественка в Москве (сейчас на Ноградской транспортный коллапс: 3 полосы из 4-х заставлены автомобилями).</v>
      </c>
      <c r="P110" s="6" t="str">
        <f>IFERROR(__xludf.DUMMYFUNCTION("""COMPUTED_VALUE"""),"Telegram, Instagram")</f>
        <v>Telegram, Instagram</v>
      </c>
      <c r="Q110" s="6" t="str">
        <f>IFERROR(__xludf.DUMMYFUNCTION("""COMPUTED_VALUE"""),"где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v>
      </c>
      <c r="R110" s="6" t="str">
        <f>IFERROR(__xludf.DUMMYFUNCTION("""COMPUTED_VALUE"""),"День Победы, День Города")</f>
        <v>День Победы, День Города</v>
      </c>
      <c r="S110" s="6" t="str">
        <f>IFERROR(__xludf.DUMMYFUNCTION("""COMPUTED_VALUE"""),"Нет, не приходилось")</f>
        <v>Нет, не приходилось</v>
      </c>
      <c r="T110" s="6" t="str">
        <f>IFERROR(__xludf.DUMMYFUNCTION("""COMPUTED_VALUE"""),"Современный красивый и уютный город, который разрушает стереотипы (не раз сталкивался) об индустриальных городах Сибири как об отсталых, грязных и вымирающих.")</f>
        <v>Современный красивый и уютный город, который разрушает стереотипы (не раз сталкивался) об индустриальных городах Сибири как об отсталых, грязных и вымирающих.</v>
      </c>
      <c r="U110" s="6" t="str">
        <f>IFERROR(__xludf.DUMMYFUNCTION("""COMPUTED_VALUE"""),"Улица Весенняя")</f>
        <v>Улица Весенняя</v>
      </c>
      <c r="V110" s="6" t="str">
        <f>IFERROR(__xludf.DUMMYFUNCTION("""COMPUTED_VALUE"""),"За 100 лет превратили несколько маленьких деревень в большой современный город. ")</f>
        <v>За 100 лет превратили несколько маленьких деревень в большой современный город. </v>
      </c>
      <c r="W110" s="6" t="str">
        <f>IFERROR(__xludf.DUMMYFUNCTION("""COMPUTED_VALUE"""),"Стойкие, терпеливые, отзывчивые, легко идут на контакт и с радостью помогают незнакомым. Поддерживают чистоту в городе и в целом относятся к родному городу с уважением.")</f>
        <v>Стойкие, терпеливые, отзывчивые, легко идут на контакт и с радостью помогают незнакомым. Поддерживают чистоту в городе и в целом относятся к родному городу с уважением.</v>
      </c>
      <c r="X110" s="6" t="str">
        <f>IFERROR(__xludf.DUMMYFUNCTION("""COMPUTED_VALUE"""),"Площадь Волкова - Весенняя - Набережная - тротуар вдоль ЖК Каравелла от Набережной до Филармонии - парк у Филармонии - Парк Победы - парк Антошка с уточками.")</f>
        <v>Площадь Волкова - Весенняя - Набережная - тротуар вдоль ЖК Каравелла от Набережной до Филармонии - парк у Филармонии - Парк Победы - парк Антошка с уточками.</v>
      </c>
      <c r="Y110" s="6" t="str">
        <f>IFERROR(__xludf.DUMMYFUNCTION("""COMPUTED_VALUE"""),"Появление КопиКуза")</f>
        <v>Появление КопиКуза</v>
      </c>
      <c r="Z110" s="6" t="str">
        <f>IFERROR(__xludf.DUMMYFUNCTION("""COMPUTED_VALUE"""),"Просмотр матчей ЧМ по футболу на большом экране на Бульваре Строителей, фестиваль ""Легенды мирового Рока"".")</f>
        <v>Просмотр матчей ЧМ по футболу на большом экране на Бульваре Строителей, фестиваль "Легенды мирового Рока".</v>
      </c>
      <c r="AA110" s="6" t="str">
        <f>IFERROR(__xludf.DUMMYFUNCTION("""COMPUTED_VALUE"""),"Пожар в ТЦ Зимняя Вишня, смог над Центром, вырубка большого количества взрослых деревьев и их замена на метровые саженцы, вырвиглазный  безвкусный дизайн у новых соц.объектов (школы, детские сады), уплотнение застройки в старых районах.")</f>
        <v>Пожар в ТЦ Зимняя Вишня, смог над Центром, вырубка большого количества взрослых деревьев и их замена на метровые саженцы, вырвиглазный  безвкусный дизайн у новых соц.объектов (школы, детские сады), уплотнение застройки в старых районах.</v>
      </c>
      <c r="AB110" s="6" t="str">
        <f>IFERROR(__xludf.DUMMYFUNCTION("""COMPUTED_VALUE"""),"Сообщество, которое бы занималось обоснованной критикой недостатков города, предлагало варианты исправления, и к ним бы прислушивались.")</f>
        <v>Сообщество, которое бы занималось обоснованной критикой недостатков города, предлагало варианты исправления, и к ним бы прислушивались.</v>
      </c>
      <c r="AC110" s="6" t="str">
        <f>IFERROR(__xludf.DUMMYFUNCTION("""COMPUTED_VALUE"""),"Фестивали наподобие Легенд мирового рока, крупные спортивные мероприятия, способные притянуть зрителей из других город России, а в идеале - мира.")</f>
        <v>Фестивали наподобие Легенд мирового рока, крупные спортивные мероприятия, способные притянуть зрителей из других город России, а в идеале - мира.</v>
      </c>
      <c r="AD110" s="6" t="str">
        <f>IFERROR(__xludf.DUMMYFUNCTION("""COMPUTED_VALUE"""),"Привнесение логического обоснования в прорабатываемые варианты благоустройства")</f>
        <v>Привнесение логического обоснования в прорабатываемые варианты благоустройства</v>
      </c>
      <c r="AE110" s="6" t="str">
        <f>IFERROR(__xludf.DUMMYFUNCTION("""COMPUTED_VALUE"""),"Мужской")</f>
        <v>Мужской</v>
      </c>
      <c r="AF110" s="6" t="str">
        <f>IFERROR(__xludf.DUMMYFUNCTION("""COMPUTED_VALUE"""),"30-44")</f>
        <v>30-44</v>
      </c>
      <c r="AG110" s="6"/>
      <c r="AH110" s="6"/>
      <c r="AI110" s="6"/>
      <c r="AJ110" s="6"/>
      <c r="AK110" s="6"/>
      <c r="AL110" s="6"/>
      <c r="AM110" s="6"/>
    </row>
    <row r="111">
      <c r="A111" s="4">
        <v>110.0</v>
      </c>
      <c r="B111" s="6" t="str">
        <f>IFERROR(__xludf.DUMMYFUNCTION("""COMPUTED_VALUE"""),"IT сфера")</f>
        <v>IT сфера</v>
      </c>
      <c r="C111" s="6" t="str">
        <f>IFERROR(__xludf.DUMMYFUNCTION("""COMPUTED_VALUE"""),"читаю, рисую, смотрю сериалы.")</f>
        <v>читаю, рисую, смотрю сериалы.</v>
      </c>
      <c r="D111" s="6" t="str">
        <f>IFERROR(__xludf.DUMMYFUNCTION("""COMPUTED_VALUE"""),"Южный")</f>
        <v>Южный</v>
      </c>
      <c r="E111" s="6" t="str">
        <f>IFERROR(__xludf.DUMMYFUNCTION("""COMPUTED_VALUE"""),"В районе не знаю, недавно тут живу. До этого жила в Ленинском районе, там Бульвар(прогулочная аллея), дорога по полям через пр. Комсомольский до реки Томь.")</f>
        <v>В районе не знаю, недавно тут живу. До этого жила в Ленинском районе, там Бульвар(прогулочная аллея), дорога по полям через пр. Комсомольский до реки Томь.</v>
      </c>
      <c r="F111" s="6" t="str">
        <f>IFERROR(__xludf.DUMMYFUNCTION("""COMPUTED_VALUE"""),"Живу здесь с рождения")</f>
        <v>Живу здесь с рождения</v>
      </c>
      <c r="G111" s="6" t="str">
        <f>IFERROR(__xludf.DUMMYFUNCTION("""COMPUTED_VALUE"""),"Езжу на район Лесная Поляна, в д.Журавли, в городе в основном это набережная в центре города.")</f>
        <v>Езжу на район Лесная Поляна, в д.Журавли, в городе в основном это набережная в центре города.</v>
      </c>
      <c r="H111" s="6" t="str">
        <f>IFERROR(__xludf.DUMMYFUNCTION("""COMPUTED_VALUE"""),"Уютный, Зеленый, Тоскливый(зимой когда темно и нечем дышать из за выбросов), Компактный.")</f>
        <v>Уютный, Зеленый, Тоскливый(зимой когда темно и нечем дышать из за выбросов), Компактный.</v>
      </c>
      <c r="I111" s="6" t="str">
        <f>IFERROR(__xludf.DUMMYFUNCTION("""COMPUTED_VALUE"""),"не особо вникала в историю города, вот так на вскидку ничего сразу на ум не приходит.")</f>
        <v>не особо вникала в историю города, вот так на вскидку ничего сразу на ум не приходит.</v>
      </c>
      <c r="J111" s="6" t="str">
        <f>IFERROR(__xludf.DUMMYFUNCTION("""COMPUTED_VALUE"""),"Гришковец да и всё пожалуй.")</f>
        <v>Гришковец да и всё пожалуй.</v>
      </c>
      <c r="K111" s="6" t="str">
        <f>IFERROR(__xludf.DUMMYFUNCTION("""COMPUTED_VALUE"""),"набережную в центре города, сам центр города по ул. Весенняя, аллею на бульваре строителей, кадетский корпус(там сейчас очень красиво и можно погулять), Лесную поляну.")</f>
        <v>набережную в центре города, сам центр города по ул. Весенняя, аллею на бульваре строителей, кадетский корпус(там сейчас очень красиво и можно погулять), Лесную поляну.</v>
      </c>
      <c r="L111" s="6" t="str">
        <f>IFERROR(__xludf.DUMMYFUNCTION("""COMPUTED_VALUE"""),"не знаю таких.")</f>
        <v>не знаю таких.</v>
      </c>
      <c r="M111" s="6" t="str">
        <f>IFERROR(__xludf.DUMMYFUNCTION("""COMPUTED_VALUE"""),"кроме оскорбительного Щегловск9его именно так чаще всего употребляют, хотя я ничего плохого в этом не вижу) не знаю таких.")</f>
        <v>кроме оскорбительного Щегловск9его именно так чаще всего употребляют, хотя я ничего плохого в этом не вижу) не знаю таких.</v>
      </c>
      <c r="N111" s="6" t="str">
        <f>IFERROR(__xludf.DUMMYFUNCTION("""COMPUTED_VALUE"""),"Компактность, Наличие Аллей, парков, удобство для всех слоев населения(мамы с колясками, люди с ограниченными возможностями) чистота, велодорожки, магазины известных брендов.")</f>
        <v>Компактность, Наличие Аллей, парков, удобство для всех слоев населения(мамы с колясками, люди с ограниченными возможностями) чистота, велодорожки, магазины известных брендов.</v>
      </c>
      <c r="O111" s="6" t="str">
        <f>IFERROR(__xludf.DUMMYFUNCTION("""COMPUTED_VALUE"""),"дороги, привести в порядок дома, и сделать это не только с лицевой стороны но и со стороны дворов а то смотрится убого. ")</f>
        <v>дороги, привести в порядок дома, и сделать это не только с лицевой стороны но и со стороны дворов а то смотрится убого. </v>
      </c>
      <c r="P111" s="6" t="str">
        <f>IFERROR(__xludf.DUMMYFUNCTION("""COMPUTED_VALUE"""),"друзья, каналы в телеграме, работа.")</f>
        <v>друзья, каналы в телеграме, работа.</v>
      </c>
      <c r="Q111" s="6" t="str">
        <f>IFERROR(__xludf.DUMMYFUNCTION("""COMPUTED_VALUE"""),"городская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v>
      </c>
      <c r="R111" s="6" t="str">
        <f>IFERROR(__xludf.DUMMYFUNCTION("""COMPUTED_VALUE"""),"нет таких.")</f>
        <v>нет таких.</v>
      </c>
      <c r="S111" s="6" t="str">
        <f>IFERROR(__xludf.DUMMYFUNCTION("""COMPUTED_VALUE"""),"Нет, не приходилось")</f>
        <v>Нет, не приходилось</v>
      </c>
      <c r="T111" s="6" t="str">
        <f>IFERROR(__xludf.DUMMYFUNCTION("""COMPUTED_VALUE"""),"позитивного не знаю.")</f>
        <v>позитивного не знаю.</v>
      </c>
      <c r="U111" s="6" t="str">
        <f>IFERROR(__xludf.DUMMYFUNCTION("""COMPUTED_VALUE"""),"вечный огонь в центре города")</f>
        <v>вечный огонь в центре города</v>
      </c>
      <c r="V111" s="6" t="str">
        <f>IFERROR(__xludf.DUMMYFUNCTION("""COMPUTED_VALUE"""),"не знаю такого.")</f>
        <v>не знаю такого.</v>
      </c>
      <c r="W111" s="6" t="str">
        <f>IFERROR(__xludf.DUMMYFUNCTION("""COMPUTED_VALUE"""),"угрюмые зимой добрые летом, лояльные.")</f>
        <v>угрюмые зимой добрые летом, лояльные.</v>
      </c>
      <c r="X111" s="6" t="str">
        <f>IFERROR(__xludf.DUMMYFUNCTION("""COMPUTED_VALUE"""),"обойти весь центр города.")</f>
        <v>обойти весь центр города.</v>
      </c>
      <c r="Y111" s="6" t="str">
        <f>IFERROR(__xludf.DUMMYFUNCTION("""COMPUTED_VALUE"""),"строительство новых культурных и значимых объектов в рамках страны.")</f>
        <v>строительство новых культурных и значимых объектов в рамках страны.</v>
      </c>
      <c r="Z111" s="6" t="str">
        <f>IFERROR(__xludf.DUMMYFUNCTION("""COMPUTED_VALUE"""),"нет таких.")</f>
        <v>нет таких.</v>
      </c>
      <c r="AA111" s="6" t="str">
        <f>IFERROR(__xludf.DUMMYFUNCTION("""COMPUTED_VALUE"""),"пожар в ТЦ, отсутствие уборки снега, увеличение выбросов в воздух(раньше не было такого постоянного смога в городе), ужасное состояние дорожного покрытия по всему городу, даже там где всегда всё было хорошо с этим.")</f>
        <v>пожар в ТЦ, отсутствие уборки снега, увеличение выбросов в воздух(раньше не было такого постоянного смога в городе), ужасное состояние дорожного покрытия по всему городу, даже там где всегда всё было хорошо с этим.</v>
      </c>
      <c r="AB111" s="6" t="str">
        <f>IFERROR(__xludf.DUMMYFUNCTION("""COMPUTED_VALUE"""),"молодежных по интересам и здоровому образу жизни.")</f>
        <v>молодежных по интересам и здоровому образу жизни.</v>
      </c>
      <c r="AC111" s="6" t="str">
        <f>IFERROR(__xludf.DUMMYFUNCTION("""COMPUTED_VALUE"""),"только не салюты, театральные представления с известными актерами на всю страну. ")</f>
        <v>только не салюты, театральные представления с известными актерами на всю страну. </v>
      </c>
      <c r="AD111" s="6" t="str">
        <f>IFERROR(__xludf.DUMMYFUNCTION("""COMPUTED_VALUE"""),"если бы был список для выбора было бы проще.")</f>
        <v>если бы был список для выбора было бы проще.</v>
      </c>
      <c r="AE111" s="6" t="str">
        <f>IFERROR(__xludf.DUMMYFUNCTION("""COMPUTED_VALUE"""),"Женский")</f>
        <v>Женский</v>
      </c>
      <c r="AF111" s="6" t="str">
        <f>IFERROR(__xludf.DUMMYFUNCTION("""COMPUTED_VALUE"""),"30-44")</f>
        <v>30-44</v>
      </c>
      <c r="AG111" s="6"/>
      <c r="AH111" s="6"/>
      <c r="AI111" s="6"/>
      <c r="AJ111" s="6"/>
      <c r="AK111" s="6"/>
      <c r="AL111" s="6"/>
      <c r="AM111" s="6"/>
    </row>
    <row r="112">
      <c r="A112" s="4">
        <v>111.0</v>
      </c>
      <c r="B112" s="6" t="str">
        <f>IFERROR(__xludf.DUMMYFUNCTION("""COMPUTED_VALUE"""),"образование")</f>
        <v>образование</v>
      </c>
      <c r="C112" s="6" t="str">
        <f>IFERROR(__xludf.DUMMYFUNCTION("""COMPUTED_VALUE"""),"мототуризм")</f>
        <v>мототуризм</v>
      </c>
      <c r="D112" s="6" t="str">
        <f>IFERROR(__xludf.DUMMYFUNCTION("""COMPUTED_VALUE"""),"Верхний Бульвар (Город Сад ) )))")</f>
        <v>Верхний Бульвар (Город Сад ) )))</v>
      </c>
      <c r="E112" s="6" t="str">
        <f>IFERROR(__xludf.DUMMYFUNCTION("""COMPUTED_VALUE"""),"Агропарк, прогулочная зона на Бульваре Строителей")</f>
        <v>Агропарк, прогулочная зона на Бульваре Строителей</v>
      </c>
      <c r="F112" s="6" t="str">
        <f>IFERROR(__xludf.DUMMYFUNCTION("""COMPUTED_VALUE"""),"Живу здесь с рождения")</f>
        <v>Живу здесь с рождения</v>
      </c>
      <c r="G112" s="6" t="str">
        <f>IFERROR(__xludf.DUMMYFUNCTION("""COMPUTED_VALUE"""),"Набережная, Сосновый бор, Красная горка")</f>
        <v>Набережная, Сосновый бор, Красная горка</v>
      </c>
      <c r="H112" s="6" t="str">
        <f>IFERROR(__xludf.DUMMYFUNCTION("""COMPUTED_VALUE"""),"уголь, Родина, родители, детство, Политех")</f>
        <v>уголь, Родина, родители, детство, Политех</v>
      </c>
      <c r="I112" s="6" t="str">
        <f>IFERROR(__xludf.DUMMYFUNCTION("""COMPUTED_VALUE"""),", Михайло Волков, Бобров А.К., Горбачёв Т.Ф., Иоханес Бернардес ван Лохем, Рутгерс Себальд, Алексей Леонов
")</f>
        <v>, Михайло Волков, Бобров А.К., Горбачёв Т.Ф., Иоханес Бернардес ван Лохем, Рутгерс Себальд, Алексей Леонов
</v>
      </c>
      <c r="J112" s="6" t="str">
        <f>IFERROR(__xludf.DUMMYFUNCTION("""COMPUTED_VALUE"""),"Владимир Михайлов, Илья Середюк, Виталий Раздаев, Сергей Наседкин")</f>
        <v>Владимир Михайлов, Илья Середюк, Виталий Раздаев, Сергей Наседкин</v>
      </c>
      <c r="K112" s="6" t="str">
        <f>IFERROR(__xludf.DUMMYFUNCTION("""COMPUTED_VALUE"""),"Красная Горка, смотровая площадка на Лысой горе, Сосновый Бор, старая пристань, старый жд вокзал с водокачкой, лодочную станцию в Красновке, дом Губкиных, фонтан с шахтёрами, барельеф на пятом корпусе КузГТУ, Белаз во дморе КузГТУ, Набережную, пушки у Кра"&amp;"еведческого музея, фонтан у драмы
")</f>
        <v>Красная Горка, смотровая площадка на Лысой горе, Сосновый Бор, старая пристань, старый жд вокзал с водокачкой, лодочную станцию в Красновке, дом Губкиных, фонтан с шахтёрами, барельеф на пятом корпусе КузГТУ, Белаз во дморе КузГТУ, Набережную, пушки у Краеведческого музея, фонтан у драмы
</v>
      </c>
      <c r="L112" s="6" t="str">
        <f>IFERROR(__xludf.DUMMYFUNCTION("""COMPUTED_VALUE"""),"в Кемерово кто то на свадьбу принёс семечки, пить так и не начали ))))")</f>
        <v>в Кемерово кто то на свадьбу принёс семечки, пить так и не начали ))))</v>
      </c>
      <c r="M112" s="6" t="str">
        <f>IFERROR(__xludf.DUMMYFUNCTION("""COMPUTED_VALUE"""),"родина там где мультифора ))))")</f>
        <v>родина там где мультифора ))))</v>
      </c>
      <c r="N112" s="6" t="str">
        <f>IFERROR(__xludf.DUMMYFUNCTION("""COMPUTED_VALUE"""),"здесь живут все мои родные и близкие, я увлечён историей города (что гдекогда развивалось, или строилось), здесь прошла вся моя жизнь, неплохая инфраструктура")</f>
        <v>здесь живут все мои родные и близкие, я увлечён историей города (что гдекогда развивалось, или строилось), здесь прошла вся моя жизнь, неплохая инфраструктура</v>
      </c>
      <c r="O112" s="6" t="str">
        <f>IFERROR(__xludf.DUMMYFUNCTION("""COMPUTED_VALUE"""),"Убрать малоэтажные дома из районов где они уже разваливаются, запустить Лазурный, повысить озеленение в районах (деревья)")</f>
        <v>Убрать малоэтажные дома из районов где они уже разваливаются, запустить Лазурный, повысить озеленение в районах (деревья)</v>
      </c>
      <c r="P112" s="6" t="str">
        <f>IFERROR(__xludf.DUMMYFUNCTION("""COMPUTED_VALUE"""),"кемеровские группы в контакте и фейсбуке")</f>
        <v>кемеровские группы в контакте и фейсбуке</v>
      </c>
      <c r="Q11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ак"&amp;"ции/запуск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12" s="6" t="str">
        <f>IFERROR(__xludf.DUMMYFUNCTION("""COMPUTED_VALUE"""),"Масленицы в районах, ")</f>
        <v>Масленицы в районах, </v>
      </c>
      <c r="S112"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создавать новости эт"&amp;"о моя работа")</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создавать новости это моя работа</v>
      </c>
      <c r="T112" s="6" t="str">
        <f>IFERROR(__xludf.DUMMYFUNCTION("""COMPUTED_VALUE"""),"ГОСТЕПРИИМСТВОМ, ВЗАИМОВЫРУЧКОЙ, это отмечают все наши гости")</f>
        <v>ГОСТЕПРИИМСТВОМ, ВЗАИМОВЫРУЧКОЙ, это отмечают все наши гости</v>
      </c>
      <c r="U112" s="6" t="str">
        <f>IFERROR(__xludf.DUMMYFUNCTION("""COMPUTED_VALUE"""),"фонтан у Драмы")</f>
        <v>фонтан у Драмы</v>
      </c>
      <c r="V112" s="6" t="str">
        <f>IFERROR(__xludf.DUMMYFUNCTION("""COMPUTED_VALUE"""),"построили и прославили наш город и регион, сохранили Сосновый бор, воспитали огромный пласт деятелей культуры, науки и промышленности ")</f>
        <v>построили и прославили наш город и регион, сохранили Сосновый бор, воспитали огромный пласт деятелей культуры, науки и промышленности </v>
      </c>
      <c r="W112" s="6" t="str">
        <f>IFERROR(__xludf.DUMMYFUNCTION("""COMPUTED_VALUE"""),"суровые, но добрые, гостеприимные")</f>
        <v>суровые, но добрые, гостеприимные</v>
      </c>
      <c r="X112" s="6" t="str">
        <f>IFERROR(__xludf.DUMMYFUNCTION("""COMPUTED_VALUE"""),"от фонтана по пр Советскому до Горсада, там круг по нему, и по Набережной, до Орбиты, и по Арочной обратно к фонтану
")</f>
        <v>от фонтана по пр Советскому до Горсада, там круг по нему, и по Набережной, до Орбиты, и по Арочной обратно к фонтану
</v>
      </c>
      <c r="Y112" s="6" t="str">
        <f>IFERROR(__xludf.DUMMYFUNCTION("""COMPUTED_VALUE"""),"открытие Горелой горы и последующая разработка её")</f>
        <v>открытие Горелой горы и последующая разработка её</v>
      </c>
      <c r="Z112" s="6" t="str">
        <f>IFERROR(__xludf.DUMMYFUNCTION("""COMPUTED_VALUE"""),"Рок концерт Стройсервиса,  спектакль Бульвар надежд в осенних листьях (про наш город), массовые стройки Культурного кластера, строительство терминала в аэропорту")</f>
        <v>Рок концерт Стройсервиса,  спектакль Бульвар надежд в осенних листьях (про наш город), массовые стройки Культурного кластера, строительство терминала в аэропорту</v>
      </c>
      <c r="AA112" s="6" t="str">
        <f>IFERROR(__xludf.DUMMYFUNCTION("""COMPUTED_VALUE"""),"не могу вспомнить")</f>
        <v>не могу вспомнить</v>
      </c>
      <c r="AB112" s="6" t="str">
        <f>IFERROR(__xludf.DUMMYFUNCTION("""COMPUTED_VALUE"""),"наверное всё в разной мере присутствует")</f>
        <v>наверное всё в разной мере присутствует</v>
      </c>
      <c r="AC112" s="6" t="str">
        <f>IFERROR(__xludf.DUMMYFUNCTION("""COMPUTED_VALUE"""),"встречи с администрацией, для обмена напрямую информацией о проблемах в городе")</f>
        <v>встречи с администрацией, для обмена напрямую информацией о проблемах в городе</v>
      </c>
      <c r="AD112" s="6" t="str">
        <f>IFERROR(__xludf.DUMMYFUNCTION("""COMPUTED_VALUE"""),"советник, исполнитель могу быть полезным во всех сферах")</f>
        <v>советник, исполнитель могу быть полезным во всех сферах</v>
      </c>
      <c r="AE112" s="6" t="str">
        <f>IFERROR(__xludf.DUMMYFUNCTION("""COMPUTED_VALUE"""),"Мужской")</f>
        <v>Мужской</v>
      </c>
      <c r="AF112" s="6" t="str">
        <f>IFERROR(__xludf.DUMMYFUNCTION("""COMPUTED_VALUE"""),"45-55")</f>
        <v>45-55</v>
      </c>
      <c r="AG112" s="6"/>
      <c r="AH112" s="6"/>
      <c r="AI112" s="6"/>
      <c r="AJ112" s="6"/>
      <c r="AK112" s="6"/>
      <c r="AL112" s="6"/>
      <c r="AM112" s="6"/>
    </row>
    <row r="113">
      <c r="A113" s="4">
        <v>112.0</v>
      </c>
      <c r="B113" s="6" t="str">
        <f>IFERROR(__xludf.DUMMYFUNCTION("""COMPUTED_VALUE"""),"Сотрудник цкп ")</f>
        <v>Сотрудник цкп </v>
      </c>
      <c r="C113" s="6" t="str">
        <f>IFERROR(__xludf.DUMMYFUNCTION("""COMPUTED_VALUE"""),"Люблю находиться на природе и свежем воздухе, гулять, читать ")</f>
        <v>Люблю находиться на природе и свежем воздухе, гулять, читать </v>
      </c>
      <c r="D113" s="6" t="str">
        <f>IFERROR(__xludf.DUMMYFUNCTION("""COMPUTED_VALUE"""),"Фпк ")</f>
        <v>Фпк </v>
      </c>
      <c r="E113" s="6" t="str">
        <f>IFERROR(__xludf.DUMMYFUNCTION("""COMPUTED_VALUE"""),"Парк новорождённых ")</f>
        <v>Парк новорождённых </v>
      </c>
      <c r="F113" s="6" t="str">
        <f>IFERROR(__xludf.DUMMYFUNCTION("""COMPUTED_VALUE"""),"Живу здесь с рождения")</f>
        <v>Живу здесь с рождения</v>
      </c>
      <c r="G113" s="6" t="str">
        <f>IFERROR(__xludf.DUMMYFUNCTION("""COMPUTED_VALUE"""),"Набережная, фонтан, вечный огонь")</f>
        <v>Набережная, фонтан, вечный огонь</v>
      </c>
      <c r="H113" s="6" t="str">
        <f>IFERROR(__xludf.DUMMYFUNCTION("""COMPUTED_VALUE"""),"Дым, мусор, собачий кал, клумба,река")</f>
        <v>Дым, мусор, собачий кал, клумба,река</v>
      </c>
      <c r="I113" s="6" t="str">
        <f>IFERROR(__xludf.DUMMYFUNCTION("""COMPUTED_VALUE"""),"Михайло Волков, Вера Волошина")</f>
        <v>Михайло Волков, Вера Волошина</v>
      </c>
      <c r="J113" s="6" t="str">
        <f>IFERROR(__xludf.DUMMYFUNCTION("""COMPUTED_VALUE"""),"Аман Тулеев")</f>
        <v>Аман Тулеев</v>
      </c>
      <c r="K113" s="6" t="str">
        <f>IFERROR(__xludf.DUMMYFUNCTION("""COMPUTED_VALUE"""),"Памятник шахтерам ")</f>
        <v>Памятник шахтерам </v>
      </c>
      <c r="L113" s="6" t="str">
        <f>IFERROR(__xludf.DUMMYFUNCTION("""COMPUTED_VALUE"""),"Нет таких")</f>
        <v>Нет таких</v>
      </c>
      <c r="M113" s="6" t="str">
        <f>IFERROR(__xludf.DUMMYFUNCTION("""COMPUTED_VALUE"""),"Кемеровохлеб")</f>
        <v>Кемеровохлеб</v>
      </c>
      <c r="N113" s="6" t="str">
        <f>IFERROR(__xludf.DUMMYFUNCTION("""COMPUTED_VALUE"""),"Безопасность детей ( парки, площадки),чистота, чистый воздух, озеленение, больше площадок для Семьи и детей ")</f>
        <v>Безопасность детей ( парки, площадки),чистота, чистый воздух, озеленение, больше площадок для Семьи и детей </v>
      </c>
      <c r="O113" s="6" t="str">
        <f>IFERROR(__xludf.DUMMYFUNCTION("""COMPUTED_VALUE"""),"Ввести обязательными штрафы за оставленный собачий кал на улице!!!!!!")</f>
        <v>Ввести обязательными штрафы за оставленный собачий кал на улице!!!!!!</v>
      </c>
      <c r="P113" s="6" t="str">
        <f>IFERROR(__xludf.DUMMYFUNCTION("""COMPUTED_VALUE"""),"А42,Инстаграмм ")</f>
        <v>А42,Инстаграмм </v>
      </c>
      <c r="Q113" s="6" t="str">
        <f>IFERROR(__xludf.DUMMYFUNCTION("""COMPUTED_VALUE"""),"культурные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f>
        <v>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v>
      </c>
      <c r="R113" s="6" t="str">
        <f>IFERROR(__xludf.DUMMYFUNCTION("""COMPUTED_VALUE"""),"9 мая, день города, 1 сентября ")</f>
        <v>9 мая, день города, 1 сентября </v>
      </c>
      <c r="S113" s="6" t="str">
        <f>IFERROR(__xludf.DUMMYFUNCTION("""COMPUTED_VALUE"""),"Делал рассылку по электронной почте, Обращался в редакции электронных городских СМИ")</f>
        <v>Делал рассылку по электронной почте, Обращался в редакции электронных городских СМИ</v>
      </c>
      <c r="T113" s="6" t="str">
        <f>IFERROR(__xludf.DUMMYFUNCTION("""COMPUTED_VALUE"""),"Угледобывающими шахтами, заводами")</f>
        <v>Угледобывающими шахтами, заводами</v>
      </c>
      <c r="U113" s="6" t="str">
        <f>IFERROR(__xludf.DUMMYFUNCTION("""COMPUTED_VALUE"""),"Главпочтамт ")</f>
        <v>Главпочтамт </v>
      </c>
      <c r="V113" s="6" t="str">
        <f>IFERROR(__xludf.DUMMYFUNCTION("""COMPUTED_VALUE"""),"Открывали и работали на заводах, которые в данный момент закрыты ")</f>
        <v>Открывали и работали на заводах, которые в данный момент закрыты </v>
      </c>
      <c r="W113" s="6" t="str">
        <f>IFERROR(__xludf.DUMMYFUNCTION("""COMPUTED_VALUE"""),"Злые, лицемерные, а иногда, очень доверчивые и глупые")</f>
        <v>Злые, лицемерные, а иногда, очень доверчивые и глупые</v>
      </c>
      <c r="X113" s="6" t="str">
        <f>IFERROR(__xludf.DUMMYFUNCTION("""COMPUTED_VALUE"""),"Маршрутное такси #5( но лучше, конечно, на трамвае)")</f>
        <v>Маршрутное такси #5( но лучше, конечно, на трамвае)</v>
      </c>
      <c r="Y113" s="6" t="str">
        <f>IFERROR(__xludf.DUMMYFUNCTION("""COMPUTED_VALUE"""),"Зимняя вишня ,пожар, и открытие на этом месте кладбища- парк для прогулок")</f>
        <v>Зимняя вишня ,пожар, и открытие на этом месте кладбища- парк для прогулок</v>
      </c>
      <c r="Z113" s="6" t="str">
        <f>IFERROR(__xludf.DUMMYFUNCTION("""COMPUTED_VALUE"""),"Нет таких")</f>
        <v>Нет таких</v>
      </c>
      <c r="AA113" s="6" t="str">
        <f>IFERROR(__xludf.DUMMYFUNCTION("""COMPUTED_VALUE"""),"Масочный режим, безразличие врачей в момент ковида ")</f>
        <v>Масочный режим, безразличие врачей в момент ковида </v>
      </c>
      <c r="AB113" s="6" t="str">
        <f>IFERROR(__xludf.DUMMYFUNCTION("""COMPUTED_VALUE"""),"Нет таких")</f>
        <v>Нет таких</v>
      </c>
      <c r="AC113" s="6" t="str">
        <f>IFERROR(__xludf.DUMMYFUNCTION("""COMPUTED_VALUE"""),"Детских, в первую очередь все для детей ")</f>
        <v>Детских, в первую очередь все для детей </v>
      </c>
      <c r="AD113" s="6" t="str">
        <f>IFERROR(__xludf.DUMMYFUNCTION("""COMPUTED_VALUE"""),"Нет таких")</f>
        <v>Нет таких</v>
      </c>
      <c r="AE113" s="6" t="str">
        <f>IFERROR(__xludf.DUMMYFUNCTION("""COMPUTED_VALUE"""),"Женский")</f>
        <v>Женский</v>
      </c>
      <c r="AF113" s="6" t="str">
        <f>IFERROR(__xludf.DUMMYFUNCTION("""COMPUTED_VALUE"""),"30-44")</f>
        <v>30-44</v>
      </c>
      <c r="AG113" s="6"/>
      <c r="AH113" s="6"/>
      <c r="AI113" s="6"/>
      <c r="AJ113" s="6"/>
      <c r="AK113" s="6"/>
      <c r="AL113" s="6"/>
      <c r="AM113" s="6"/>
    </row>
    <row r="114">
      <c r="A114" s="4">
        <v>113.0</v>
      </c>
      <c r="B114" s="6" t="str">
        <f>IFERROR(__xludf.DUMMYFUNCTION("""COMPUTED_VALUE"""),"Сфера маркетинга")</f>
        <v>Сфера маркетинга</v>
      </c>
      <c r="C114" s="6" t="str">
        <f>IFERROR(__xludf.DUMMYFUNCTION("""COMPUTED_VALUE"""),"Велосипед, арт, комиксы, плейстейшн")</f>
        <v>Велосипед, арт, комиксы, плейстейшн</v>
      </c>
      <c r="D114" s="6" t="str">
        <f>IFERROR(__xludf.DUMMYFUNCTION("""COMPUTED_VALUE"""),"Центральный. Называю ""Цирк"", ибо живу в районе цирка")</f>
        <v>Центральный. Называю "Цирк", ибо живу в районе цирка</v>
      </c>
      <c r="E114" s="6" t="str">
        <f>IFERROR(__xludf.DUMMYFUNCTION("""COMPUTED_VALUE"""),"Более-менее приличный сквер за тем самым, ветхим цирком. Пешеходный бульварчик на пионерском")</f>
        <v>Более-менее приличный сквер за тем самым, ветхим цирком. Пешеходный бульварчик на пионерском</v>
      </c>
      <c r="F114" s="6" t="str">
        <f>IFERROR(__xludf.DUMMYFUNCTION("""COMPUTED_VALUE"""),"Живу здесь с рождения")</f>
        <v>Живу здесь с рождения</v>
      </c>
      <c r="G114" s="6" t="str">
        <f>IFERROR(__xludf.DUMMYFUNCTION("""COMPUTED_VALUE"""),"Набережная, весенняя, рудничный бор. На велосипеде от центра до комсомольского проспекта и обратно.")</f>
        <v>Набережная, весенняя, рудничный бор. На велосипеде от центра до комсомольского проспекта и обратно.</v>
      </c>
      <c r="H114" s="6" t="str">
        <f>IFERROR(__xludf.DUMMYFUNCTION("""COMPUTED_VALUE"""),"Кузбасс, уголь, провинция, Сибирь, смог")</f>
        <v>Кузбасс, уголь, провинция, Сибирь, смог</v>
      </c>
      <c r="I114" s="6" t="str">
        <f>IFERROR(__xludf.DUMMYFUNCTION("""COMPUTED_VALUE"""),"-")</f>
        <v>-</v>
      </c>
      <c r="J114" s="6" t="str">
        <f>IFERROR(__xludf.DUMMYFUNCTION("""COMPUTED_VALUE"""),"Гришковец, Леонов")</f>
        <v>Гришковец, Леонов</v>
      </c>
      <c r="K114" s="6" t="str">
        <f>IFERROR(__xludf.DUMMYFUNCTION("""COMPUTED_VALUE"""),"Лесная Поляна, набережная, бор + холм с буквами Кузбасс")</f>
        <v>Лесная Поляна, набережная, бор + холм с буквами Кузбасс</v>
      </c>
      <c r="L114" s="6" t="str">
        <f>IFERROR(__xludf.DUMMYFUNCTION("""COMPUTED_VALUE"""),"-")</f>
        <v>-</v>
      </c>
      <c r="M114" s="6" t="str">
        <f>IFERROR(__xludf.DUMMYFUNCTION("""COMPUTED_VALUE"""),"-")</f>
        <v>-</v>
      </c>
      <c r="N114" s="6" t="str">
        <f>IFERROR(__xludf.DUMMYFUNCTION("""COMPUTED_VALUE"""),"1. Рынок труда, 2. Досуг, 3. Экология, 4. Климат, 5. цены на жилье")</f>
        <v>1. Рынок труда, 2. Досуг, 3. Экология, 4. Климат, 5. цены на жилье</v>
      </c>
      <c r="O114" s="6" t="str">
        <f>IFERROR(__xludf.DUMMYFUNCTION("""COMPUTED_VALUE"""),"Больше арт-пространств и арт-объектов, больше нестандартных архитектурных решений, больше площадок для проведения мероприятий, меньше серости, меньше колхозности.")</f>
        <v>Больше арт-пространств и арт-объектов, больше нестандартных архитектурных решений, больше площадок для проведения мероприятий, меньше серости, меньше колхозности.</v>
      </c>
      <c r="P114" s="6" t="str">
        <f>IFERROR(__xludf.DUMMYFUNCTION("""COMPUTED_VALUE"""),"Интсаграм, сарафанное радио")</f>
        <v>Интсаграм, сарафанное радио</v>
      </c>
      <c r="Q114"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14" s="6" t="str">
        <f>IFERROR(__xludf.DUMMYFUNCTION("""COMPUTED_VALUE"""),"Концерты, выставки, фестивали")</f>
        <v>Концерты, выставки, фестивали</v>
      </c>
      <c r="S114"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Инстаграм, вк, фейсбук")</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Инстаграм, вк, фейсбук</v>
      </c>
      <c r="T114" s="6" t="str">
        <f>IFERROR(__xludf.DUMMYFUNCTION("""COMPUTED_VALUE"""),"К сожалению трагедией зимней вишни. В остальном - наличием Шерегеша под боком, статусом столицы Кузбасса  ")</f>
        <v>К сожалению трагедией зимней вишни. В остальном - наличием Шерегеша под боком, статусом столицы Кузбасса  </v>
      </c>
      <c r="U114" s="6" t="str">
        <f>IFERROR(__xludf.DUMMYFUNCTION("""COMPUTED_VALUE"""),"Набережная, весенняя улица, площадь Советов, Советский проспект")</f>
        <v>Набережная, весенняя улица, площадь Советов, Советский проспект</v>
      </c>
      <c r="V114" s="6" t="str">
        <f>IFERROR(__xludf.DUMMYFUNCTION("""COMPUTED_VALUE"""),"Не уехали и попытались что-то сделать")</f>
        <v>Не уехали и попытались что-то сделать</v>
      </c>
      <c r="W114" s="6" t="str">
        <f>IFERROR(__xludf.DUMMYFUNCTION("""COMPUTED_VALUE"""),"К сожалению в нашем городе еще куча быдла, которых интересует только алкоголь или наркотики. Которые до сих пор считают нормальным полезть в драку из-за неприемлемого для них внешнего вида или поведения. К чему я это, выходя на любой массовый городской пр"&amp;"аздник, возникает ощущение, что такие люди (указанные выше) составляют большинство жителей нашего города. К счастью знаком и с противоположностями - местными творческими и креативными ребятами. Но большинство из них отсюда уехало, уезжает или уедет, ибо п"&amp;"ерспектив для творческого развития и роста, достойной зарплаты и прочего очень немного..")</f>
        <v>К сожалению в нашем городе еще куча быдла, которых интересует только алкоголь или наркотики. Которые до сих пор считают нормальным полезть в драку из-за неприемлемого для них внешнего вида или поведения. К чему я это, выходя на любой массовый городской праздник, возникает ощущение, что такие люди (указанные выше) составляют большинство жителей нашего города. К счастью знаком и с противоположностями - местными творческими и креативными ребятами. Но большинство из них отсюда уехало, уезжает или уедет, ибо перспектив для творческого развития и роста, достойной зарплаты и прочего очень немного..</v>
      </c>
      <c r="X114" s="6" t="str">
        <f>IFERROR(__xludf.DUMMYFUNCTION("""COMPUTED_VALUE"""),"По центральным улицам города")</f>
        <v>По центральным улицам города</v>
      </c>
      <c r="Y114" s="6" t="str">
        <f>IFERROR(__xludf.DUMMYFUNCTION("""COMPUTED_VALUE"""),"Надеюсь оно еще впереди")</f>
        <v>Надеюсь оно еще впереди</v>
      </c>
      <c r="Z114" s="6" t="str">
        <f>IFERROR(__xludf.DUMMYFUNCTION("""COMPUTED_VALUE"""),"Кинопоказ на Химике, стройка культурного кластера на Притомском, разговоры о продлении пешеходной набережной до красного озера")</f>
        <v>Кинопоказ на Химике, стройка культурного кластера на Притомском, разговоры о продлении пешеходной набережной до красного озера</v>
      </c>
      <c r="AA114" s="6" t="str">
        <f>IFERROR(__xludf.DUMMYFUNCTION("""COMPUTED_VALUE"""),"Пожар в Зимней вишне.")</f>
        <v>Пожар в Зимней вишне.</v>
      </c>
      <c r="AB114" s="6" t="str">
        <f>IFERROR(__xludf.DUMMYFUNCTION("""COMPUTED_VALUE"""),"-")</f>
        <v>-</v>
      </c>
      <c r="AC114" s="6" t="str">
        <f>IFERROR(__xludf.DUMMYFUNCTION("""COMPUTED_VALUE"""),"Концерты, фестивали, выставки и прочее")</f>
        <v>Концерты, фестивали, выставки и прочее</v>
      </c>
      <c r="AD114" s="6" t="str">
        <f>IFERROR(__xludf.DUMMYFUNCTION("""COMPUTED_VALUE"""),"Зритель, участник, организатор ")</f>
        <v>Зритель, участник, организатор </v>
      </c>
      <c r="AE114" s="6" t="str">
        <f>IFERROR(__xludf.DUMMYFUNCTION("""COMPUTED_VALUE"""),"Мужской")</f>
        <v>Мужской</v>
      </c>
      <c r="AF114" s="6" t="str">
        <f>IFERROR(__xludf.DUMMYFUNCTION("""COMPUTED_VALUE"""),"30-44")</f>
        <v>30-44</v>
      </c>
      <c r="AG114" s="6"/>
      <c r="AH114" s="6"/>
      <c r="AI114" s="6"/>
      <c r="AJ114" s="6"/>
      <c r="AK114" s="6"/>
      <c r="AL114" s="6"/>
      <c r="AM114" s="6"/>
    </row>
    <row r="115">
      <c r="A115" s="4">
        <v>114.0</v>
      </c>
      <c r="B115" s="6" t="str">
        <f>IFERROR(__xludf.DUMMYFUNCTION("""COMPUTED_VALUE"""),"Специалист в области digital")</f>
        <v>Специалист в области digital</v>
      </c>
      <c r="C115" s="6" t="str">
        <f>IFERROR(__xludf.DUMMYFUNCTION("""COMPUTED_VALUE"""),"Да, мастер hand-made ")</f>
        <v>Да, мастер hand-made </v>
      </c>
      <c r="D115" s="6" t="str">
        <f>IFERROR(__xludf.DUMMYFUNCTION("""COMPUTED_VALUE"""),"Центральный район, ""Центр""")</f>
        <v>Центральный район, "Центр"</v>
      </c>
      <c r="E115" s="6" t="str">
        <f>IFERROR(__xludf.DUMMYFUNCTION("""COMPUTED_VALUE"""),"Мой дом, Администрация города и области, театр драмы, набережная, ул.Весенняя")</f>
        <v>Мой дом, Администрация города и области, театр драмы, набережная, ул.Весенняя</v>
      </c>
      <c r="F115" s="6" t="str">
        <f>IFERROR(__xludf.DUMMYFUNCTION("""COMPUTED_VALUE"""),"Живу здесь с рождения")</f>
        <v>Живу здесь с рождения</v>
      </c>
      <c r="G115" s="6" t="str">
        <f>IFERROR(__xludf.DUMMYFUNCTION("""COMPUTED_VALUE"""),"Набережная, ул.Весенняя, пешеходная зона б-ра Строителей")</f>
        <v>Набережная, ул.Весенняя, пешеходная зона б-ра Строителей</v>
      </c>
      <c r="H115" s="6" t="str">
        <f>IFERROR(__xludf.DUMMYFUNCTION("""COMPUTED_VALUE"""),"Грязь, дым, пыль, хамство, депрессия")</f>
        <v>Грязь, дым, пыль, хамство, депрессия</v>
      </c>
      <c r="I115" s="6" t="str">
        <f>IFERROR(__xludf.DUMMYFUNCTION("""COMPUTED_VALUE"""),"Леонов, Подгорбунский и др.")</f>
        <v>Леонов, Подгорбунский и др.</v>
      </c>
      <c r="J115" s="6" t="str">
        <f>IFERROR(__xludf.DUMMYFUNCTION("""COMPUTED_VALUE"""),"Врачи, которые спасают людей, делают сложнейшие операции. Учителя и воспитатели, которые занимаются с нашими детьми. Но горожане не особо стремятся на них равняться, т.к. это сложно и за это мало платят.")</f>
        <v>Врачи, которые спасают людей, делают сложнейшие операции. Учителя и воспитатели, которые занимаются с нашими детьми. Но горожане не особо стремятся на них равняться, т.к. это сложно и за это мало платят.</v>
      </c>
      <c r="K115" s="6" t="str">
        <f>IFERROR(__xludf.DUMMYFUNCTION("""COMPUTED_VALUE"""),"Однозначно ""Томская Писаница"" (хотя это и не в городе)")</f>
        <v>Однозначно "Томская Писаница" (хотя это и не в городе)</v>
      </c>
      <c r="L115" s="6" t="str">
        <f>IFERROR(__xludf.DUMMYFUNCTION("""COMPUTED_VALUE"""),"""Человека из Кемерово невозможно перепить"", ""Ты что, через Кировский ехал?""")</f>
        <v>"Человека из Кемерово невозможно перепить", "Ты что, через Кировский ехал?"</v>
      </c>
      <c r="M115" s="6" t="str">
        <f>IFERROR(__xludf.DUMMYFUNCTION("""COMPUTED_VALUE"""),"Раньше были таблички на маршрутках ""Швейка"", Яшка (ТЦ Я), режим черного неба.")</f>
        <v>Раньше были таблички на маршрутках "Швейка", Яшка (ТЦ Я), режим черного неба.</v>
      </c>
      <c r="N115" s="6" t="str">
        <f>IFERROR(__xludf.DUMMYFUNCTION("""COMPUTED_VALUE"""),"Солнечность и тепло, рядом мои близкие, безопасный воздух без дыма, улыбчивые люди")</f>
        <v>Солнечность и тепло, рядом мои близкие, безопасный воздух без дыма, улыбчивые люди</v>
      </c>
      <c r="O115" s="6" t="str">
        <f>IFERROR(__xludf.DUMMYFUNCTION("""COMPUTED_VALUE"""),"Более качественная уборка улиц (зимой от снега, летом от грязи и пыли), ремонт фассадов домов, т.к. по пр-ту Советскому страшно ходить из-за обрушающихся балконов и облицовки, а в Ленинском районе, где панельные серые дома-коробки - противно ходить, т.к. "&amp;"эта серость и старье неприятно выглядит.")</f>
        <v>Более качественная уборка улиц (зимой от снега, летом от грязи и пыли), ремонт фассадов домов, т.к. по пр-ту Советскому страшно ходить из-за обрушающихся балконов и облицовки, а в Ленинском районе, где панельные серые дома-коробки - противно ходить, т.к. эта серость и старье неприятно выглядит.</v>
      </c>
      <c r="P115" s="6" t="str">
        <f>IFERROR(__xludf.DUMMYFUNCTION("""COMPUTED_VALUE"""),"узнаю из инстаграма - sibdepo")</f>
        <v>узнаю из инстаграма - sibdepo</v>
      </c>
      <c r="Q115" s="6" t="str">
        <f>IFERROR(__xludf.DUMMYFUNCTION("""COMPUTED_VALUE"""),"интервью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15" s="6" t="str">
        <f>IFERROR(__xludf.DUMMYFUNCTION("""COMPUTED_VALUE"""),"Для меня лично - Новый год, 9 мая (важен, т.к. эта наша история, но с другой стороны в этот день каждый год жители из других районов нашего города считают своим долгом припарковать свои машины на газонах в моем дворе, это очень печально, т.к. для нашего д"&amp;"вора такое поведение - дикость). Для других жителей - Новый год, масленица, день шахтера, 9 мая, и любые праздники, сопровождающиеся  активностями на площадках города.")</f>
        <v>Для меня лично - Новый год, 9 мая (важен, т.к. эта наша история, но с другой стороны в этот день каждый год жители из других районов нашего города считают своим долгом припарковать свои машины на газонах в моем дворе, это очень печально, т.к. для нашего двора такое поведение - дикость). Для других жителей - Новый год, масленица, день шахтера, 9 мая, и любые праздники, сопровождающиеся  активностями на площадках города.</v>
      </c>
      <c r="S115" s="6" t="str">
        <f>IFERROR(__xludf.DUMMYFUNCTION("""COMPUTED_VALUE"""),"Нет, не приходилось")</f>
        <v>Нет, не приходилось</v>
      </c>
      <c r="T115" s="6" t="str">
        <f>IFERROR(__xludf.DUMMYFUNCTION("""COMPUTED_VALUE"""),"Известен Зимней Вишней, Тулеевым, Гришковцом, холодной погодой, конченным аэропортом (по крайней мере, когда говоришь людям, что ты из Кемерово, они чаще всего озвучивают именно это). ")</f>
        <v>Известен Зимней Вишней, Тулеевым, Гришковцом, холодной погодой, конченным аэропортом (по крайней мере, когда говоришь людям, что ты из Кемерово, они чаще всего озвучивают именно это). </v>
      </c>
      <c r="U115" s="6" t="str">
        <f>IFERROR(__xludf.DUMMYFUNCTION("""COMPUTED_VALUE"""),"По. Советов")</f>
        <v>По. Советов</v>
      </c>
      <c r="V115" s="6" t="str">
        <f>IFERROR(__xludf.DUMMYFUNCTION("""COMPUTED_VALUE"""),"Одно время основатели ""Кот да Винчи"" пытались вывести город на новый творческий уровень, но это оказалось никому не надо. А так, у нас было и есть много выдающихся людей, которые небезразличны к городу, но всё чаще они уезжают отсюда.")</f>
        <v>Одно время основатели "Кот да Винчи" пытались вывести город на новый творческий уровень, но это оказалось никому не надо. А так, у нас было и есть много выдающихся людей, которые небезразличны к городу, но всё чаще они уезжают отсюда.</v>
      </c>
      <c r="W115" s="6" t="str">
        <f>IFERROR(__xludf.DUMMYFUNCTION("""COMPUTED_VALUE"""),"Хмурые, недоверчивые, ворчливые, грубые, любители выпить, позволяют себе мусорить со словами: пусть дворник убирает, я плачу за это деньги. Но есть и совсем другие люди, веселые, улыбчивые, амбициозные, целеустремленные, осознающие, что их благосостояние "&amp;"и уровень жизни зависит только от них.")</f>
        <v>Хмурые, недоверчивые, ворчливые, грубые, любители выпить, позволяют себе мусорить со словами: пусть дворник убирает, я плачу за это деньги. Но есть и совсем другие люди, веселые, улыбчивые, амбициозные, целеустремленные, осознающие, что их благосостояние и уровень жизни зависит только от них.</v>
      </c>
      <c r="X115" s="6" t="str">
        <f>IFERROR(__xludf.DUMMYFUNCTION("""COMPUTED_VALUE"""),"Выходишь из гостиницы Томь Ривер Плаза - набережная в сторону жк Каравелла - мимо часовни и филармонии - площадь Советов - пр.Советский до драмтеатра - Весенняя - гостиница Томь Ривер Плаза. Либо можно ещё на Лесной Поляне погулять.")</f>
        <v>Выходишь из гостиницы Томь Ривер Плаза - набережная в сторону жк Каравелла - мимо часовни и филармонии - площадь Советов - пр.Советский до драмтеатра - Весенняя - гостиница Томь Ривер Плаза. Либо можно ещё на Лесной Поляне погулять.</v>
      </c>
      <c r="Y115" s="6" t="str">
        <f>IFERROR(__xludf.DUMMYFUNCTION("""COMPUTED_VALUE"""),"Из тех, которые я помню, Детализация")</f>
        <v>Из тех, которые я помню, Детализация</v>
      </c>
      <c r="Z115" s="6" t="str">
        <f>IFERROR(__xludf.DUMMYFUNCTION("""COMPUTED_VALUE"""),"Когда разрешили гулять на Набережной после того, как начался коронавирус")</f>
        <v>Когда разрешили гулять на Набережной после того, как начался коронавирус</v>
      </c>
      <c r="AA115" s="6" t="str">
        <f>IFERROR(__xludf.DUMMYFUNCTION("""COMPUTED_VALUE"""),"Каждая попытка записать ребенка в детскую поликлинику на прием к узкому специалисту вызывает негодование, т.к. таких специалистов там просто нет, в итоге это приводит к обращению в платную клинику. Ситуация с митингами по поводу Навального вызвала негодов"&amp;"ание лишь по той причине, что были пробки в центре из-за отцепления. ")</f>
        <v>Каждая попытка записать ребенка в детскую поликлинику на прием к узкому специалисту вызывает негодование, т.к. таких специалистов там просто нет, в итоге это приводит к обращению в платную клинику. Ситуация с митингами по поводу Навального вызвала негодование лишь по той причине, что были пробки в центре из-за отцепления. </v>
      </c>
      <c r="AB115" s="6" t="str">
        <f>IFERROR(__xludf.DUMMYFUNCTION("""COMPUTED_VALUE"""),"Все сообщества, которыми я интересуюсь либо есть в Кемерово, либо можно в них состоять дистанционно.")</f>
        <v>Все сообщества, которыми я интересуюсь либо есть в Кемерово, либо можно в них состоять дистанционно.</v>
      </c>
      <c r="AC115" s="6" t="str">
        <f>IFERROR(__xludf.DUMMYFUNCTION("""COMPUTED_VALUE"""),"Не хватает концертов мировых звезд (Стас Михайлов с Дедюлей, приезжающие по 5 раз в год - это скучно), не хватает крутых выставок мировых музеев, больше спортивных мероприятий для взрослых и детей.")</f>
        <v>Не хватает концертов мировых звезд (Стас Михайлов с Дедюлей, приезжающие по 5 раз в год - это скучно), не хватает крутых выставок мировых музеев, больше спортивных мероприятий для взрослых и детей.</v>
      </c>
      <c r="AD115" s="6" t="str">
        <f>IFERROR(__xludf.DUMMYFUNCTION("""COMPUTED_VALUE"""),"В роли человека, который будет радоваться за свой родной город, когда в очередной раз приедет в него погостить на 2 недели.")</f>
        <v>В роли человека, который будет радоваться за свой родной город, когда в очередной раз приедет в него погостить на 2 недели.</v>
      </c>
      <c r="AE115" s="6" t="str">
        <f>IFERROR(__xludf.DUMMYFUNCTION("""COMPUTED_VALUE"""),"Женский")</f>
        <v>Женский</v>
      </c>
      <c r="AF115" s="6" t="str">
        <f>IFERROR(__xludf.DUMMYFUNCTION("""COMPUTED_VALUE"""),"30-44")</f>
        <v>30-44</v>
      </c>
      <c r="AG115" s="6"/>
      <c r="AH115" s="6"/>
      <c r="AI115" s="6"/>
      <c r="AJ115" s="6"/>
      <c r="AK115" s="6"/>
      <c r="AL115" s="6"/>
      <c r="AM115" s="6"/>
    </row>
    <row r="116">
      <c r="A116" s="4">
        <v>115.0</v>
      </c>
      <c r="B116" s="6" t="str">
        <f>IFERROR(__xludf.DUMMYFUNCTION("""COMPUTED_VALUE"""),"Сотрудник ЦКП Good Line")</f>
        <v>Сотрудник ЦКП Good Line</v>
      </c>
      <c r="C116" s="6" t="str">
        <f>IFERROR(__xludf.DUMMYFUNCTION("""COMPUTED_VALUE"""),"Фотография, горные лыжи")</f>
        <v>Фотография, горные лыжи</v>
      </c>
      <c r="D116" s="6" t="str">
        <f>IFERROR(__xludf.DUMMYFUNCTION("""COMPUTED_VALUE"""),"Кировский, ""Кирыч""")</f>
        <v>Кировский, "Кирыч"</v>
      </c>
      <c r="E116" s="6" t="str">
        <f>IFERROR(__xludf.DUMMYFUNCTION("""COMPUTED_VALUE"""),"Березовая роща, Набережная, ДК Кировского, аллея по улице 40 лет Октября")</f>
        <v>Березовая роща, Набережная, ДК Кировского, аллея по улице 40 лет Октября</v>
      </c>
      <c r="F116" s="6" t="str">
        <f>IFERROR(__xludf.DUMMYFUNCTION("""COMPUTED_VALUE"""),"Живу здесь с рождения")</f>
        <v>Живу здесь с рождения</v>
      </c>
      <c r="G116" s="6" t="str">
        <f>IFERROR(__xludf.DUMMYFUNCTION("""COMPUTED_VALUE"""),"Набережная в центре и в Кировском, кофейня Малевич, Драмтеатр, Театр для детей и молодежи, Сосновый бор, ул. Весенняя")</f>
        <v>Набережная в центре и в Кировском, кофейня Малевич, Драмтеатр, Театр для детей и молодежи, Сосновый бор, ул. Весенняя</v>
      </c>
      <c r="H116" s="6" t="str">
        <f>IFERROR(__xludf.DUMMYFUNCTION("""COMPUTED_VALUE"""),"Разный, красивый, уютный, Тулеев, уголь")</f>
        <v>Разный, красивый, уютный, Тулеев, уголь</v>
      </c>
      <c r="I116" s="6" t="str">
        <f>IFERROR(__xludf.DUMMYFUNCTION("""COMPUTED_VALUE"""),"Рутгерс, Э.Неизвестный")</f>
        <v>Рутгерс, Э.Неизвестный</v>
      </c>
      <c r="J116" s="6" t="str">
        <f>IFERROR(__xludf.DUMMYFUNCTION("""COMPUTED_VALUE"""),"Середюк И., Цивилев, Тулеев")</f>
        <v>Середюк И., Цивилев, Тулеев</v>
      </c>
      <c r="K116" s="6" t="str">
        <f>IFERROR(__xludf.DUMMYFUNCTION("""COMPUTED_VALUE"""),"Сосновый бор, остров возле Парка чудес, памятник шахтерам Кузбасса, парк Жукова")</f>
        <v>Сосновый бор, остров возле Парка чудес, памятник шахтерам Кузбасса, парк Жукова</v>
      </c>
      <c r="L116" s="6" t="str">
        <f>IFERROR(__xludf.DUMMYFUNCTION("""COMPUTED_VALUE"""),"затрудняюсь ответить")</f>
        <v>затрудняюсь ответить</v>
      </c>
      <c r="M116" s="6" t="str">
        <f>IFERROR(__xludf.DUMMYFUNCTION("""COMPUTED_VALUE"""),"Яшка (торговый центр ""Я"")")</f>
        <v>Яшка (торговый центр "Я")</v>
      </c>
      <c r="N116" s="6" t="str">
        <f>IFERROR(__xludf.DUMMYFUNCTION("""COMPUTED_VALUE"""),"1. чистота улиц, тротуаров, 2.отличная пропускная способность дорог, 3. наличие мест для прогулок и отдыха, особенно нужен лес, дышать свежим воздухом,не выезжая за город. 3. наличие хороших кафе, ресторанов с отличным сервисом и едой. 4. наличие хороших "&amp;"мест для проведения досуга (театры,кино, выставки,концерты). 5. ухоженные дома, дворы, дороги.все, что нас окружает и что мы видим каждый день")</f>
        <v>1. чистота улиц, тротуаров, 2.отличная пропускная способность дорог, 3. наличие мест для прогулок и отдыха, особенно нужен лес, дышать свежим воздухом,не выезжая за город. 3. наличие хороших кафе, ресторанов с отличным сервисом и едой. 4. наличие хороших мест для проведения досуга (театры,кино, выставки,концерты). 5. ухоженные дома, дворы, дороги.все, что нас окружает и что мы видим каждый день</v>
      </c>
      <c r="O116" s="6" t="str">
        <f>IFERROR(__xludf.DUMMYFUNCTION("""COMPUTED_VALUE"""),"покрасить фасады зданий не только с лицевой стороны, но и во дворах. очистить тротуары и дороги, избавиться от грязи (в европе есть примеры, как добиться чистоты). заняться заброшенными зданиями, пустующими помещениями")</f>
        <v>покрасить фасады зданий не только с лицевой стороны, но и во дворах. очистить тротуары и дороги, избавиться от грязи (в европе есть примеры, как добиться чистоты). заняться заброшенными зданиями, пустующими помещениями</v>
      </c>
      <c r="P116" s="6" t="str">
        <f>IFERROR(__xludf.DUMMYFUNCTION("""COMPUTED_VALUE"""),"Вконтакте паблик Типичный Кемерово, сторис друзей в Инстаграме")</f>
        <v>Вконтакте паблик Типичный Кемерово, сторис друзей в Инстаграме</v>
      </c>
      <c r="Q11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16" s="6" t="str">
        <f>IFERROR(__xludf.DUMMYFUNCTION("""COMPUTED_VALUE"""),"День города, 9 мая")</f>
        <v>День города, 9 мая</v>
      </c>
      <c r="S116" s="6" t="str">
        <f>IFERROR(__xludf.DUMMYFUNCTION("""COMPUTED_VALUE"""),"Нет, не приходилось")</f>
        <v>Нет, не приходилось</v>
      </c>
      <c r="T116" s="6" t="str">
        <f>IFERROR(__xludf.DUMMYFUNCTION("""COMPUTED_VALUE"""),"Музей Красная Горка, Томская писаница,")</f>
        <v>Музей Красная Горка, Томская писаница,</v>
      </c>
      <c r="U116" s="6" t="str">
        <f>IFERROR(__xludf.DUMMYFUNCTION("""COMPUTED_VALUE"""),"Драмтеатр,фонтан, Набережная")</f>
        <v>Драмтеатр,фонтан, Набережная</v>
      </c>
      <c r="V116" s="6" t="str">
        <f>IFERROR(__xludf.DUMMYFUNCTION("""COMPUTED_VALUE"""),"начали с себя, со своего дома, подъезда, двора")</f>
        <v>начали с себя, со своего дома, подъезда, двора</v>
      </c>
      <c r="W116" s="6" t="str">
        <f>IFERROR(__xludf.DUMMYFUNCTION("""COMPUTED_VALUE"""),"рискующие, генерирующие новые идеи и воплощающие их в жизнь неравнодушные")</f>
        <v>рискующие, генерирующие новые идеи и воплощающие их в жизнь неравнодушные</v>
      </c>
      <c r="X116" s="6" t="str">
        <f>IFERROR(__xludf.DUMMYFUNCTION("""COMPUTED_VALUE"""),"Кузбасс в сосновом бору, памятник шахтерам Кузбасса,набережная в центре, парк чудес, драмтеатр, весенняя, парк ангелов")</f>
        <v>Кузбасс в сосновом бору, памятник шахтерам Кузбасса,набережная в центре, парк чудес, драмтеатр, весенняя, парк ангелов</v>
      </c>
      <c r="Y116" s="6" t="str">
        <f>IFERROR(__xludf.DUMMYFUNCTION("""COMPUTED_VALUE"""),"за последнее время - открытие парка ангелов")</f>
        <v>за последнее время - открытие парка ангелов</v>
      </c>
      <c r="Z116" s="6" t="str">
        <f>IFERROR(__xludf.DUMMYFUNCTION("""COMPUTED_VALUE"""),"затрудняюсь")</f>
        <v>затрудняюсь</v>
      </c>
      <c r="AA116" s="6" t="str">
        <f>IFERROR(__xludf.DUMMYFUNCTION("""COMPUTED_VALUE"""),"затрудняюсь ответить")</f>
        <v>затрудняюсь ответить</v>
      </c>
      <c r="AB116" s="6" t="str">
        <f>IFERROR(__xludf.DUMMYFUNCTION("""COMPUTED_VALUE"""),"-")</f>
        <v>-</v>
      </c>
      <c r="AC116" s="6" t="str">
        <f>IFERROR(__xludf.DUMMYFUNCTION("""COMPUTED_VALUE"""),"-")</f>
        <v>-</v>
      </c>
      <c r="AD116" s="6" t="str">
        <f>IFERROR(__xludf.DUMMYFUNCTION("""COMPUTED_VALUE"""),"-")</f>
        <v>-</v>
      </c>
      <c r="AE116" s="6" t="str">
        <f>IFERROR(__xludf.DUMMYFUNCTION("""COMPUTED_VALUE"""),"Женский")</f>
        <v>Женский</v>
      </c>
      <c r="AF116" s="6" t="str">
        <f>IFERROR(__xludf.DUMMYFUNCTION("""COMPUTED_VALUE"""),"18-29")</f>
        <v>18-29</v>
      </c>
      <c r="AG116" s="6"/>
      <c r="AH116" s="6"/>
      <c r="AI116" s="6"/>
      <c r="AJ116" s="6"/>
      <c r="AK116" s="6"/>
      <c r="AL116" s="6"/>
      <c r="AM116" s="6"/>
    </row>
    <row r="117">
      <c r="A117" s="4">
        <v>116.0</v>
      </c>
      <c r="B117" s="6" t="str">
        <f>IFERROR(__xludf.DUMMYFUNCTION("""COMPUTED_VALUE"""),"Работа")</f>
        <v>Работа</v>
      </c>
      <c r="C117" s="6" t="str">
        <f>IFERROR(__xludf.DUMMYFUNCTION("""COMPUTED_VALUE"""),"Путешествие ")</f>
        <v>Путешествие </v>
      </c>
      <c r="D117" s="6" t="str">
        <f>IFERROR(__xludf.DUMMYFUNCTION("""COMPUTED_VALUE"""),"Кировский")</f>
        <v>Кировский</v>
      </c>
      <c r="E117" s="6" t="str">
        <f>IFERROR(__xludf.DUMMYFUNCTION("""COMPUTED_VALUE"""),"ДК района")</f>
        <v>ДК района</v>
      </c>
      <c r="F117" s="6" t="str">
        <f>IFERROR(__xludf.DUMMYFUNCTION("""COMPUTED_VALUE"""),"Живу здесь с рождения")</f>
        <v>Живу здесь с рождения</v>
      </c>
      <c r="G117" s="6" t="str">
        <f>IFERROR(__xludf.DUMMYFUNCTION("""COMPUTED_VALUE"""),"Гуляем по городу")</f>
        <v>Гуляем по городу</v>
      </c>
      <c r="H117" s="6" t="str">
        <f>IFERROR(__xludf.DUMMYFUNCTION("""COMPUTED_VALUE"""),"Деревня, провинция, заводы, скукота, разруха")</f>
        <v>Деревня, провинция, заводы, скукота, разруха</v>
      </c>
      <c r="I117" s="6" t="str">
        <f>IFERROR(__xludf.DUMMYFUNCTION("""COMPUTED_VALUE"""),"Леонов")</f>
        <v>Леонов</v>
      </c>
      <c r="J117" s="6" t="str">
        <f>IFERROR(__xludf.DUMMYFUNCTION("""COMPUTED_VALUE"""),"Нет таких")</f>
        <v>Нет таких</v>
      </c>
      <c r="K117" s="6" t="str">
        <f>IFERROR(__xludf.DUMMYFUNCTION("""COMPUTED_VALUE"""),"Вокзал")</f>
        <v>Вокзал</v>
      </c>
      <c r="L117" s="6" t="str">
        <f>IFERROR(__xludf.DUMMYFUNCTION("""COMPUTED_VALUE"""),"нет таких")</f>
        <v>нет таких</v>
      </c>
      <c r="M117" s="6" t="str">
        <f>IFERROR(__xludf.DUMMYFUNCTION("""COMPUTED_VALUE"""),"Нет")</f>
        <v>Нет</v>
      </c>
      <c r="N117" s="6" t="str">
        <f>IFERROR(__xludf.DUMMYFUNCTION("""COMPUTED_VALUE"""),"Миллионик, ")</f>
        <v>Миллионик, </v>
      </c>
      <c r="O117" s="6" t="str">
        <f>IFERROR(__xludf.DUMMYFUNCTION("""COMPUTED_VALUE"""),"Жителей")</f>
        <v>Жителей</v>
      </c>
      <c r="P117" s="6" t="str">
        <f>IFERROR(__xludf.DUMMYFUNCTION("""COMPUTED_VALUE"""),"НЕт в этом городе ничего интересного")</f>
        <v>НЕт в этом городе ничего интересного</v>
      </c>
      <c r="Q117" s="6" t="str">
        <f>IFERROR(__xludf.DUMMYFUNCTION("""COMPUTED_VALUE"""),"где вкусно поесть/открытие новых кафе/ресторанов")</f>
        <v>где вкусно поесть/открытие новых кафе/ресторанов</v>
      </c>
      <c r="R117" s="6" t="str">
        <f>IFERROR(__xludf.DUMMYFUNCTION("""COMPUTED_VALUE"""),"Новый год")</f>
        <v>Новый год</v>
      </c>
      <c r="S117" s="6" t="str">
        <f>IFERROR(__xludf.DUMMYFUNCTION("""COMPUTED_VALUE"""),"Нет, не приходилось")</f>
        <v>Нет, не приходилось</v>
      </c>
      <c r="T117" s="6" t="str">
        <f>IFERROR(__xludf.DUMMYFUNCTION("""COMPUTED_VALUE"""),"Шахтерская деревня")</f>
        <v>Шахтерская деревня</v>
      </c>
      <c r="U117" s="6" t="str">
        <f>IFERROR(__xludf.DUMMYFUNCTION("""COMPUTED_VALUE"""),"Драм театр")</f>
        <v>Драм театр</v>
      </c>
      <c r="V117" s="6" t="str">
        <f>IFERROR(__xludf.DUMMYFUNCTION("""COMPUTED_VALUE"""),"Ни чем ")</f>
        <v>Ни чем </v>
      </c>
      <c r="W117" s="6" t="str">
        <f>IFERROR(__xludf.DUMMYFUNCTION("""COMPUTED_VALUE"""),"угрюмые")</f>
        <v>угрюмые</v>
      </c>
      <c r="X117" s="6" t="str">
        <f>IFERROR(__xludf.DUMMYFUNCTION("""COMPUTED_VALUE"""),"Центр города")</f>
        <v>Центр города</v>
      </c>
      <c r="Y117" s="6" t="str">
        <f>IFERROR(__xludf.DUMMYFUNCTION("""COMPUTED_VALUE"""),"Основание города")</f>
        <v>Основание города</v>
      </c>
      <c r="Z117" s="6" t="str">
        <f>IFERROR(__xludf.DUMMYFUNCTION("""COMPUTED_VALUE"""),"нет таких")</f>
        <v>нет таких</v>
      </c>
      <c r="AA117" s="6" t="str">
        <f>IFERROR(__xludf.DUMMYFUNCTION("""COMPUTED_VALUE"""),"Нет ")</f>
        <v>Нет </v>
      </c>
      <c r="AB117" s="6" t="str">
        <f>IFERROR(__xludf.DUMMYFUNCTION("""COMPUTED_VALUE"""),"Рост города")</f>
        <v>Рост города</v>
      </c>
      <c r="AC117" s="6" t="str">
        <f>IFERROR(__xludf.DUMMYFUNCTION("""COMPUTED_VALUE"""),"РОст города")</f>
        <v>РОст города</v>
      </c>
      <c r="AD117" s="6" t="str">
        <f>IFERROR(__xludf.DUMMYFUNCTION("""COMPUTED_VALUE"""),"житель")</f>
        <v>житель</v>
      </c>
      <c r="AE117" s="6" t="str">
        <f>IFERROR(__xludf.DUMMYFUNCTION("""COMPUTED_VALUE"""),"Мужской")</f>
        <v>Мужской</v>
      </c>
      <c r="AF117" s="6" t="str">
        <f>IFERROR(__xludf.DUMMYFUNCTION("""COMPUTED_VALUE"""),"30-44")</f>
        <v>30-44</v>
      </c>
      <c r="AG117" s="6"/>
      <c r="AH117" s="6"/>
      <c r="AI117" s="6"/>
      <c r="AJ117" s="6"/>
      <c r="AK117" s="6"/>
      <c r="AL117" s="6"/>
      <c r="AM117" s="6"/>
    </row>
    <row r="118">
      <c r="A118" s="4">
        <v>117.0</v>
      </c>
      <c r="B118" s="6" t="str">
        <f>IFERROR(__xludf.DUMMYFUNCTION("""COMPUTED_VALUE"""),"видеопродакшн")</f>
        <v>видеопродакшн</v>
      </c>
      <c r="C118" s="6" t="str">
        <f>IFERROR(__xludf.DUMMYFUNCTION("""COMPUTED_VALUE"""),"спорт (плавание, подтягивания)")</f>
        <v>спорт (плавание, подтягивания)</v>
      </c>
      <c r="D118" s="6" t="str">
        <f>IFERROR(__xludf.DUMMYFUNCTION("""COMPUTED_VALUE"""),"Ленинский район")</f>
        <v>Ленинский район</v>
      </c>
      <c r="E118" s="6" t="str">
        <f>IFERROR(__xludf.DUMMYFUNCTION("""COMPUTED_VALUE"""),"б.Строителей, Кузбасский парк, тц Лето, парк у Президентского училища, Красное озеро, кафе Лазурный Берег")</f>
        <v>б.Строителей, Кузбасский парк, тц Лето, парк у Президентского училища, Красное озеро, кафе Лазурный Берег</v>
      </c>
      <c r="F118" s="6" t="str">
        <f>IFERROR(__xludf.DUMMYFUNCTION("""COMPUTED_VALUE"""),"Живу здесь с рождения")</f>
        <v>Живу здесь с рождения</v>
      </c>
      <c r="G118" s="6" t="str">
        <f>IFERROR(__xludf.DUMMYFUNCTION("""COMPUTED_VALUE"""),"Горсад, берег реки у Новостройки, Рудничный бор, Сосновый бор, б.Строителей, Комсомольский парк")</f>
        <v>Горсад, берег реки у Новостройки, Рудничный бор, Сосновый бор, б.Строителей, Комсомольский парк</v>
      </c>
      <c r="H118" s="6" t="str">
        <f>IFERROR(__xludf.DUMMYFUNCTION("""COMPUTED_VALUE"""),"Колесо обозрения, вокзальная площадь, дом, утки, деревья, утро")</f>
        <v>Колесо обозрения, вокзальная площадь, дом, утки, деревья, утро</v>
      </c>
      <c r="I118" s="6" t="str">
        <f>IFERROR(__xludf.DUMMYFUNCTION("""COMPUTED_VALUE"""),"Рутгерс, Панин, Ван Лохем, Волошина, Тулеев, Подгорбунский")</f>
        <v>Рутгерс, Панин, Ван Лохем, Волошина, Тулеев, Подгорбунский</v>
      </c>
      <c r="J118" s="6" t="str">
        <f>IFERROR(__xludf.DUMMYFUNCTION("""COMPUTED_VALUE"""),"Сухацкий")</f>
        <v>Сухацкий</v>
      </c>
      <c r="K118" s="6" t="str">
        <f>IFERROR(__xludf.DUMMYFUNCTION("""COMPUTED_VALUE"""),"Красная горка, Лазурный берег - выход к реке, горсад, набережная, дворик на Арочной (пентагон), Площадь перед Театром детей и молодежи, площадь Пушкина, ул Ноградская и Драмтеатр, ресторан PORT42")</f>
        <v>Красная горка, Лазурный берег - выход к реке, горсад, набережная, дворик на Арочной (пентагон), Площадь перед Театром детей и молодежи, площадь Пушкина, ул Ноградская и Драмтеатр, ресторан PORT42</v>
      </c>
      <c r="L118" s="6" t="str">
        <f>IFERROR(__xludf.DUMMYFUNCTION("""COMPUTED_VALUE"""),"тут затонул Титаник, Тулеевские конфеты")</f>
        <v>тут затонул Титаник, Тулеевские конфеты</v>
      </c>
      <c r="M118" s="6" t="str">
        <f>IFERROR(__xludf.DUMMYFUNCTION("""COMPUTED_VALUE"""),"нет")</f>
        <v>нет</v>
      </c>
      <c r="N118" s="6" t="str">
        <f>IFERROR(__xludf.DUMMYFUNCTION("""COMPUTED_VALUE"""),"удаленность домов от дорог и офисного сектора, много зелени, чистые улицы, белый снег, регулярный транспорт, широкие дороги, доброжелательные люди, отсутствие пивточек в каждом доме, минимум баннерной рекламы")</f>
        <v>удаленность домов от дорог и офисного сектора, много зелени, чистые улицы, белый снег, регулярный транспорт, широкие дороги, доброжелательные люди, отсутствие пивточек в каждом доме, минимум баннерной рекламы</v>
      </c>
      <c r="O118" s="6" t="str">
        <f>IFERROR(__xludf.DUMMYFUNCTION("""COMPUTED_VALUE"""),"уменьшить количество выбросов на Азоте, химпроме, того, что в той стороне находится, ремонтировать дороги быстро и ночью, большими бригадами, а не как сейчас - снимут асфальт и месяц стоит, ужесточить контроль над застройщиками, строить более качественное"&amp;" жилье НЕ с ""картонными"" стенами, изыскать больше парковочных зон в центре и во дворах, ложить качественный асфальт, да много над чем предстоит работать")</f>
        <v>уменьшить количество выбросов на Азоте, химпроме, того, что в той стороне находится, ремонтировать дороги быстро и ночью, большими бригадами, а не как сейчас - снимут асфальт и месяц стоит, ужесточить контроль над застройщиками, строить более качественное жилье НЕ с "картонными" стенами, изыскать больше парковочных зон в центре и во дворах, ложить качественный асфальт, да много над чем предстоит работать</v>
      </c>
      <c r="P118" s="6" t="str">
        <f>IFERROR(__xludf.DUMMYFUNCTION("""COMPUTED_VALUE"""),"инстаграм, а42")</f>
        <v>инстаграм, а42</v>
      </c>
      <c r="Q118" s="6" t="str">
        <f>IFERROR(__xludf.DUMMYFUNCTION("""COMPUTED_VALUE"""),"интервью с местными творческими личностями, криминальные новости (происшествия/преступления), интервью с экспертами на разные темы (напишите в разделе Другое свои предложения)")</f>
        <v>интервью с местными творческими личностями, криминальные новости (происшествия/преступления), интервью с экспертами на разные темы (напишите в разделе Другое свои предложения)</v>
      </c>
      <c r="R118" s="6" t="str">
        <f>IFERROR(__xludf.DUMMYFUNCTION("""COMPUTED_VALUE"""),"День Города, Новый год (когда на площади Советов открывается новогодний базар), День Шахтера, кинопоказ ГЛ")</f>
        <v>День Города, Новый год (когда на площади Советов открывается новогодний базар), День Шахтера, кинопоказ ГЛ</v>
      </c>
      <c r="S118" s="6" t="str">
        <f>IFERROR(__xludf.DUMMYFUNCTION("""COMPUTED_VALUE"""),"Нет, не приходилось")</f>
        <v>Нет, не приходилось</v>
      </c>
      <c r="T118" s="6" t="str">
        <f>IFERROR(__xludf.DUMMYFUNCTION("""COMPUTED_VALUE"""),"Город уникален людьми: творческие, сильные, инициативные, разносторонние, бесстрашные, трудолюбивые! Сам город печально известен трагедией в Зимней Вишне, ну и все знают про угледобычу")</f>
        <v>Город уникален людьми: творческие, сильные, инициативные, разносторонние, бесстрашные, трудолюбивые! Сам город печально известен трагедией в Зимней Вишне, ну и все знают про угледобычу</v>
      </c>
      <c r="U118" s="6" t="str">
        <f>IFERROR(__xludf.DUMMYFUNCTION("""COMPUTED_VALUE"""),"набережная, б.Строителей")</f>
        <v>набережная, б.Строителей</v>
      </c>
      <c r="V118" s="6" t="str">
        <f>IFERROR(__xludf.DUMMYFUNCTION("""COMPUTED_VALUE"""),"затрудняюсь ответить коротко")</f>
        <v>затрудняюсь ответить коротко</v>
      </c>
      <c r="W118" s="6" t="str">
        <f>IFERROR(__xludf.DUMMYFUNCTION("""COMPUTED_VALUE"""),"ответил в 19 вопросе")</f>
        <v>ответил в 19 вопросе</v>
      </c>
      <c r="X118" s="6" t="str">
        <f>IFERROR(__xludf.DUMMYFUNCTION("""COMPUTED_VALUE"""),"б.Строителей, Ленина, Цирк, Университетский мост, пр.Советский, Ноградская, Весенняя, набережная")</f>
        <v>б.Строителей, Ленина, Цирк, Университетский мост, пр.Советский, Ноградская, Весенняя, набережная</v>
      </c>
      <c r="Y118" s="6" t="str">
        <f>IFERROR(__xludf.DUMMYFUNCTION("""COMPUTED_VALUE"""),"думаю как и в любом городе СССР - объявление о Победе в войне, ну и негативное - Зимняя Вишня")</f>
        <v>думаю как и в любом городе СССР - объявление о Победе в войне, ну и негативное - Зимняя Вишня</v>
      </c>
      <c r="Z118" s="6" t="str">
        <f>IFERROR(__xludf.DUMMYFUNCTION("""COMPUTED_VALUE"""),"Площадь кузбасских историй, ремонт дорог, открытие Президентского кадетского училища, ремонт б.Строителей")</f>
        <v>Площадь кузбасских историй, ремонт дорог, открытие Президентского кадетского училища, ремонт б.Строителей</v>
      </c>
      <c r="AA118" s="6" t="str">
        <f>IFERROR(__xludf.DUMMYFUNCTION("""COMPUTED_VALUE"""),"Зимняя Вишня")</f>
        <v>Зимняя Вишня</v>
      </c>
      <c r="AB118" s="6" t="str">
        <f>IFERROR(__xludf.DUMMYFUNCTION("""COMPUTED_VALUE"""),"затрудняюсь ответить")</f>
        <v>затрудняюсь ответить</v>
      </c>
      <c r="AC118" s="6" t="str">
        <f>IFERROR(__xludf.DUMMYFUNCTION("""COMPUTED_VALUE"""),"спортивные турниры для любителей, открытие нормального бассейна, аквапарк, нормальная зона для пикника у Томи")</f>
        <v>спортивные турниры для любителей, открытие нормального бассейна, аквапарк, нормальная зона для пикника у Томи</v>
      </c>
      <c r="AD118" s="6" t="str">
        <f>IFERROR(__xludf.DUMMYFUNCTION("""COMPUTED_VALUE"""),"Если будут сниматься видеоролики, бесплатно взял бы на цветокоррекцию или помог в съемках) 89049999017")</f>
        <v>Если будут сниматься видеоролики, бесплатно взял бы на цветокоррекцию или помог в съемках) 89049999017</v>
      </c>
      <c r="AE118" s="6" t="str">
        <f>IFERROR(__xludf.DUMMYFUNCTION("""COMPUTED_VALUE"""),"Мужской")</f>
        <v>Мужской</v>
      </c>
      <c r="AF118" s="6" t="str">
        <f>IFERROR(__xludf.DUMMYFUNCTION("""COMPUTED_VALUE"""),"30-44")</f>
        <v>30-44</v>
      </c>
      <c r="AG118" s="6"/>
      <c r="AH118" s="6"/>
      <c r="AI118" s="6"/>
      <c r="AJ118" s="6"/>
      <c r="AK118" s="6"/>
      <c r="AL118" s="6"/>
      <c r="AM118" s="6"/>
    </row>
    <row r="119">
      <c r="A119" s="4">
        <v>118.0</v>
      </c>
      <c r="B119" s="6" t="str">
        <f>IFERROR(__xludf.DUMMYFUNCTION("""COMPUTED_VALUE"""),"Строю музей")</f>
        <v>Строю музей</v>
      </c>
      <c r="C119" s="6" t="str">
        <f>IFERROR(__xludf.DUMMYFUNCTION("""COMPUTED_VALUE"""),"Туризм")</f>
        <v>Туризм</v>
      </c>
      <c r="D119" s="6" t="str">
        <f>IFERROR(__xludf.DUMMYFUNCTION("""COMPUTED_VALUE"""),"Радуга")</f>
        <v>Радуга</v>
      </c>
      <c r="E119" s="6" t="str">
        <f>IFERROR(__xludf.DUMMYFUNCTION("""COMPUTED_VALUE"""),"Баня")</f>
        <v>Баня</v>
      </c>
      <c r="F119" s="6" t="str">
        <f>IFERROR(__xludf.DUMMYFUNCTION("""COMPUTED_VALUE"""),"Живу здесь с рождения")</f>
        <v>Живу здесь с рождения</v>
      </c>
      <c r="G119" s="6" t="str">
        <f>IFERROR(__xludf.DUMMYFUNCTION("""COMPUTED_VALUE"""),"Набережная, весенняя")</f>
        <v>Набережная, весенняя</v>
      </c>
      <c r="H119" s="6" t="str">
        <f>IFERROR(__xludf.DUMMYFUNCTION("""COMPUTED_VALUE"""),"Труба, река, красная горка, Бор, химия")</f>
        <v>Труба, река, красная горка, Бор, химия</v>
      </c>
      <c r="I119" s="6" t="str">
        <f>IFERROR(__xludf.DUMMYFUNCTION("""COMPUTED_VALUE"""),"Балибалов")</f>
        <v>Балибалов</v>
      </c>
      <c r="J119" s="6" t="str">
        <f>IFERROR(__xludf.DUMMYFUNCTION("""COMPUTED_VALUE"""),"Михайлов Раздаев")</f>
        <v>Михайлов Раздаев</v>
      </c>
      <c r="K119" s="6" t="str">
        <f>IFERROR(__xludf.DUMMYFUNCTION("""COMPUTED_VALUE"""),"Красная горка, ")</f>
        <v>Красная горка, </v>
      </c>
      <c r="L119" s="6" t="str">
        <f>IFERROR(__xludf.DUMMYFUNCTION("""COMPUTED_VALUE"""),"Щегловка")</f>
        <v>Щегловка</v>
      </c>
      <c r="M119" s="6" t="str">
        <f>IFERROR(__xludf.DUMMYFUNCTION("""COMPUTED_VALUE"""),"Мультифора, ")</f>
        <v>Мультифора, </v>
      </c>
      <c r="N119" s="6" t="str">
        <f>IFERROR(__xludf.DUMMYFUNCTION("""COMPUTED_VALUE"""),"Просторные проспекты, озеленение, наследие, электротранспорт, медицина")</f>
        <v>Просторные проспекты, озеленение, наследие, электротранспорт, медицина</v>
      </c>
      <c r="O119" s="6" t="str">
        <f>IFERROR(__xludf.DUMMYFUNCTION("""COMPUTED_VALUE"""),"Убрать заводы-построить научные центры")</f>
        <v>Убрать заводы-построить научные центры</v>
      </c>
      <c r="P119" s="6" t="str">
        <f>IFERROR(__xludf.DUMMYFUNCTION("""COMPUTED_VALUE"""),"Инстаграм")</f>
        <v>Инстаграм</v>
      </c>
      <c r="Q119" s="6" t="str">
        <f>IFERROR(__xludf.DUMMYFUNCTION("""COMPUTED_VALUE"""),"куда пойти в свободное время")</f>
        <v>куда пойти в свободное время</v>
      </c>
      <c r="R119" s="6" t="str">
        <f>IFERROR(__xludf.DUMMYFUNCTION("""COMPUTED_VALUE"""),"Фестиваль современной культуры")</f>
        <v>Фестиваль современной культуры</v>
      </c>
      <c r="S119" s="6" t="str">
        <f>IFERROR(__xludf.DUMMYFUNCTION("""COMPUTED_VALUE"""),"Обращался в редакции городских газет, телевидения, радио")</f>
        <v>Обращался в редакции городских газет, телевидения, радио</v>
      </c>
      <c r="T119" s="6" t="str">
        <f>IFERROR(__xludf.DUMMYFUNCTION("""COMPUTED_VALUE"""),"В центре Сибири")</f>
        <v>В центре Сибири</v>
      </c>
      <c r="U119" s="6" t="str">
        <f>IFERROR(__xludf.DUMMYFUNCTION("""COMPUTED_VALUE"""),"Площадь Советов")</f>
        <v>Площадь Советов</v>
      </c>
      <c r="V119" s="6" t="str">
        <f>IFERROR(__xludf.DUMMYFUNCTION("""COMPUTED_VALUE"""),"Правильно спроектировали ")</f>
        <v>Правильно спроектировали </v>
      </c>
      <c r="W119" s="6" t="str">
        <f>IFERROR(__xludf.DUMMYFUNCTION("""COMPUTED_VALUE"""),"Простые")</f>
        <v>Простые</v>
      </c>
      <c r="X119" s="6" t="str">
        <f>IFERROR(__xludf.DUMMYFUNCTION("""COMPUTED_VALUE"""),"По бору на смотровые")</f>
        <v>По бору на смотровые</v>
      </c>
      <c r="Y119" s="6" t="str">
        <f>IFERROR(__xludf.DUMMYFUNCTION("""COMPUTED_VALUE"""),"Чемпионат мира по бенди")</f>
        <v>Чемпионат мира по бенди</v>
      </c>
      <c r="Z119" s="6" t="str">
        <f>IFERROR(__xludf.DUMMYFUNCTION("""COMPUTED_VALUE"""),"Полумарафон")</f>
        <v>Полумарафон</v>
      </c>
      <c r="AA119" s="6" t="str">
        <f>IFERROR(__xludf.DUMMYFUNCTION("""COMPUTED_VALUE"""),"Рост строительства жилья без расширения транспортной инфраструктуры(дороги не справляются)")</f>
        <v>Рост строительства жилья без расширения транспортной инфраструктуры(дороги не справляются)</v>
      </c>
      <c r="AB119" s="6" t="str">
        <f>IFERROR(__xludf.DUMMYFUNCTION("""COMPUTED_VALUE"""),"Творческих")</f>
        <v>Творческих</v>
      </c>
      <c r="AC119" s="6" t="str">
        <f>IFERROR(__xludf.DUMMYFUNCTION("""COMPUTED_VALUE"""),"Фестивали музыкантов, художников")</f>
        <v>Фестивали музыкантов, художников</v>
      </c>
      <c r="AD119" s="6" t="str">
        <f>IFERROR(__xludf.DUMMYFUNCTION("""COMPUTED_VALUE"""),"Организатор")</f>
        <v>Организатор</v>
      </c>
      <c r="AE119" s="6" t="str">
        <f>IFERROR(__xludf.DUMMYFUNCTION("""COMPUTED_VALUE"""),"Мужской")</f>
        <v>Мужской</v>
      </c>
      <c r="AF119" s="6" t="str">
        <f>IFERROR(__xludf.DUMMYFUNCTION("""COMPUTED_VALUE"""),"30-44")</f>
        <v>30-44</v>
      </c>
      <c r="AG119" s="6"/>
      <c r="AH119" s="6"/>
      <c r="AI119" s="6"/>
      <c r="AJ119" s="6"/>
      <c r="AK119" s="6"/>
      <c r="AL119" s="6"/>
      <c r="AM119" s="6"/>
    </row>
    <row r="120">
      <c r="A120" s="4">
        <v>119.0</v>
      </c>
      <c r="B120" s="6" t="str">
        <f>IFERROR(__xludf.DUMMYFUNCTION("""COMPUTED_VALUE"""),"Маркетолог")</f>
        <v>Маркетолог</v>
      </c>
      <c r="C120" s="6" t="str">
        <f>IFERROR(__xludf.DUMMYFUNCTION("""COMPUTED_VALUE"""),"Графический дизайн")</f>
        <v>Графический дизайн</v>
      </c>
      <c r="D120" s="6" t="str">
        <f>IFERROR(__xludf.DUMMYFUNCTION("""COMPUTED_VALUE"""),"центральный")</f>
        <v>центральный</v>
      </c>
      <c r="E120" s="6" t="str">
        <f>IFERROR(__xludf.DUMMYFUNCTION("""COMPUTED_VALUE"""),"парк, юбилейный , лапландия, набережная")</f>
        <v>парк, юбилейный , лапландия, набережная</v>
      </c>
      <c r="F120" s="6" t="str">
        <f>IFERROR(__xludf.DUMMYFUNCTION("""COMPUTED_VALUE"""),"Переехал сюда из другого места (откуда? укажите в графе другое), ленинск")</f>
        <v>Переехал сюда из другого места (откуда? укажите в графе другое), ленинск</v>
      </c>
      <c r="G120" s="6" t="str">
        <f>IFERROR(__xludf.DUMMYFUNCTION("""COMPUTED_VALUE"""),"лапландия, парк, набережная, весенька, бульвар строителей")</f>
        <v>лапландия, парк, набережная, весенька, бульвар строителей</v>
      </c>
      <c r="H120" s="6" t="str">
        <f>IFERROR(__xludf.DUMMYFUNCTION("""COMPUTED_VALUE"""),"кемерово, дом, выхлопные газы, ")</f>
        <v>кемерово, дом, выхлопные газы, </v>
      </c>
      <c r="I120" s="6" t="str">
        <f>IFERROR(__xludf.DUMMYFUNCTION("""COMPUTED_VALUE"""),"Леонов, Тулеев,  Малышева")</f>
        <v>Леонов, Тулеев,  Малышева</v>
      </c>
      <c r="J120" s="6" t="str">
        <f>IFERROR(__xludf.DUMMYFUNCTION("""COMPUTED_VALUE"""),"все мы))")</f>
        <v>все мы))</v>
      </c>
      <c r="K120" s="6" t="str">
        <f>IFERROR(__xludf.DUMMYFUNCTION("""COMPUTED_VALUE"""),"лесная поляна (погулять),  забой ( покушать),  люскус (поржать) , таежная заимка (погладить собачек) ")</f>
        <v>лесная поляна (погулять),  забой ( покушать),  люскус (поржать) , таежная заимка (погладить собачек) </v>
      </c>
      <c r="L120" s="6" t="str">
        <f>IFERROR(__xludf.DUMMYFUNCTION("""COMPUTED_VALUE"""),"Каждый кулик свое болото хвалит ")</f>
        <v>Каждый кулик свое болото хвалит </v>
      </c>
      <c r="M120" s="6" t="str">
        <f>IFERROR(__xludf.DUMMYFUNCTION("""COMPUTED_VALUE"""),"Лапа ( лапландия)  , весенька ( весенняя улица) ")</f>
        <v>Лапа ( лапландия)  , весенька ( весенняя улица) </v>
      </c>
      <c r="N120" s="6" t="str">
        <f>IFERROR(__xludf.DUMMYFUNCTION("""COMPUTED_VALUE"""),"все рядом, много транспорта, ")</f>
        <v>все рядом, много транспорта, </v>
      </c>
      <c r="O120" s="6" t="str">
        <f>IFERROR(__xludf.DUMMYFUNCTION("""COMPUTED_VALUE"""),"смог убрать, сделать больше классных площадок для отдыха с детьми, больше мероприятий интересных,  и образовательных кружков для детей ( а то одно и тоже) ")</f>
        <v>смог убрать, сделать больше классных площадок для отдыха с детьми, больше мероприятий интересных,  и образовательных кружков для детей ( а то одно и тоже) </v>
      </c>
      <c r="P120" s="6" t="str">
        <f>IFERROR(__xludf.DUMMYFUNCTION("""COMPUTED_VALUE"""),"друзья")</f>
        <v>друзья</v>
      </c>
      <c r="Q120" s="6" t="str">
        <f>IFERROR(__xludf.DUMMYFUNCTION("""COMPUTED_VALUE"""),"куда пойти в свободное время, интервью с местными творческими личностями")</f>
        <v>куда пойти в свободное время, интервью с местными творческими личностями</v>
      </c>
      <c r="R120" s="6" t="str">
        <f>IFERROR(__xludf.DUMMYFUNCTION("""COMPUTED_VALUE"""),"мне не особо интересно, но семья любит 9 мая ( фейерверки) ")</f>
        <v>мне не особо интересно, но семья любит 9 мая ( фейерверки) </v>
      </c>
      <c r="S120" s="6" t="str">
        <f>IFERROR(__xludf.DUMMYFUNCTION("""COMPUTED_VALUE"""),"Через социальные сети (Какие? Укажите в графе другое), онлайн марафоны")</f>
        <v>Через социальные сети (Какие? Укажите в графе другое), онлайн марафоны</v>
      </c>
      <c r="T120" s="6" t="str">
        <f>IFERROR(__xludf.DUMMYFUNCTION("""COMPUTED_VALUE"""),"когда я говорю что я из Кемерово, все говорят "" А , это там Зимняя вишня?"" И это не один раз было так((( ")</f>
        <v>когда я говорю что я из Кемерово, все говорят " А , это там Зимняя вишня?" И это не один раз было так((( </v>
      </c>
      <c r="U120" s="6" t="str">
        <f>IFERROR(__xludf.DUMMYFUNCTION("""COMPUTED_VALUE"""),"Весенняя, филармония, набережная")</f>
        <v>Весенняя, филармония, набережная</v>
      </c>
      <c r="V120" s="6" t="str">
        <f>IFERROR(__xludf.DUMMYFUNCTION("""COMPUTED_VALUE"""),"я особо не слежу,но что-то с волейболом есть достижения))")</f>
        <v>я особо не слежу,но что-то с волейболом есть достижения))</v>
      </c>
      <c r="W120" s="6" t="str">
        <f>IFERROR(__xludf.DUMMYFUNCTION("""COMPUTED_VALUE"""),"обычные, в глазах надежда, в сердцах добро)))")</f>
        <v>обычные, в глазах надежда, в сердцах добро)))</v>
      </c>
      <c r="X120" s="6" t="str">
        <f>IFERROR(__xludf.DUMMYFUNCTION("""COMPUTED_VALUE"""),"главное не маршрут, а компания")</f>
        <v>главное не маршрут, а компания</v>
      </c>
      <c r="Y120" s="6" t="str">
        <f>IFERROR(__xludf.DUMMYFUNCTION("""COMPUTED_VALUE"""),"я не прихожу на массово культурные события")</f>
        <v>я не прихожу на массово культурные события</v>
      </c>
      <c r="Z120" s="6" t="str">
        <f>IFERROR(__xludf.DUMMYFUNCTION("""COMPUTED_VALUE"""),"я не прихожу на массово культурные события, но был не так давно классный рок концерт")</f>
        <v>я не прихожу на массово культурные события, но был не так давно классный рок концерт</v>
      </c>
      <c r="AA120" s="6" t="str">
        <f>IFERROR(__xludf.DUMMYFUNCTION("""COMPUTED_VALUE"""),"сборы на площади связанные с зимней вишней")</f>
        <v>сборы на площади связанные с зимней вишней</v>
      </c>
      <c r="AB120" s="6" t="str">
        <f>IFERROR(__xludf.DUMMYFUNCTION("""COMPUTED_VALUE"""),"маркетологов")</f>
        <v>маркетологов</v>
      </c>
      <c r="AC120" s="6" t="str">
        <f>IFERROR(__xludf.DUMMYFUNCTION("""COMPUTED_VALUE"""),"концерты, фестивали, конференции")</f>
        <v>концерты, фестивали, конференции</v>
      </c>
      <c r="AD120" s="6" t="str">
        <f>IFERROR(__xludf.DUMMYFUNCTION("""COMPUTED_VALUE"""),"в роли маркетолога) ")</f>
        <v>в роли маркетолога) </v>
      </c>
      <c r="AE120" s="6" t="str">
        <f>IFERROR(__xludf.DUMMYFUNCTION("""COMPUTED_VALUE"""),"Женский")</f>
        <v>Женский</v>
      </c>
      <c r="AF120" s="6" t="str">
        <f>IFERROR(__xludf.DUMMYFUNCTION("""COMPUTED_VALUE"""),"18-29")</f>
        <v>18-29</v>
      </c>
      <c r="AG120" s="6"/>
      <c r="AH120" s="6"/>
      <c r="AI120" s="6"/>
      <c r="AJ120" s="6"/>
      <c r="AK120" s="6"/>
      <c r="AL120" s="6"/>
      <c r="AM120" s="6"/>
    </row>
    <row r="121">
      <c r="A121" s="4">
        <v>120.0</v>
      </c>
      <c r="B121" s="6" t="str">
        <f>IFERROR(__xludf.DUMMYFUNCTION("""COMPUTED_VALUE"""),"делопроизводитель")</f>
        <v>делопроизводитель</v>
      </c>
      <c r="C121" s="6" t="str">
        <f>IFERROR(__xludf.DUMMYFUNCTION("""COMPUTED_VALUE"""),"фильмы, музыка")</f>
        <v>фильмы, музыка</v>
      </c>
      <c r="D121" s="6" t="str">
        <f>IFERROR(__xludf.DUMMYFUNCTION("""COMPUTED_VALUE"""),"центральный")</f>
        <v>центральный</v>
      </c>
      <c r="E121" s="6" t="str">
        <f>IFERROR(__xludf.DUMMYFUNCTION("""COMPUTED_VALUE"""),"парк ангелов, парк победы")</f>
        <v>парк ангелов, парк победы</v>
      </c>
      <c r="F121" s="6" t="str">
        <f>IFERROR(__xludf.DUMMYFUNCTION("""COMPUTED_VALUE"""),"Живу здесь с рождения")</f>
        <v>Живу здесь с рождения</v>
      </c>
      <c r="G121" s="6" t="str">
        <f>IFERROR(__xludf.DUMMYFUNCTION("""COMPUTED_VALUE"""),"набережная, лесная поляна")</f>
        <v>набережная, лесная поляна</v>
      </c>
      <c r="H121" s="6" t="str">
        <f>IFERROR(__xludf.DUMMYFUNCTION("""COMPUTED_VALUE"""),"застройка, заполненность")</f>
        <v>застройка, заполненность</v>
      </c>
      <c r="I121" s="6" t="str">
        <f>IFERROR(__xludf.DUMMYFUNCTION("""COMPUTED_VALUE"""),"Леонов, Гришковец, Подгорбунский")</f>
        <v>Леонов, Гришковец, Подгорбунский</v>
      </c>
      <c r="J121" s="6" t="str">
        <f>IFERROR(__xludf.DUMMYFUNCTION("""COMPUTED_VALUE"""),"Гришковец")</f>
        <v>Гришковец</v>
      </c>
      <c r="K121" s="6" t="str">
        <f>IFERROR(__xludf.DUMMYFUNCTION("""COMPUTED_VALUE"""),"набережная, лесная поляна")</f>
        <v>набережная, лесная поляна</v>
      </c>
      <c r="L121" s="6" t="str">
        <f>IFERROR(__xludf.DUMMYFUNCTION("""COMPUTED_VALUE"""),"не знаю")</f>
        <v>не знаю</v>
      </c>
      <c r="M121" s="6" t="str">
        <f>IFERROR(__xludf.DUMMYFUNCTION("""COMPUTED_VALUE"""),"не знаю")</f>
        <v>не знаю</v>
      </c>
      <c r="N121" s="6" t="str">
        <f>IFERROR(__xludf.DUMMYFUNCTION("""COMPUTED_VALUE"""),"развитая  инфраструктура")</f>
        <v>развитая  инфраструктура</v>
      </c>
      <c r="O121" s="6" t="str">
        <f>IFERROR(__xludf.DUMMYFUNCTION("""COMPUTED_VALUE"""),"более современная архитектура, больше общественных пространств, меньше ТЦ (хватит2, но больших)")</f>
        <v>более современная архитектура, больше общественных пространств, меньше ТЦ (хватит2, но больших)</v>
      </c>
      <c r="P121" s="6" t="str">
        <f>IFERROR(__xludf.DUMMYFUNCTION("""COMPUTED_VALUE"""),"твиттер, вк, инстаграм")</f>
        <v>твиттер, вк, инстаграм</v>
      </c>
      <c r="Q121"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1" s="6" t="str">
        <f>IFERROR(__xludf.DUMMYFUNCTION("""COMPUTED_VALUE"""),"никаких")</f>
        <v>никаких</v>
      </c>
      <c r="S121" s="6" t="str">
        <f>IFERROR(__xludf.DUMMYFUNCTION("""COMPUTED_VALUE"""),"Нет, не приходилось")</f>
        <v>Нет, не приходилось</v>
      </c>
      <c r="T121" s="6" t="str">
        <f>IFERROR(__xludf.DUMMYFUNCTION("""COMPUTED_VALUE"""),"не знаю")</f>
        <v>не знаю</v>
      </c>
      <c r="U121" s="6" t="str">
        <f>IFERROR(__xludf.DUMMYFUNCTION("""COMPUTED_VALUE"""),"площадь советов")</f>
        <v>площадь советов</v>
      </c>
      <c r="V121" s="6" t="str">
        <f>IFERROR(__xludf.DUMMYFUNCTION("""COMPUTED_VALUE"""),"не знаю")</f>
        <v>не знаю</v>
      </c>
      <c r="W121" s="6" t="str">
        <f>IFERROR(__xludf.DUMMYFUNCTION("""COMPUTED_VALUE"""),"медлительные")</f>
        <v>медлительные</v>
      </c>
      <c r="X121" s="6" t="str">
        <f>IFERROR(__xludf.DUMMYFUNCTION("""COMPUTED_VALUE"""),"сосновый бор-кузбасс-крест")</f>
        <v>сосновый бор-кузбасс-крест</v>
      </c>
      <c r="Y121" s="6" t="str">
        <f>IFERROR(__xludf.DUMMYFUNCTION("""COMPUTED_VALUE"""),"открытие кадетского училища")</f>
        <v>открытие кадетского училища</v>
      </c>
      <c r="Z121" s="6" t="str">
        <f>IFERROR(__xludf.DUMMYFUNCTION("""COMPUTED_VALUE"""),"никаких")</f>
        <v>никаких</v>
      </c>
      <c r="AA121" s="6" t="str">
        <f>IFERROR(__xludf.DUMMYFUNCTION("""COMPUTED_VALUE"""),"пожар в зимней вишне")</f>
        <v>пожар в зимней вишне</v>
      </c>
      <c r="AB121" s="6" t="str">
        <f>IFERROR(__xludf.DUMMYFUNCTION("""COMPUTED_VALUE"""),"не хватает не сообществ, а мероприятий, в особенности концертов ")</f>
        <v>не хватает не сообществ, а мероприятий, в особенности концертов </v>
      </c>
      <c r="AC121" s="6" t="str">
        <f>IFERROR(__xludf.DUMMYFUNCTION("""COMPUTED_VALUE"""),"концерты известных групп")</f>
        <v>концерты известных групп</v>
      </c>
      <c r="AD121" s="6" t="str">
        <f>IFERROR(__xludf.DUMMYFUNCTION("""COMPUTED_VALUE"""),"развитие общественных пространств")</f>
        <v>развитие общественных пространств</v>
      </c>
      <c r="AE121" s="6" t="str">
        <f>IFERROR(__xludf.DUMMYFUNCTION("""COMPUTED_VALUE"""),"Женский")</f>
        <v>Женский</v>
      </c>
      <c r="AF121" s="6" t="str">
        <f>IFERROR(__xludf.DUMMYFUNCTION("""COMPUTED_VALUE"""),"18-29")</f>
        <v>18-29</v>
      </c>
      <c r="AG121" s="6"/>
      <c r="AH121" s="6"/>
      <c r="AI121" s="6"/>
      <c r="AJ121" s="6"/>
      <c r="AK121" s="6"/>
      <c r="AL121" s="6"/>
      <c r="AM121" s="6"/>
    </row>
    <row r="122">
      <c r="A122" s="4">
        <v>121.0</v>
      </c>
      <c r="B122" s="6" t="str">
        <f>IFERROR(__xludf.DUMMYFUNCTION("""COMPUTED_VALUE"""),"Служащий, сфера продаж")</f>
        <v>Служащий, сфера продаж</v>
      </c>
      <c r="C122" s="6" t="str">
        <f>IFERROR(__xludf.DUMMYFUNCTION("""COMPUTED_VALUE"""),"Музыка")</f>
        <v>Музыка</v>
      </c>
      <c r="D122" s="6" t="str">
        <f>IFERROR(__xludf.DUMMYFUNCTION("""COMPUTED_VALUE"""),"Центральный")</f>
        <v>Центральный</v>
      </c>
      <c r="E122" s="6" t="str">
        <f>IFERROR(__xludf.DUMMYFUNCTION("""COMPUTED_VALUE"""),"Дома довоенной постройки, парк чудес, набережная")</f>
        <v>Дома довоенной постройки, парк чудес, набережная</v>
      </c>
      <c r="F122" s="6" t="str">
        <f>IFERROR(__xludf.DUMMYFUNCTION("""COMPUTED_VALUE"""),"Живу здесь с рождения")</f>
        <v>Живу здесь с рождения</v>
      </c>
      <c r="G122" s="6" t="str">
        <f>IFERROR(__xludf.DUMMYFUNCTION("""COMPUTED_VALUE"""),"Парк чудес")</f>
        <v>Парк чудес</v>
      </c>
      <c r="H122" s="6" t="str">
        <f>IFERROR(__xludf.DUMMYFUNCTION("""COMPUTED_VALUE"""),"Родной, красивый, уютный, холодный, загазованный")</f>
        <v>Родной, красивый, уютный, холодный, загазованный</v>
      </c>
      <c r="I122" s="6" t="str">
        <f>IFERROR(__xludf.DUMMYFUNCTION("""COMPUTED_VALUE"""),"Волков, Рутгерс")</f>
        <v>Волков, Рутгерс</v>
      </c>
      <c r="J122" s="6" t="str">
        <f>IFERROR(__xludf.DUMMYFUNCTION("""COMPUTED_VALUE"""),"Тулеев, Леонов")</f>
        <v>Тулеев, Леонов</v>
      </c>
      <c r="K122" s="6" t="str">
        <f>IFERROR(__xludf.DUMMYFUNCTION("""COMPUTED_VALUE"""),"Красная горка")</f>
        <v>Красная горка</v>
      </c>
      <c r="L122" s="6" t="str">
        <f>IFERROR(__xludf.DUMMYFUNCTION("""COMPUTED_VALUE"""),"Не знаю")</f>
        <v>Не знаю</v>
      </c>
      <c r="M122" s="6" t="str">
        <f>IFERROR(__xludf.DUMMYFUNCTION("""COMPUTED_VALUE"""),"Микрашка, Аул")</f>
        <v>Микрашка, Аул</v>
      </c>
      <c r="N122" s="6" t="str">
        <f>IFERROR(__xludf.DUMMYFUNCTION("""COMPUTED_VALUE"""),"Чистота, озеленение, красивые фасады, дороги без ям и оврагов")</f>
        <v>Чистота, озеленение, красивые фасады, дороги без ям и оврагов</v>
      </c>
      <c r="O122" s="6" t="str">
        <f>IFERROR(__xludf.DUMMYFUNCTION("""COMPUTED_VALUE"""),"Отремонтировать дороги")</f>
        <v>Отремонтировать дороги</v>
      </c>
      <c r="P122" s="6" t="str">
        <f>IFERROR(__xludf.DUMMYFUNCTION("""COMPUTED_VALUE"""),"Вести Кузбасс, А42")</f>
        <v>Вести Кузбасс, А42</v>
      </c>
      <c r="Q122" s="6" t="str">
        <f>IFERROR(__xludf.DUMMYFUNCTION("""COMPUTED_VALUE"""),"городская афиша (кино/театр/концерты),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результаты местных исследований (рейтинги/аналитика"&amp;"/тенденции)")</f>
        <v>городская афиша (кино/театр/концерты),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122" s="6" t="str">
        <f>IFERROR(__xludf.DUMMYFUNCTION("""COMPUTED_VALUE"""),"День города, день шахтера")</f>
        <v>День города, день шахтера</v>
      </c>
      <c r="S122" s="6" t="str">
        <f>IFERROR(__xludf.DUMMYFUNCTION("""COMPUTED_VALUE"""),"Нет, не приходилось")</f>
        <v>Нет, не приходилось</v>
      </c>
      <c r="T122" s="6" t="str">
        <f>IFERROR(__xludf.DUMMYFUNCTION("""COMPUTED_VALUE"""),"Красная горка")</f>
        <v>Красная горка</v>
      </c>
      <c r="U122" s="6" t="str">
        <f>IFERROR(__xludf.DUMMYFUNCTION("""COMPUTED_VALUE"""),"Площадь Ленина")</f>
        <v>Площадь Ленина</v>
      </c>
      <c r="V122" s="6" t="str">
        <f>IFERROR(__xludf.DUMMYFUNCTION("""COMPUTED_VALUE"""),"Строили красивые дома в старом центре, развивали промышленность")</f>
        <v>Строили красивые дома в старом центре, развивали промышленность</v>
      </c>
      <c r="W122" s="6" t="str">
        <f>IFERROR(__xludf.DUMMYFUNCTION("""COMPUTED_VALUE"""),"Крепкие, выносливые")</f>
        <v>Крепкие, выносливые</v>
      </c>
      <c r="X122" s="6" t="str">
        <f>IFERROR(__xludf.DUMMYFUNCTION("""COMPUTED_VALUE"""),"Красная горка, паркЧудес, речной вокзал")</f>
        <v>Красная горка, паркЧудес, речной вокзал</v>
      </c>
      <c r="Y122" s="6" t="str">
        <f>IFERROR(__xludf.DUMMYFUNCTION("""COMPUTED_VALUE"""),"Не знаю")</f>
        <v>Не знаю</v>
      </c>
      <c r="Z122" s="6" t="str">
        <f>IFERROR(__xludf.DUMMYFUNCTION("""COMPUTED_VALUE"""),"День города")</f>
        <v>День города</v>
      </c>
      <c r="AA122" s="6" t="str">
        <f>IFERROR(__xludf.DUMMYFUNCTION("""COMPUTED_VALUE"""),"Не было")</f>
        <v>Не было</v>
      </c>
      <c r="AB122" s="6" t="str">
        <f>IFERROR(__xludf.DUMMYFUNCTION("""COMPUTED_VALUE"""),"Не нуждаюсь")</f>
        <v>Не нуждаюсь</v>
      </c>
      <c r="AC122" s="6" t="str">
        <f>IFERROR(__xludf.DUMMYFUNCTION("""COMPUTED_VALUE"""),"Праздники как День города")</f>
        <v>Праздники как День города</v>
      </c>
      <c r="AD122" s="6" t="str">
        <f>IFERROR(__xludf.DUMMYFUNCTION("""COMPUTED_VALUE"""),"Зритель")</f>
        <v>Зритель</v>
      </c>
      <c r="AE122" s="6" t="str">
        <f>IFERROR(__xludf.DUMMYFUNCTION("""COMPUTED_VALUE"""),"Мужской")</f>
        <v>Мужской</v>
      </c>
      <c r="AF122" s="6" t="str">
        <f>IFERROR(__xludf.DUMMYFUNCTION("""COMPUTED_VALUE"""),"30-44")</f>
        <v>30-44</v>
      </c>
      <c r="AG122" s="6"/>
      <c r="AH122" s="6"/>
      <c r="AI122" s="6"/>
      <c r="AJ122" s="6"/>
      <c r="AK122" s="6"/>
      <c r="AL122" s="6"/>
      <c r="AM122" s="6"/>
    </row>
    <row r="123">
      <c r="A123" s="4">
        <v>122.0</v>
      </c>
      <c r="B123" s="6" t="str">
        <f>IFERROR(__xludf.DUMMYFUNCTION("""COMPUTED_VALUE"""),"Иностранный агента")</f>
        <v>Иностранный агента</v>
      </c>
      <c r="C123" s="6" t="str">
        <f>IFERROR(__xludf.DUMMYFUNCTION("""COMPUTED_VALUE"""),"Кино. Книги. Видеоигры. Наука. Интеллектуальное саморазвитие.")</f>
        <v>Кино. Книги. Видеоигры. Наука. Интеллектуальное саморазвитие.</v>
      </c>
      <c r="D123" s="6" t="str">
        <f>IFERROR(__xludf.DUMMYFUNCTION("""COMPUTED_VALUE"""),"Шалготарян (Шалго).")</f>
        <v>Шалготарян (Шалго).</v>
      </c>
      <c r="E123" s="6" t="str">
        <f>IFERROR(__xludf.DUMMYFUNCTION("""COMPUTED_VALUE"""),"Храм на окраине города.")</f>
        <v>Храм на окраине города.</v>
      </c>
      <c r="F123" s="6" t="str">
        <f>IFERROR(__xludf.DUMMYFUNCTION("""COMPUTED_VALUE"""),"Переехал сюда из другого места (откуда? укажите в графе другое), Переехал из Армении в 2007 году. Жил в посёлке Плотниково и с 2011го года поступил в университет и жил в Кемерово.")</f>
        <v>Переехал сюда из другого места (откуда? укажите в графе другое), Переехал из Армении в 2007 году. Жил в посёлке Плотниково и с 2011го года поступил в университет и жил в Кемерово.</v>
      </c>
      <c r="G123" s="6" t="str">
        <f>IFERROR(__xludf.DUMMYFUNCTION("""COMPUTED_VALUE"""),"В летнее время часто хожу на мыс, не далеко от Кузнецкого моста (чуть ниже креста). Катаюсь на лонгборде там где позволяет покрытие, в основном это набережная, окрестности площади Советов. Зимой иногда еду на гору Люскус кататься на сноуборде.")</f>
        <v>В летнее время часто хожу на мыс, не далеко от Кузнецкого моста (чуть ниже креста). Катаюсь на лонгборде там где позволяет покрытие, в основном это набережная, окрестности площади Советов. Зимой иногда еду на гору Люскус кататься на сноуборде.</v>
      </c>
      <c r="H123" s="6" t="str">
        <f>IFERROR(__xludf.DUMMYFUNCTION("""COMPUTED_VALUE"""),"Близкие люди. р. Томь. Смог. Безразличие. Все!")</f>
        <v>Близкие люди. р. Томь. Смог. Безразличие. Все!</v>
      </c>
      <c r="I123" s="6" t="str">
        <f>IFERROR(__xludf.DUMMYFUNCTION("""COMPUTED_VALUE"""),"Волоков. Мессершмидт. Леонов. Боль не не вспомню.")</f>
        <v>Волоков. Мессершмидт. Леонов. Боль не не вспомню.</v>
      </c>
      <c r="J123" s="6" t="str">
        <f>IFERROR(__xludf.DUMMYFUNCTION("""COMPUTED_VALUE"""),"Я не знаю людей, кто делал особенно много для города, но они есть. Город меняется и развевается и кто-то за этим стоит видимо. И не знаю таких людей кто хотел бы ровняться на кого-то кто делает что-то для города. Каждый должен делать что-то сам. Увидел му"&amp;"сор по середе дороги - подошёл выкинул. Немного финансово помог приюту для бездомных собак, скажем не выпил один день кофе. Лучшие люди города остаются за кадром.")</f>
        <v>Я не знаю людей, кто делал особенно много для города, но они есть. Город меняется и развевается и кто-то за этим стоит видимо. И не знаю таких людей кто хотел бы ровняться на кого-то кто делает что-то для города. Каждый должен делать что-то сам. Увидел мусор по середе дороги - подошёл выкинул. Немного финансово помог приюту для бездомных собак, скажем не выпил один день кофе. Лучшие люди города остаются за кадром.</v>
      </c>
      <c r="K123" s="6" t="str">
        <f>IFERROR(__xludf.DUMMYFUNCTION("""COMPUTED_VALUE"""),"Мыс, недалеко от Кузнецкого моста.")</f>
        <v>Мыс, недалеко от Кузнецкого моста.</v>
      </c>
      <c r="L123" s="6" t="str">
        <f>IFERROR(__xludf.DUMMYFUNCTION("""COMPUTED_VALUE"""),"Не знаю.")</f>
        <v>Не знаю.</v>
      </c>
      <c r="M123" s="6" t="str">
        <f>IFERROR(__xludf.DUMMYFUNCTION("""COMPUTED_VALUE"""),"Кузбассить - это значит делать много работы и получать за это ничего.")</f>
        <v>Кузбассить - это значит делать много работы и получать за это ничего.</v>
      </c>
      <c r="N123" s="6" t="str">
        <f>IFERROR(__xludf.DUMMYFUNCTION("""COMPUTED_VALUE"""),"Из реальных, хотя бы нормальный общественный транспорт на всех маршрутах, а не на нескольких. А так чистое окружение (воздух). Доброжелательные, отзывчивые и сплочённые людей. Качественно исполненные дороги для велосипедистов и для тех кто катается на чём"&amp;" то с колёсами.")</f>
        <v>Из реальных, хотя бы нормальный общественный транспорт на всех маршрутах, а не на нескольких. А так чистое окружение (воздух). Доброжелательные, отзывчивые и сплочённые людей. Качественно исполненные дороги для велосипедистов и для тех кто катается на чём то с колёсами.</v>
      </c>
      <c r="O123" s="6" t="str">
        <f>IFERROR(__xludf.DUMMYFUNCTION("""COMPUTED_VALUE"""),"Людей.")</f>
        <v>Людей.</v>
      </c>
      <c r="P123" s="6" t="str">
        <f>IFERROR(__xludf.DUMMYFUNCTION("""COMPUTED_VALUE"""),"Социальные сети. Новостные ленты.")</f>
        <v>Социальные сети. Новостные ленты.</v>
      </c>
      <c r="Q123" s="6" t="str">
        <f>IFERROR(__xludf.DUMMYFUNCTION("""COMPUTED_VALUE"""),"городская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123" s="6" t="str">
        <f>IFERROR(__xludf.DUMMYFUNCTION("""COMPUTED_VALUE"""),"Для меня никакие. Для жителей все праздники.")</f>
        <v>Для меня никакие. Для жителей все праздники.</v>
      </c>
      <c r="S123" s="6" t="str">
        <f>IFERROR(__xludf.DUMMYFUNCTION("""COMPUTED_VALUE"""),"Нет, не приходилось")</f>
        <v>Нет, не приходилось</v>
      </c>
      <c r="T123" s="6" t="str">
        <f>IFERROR(__xludf.DUMMYFUNCTION("""COMPUTED_VALUE"""),"К сожалению, только по плохими событиями запоминают город. Ну это в целом проблема не только нашего города.")</f>
        <v>К сожалению, только по плохими событиями запоминают город. Ну это в целом проблема не только нашего города.</v>
      </c>
      <c r="U123" s="6" t="str">
        <f>IFERROR(__xludf.DUMMYFUNCTION("""COMPUTED_VALUE"""),"Символически это р. Томь. А так площадь Советов.")</f>
        <v>Символически это р. Томь. А так площадь Советов.</v>
      </c>
      <c r="V123" s="6" t="str">
        <f>IFERROR(__xludf.DUMMYFUNCTION("""COMPUTED_VALUE"""),"Каждый делает что-то для себя не для города.")</f>
        <v>Каждый делает что-то для себя не для города.</v>
      </c>
      <c r="W123" s="6" t="str">
        <f>IFERROR(__xludf.DUMMYFUNCTION("""COMPUTED_VALUE"""),"В большинстве безразличные. Но везде есть и хорошие. Нет тени без света.")</f>
        <v>В большинстве безразличные. Но везде есть и хорошие. Нет тени без света.</v>
      </c>
      <c r="X123" s="6" t="str">
        <f>IFERROR(__xludf.DUMMYFUNCTION("""COMPUTED_VALUE"""),"Набережная, как и во многих городах России.")</f>
        <v>Набережная, как и во многих городах России.</v>
      </c>
      <c r="Y123" s="6" t="str">
        <f>IFERROR(__xludf.DUMMYFUNCTION("""COMPUTED_VALUE"""),"Переименование Кемеровской области в Кузбасс. Это перевернуло всё.")</f>
        <v>Переименование Кемеровской области в Кузбасс. Это перевернуло всё.</v>
      </c>
      <c r="Z123" s="6" t="str">
        <f>IFERROR(__xludf.DUMMYFUNCTION("""COMPUTED_VALUE"""),"Знаю много людей которые помогают многим животным найти дом или отдать в приют и поддерживают приюты. Помогают бабушкам и дедушкам если видят что они в этом нуждаются, а они нуждаются. Это очень позитивные события. Также, сделали рампы для скейтбордистов "&amp;"на бульваре. Достроили бульвар. Улучшили территорию вокруг Кадетского корпуса, но жаль изначально цель не в этом была. В основном это очень маленькие события но они всецело влияют позитивно на город.")</f>
        <v>Знаю много людей которые помогают многим животным найти дом или отдать в приют и поддерживают приюты. Помогают бабушкам и дедушкам если видят что они в этом нуждаются, а они нуждаются. Это очень позитивные события. Также, сделали рампы для скейтбордистов на бульваре. Достроили бульвар. Улучшили территорию вокруг Кадетского корпуса, но жаль изначально цель не в этом была. В основном это очень маленькие события но они всецело влияют позитивно на город.</v>
      </c>
      <c r="AA123" s="6" t="str">
        <f>IFERROR(__xludf.DUMMYFUNCTION("""COMPUTED_VALUE"""),"Их тоже предостаточно, местные СМИ очень яростно за этим следят и сложно упустить что-то негативное. Помимо очевидных и крупных событий постоянно происходят возмутительные вещи прямо по соседству. Всего и не перечислить.")</f>
        <v>Их тоже предостаточно, местные СМИ очень яростно за этим следят и сложно упустить что-то негативное. Помимо очевидных и крупных событий постоянно происходят возмутительные вещи прямо по соседству. Всего и не перечислить.</v>
      </c>
      <c r="AB123" s="6" t="str">
        <f>IFERROR(__xludf.DUMMYFUNCTION("""COMPUTED_VALUE"""),"А какие есть?")</f>
        <v>А какие есть?</v>
      </c>
      <c r="AC123" s="6" t="str">
        <f>IFERROR(__xludf.DUMMYFUNCTION("""COMPUTED_VALUE"""),"Интересные события.")</f>
        <v>Интересные события.</v>
      </c>
      <c r="AD123" s="6" t="str">
        <f>IFERROR(__xludf.DUMMYFUNCTION("""COMPUTED_VALUE"""),"В роли участника. ")</f>
        <v>В роли участника. </v>
      </c>
      <c r="AE123" s="6" t="str">
        <f>IFERROR(__xludf.DUMMYFUNCTION("""COMPUTED_VALUE"""),"Мужской")</f>
        <v>Мужской</v>
      </c>
      <c r="AF123" s="6" t="str">
        <f>IFERROR(__xludf.DUMMYFUNCTION("""COMPUTED_VALUE"""),"18-29")</f>
        <v>18-29</v>
      </c>
      <c r="AG123" s="6"/>
      <c r="AH123" s="6"/>
      <c r="AI123" s="6"/>
      <c r="AJ123" s="6"/>
      <c r="AK123" s="6"/>
      <c r="AL123" s="6"/>
      <c r="AM123" s="6"/>
    </row>
    <row r="124">
      <c r="A124" s="4">
        <v>123.0</v>
      </c>
      <c r="B124" s="6" t="str">
        <f>IFERROR(__xludf.DUMMYFUNCTION("""COMPUTED_VALUE"""),"Фриланс")</f>
        <v>Фриланс</v>
      </c>
      <c r="C124" s="6" t="str">
        <f>IFERROR(__xludf.DUMMYFUNCTION("""COMPUTED_VALUE"""),"Музыка, 3D графика. ")</f>
        <v>Музыка, 3D графика. </v>
      </c>
      <c r="D124" s="6" t="str">
        <f>IFERROR(__xludf.DUMMYFUNCTION("""COMPUTED_VALUE"""),"Центральный, центр")</f>
        <v>Центральный, центр</v>
      </c>
      <c r="E124" s="6" t="str">
        <f>IFERROR(__xludf.DUMMYFUNCTION("""COMPUTED_VALUE"""),"Дворец творчества в котором KemRock")</f>
        <v>Дворец творчества в котором KemRock</v>
      </c>
      <c r="F124" s="6" t="str">
        <f>IFERROR(__xludf.DUMMYFUNCTION("""COMPUTED_VALUE"""),"Переехал сюда из другого места (откуда? укажите в графе другое), С Ленинска")</f>
        <v>Переехал сюда из другого места (откуда? укажите в графе другое), С Ленинска</v>
      </c>
      <c r="G124" s="6" t="str">
        <f>IFERROR(__xludf.DUMMYFUNCTION("""COMPUTED_VALUE"""),"Харатс, Набережная, КлубмаСпейс, площадь Волкова, KemRock ")</f>
        <v>Харатс, Набережная, КлубмаСпейс, площадь Волкова, KemRock </v>
      </c>
      <c r="H124" s="6" t="str">
        <f>IFERROR(__xludf.DUMMYFUNCTION("""COMPUTED_VALUE"""),"Грязь, смог, ямы, пробки. ")</f>
        <v>Грязь, смог, ямы, пробки. </v>
      </c>
      <c r="I124" s="6" t="str">
        <f>IFERROR(__xludf.DUMMYFUNCTION("""COMPUTED_VALUE"""),"Не знаю. ")</f>
        <v>Не знаю. </v>
      </c>
      <c r="J124" s="6" t="str">
        <f>IFERROR(__xludf.DUMMYFUNCTION("""COMPUTED_VALUE"""),"Таких не заметил, одни обещания. ")</f>
        <v>Таких не заметил, одни обещания. </v>
      </c>
      <c r="K124" s="6" t="str">
        <f>IFERROR(__xludf.DUMMYFUNCTION("""COMPUTED_VALUE"""),"Не много их, но Харатс, Набережная, КлубмаСпейс, площадь Волкова, KemRock")</f>
        <v>Не много их, но Харатс, Набережная, КлубмаСпейс, площадь Волкова, KemRock</v>
      </c>
      <c r="L124" s="6" t="str">
        <f>IFERROR(__xludf.DUMMYFUNCTION("""COMPUTED_VALUE"""),"Денег нет, но вы держитесь. ")</f>
        <v>Денег нет, но вы держитесь. </v>
      </c>
      <c r="M124" s="6" t="str">
        <f>IFERROR(__xludf.DUMMYFUNCTION("""COMPUTED_VALUE"""),"Не в Кемерове, а в Кемерово")</f>
        <v>Не в Кемерове, а в Кемерово</v>
      </c>
      <c r="N124" s="6" t="str">
        <f>IFERROR(__xludf.DUMMYFUNCTION("""COMPUTED_VALUE"""),"Чистота, культура, высокая зп, работа на которую можно устроить, а не как в Кемерово. ")</f>
        <v>Чистота, культура, высокая зп, работа на которую можно устроить, а не как в Кемерово. </v>
      </c>
      <c r="O124" s="6" t="str">
        <f>IFERROR(__xludf.DUMMYFUNCTION("""COMPUTED_VALUE"""),"Дороги, каждое лето таят, администрация только обещает. ")</f>
        <v>Дороги, каждое лето таят, администрация только обещает. </v>
      </c>
      <c r="P124" s="6" t="str">
        <f>IFERROR(__xludf.DUMMYFUNCTION("""COMPUTED_VALUE"""),"От знакомых и из инстаграм")</f>
        <v>От знакомых и из инстаграм</v>
      </c>
      <c r="Q124"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 новости про новые профессии/куда поступать/вакансии")</f>
        <v>куда пойти в свободное время, где вкусно поесть/открытие новых кафе/ресторанов, криминальные новости (происшествия/преступления), новости про новые профессии/куда поступать/вакансии</v>
      </c>
      <c r="R124" s="6" t="str">
        <f>IFERROR(__xludf.DUMMYFUNCTION("""COMPUTED_VALUE"""),"Герои мирового рока, выступления местных артистов")</f>
        <v>Герои мирового рока, выступления местных артистов</v>
      </c>
      <c r="S124" s="6" t="str">
        <f>IFERROR(__xludf.DUMMYFUNCTION("""COMPUTED_VALUE"""),"Нет, не приходилось")</f>
        <v>Нет, не приходилось</v>
      </c>
      <c r="T124" s="6" t="str">
        <f>IFERROR(__xludf.DUMMYFUNCTION("""COMPUTED_VALUE"""),"Ëлкой за 18млн. (Как в видео с интервью у деда, про ""елочку"") ")</f>
        <v>Ëлкой за 18млн. (Как в видео с интервью у деда, про "елочку") </v>
      </c>
      <c r="U124" s="6" t="str">
        <f>IFERROR(__xludf.DUMMYFUNCTION("""COMPUTED_VALUE"""),"Набережная, весенняя улица")</f>
        <v>Набережная, весенняя улица</v>
      </c>
      <c r="V124" s="6" t="str">
        <f>IFERROR(__xludf.DUMMYFUNCTION("""COMPUTED_VALUE"""),"Знаю только, что 80% городом недовольны")</f>
        <v>Знаю только, что 80% городом недовольны</v>
      </c>
      <c r="W124" s="6" t="str">
        <f>IFERROR(__xludf.DUMMYFUNCTION("""COMPUTED_VALUE"""),"Необразованность, наглость, доброта, желание помочь, терпильность.")</f>
        <v>Необразованность, наглость, доброта, желание помочь, терпильность.</v>
      </c>
      <c r="X124" s="6" t="str">
        <f>IFERROR(__xludf.DUMMYFUNCTION("""COMPUTED_VALUE"""),"Маршрута нет, только места в разных точках, между, смотреть не на что")</f>
        <v>Маршрута нет, только места в разных точках, между, смотреть не на что</v>
      </c>
      <c r="Y124" s="6" t="str">
        <f>IFERROR(__xludf.DUMMYFUNCTION("""COMPUTED_VALUE"""),"Герои Мирового Рока, концерт Scorpions. ")</f>
        <v>Герои Мирового Рока, концерт Scorpions. </v>
      </c>
      <c r="Z124" s="6" t="str">
        <f>IFERROR(__xludf.DUMMYFUNCTION("""COMPUTED_VALUE"""),"День города, рок концерты в харатсе")</f>
        <v>День города, рок концерты в харатсе</v>
      </c>
      <c r="AA124" s="6" t="str">
        <f>IFERROR(__xludf.DUMMYFUNCTION("""COMPUTED_VALUE"""),"Письменные обещания администрации города исправить проблему, но по факту проблема так и есть. ")</f>
        <v>Письменные обещания администрации города исправить проблему, но по факту проблема так и есть. </v>
      </c>
      <c r="AB124" s="6" t="str">
        <f>IFERROR(__xludf.DUMMYFUNCTION("""COMPUTED_VALUE"""),"Репетиционных точек для местных музыкантов. ")</f>
        <v>Репетиционных точек для местных музыкантов. </v>
      </c>
      <c r="AC124" s="6" t="str">
        <f>IFERROR(__xludf.DUMMYFUNCTION("""COMPUTED_VALUE"""),"Мест для выступления местных ""талантов"", флешмобов, массовых мероприятий в целом")</f>
        <v>Мест для выступления местных "талантов", флешмобов, массовых мероприятий в целом</v>
      </c>
      <c r="AD124" s="6" t="str">
        <f>IFERROR(__xludf.DUMMYFUNCTION("""COMPUTED_VALUE"""),"Нет ответа на этот вопрос")</f>
        <v>Нет ответа на этот вопрос</v>
      </c>
      <c r="AE124" s="6" t="str">
        <f>IFERROR(__xludf.DUMMYFUNCTION("""COMPUTED_VALUE"""),"Мужской")</f>
        <v>Мужской</v>
      </c>
      <c r="AF124" s="6" t="str">
        <f>IFERROR(__xludf.DUMMYFUNCTION("""COMPUTED_VALUE"""),"18-29")</f>
        <v>18-29</v>
      </c>
      <c r="AG124" s="6"/>
      <c r="AH124" s="6"/>
      <c r="AI124" s="6"/>
      <c r="AJ124" s="6"/>
      <c r="AK124" s="6"/>
      <c r="AL124" s="6"/>
      <c r="AM124" s="6"/>
    </row>
    <row r="125">
      <c r="A125" s="4">
        <v>124.0</v>
      </c>
      <c r="B125" s="6" t="str">
        <f>IFERROR(__xludf.DUMMYFUNCTION("""COMPUTED_VALUE"""),"Работаю в компании Goodline, специалист тех. поддержки")</f>
        <v>Работаю в компании Goodline, специалист тех. поддержки</v>
      </c>
      <c r="C125" s="6" t="str">
        <f>IFERROR(__xludf.DUMMYFUNCTION("""COMPUTED_VALUE"""),"Смотреть кинофильмы")</f>
        <v>Смотреть кинофильмы</v>
      </c>
      <c r="D125" s="6" t="str">
        <f>IFERROR(__xludf.DUMMYFUNCTION("""COMPUTED_VALUE"""),"Радуга")</f>
        <v>Радуга</v>
      </c>
      <c r="E125" s="6" t="str">
        <f>IFERROR(__xludf.DUMMYFUNCTION("""COMPUTED_VALUE"""),"Бор, ТРЦ Радуга, ТРЦ Рио")</f>
        <v>Бор, ТРЦ Радуга, ТРЦ Рио</v>
      </c>
      <c r="F125" s="6" t="str">
        <f>IFERROR(__xludf.DUMMYFUNCTION("""COMPUTED_VALUE"""),"Переехал сюда из другого места (откуда? укажите в графе другое), Переехала сюда для учебы в университете из пгт. Краснобродский")</f>
        <v>Переехал сюда из другого места (откуда? укажите в графе другое), Переехала сюда для учебы в университете из пгт. Краснобродский</v>
      </c>
      <c r="G125" s="6" t="str">
        <f>IFERROR(__xludf.DUMMYFUNCTION("""COMPUTED_VALUE"""),"Кинотеатры, парки, торговые центры")</f>
        <v>Кинотеатры, парки, торговые центры</v>
      </c>
      <c r="H125" s="6" t="str">
        <f>IFERROR(__xludf.DUMMYFUNCTION("""COMPUTED_VALUE"""),"Столица, Гудлайн, студенты, друзья, 10 маршрут")</f>
        <v>Столица, Гудлайн, студенты, друзья, 10 маршрут</v>
      </c>
      <c r="I125" s="6" t="str">
        <f>IFERROR(__xludf.DUMMYFUNCTION("""COMPUTED_VALUE"""),"Балибалов Иван Алексеевич, Вдовин Николай Михайлович, Селиванов Василий Андреевич")</f>
        <v>Балибалов Иван Алексеевич, Вдовин Николай Михайлович, Селиванов Василий Андреевич</v>
      </c>
      <c r="J125" s="6" t="str">
        <f>IFERROR(__xludf.DUMMYFUNCTION("""COMPUTED_VALUE"""),"Тулеев Аман Гумирович")</f>
        <v>Тулеев Аман Гумирович</v>
      </c>
      <c r="K125" s="6" t="str">
        <f>IFERROR(__xludf.DUMMYFUNCTION("""COMPUTED_VALUE"""),"Музей-Заповедник ""Красная Горка"", 7. Парк победы, Театр драмы, Надпись «Кузбасс» на правом берегу Томи, Набержная")</f>
        <v>Музей-Заповедник "Красная Горка", 7. Парк победы, Театр драмы, Надпись «Кузбасс» на правом берегу Томи, Набержная</v>
      </c>
      <c r="L125" s="6" t="str">
        <f>IFERROR(__xludf.DUMMYFUNCTION("""COMPUTED_VALUE"""),"Ничего подобного не могу припомнить(")</f>
        <v>Ничего подобного не могу припомнить(</v>
      </c>
      <c r="M125" s="6" t="str">
        <f>IFERROR(__xludf.DUMMYFUNCTION("""COMPUTED_VALUE"""),"Никогда ничего такого не слышала(")</f>
        <v>Никогда ничего такого не слышала(</v>
      </c>
      <c r="N125" s="6" t="str">
        <f>IFERROR(__xludf.DUMMYFUNCTION("""COMPUTED_VALUE"""),"Развитая инфраструктура, доступное жильё, озеленённые пространства, социально-досуговая составляющая")</f>
        <v>Развитая инфраструктура, доступное жильё, озеленённые пространства, социально-досуговая составляющая</v>
      </c>
      <c r="O125" s="6" t="str">
        <f>IFERROR(__xludf.DUMMYFUNCTION("""COMPUTED_VALUE"""),"Не трогать застройками зоны лесополосы (в частности бор в рудничном районе), а наоборот сделать город более солнечным и зелёным, поддерживать парковые зоны в надлежащем состоянии.")</f>
        <v>Не трогать застройками зоны лесополосы (в частности бор в рудничном районе), а наоборот сделать город более солнечным и зелёным, поддерживать парковые зоны в надлежащем состоянии.</v>
      </c>
      <c r="P125" s="7" t="str">
        <f>IFERROR(__xludf.DUMMYFUNCTION("""COMPUTED_VALUE"""),"e-kuzbass.ru")</f>
        <v>e-kuzbass.ru</v>
      </c>
      <c r="Q125"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проф"&amp;"ессии/куда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25" s="6" t="str">
        <f>IFERROR(__xludf.DUMMYFUNCTION("""COMPUTED_VALUE"""),"День Шахтёра, День города")</f>
        <v>День Шахтёра, День города</v>
      </c>
      <c r="S125" s="6" t="str">
        <f>IFERROR(__xludf.DUMMYFUNCTION("""COMPUTED_VALUE"""),"Нет, не приходилось")</f>
        <v>Нет, не приходилось</v>
      </c>
      <c r="T125" s="6" t="str">
        <f>IFERROR(__xludf.DUMMYFUNCTION("""COMPUTED_VALUE"""),"Я не считаю г. Кемерово уникальным")</f>
        <v>Я не считаю г. Кемерово уникальным</v>
      </c>
      <c r="U125" s="6" t="str">
        <f>IFERROR(__xludf.DUMMYFUNCTION("""COMPUTED_VALUE"""),"Район Театра драмы")</f>
        <v>Район Театра драмы</v>
      </c>
      <c r="V125" s="6" t="str">
        <f>IFERROR(__xludf.DUMMYFUNCTION("""COMPUTED_VALUE"""),"Максимально развивали промышленность города")</f>
        <v>Максимально развивали промышленность города</v>
      </c>
      <c r="W125" s="6" t="str">
        <f>IFERROR(__xludf.DUMMYFUNCTION("""COMPUTED_VALUE"""),"Сильные, стойкие, вместе с тем добродушные и всегда готовые придти на помощь люди")</f>
        <v>Сильные, стойкие, вместе с тем добродушные и всегда готовые придти на помощь люди</v>
      </c>
      <c r="X125" s="6" t="str">
        <f>IFERROR(__xludf.DUMMYFUNCTION("""COMPUTED_VALUE"""),"Набержная, парки (Победы, ангелов и т.  п.), Красная горка")</f>
        <v>Набержная, парки (Победы, ангелов и т.  п.), Красная горка</v>
      </c>
      <c r="Y125" s="6" t="str">
        <f>IFERROR(__xludf.DUMMYFUNCTION("""COMPUTED_VALUE"""),"Затрудняюсь ответить на данный вопрос")</f>
        <v>Затрудняюсь ответить на данный вопрос</v>
      </c>
      <c r="Z125" s="6" t="str">
        <f>IFERROR(__xludf.DUMMYFUNCTION("""COMPUTED_VALUE"""),"Таковых событий нет")</f>
        <v>Таковых событий нет</v>
      </c>
      <c r="AA125" s="6" t="str">
        <f>IFERROR(__xludf.DUMMYFUNCTION("""COMPUTED_VALUE"""),"Таковых событий нет")</f>
        <v>Таковых событий нет</v>
      </c>
      <c r="AB125" s="6" t="str">
        <f>IFERROR(__xludf.DUMMYFUNCTION("""COMPUTED_VALUE"""),"Желательно как-то развивать культурную и образовательную составляющую у детей и подростков, ибо всё, что они делают - это болтаются по торговым центрам")</f>
        <v>Желательно как-то развивать культурную и образовательную составляющую у детей и подростков, ибо всё, что они делают - это болтаются по торговым центрам</v>
      </c>
      <c r="AC125" s="6" t="str">
        <f>IFERROR(__xludf.DUMMYFUNCTION("""COMPUTED_VALUE"""),"Концерты на открытых площадках, большее разнообразие в репертуарах театров")</f>
        <v>Концерты на открытых площадках, большее разнообразие в репертуарах театров</v>
      </c>
      <c r="AD125" s="6" t="str">
        <f>IFERROR(__xludf.DUMMYFUNCTION("""COMPUTED_VALUE"""),"Интересно было бы принять участие в организации и проведении какого либо городского мероприятия")</f>
        <v>Интересно было бы принять участие в организации и проведении какого либо городского мероприятия</v>
      </c>
      <c r="AE125" s="6" t="str">
        <f>IFERROR(__xludf.DUMMYFUNCTION("""COMPUTED_VALUE"""),"Женский")</f>
        <v>Женский</v>
      </c>
      <c r="AF125" s="6" t="str">
        <f>IFERROR(__xludf.DUMMYFUNCTION("""COMPUTED_VALUE"""),"18-29")</f>
        <v>18-29</v>
      </c>
      <c r="AG125" s="6"/>
      <c r="AH125" s="6"/>
      <c r="AI125" s="6"/>
      <c r="AJ125" s="6"/>
      <c r="AK125" s="6"/>
      <c r="AL125" s="6"/>
      <c r="AM125" s="6"/>
    </row>
    <row r="126">
      <c r="A126" s="4">
        <v>125.0</v>
      </c>
      <c r="B126" s="6" t="str">
        <f>IFERROR(__xludf.DUMMYFUNCTION("""COMPUTED_VALUE"""),"Свободный художник ")</f>
        <v>Свободный художник </v>
      </c>
      <c r="C126" s="6" t="str">
        <f>IFERROR(__xludf.DUMMYFUNCTION("""COMPUTED_VALUE"""),"Организация процессов ")</f>
        <v>Организация процессов </v>
      </c>
      <c r="D126" s="6" t="str">
        <f>IFERROR(__xludf.DUMMYFUNCTION("""COMPUTED_VALUE"""),"Центральный ")</f>
        <v>Центральный </v>
      </c>
      <c r="E126" s="6" t="str">
        <f>IFERROR(__xludf.DUMMYFUNCTION("""COMPUTED_VALUE"""),"Набережная, площадь советов, весенняя улица")</f>
        <v>Набережная, площадь советов, весенняя улица</v>
      </c>
      <c r="F126" s="6" t="str">
        <f>IFERROR(__xludf.DUMMYFUNCTION("""COMPUTED_VALUE"""),"Юрга, учёба ")</f>
        <v>Юрга, учёба </v>
      </c>
      <c r="G126" s="6" t="str">
        <f>IFERROR(__xludf.DUMMYFUNCTION("""COMPUTED_VALUE"""),"Набережная, сосновый бор")</f>
        <v>Набережная, сосновый бор</v>
      </c>
      <c r="H126" s="6" t="str">
        <f>IFERROR(__xludf.DUMMYFUNCTION("""COMPUTED_VALUE"""),"Серость, трубы, солнце, парк, соразмерность ")</f>
        <v>Серость, трубы, солнце, парк, соразмерность </v>
      </c>
      <c r="I126" s="6" t="str">
        <f>IFERROR(__xludf.DUMMYFUNCTION("""COMPUTED_VALUE"""),"Гришковец ")</f>
        <v>Гришковец </v>
      </c>
      <c r="J126" s="6" t="str">
        <f>IFERROR(__xludf.DUMMYFUNCTION("""COMPUTED_VALUE"""),"Я не знаю ")</f>
        <v>Я не знаю </v>
      </c>
      <c r="K126" s="6" t="str">
        <f>IFERROR(__xludf.DUMMYFUNCTION("""COMPUTED_VALUE"""),"Сосновый бор, набережная ")</f>
        <v>Сосновый бор, набережная </v>
      </c>
      <c r="L126" s="6" t="str">
        <f>IFERROR(__xludf.DUMMYFUNCTION("""COMPUTED_VALUE"""),"Я не знаю ")</f>
        <v>Я не знаю </v>
      </c>
      <c r="M126" s="6" t="str">
        <f>IFERROR(__xludf.DUMMYFUNCTION("""COMPUTED_VALUE"""),"Нет")</f>
        <v>Нет</v>
      </c>
      <c r="N126" s="6" t="str">
        <f>IFERROR(__xludf.DUMMYFUNCTION("""COMPUTED_VALUE"""),"Удобство перемещения, экология, доступность к хорошей еде, медицине, наличие интересных событий ")</f>
        <v>Удобство перемещения, экология, доступность к хорошей еде, медицине, наличие интересных событий </v>
      </c>
      <c r="O126" s="6" t="str">
        <f>IFERROR(__xludf.DUMMYFUNCTION("""COMPUTED_VALUE"""),"Велосипедную дорогу ")</f>
        <v>Велосипедную дорогу </v>
      </c>
      <c r="P126" s="6" t="str">
        <f>IFERROR(__xludf.DUMMYFUNCTION("""COMPUTED_VALUE"""),"Друзья ")</f>
        <v>Друзья </v>
      </c>
      <c r="Q126" s="6" t="str">
        <f>IFERROR(__xludf.DUMMYFUNCTION("""COMPUTED_VALUE"""),"куда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сво"&amp;"и предложения)")</f>
        <v>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26" s="6" t="str">
        <f>IFERROR(__xludf.DUMMYFUNCTION("""COMPUTED_VALUE"""),"Никакие ")</f>
        <v>Никакие </v>
      </c>
      <c r="S126" s="6" t="str">
        <f>IFERROR(__xludf.DUMMYFUNCTION("""COMPUTED_VALUE"""),"В чем смысл ответов? ")</f>
        <v>В чем смысл ответов? </v>
      </c>
      <c r="T126" s="6" t="str">
        <f>IFERROR(__xludf.DUMMYFUNCTION("""COMPUTED_VALUE"""),"Грустно знаменит ")</f>
        <v>Грустно знаменит </v>
      </c>
      <c r="U126" s="6" t="str">
        <f>IFERROR(__xludf.DUMMYFUNCTION("""COMPUTED_VALUE"""),"Площадь советов")</f>
        <v>Площадь советов</v>
      </c>
      <c r="V126" s="6" t="str">
        <f>IFERROR(__xludf.DUMMYFUNCTION("""COMPUTED_VALUE"""),"Создавали события ")</f>
        <v>Создавали события </v>
      </c>
      <c r="W126" s="6" t="str">
        <f>IFERROR(__xludf.DUMMYFUNCTION("""COMPUTED_VALUE"""),"Дружелюбные ")</f>
        <v>Дружелюбные </v>
      </c>
      <c r="X126" s="6" t="str">
        <f>IFERROR(__xludf.DUMMYFUNCTION("""COMPUTED_VALUE"""),"В бору и по пешему центру ")</f>
        <v>В бору и по пешему центру </v>
      </c>
      <c r="Y126" s="6" t="str">
        <f>IFERROR(__xludf.DUMMYFUNCTION("""COMPUTED_VALUE"""),"Не знаю ")</f>
        <v>Не знаю </v>
      </c>
      <c r="Z126" s="6" t="str">
        <f>IFERROR(__xludf.DUMMYFUNCTION("""COMPUTED_VALUE"""),"Площадь кузбасских историй ")</f>
        <v>Площадь кузбасских историй </v>
      </c>
      <c r="AA126" s="6" t="str">
        <f>IFERROR(__xludf.DUMMYFUNCTION("""COMPUTED_VALUE"""),"Грубый персонал ")</f>
        <v>Грубый персонал </v>
      </c>
      <c r="AB126" s="6" t="str">
        <f>IFERROR(__xludf.DUMMYFUNCTION("""COMPUTED_VALUE"""),"Художников ")</f>
        <v>Художников </v>
      </c>
      <c r="AC126" s="6" t="str">
        <f>IFERROR(__xludf.DUMMYFUNCTION("""COMPUTED_VALUE"""),"Нестандартные ")</f>
        <v>Нестандартные </v>
      </c>
      <c r="AD126" s="6" t="str">
        <f>IFERROR(__xludf.DUMMYFUNCTION("""COMPUTED_VALUE"""),"По обстоятельствам")</f>
        <v>По обстоятельствам</v>
      </c>
      <c r="AE126" s="6" t="str">
        <f>IFERROR(__xludf.DUMMYFUNCTION("""COMPUTED_VALUE"""),"Женский")</f>
        <v>Женский</v>
      </c>
      <c r="AF126" s="6" t="str">
        <f>IFERROR(__xludf.DUMMYFUNCTION("""COMPUTED_VALUE"""),"18-29")</f>
        <v>18-29</v>
      </c>
      <c r="AG126" s="6"/>
      <c r="AH126" s="6"/>
      <c r="AI126" s="6"/>
      <c r="AJ126" s="6"/>
      <c r="AK126" s="6"/>
      <c r="AL126" s="6"/>
      <c r="AM126" s="6"/>
    </row>
    <row r="127">
      <c r="A127" s="4">
        <v>126.0</v>
      </c>
      <c r="B127" s="6" t="str">
        <f>IFERROR(__xludf.DUMMYFUNCTION("""COMPUTED_VALUE"""),"Продакт-менеджер приложения Кавёр")</f>
        <v>Продакт-менеджер приложения Кавёр</v>
      </c>
      <c r="C127" s="6" t="str">
        <f>IFERROR(__xludf.DUMMYFUNCTION("""COMPUTED_VALUE"""),"Воспитываю собаку, люблю читать и смотреть кино")</f>
        <v>Воспитываю собаку, люблю читать и смотреть кино</v>
      </c>
      <c r="D127" s="6" t="str">
        <f>IFERROR(__xludf.DUMMYFUNCTION("""COMPUTED_VALUE"""),"В Рудничном, называю Радуга")</f>
        <v>В Рудничном, называю Радуга</v>
      </c>
      <c r="E127" s="6" t="str">
        <f>IFERROR(__xludf.DUMMYFUNCTION("""COMPUTED_VALUE"""),"Красная горка, Серебряный бор, Сосновый бор, Память шахтерам, Кардиоцентр")</f>
        <v>Красная горка, Серебряный бор, Сосновый бор, Память шахтерам, Кардиоцентр</v>
      </c>
      <c r="F127" s="6" t="str">
        <f>IFERROR(__xludf.DUMMYFUNCTION("""COMPUTED_VALUE"""),"Живу здесь с рождения")</f>
        <v>Живу здесь с рождения</v>
      </c>
      <c r="G127" s="6" t="str">
        <f>IFERROR(__xludf.DUMMYFUNCTION("""COMPUTED_VALUE"""),"В основном в Серебряный бор, в тц Радуга и Рио ")</f>
        <v>В основном в Серебряный бор, в тц Радуга и Рио </v>
      </c>
      <c r="H127" s="6" t="str">
        <f>IFERROR(__xludf.DUMMYFUNCTION("""COMPUTED_VALUE"""),"Уголь, грязный снег, лыжи, Кузбасс (надпись), трамвай")</f>
        <v>Уголь, грязный снег, лыжи, Кузбасс (надпись), трамвай</v>
      </c>
      <c r="I127" s="6" t="str">
        <f>IFERROR(__xludf.DUMMYFUNCTION("""COMPUTED_VALUE"""),"Сложно")</f>
        <v>Сложно</v>
      </c>
      <c r="J127" s="6" t="str">
        <f>IFERROR(__xludf.DUMMYFUNCTION("""COMPUTED_VALUE"""),"Роман Жаворонков и Дмитрий Осипов - отличные ребята  ")</f>
        <v>Роман Жаворонков и Дмитрий Осипов - отличные ребята  </v>
      </c>
      <c r="K127" s="6" t="str">
        <f>IFERROR(__xludf.DUMMYFUNCTION("""COMPUTED_VALUE"""),"Центр у нас красивый, парк ангелов, парк напротив ДК молодежи ")</f>
        <v>Центр у нас красивый, парк ангелов, парк напротив ДК молодежи </v>
      </c>
      <c r="L127" s="6" t="str">
        <f>IFERROR(__xludf.DUMMYFUNCTION("""COMPUTED_VALUE"""),"Затрудняюсь ответить")</f>
        <v>Затрудняюсь ответить</v>
      </c>
      <c r="M127" s="6" t="str">
        <f>IFERROR(__xludf.DUMMYFUNCTION("""COMPUTED_VALUE"""),"Нуу - мультифора? ")</f>
        <v>Нуу - мультифора? </v>
      </c>
      <c r="N127" s="6" t="str">
        <f>IFERROR(__xludf.DUMMYFUNCTION("""COMPUTED_VALUE"""),"Компактность, отсутствие пробок, много парков, заводы не в центре города, стабильная работа общественного транспорта")</f>
        <v>Компактность, отсутствие пробок, много парков, заводы не в центре города, стабильная работа общественного транспорта</v>
      </c>
      <c r="O127" s="6" t="str">
        <f>IFERROR(__xludf.DUMMYFUNCTION("""COMPUTED_VALUE"""),"Заводы не в центре города, реставрация домов в центре, но не строителями и прям реставраторами, которые не сделают как попало (как щас)")</f>
        <v>Заводы не в центре города, реставрация домов в центре, но не строителями и прям реставраторами, которые не сделают как попало (как щас)</v>
      </c>
      <c r="P127" s="6" t="str">
        <f>IFERROR(__xludf.DUMMYFUNCTION("""COMPUTED_VALUE"""),"Инстаграм, вк, сайты кинотеатров/театров. ")</f>
        <v>Инстаграм, вк, сайты кинотеатров/театров. </v>
      </c>
      <c r="Q127" s="6" t="str">
        <f>IFERROR(__xludf.DUMMYFUNCTION("""COMPUTED_VALUE"""),"культурные новинки (что почитать/что послушать), интервью с местными творческими личностями, результаты местных исследований (рейтинги/аналитика/тенденции)")</f>
        <v>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127" s="6" t="str">
        <f>IFERROR(__xludf.DUMMYFUNCTION("""COMPUTED_VALUE"""),"Я не люблю городские праздники. Для других, наверное, день шахтера, 9 мая ")</f>
        <v>Я не люблю городские праздники. Для других, наверное, день шахтера, 9 мая </v>
      </c>
      <c r="S127" s="6" t="str">
        <f>IFERROR(__xludf.DUMMYFUNCTION("""COMPUTED_VALUE"""),"Нет, не приходилось")</f>
        <v>Нет, не приходилось</v>
      </c>
      <c r="T127" s="6" t="str">
        <f>IFERROR(__xludf.DUMMYFUNCTION("""COMPUTED_VALUE"""),"Зимняя вишня. Уникальный ЭТО_офис")</f>
        <v>Зимняя вишня. Уникальный ЭТО_офис</v>
      </c>
      <c r="U127" s="6" t="str">
        <f>IFERROR(__xludf.DUMMYFUNCTION("""COMPUTED_VALUE"""),"Площадь советов, драм театр и Весенняя ")</f>
        <v>Площадь советов, драм театр и Весенняя </v>
      </c>
      <c r="V127" s="6" t="str">
        <f>IFERROR(__xludf.DUMMYFUNCTION("""COMPUTED_VALUE"""),"Не могу ответить")</f>
        <v>Не могу ответить</v>
      </c>
      <c r="W127" s="6" t="str">
        <f>IFERROR(__xludf.DUMMYFUNCTION("""COMPUTED_VALUE"""),"Вечно недовольные) Но очень терпеливые")</f>
        <v>Вечно недовольные) Но очень терпеливые</v>
      </c>
      <c r="X127" s="6" t="str">
        <f>IFERROR(__xludf.DUMMYFUNCTION("""COMPUTED_VALUE"""),"По центру от драмы по весенней, по набережной в сторону филармонии, потом в сторону площади советов и на площадь Пушкина")</f>
        <v>По центру от драмы по весенней, по набережной в сторону филармонии, потом в сторону площади советов и на площадь Пушкина</v>
      </c>
      <c r="Y127" s="6" t="str">
        <f>IFERROR(__xludf.DUMMYFUNCTION("""COMPUTED_VALUE"""),"Не знаю")</f>
        <v>Не знаю</v>
      </c>
      <c r="Z127" s="6" t="str">
        <f>IFERROR(__xludf.DUMMYFUNCTION("""COMPUTED_VALUE"""),"Проведение митингов")</f>
        <v>Проведение митингов</v>
      </c>
      <c r="AA127" s="6" t="str">
        <f>IFERROR(__xludf.DUMMYFUNCTION("""COMPUTED_VALUE"""),"Одно событие - бесконечный ремонт одних и тех же дорог")</f>
        <v>Одно событие - бесконечный ремонт одних и тех же дорог</v>
      </c>
      <c r="AB127" s="6" t="str">
        <f>IFERROR(__xludf.DUMMYFUNCTION("""COMPUTED_VALUE"""),"Нет таких")</f>
        <v>Нет таких</v>
      </c>
      <c r="AC127" s="6" t="str">
        <f>IFERROR(__xludf.DUMMYFUNCTION("""COMPUTED_VALUE"""),"Мне норм, я домосед ")</f>
        <v>Мне норм, я домосед </v>
      </c>
      <c r="AD127" s="6" t="str">
        <f>IFERROR(__xludf.DUMMYFUNCTION("""COMPUTED_VALUE"""),"В качестве наблюдателя ")</f>
        <v>В качестве наблюдателя </v>
      </c>
      <c r="AE127" s="6" t="str">
        <f>IFERROR(__xludf.DUMMYFUNCTION("""COMPUTED_VALUE"""),"Женский")</f>
        <v>Женский</v>
      </c>
      <c r="AF127" s="6" t="str">
        <f>IFERROR(__xludf.DUMMYFUNCTION("""COMPUTED_VALUE"""),"30-44")</f>
        <v>30-44</v>
      </c>
      <c r="AG127" s="6"/>
      <c r="AH127" s="6"/>
      <c r="AI127" s="6"/>
      <c r="AJ127" s="6"/>
      <c r="AK127" s="6"/>
      <c r="AL127" s="6"/>
      <c r="AM127" s="6"/>
    </row>
    <row r="128">
      <c r="A128" s="4">
        <v>127.0</v>
      </c>
      <c r="B128" s="6" t="str">
        <f>IFERROR(__xludf.DUMMYFUNCTION("""COMPUTED_VALUE"""),"Техническая, общественная, культурная, религиозная.")</f>
        <v>Техническая, общественная, культурная, религиозная.</v>
      </c>
      <c r="C128" s="6" t="str">
        <f>IFERROR(__xludf.DUMMYFUNCTION("""COMPUTED_VALUE"""),"Есть. Гулять по городу с шаурмой и изучать урбанистику.")</f>
        <v>Есть. Гулять по городу с шаурмой и изучать урбанистику.</v>
      </c>
      <c r="D128" s="6" t="str">
        <f>IFERROR(__xludf.DUMMYFUNCTION("""COMPUTED_VALUE"""),"В центральном (ближе к границе с Ленинским). Бурно кипящий район.")</f>
        <v>В центральном (ближе к границе с Ленинским). Бурно кипящий район.</v>
      </c>
      <c r="E128" s="6" t="str">
        <f>IFERROR(__xludf.DUMMYFUNCTION("""COMPUTED_VALUE"""),"В нем есть двор КузГТУ, Площадь Волкова, Площадь Советов и Площадь Кузбасских историй.")</f>
        <v>В нем есть двор КузГТУ, Площадь Волкова, Площадь Советов и Площадь Кузбасских историй.</v>
      </c>
      <c r="F128" s="6" t="str">
        <f>IFERROR(__xludf.DUMMYFUNCTION("""COMPUTED_VALUE"""),"Живу здесь с рождения")</f>
        <v>Живу здесь с рождения</v>
      </c>
      <c r="G128" s="6" t="str">
        <f>IFERROR(__xludf.DUMMYFUNCTION("""COMPUTED_VALUE"""),"На Набережную, по Вессенней улице, в парк Жукова, в парк Антошку. Иногда в Парк Чудес (горсад).")</f>
        <v>На Набережную, по Вессенней улице, в парк Жукова, в парк Антошку. Иногда в Парк Чудес (горсад).</v>
      </c>
      <c r="H128" s="6" t="str">
        <f>IFERROR(__xludf.DUMMYFUNCTION("""COMPUTED_VALUE"""),"1) Творческий;
2) Энергичный;
3) Молодой;
4) Умный;
5) Но Ленин на площади. ")</f>
        <v>1) Творческий;
2) Энергичный;
3) Молодой;
4) Умный;
5) Но Ленин на площади. </v>
      </c>
      <c r="I128" s="6" t="str">
        <f>IFERROR(__xludf.DUMMYFUNCTION("""COMPUTED_VALUE"""),"Алексей Леонов, Михайло Волков.")</f>
        <v>Алексей Леонов, Михайло Волков.</v>
      </c>
      <c r="J128" s="6" t="str">
        <f>IFERROR(__xludf.DUMMYFUNCTION("""COMPUTED_VALUE"""),"Виктор Логинов, Гришковец, Аман Тулеев, Виктор Александрович Пономарев (художник).")</f>
        <v>Виктор Логинов, Гришковец, Аман Тулеев, Виктор Александрович Пономарев (художник).</v>
      </c>
      <c r="K128" s="6" t="str">
        <f>IFERROR(__xludf.DUMMYFUNCTION("""COMPUTED_VALUE"""),"Фонтан у театра драмы, фонтан у филармонии, фонтан в Парке Ангелов.")</f>
        <v>Фонтан у театра драмы, фонтан у филармонии, фонтан в Парке Ангелов.</v>
      </c>
      <c r="L128" s="6" t="str">
        <f>IFERROR(__xludf.DUMMYFUNCTION("""COMPUTED_VALUE"""),"Как-то раз к нам приезжал певец Мот и провалился в сцену. ")</f>
        <v>Как-то раз к нам приезжал певец Мот и провалился в сцену. </v>
      </c>
      <c r="M128" s="6" t="str">
        <f>IFERROR(__xludf.DUMMYFUNCTION("""COMPUTED_VALUE"""),"Кушац - кушать.")</f>
        <v>Кушац - кушать.</v>
      </c>
      <c r="N128" s="6" t="str">
        <f>IFERROR(__xludf.DUMMYFUNCTION("""COMPUTED_VALUE"""),"1. Качественная еда в городе (стрит-фуд);
2. Отсутствие режима ""черное небо"";
3. Заблаговременная уборка снега с улиц зимой и весной, а летом чистка улиц от пыли;
4. Отсутствие резких переходов пешеходных дорожек (сглаживание переходов при бордюрах);
5."&amp;" Социальная программа поддержки уличных артистов (жанглеров, серебряных людей, бардов и т.д.).")</f>
        <v>1. Качественная еда в городе (стрит-фуд);
2. Отсутствие режима "черное небо";
3. Заблаговременная уборка снега с улиц зимой и весной, а летом чистка улиц от пыли;
4. Отсутствие резких переходов пешеходных дорожек (сглаживание переходов при бордюрах);
5. Социальная программа поддержки уличных артистов (жанглеров, серебряных людей, бардов и т.д.).</v>
      </c>
      <c r="O128" s="6" t="str">
        <f>IFERROR(__xludf.DUMMYFUNCTION("""COMPUTED_VALUE"""),"Реставрировать со стороны дворов фасады жилых домов центра города.")</f>
        <v>Реставрировать со стороны дворов фасады жилых домов центра города.</v>
      </c>
      <c r="P128" s="6" t="str">
        <f>IFERROR(__xludf.DUMMYFUNCTION("""COMPUTED_VALUE"""),"Как-то само узнается. Обычно через сарафанное радио.")</f>
        <v>Как-то само узнается. Обычно через сарафанное радио.</v>
      </c>
      <c r="Q128" s="6" t="str">
        <f>IFERROR(__xludf.DUMMYFUNCTION("""COMPUTED_VALUE"""),"где вкусно поесть/открытие новых кафе/ресторанов, интервью с местными политиками, интервью с местными творческими личностями")</f>
        <v>где вкусно поесть/открытие новых кафе/ресторанов, интервью с местными политиками, интервью с местными творческими личностями</v>
      </c>
      <c r="R128" s="6" t="str">
        <f>IFERROR(__xludf.DUMMYFUNCTION("""COMPUTED_VALUE"""),"День Города. Для других: День Шахтера, День Молодежи.")</f>
        <v>День Города. Для других: День Шахтера, День Молодежи.</v>
      </c>
      <c r="S128" s="6" t="str">
        <f>IFERROR(__xludf.DUMMYFUNCTION("""COMPUTED_VALUE"""),"Раздавал листовки")</f>
        <v>Раздавал листовки</v>
      </c>
      <c r="T128" s="6" t="str">
        <f>IFERROR(__xludf.DUMMYFUNCTION("""COMPUTED_VALUE"""),"Знаменит единой архитектурой центра города, театром-студией Ложа. Уникальность в доступности архитектурных достопремичательностей и компактности.")</f>
        <v>Знаменит единой архитектурой центра города, театром-студией Ложа. Уникальность в доступности архитектурных достопремичательностей и компактности.</v>
      </c>
      <c r="U128" s="6" t="str">
        <f>IFERROR(__xludf.DUMMYFUNCTION("""COMPUTED_VALUE"""),"Фонтаны у театра Драмы, Филармонии и в Парке Ангелов.")</f>
        <v>Фонтаны у театра Драмы, Филармонии и в Парке Ангелов.</v>
      </c>
      <c r="V128" s="6" t="str">
        <f>IFERROR(__xludf.DUMMYFUNCTION("""COMPUTED_VALUE"""),"Сделали Краеведческий музей.")</f>
        <v>Сделали Краеведческий музей.</v>
      </c>
      <c r="W128" s="6" t="str">
        <f>IFERROR(__xludf.DUMMYFUNCTION("""COMPUTED_VALUE"""),"Они закрытые. Строгие. Собранные. У каждого есть свое дело и множество уникальных навыков. Если Кемеровчанина открыть, то многому удивишься. Он окажется умным, оригинальным, творческим, энергичным и нестареющим душёй горожаниным.")</f>
        <v>Они закрытые. Строгие. Собранные. У каждого есть свое дело и множество уникальных навыков. Если Кемеровчанина открыть, то многому удивишься. Он окажется умным, оригинальным, творческим, энергичным и нестареющим душёй горожаниным.</v>
      </c>
      <c r="X128" s="6" t="str">
        <f>IFERROR(__xludf.DUMMYFUNCTION("""COMPUTED_VALUE"""),"(учитывая, что человек прибыл на Вокзал и ему надо быстро все посмотреть)
Вокзал - Первый трамвай - Горсад - Набережная - Орбита - Филармония - Парк Жукова - Парк Антошка - Парк Ангелов - Вокзал")</f>
        <v>(учитывая, что человек прибыл на Вокзал и ему надо быстро все посмотреть)
Вокзал - Первый трамвай - Горсад - Набережная - Орбита - Филармония - Парк Жукова - Парк Антошка - Парк Ангелов - Вокзал</v>
      </c>
      <c r="Y128" s="6" t="str">
        <f>IFERROR(__xludf.DUMMYFUNCTION("""COMPUTED_VALUE"""),"Завод Прогресс помог победить в ВОВ")</f>
        <v>Завод Прогресс помог победить в ВОВ</v>
      </c>
      <c r="Z128" s="6" t="str">
        <f>IFERROR(__xludf.DUMMYFUNCTION("""COMPUTED_VALUE"""),"Открытие Парка Ангелов, обновление бульвара Строителей.")</f>
        <v>Открытие Парка Ангелов, обновление бульвара Строителей.</v>
      </c>
      <c r="AA128" s="6" t="str">
        <f>IFERROR(__xludf.DUMMYFUNCTION("""COMPUTED_VALUE"""),"Возможность вырубки Соснового бора, установка в сквере Космонавтики памятника Школьному вальсу. ")</f>
        <v>Возможность вырубки Соснового бора, установка в сквере Космонавтики памятника Школьному вальсу. </v>
      </c>
      <c r="AB128" s="6" t="str">
        <f>IFERROR(__xludf.DUMMYFUNCTION("""COMPUTED_VALUE"""),"Молодежных креативных офис-центров.")</f>
        <v>Молодежных креативных офис-центров.</v>
      </c>
      <c r="AC128" s="6" t="str">
        <f>IFERROR(__xludf.DUMMYFUNCTION("""COMPUTED_VALUE"""),"Ворк-шопы на площадях. На Московской площади форумы по обмену ресурсами, опытом между Московским и Кузбасским бизнес-сообществами, культурными сообществами и другими.")</f>
        <v>Ворк-шопы на площадях. На Московской площади форумы по обмену ресурсами, опытом между Московским и Кузбасским бизнес-сообществами, культурными сообществами и другими.</v>
      </c>
      <c r="AD128" s="6" t="str">
        <f>IFERROR(__xludf.DUMMYFUNCTION("""COMPUTED_VALUE"""),"В роли модератора площадки.")</f>
        <v>В роли модератора площадки.</v>
      </c>
      <c r="AE128" s="6" t="str">
        <f>IFERROR(__xludf.DUMMYFUNCTION("""COMPUTED_VALUE"""),"Мужской")</f>
        <v>Мужской</v>
      </c>
      <c r="AF128" s="6" t="str">
        <f>IFERROR(__xludf.DUMMYFUNCTION("""COMPUTED_VALUE"""),"18-29")</f>
        <v>18-29</v>
      </c>
      <c r="AG128" s="6"/>
      <c r="AH128" s="6"/>
      <c r="AI128" s="6"/>
      <c r="AJ128" s="6"/>
      <c r="AK128" s="6"/>
      <c r="AL128" s="6"/>
      <c r="AM128" s="6"/>
    </row>
    <row r="129">
      <c r="A129" s="4">
        <v>128.0</v>
      </c>
      <c r="B129" s="6" t="str">
        <f>IFERROR(__xludf.DUMMYFUNCTION("""COMPUTED_VALUE"""),"Работаю, средний менеджмент ")</f>
        <v>Работаю, средний менеджмент </v>
      </c>
      <c r="C129" s="6" t="str">
        <f>IFERROR(__xludf.DUMMYFUNCTION("""COMPUTED_VALUE"""),"Спорт")</f>
        <v>Спорт</v>
      </c>
      <c r="D129" s="6" t="str">
        <f>IFERROR(__xludf.DUMMYFUNCTION("""COMPUTED_VALUE"""),"Фпк")</f>
        <v>Фпк</v>
      </c>
      <c r="E129" s="6" t="str">
        <f>IFERROR(__xludf.DUMMYFUNCTION("""COMPUTED_VALUE"""),"Ледовая арена")</f>
        <v>Ледовая арена</v>
      </c>
      <c r="F129" s="6" t="str">
        <f>IFERROR(__xludf.DUMMYFUNCTION("""COMPUTED_VALUE"""),"Переехал сюда из другого места (откуда? укажите в графе другое), Полысаево")</f>
        <v>Переехал сюда из другого места (откуда? укажите в графе другое), Полысаево</v>
      </c>
      <c r="G129" s="6" t="str">
        <f>IFERROR(__xludf.DUMMYFUNCTION("""COMPUTED_VALUE"""),"
Магазины, кафе, Бор")</f>
        <v>
Магазины, кафе, Бор</v>
      </c>
      <c r="H129" s="6" t="str">
        <f>IFERROR(__xludf.DUMMYFUNCTION("""COMPUTED_VALUE"""),"Серость, скучный, не приветливый, развивающийся")</f>
        <v>Серость, скучный, не приветливый, развивающийся</v>
      </c>
      <c r="I129" s="6" t="str">
        <f>IFERROR(__xludf.DUMMYFUNCTION("""COMPUTED_VALUE"""),"Волков, Леонов")</f>
        <v>Волков, Леонов</v>
      </c>
      <c r="J129" s="6" t="str">
        <f>IFERROR(__xludf.DUMMYFUNCTION("""COMPUTED_VALUE"""),"Не помню")</f>
        <v>Не помню</v>
      </c>
      <c r="K129" s="6" t="str">
        <f>IFERROR(__xludf.DUMMYFUNCTION("""COMPUTED_VALUE"""),"Красная горка памятник Шахтеру, бульвар Строителей")</f>
        <v>Красная горка памятник Шахтеру, бульвар Строителей</v>
      </c>
      <c r="L129" s="6" t="str">
        <f>IFERROR(__xludf.DUMMYFUNCTION("""COMPUTED_VALUE"""),"-")</f>
        <v>-</v>
      </c>
      <c r="M129" s="6" t="str">
        <f>IFERROR(__xludf.DUMMYFUNCTION("""COMPUTED_VALUE"""),"-")</f>
        <v>-</v>
      </c>
      <c r="N129" s="6" t="str">
        <f>IFERROR(__xludf.DUMMYFUNCTION("""COMPUTED_VALUE"""),"Доступность транспорта во все точки города, особенно где можно погулять.
Уровень зарплаты, образование, вакансии")</f>
        <v>Доступность транспорта во все точки города, особенно где можно погулять.
Уровень зарплаты, образование, вакансии</v>
      </c>
      <c r="O129" s="6" t="str">
        <f>IFERROR(__xludf.DUMMYFUNCTION("""COMPUTED_VALUE"""),"Чище и ярче дома и улицы")</f>
        <v>Чище и ярче дома и улицы</v>
      </c>
      <c r="P129" s="6" t="str">
        <f>IFERROR(__xludf.DUMMYFUNCTION("""COMPUTED_VALUE"""),"Группы в Вк a42, vse42, инцедент в Кемерово.
Инстаграмм Цивелева")</f>
        <v>Группы в Вк a42, vse42, инцедент в Кемерово.
Инстаграмм Цивелева</v>
      </c>
      <c r="Q129"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9" s="6" t="str">
        <f>IFERROR(__xludf.DUMMYFUNCTION("""COMPUTED_VALUE"""),"День города день шахтера")</f>
        <v>День города день шахтера</v>
      </c>
      <c r="S129" s="6" t="str">
        <f>IFERROR(__xludf.DUMMYFUNCTION("""COMPUTED_VALUE"""),"Нет, не приходилось")</f>
        <v>Нет, не приходилось</v>
      </c>
      <c r="T129" s="6" t="str">
        <f>IFERROR(__xludf.DUMMYFUNCTION("""COMPUTED_VALUE"""),"Столица Кузбасса. Есть Лесная Поляна")</f>
        <v>Столица Кузбасса. Есть Лесная Поляна</v>
      </c>
      <c r="U129" s="6" t="str">
        <f>IFERROR(__xludf.DUMMYFUNCTION("""COMPUTED_VALUE"""),"Площадь советов, Советский проспект, Набережная")</f>
        <v>Площадь советов, Советский проспект, Набережная</v>
      </c>
      <c r="V129" s="6" t="str">
        <f>IFERROR(__xludf.DUMMYFUNCTION("""COMPUTED_VALUE"""),"-")</f>
        <v>-</v>
      </c>
      <c r="W129" s="6" t="str">
        <f>IFERROR(__xludf.DUMMYFUNCTION("""COMPUTED_VALUE"""),"Терпеливые, простые")</f>
        <v>Терпеливые, простые</v>
      </c>
      <c r="X129" s="6" t="str">
        <f>IFERROR(__xludf.DUMMYFUNCTION("""COMPUTED_VALUE"""),"Набережная, площадь советов")</f>
        <v>Набережная, площадь советов</v>
      </c>
      <c r="Y129" s="6" t="str">
        <f>IFERROR(__xludf.DUMMYFUNCTION("""COMPUTED_VALUE"""),"Зимняя Вишня")</f>
        <v>Зимняя Вишня</v>
      </c>
      <c r="Z129" s="6" t="str">
        <f>IFERROR(__xludf.DUMMYFUNCTION("""COMPUTED_VALUE"""),"Рок-концерт на Летнем вокзале")</f>
        <v>Рок-концерт на Летнем вокзале</v>
      </c>
      <c r="AA129" s="6" t="str">
        <f>IFERROR(__xludf.DUMMYFUNCTION("""COMPUTED_VALUE"""),"Пожар в Зимней Вишне")</f>
        <v>Пожар в Зимней Вишне</v>
      </c>
      <c r="AB129" s="6" t="str">
        <f>IFERROR(__xludf.DUMMYFUNCTION("""COMPUTED_VALUE"""),"Культурные события в городе")</f>
        <v>Культурные события в городе</v>
      </c>
      <c r="AC129" s="6" t="str">
        <f>IFERROR(__xludf.DUMMYFUNCTION("""COMPUTED_VALUE"""),"Массовые праздники")</f>
        <v>Массовые праздники</v>
      </c>
      <c r="AD129" s="6" t="str">
        <f>IFERROR(__xludf.DUMMYFUNCTION("""COMPUTED_VALUE"""),"Тестировщик, подача обратной связи")</f>
        <v>Тестировщик, подача обратной связи</v>
      </c>
      <c r="AE129" s="6" t="str">
        <f>IFERROR(__xludf.DUMMYFUNCTION("""COMPUTED_VALUE"""),"Женский")</f>
        <v>Женский</v>
      </c>
      <c r="AF129" s="6" t="str">
        <f>IFERROR(__xludf.DUMMYFUNCTION("""COMPUTED_VALUE"""),"30-44")</f>
        <v>30-44</v>
      </c>
      <c r="AG129" s="6"/>
      <c r="AH129" s="6"/>
      <c r="AI129" s="6"/>
      <c r="AJ129" s="6"/>
      <c r="AK129" s="6"/>
      <c r="AL129" s="6"/>
      <c r="AM129" s="6"/>
    </row>
    <row r="130">
      <c r="A130" s="4">
        <v>129.0</v>
      </c>
      <c r="B130" s="6" t="str">
        <f>IFERROR(__xludf.DUMMYFUNCTION("""COMPUTED_VALUE"""),"Управленческий персонал")</f>
        <v>Управленческий персонал</v>
      </c>
      <c r="C130" s="6" t="str">
        <f>IFERROR(__xludf.DUMMYFUNCTION("""COMPUTED_VALUE"""),"Спорт, чтение")</f>
        <v>Спорт, чтение</v>
      </c>
      <c r="D130" s="6" t="str">
        <f>IFERROR(__xludf.DUMMYFUNCTION("""COMPUTED_VALUE"""),"Ленинский, район второго променада")</f>
        <v>Ленинский, район второго променада</v>
      </c>
      <c r="E130" s="6" t="str">
        <f>IFERROR(__xludf.DUMMYFUNCTION("""COMPUTED_VALUE"""),"Бульвар Строителей")</f>
        <v>Бульвар Строителей</v>
      </c>
      <c r="F130" s="6" t="str">
        <f>IFERROR(__xludf.DUMMYFUNCTION("""COMPUTED_VALUE"""),"Переехал сюда из другого места (откуда? укажите в графе другое), Деревня")</f>
        <v>Переехал сюда из другого места (откуда? укажите в графе другое), Деревня</v>
      </c>
      <c r="G130" s="6" t="str">
        <f>IFERROR(__xludf.DUMMYFUNCTION("""COMPUTED_VALUE"""),"Дворы у соседних домой")</f>
        <v>Дворы у соседних домой</v>
      </c>
      <c r="H130" s="6" t="str">
        <f>IFERROR(__xludf.DUMMYFUNCTION("""COMPUTED_VALUE"""),"Порядок, набережная, дороги, чистота, безработица")</f>
        <v>Порядок, набережная, дороги, чистота, безработица</v>
      </c>
      <c r="I130" s="6" t="str">
        <f>IFERROR(__xludf.DUMMYFUNCTION("""COMPUTED_VALUE"""),"Леонов")</f>
        <v>Леонов</v>
      </c>
      <c r="J130" s="6" t="str">
        <f>IFERROR(__xludf.DUMMYFUNCTION("""COMPUTED_VALUE"""),"Михайлов")</f>
        <v>Михайлов</v>
      </c>
      <c r="K130" s="6" t="str">
        <f>IFERROR(__xludf.DUMMYFUNCTION("""COMPUTED_VALUE"""),"Памятник шахтеру, сосновый бор")</f>
        <v>Памятник шахтеру, сосновый бор</v>
      </c>
      <c r="L130" s="6" t="str">
        <f>IFERROR(__xludf.DUMMYFUNCTION("""COMPUTED_VALUE"""),"Песня Человек из Кемерова")</f>
        <v>Песня Человек из Кемерова</v>
      </c>
      <c r="M130" s="6" t="str">
        <f>IFERROR(__xludf.DUMMYFUNCTION("""COMPUTED_VALUE"""),"Нет")</f>
        <v>Нет</v>
      </c>
      <c r="N130" s="6" t="str">
        <f>IFERROR(__xludf.DUMMYFUNCTION("""COMPUTED_VALUE"""),"Наличие хорошо оплачиваемой работы, близдоступность детских учреждений, хорошее медицинское обслуживание, чистота на улицах, комфортное движение по дорогам")</f>
        <v>Наличие хорошо оплачиваемой работы, близдоступность детских учреждений, хорошее медицинское обслуживание, чистота на улицах, комфортное движение по дорогам</v>
      </c>
      <c r="O130" s="6" t="str">
        <f>IFERROR(__xludf.DUMMYFUNCTION("""COMPUTED_VALUE"""),"Убрать частный сектор из центра города")</f>
        <v>Убрать частный сектор из центра города</v>
      </c>
      <c r="P130" s="6" t="str">
        <f>IFERROR(__xludf.DUMMYFUNCTION("""COMPUTED_VALUE"""),"Не знаю")</f>
        <v>Не знаю</v>
      </c>
      <c r="Q130" s="6" t="str">
        <f>IFERROR(__xludf.DUMMYFUNCTION("""COMPUTED_VALUE"""),"городская афиша (кино/театр/концерты),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f>
        <v>городская афиша (кино/театр/концерты),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30" s="6" t="str">
        <f>IFERROR(__xludf.DUMMYFUNCTION("""COMPUTED_VALUE"""),"Новый год")</f>
        <v>Новый год</v>
      </c>
      <c r="S130" s="6" t="str">
        <f>IFERROR(__xludf.DUMMYFUNCTION("""COMPUTED_VALUE"""),"Нет, не приходилось")</f>
        <v>Нет, не приходилось</v>
      </c>
      <c r="T130" s="6" t="str">
        <f>IFERROR(__xludf.DUMMYFUNCTION("""COMPUTED_VALUE"""),"Уголь")</f>
        <v>Уголь</v>
      </c>
      <c r="U130" s="6" t="str">
        <f>IFERROR(__xludf.DUMMYFUNCTION("""COMPUTED_VALUE"""),"Паиятник Шахтеру")</f>
        <v>Паиятник Шахтеру</v>
      </c>
      <c r="V130" s="6" t="str">
        <f>IFERROR(__xludf.DUMMYFUNCTION("""COMPUTED_VALUE"""),"Построили его, развили промышленность")</f>
        <v>Построили его, развили промышленность</v>
      </c>
      <c r="W130" s="6" t="str">
        <f>IFERROR(__xludf.DUMMYFUNCTION("""COMPUTED_VALUE"""),"Упорные")</f>
        <v>Упорные</v>
      </c>
      <c r="X130" s="6" t="str">
        <f>IFERROR(__xludf.DUMMYFUNCTION("""COMPUTED_VALUE"""),"Набережная")</f>
        <v>Набережная</v>
      </c>
      <c r="Y130" s="6" t="str">
        <f>IFERROR(__xludf.DUMMYFUNCTION("""COMPUTED_VALUE"""),"Не знаю")</f>
        <v>Не знаю</v>
      </c>
      <c r="Z130" s="6" t="str">
        <f>IFERROR(__xludf.DUMMYFUNCTION("""COMPUTED_VALUE"""),"Никаких")</f>
        <v>Никаких</v>
      </c>
      <c r="AA130" s="6" t="str">
        <f>IFERROR(__xludf.DUMMYFUNCTION("""COMPUTED_VALUE"""),"Никаких")</f>
        <v>Никаких</v>
      </c>
      <c r="AB130" s="6" t="str">
        <f>IFERROR(__xludf.DUMMYFUNCTION("""COMPUTED_VALUE"""),"Не знаю")</f>
        <v>Не знаю</v>
      </c>
      <c r="AC130" s="6" t="str">
        <f>IFERROR(__xludf.DUMMYFUNCTION("""COMPUTED_VALUE"""),"Чемпионат мира")</f>
        <v>Чемпионат мира</v>
      </c>
      <c r="AD130" s="6" t="str">
        <f>IFERROR(__xludf.DUMMYFUNCTION("""COMPUTED_VALUE"""),"Зритель")</f>
        <v>Зритель</v>
      </c>
      <c r="AE130" s="6" t="str">
        <f>IFERROR(__xludf.DUMMYFUNCTION("""COMPUTED_VALUE"""),"Мужской")</f>
        <v>Мужской</v>
      </c>
      <c r="AF130" s="6" t="str">
        <f>IFERROR(__xludf.DUMMYFUNCTION("""COMPUTED_VALUE"""),"30-44")</f>
        <v>30-44</v>
      </c>
      <c r="AG130" s="6"/>
      <c r="AH130" s="6"/>
      <c r="AI130" s="6"/>
      <c r="AJ130" s="6"/>
      <c r="AK130" s="6"/>
      <c r="AL130" s="6"/>
      <c r="AM130" s="6"/>
    </row>
    <row r="131">
      <c r="A131" s="4">
        <v>130.0</v>
      </c>
      <c r="B131" s="6" t="str">
        <f>IFERROR(__xludf.DUMMYFUNCTION("""COMPUTED_VALUE"""),"Госуправление")</f>
        <v>Госуправление</v>
      </c>
      <c r="C131" s="6" t="str">
        <f>IFERROR(__xludf.DUMMYFUNCTION("""COMPUTED_VALUE"""),"Посещение театрв,выставок,музеев")</f>
        <v>Посещение театрв,выставок,музеев</v>
      </c>
      <c r="D131" s="6" t="str">
        <f>IFERROR(__xludf.DUMMYFUNCTION("""COMPUTED_VALUE"""),"Центральный")</f>
        <v>Центральный</v>
      </c>
      <c r="E131" s="6" t="str">
        <f>IFERROR(__xludf.DUMMYFUNCTION("""COMPUTED_VALUE"""),"Сквер часовни, филармония, набережная, парк Жукова,городской сад,фонтан у драматического театра,музей ""Красная горка"", монумент "" Память шахтёрам Кузбасса"",Рудничный бор")</f>
        <v>Сквер часовни, филармония, набережная, парк Жукова,городской сад,фонтан у драматического театра,музей "Красная горка", монумент " Память шахтёрам Кузбасса",Рудничный бор</v>
      </c>
      <c r="F131" s="6" t="str">
        <f>IFERROR(__xludf.DUMMYFUNCTION("""COMPUTED_VALUE"""),"Живу здесь с рождения")</f>
        <v>Живу здесь с рождения</v>
      </c>
      <c r="G131" s="6" t="str">
        <f>IFERROR(__xludf.DUMMYFUNCTION("""COMPUTED_VALUE"""),"Во все  театрально- зрелищные учреждения, кафе,музеи,областную детскую библиотеку,парки.")</f>
        <v>Во все  театрально- зрелищные учреждения, кафе,музеи,областную детскую библиотеку,парки.</v>
      </c>
      <c r="H131" s="6" t="str">
        <f>IFERROR(__xludf.DUMMYFUNCTION("""COMPUTED_VALUE"""),"Столица.
Культурный центр.
Родной,любимый дом.
Город над Томью рекой.
")</f>
        <v>Столица.
Культурный центр.
Родной,любимый дом.
Город над Томью рекой.
</v>
      </c>
      <c r="I131" s="6" t="str">
        <f>IFERROR(__xludf.DUMMYFUNCTION("""COMPUTED_VALUE"""),"Алексей Леонов,Михаил Подгорбунский,Владимир Мартемьянов, Вера Волошина,Юрий Двужильный,Михаил Небогатов,Алексей Хмелевской( сколько его скульптур в городе)")</f>
        <v>Алексей Леонов,Михаил Подгорбунский,Владимир Мартемьянов, Вера Волошина,Юрий Двужильный,Михаил Небогатов,Алексей Хмелевской( сколько его скульптур в городе)</v>
      </c>
      <c r="J131" s="6" t="str">
        <f>IFERROR(__xludf.DUMMYFUNCTION("""COMPUTED_VALUE"""),"Владимир Михайлов, Леонид Барбараш, Юрий Захаров,Наталья Шелепова,Илья Середюк,Людмила Пилипчук,Виталий Раздаев,Анатолий Терехов,БорисГоробцов")</f>
        <v>Владимир Михайлов, Леонид Барбараш, Юрий Захаров,Наталья Шелепова,Илья Середюк,Людмила Пилипчук,Виталий Раздаев,Анатолий Терехов,БорисГоробцов</v>
      </c>
      <c r="K131" s="6" t="str">
        <f>IFERROR(__xludf.DUMMYFUNCTION("""COMPUTED_VALUE"""),"Красную Горку(музей,монумент)Лесную Поляну, краеведческий музей,улицу Весеннюю,проспект Советский, набережную, площадь искусств с филармонией.")</f>
        <v>Красную Горку(музей,монумент)Лесную Поляну, краеведческий музей,улицу Весеннюю,проспект Советский, набережную, площадь искусств с филармонией.</v>
      </c>
      <c r="L131" s="6" t="str">
        <f>IFERROR(__xludf.DUMMYFUNCTION("""COMPUTED_VALUE"""),"Девиз: "" С любовью к городу"".
Памятник Ленину в женском пальто.")</f>
        <v>Девиз: " С любовью к городу".
Памятник Ленину в женском пальто.</v>
      </c>
      <c r="M131" s="6" t="str">
        <f>IFERROR(__xludf.DUMMYFUNCTION("""COMPUTED_VALUE"""),"Нет")</f>
        <v>Нет</v>
      </c>
      <c r="N131" s="6" t="str">
        <f>IFERROR(__xludf.DUMMYFUNCTION("""COMPUTED_VALUE"""),"✓Чистый,
✓благоустроенный( дорожки,площадки для детей, урны,скамейки,стоянки,остановки т.д.,)
✓зелёный,
✓наличие досуговых и образовательных  учреждений,желательно недалеко от дома, ")</f>
        <v>✓Чистый,
✓благоустроенный( дорожки,площадки для детей, урны,скамейки,стоянки,остановки т.д.,)
✓зелёный,
✓наличие досуговых и образовательных  учреждений,желательно недалеко от дома, </v>
      </c>
      <c r="O131" s="6" t="str">
        <f>IFERROR(__xludf.DUMMYFUNCTION("""COMPUTED_VALUE"""),"Места для отдыха с детьми, велосипедные дорожки,площадки для скейтов( простейшие,ровно заасфальтированные).сделать уголки отдыха для пожилых.")</f>
        <v>Места для отдыха с детьми, велосипедные дорожки,площадки для скейтов( простейшие,ровно заасфальтированные).сделать уголки отдыха для пожилых.</v>
      </c>
      <c r="P131" s="6" t="str">
        <f>IFERROR(__xludf.DUMMYFUNCTION("""COMPUTED_VALUE"""),"Интернет, Facebook, от знакомых")</f>
        <v>Интернет, Facebook, от знакомых</v>
      </c>
      <c r="Q131" s="6" t="str">
        <f>IFERROR(__xludf.DUMMYFUNCTION("""COMPUTED_VALUE"""),"городская афиша (кино/театр/концерты), культурные новинки (что почитать/что послушать), 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пр"&amp;"едложения)")</f>
        <v>городская афиша (кино/театр/концерты), культурные новинки (что почитать/что послушать), 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v>
      </c>
      <c r="R131" s="6" t="str">
        <f>IFERROR(__xludf.DUMMYFUNCTION("""COMPUTED_VALUE"""),"День Победы,День города,День шахтера")</f>
        <v>День Победы,День города,День шахтера</v>
      </c>
      <c r="S131" s="6" t="str">
        <f>IFERROR(__xludf.DUMMYFUNCTION("""COMPUTED_VALUE"""),"Участвовала в организации массовых мероприятийовых мероприятий")</f>
        <v>Участвовала в организации массовых мероприятийовых мероприятий</v>
      </c>
      <c r="T131" s="6" t="str">
        <f>IFERROR(__xludf.DUMMYFUNCTION("""COMPUTED_VALUE"""),"АИК""Кузбасс"", сосновый бор в центре города,первый герой Рооссии- Вера Волошина, Лесная поляна")</f>
        <v>АИК"Кузбасс", сосновый бор в центре города,первый герой Рооссии- Вера Волошина, Лесная поляна</v>
      </c>
      <c r="U131" s="6" t="str">
        <f>IFERROR(__xludf.DUMMYFUNCTION("""COMPUTED_VALUE"""),"Драмтеатр и фонтан.
Весенняя и набережная")</f>
        <v>Драмтеатр и фонтан.
Весенняя и набережная</v>
      </c>
      <c r="V131" s="6" t="str">
        <f>IFERROR(__xludf.DUMMYFUNCTION("""COMPUTED_VALUE"""),"Приняли эвакуированные заводы и трудились для фронта
Построили Азот, Кокс, 2 моста через Томь.
Добывали уголь.
Построили Кедровку и Лесную Поляну.")</f>
        <v>Приняли эвакуированные заводы и трудились для фронта
Построили Азот, Кокс, 2 моста через Томь.
Добывали уголь.
Построили Кедровку и Лесную Поляну.</v>
      </c>
      <c r="W131" s="6" t="str">
        <f>IFERROR(__xludf.DUMMYFUNCTION("""COMPUTED_VALUE"""),"Гордые, сохраняющие память о прошлом, стойкие,терпеливые, ответственные,независтливые.
Бывают неряшливы,надеются на чужого дядю( а надо бы самим навести порядок в подъезде и дворе!)")</f>
        <v>Гордые, сохраняющие память о прошлом, стойкие,терпеливые, ответственные,независтливые.
Бывают неряшливы,надеются на чужого дядю( а надо бы самим навести порядок в подъезде и дворе!)</v>
      </c>
      <c r="X131" s="6" t="str">
        <f>IFERROR(__xludf.DUMMYFUNCTION("""COMPUTED_VALUE"""),"Весенняя- набережная - Красная Горка")</f>
        <v>Весенняя- набережная - Красная Горка</v>
      </c>
      <c r="Y131" s="6" t="str">
        <f>IFERROR(__xludf.DUMMYFUNCTION("""COMPUTED_VALUE"""),"Строительство города солнца аиковцами. ")</f>
        <v>Строительство города солнца аиковцами. </v>
      </c>
      <c r="Z131" s="6" t="str">
        <f>IFERROR(__xludf.DUMMYFUNCTION("""COMPUTED_VALUE"""),"✓100-летие города. 
✓Очистка реки Искитимки.
✓Строительство Ледового дворца,образовательного кластера.
✓Благоустройство набережной Кировского района и бульвара Строителей.
✓Премьеры мьюзиклов Кима Брейтбурга в музтеатре.
✓Открытие зала природы в краеведче"&amp;"ском музее.
✓Сквер ангелов.
✓Пространство в парке "" Антошка""")</f>
        <v>✓100-летие города. 
✓Очистка реки Искитимки.
✓Строительство Ледового дворца,образовательного кластера.
✓Благоустройство набережной Кировского района и бульвара Строителей.
✓Премьеры мьюзиклов Кима Брейтбурга в музтеатре.
✓Открытие зала природы в краеведческом музее.
✓Сквер ангелов.
✓Пространство в парке " Антошка"</v>
      </c>
      <c r="AA131" s="6" t="str">
        <f>IFERROR(__xludf.DUMMYFUNCTION("""COMPUTED_VALUE"""),"✓Сходка навальновцев. 
✓Автобусы,используемые для ограждения массовых праздничных мероприятий
✓торговые ярмарки на площади Советов( когда уже закончатся не к месту организованные ларьки)")</f>
        <v>✓Сходка навальновцев. 
✓Автобусы,используемые для ограждения массовых праздничных мероприятий
✓торговые ярмарки на площади Советов( когда уже закончатся не к месту организованные ларьки)</v>
      </c>
      <c r="AB131" s="6" t="str">
        <f>IFERROR(__xludf.DUMMYFUNCTION("""COMPUTED_VALUE"""),"Сообществ много,но все они кулуарны,в основном-  в библиотеках.Широкой общественности неизвестны часы и дни сборов .")</f>
        <v>Сообществ много,но все они кулуарны,в основном-  в библиотеках.Широкой общественности неизвестны часы и дни сборов .</v>
      </c>
      <c r="AC131" s="6" t="str">
        <f>IFERROR(__xludf.DUMMYFUNCTION("""COMPUTED_VALUE"""),"✓Больше уличных камерных мероприятий возле учреждений культуры,спорта,кафе, ресторанов,в парках.
 ✓Не хватает точек общения для молодых людей( площадка музтеатра уже повреждена скейтерами,но другой нет!). 
✓Зимой нужны горки,катки  во дворах
✓В дневное вр"&amp;"емя площадки театров,музеев (за оплату)должны быть местами встреч,общения для пожилых людей по примеру "" Культурной среды"" в филармонии.")</f>
        <v>✓Больше уличных камерных мероприятий возле учреждений культуры,спорта,кафе, ресторанов,в парках.
 ✓Не хватает точек общения для молодых людей( площадка музтеатра уже повреждена скейтерами,но другой нет!). 
✓Зимой нужны горки,катки  во дворах
✓В дневное время площадки театров,музеев (за оплату)должны быть местами встреч,общения для пожилых людей по примеру " Культурной среды" в филармонии.</v>
      </c>
      <c r="AD131" s="6" t="str">
        <f>IFERROR(__xludf.DUMMYFUNCTION("""COMPUTED_VALUE"""),"Готова к любым предложениям.")</f>
        <v>Готова к любым предложениям.</v>
      </c>
      <c r="AE131" s="6" t="str">
        <f>IFERROR(__xludf.DUMMYFUNCTION("""COMPUTED_VALUE"""),"Женский")</f>
        <v>Женский</v>
      </c>
      <c r="AF131" s="6" t="str">
        <f>IFERROR(__xludf.DUMMYFUNCTION("""COMPUTED_VALUE"""),"старше 55")</f>
        <v>старше 55</v>
      </c>
      <c r="AG131" s="6"/>
      <c r="AH131" s="6"/>
      <c r="AI131" s="6"/>
      <c r="AJ131" s="6"/>
      <c r="AK131" s="6"/>
      <c r="AL131" s="6"/>
      <c r="AM131" s="6"/>
    </row>
    <row r="132">
      <c r="A132" s="4">
        <v>131.0</v>
      </c>
      <c r="B132" s="6" t="str">
        <f>IFERROR(__xludf.DUMMYFUNCTION("""COMPUTED_VALUE"""),"Работаю, организовываю проверки")</f>
        <v>Работаю, организовываю проверки</v>
      </c>
      <c r="C132" s="6" t="str">
        <f>IFERROR(__xludf.DUMMYFUNCTION("""COMPUTED_VALUE"""),"Строить, ремонтировать, собирать")</f>
        <v>Строить, ремонтировать, собирать</v>
      </c>
      <c r="D132" s="6" t="str">
        <f>IFERROR(__xludf.DUMMYFUNCTION("""COMPUTED_VALUE"""),"Центральный. Швейка")</f>
        <v>Центральный. Швейка</v>
      </c>
      <c r="E132" s="6" t="str">
        <f>IFERROR(__xludf.DUMMYFUNCTION("""COMPUTED_VALUE"""),"Парк ангелов")</f>
        <v>Парк ангелов</v>
      </c>
      <c r="F132" s="6" t="str">
        <f>IFERROR(__xludf.DUMMYFUNCTION("""COMPUTED_VALUE"""),"Живу здесь с рождения")</f>
        <v>Живу здесь с рождения</v>
      </c>
      <c r="G132" s="6" t="str">
        <f>IFERROR(__xludf.DUMMYFUNCTION("""COMPUTED_VALUE"""),"Везде, по всему городу, куда нужно/захочется")</f>
        <v>Везде, по всему городу, куда нужно/захочется</v>
      </c>
      <c r="H132" s="6" t="str">
        <f>IFERROR(__xludf.DUMMYFUNCTION("""COMPUTED_VALUE"""),"Главный, центральный, столица Кузбасса")</f>
        <v>Главный, центральный, столица Кузбасса</v>
      </c>
      <c r="I132" s="6" t="str">
        <f>IFERROR(__xludf.DUMMYFUNCTION("""COMPUTED_VALUE"""),"Михайло Волков")</f>
        <v>Михайло Волков</v>
      </c>
      <c r="J132" s="6" t="str">
        <f>IFERROR(__xludf.DUMMYFUNCTION("""COMPUTED_VALUE"""),"Андрей Панин, Елена Малышева, Евгений Гришковец")</f>
        <v>Андрей Панин, Елена Малышева, Евгений Гришковец</v>
      </c>
      <c r="K132" s="6" t="str">
        <f>IFERROR(__xludf.DUMMYFUNCTION("""COMPUTED_VALUE"""),"Различные парки, скверы")</f>
        <v>Различные парки, скверы</v>
      </c>
      <c r="L132" s="6" t="str">
        <f>IFERROR(__xludf.DUMMYFUNCTION("""COMPUTED_VALUE"""),"""Это вам не хрен в стакане-это мы, Кемеровчане!""")</f>
        <v>"Это вам не хрен в стакане-это мы, Кемеровчане!"</v>
      </c>
      <c r="M132" s="6" t="str">
        <f>IFERROR(__xludf.DUMMYFUNCTION("""COMPUTED_VALUE"""),"Не знаю")</f>
        <v>Не знаю</v>
      </c>
      <c r="N132" s="6" t="str">
        <f>IFERROR(__xludf.DUMMYFUNCTION("""COMPUTED_VALUE"""),"Много магазинов, более-менее нормальная транспортная инфраструктура, дороги хорошие, есть куда сходить/погулять")</f>
        <v>Много магазинов, более-менее нормальная транспортная инфраструктура, дороги хорошие, есть куда сходить/погулять</v>
      </c>
      <c r="O132" s="6" t="str">
        <f>IFERROR(__xludf.DUMMYFUNCTION("""COMPUTED_VALUE"""),"Отреставрировать старые дома, сделать дороги, убрать выбросы от заводов")</f>
        <v>Отреставрировать старые дома, сделать дороги, убрать выбросы от заводов</v>
      </c>
      <c r="P132" s="6" t="str">
        <f>IFERROR(__xludf.DUMMYFUNCTION("""COMPUTED_VALUE"""),"По всему интернету, афиши в городе")</f>
        <v>По всему интернету, афиши в городе</v>
      </c>
      <c r="Q132"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32" s="6" t="str">
        <f>IFERROR(__xludf.DUMMYFUNCTION("""COMPUTED_VALUE"""),"9 мая, новый год")</f>
        <v>9 мая, новый год</v>
      </c>
      <c r="S132" s="6" t="str">
        <f>IFERROR(__xludf.DUMMYFUNCTION("""COMPUTED_VALUE"""),"Нет, не приходилось")</f>
        <v>Нет, не приходилось</v>
      </c>
      <c r="T132" s="6" t="str">
        <f>IFERROR(__xludf.DUMMYFUNCTION("""COMPUTED_VALUE"""),"Уголь... ")</f>
        <v>Уголь... </v>
      </c>
      <c r="U132" s="6" t="str">
        <f>IFERROR(__xludf.DUMMYFUNCTION("""COMPUTED_VALUE"""),"Памятник Ленину")</f>
        <v>Памятник Ленину</v>
      </c>
      <c r="V132" s="6" t="str">
        <f>IFERROR(__xludf.DUMMYFUNCTION("""COMPUTED_VALUE"""),"Не знаю")</f>
        <v>Не знаю</v>
      </c>
      <c r="W132" s="6" t="str">
        <f>IFERROR(__xludf.DUMMYFUNCTION("""COMPUTED_VALUE"""),"Добрые, отзывчивые")</f>
        <v>Добрые, отзывчивые</v>
      </c>
      <c r="X132" s="6" t="str">
        <f>IFERROR(__xludf.DUMMYFUNCTION("""COMPUTED_VALUE"""),"От ЦУМа и до Променада-2")</f>
        <v>От ЦУМа и до Променада-2</v>
      </c>
      <c r="Y132" s="6" t="str">
        <f>IFERROR(__xludf.DUMMYFUNCTION("""COMPUTED_VALUE"""),"Не знаю")</f>
        <v>Не знаю</v>
      </c>
      <c r="Z132" s="6" t="str">
        <f>IFERROR(__xludf.DUMMYFUNCTION("""COMPUTED_VALUE"""),"Не помню")</f>
        <v>Не помню</v>
      </c>
      <c r="AA132" s="6" t="str">
        <f>IFERROR(__xludf.DUMMYFUNCTION("""COMPUTED_VALUE"""),"Пожар в Зимней Вишне")</f>
        <v>Пожар в Зимней Вишне</v>
      </c>
      <c r="AB132" s="6" t="str">
        <f>IFERROR(__xludf.DUMMYFUNCTION("""COMPUTED_VALUE"""),"Всех хватает")</f>
        <v>Всех хватает</v>
      </c>
      <c r="AC132" s="6" t="str">
        <f>IFERROR(__xludf.DUMMYFUNCTION("""COMPUTED_VALUE"""),"Больше рабочих мест с хорошей ЗП, тогда и жить будет интереснее")</f>
        <v>Больше рабочих мест с хорошей ЗП, тогда и жить будет интереснее</v>
      </c>
      <c r="AD132" s="6" t="str">
        <f>IFERROR(__xludf.DUMMYFUNCTION("""COMPUTED_VALUE"""),"Честно, ни в какой. И так времени свободного мало")</f>
        <v>Честно, ни в какой. И так времени свободного мало</v>
      </c>
      <c r="AE132" s="6" t="str">
        <f>IFERROR(__xludf.DUMMYFUNCTION("""COMPUTED_VALUE"""),"Мужской")</f>
        <v>Мужской</v>
      </c>
      <c r="AF132" s="6" t="str">
        <f>IFERROR(__xludf.DUMMYFUNCTION("""COMPUTED_VALUE"""),"30-44")</f>
        <v>30-44</v>
      </c>
      <c r="AG132" s="6"/>
      <c r="AH132" s="6"/>
      <c r="AI132" s="6"/>
      <c r="AJ132" s="6"/>
      <c r="AK132" s="6"/>
      <c r="AL132" s="6"/>
      <c r="AM132" s="6"/>
    </row>
    <row r="133">
      <c r="A133" s="4">
        <v>132.0</v>
      </c>
      <c r="B133" s="6" t="str">
        <f>IFERROR(__xludf.DUMMYFUNCTION("""COMPUTED_VALUE"""),"Предприниматель")</f>
        <v>Предприниматель</v>
      </c>
      <c r="C133" s="6" t="str">
        <f>IFERROR(__xludf.DUMMYFUNCTION("""COMPUTED_VALUE"""),"Гитара")</f>
        <v>Гитара</v>
      </c>
      <c r="D133" s="6" t="str">
        <f>IFERROR(__xludf.DUMMYFUNCTION("""COMPUTED_VALUE"""),"Кемеровский")</f>
        <v>Кемеровский</v>
      </c>
      <c r="E133" s="6" t="str">
        <f>IFERROR(__xludf.DUMMYFUNCTION("""COMPUTED_VALUE"""),"Пруд и лес")</f>
        <v>Пруд и лес</v>
      </c>
      <c r="F133" s="6" t="str">
        <f>IFERROR(__xludf.DUMMYFUNCTION("""COMPUTED_VALUE"""),"Живу здесь с рождения")</f>
        <v>Живу здесь с рождения</v>
      </c>
      <c r="G133" s="6" t="str">
        <f>IFERROR(__xludf.DUMMYFUNCTION("""COMPUTED_VALUE"""),"Центр города")</f>
        <v>Центр города</v>
      </c>
      <c r="H133" s="6" t="str">
        <f>IFERROR(__xludf.DUMMYFUNCTION("""COMPUTED_VALUE"""),"Чистый, Завод, Река, Зимняя вишня, Шахтер")</f>
        <v>Чистый, Завод, Река, Зимняя вишня, Шахтер</v>
      </c>
      <c r="I133" s="6" t="str">
        <f>IFERROR(__xludf.DUMMYFUNCTION("""COMPUTED_VALUE"""),"Леонов, Михайло Волков")</f>
        <v>Леонов, Михайло Волков</v>
      </c>
      <c r="J133" s="6" t="str">
        <f>IFERROR(__xludf.DUMMYFUNCTION("""COMPUTED_VALUE"""),"Гришковец, Михайлов")</f>
        <v>Гришковец, Михайлов</v>
      </c>
      <c r="K133" s="6" t="str">
        <f>IFERROR(__xludf.DUMMYFUNCTION("""COMPUTED_VALUE"""),"Клумба спэйс, набережная, проспект Советский, Лесная поляна")</f>
        <v>Клумба спэйс, набережная, проспект Советский, Лесная поляна</v>
      </c>
      <c r="L133" s="6" t="str">
        <f>IFERROR(__xludf.DUMMYFUNCTION("""COMPUTED_VALUE"""),"""Человек из кемерово"" песня")</f>
        <v>"Человек из кемерово" песня</v>
      </c>
      <c r="M133" s="6" t="str">
        <f>IFERROR(__xludf.DUMMYFUNCTION("""COMPUTED_VALUE"""),"Бузотеры (с)  Аман Тулеев, ""легкий туман, без паники"" (с) Сергей Цивилев")</f>
        <v>Бузотеры (с)  Аман Тулеев, "легкий туман, без паники" (с) Сергей Цивилев</v>
      </c>
      <c r="N133" s="6" t="str">
        <f>IFERROR(__xludf.DUMMYFUNCTION("""COMPUTED_VALUE"""),"Компактный, чистый, хорошие дороги, приятные люди, парки и много зелени")</f>
        <v>Компактный, чистый, хорошие дороги, приятные люди, парки и много зелени</v>
      </c>
      <c r="O133" s="6" t="str">
        <f>IFERROR(__xludf.DUMMYFUNCTION("""COMPUTED_VALUE"""),"Отремонтировать уродские дома, и перекрасить их ")</f>
        <v>Отремонтировать уродские дома, и перекрасить их </v>
      </c>
      <c r="P133" s="6" t="str">
        <f>IFERROR(__xludf.DUMMYFUNCTION("""COMPUTED_VALUE"""),"реклама в инстаграмме")</f>
        <v>реклама в инстаграмме</v>
      </c>
      <c r="Q133" s="6" t="str">
        <f>IFERROR(__xludf.DUMMYFUNCTION("""COMPUTED_VALUE"""),"куда пойти в свободное время, городская афиша (кино/театр/концерты), интервью с местными предпринимателями")</f>
        <v>куда пойти в свободное время, городская афиша (кино/театр/концерты), интервью с местными предпринимателями</v>
      </c>
      <c r="R133" s="6" t="str">
        <f>IFERROR(__xludf.DUMMYFUNCTION("""COMPUTED_VALUE"""),"Новый год")</f>
        <v>Новый год</v>
      </c>
      <c r="S133" s="6" t="str">
        <f>IFERROR(__xludf.DUMMYFUNCTION("""COMPUTED_VALUE"""),"Нет, не приходилось")</f>
        <v>Нет, не приходилось</v>
      </c>
      <c r="T133" s="6" t="str">
        <f>IFERROR(__xludf.DUMMYFUNCTION("""COMPUTED_VALUE"""),"Позитивным ничем")</f>
        <v>Позитивным ничем</v>
      </c>
      <c r="U133" s="6" t="str">
        <f>IFERROR(__xludf.DUMMYFUNCTION("""COMPUTED_VALUE"""),"набережная, бульвар")</f>
        <v>набережная, бульвар</v>
      </c>
      <c r="V133" s="6" t="str">
        <f>IFERROR(__xludf.DUMMYFUNCTION("""COMPUTED_VALUE"""),"ай донт ноу")</f>
        <v>ай донт ноу</v>
      </c>
      <c r="W133" s="6" t="str">
        <f>IFERROR(__xludf.DUMMYFUNCTION("""COMPUTED_VALUE"""),"Крепкие, выносливые, терпеливые, верят в лучшее (что туман ""рассеется"")   ")</f>
        <v>Крепкие, выносливые, терпеливые, верят в лучшее (что туман "рассеется")   </v>
      </c>
      <c r="X133" s="6" t="str">
        <f>IFERROR(__xludf.DUMMYFUNCTION("""COMPUTED_VALUE"""),"Набережная")</f>
        <v>Набережная</v>
      </c>
      <c r="Y133" s="6" t="str">
        <f>IFERROR(__xludf.DUMMYFUNCTION("""COMPUTED_VALUE"""),"Чемпионат мира по хоккею с мячом 2007")</f>
        <v>Чемпионат мира по хоккею с мячом 2007</v>
      </c>
      <c r="Z133" s="6" t="str">
        <f>IFERROR(__xludf.DUMMYFUNCTION("""COMPUTED_VALUE"""),"Рок-фестиваль, открытие Кадетского училища, мега стройка на притомском")</f>
        <v>Рок-фестиваль, открытие Кадетского училища, мега стройка на притомском</v>
      </c>
      <c r="AA133" s="6" t="str">
        <f>IFERROR(__xludf.DUMMYFUNCTION("""COMPUTED_VALUE"""),"Отравленный воздух Азотом, волнение относительно открытия Шахты возле Лесной поляны,")</f>
        <v>Отравленный воздух Азотом, волнение относительно открытия Шахты возле Лесной поляны,</v>
      </c>
      <c r="AB133" s="6" t="str">
        <f>IFERROR(__xludf.DUMMYFUNCTION("""COMPUTED_VALUE"""),"Не знаю какие есть")</f>
        <v>Не знаю какие есть</v>
      </c>
      <c r="AC133" s="6" t="str">
        <f>IFERROR(__xludf.DUMMYFUNCTION("""COMPUTED_VALUE"""),"фестивали, выставки")</f>
        <v>фестивали, выставки</v>
      </c>
      <c r="AD133" s="6" t="str">
        <f>IFERROR(__xludf.DUMMYFUNCTION("""COMPUTED_VALUE"""),"Придумал-сделал")</f>
        <v>Придумал-сделал</v>
      </c>
      <c r="AE133" s="6" t="str">
        <f>IFERROR(__xludf.DUMMYFUNCTION("""COMPUTED_VALUE"""),"Мужской")</f>
        <v>Мужской</v>
      </c>
      <c r="AF133" s="6" t="str">
        <f>IFERROR(__xludf.DUMMYFUNCTION("""COMPUTED_VALUE"""),"30-44")</f>
        <v>30-44</v>
      </c>
      <c r="AG133" s="6"/>
      <c r="AH133" s="6"/>
      <c r="AI133" s="6"/>
      <c r="AJ133" s="6"/>
      <c r="AK133" s="6"/>
      <c r="AL133" s="6"/>
      <c r="AM133" s="6"/>
    </row>
    <row r="134">
      <c r="A134" s="4">
        <v>133.0</v>
      </c>
      <c r="B134" s="6" t="str">
        <f>IFERROR(__xludf.DUMMYFUNCTION("""COMPUTED_VALUE"""),"Работаю в Good Line. Стажируюсь")</f>
        <v>Работаю в Good Line. Стажируюсь</v>
      </c>
      <c r="C134" s="6" t="str">
        <f>IFERROR(__xludf.DUMMYFUNCTION("""COMPUTED_VALUE"""),"Дайвинг")</f>
        <v>Дайвинг</v>
      </c>
      <c r="D134" s="6" t="str">
        <f>IFERROR(__xludf.DUMMYFUNCTION("""COMPUTED_VALUE"""),"ФПК")</f>
        <v>ФПК</v>
      </c>
      <c r="E134" s="6" t="str">
        <f>IFERROR(__xludf.DUMMYFUNCTION("""COMPUTED_VALUE"""),"Набережная, парки всяческие")</f>
        <v>Набережная, парки всяческие</v>
      </c>
      <c r="F134" s="6" t="str">
        <f>IFERROR(__xludf.DUMMYFUNCTION("""COMPUTED_VALUE"""),"Живу здесь с рождения")</f>
        <v>Живу здесь с рождения</v>
      </c>
      <c r="G134" s="6" t="str">
        <f>IFERROR(__xludf.DUMMYFUNCTION("""COMPUTED_VALUE"""),"Мест много, определенных нет, но в бассейн сходил бы")</f>
        <v>Мест много, определенных нет, но в бассейн сходил бы</v>
      </c>
      <c r="H134" s="6" t="str">
        <f>IFERROR(__xludf.DUMMYFUNCTION("""COMPUTED_VALUE"""),"Чистота, снег, природа, современность, мороз")</f>
        <v>Чистота, снег, природа, современность, мороз</v>
      </c>
      <c r="I134" s="6" t="str">
        <f>IFERROR(__xludf.DUMMYFUNCTION("""COMPUTED_VALUE"""),"Валентина Терешкова, Валерий Чкалов")</f>
        <v>Валентина Терешкова, Валерий Чкалов</v>
      </c>
      <c r="J134" s="6" t="str">
        <f>IFERROR(__xludf.DUMMYFUNCTION("""COMPUTED_VALUE"""),"Аман Гумирович Тулеев")</f>
        <v>Аман Гумирович Тулеев</v>
      </c>
      <c r="K134" s="6" t="str">
        <f>IFERROR(__xludf.DUMMYFUNCTION("""COMPUTED_VALUE"""),"Памятник Ленина, Пушкина")</f>
        <v>Памятник Ленина, Пушкина</v>
      </c>
      <c r="L134" s="6" t="str">
        <f>IFERROR(__xludf.DUMMYFUNCTION("""COMPUTED_VALUE"""),"Верный друг лучше сотни слуг")</f>
        <v>Верный друг лучше сотни слуг</v>
      </c>
      <c r="M134" s="6" t="str">
        <f>IFERROR(__xludf.DUMMYFUNCTION("""COMPUTED_VALUE"""),"Вихотка, мультифора,")</f>
        <v>Вихотка, мультифора,</v>
      </c>
      <c r="N134" s="6" t="str">
        <f>IFERROR(__xludf.DUMMYFUNCTION("""COMPUTED_VALUE"""),"Чисто летом, комфортная обстановка, доступность магазинов, тротуары ровные, оптимальное количество людей")</f>
        <v>Чисто летом, комфортная обстановка, доступность магазинов, тротуары ровные, оптимальное количество людей</v>
      </c>
      <c r="O134" s="6" t="str">
        <f>IFERROR(__xludf.DUMMYFUNCTION("""COMPUTED_VALUE"""),"Сделать доступный бассейн с адекватными ценами на услуги")</f>
        <v>Сделать доступный бассейн с адекватными ценами на услуги</v>
      </c>
      <c r="P134" s="6" t="str">
        <f>IFERROR(__xludf.DUMMYFUNCTION("""COMPUTED_VALUE"""),"Друзья сообщают")</f>
        <v>Друзья сообщают</v>
      </c>
      <c r="Q134" s="6" t="str">
        <f>IFERROR(__xludf.DUMMYFUNCTION("""COMPUTED_VALUE"""),"куда пойти в свободное время")</f>
        <v>куда пойти в свободное время</v>
      </c>
      <c r="R134" s="6" t="str">
        <f>IFERROR(__xludf.DUMMYFUNCTION("""COMPUTED_VALUE"""),"9мая , 31декабря , мой день рождения")</f>
        <v>9мая , 31декабря , мой день рождения</v>
      </c>
      <c r="S134" s="6" t="str">
        <f>IFERROR(__xludf.DUMMYFUNCTION("""COMPUTED_VALUE"""),"Нет, не приходилось")</f>
        <v>Нет, не приходилось</v>
      </c>
      <c r="T134" s="6" t="str">
        <f>IFERROR(__xludf.DUMMYFUNCTION("""COMPUTED_VALUE"""),"Угольная столица по рекордной добыче полезного ископаемого")</f>
        <v>Угольная столица по рекордной добыче полезного ископаемого</v>
      </c>
      <c r="U134" s="6" t="str">
        <f>IFERROR(__xludf.DUMMYFUNCTION("""COMPUTED_VALUE"""),"Площадь Ленина")</f>
        <v>Площадь Ленина</v>
      </c>
      <c r="V134" s="6" t="str">
        <f>IFERROR(__xludf.DUMMYFUNCTION("""COMPUTED_VALUE"""),"Построили хрущевки, много домов, развивали активно регион")</f>
        <v>Построили хрущевки, много домов, развивали активно регион</v>
      </c>
      <c r="W134" s="6" t="str">
        <f>IFERROR(__xludf.DUMMYFUNCTION("""COMPUTED_VALUE"""),"Имеют свой говор, скромнее чем в Омске, все разные")</f>
        <v>Имеют свой говор, скромнее чем в Омске, все разные</v>
      </c>
      <c r="X134" s="6" t="str">
        <f>IFERROR(__xludf.DUMMYFUNCTION("""COMPUTED_VALUE"""),"от вокзала до здания администрации и по пр. Ленина до конца за кольцо")</f>
        <v>от вокзала до здания администрации и по пр. Ленина до конца за кольцо</v>
      </c>
      <c r="Y134" s="6" t="str">
        <f>IFERROR(__xludf.DUMMYFUNCTION("""COMPUTED_VALUE"""),"Приход к правлению нового Губернатора")</f>
        <v>Приход к правлению нового Губернатора</v>
      </c>
      <c r="Z134" s="6" t="str">
        <f>IFERROR(__xludf.DUMMYFUNCTION("""COMPUTED_VALUE"""),"Спилили кустарники которые были перед цирком, постройка новой дороги подходящая к ул. Комсомольской")</f>
        <v>Спилили кустарники которые были перед цирком, постройка новой дороги подходящая к ул. Комсомольской</v>
      </c>
      <c r="AA134" s="6" t="str">
        <f>IFERROR(__xludf.DUMMYFUNCTION("""COMPUTED_VALUE"""),"пожар в ТЦ Зимняя вишня")</f>
        <v>пожар в ТЦ Зимняя вишня</v>
      </c>
      <c r="AB134" s="6" t="str">
        <f>IFERROR(__xludf.DUMMYFUNCTION("""COMPUTED_VALUE"""),"А какие мне нужны не знаю))")</f>
        <v>А какие мне нужны не знаю))</v>
      </c>
      <c r="AC134" s="6" t="str">
        <f>IFERROR(__xludf.DUMMYFUNCTION("""COMPUTED_VALUE"""),"Кемеровский велопробег")</f>
        <v>Кемеровский велопробег</v>
      </c>
      <c r="AD134" s="6" t="str">
        <f>IFERROR(__xludf.DUMMYFUNCTION("""COMPUTED_VALUE"""),"Предложение интересных проектов по улучшению города")</f>
        <v>Предложение интересных проектов по улучшению города</v>
      </c>
      <c r="AE134" s="6" t="str">
        <f>IFERROR(__xludf.DUMMYFUNCTION("""COMPUTED_VALUE"""),"Мужской")</f>
        <v>Мужской</v>
      </c>
      <c r="AF134" s="6" t="str">
        <f>IFERROR(__xludf.DUMMYFUNCTION("""COMPUTED_VALUE"""),"18-29")</f>
        <v>18-29</v>
      </c>
      <c r="AG134" s="6"/>
      <c r="AH134" s="6"/>
      <c r="AI134" s="6"/>
      <c r="AJ134" s="6"/>
      <c r="AK134" s="6"/>
      <c r="AL134" s="6"/>
      <c r="AM134" s="6"/>
    </row>
    <row r="135">
      <c r="A135" s="4">
        <v>134.0</v>
      </c>
      <c r="B135" s="6" t="str">
        <f>IFERROR(__xludf.DUMMYFUNCTION("""COMPUTED_VALUE"""),"Работаю в бюджетной организации")</f>
        <v>Работаю в бюджетной организации</v>
      </c>
      <c r="C135" s="6" t="str">
        <f>IFERROR(__xludf.DUMMYFUNCTION("""COMPUTED_VALUE"""),"Йога, рукоделие, краеведение")</f>
        <v>Йога, рукоделие, краеведение</v>
      </c>
      <c r="D135" s="6" t="str">
        <f>IFERROR(__xludf.DUMMYFUNCTION("""COMPUTED_VALUE"""),"В центре")</f>
        <v>В центре</v>
      </c>
      <c r="E135" s="6" t="str">
        <f>IFERROR(__xludf.DUMMYFUNCTION("""COMPUTED_VALUE"""),"Советский проспект и улица Весенняя")</f>
        <v>Советский проспект и улица Весенняя</v>
      </c>
      <c r="F135" s="6" t="str">
        <f>IFERROR(__xludf.DUMMYFUNCTION("""COMPUTED_VALUE"""),"Живу здесь с рождения")</f>
        <v>Живу здесь с рождения</v>
      </c>
      <c r="G135" s="6" t="str">
        <f>IFERROR(__xludf.DUMMYFUNCTION("""COMPUTED_VALUE"""),"Красная горка, по улицам города, пригодным для пеших прогулок. ")</f>
        <v>Красная горка, по улицам города, пригодным для пеших прогулок. </v>
      </c>
      <c r="H135" s="6" t="str">
        <f>IFERROR(__xludf.DUMMYFUNCTION("""COMPUTED_VALUE"""),"Бор, уголь, ансамбль, Кокс, промышленность. ")</f>
        <v>Бор, уголь, ансамбль, Кокс, промышленность. </v>
      </c>
      <c r="I135" s="6" t="str">
        <f>IFERROR(__xludf.DUMMYFUNCTION("""COMPUTED_VALUE"""),"Моисеенко, Ештокин, Рутгерс, И.И. Федорович")</f>
        <v>Моисеенко, Ештокин, Рутгерс, И.И. Федорович</v>
      </c>
      <c r="J135" s="6" t="str">
        <f>IFERROR(__xludf.DUMMYFUNCTION("""COMPUTED_VALUE"""),"М. Кушникова, Сухацкий, Михайлов В.В.")</f>
        <v>М. Кушникова, Сухацкий, Михайлов В.В.</v>
      </c>
      <c r="K135" s="6" t="str">
        <f>IFERROR(__xludf.DUMMYFUNCTION("""COMPUTED_VALUE"""),"Ансамблевый центр, Соцгород (правый  и левый берег), Красная горка, ")</f>
        <v>Ансамблевый центр, Соцгород (правый  и левый берег), Красная горка, </v>
      </c>
      <c r="L135" s="6" t="str">
        <f>IFERROR(__xludf.DUMMYFUNCTION("""COMPUTED_VALUE"""),"Бегемот в Искитимке! А экологи говорят, что у нас экология плохая)")</f>
        <v>Бегемот в Искитимке! А экологи говорят, что у нас экология плохая)</v>
      </c>
      <c r="M135" s="6" t="str">
        <f>IFERROR(__xludf.DUMMYFUNCTION("""COMPUTED_VALUE"""),"КЕМ...")</f>
        <v>КЕМ...</v>
      </c>
      <c r="N135" s="6" t="str">
        <f>IFERROR(__xludf.DUMMYFUNCTION("""COMPUTED_VALUE"""),"Чистые улицы и дворы, доступный общественный транспорт, ремонт не только фасадов, но и внутренней части домов, выделенные парковочные места, либо полный запрет на старых улицах, ")</f>
        <v>Чистые улицы и дворы, доступный общественный транспорт, ремонт не только фасадов, но и внутренней части домов, выделенные парковочные места, либо полный запрет на старых улицах, </v>
      </c>
      <c r="O135" s="6" t="str">
        <f>IFERROR(__xludf.DUMMYFUNCTION("""COMPUTED_VALUE"""),"Убрать пивточки всеееее и убрать ""мусор"" вееееесь")</f>
        <v>Убрать пивточки всеееее и убрать "мусор" вееееесь</v>
      </c>
      <c r="P135" s="6" t="str">
        <f>IFERROR(__xludf.DUMMYFUNCTION("""COMPUTED_VALUE"""),"Внутри и снаружи, официальные сайты организаций и сообществ")</f>
        <v>Внутри и снаружи, официальные сайты организаций и сообществ</v>
      </c>
      <c r="Q135" s="6" t="str">
        <f>IFERROR(__xludf.DUMMYFUNCTION("""COMPUTED_VALUE"""),"куда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v>
      </c>
      <c r="R135" s="6" t="str">
        <f>IFERROR(__xludf.DUMMYFUNCTION("""COMPUTED_VALUE"""),"Основанные на понятных датах, событиях, фактах")</f>
        <v>Основанные на понятных датах, событиях, фактах</v>
      </c>
      <c r="S135"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135" s="6" t="str">
        <f>IFERROR(__xludf.DUMMYFUNCTION("""COMPUTED_VALUE"""),"К сожалению известность пока не очень хорошая. ")</f>
        <v>К сожалению известность пока не очень хорошая. </v>
      </c>
      <c r="U135" s="6" t="str">
        <f>IFERROR(__xludf.DUMMYFUNCTION("""COMPUTED_VALUE"""),"Красная горка, центр современного города. ")</f>
        <v>Красная горка, центр современного города. </v>
      </c>
      <c r="V135" s="6" t="str">
        <f>IFERROR(__xludf.DUMMYFUNCTION("""COMPUTED_VALUE"""),"Пытаются узнать его историю  и прошлое")</f>
        <v>Пытаются узнать его историю  и прошлое</v>
      </c>
      <c r="W135" s="6" t="str">
        <f>IFERROR(__xludf.DUMMYFUNCTION("""COMPUTED_VALUE"""),"Творческие, но опасаются, грустные, но с надеждой на лучшее")</f>
        <v>Творческие, но опасаются, грустные, но с надеждой на лучшее</v>
      </c>
      <c r="X135" s="6" t="str">
        <f>IFERROR(__xludf.DUMMYFUNCTION("""COMPUTED_VALUE"""),"Дом Губкиных, БЦ Доминант (старый цирк), Советский проспект, клуб ГРЭС, стадион Химик, ЦУМ (площадь Кирова, вид на ДК Москва)")</f>
        <v>Дом Губкиных, БЦ Доминант (старый цирк), Советский проспект, клуб ГРЭС, стадион Химик, ЦУМ (площадь Кирова, вид на ДК Москва)</v>
      </c>
      <c r="Y135" s="6" t="str">
        <f>IFERROR(__xludf.DUMMYFUNCTION("""COMPUTED_VALUE"""),"Запустили КОКС в 1924")</f>
        <v>Запустили КОКС в 1924</v>
      </c>
      <c r="Z135" s="6" t="str">
        <f>IFERROR(__xludf.DUMMYFUNCTION("""COMPUTED_VALUE"""),"Много строек - надеюсь, это к лучшему, город выкупил здание Копикуза!!! ")</f>
        <v>Много строек - надеюсь, это к лучшему, город выкупил здание Копикуза!!! </v>
      </c>
      <c r="AA135" s="6" t="str">
        <f>IFERROR(__xludf.DUMMYFUNCTION("""COMPUTED_VALUE"""),"Культурное голландское наследие разрушается, ДК Москва снова на продаже, корпус эконома КЕМГу (здание довоенное) на продаже (очевидно под снос)")</f>
        <v>Культурное голландское наследие разрушается, ДК Москва снова на продаже, корпус эконома КЕМГу (здание довоенное) на продаже (очевидно под снос)</v>
      </c>
      <c r="AB135" s="6" t="str">
        <f>IFERROR(__xludf.DUMMYFUNCTION("""COMPUTED_VALUE"""),"Для тех, кому интересна история города и его прошлое, в формате удобном и нужном для современных горожан. ")</f>
        <v>Для тех, кому интересна история города и его прошлое, в формате удобном и нужном для современных горожан. </v>
      </c>
      <c r="AC135" s="6" t="str">
        <f>IFERROR(__xludf.DUMMYFUNCTION("""COMPUTED_VALUE"""),"Без нафталина, так как моль уже и так ....")</f>
        <v>Без нафталина, так как моль уже и так ....</v>
      </c>
      <c r="AD135" s="6" t="str">
        <f>IFERROR(__xludf.DUMMYFUNCTION("""COMPUTED_VALUE"""),"Гид городских экскурсий")</f>
        <v>Гид городских экскурсий</v>
      </c>
      <c r="AE135" s="6" t="str">
        <f>IFERROR(__xludf.DUMMYFUNCTION("""COMPUTED_VALUE"""),"Женский")</f>
        <v>Женский</v>
      </c>
      <c r="AF135" s="6" t="str">
        <f>IFERROR(__xludf.DUMMYFUNCTION("""COMPUTED_VALUE"""),"30-44")</f>
        <v>30-44</v>
      </c>
      <c r="AG135" s="6"/>
      <c r="AH135" s="6"/>
      <c r="AI135" s="6"/>
      <c r="AJ135" s="6"/>
      <c r="AK135" s="6"/>
      <c r="AL135" s="6"/>
      <c r="AM135" s="6"/>
    </row>
    <row r="136">
      <c r="A136" s="4">
        <v>135.0</v>
      </c>
      <c r="B136" s="6" t="str">
        <f>IFERROR(__xludf.DUMMYFUNCTION("""COMPUTED_VALUE"""),"Политика ")</f>
        <v>Политика </v>
      </c>
      <c r="C136" s="6" t="str">
        <f>IFERROR(__xludf.DUMMYFUNCTION("""COMPUTED_VALUE"""),"Рисовать ")</f>
        <v>Рисовать </v>
      </c>
      <c r="D136" s="6" t="str">
        <f>IFERROR(__xludf.DUMMYFUNCTION("""COMPUTED_VALUE"""),"Лесная поляна")</f>
        <v>Лесная поляна</v>
      </c>
      <c r="E136" s="6" t="str">
        <f>IFERROR(__xludf.DUMMYFUNCTION("""COMPUTED_VALUE"""),"Леснополянский бигбен , фонтан у оленя ")</f>
        <v>Леснополянский бигбен , фонтан у оленя </v>
      </c>
      <c r="F136" s="6" t="str">
        <f>IFERROR(__xludf.DUMMYFUNCTION("""COMPUTED_VALUE"""),"Переехал сюда из другого места (откуда? укажите в графе другое), Посёлок Промышленная ")</f>
        <v>Переехал сюда из другого места (откуда? укажите в графе другое), Посёлок Промышленная </v>
      </c>
      <c r="G136" s="6" t="str">
        <f>IFERROR(__xludf.DUMMYFUNCTION("""COMPUTED_VALUE"""),"Набережная, бульвар и чаще всего по району «лесная поляна»")</f>
        <v>Набережная, бульвар и чаще всего по району «лесная поляна»</v>
      </c>
      <c r="H136" s="6" t="str">
        <f>IFERROR(__xludf.DUMMYFUNCTION("""COMPUTED_VALUE"""),"Уют,  компактность,  Красная Горка, Мила земли , самоотверженный труд ")</f>
        <v>Уют,  компактность,  Красная Горка, Мила земли , самоотверженный труд </v>
      </c>
      <c r="I136" s="6" t="str">
        <f>IFERROR(__xludf.DUMMYFUNCTION("""COMPUTED_VALUE"""),"Михайло Волков, В.В. Михайлов ")</f>
        <v>Михайло Волков, В.В. Михайлов </v>
      </c>
      <c r="J136" s="6" t="str">
        <f>IFERROR(__xludf.DUMMYFUNCTION("""COMPUTED_VALUE"""),"Эрнест неизвестный, Гришковец , В.В. Михайлов ")</f>
        <v>Эрнест неизвестный, Гришковец , В.В. Михайлов </v>
      </c>
      <c r="K136" s="6" t="str">
        <f>IFERROR(__xludf.DUMMYFUNCTION("""COMPUTED_VALUE"""),"Лесная поляна, Копсная Горка, памятник «шахтерам», проспект советский ")</f>
        <v>Лесная поляна, Копсная Горка, памятник «шахтерам», проспект советский </v>
      </c>
      <c r="L136" s="6" t="str">
        <f>IFERROR(__xludf.DUMMYFUNCTION("""COMPUTED_VALUE"""),"Человек из Кемерова ")</f>
        <v>Человек из Кемерова </v>
      </c>
      <c r="M136" s="6" t="str">
        <f>IFERROR(__xludf.DUMMYFUNCTION("""COMPUTED_VALUE"""),"Мультифора,  маленько ")</f>
        <v>Мультифора,  маленько </v>
      </c>
      <c r="N136" s="6" t="str">
        <f>IFERROR(__xludf.DUMMYFUNCTION("""COMPUTED_VALUE"""),"Качество дорог, чистота, доступность и широкий выбор мест отдыха и для проведения досуга, развитая инфраструктура в целом, детские площадки, Арт объекты ")</f>
        <v>Качество дорог, чистота, доступность и широкий выбор мест отдыха и для проведения досуга, развитая инфраструктура в целом, детские площадки, Арт объекты </v>
      </c>
      <c r="O136" s="6" t="str">
        <f>IFERROR(__xludf.DUMMYFUNCTION("""COMPUTED_VALUE"""),"Отреставрировать жилые дома в «старом центре», граффити , создание арт объектов  и креативных пространств ")</f>
        <v>Отреставрировать жилые дома в «старом центре», граффити , создание арт объектов  и креативных пространств </v>
      </c>
      <c r="P136" s="6" t="str">
        <f>IFERROR(__xludf.DUMMYFUNCTION("""COMPUTED_VALUE"""),"Афиша Кемерово , сайты Организаций и учреждений")</f>
        <v>Афиша Кемерово , сайты Организаций и учреждений</v>
      </c>
      <c r="Q136"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136" s="6" t="str">
        <f>IFERROR(__xludf.DUMMYFUNCTION("""COMPUTED_VALUE"""),"Для моей семьи - семейные мероприятия. А для других жителей в целом какие-либо мероприятия")</f>
        <v>Для моей семьи - семейные мероприятия. А для других жителей в целом какие-либо мероприятия</v>
      </c>
      <c r="S136"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136" s="6" t="str">
        <f>IFERROR(__xludf.DUMMYFUNCTION("""COMPUTED_VALUE"""),"Людьми талантливыми")</f>
        <v>Людьми талантливыми</v>
      </c>
      <c r="U136" s="6" t="str">
        <f>IFERROR(__xludf.DUMMYFUNCTION("""COMPUTED_VALUE"""),"Набережная , бульвар строителей , Красная горка")</f>
        <v>Набережная , бульвар строителей , Красная горка</v>
      </c>
      <c r="V136" s="6" t="str">
        <f>IFERROR(__xludf.DUMMYFUNCTION("""COMPUTED_VALUE"""),"Честно трудились и работали ")</f>
        <v>Честно трудились и работали </v>
      </c>
      <c r="W136" s="6" t="str">
        <f>IFERROR(__xludf.DUMMYFUNCTION("""COMPUTED_VALUE"""),"Запасливые трудолюбивые морозоустойчивые ")</f>
        <v>Запасливые трудолюбивые морозоустойчивые </v>
      </c>
      <c r="X136" s="6" t="str">
        <f>IFERROR(__xludf.DUMMYFUNCTION("""COMPUTED_VALUE"""),"Набережная до красной Горки")</f>
        <v>Набережная до красной Горки</v>
      </c>
      <c r="Y136" s="6" t="str">
        <f>IFERROR(__xludf.DUMMYFUNCTION("""COMPUTED_VALUE"""),"Зимняя вишня ")</f>
        <v>Зимняя вишня </v>
      </c>
      <c r="Z136" s="6" t="str">
        <f>IFERROR(__xludf.DUMMYFUNCTION("""COMPUTED_VALUE"""),"Строительство новых культурных и социал над объектов , форум «Время первых», победа волейбольной команды Кузбасс , ")</f>
        <v>Строительство новых культурных и социал над объектов , форум «Время первых», победа волейбольной команды Кузбасс , </v>
      </c>
      <c r="AA136" s="6" t="str">
        <f>IFERROR(__xludf.DUMMYFUNCTION("""COMPUTED_VALUE"""),"Нет ")</f>
        <v>Нет </v>
      </c>
      <c r="AB136" s="6" t="str">
        <f>IFERROR(__xludf.DUMMYFUNCTION("""COMPUTED_VALUE"""),"Местных сообществ активных граждан, художников ")</f>
        <v>Местных сообществ активных граждан, художников </v>
      </c>
      <c r="AC136" s="6" t="str">
        <f>IFERROR(__xludf.DUMMYFUNCTION("""COMPUTED_VALUE"""),"Концепты, выставки, кино под открытым небом ")</f>
        <v>Концепты, выставки, кино под открытым небом </v>
      </c>
      <c r="AD136" s="6" t="str">
        <f>IFERROR(__xludf.DUMMYFUNCTION("""COMPUTED_VALUE"""),"Наблюдатель")</f>
        <v>Наблюдатель</v>
      </c>
      <c r="AE136" s="6" t="str">
        <f>IFERROR(__xludf.DUMMYFUNCTION("""COMPUTED_VALUE"""),"Женский")</f>
        <v>Женский</v>
      </c>
      <c r="AF136" s="6" t="str">
        <f>IFERROR(__xludf.DUMMYFUNCTION("""COMPUTED_VALUE"""),"30-44")</f>
        <v>30-44</v>
      </c>
      <c r="AG136" s="6"/>
      <c r="AH136" s="6"/>
      <c r="AI136" s="6"/>
      <c r="AJ136" s="6"/>
      <c r="AK136" s="6"/>
      <c r="AL136" s="6"/>
      <c r="AM136" s="6"/>
    </row>
    <row r="137">
      <c r="A137" s="4">
        <v>136.0</v>
      </c>
      <c r="B137" s="6" t="str">
        <f>IFERROR(__xludf.DUMMYFUNCTION("""COMPUTED_VALUE"""),"На пенсии")</f>
        <v>На пенсии</v>
      </c>
      <c r="C137" s="6" t="str">
        <f>IFERROR(__xludf.DUMMYFUNCTION("""COMPUTED_VALUE"""),"Книги, рисование, кошки")</f>
        <v>Книги, рисование, кошки</v>
      </c>
      <c r="D137" s="6" t="str">
        <f>IFERROR(__xludf.DUMMYFUNCTION("""COMPUTED_VALUE"""),"Ленинский. Уютный")</f>
        <v>Ленинский. Уютный</v>
      </c>
      <c r="E137" s="6" t="str">
        <f>IFERROR(__xludf.DUMMYFUNCTION("""COMPUTED_VALUE"""),"Бульвар, аллея берез по ул. Волгоградская, липы по проспекту Ленина")</f>
        <v>Бульвар, аллея берез по ул. Волгоградская, липы по проспекту Ленина</v>
      </c>
      <c r="F137" s="6" t="str">
        <f>IFERROR(__xludf.DUMMYFUNCTION("""COMPUTED_VALUE"""),"Родители и родственники из Кемерово, родилась в другом городе, много путешествовала, осела в 1994 г. ")</f>
        <v>Родители и родственники из Кемерово, родилась в другом городе, много путешествовала, осела в 1994 г. </v>
      </c>
      <c r="G137" s="6" t="str">
        <f>IFERROR(__xludf.DUMMYFUNCTION("""COMPUTED_VALUE"""),"Проспект Ленина, где растут липы, хороши летом и осенью, бульвар Строителей,набережная в центре города, улица Весенняя, Ноградская, проспект Советский ( весь центр города) ")</f>
        <v>Проспект Ленина, где растут липы, хороши летом и осенью, бульвар Строителей,набережная в центре города, улица Весенняя, Ноградская, проспект Советский ( весь центр города) </v>
      </c>
      <c r="H137" s="6" t="str">
        <f>IFERROR(__xludf.DUMMYFUNCTION("""COMPUTED_VALUE"""),"Зелёный, чистый, уютный, компактный, не молодежный, несколько консервативный")</f>
        <v>Зелёный, чистый, уютный, компактный, не молодежный, несколько консервативный</v>
      </c>
      <c r="I137" s="6" t="str">
        <f>IFERROR(__xludf.DUMMYFUNCTION("""COMPUTED_VALUE"""),"Подгорбунский, Рутгерс")</f>
        <v>Подгорбунский, Рутгерс</v>
      </c>
      <c r="J137" s="6" t="str">
        <f>IFERROR(__xludf.DUMMYFUNCTION("""COMPUTED_VALUE"""),"Насчет равняются, мне неизвестно. Считаю большим вкладом деятельность Ольги Ва сильевой,её проекты,В. Сухацкого, Гришковец")</f>
        <v>Насчет равняются, мне неизвестно. Считаю большим вкладом деятельность Ольги Ва сильевой,её проекты,В. Сухацкого, Гришковец</v>
      </c>
      <c r="K137" s="6" t="str">
        <f>IFERROR(__xludf.DUMMYFUNCTION("""COMPUTED_VALUE"""),"Пешком посмотреть старую пристань на Красной горке, бор, обязательно ботанический сад, маленькие скульптуры в разных местах города")</f>
        <v>Пешком посмотреть старую пристань на Красной горке, бор, обязательно ботанический сад, маленькие скульптуры в разных местах города</v>
      </c>
      <c r="L137" s="6" t="str">
        <f>IFERROR(__xludf.DUMMYFUNCTION("""COMPUTED_VALUE"""),"Затрудняюсь ответить")</f>
        <v>Затрудняюсь ответить</v>
      </c>
      <c r="M137" s="6" t="str">
        <f>IFERROR(__xludf.DUMMYFUNCTION("""COMPUTED_VALUE"""),"Здесь речь чище, чем в средней полосе России. Не знаю. ")</f>
        <v>Здесь речь чище, чем в средней полосе России. Не знаю. </v>
      </c>
      <c r="N137" s="6" t="str">
        <f>IFERROR(__xludf.DUMMYFUNCTION("""COMPUTED_VALUE"""),"Чистота улиц, озеленение,доступность транспорта, чистый воздух, наличие небольших комфортных заведений общепита")</f>
        <v>Чистота улиц, озеленение,доступность транспорта, чистый воздух, наличие небольших комфортных заведений общепита</v>
      </c>
      <c r="O137" s="6" t="str">
        <f>IFERROR(__xludf.DUMMYFUNCTION("""COMPUTED_VALUE"""),"Ремонтировать не только фасады зданий, выходящих на улицы, но и внутри дворов, своевременная уборка снега во дворах, высадка деревьев( во многих местах вырублены, но не посажены)")</f>
        <v>Ремонтировать не только фасады зданий, выходящих на улицы, но и внутри дворов, своевременная уборка снега во дворах, высадка деревьев( во многих местах вырублены, но не посажены)</v>
      </c>
      <c r="P137" s="6" t="str">
        <f>IFERROR(__xludf.DUMMYFUNCTION("""COMPUTED_VALUE"""),"Фейсбук")</f>
        <v>Фейсбук</v>
      </c>
      <c r="Q137"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137" s="6" t="str">
        <f>IFERROR(__xludf.DUMMYFUNCTION("""COMPUTED_VALUE"""),"Новый год, 9 мая. ")</f>
        <v>Новый год, 9 мая. </v>
      </c>
      <c r="S137" s="6" t="str">
        <f>IFERROR(__xludf.DUMMYFUNCTION("""COMPUTED_VALUE"""),"Считаю репосты в соцсетях о нуждающихся в помощи животных посильным вкладом")</f>
        <v>Считаю репосты в соцсетях о нуждающихся в помощи животных посильным вкладом</v>
      </c>
      <c r="T137" s="6" t="str">
        <f>IFERROR(__xludf.DUMMYFUNCTION("""COMPUTED_VALUE"""),"Затрудняюсь ответить")</f>
        <v>Затрудняюсь ответить</v>
      </c>
      <c r="U137" s="6" t="str">
        <f>IFERROR(__xludf.DUMMYFUNCTION("""COMPUTED_VALUE"""),"Набережная")</f>
        <v>Набережная</v>
      </c>
      <c r="V137" s="6" t="str">
        <f>IFERROR(__xludf.DUMMYFUNCTION("""COMPUTED_VALUE"""),"Развивали промышленность")</f>
        <v>Развивали промышленность</v>
      </c>
      <c r="W137" s="6" t="str">
        <f>IFERROR(__xludf.DUMMYFUNCTION("""COMPUTED_VALUE"""),"Неприветливые, суетливые")</f>
        <v>Неприветливые, суетливые</v>
      </c>
      <c r="X137" s="6" t="str">
        <f>IFERROR(__xludf.DUMMYFUNCTION("""COMPUTED_VALUE"""),"Любой из проекта ""Внутри и снаружи""")</f>
        <v>Любой из проекта "Внутри и снаружи"</v>
      </c>
      <c r="Y137" s="6" t="str">
        <f>IFERROR(__xludf.DUMMYFUNCTION("""COMPUTED_VALUE"""),"Детализация в 2017г.")</f>
        <v>Детализация в 2017г.</v>
      </c>
      <c r="Z137" s="6" t="str">
        <f>IFERROR(__xludf.DUMMYFUNCTION("""COMPUTED_VALUE"""),"Облагорожен бульвар Строителей")</f>
        <v>Облагорожен бульвар Строителей</v>
      </c>
      <c r="AA137" s="6" t="str">
        <f>IFERROR(__xludf.DUMMYFUNCTION("""COMPUTED_VALUE"""),"Уменьшение транспортных маршрутов, автохамство, откровенное воровство в ковидарии на Невьянской в разгар ковида")</f>
        <v>Уменьшение транспортных маршрутов, автохамство, откровенное воровство в ковидарии на Невьянской в разгар ковида</v>
      </c>
      <c r="AB137" s="6" t="str">
        <f>IFERROR(__xludf.DUMMYFUNCTION("""COMPUTED_VALUE"""),"Приезда интересных музыкальных групп, а не отечественной лободы, культурных фестивалей ( в областях искусства, музыки, и т. д) ")</f>
        <v>Приезда интересных музыкальных групп, а не отечественной лободы, культурных фестивалей ( в областях искусства, музыки, и т. д) </v>
      </c>
      <c r="AC137" s="6" t="str">
        <f>IFERROR(__xludf.DUMMYFUNCTION("""COMPUTED_VALUE"""),"См. пункт 27")</f>
        <v>См. пункт 27</v>
      </c>
      <c r="AD137" s="6" t="str">
        <f>IFERROR(__xludf.DUMMYFUNCTION("""COMPUTED_VALUE"""),"Участник, зритель")</f>
        <v>Участник, зритель</v>
      </c>
      <c r="AE137" s="6" t="str">
        <f>IFERROR(__xludf.DUMMYFUNCTION("""COMPUTED_VALUE"""),"Женский")</f>
        <v>Женский</v>
      </c>
      <c r="AF137" s="6" t="str">
        <f>IFERROR(__xludf.DUMMYFUNCTION("""COMPUTED_VALUE"""),"30-44")</f>
        <v>30-44</v>
      </c>
      <c r="AG137" s="6"/>
      <c r="AH137" s="6"/>
      <c r="AI137" s="6"/>
      <c r="AJ137" s="6"/>
      <c r="AK137" s="6"/>
      <c r="AL137" s="6"/>
      <c r="AM137" s="6"/>
    </row>
    <row r="138">
      <c r="A138" s="4">
        <v>137.0</v>
      </c>
      <c r="B138" s="6" t="str">
        <f>IFERROR(__xludf.DUMMYFUNCTION("""COMPUTED_VALUE"""),"Основатель молодёжного СМИ ""КУ4ЕРЯВЕНКО Медиа/Ньюс""/Руководством СМИ")</f>
        <v>Основатель молодёжного СМИ "КУ4ЕРЯВЕНКО Медиа/Ньюс"/Руководством СМИ</v>
      </c>
      <c r="C138" s="6" t="str">
        <f>IFERROR(__xludf.DUMMYFUNCTION("""COMPUTED_VALUE"""),"Есть, люблю читать, отдыхать, путешествовать, помогать людям")</f>
        <v>Есть, люблю читать, отдыхать, путешествовать, помогать людям</v>
      </c>
      <c r="D138" s="6" t="str">
        <f>IFERROR(__xludf.DUMMYFUNCTION("""COMPUTED_VALUE"""),"Лесная Поляна, любимый район")</f>
        <v>Лесная Поляна, любимый район</v>
      </c>
      <c r="E138" s="6" t="str">
        <f>IFERROR(__xludf.DUMMYFUNCTION("""COMPUTED_VALUE"""),"Осенний бульвар")</f>
        <v>Осенний бульвар</v>
      </c>
      <c r="F138" s="6" t="str">
        <f>IFERROR(__xludf.DUMMYFUNCTION("""COMPUTED_VALUE"""),"Переехал сюда из другого места (откуда? укажите в графе другое), Гурьевск")</f>
        <v>Переехал сюда из другого места (откуда? укажите в графе другое), Гурьевск</v>
      </c>
      <c r="G138" s="6" t="str">
        <f>IFERROR(__xludf.DUMMYFUNCTION("""COMPUTED_VALUE"""),"Кафе")</f>
        <v>Кафе</v>
      </c>
      <c r="H138" s="6" t="str">
        <f>IFERROR(__xludf.DUMMYFUNCTION("""COMPUTED_VALUE"""),"Красивый, компактный, ухоженный, интеллигентный, перспективный")</f>
        <v>Красивый, компактный, ухоженный, интеллигентный, перспективный</v>
      </c>
      <c r="I138" s="6" t="str">
        <f>IFERROR(__xludf.DUMMYFUNCTION("""COMPUTED_VALUE"""),"Леонов, Владимир Михайлов")</f>
        <v>Леонов, Владимир Михайлов</v>
      </c>
      <c r="J138" s="6" t="str">
        <f>IFERROR(__xludf.DUMMYFUNCTION("""COMPUTED_VALUE"""),"Владимир Михайлов")</f>
        <v>Владимир Михайлов</v>
      </c>
      <c r="K138" s="6" t="str">
        <f>IFERROR(__xludf.DUMMYFUNCTION("""COMPUTED_VALUE"""),"Лесная Поляна, Парк ангелов, Набережная, Драмтеатр")</f>
        <v>Лесная Поляна, Парк ангелов, Набережная, Драмтеатр</v>
      </c>
      <c r="L138" s="6" t="str">
        <f>IFERROR(__xludf.DUMMYFUNCTION("""COMPUTED_VALUE"""),"-")</f>
        <v>-</v>
      </c>
      <c r="M138" s="6" t="str">
        <f>IFERROR(__xludf.DUMMYFUNCTION("""COMPUTED_VALUE"""),"-")</f>
        <v>-</v>
      </c>
      <c r="N138" s="6" t="str">
        <f>IFERROR(__xludf.DUMMYFUNCTION("""COMPUTED_VALUE"""),"Современный, смартсити, удобный, креативный, культурный, молодой")</f>
        <v>Современный, смартсити, удобный, креативный, культурный, молодой</v>
      </c>
      <c r="O138" s="6" t="str">
        <f>IFERROR(__xludf.DUMMYFUNCTION("""COMPUTED_VALUE"""),"Убирать лучше дороги, остановки и т.д. от грязи и пыли")</f>
        <v>Убирать лучше дороги, остановки и т.д. от грязи и пыли</v>
      </c>
      <c r="P138" s="7" t="str">
        <f>IFERROR(__xludf.DUMMYFUNCTION("""COMPUTED_VALUE"""),"https://www.instagram/ku4eriavenko")</f>
        <v>https://www.instagram/ku4eriavenko</v>
      </c>
      <c r="Q138" s="6" t="str">
        <f>IFERROR(__xludf.DUMMYFUNCTION("""COMPUTED_VALUE"""),"интервью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 KU4ERIAVENKO Media/News")</f>
        <v>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 KU4ERIAVENKO Media/News</v>
      </c>
      <c r="R138" s="6" t="str">
        <f>IFERROR(__xludf.DUMMYFUNCTION("""COMPUTED_VALUE"""),"День города, День молодежи, Рождество")</f>
        <v>День города, День молодежи, Рождество</v>
      </c>
      <c r="S138"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138" s="6" t="str">
        <f>IFERROR(__xludf.DUMMYFUNCTION("""COMPUTED_VALUE"""),"Много известных людей")</f>
        <v>Много известных людей</v>
      </c>
      <c r="U138" s="6" t="str">
        <f>IFERROR(__xludf.DUMMYFUNCTION("""COMPUTED_VALUE"""),"Драмтеатр, Лесная поляна")</f>
        <v>Драмтеатр, Лесная поляна</v>
      </c>
      <c r="V138" s="6" t="str">
        <f>IFERROR(__xludf.DUMMYFUNCTION("""COMPUTED_VALUE"""),"Сражались за малую родину")</f>
        <v>Сражались за малую родину</v>
      </c>
      <c r="W138" s="6" t="str">
        <f>IFERROR(__xludf.DUMMYFUNCTION("""COMPUTED_VALUE"""),"Интеллигентные, спокойные ,""в шахте"", культурные, самобытные")</f>
        <v>Интеллигентные, спокойные ,"в шахте", культурные, самобытные</v>
      </c>
      <c r="X138" s="6" t="str">
        <f>IFERROR(__xludf.DUMMYFUNCTION("""COMPUTED_VALUE"""),"Лесная Поляна")</f>
        <v>Лесная Поляна</v>
      </c>
      <c r="Y138" s="6" t="str">
        <f>IFERROR(__xludf.DUMMYFUNCTION("""COMPUTED_VALUE"""),"100 лет Кемерову")</f>
        <v>100 лет Кемерову</v>
      </c>
      <c r="Z138" s="6" t="str">
        <f>IFERROR(__xludf.DUMMYFUNCTION("""COMPUTED_VALUE"""),"Не было таких")</f>
        <v>Не было таких</v>
      </c>
      <c r="AA138" s="6" t="str">
        <f>IFERROR(__xludf.DUMMYFUNCTION("""COMPUTED_VALUE"""),"""Зимняя вишня"" пожар")</f>
        <v>"Зимняя вишня" пожар</v>
      </c>
      <c r="AB138" s="6" t="str">
        <f>IFERROR(__xludf.DUMMYFUNCTION("""COMPUTED_VALUE"""),"Молодежных сообществ, не хватает молодежных центров")</f>
        <v>Молодежных сообществ, не хватает молодежных центров</v>
      </c>
      <c r="AC138" s="6" t="str">
        <f>IFERROR(__xludf.DUMMYFUNCTION("""COMPUTED_VALUE"""),"Больше молодежных форумов, мероприятий с разными категориями молодых людей, а не только одни и те же")</f>
        <v>Больше молодежных форумов, мероприятий с разными категориями молодых людей, а не только одни и те же</v>
      </c>
      <c r="AD138" s="6" t="str">
        <f>IFERROR(__xludf.DUMMYFUNCTION("""COMPUTED_VALUE"""),"Модератор, соорганизатор, проект-менеджер")</f>
        <v>Модератор, соорганизатор, проект-менеджер</v>
      </c>
      <c r="AE138" s="6" t="str">
        <f>IFERROR(__xludf.DUMMYFUNCTION("""COMPUTED_VALUE"""),"Мужской")</f>
        <v>Мужской</v>
      </c>
      <c r="AF138" s="6" t="str">
        <f>IFERROR(__xludf.DUMMYFUNCTION("""COMPUTED_VALUE"""),"30-44")</f>
        <v>30-44</v>
      </c>
      <c r="AG138" s="6"/>
      <c r="AH138" s="6"/>
      <c r="AI138" s="6"/>
      <c r="AJ138" s="6"/>
      <c r="AK138" s="6"/>
      <c r="AL138" s="6"/>
      <c r="AM138" s="6"/>
    </row>
    <row r="139">
      <c r="A139" s="4">
        <v>138.0</v>
      </c>
      <c r="B139" s="6" t="str">
        <f>IFERROR(__xludf.DUMMYFUNCTION("""COMPUTED_VALUE"""),"Кладовщик")</f>
        <v>Кладовщик</v>
      </c>
      <c r="C139" s="6" t="str">
        <f>IFERROR(__xludf.DUMMYFUNCTION("""COMPUTED_VALUE"""),"Кулинария")</f>
        <v>Кулинария</v>
      </c>
      <c r="D139" s="6" t="str">
        <f>IFERROR(__xludf.DUMMYFUNCTION("""COMPUTED_VALUE"""),"ФПК")</f>
        <v>ФПК</v>
      </c>
      <c r="E139" s="6" t="str">
        <f>IFERROR(__xludf.DUMMYFUNCTION("""COMPUTED_VALUE"""),"Никаких")</f>
        <v>Никаких</v>
      </c>
      <c r="F139" s="6" t="str">
        <f>IFERROR(__xludf.DUMMYFUNCTION("""COMPUTED_VALUE"""),"Живу здесь с рождения")</f>
        <v>Живу здесь с рождения</v>
      </c>
      <c r="G139" s="6" t="str">
        <f>IFERROR(__xludf.DUMMYFUNCTION("""COMPUTED_VALUE"""),"Бульвар Строителей")</f>
        <v>Бульвар Строителей</v>
      </c>
      <c r="H139" s="6" t="str">
        <f>IFERROR(__xludf.DUMMYFUNCTION("""COMPUTED_VALUE"""),"Смог, Дом, Семья, Уголь, Шахты")</f>
        <v>Смог, Дом, Семья, Уголь, Шахты</v>
      </c>
      <c r="I139" s="6" t="str">
        <f>IFERROR(__xludf.DUMMYFUNCTION("""COMPUTED_VALUE"""),"Леонов, Волков")</f>
        <v>Леонов, Волков</v>
      </c>
      <c r="J139" s="6" t="str">
        <f>IFERROR(__xludf.DUMMYFUNCTION("""COMPUTED_VALUE"""),"Тулеев")</f>
        <v>Тулеев</v>
      </c>
      <c r="K139" s="6" t="str">
        <f>IFERROR(__xludf.DUMMYFUNCTION("""COMPUTED_VALUE"""),"Парк Ангелов")</f>
        <v>Парк Ангелов</v>
      </c>
      <c r="L139" s="6" t="str">
        <f>IFERROR(__xludf.DUMMYFUNCTION("""COMPUTED_VALUE"""),"Нет ответа")</f>
        <v>Нет ответа</v>
      </c>
      <c r="M139" s="6" t="str">
        <f>IFERROR(__xludf.DUMMYFUNCTION("""COMPUTED_VALUE"""),"Нет")</f>
        <v>Нет</v>
      </c>
      <c r="N139" s="6" t="str">
        <f>IFERROR(__xludf.DUMMYFUNCTION("""COMPUTED_VALUE"""),"Доступное жилье, инфраструктура, транспорт, досуг, чистота ")</f>
        <v>Доступное жилье, инфраструктура, транспорт, досуг, чистота </v>
      </c>
      <c r="O139" s="6" t="str">
        <f>IFERROR(__xludf.DUMMYFUNCTION("""COMPUTED_VALUE"""),"Грязь отмыть")</f>
        <v>Грязь отмыть</v>
      </c>
      <c r="P139" s="6" t="str">
        <f>IFERROR(__xludf.DUMMYFUNCTION("""COMPUTED_VALUE"""),"А42")</f>
        <v>А42</v>
      </c>
      <c r="Q139"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39" s="6" t="str">
        <f>IFERROR(__xludf.DUMMYFUNCTION("""COMPUTED_VALUE"""),"День города")</f>
        <v>День города</v>
      </c>
      <c r="S139" s="6" t="str">
        <f>IFERROR(__xludf.DUMMYFUNCTION("""COMPUTED_VALUE"""),"Нет, не приходилось")</f>
        <v>Нет, не приходилось</v>
      </c>
      <c r="T139" s="6" t="str">
        <f>IFERROR(__xludf.DUMMYFUNCTION("""COMPUTED_VALUE"""),"Ничего")</f>
        <v>Ничего</v>
      </c>
      <c r="U139" s="6" t="str">
        <f>IFERROR(__xludf.DUMMYFUNCTION("""COMPUTED_VALUE"""),"Набережная")</f>
        <v>Набережная</v>
      </c>
      <c r="V139" s="6" t="str">
        <f>IFERROR(__xludf.DUMMYFUNCTION("""COMPUTED_VALUE"""),"Нет ответа")</f>
        <v>Нет ответа</v>
      </c>
      <c r="W139" s="6" t="str">
        <f>IFERROR(__xludf.DUMMYFUNCTION("""COMPUTED_VALUE"""),"Русские")</f>
        <v>Русские</v>
      </c>
      <c r="X139" s="6" t="str">
        <f>IFERROR(__xludf.DUMMYFUNCTION("""COMPUTED_VALUE"""),"Парк Ангелов-Бульвар Строителей")</f>
        <v>Парк Ангелов-Бульвар Строителей</v>
      </c>
      <c r="Y139" s="6" t="str">
        <f>IFERROR(__xludf.DUMMYFUNCTION("""COMPUTED_VALUE"""),"Уголь нашли")</f>
        <v>Уголь нашли</v>
      </c>
      <c r="Z139" s="6" t="str">
        <f>IFERROR(__xludf.DUMMYFUNCTION("""COMPUTED_VALUE"""),"Не было таких")</f>
        <v>Не было таких</v>
      </c>
      <c r="AA139" s="6" t="str">
        <f>IFERROR(__xludf.DUMMYFUNCTION("""COMPUTED_VALUE"""),"Зимняя вишня")</f>
        <v>Зимняя вишня</v>
      </c>
      <c r="AB139" s="6" t="str">
        <f>IFERROR(__xludf.DUMMYFUNCTION("""COMPUTED_VALUE"""),"Нет ответа")</f>
        <v>Нет ответа</v>
      </c>
      <c r="AC139" s="6" t="str">
        <f>IFERROR(__xludf.DUMMYFUNCTION("""COMPUTED_VALUE"""),"Концерты")</f>
        <v>Концерты</v>
      </c>
      <c r="AD139" s="6" t="str">
        <f>IFERROR(__xludf.DUMMYFUNCTION("""COMPUTED_VALUE"""),"Наблюдатель")</f>
        <v>Наблюдатель</v>
      </c>
      <c r="AE139" s="6" t="str">
        <f>IFERROR(__xludf.DUMMYFUNCTION("""COMPUTED_VALUE"""),"Мужской")</f>
        <v>Мужской</v>
      </c>
      <c r="AF139" s="6" t="str">
        <f>IFERROR(__xludf.DUMMYFUNCTION("""COMPUTED_VALUE"""),"30-44")</f>
        <v>30-44</v>
      </c>
      <c r="AG139" s="6"/>
      <c r="AH139" s="6"/>
      <c r="AI139" s="6"/>
      <c r="AJ139" s="6"/>
      <c r="AK139" s="6"/>
      <c r="AL139" s="6"/>
      <c r="AM139" s="6"/>
    </row>
    <row r="140">
      <c r="A140" s="4">
        <v>139.0</v>
      </c>
      <c r="B140" s="6" t="str">
        <f>IFERROR(__xludf.DUMMYFUNCTION("""COMPUTED_VALUE"""),"Бухгалтер")</f>
        <v>Бухгалтер</v>
      </c>
      <c r="C140" s="6" t="str">
        <f>IFERROR(__xludf.DUMMYFUNCTION("""COMPUTED_VALUE"""),"Вокал")</f>
        <v>Вокал</v>
      </c>
      <c r="D140" s="6" t="str">
        <f>IFERROR(__xludf.DUMMYFUNCTION("""COMPUTED_VALUE"""),"Заводский. Южный")</f>
        <v>Заводский. Южный</v>
      </c>
      <c r="E140" s="6" t="str">
        <f>IFERROR(__xludf.DUMMYFUNCTION("""COMPUTED_VALUE"""),"Памятник Гагарину")</f>
        <v>Памятник Гагарину</v>
      </c>
      <c r="F140" s="6" t="str">
        <f>IFERROR(__xludf.DUMMYFUNCTION("""COMPUTED_VALUE"""),"Переехал сюда из другого места (откуда? укажите в графе другое), Юрга")</f>
        <v>Переехал сюда из другого места (откуда? укажите в графе другое), Юрга</v>
      </c>
      <c r="G140" s="6" t="str">
        <f>IFERROR(__xludf.DUMMYFUNCTION("""COMPUTED_VALUE"""),"Бор, набережные обоих берегов, Театр для детей и молодёжи, Лесная поляна, Красная горка")</f>
        <v>Бор, набережные обоих берегов, Театр для детей и молодёжи, Лесная поляна, Красная горка</v>
      </c>
      <c r="H140" s="6" t="str">
        <f>IFERROR(__xludf.DUMMYFUNCTION("""COMPUTED_VALUE"""),"Сибирь, бор, неэкологичность")</f>
        <v>Сибирь, бор, неэкологичность</v>
      </c>
      <c r="I140" s="6" t="str">
        <f>IFERROR(__xludf.DUMMYFUNCTION("""COMPUTED_VALUE"""),"Даже не вспомнила. ")</f>
        <v>Даже не вспомнила. </v>
      </c>
      <c r="J140" s="6" t="str">
        <f>IFERROR(__xludf.DUMMYFUNCTION("""COMPUTED_VALUE"""),"Ирина Латынникова, Ольга Васильева, Григорий Забавин")</f>
        <v>Ирина Латынникова, Ольга Васильева, Григорий Забавин</v>
      </c>
      <c r="K140" s="6" t="str">
        <f>IFERROR(__xludf.DUMMYFUNCTION("""COMPUTED_VALUE"""),"Красная Горка, Облако в луже (не знаю, есть ли он ещё), Сосновый бор, Лесная Поляна ")</f>
        <v>Красная Горка, Облако в луже (не знаю, есть ли он ещё), Сосновый бор, Лесная Поляна </v>
      </c>
      <c r="L140" s="6" t="str">
        <f>IFERROR(__xludf.DUMMYFUNCTION("""COMPUTED_VALUE"""),"Не знаю")</f>
        <v>Не знаю</v>
      </c>
      <c r="M140" s="6" t="str">
        <f>IFERROR(__xludf.DUMMYFUNCTION("""COMPUTED_VALUE"""),"Нет")</f>
        <v>Нет</v>
      </c>
      <c r="N140" s="6" t="str">
        <f>IFERROR(__xludf.DUMMYFUNCTION("""COMPUTED_VALUE"""),"Чистота, экологичность, доступность медицины, условия для развития бизнеса ")</f>
        <v>Чистота, экологичность, доступность медицины, условия для развития бизнеса </v>
      </c>
      <c r="O140" s="6" t="str">
        <f>IFERROR(__xludf.DUMMYFUNCTION("""COMPUTED_VALUE"""),"""Причесать"" вид города в одном стиле, чтобы было сочетание старых и новых построек ")</f>
        <v>"Причесать" вид города в одном стиле, чтобы было сочетание старых и новых построек </v>
      </c>
      <c r="P140" s="6" t="str">
        <f>IFERROR(__xludf.DUMMYFUNCTION("""COMPUTED_VALUE"""),"Фейсбук, ВКонтакте, Тикетлэнд")</f>
        <v>Фейсбук, ВКонтакте, Тикетлэнд</v>
      </c>
      <c r="Q140"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40" s="6" t="str">
        <f>IFERROR(__xludf.DUMMYFUNCTION("""COMPUTED_VALUE"""),"Затрудняюсь сказать")</f>
        <v>Затрудняюсь сказать</v>
      </c>
      <c r="S140" s="6" t="str">
        <f>IFERROR(__xludf.DUMMYFUNCTION("""COMPUTED_VALUE"""),"Нет, не приходилось")</f>
        <v>Нет, не приходилось</v>
      </c>
      <c r="T140" s="6" t="str">
        <f>IFERROR(__xludf.DUMMYFUNCTION("""COMPUTED_VALUE"""),"О нем почти никто не знает. А в последнее время слава оттока жителей, пожалуй")</f>
        <v>О нем почти никто не знает. А в последнее время слава оттока жителей, пожалуй</v>
      </c>
      <c r="U140" s="6" t="str">
        <f>IFERROR(__xludf.DUMMYFUNCTION("""COMPUTED_VALUE"""),"Глачпочтамт")</f>
        <v>Глачпочтамт</v>
      </c>
      <c r="V140" s="6" t="str">
        <f>IFERROR(__xludf.DUMMYFUNCTION("""COMPUTED_VALUE"""),"Строили его) ")</f>
        <v>Строили его) </v>
      </c>
      <c r="W140" s="6" t="str">
        <f>IFERROR(__xludf.DUMMYFUNCTION("""COMPUTED_VALUE"""),"Пессимистичные, но надеящиеся")</f>
        <v>Пессимистичные, но надеящиеся</v>
      </c>
      <c r="X140" s="6" t="str">
        <f>IFERROR(__xludf.DUMMYFUNCTION("""COMPUTED_VALUE"""),"Центровая прогулка")</f>
        <v>Центровая прогулка</v>
      </c>
      <c r="Y140" s="6" t="str">
        <f>IFERROR(__xludf.DUMMYFUNCTION("""COMPUTED_VALUE"""),"Рокфест")</f>
        <v>Рокфест</v>
      </c>
      <c r="Z140" s="6" t="str">
        <f>IFERROR(__xludf.DUMMYFUNCTION("""COMPUTED_VALUE"""),"Затрудняюсь ответить. Масштабные не припомню, только мелкие личные")</f>
        <v>Затрудняюсь ответить. Масштабные не припомню, только мелкие личные</v>
      </c>
      <c r="AA140" s="6" t="str">
        <f>IFERROR(__xludf.DUMMYFUNCTION("""COMPUTED_VALUE"""),"Бессилие перед беззаконием")</f>
        <v>Бессилие перед беззаконием</v>
      </c>
      <c r="AB140" s="6" t="str">
        <f>IFERROR(__xludf.DUMMYFUNCTION("""COMPUTED_VALUE"""),"-")</f>
        <v>-</v>
      </c>
      <c r="AC140" s="6" t="str">
        <f>IFERROR(__xludf.DUMMYFUNCTION("""COMPUTED_VALUE"""),"-")</f>
        <v>-</v>
      </c>
      <c r="AD140" s="6" t="str">
        <f>IFERROR(__xludf.DUMMYFUNCTION("""COMPUTED_VALUE"""),"-")</f>
        <v>-</v>
      </c>
      <c r="AE140" s="6" t="str">
        <f>IFERROR(__xludf.DUMMYFUNCTION("""COMPUTED_VALUE"""),"Женский")</f>
        <v>Женский</v>
      </c>
      <c r="AF140" s="6" t="str">
        <f>IFERROR(__xludf.DUMMYFUNCTION("""COMPUTED_VALUE"""),"30-44")</f>
        <v>30-44</v>
      </c>
      <c r="AG140" s="6"/>
      <c r="AH140" s="6"/>
      <c r="AI140" s="6"/>
      <c r="AJ140" s="6"/>
      <c r="AK140" s="6"/>
      <c r="AL140" s="6"/>
      <c r="AM140" s="6"/>
    </row>
    <row r="141">
      <c r="A141" s="4">
        <v>140.0</v>
      </c>
      <c r="B141" s="6" t="str">
        <f>IFERROR(__xludf.DUMMYFUNCTION("""COMPUTED_VALUE"""),"Архивоведение")</f>
        <v>Архивоведение</v>
      </c>
      <c r="C141" s="6" t="str">
        <f>IFERROR(__xludf.DUMMYFUNCTION("""COMPUTED_VALUE"""),"Помогаю детям")</f>
        <v>Помогаю детям</v>
      </c>
      <c r="D141" s="6" t="str">
        <f>IFERROR(__xludf.DUMMYFUNCTION("""COMPUTED_VALUE"""),"Центральный")</f>
        <v>Центральный</v>
      </c>
      <c r="E141" s="6" t="str">
        <f>IFERROR(__xludf.DUMMYFUNCTION("""COMPUTED_VALUE"""),"Комсомольский парк")</f>
        <v>Комсомольский парк</v>
      </c>
      <c r="F14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41" s="6" t="str">
        <f>IFERROR(__xludf.DUMMYFUNCTION("""COMPUTED_VALUE"""),"Гуляю в парках, на набережной")</f>
        <v>Гуляю в парках, на набережной</v>
      </c>
      <c r="H141" s="6" t="str">
        <f>IFERROR(__xludf.DUMMYFUNCTION("""COMPUTED_VALUE"""),"Уголь, история, Кузбасс, Сибирь, дети")</f>
        <v>Уголь, история, Кузбасс, Сибирь, дети</v>
      </c>
      <c r="I141" s="6" t="str">
        <f>IFERROR(__xludf.DUMMYFUNCTION("""COMPUTED_VALUE"""),"Волков, Рутгерс")</f>
        <v>Волков, Рутгерс</v>
      </c>
      <c r="J141" s="6" t="str">
        <f>IFERROR(__xludf.DUMMYFUNCTION("""COMPUTED_VALUE"""),"Гришковец")</f>
        <v>Гришковец</v>
      </c>
      <c r="K141" s="6" t="str">
        <f>IFERROR(__xludf.DUMMYFUNCTION("""COMPUTED_VALUE"""),"Набережная")</f>
        <v>Набережная</v>
      </c>
      <c r="L141" s="6" t="str">
        <f>IFERROR(__xludf.DUMMYFUNCTION("""COMPUTED_VALUE"""),"Песня «человек из Кемерова»")</f>
        <v>Песня «человек из Кемерова»</v>
      </c>
      <c r="M141" s="6" t="str">
        <f>IFERROR(__xludf.DUMMYFUNCTION("""COMPUTED_VALUE"""),"Маечка")</f>
        <v>Маечка</v>
      </c>
      <c r="N141" s="6" t="str">
        <f>IFERROR(__xludf.DUMMYFUNCTION("""COMPUTED_VALUE"""),"Чистота, комфорт, красота, безопасность")</f>
        <v>Чистота, комфорт, красота, безопасность</v>
      </c>
      <c r="O141" s="6" t="str">
        <f>IFERROR(__xludf.DUMMYFUNCTION("""COMPUTED_VALUE"""),"Бедность")</f>
        <v>Бедность</v>
      </c>
      <c r="P141" s="6" t="str">
        <f>IFERROR(__xludf.DUMMYFUNCTION("""COMPUTED_VALUE"""),"Нет")</f>
        <v>Нет</v>
      </c>
      <c r="Q141" s="6" t="str">
        <f>IFERROR(__xludf.DUMMYFUNCTION("""COMPUTED_VALUE"""),"История")</f>
        <v>История</v>
      </c>
      <c r="R141" s="6" t="str">
        <f>IFERROR(__xludf.DUMMYFUNCTION("""COMPUTED_VALUE"""),"9 мая")</f>
        <v>9 мая</v>
      </c>
      <c r="S141" s="6" t="str">
        <f>IFERROR(__xludf.DUMMYFUNCTION("""COMPUTED_VALUE"""),"Нет, не приходилось")</f>
        <v>Нет, не приходилось</v>
      </c>
      <c r="T141" s="6" t="str">
        <f>IFERROR(__xludf.DUMMYFUNCTION("""COMPUTED_VALUE"""),"Столица Кузбасса")</f>
        <v>Столица Кузбасса</v>
      </c>
      <c r="U141" s="6" t="str">
        <f>IFERROR(__xludf.DUMMYFUNCTION("""COMPUTED_VALUE"""),"Улица Весенняя")</f>
        <v>Улица Весенняя</v>
      </c>
      <c r="V141" s="6" t="str">
        <f>IFERROR(__xludf.DUMMYFUNCTION("""COMPUTED_VALUE"""),"Жили")</f>
        <v>Жили</v>
      </c>
      <c r="W141" s="6" t="str">
        <f>IFERROR(__xludf.DUMMYFUNCTION("""COMPUTED_VALUE"""),"Разные")</f>
        <v>Разные</v>
      </c>
      <c r="X141" s="6" t="str">
        <f>IFERROR(__xludf.DUMMYFUNCTION("""COMPUTED_VALUE"""),"Красная горка")</f>
        <v>Красная горка</v>
      </c>
      <c r="Y141" s="6" t="str">
        <f>IFERROR(__xludf.DUMMYFUNCTION("""COMPUTED_VALUE"""),"Его назвали Кемерово")</f>
        <v>Его назвали Кемерово</v>
      </c>
      <c r="Z141" s="6" t="str">
        <f>IFERROR(__xludf.DUMMYFUNCTION("""COMPUTED_VALUE"""),"Гастроли")</f>
        <v>Гастроли</v>
      </c>
      <c r="AA141" s="6" t="str">
        <f>IFERROR(__xludf.DUMMYFUNCTION("""COMPUTED_VALUE"""),"Зимняя вишня")</f>
        <v>Зимняя вишня</v>
      </c>
      <c r="AB141" s="6" t="str">
        <f>IFERROR(__xludf.DUMMYFUNCTION("""COMPUTED_VALUE"""),"Культурных")</f>
        <v>Культурных</v>
      </c>
      <c r="AC141" s="6" t="str">
        <f>IFERROR(__xludf.DUMMYFUNCTION("""COMPUTED_VALUE"""),"Разные")</f>
        <v>Разные</v>
      </c>
      <c r="AD141" s="6" t="str">
        <f>IFERROR(__xludf.DUMMYFUNCTION("""COMPUTED_VALUE"""),"Практический реализатор")</f>
        <v>Практический реализатор</v>
      </c>
      <c r="AE141" s="6" t="str">
        <f>IFERROR(__xludf.DUMMYFUNCTION("""COMPUTED_VALUE"""),"Женский")</f>
        <v>Женский</v>
      </c>
      <c r="AF141" s="6" t="str">
        <f>IFERROR(__xludf.DUMMYFUNCTION("""COMPUTED_VALUE"""),"45-55")</f>
        <v>45-55</v>
      </c>
      <c r="AG141" s="6"/>
      <c r="AH141" s="6"/>
      <c r="AI141" s="6"/>
      <c r="AJ141" s="6"/>
      <c r="AK141" s="6"/>
      <c r="AL141" s="6"/>
      <c r="AM141" s="6"/>
    </row>
    <row r="142">
      <c r="A142" s="4">
        <v>141.0</v>
      </c>
      <c r="B142" s="6" t="str">
        <f>IFERROR(__xludf.DUMMYFUNCTION("""COMPUTED_VALUE"""),"Интернет маркетинг")</f>
        <v>Интернет маркетинг</v>
      </c>
      <c r="C142" s="6" t="str">
        <f>IFERROR(__xludf.DUMMYFUNCTION("""COMPUTED_VALUE"""),"Музыка, спорт")</f>
        <v>Музыка, спорт</v>
      </c>
      <c r="D142" s="6" t="str">
        <f>IFERROR(__xludf.DUMMYFUNCTION("""COMPUTED_VALUE"""),"Ленинградский пр. Никак.")</f>
        <v>Ленинградский пр. Никак.</v>
      </c>
      <c r="E142" s="6" t="str">
        <f>IFERROR(__xludf.DUMMYFUNCTION("""COMPUTED_VALUE"""),"Не знаю")</f>
        <v>Не знаю</v>
      </c>
      <c r="F142" s="6" t="str">
        <f>IFERROR(__xludf.DUMMYFUNCTION("""COMPUTED_VALUE"""),"Гурьевск. Приехал в Кемерово по учебе.")</f>
        <v>Гурьевск. Приехал в Кемерово по учебе.</v>
      </c>
      <c r="G142" s="6" t="str">
        <f>IFERROR(__xludf.DUMMYFUNCTION("""COMPUTED_VALUE"""),"Магазин")</f>
        <v>Магазин</v>
      </c>
      <c r="H142" s="6" t="str">
        <f>IFERROR(__xludf.DUMMYFUNCTION("""COMPUTED_VALUE"""),"Перспективный, развивающийся, интересный, спокойный, уникальный")</f>
        <v>Перспективный, развивающийся, интересный, спокойный, уникальный</v>
      </c>
      <c r="I142" s="6" t="str">
        <f>IFERROR(__xludf.DUMMYFUNCTION("""COMPUTED_VALUE"""),"Не знаю")</f>
        <v>Не знаю</v>
      </c>
      <c r="J142" s="6" t="str">
        <f>IFERROR(__xludf.DUMMYFUNCTION("""COMPUTED_VALUE"""),"Не знаю")</f>
        <v>Не знаю</v>
      </c>
      <c r="K142" s="6" t="str">
        <f>IFERROR(__xludf.DUMMYFUNCTION("""COMPUTED_VALUE"""),"Набережная")</f>
        <v>Набережная</v>
      </c>
      <c r="L142" s="6" t="str">
        <f>IFERROR(__xludf.DUMMYFUNCTION("""COMPUTED_VALUE"""),"Не знаю")</f>
        <v>Не знаю</v>
      </c>
      <c r="M142" s="6" t="str">
        <f>IFERROR(__xludf.DUMMYFUNCTION("""COMPUTED_VALUE"""),"Нет")</f>
        <v>Нет</v>
      </c>
      <c r="N142" s="6" t="str">
        <f>IFERROR(__xludf.DUMMYFUNCTION("""COMPUTED_VALUE"""),"Спокойствие, развитие, перспективы роста в карьере, развитие города в строительстве, ЭКОлогичность")</f>
        <v>Спокойствие, развитие, перспективы роста в карьере, развитие города в строительстве, ЭКОлогичность</v>
      </c>
      <c r="O142" s="6" t="str">
        <f>IFERROR(__xludf.DUMMYFUNCTION("""COMPUTED_VALUE"""),"Построить Большой Торговый Центр, на берегу около моста по Терешковой улице, больше чем Аура в Новосибирске. ")</f>
        <v>Построить Большой Торговый Центр, на берегу около моста по Терешковой улице, больше чем Аура в Новосибирске. </v>
      </c>
      <c r="P142" s="6" t="str">
        <f>IFERROR(__xludf.DUMMYFUNCTION("""COMPUTED_VALUE"""),"Инстаграм ")</f>
        <v>Инстаграм </v>
      </c>
      <c r="Q142" s="6" t="str">
        <f>IFERROR(__xludf.DUMMYFUNCTION("""COMPUTED_VALUE"""),"интервью с местными предпринимателями, криминальные новости (происшествия/преступления), интервью с экспертами на разные темы (напишите в разделе Другое свои предложения)")</f>
        <v>интервью с местными предпринимателями, криминальные новости (происшествия/преступления), интервью с экспертами на разные темы (напишите в разделе Другое свои предложения)</v>
      </c>
      <c r="R142" s="6" t="str">
        <f>IFERROR(__xludf.DUMMYFUNCTION("""COMPUTED_VALUE"""),"Не знаю")</f>
        <v>Не знаю</v>
      </c>
      <c r="S142" s="6" t="str">
        <f>IFERROR(__xludf.DUMMYFUNCTION("""COMPUTED_VALUE"""),"Нет, не приходилось")</f>
        <v>Нет, не приходилось</v>
      </c>
      <c r="T142" s="6" t="str">
        <f>IFERROR(__xludf.DUMMYFUNCTION("""COMPUTED_VALUE"""),"Многими историями людей либо ситуаций, как смешными, так и серьезными.")</f>
        <v>Многими историями людей либо ситуаций, как смешными, так и серьезными.</v>
      </c>
      <c r="U142" s="6" t="str">
        <f>IFERROR(__xludf.DUMMYFUNCTION("""COMPUTED_VALUE"""),"Главпочтамт")</f>
        <v>Главпочтамт</v>
      </c>
      <c r="V142" s="6" t="str">
        <f>IFERROR(__xludf.DUMMYFUNCTION("""COMPUTED_VALUE"""),"Не знаю")</f>
        <v>Не знаю</v>
      </c>
      <c r="W142" s="6" t="str">
        <f>IFERROR(__xludf.DUMMYFUNCTION("""COMPUTED_VALUE"""),"Более спокойные, чем в мегаполисах миллиониках")</f>
        <v>Более спокойные, чем в мегаполисах миллиониках</v>
      </c>
      <c r="X142" s="6" t="str">
        <f>IFERROR(__xludf.DUMMYFUNCTION("""COMPUTED_VALUE"""),"Набережная")</f>
        <v>Набережная</v>
      </c>
      <c r="Y142" s="6" t="str">
        <f>IFERROR(__xludf.DUMMYFUNCTION("""COMPUTED_VALUE"""),"Не знаю")</f>
        <v>Не знаю</v>
      </c>
      <c r="Z142" s="6" t="str">
        <f>IFERROR(__xludf.DUMMYFUNCTION("""COMPUTED_VALUE"""),"Никаких")</f>
        <v>Никаких</v>
      </c>
      <c r="AA142" s="6" t="str">
        <f>IFERROR(__xludf.DUMMYFUNCTION("""COMPUTED_VALUE"""),"Никаких")</f>
        <v>Никаких</v>
      </c>
      <c r="AB142" s="6" t="str">
        <f>IFERROR(__xludf.DUMMYFUNCTION("""COMPUTED_VALUE"""),"Никаких")</f>
        <v>Никаких</v>
      </c>
      <c r="AC142" s="6" t="str">
        <f>IFERROR(__xludf.DUMMYFUNCTION("""COMPUTED_VALUE"""),"Посиделки бизнесменов или др. личностей, касаемо Digital.")</f>
        <v>Посиделки бизнесменов или др. личностей, касаемо Digital.</v>
      </c>
      <c r="AD142" s="6" t="str">
        <f>IFERROR(__xludf.DUMMYFUNCTION("""COMPUTED_VALUE"""),"Event manager, internet marketing")</f>
        <v>Event manager, internet marketing</v>
      </c>
      <c r="AE142" s="6" t="str">
        <f>IFERROR(__xludf.DUMMYFUNCTION("""COMPUTED_VALUE"""),"Мужской")</f>
        <v>Мужской</v>
      </c>
      <c r="AF142" s="6" t="str">
        <f>IFERROR(__xludf.DUMMYFUNCTION("""COMPUTED_VALUE"""),"18-29")</f>
        <v>18-29</v>
      </c>
      <c r="AG142" s="6"/>
      <c r="AH142" s="6"/>
      <c r="AI142" s="6"/>
      <c r="AJ142" s="6"/>
      <c r="AK142" s="6"/>
      <c r="AL142" s="6"/>
      <c r="AM142" s="6"/>
    </row>
    <row r="143">
      <c r="A143" s="4">
        <v>142.0</v>
      </c>
      <c r="B143" s="6" t="str">
        <f>IFERROR(__xludf.DUMMYFUNCTION("""COMPUTED_VALUE"""),"Работаю в гудлайн ")</f>
        <v>Работаю в гудлайн </v>
      </c>
      <c r="C143" s="6" t="str">
        <f>IFERROR(__xludf.DUMMYFUNCTION("""COMPUTED_VALUE"""),"Кино, книги.")</f>
        <v>Кино, книги.</v>
      </c>
      <c r="D143" s="6" t="str">
        <f>IFERROR(__xludf.DUMMYFUNCTION("""COMPUTED_VALUE"""),"Ленинский")</f>
        <v>Ленинский</v>
      </c>
      <c r="E143" s="6" t="str">
        <f>IFERROR(__xludf.DUMMYFUNCTION("""COMPUTED_VALUE"""),"Бульвар Строителей ")</f>
        <v>Бульвар Строителей </v>
      </c>
      <c r="F143" s="6" t="str">
        <f>IFERROR(__xludf.DUMMYFUNCTION("""COMPUTED_VALUE"""),"Живу здесь с рождения")</f>
        <v>Живу здесь с рождения</v>
      </c>
      <c r="G143" s="6" t="str">
        <f>IFERROR(__xludf.DUMMYFUNCTION("""COMPUTED_VALUE"""),"Набережная, сосновый бор.")</f>
        <v>Набережная, сосновый бор.</v>
      </c>
      <c r="H143" s="6" t="str">
        <f>IFERROR(__xludf.DUMMYFUNCTION("""COMPUTED_VALUE"""),"Родина, дом.")</f>
        <v>Родина, дом.</v>
      </c>
      <c r="I143" s="6" t="str">
        <f>IFERROR(__xludf.DUMMYFUNCTION("""COMPUTED_VALUE"""),"Волков.")</f>
        <v>Волков.</v>
      </c>
      <c r="J143" s="6" t="str">
        <f>IFERROR(__xludf.DUMMYFUNCTION("""COMPUTED_VALUE"""),"Не знаю ")</f>
        <v>Не знаю </v>
      </c>
      <c r="K143" s="6" t="str">
        <f>IFERROR(__xludf.DUMMYFUNCTION("""COMPUTED_VALUE"""),"Набережная ")</f>
        <v>Набережная </v>
      </c>
      <c r="L143" s="6" t="str">
        <f>IFERROR(__xludf.DUMMYFUNCTION("""COMPUTED_VALUE"""),"Не знаю.")</f>
        <v>Не знаю.</v>
      </c>
      <c r="M143" s="6" t="str">
        <f>IFERROR(__xludf.DUMMYFUNCTION("""COMPUTED_VALUE"""),"Не знаю.")</f>
        <v>Не знаю.</v>
      </c>
      <c r="N143" s="6" t="str">
        <f>IFERROR(__xludf.DUMMYFUNCTION("""COMPUTED_VALUE"""),"Чистота,  экология, места для прогулок, дороги.")</f>
        <v>Чистота,  экология, места для прогулок, дороги.</v>
      </c>
      <c r="O143" s="6" t="str">
        <f>IFERROR(__xludf.DUMMYFUNCTION("""COMPUTED_VALUE"""),"Чистота, экология, дороги. ")</f>
        <v>Чистота, экология, дороги. </v>
      </c>
      <c r="P143" s="6" t="str">
        <f>IFERROR(__xludf.DUMMYFUNCTION("""COMPUTED_VALUE"""),"ТВ новости. ")</f>
        <v>ТВ новости. </v>
      </c>
      <c r="Q143"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43" s="6" t="str">
        <f>IFERROR(__xludf.DUMMYFUNCTION("""COMPUTED_VALUE"""),"День города, день шахтера.")</f>
        <v>День города, день шахтера.</v>
      </c>
      <c r="S143" s="6" t="str">
        <f>IFERROR(__xludf.DUMMYFUNCTION("""COMPUTED_VALUE"""),"Нет, не приходилось")</f>
        <v>Нет, не приходилось</v>
      </c>
      <c r="T143" s="6" t="str">
        <f>IFERROR(__xludf.DUMMYFUNCTION("""COMPUTED_VALUE"""),"Уголь.")</f>
        <v>Уголь.</v>
      </c>
      <c r="U143" s="6" t="str">
        <f>IFERROR(__xludf.DUMMYFUNCTION("""COMPUTED_VALUE"""),"Набережная.")</f>
        <v>Набережная.</v>
      </c>
      <c r="V143" s="6" t="str">
        <f>IFERROR(__xludf.DUMMYFUNCTION("""COMPUTED_VALUE"""),"Не знаю.")</f>
        <v>Не знаю.</v>
      </c>
      <c r="W143" s="6" t="str">
        <f>IFERROR(__xludf.DUMMYFUNCTION("""COMPUTED_VALUE"""),"Все разные.")</f>
        <v>Все разные.</v>
      </c>
      <c r="X143" s="6" t="str">
        <f>IFERROR(__xludf.DUMMYFUNCTION("""COMPUTED_VALUE"""),"Набережная, ул Весенняя .")</f>
        <v>Набережная, ул Весенняя .</v>
      </c>
      <c r="Y143" s="6" t="str">
        <f>IFERROR(__xludf.DUMMYFUNCTION("""COMPUTED_VALUE"""),"Не знаю")</f>
        <v>Не знаю</v>
      </c>
      <c r="Z143" s="6" t="str">
        <f>IFERROR(__xludf.DUMMYFUNCTION("""COMPUTED_VALUE"""),"Салют на 9 мая ")</f>
        <v>Салют на 9 мая </v>
      </c>
      <c r="AA143" s="6" t="str">
        <f>IFERROR(__xludf.DUMMYFUNCTION("""COMPUTED_VALUE"""),"Пожар в ТЦ Зимняя вишня.")</f>
        <v>Пожар в ТЦ Зимняя вишня.</v>
      </c>
      <c r="AB143" s="6" t="str">
        <f>IFERROR(__xludf.DUMMYFUNCTION("""COMPUTED_VALUE"""),"Всего хватает. ")</f>
        <v>Всего хватает. </v>
      </c>
      <c r="AC143" s="6" t="str">
        <f>IFERROR(__xludf.DUMMYFUNCTION("""COMPUTED_VALUE"""),"Концерты ")</f>
        <v>Концерты </v>
      </c>
      <c r="AD143" s="6" t="str">
        <f>IFERROR(__xludf.DUMMYFUNCTION("""COMPUTED_VALUE"""),"Планирование системы благоустройства. ")</f>
        <v>Планирование системы благоустройства. </v>
      </c>
      <c r="AE143" s="6" t="str">
        <f>IFERROR(__xludf.DUMMYFUNCTION("""COMPUTED_VALUE"""),"Мужской")</f>
        <v>Мужской</v>
      </c>
      <c r="AF143" s="6" t="str">
        <f>IFERROR(__xludf.DUMMYFUNCTION("""COMPUTED_VALUE"""),"30-44")</f>
        <v>30-44</v>
      </c>
      <c r="AG143" s="6"/>
      <c r="AH143" s="6"/>
      <c r="AI143" s="6"/>
      <c r="AJ143" s="6"/>
      <c r="AK143" s="6"/>
      <c r="AL143" s="6"/>
      <c r="AM143" s="6"/>
    </row>
    <row r="144">
      <c r="A144" s="4">
        <v>143.0</v>
      </c>
      <c r="B144" s="6" t="str">
        <f>IFERROR(__xludf.DUMMYFUNCTION("""COMPUTED_VALUE"""),"Студент ")</f>
        <v>Студент </v>
      </c>
      <c r="C144" s="6" t="str">
        <f>IFERROR(__xludf.DUMMYFUNCTION("""COMPUTED_VALUE"""),"Да, гулять")</f>
        <v>Да, гулять</v>
      </c>
      <c r="D144" s="6" t="str">
        <f>IFERROR(__xludf.DUMMYFUNCTION("""COMPUTED_VALUE"""),"Ленинский")</f>
        <v>Ленинский</v>
      </c>
      <c r="E144" s="6" t="str">
        <f>IFERROR(__xludf.DUMMYFUNCTION("""COMPUTED_VALUE"""),"Бульвар строителей ")</f>
        <v>Бульвар строителей </v>
      </c>
      <c r="F144" s="6" t="str">
        <f>IFERROR(__xludf.DUMMYFUNCTION("""COMPUTED_VALUE"""),"Переехал сюда из другого места (откуда? укажите в графе другое), Красноярск ")</f>
        <v>Переехал сюда из другого места (откуда? укажите в графе другое), Красноярск </v>
      </c>
      <c r="G144" s="6" t="str">
        <f>IFERROR(__xludf.DUMMYFUNCTION("""COMPUTED_VALUE"""),"Бульвар, лента на ленинградском")</f>
        <v>Бульвар, лента на ленинградском</v>
      </c>
      <c r="H144" s="6" t="str">
        <f>IFERROR(__xludf.DUMMYFUNCTION("""COMPUTED_VALUE"""),"Грязь, зелень, деревня, стройка, ужас маршруток")</f>
        <v>Грязь, зелень, деревня, стройка, ужас маршруток</v>
      </c>
      <c r="I144" s="6" t="str">
        <f>IFERROR(__xludf.DUMMYFUNCTION("""COMPUTED_VALUE"""),"-")</f>
        <v>-</v>
      </c>
      <c r="J144" s="6" t="str">
        <f>IFERROR(__xludf.DUMMYFUNCTION("""COMPUTED_VALUE"""),"-")</f>
        <v>-</v>
      </c>
      <c r="K144" s="6" t="str">
        <f>IFERROR(__xludf.DUMMYFUNCTION("""COMPUTED_VALUE"""),"Нет таких")</f>
        <v>Нет таких</v>
      </c>
      <c r="L144" s="6" t="str">
        <f>IFERROR(__xludf.DUMMYFUNCTION("""COMPUTED_VALUE"""),"-")</f>
        <v>-</v>
      </c>
      <c r="M144" s="6" t="str">
        <f>IFERROR(__xludf.DUMMYFUNCTION("""COMPUTED_VALUE"""),"Мультифорка, страгалка ")</f>
        <v>Мультифорка, страгалка </v>
      </c>
      <c r="N144" s="6" t="str">
        <f>IFERROR(__xludf.DUMMYFUNCTION("""COMPUTED_VALUE"""),"Удобство транспорта. Расписание транспорта, прибранные улицы")</f>
        <v>Удобство транспорта. Расписание транспорта, прибранные улицы</v>
      </c>
      <c r="O144" s="6" t="str">
        <f>IFERROR(__xludf.DUMMYFUNCTION("""COMPUTED_VALUE"""),"Убрать улицы")</f>
        <v>Убрать улицы</v>
      </c>
      <c r="P144" s="6" t="str">
        <f>IFERROR(__xludf.DUMMYFUNCTION("""COMPUTED_VALUE"""),"Вк")</f>
        <v>Вк</v>
      </c>
      <c r="Q144" s="6" t="str">
        <f>IFERROR(__xludf.DUMMYFUNCTION("""COMPUTED_VALUE"""),"-")</f>
        <v>-</v>
      </c>
      <c r="R144" s="6" t="str">
        <f>IFERROR(__xludf.DUMMYFUNCTION("""COMPUTED_VALUE"""),"-")</f>
        <v>-</v>
      </c>
      <c r="S144" s="6" t="str">
        <f>IFERROR(__xludf.DUMMYFUNCTION("""COMPUTED_VALUE"""),"-")</f>
        <v>-</v>
      </c>
      <c r="T144" s="6" t="str">
        <f>IFERROR(__xludf.DUMMYFUNCTION("""COMPUTED_VALUE"""),"-")</f>
        <v>-</v>
      </c>
      <c r="U144" s="6" t="str">
        <f>IFERROR(__xludf.DUMMYFUNCTION("""COMPUTED_VALUE"""),"Не знаю")</f>
        <v>Не знаю</v>
      </c>
      <c r="V144" s="6" t="str">
        <f>IFERROR(__xludf.DUMMYFUNCTION("""COMPUTED_VALUE"""),"Не знаю ")</f>
        <v>Не знаю </v>
      </c>
      <c r="W144" s="6" t="str">
        <f>IFERROR(__xludf.DUMMYFUNCTION("""COMPUTED_VALUE"""),"Вроде добрые")</f>
        <v>Вроде добрые</v>
      </c>
      <c r="X144" s="6" t="str">
        <f>IFERROR(__xludf.DUMMYFUNCTION("""COMPUTED_VALUE"""),"Не знаю")</f>
        <v>Не знаю</v>
      </c>
      <c r="Y144" s="6" t="str">
        <f>IFERROR(__xludf.DUMMYFUNCTION("""COMPUTED_VALUE"""),"Парад")</f>
        <v>Парад</v>
      </c>
      <c r="Z144" s="6" t="str">
        <f>IFERROR(__xludf.DUMMYFUNCTION("""COMPUTED_VALUE"""),"Ничего")</f>
        <v>Ничего</v>
      </c>
      <c r="AA144" s="6" t="str">
        <f>IFERROR(__xludf.DUMMYFUNCTION("""COMPUTED_VALUE"""),"Убийство девушки в квартире ")</f>
        <v>Убийство девушки в квартире </v>
      </c>
      <c r="AB144" s="6" t="str">
        <f>IFERROR(__xludf.DUMMYFUNCTION("""COMPUTED_VALUE"""),"-")</f>
        <v>-</v>
      </c>
      <c r="AC144" s="6" t="str">
        <f>IFERROR(__xludf.DUMMYFUNCTION("""COMPUTED_VALUE"""),"-")</f>
        <v>-</v>
      </c>
      <c r="AD144" s="6" t="str">
        <f>IFERROR(__xludf.DUMMYFUNCTION("""COMPUTED_VALUE"""),"-")</f>
        <v>-</v>
      </c>
      <c r="AE144" s="6" t="str">
        <f>IFERROR(__xludf.DUMMYFUNCTION("""COMPUTED_VALUE"""),"Женский")</f>
        <v>Женский</v>
      </c>
      <c r="AF144" s="6" t="str">
        <f>IFERROR(__xludf.DUMMYFUNCTION("""COMPUTED_VALUE"""),"18-29")</f>
        <v>18-29</v>
      </c>
      <c r="AG144" s="6"/>
      <c r="AH144" s="6"/>
      <c r="AI144" s="6"/>
      <c r="AJ144" s="6"/>
      <c r="AK144" s="6"/>
      <c r="AL144" s="6"/>
      <c r="AM144" s="6"/>
    </row>
    <row r="145">
      <c r="A145" s="4">
        <v>144.0</v>
      </c>
      <c r="B145" s="6" t="str">
        <f>IFERROR(__xludf.DUMMYFUNCTION("""COMPUTED_VALUE"""),"Служащий")</f>
        <v>Служащий</v>
      </c>
      <c r="C145" s="6" t="str">
        <f>IFERROR(__xludf.DUMMYFUNCTION("""COMPUTED_VALUE"""),"Дача")</f>
        <v>Дача</v>
      </c>
      <c r="D145" s="6" t="str">
        <f>IFERROR(__xludf.DUMMYFUNCTION("""COMPUTED_VALUE"""),"Ленинский")</f>
        <v>Ленинский</v>
      </c>
      <c r="E145" s="6" t="str">
        <f>IFERROR(__xludf.DUMMYFUNCTION("""COMPUTED_VALUE"""),"Бульвар Строителей")</f>
        <v>Бульвар Строителей</v>
      </c>
      <c r="F145" s="6" t="str">
        <f>IFERROR(__xludf.DUMMYFUNCTION("""COMPUTED_VALUE"""),"Живу здесь с рождения")</f>
        <v>Живу здесь с рождения</v>
      </c>
      <c r="G145" s="6" t="str">
        <f>IFERROR(__xludf.DUMMYFUNCTION("""COMPUTED_VALUE"""),"Парк при Кадетском училище, Кузбасский парк")</f>
        <v>Парк при Кадетском училище, Кузбасский парк</v>
      </c>
      <c r="H145" s="6" t="str">
        <f>IFERROR(__xludf.DUMMYFUNCTION("""COMPUTED_VALUE"""),"Удобный, Симметричный, зелёный, грязный, дымный")</f>
        <v>Удобный, Симметричный, зелёный, грязный, дымный</v>
      </c>
      <c r="I145" s="6" t="str">
        <f>IFERROR(__xludf.DUMMYFUNCTION("""COMPUTED_VALUE"""),"Михайлов")</f>
        <v>Михайлов</v>
      </c>
      <c r="J145" s="6" t="str">
        <f>IFERROR(__xludf.DUMMYFUNCTION("""COMPUTED_VALUE"""),"Михайлов")</f>
        <v>Михайлов</v>
      </c>
      <c r="K145" s="6" t="str">
        <f>IFERROR(__xludf.DUMMYFUNCTION("""COMPUTED_VALUE"""),"Красная горка")</f>
        <v>Красная горка</v>
      </c>
      <c r="L145" s="6" t="str">
        <f>IFERROR(__xludf.DUMMYFUNCTION("""COMPUTED_VALUE"""),"Песня Человек из Кемерово")</f>
        <v>Песня Человек из Кемерово</v>
      </c>
      <c r="M145" s="6" t="str">
        <f>IFERROR(__xludf.DUMMYFUNCTION("""COMPUTED_VALUE"""),"Нет")</f>
        <v>Нет</v>
      </c>
      <c r="N145" s="6" t="str">
        <f>IFERROR(__xludf.DUMMYFUNCTION("""COMPUTED_VALUE"""),"Транспортная доступность, чистота, парковки, озеленение, архитектурный стиль")</f>
        <v>Транспортная доступность, чистота, парковки, озеленение, архитектурный стиль</v>
      </c>
      <c r="O145" s="6" t="str">
        <f>IFERROR(__xludf.DUMMYFUNCTION("""COMPUTED_VALUE"""),"Расширить дороги")</f>
        <v>Расширить дороги</v>
      </c>
      <c r="P145" s="6" t="str">
        <f>IFERROR(__xludf.DUMMYFUNCTION("""COMPUTED_VALUE"""),"А42, регион42")</f>
        <v>А42, регион42</v>
      </c>
      <c r="Q145" s="6" t="str">
        <f>IFERROR(__xludf.DUMMYFUNCTION("""COMPUTED_VALUE"""),"городская афиша (кино/театр/концерты), интервью с местными политиками, результаты местных исследований (рейтинги/аналитика/тенденции)")</f>
        <v>городская афиша (кино/театр/концерты), интервью с местными политиками, результаты местных исследований (рейтинги/аналитика/тенденции)</v>
      </c>
      <c r="R145" s="6" t="str">
        <f>IFERROR(__xludf.DUMMYFUNCTION("""COMPUTED_VALUE"""),"День города")</f>
        <v>День города</v>
      </c>
      <c r="S145" s="6" t="str">
        <f>IFERROR(__xludf.DUMMYFUNCTION("""COMPUTED_VALUE"""),"Нет, не приходилось")</f>
        <v>Нет, не приходилось</v>
      </c>
      <c r="T145" s="6" t="str">
        <f>IFERROR(__xludf.DUMMYFUNCTION("""COMPUTED_VALUE"""),"Тут живут лучшие люди")</f>
        <v>Тут живут лучшие люди</v>
      </c>
      <c r="U145" s="6" t="str">
        <f>IFERROR(__xludf.DUMMYFUNCTION("""COMPUTED_VALUE"""),"Улица Весенняя")</f>
        <v>Улица Весенняя</v>
      </c>
      <c r="V145" s="6" t="str">
        <f>IFERROR(__xludf.DUMMYFUNCTION("""COMPUTED_VALUE"""),"Сажали деревья")</f>
        <v>Сажали деревья</v>
      </c>
      <c r="W145" s="6" t="str">
        <f>IFERROR(__xludf.DUMMYFUNCTION("""COMPUTED_VALUE"""),"Душевные")</f>
        <v>Душевные</v>
      </c>
      <c r="X145" s="6" t="str">
        <f>IFERROR(__xludf.DUMMYFUNCTION("""COMPUTED_VALUE"""),"По старому центру")</f>
        <v>По старому центру</v>
      </c>
      <c r="Y145" s="6" t="str">
        <f>IFERROR(__xludf.DUMMYFUNCTION("""COMPUTED_VALUE"""),"бенди, рок-концерт")</f>
        <v>бенди, рок-концерт</v>
      </c>
      <c r="Z145" s="6" t="str">
        <f>IFERROR(__xludf.DUMMYFUNCTION("""COMPUTED_VALUE"""),"Рок-концерт")</f>
        <v>Рок-концерт</v>
      </c>
      <c r="AA145" s="6" t="str">
        <f>IFERROR(__xludf.DUMMYFUNCTION("""COMPUTED_VALUE"""),"Закрытие бассейна Лазурный")</f>
        <v>Закрытие бассейна Лазурный</v>
      </c>
      <c r="AB145" s="6" t="str">
        <f>IFERROR(__xludf.DUMMYFUNCTION("""COMPUTED_VALUE"""),"Есть все")</f>
        <v>Есть все</v>
      </c>
      <c r="AC145" s="6" t="str">
        <f>IFERROR(__xludf.DUMMYFUNCTION("""COMPUTED_VALUE"""),"Фестивали, концерты")</f>
        <v>Фестивали, концерты</v>
      </c>
      <c r="AD145" s="6" t="str">
        <f>IFERROR(__xludf.DUMMYFUNCTION("""COMPUTED_VALUE"""),"Наблюдателя")</f>
        <v>Наблюдателя</v>
      </c>
      <c r="AE145" s="6" t="str">
        <f>IFERROR(__xludf.DUMMYFUNCTION("""COMPUTED_VALUE"""),"Женский")</f>
        <v>Женский</v>
      </c>
      <c r="AF145" s="6" t="str">
        <f>IFERROR(__xludf.DUMMYFUNCTION("""COMPUTED_VALUE"""),"45-55")</f>
        <v>45-55</v>
      </c>
      <c r="AG145" s="6"/>
      <c r="AH145" s="6"/>
      <c r="AI145" s="6"/>
      <c r="AJ145" s="6"/>
      <c r="AK145" s="6"/>
      <c r="AL145" s="6"/>
      <c r="AM145" s="6"/>
    </row>
    <row r="146">
      <c r="A146" s="4">
        <v>145.0</v>
      </c>
      <c r="B146" s="6" t="str">
        <f>IFERROR(__xludf.DUMMYFUNCTION("""COMPUTED_VALUE"""),"ИТ, сисадмин")</f>
        <v>ИТ, сисадмин</v>
      </c>
      <c r="C146" s="6" t="str">
        <f>IFERROR(__xludf.DUMMYFUNCTION("""COMPUTED_VALUE"""),"Видеоигры, настольные игры, чтение художественной литературы, прогулки по району и городу")</f>
        <v>Видеоигры, настольные игры, чтение художественной литературы, прогулки по району и городу</v>
      </c>
      <c r="D146" s="6" t="str">
        <f>IFERROR(__xludf.DUMMYFUNCTION("""COMPUTED_VALUE"""),"Центральный район, ЖК ""Родные просторы""")</f>
        <v>Центральный район, ЖК "Родные просторы"</v>
      </c>
      <c r="E146" s="6" t="str">
        <f>IFERROR(__xludf.DUMMYFUNCTION("""COMPUTED_VALUE"""),"Президентское кадетское училище")</f>
        <v>Президентское кадетское училище</v>
      </c>
      <c r="F146" s="6" t="str">
        <f>IFERROR(__xludf.DUMMYFUNCTION("""COMPUTED_VALUE"""),"Живу здесь с рождения")</f>
        <v>Живу здесь с рождения</v>
      </c>
      <c r="G146" s="6" t="str">
        <f>IFERROR(__xludf.DUMMYFUNCTION("""COMPUTED_VALUE"""),"гуляю преимущественно возле Президентского училища и пр. Ленина до цирка и возле Красного озера.  Периодически гуляю в районе улицы Весенней, Драмтеатра, ДК Москва.")</f>
        <v>гуляю преимущественно возле Президентского училища и пр. Ленина до цирка и возле Красного озера.  Периодически гуляю в районе улицы Весенней, Драмтеатра, ДК Москва.</v>
      </c>
      <c r="H146" s="6" t="str">
        <f>IFERROR(__xludf.DUMMYFUNCTION("""COMPUTED_VALUE"""),"Снег, огни, уют, весна, тепло")</f>
        <v>Снег, огни, уют, весна, тепло</v>
      </c>
      <c r="I146" s="6" t="str">
        <f>IFERROR(__xludf.DUMMYFUNCTION("""COMPUTED_VALUE"""),"Алексей Леонов, Михайло Волков")</f>
        <v>Алексей Леонов, Михайло Волков</v>
      </c>
      <c r="J146" s="6" t="str">
        <f>IFERROR(__xludf.DUMMYFUNCTION("""COMPUTED_VALUE"""),"таковых нет")</f>
        <v>таковых нет</v>
      </c>
      <c r="K146" s="6" t="str">
        <f>IFERROR(__xludf.DUMMYFUNCTION("""COMPUTED_VALUE"""),"Смотря откуда приехал этот человек - если из села, то в любой ТЦ, где есть KFC и всякие жральни. Если из цивилизации, то набережная, Леспол и пара проспектов, типа Советского и Ленина. На ту же кадетку бы сводил, так как сейчас это самое цивильное место г"&amp;"орода.")</f>
        <v>Смотря откуда приехал этот человек - если из села, то в любой ТЦ, где есть KFC и всякие жральни. Если из цивилизации, то набережная, Леспол и пара проспектов, типа Советского и Ленина. На ту же кадетку бы сводил, так как сейчас это самое цивильное место города.</v>
      </c>
      <c r="L146" s="6" t="str">
        <f>IFERROR(__xludf.DUMMYFUNCTION("""COMPUTED_VALUE"""),"Пожар в Зимней Вишне; во времена руководства Тулеевым, близлежащие города Сибири называли Кемерово не иначе как ""Аманат""")</f>
        <v>Пожар в Зимней Вишне; во времена руководства Тулеевым, близлежащие города Сибири называли Кемерово не иначе как "Аманат"</v>
      </c>
      <c r="M146" s="6" t="str">
        <f>IFERROR(__xludf.DUMMYFUNCTION("""COMPUTED_VALUE"""),"""Рио-Де-Анжейро"" при упоминании Анжеро-Судженска, ")</f>
        <v>"Рио-Де-Анжейро" при упоминании Анжеро-Судженска, </v>
      </c>
      <c r="N146" s="6" t="str">
        <f>IFERROR(__xludf.DUMMYFUNCTION("""COMPUTED_VALUE"""),"1) Уровень зарплат и количество адекватных вакансий, а не ""средний класс, 17к""; 2)  экология; 3) развитая инфраструктура (не только школы и детсады, а также больницы, бассейны, спортплощадки, жральни и кафе, бары, кинотеатры и прочие необходимые элемент"&amp;"ы современной жизни); 4) достопримечательности, а именно арт-объекты, зеленые зоны, возможно знаковые памятники (только не такие колхозные как сейчас, которые в массе своей размером с карликов или гномов); 5) развитая и современная транспортная сеть")</f>
        <v>1) Уровень зарплат и количество адекватных вакансий, а не "средний класс, 17к"; 2)  экология; 3) развитая инфраструктура (не только школы и детсады, а также больницы, бассейны, спортплощадки, жральни и кафе, бары, кинотеатры и прочие необходимые элементы современной жизни); 4) достопримечательности, а именно арт-объекты, зеленые зоны, возможно знаковые памятники (только не такие колхозные как сейчас, которые в массе своей размером с карликов или гномов); 5) развитая и современная транспортная сеть</v>
      </c>
      <c r="O146" s="6" t="str">
        <f>IFERROR(__xludf.DUMMYFUNCTION("""COMPUTED_VALUE"""),"Больше индивидуальных проектов зданий, а не типовых пятиэтажек и новых человейников. Убрать безобразную внешнюю рекламу из нулевых и прекратить делать колхозный сайдинг на старых домах - либо реставрировать, либо сносить их. Непременно больше зелени и дер"&amp;"евьев, причем не веточками и ростками (которые еще хз вырастут или нет) как у нас любят, а засаживать предназначенные к оформлению площади уже взрослыми деревьями. И конечно же почаще мыть городские улицы и объекты типа остановок.")</f>
        <v>Больше индивидуальных проектов зданий, а не типовых пятиэтажек и новых человейников. Убрать безобразную внешнюю рекламу из нулевых и прекратить делать колхозный сайдинг на старых домах - либо реставрировать, либо сносить их. Непременно больше зелени и деревьев, причем не веточками и ростками (которые еще хз вырастут или нет) как у нас любят, а засаживать предназначенные к оформлению площади уже взрослыми деревьями. И конечно же почаще мыть городские улицы и объекты типа остановок.</v>
      </c>
      <c r="P146" s="6" t="str">
        <f>IFERROR(__xludf.DUMMYFUNCTION("""COMPUTED_VALUE"""),"Новостной портал: a42 и его  паблик в ВК, иногда что-то всплывает на яндексе, также от знакомых.")</f>
        <v>Новостной портал: a42 и его  паблик в ВК, иногда что-то всплывает на яндексе, также от знакомых.</v>
      </c>
      <c r="Q146" s="6" t="str">
        <f>IFERROR(__xludf.DUMMYFUNCTION("""COMPUTED_VALUE"""),"культурные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f>
        <v>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v>
      </c>
      <c r="R146" s="6" t="str">
        <f>IFERROR(__xludf.DUMMYFUNCTION("""COMPUTED_VALUE"""),"Для меня и близких - Новый год. Для прочих кемеровчан - дополнительно к вышеупомянутым праздникам - день ВДВ, день города/России.")</f>
        <v>Для меня и близких - Новый год. Для прочих кемеровчан - дополнительно к вышеупомянутым праздникам - день ВДВ, день города/России.</v>
      </c>
      <c r="S146" s="6" t="str">
        <f>IFERROR(__xludf.DUMMYFUNCTION("""COMPUTED_VALUE"""),"Писал и расклеивал объявления/афиши, 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организовывал крупные концерты на разных концертных площа"&amp;"дках и клубах города, в том числе и с привозом зарубежных групп; давал интервью городским порталам типа vse42 и местным телеканалам; играл в весьма популярной кемеровской группе, широко известной далеко за пределами города и Сибири")</f>
        <v>Писал и расклеивал объявления/афиши, 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организовывал крупные концерты на разных концертных площадках и клубах города, в том числе и с привозом зарубежных групп; давал интервью городским порталам типа vse42 и местным телеканалам; играл в весьма популярной кемеровской группе, широко известной далеко за пределами города и Сибири</v>
      </c>
      <c r="T146" s="6" t="str">
        <f>IFERROR(__xludf.DUMMYFUNCTION("""COMPUTED_VALUE"""),"Самое известное это печальные события в ЗВ, вторым фактором является наличие в области Шерегеша, третьим фактором был Тулеев. Когда занимался музыкальной деятельностью - Кемерово был одним из главных городов по рок-метал движухе по Сибири и многие сибирск"&amp;"ие и российские  группы любили здесь выступать, так как местные концерты собирали в разы больше народа, чем в соседних Томске и НСК. Примерно в 2009-2016 Кемерово был негласной столицей рок-метала в Сибири.")</f>
        <v>Самое известное это печальные события в ЗВ, вторым фактором является наличие в области Шерегеша, третьим фактором был Тулеев. Когда занимался музыкальной деятельностью - Кемерово был одним из главных городов по рок-метал движухе по Сибири и многие сибирские и российские  группы любили здесь выступать, так как местные концерты собирали в разы больше народа, чем в соседних Томске и НСК. Примерно в 2009-2016 Кемерово был негласной столицей рок-метала в Сибири.</v>
      </c>
      <c r="U146" s="6" t="str">
        <f>IFERROR(__xludf.DUMMYFUNCTION("""COMPUTED_VALUE"""),"Фонтан Драмтеатра, площадь с Лениным, пересечение Советского и Кирова, пересечение Октябрьского и Терешковой")</f>
        <v>Фонтан Драмтеатра, площадь с Лениным, пересечение Советского и Кирова, пересечение Октябрьского и Терешковой</v>
      </c>
      <c r="V146" s="6" t="str">
        <f>IFERROR(__xludf.DUMMYFUNCTION("""COMPUTED_VALUE"""),"Мощная хим промышленность в прошлом с гигантами типа ""Азота"", в культурном плане касаемо сибирской музстолицы говорил выше.")</f>
        <v>Мощная хим промышленность в прошлом с гигантами типа "Азота", в культурном плане касаемо сибирской музстолицы говорил выше.</v>
      </c>
      <c r="W146" s="6" t="str">
        <f>IFERROR(__xludf.DUMMYFUNCTION("""COMPUTED_VALUE"""),"Открытость, приветливость по отношению к приезжим, трудолюбие, ответственность, красивые девушки")</f>
        <v>Открытость, приветливость по отношению к приезжим, трудолюбие, ответственность, красивые девушки</v>
      </c>
      <c r="X146" s="6" t="str">
        <f>IFERROR(__xludf.DUMMYFUNCTION("""COMPUTED_VALUE"""),"Кадетка, фонтан, весенняя, мак/kfc на советском, опционально набережная в Кировском")</f>
        <v>Кадетка, фонтан, весенняя, мак/kfc на советском, опционально набережная в Кировском</v>
      </c>
      <c r="Y146" s="6" t="str">
        <f>IFERROR(__xludf.DUMMYFUNCTION("""COMPUTED_VALUE"""),"Историческое пожалуй это был пожар в ЗВ, с культурными событиями у нас не оч.")</f>
        <v>Историческое пожалуй это был пожар в ЗВ, с культурными событиями у нас не оч.</v>
      </c>
      <c r="Z146" s="6" t="str">
        <f>IFERROR(__xludf.DUMMYFUNCTION("""COMPUTED_VALUE"""),"таковых нет")</f>
        <v>таковых нет</v>
      </c>
      <c r="AA146" s="6" t="str">
        <f>IFERROR(__xludf.DUMMYFUNCTION("""COMPUTED_VALUE"""),"Качество медицины во время пандемии. Получить помощь через официальный алгоритм действий было нереально - еще бы немного и я бы пополнил многочисленные списки умерших. ")</f>
        <v>Качество медицины во время пандемии. Получить помощь через официальный алгоритм действий было нереально - еще бы немного и я бы пополнил многочисленные списки умерших. </v>
      </c>
      <c r="AB146" s="6" t="str">
        <f>IFERROR(__xludf.DUMMYFUNCTION("""COMPUTED_VALUE"""),"Не люблю различные сообщества, поэтому лично для меня это неактуально. ")</f>
        <v>Не люблю различные сообщества, поэтому лично для меня это неактуально. </v>
      </c>
      <c r="AC146" s="6" t="str">
        <f>IFERROR(__xludf.DUMMYFUNCTION("""COMPUTED_VALUE"""),"Различные актуальные ивенты, концерты. Актуальные и интересные выставки (а не это убожество про роботов в лапе), возможно литературные вечера. В принципе должен быть охвачен весь пласт аспектов актуальной культуры.")</f>
        <v>Различные актуальные ивенты, концерты. Актуальные и интересные выставки (а не это убожество про роботов в лапе), возможно литературные вечера. В принципе должен быть охвачен весь пласт аспектов актуальной культуры.</v>
      </c>
      <c r="AD146" s="6" t="str">
        <f>IFERROR(__xludf.DUMMYFUNCTION("""COMPUTED_VALUE"""),"Могу делать отличные молодежные концерты с актуальными привозами. ")</f>
        <v>Могу делать отличные молодежные концерты с актуальными привозами. </v>
      </c>
      <c r="AE146" s="6" t="str">
        <f>IFERROR(__xludf.DUMMYFUNCTION("""COMPUTED_VALUE"""),"Мужской")</f>
        <v>Мужской</v>
      </c>
      <c r="AF146" s="6" t="str">
        <f>IFERROR(__xludf.DUMMYFUNCTION("""COMPUTED_VALUE"""),"30-44")</f>
        <v>30-44</v>
      </c>
      <c r="AG146" s="6"/>
      <c r="AH146" s="6"/>
      <c r="AI146" s="6"/>
      <c r="AJ146" s="6"/>
      <c r="AK146" s="6"/>
      <c r="AL146" s="6"/>
      <c r="AM146" s="6"/>
    </row>
    <row r="147">
      <c r="A147" s="4">
        <v>146.0</v>
      </c>
      <c r="B147" s="6" t="str">
        <f>IFERROR(__xludf.DUMMYFUNCTION("""COMPUTED_VALUE"""),"Студент")</f>
        <v>Студент</v>
      </c>
      <c r="C147" s="6" t="str">
        <f>IFERROR(__xludf.DUMMYFUNCTION("""COMPUTED_VALUE"""),"Рисование")</f>
        <v>Рисование</v>
      </c>
      <c r="D147" s="6" t="str">
        <f>IFERROR(__xludf.DUMMYFUNCTION("""COMPUTED_VALUE"""),"Ленинский район")</f>
        <v>Ленинский район</v>
      </c>
      <c r="E147" s="6" t="str">
        <f>IFERROR(__xludf.DUMMYFUNCTION("""COMPUTED_VALUE"""),"Затрудняюсь ответить ")</f>
        <v>Затрудняюсь ответить </v>
      </c>
      <c r="F147" s="6" t="str">
        <f>IFERROR(__xludf.DUMMYFUNCTION("""COMPUTED_VALUE"""),"Переехал сюда из другого места (откуда? укажите в графе другое), Приехала из Мариинска")</f>
        <v>Переехал сюда из другого места (откуда? укажите в графе другое), Приехала из Мариинска</v>
      </c>
      <c r="G147" s="6" t="str">
        <f>IFERROR(__xludf.DUMMYFUNCTION("""COMPUTED_VALUE"""),"Кинотеатры, парки")</f>
        <v>Кинотеатры, парки</v>
      </c>
      <c r="H147" s="6" t="str">
        <f>IFERROR(__xludf.DUMMYFUNCTION("""COMPUTED_VALUE"""),"Уголь, шахтёры")</f>
        <v>Уголь, шахтёры</v>
      </c>
      <c r="I147" s="6" t="str">
        <f>IFERROR(__xludf.DUMMYFUNCTION("""COMPUTED_VALUE"""),"Бобров, вера волошина")</f>
        <v>Бобров, вера волошина</v>
      </c>
      <c r="J147" s="6" t="str">
        <f>IFERROR(__xludf.DUMMYFUNCTION("""COMPUTED_VALUE"""),"Тулеев")</f>
        <v>Тулеев</v>
      </c>
      <c r="K147" s="6" t="str">
        <f>IFERROR(__xludf.DUMMYFUNCTION("""COMPUTED_VALUE"""),"Скорее всего, показала бы музеи города")</f>
        <v>Скорее всего, показала бы музеи города</v>
      </c>
      <c r="L147" s="6" t="str">
        <f>IFERROR(__xludf.DUMMYFUNCTION("""COMPUTED_VALUE"""),"Затрудняюсь ответить")</f>
        <v>Затрудняюсь ответить</v>
      </c>
      <c r="M147" s="6" t="str">
        <f>IFERROR(__xludf.DUMMYFUNCTION("""COMPUTED_VALUE"""),"Нет, не знаю")</f>
        <v>Нет, не знаю</v>
      </c>
      <c r="N147" s="6" t="str">
        <f>IFERROR(__xludf.DUMMYFUNCTION("""COMPUTED_VALUE"""),"Доступность для людей с ограниченными возможностями, мероприятия для проведения досуга, благоприятный экология ")</f>
        <v>Доступность для людей с ограниченными возможностями, мероприятия для проведения досуга, благоприятный экология </v>
      </c>
      <c r="O147" s="6" t="str">
        <f>IFERROR(__xludf.DUMMYFUNCTION("""COMPUTED_VALUE"""),"Необходимо увеличить количество открытых общественных туалетов, количество урн и мест для отдыха")</f>
        <v>Необходимо увеличить количество открытых общественных туалетов, количество урн и мест для отдыха</v>
      </c>
      <c r="P147" s="6" t="str">
        <f>IFERROR(__xludf.DUMMYFUNCTION("""COMPUTED_VALUE"""),"Различные рекламы в интернете ")</f>
        <v>Различные рекламы в интернете </v>
      </c>
      <c r="Q147" s="6" t="str">
        <f>IFERROR(__xludf.DUMMYFUNCTION("""COMPUTED_VALUE"""),"где вкусно поесть/открытие новых кафе/ресторанов, городская афиша (кино/театр/концерты), интервью с местными творческими личностями, новости про новые профессии/куда поступать/вакансии")</f>
        <v>где вкусно поесть/открытие новых кафе/ресторанов, городская афиша (кино/театр/концерты), интервью с местными творческими личностями, новости про новые профессии/куда поступать/вакансии</v>
      </c>
      <c r="R147" s="6" t="str">
        <f>IFERROR(__xludf.DUMMYFUNCTION("""COMPUTED_VALUE"""),"Концерты ")</f>
        <v>Концерты </v>
      </c>
      <c r="S147" s="6" t="str">
        <f>IFERROR(__xludf.DUMMYFUNCTION("""COMPUTED_VALUE"""),"Нет, не приходилось")</f>
        <v>Нет, не приходилось</v>
      </c>
      <c r="T147" s="6" t="str">
        <f>IFERROR(__xludf.DUMMYFUNCTION("""COMPUTED_VALUE"""),"Затрудняюсь ответить")</f>
        <v>Затрудняюсь ответить</v>
      </c>
      <c r="U147" s="6" t="str">
        <f>IFERROR(__xludf.DUMMYFUNCTION("""COMPUTED_VALUE"""),"Скорее всего это набережная Томи ")</f>
        <v>Скорее всего это набережная Томи </v>
      </c>
      <c r="V147" s="6" t="str">
        <f>IFERROR(__xludf.DUMMYFUNCTION("""COMPUTED_VALUE"""),"Затрудняюсь ответить ")</f>
        <v>Затрудняюсь ответить </v>
      </c>
      <c r="W147" s="6" t="str">
        <f>IFERROR(__xludf.DUMMYFUNCTION("""COMPUTED_VALUE"""),"Затрудняюсь ответить ")</f>
        <v>Затрудняюсь ответить </v>
      </c>
      <c r="X147" s="6" t="str">
        <f>IFERROR(__xludf.DUMMYFUNCTION("""COMPUTED_VALUE"""),"Затрудняюсь ответить ")</f>
        <v>Затрудняюсь ответить </v>
      </c>
      <c r="Y147" s="6" t="str">
        <f>IFERROR(__xludf.DUMMYFUNCTION("""COMPUTED_VALUE"""),"Затрудняюсь ответить ")</f>
        <v>Затрудняюсь ответить </v>
      </c>
      <c r="Z147" s="6" t="str">
        <f>IFERROR(__xludf.DUMMYFUNCTION("""COMPUTED_VALUE"""),"Затрудняюсь ответить ")</f>
        <v>Затрудняюсь ответить </v>
      </c>
      <c r="AA147" s="6" t="str">
        <f>IFERROR(__xludf.DUMMYFUNCTION("""COMPUTED_VALUE"""),"Затрудняюсь ответить ")</f>
        <v>Затрудняюсь ответить </v>
      </c>
      <c r="AB147" s="6" t="str">
        <f>IFERROR(__xludf.DUMMYFUNCTION("""COMPUTED_VALUE"""),"Возможно каких-либо творческих молодёжных объединений")</f>
        <v>Возможно каких-либо творческих молодёжных объединений</v>
      </c>
      <c r="AC147" s="6" t="str">
        <f>IFERROR(__xludf.DUMMYFUNCTION("""COMPUTED_VALUE"""),"Затрудняюсь ответить ")</f>
        <v>Затрудняюсь ответить </v>
      </c>
      <c r="AD147" s="6" t="str">
        <f>IFERROR(__xludf.DUMMYFUNCTION("""COMPUTED_VALUE"""),"Куратором каких-либо мероприятий ")</f>
        <v>Куратором каких-либо мероприятий </v>
      </c>
      <c r="AE147" s="6" t="str">
        <f>IFERROR(__xludf.DUMMYFUNCTION("""COMPUTED_VALUE"""),"Женский")</f>
        <v>Женский</v>
      </c>
      <c r="AF147" s="6" t="str">
        <f>IFERROR(__xludf.DUMMYFUNCTION("""COMPUTED_VALUE"""),"18-29")</f>
        <v>18-29</v>
      </c>
      <c r="AG147" s="6"/>
      <c r="AH147" s="6"/>
      <c r="AI147" s="6"/>
      <c r="AJ147" s="6"/>
      <c r="AK147" s="6"/>
      <c r="AL147" s="6"/>
      <c r="AM147" s="6"/>
    </row>
    <row r="148">
      <c r="A148" s="4">
        <v>147.0</v>
      </c>
      <c r="B148" s="6" t="str">
        <f>IFERROR(__xludf.DUMMYFUNCTION("""COMPUTED_VALUE"""),"Искусствовед")</f>
        <v>Искусствовед</v>
      </c>
      <c r="C148" s="6" t="str">
        <f>IFERROR(__xludf.DUMMYFUNCTION("""COMPUTED_VALUE"""),"Коллекционирование")</f>
        <v>Коллекционирование</v>
      </c>
      <c r="D148" s="6" t="str">
        <f>IFERROR(__xludf.DUMMYFUNCTION("""COMPUTED_VALUE"""),"Радуга")</f>
        <v>Радуга</v>
      </c>
      <c r="E148" s="6" t="str">
        <f>IFERROR(__xludf.DUMMYFUNCTION("""COMPUTED_VALUE"""),"Север, тц Радуга, площадь с детской площадкой возле церкви")</f>
        <v>Север, тц Радуга, площадь с детской площадкой возле церкви</v>
      </c>
      <c r="F148" s="6" t="str">
        <f>IFERROR(__xludf.DUMMYFUNCTION("""COMPUTED_VALUE"""),"Живу здесь с рождения")</f>
        <v>Живу здесь с рождения</v>
      </c>
      <c r="G148" s="6" t="str">
        <f>IFERROR(__xludf.DUMMYFUNCTION("""COMPUTED_VALUE"""),"В кузбасский центр искусств, театр")</f>
        <v>В кузбасский центр искусств, театр</v>
      </c>
      <c r="H148" s="6" t="str">
        <f>IFERROR(__xludf.DUMMYFUNCTION("""COMPUTED_VALUE"""),"Трагичный, удобный, любимый, красивый, честный, советский")</f>
        <v>Трагичный, удобный, любимый, красивый, честный, советский</v>
      </c>
      <c r="I148" s="6" t="str">
        <f>IFERROR(__xludf.DUMMYFUNCTION("""COMPUTED_VALUE"""),"Леонов, гришковец, панин, волков")</f>
        <v>Леонов, гришковец, панин, волков</v>
      </c>
      <c r="J148" s="6" t="str">
        <f>IFERROR(__xludf.DUMMYFUNCTION("""COMPUTED_VALUE"""),"Тулеев, подгорбунский, геращенко виктория петровна, михайлов")</f>
        <v>Тулеев, подгорбунский, геращенко виктория петровна, михайлов</v>
      </c>
      <c r="K148" s="6" t="str">
        <f>IFERROR(__xludf.DUMMYFUNCTION("""COMPUTED_VALUE"""),"Дома ван лохема")</f>
        <v>Дома ван лохема</v>
      </c>
      <c r="L148" s="6" t="str">
        <f>IFERROR(__xludf.DUMMYFUNCTION("""COMPUTED_VALUE"""),"Это кузбасс, детка!")</f>
        <v>Это кузбасс, детка!</v>
      </c>
      <c r="M148" s="6" t="str">
        <f>IFERROR(__xludf.DUMMYFUNCTION("""COMPUTED_VALUE"""),"Ходят как Доня с Леной")</f>
        <v>Ходят как Доня с Леной</v>
      </c>
      <c r="N148" s="6" t="str">
        <f>IFERROR(__xludf.DUMMYFUNCTION("""COMPUTED_VALUE"""),"Удобство, транспорт, небольшие расстояния, живописность, выход к природе")</f>
        <v>Удобство, транспорт, небольшие расстояния, живописность, выход к природе</v>
      </c>
      <c r="O148" s="6" t="str">
        <f>IFERROR(__xludf.DUMMYFUNCTION("""COMPUTED_VALUE"""),"Построить современные здания в трендах современой архитектуры, сохранять старую архитектуру, создать новый центр города")</f>
        <v>Построить современные здания в трендах современой архитектуры, сохранять старую архитектуру, создать новый центр города</v>
      </c>
      <c r="P148" s="6" t="str">
        <f>IFERROR(__xludf.DUMMYFUNCTION("""COMPUTED_VALUE"""),"Соцсети инста")</f>
        <v>Соцсети инста</v>
      </c>
      <c r="Q148"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f>
        <v>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148" s="6" t="str">
        <f>IFERROR(__xludf.DUMMYFUNCTION("""COMPUTED_VALUE"""),"Новый год")</f>
        <v>Новый год</v>
      </c>
      <c r="S148"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148" s="6" t="str">
        <f>IFERROR(__xludf.DUMMYFUNCTION("""COMPUTED_VALUE"""),"Чиновничий город, зацикленный на своей неполноценности")</f>
        <v>Чиновничий город, зацикленный на своей неполноценности</v>
      </c>
      <c r="U148" s="6" t="str">
        <f>IFERROR(__xludf.DUMMYFUNCTION("""COMPUTED_VALUE"""),"Набережную")</f>
        <v>Набережную</v>
      </c>
      <c r="V148" s="6" t="str">
        <f>IFERROR(__xludf.DUMMYFUNCTION("""COMPUTED_VALUE"""),"Построили город этого уже достаточно для гордости")</f>
        <v>Построили город этого уже достаточно для гордости</v>
      </c>
      <c r="W148" s="6" t="str">
        <f>IFERROR(__xludf.DUMMYFUNCTION("""COMPUTED_VALUE"""),"Заклмплексованные, ориентированные на достижения, слегка эгоистичные")</f>
        <v>Заклмплексованные, ориентированные на достижения, слегка эгоистичные</v>
      </c>
      <c r="X148" s="6" t="str">
        <f>IFERROR(__xludf.DUMMYFUNCTION("""COMPUTED_VALUE"""),"От набережной к октябрьскому")</f>
        <v>От набережной к октябрьскому</v>
      </c>
      <c r="Y148" s="6" t="str">
        <f>IFERROR(__xludf.DUMMYFUNCTION("""COMPUTED_VALUE"""),"Пожар в зимней вишне")</f>
        <v>Пожар в зимней вишне</v>
      </c>
      <c r="Z148" s="6" t="str">
        <f>IFERROR(__xludf.DUMMYFUNCTION("""COMPUTED_VALUE"""),"Нормальная работа кузбасского центра искусств")</f>
        <v>Нормальная работа кузбасского центра искусств</v>
      </c>
      <c r="AA148" s="6" t="str">
        <f>IFERROR(__xludf.DUMMYFUNCTION("""COMPUTED_VALUE"""),"Закрытие рэу плеханова. ")</f>
        <v>Закрытие рэу плеханова. </v>
      </c>
      <c r="AB148" s="6" t="str">
        <f>IFERROR(__xludf.DUMMYFUNCTION("""COMPUTED_VALUE"""),"Молодых художников")</f>
        <v>Молодых художников</v>
      </c>
      <c r="AC148" s="6" t="str">
        <f>IFERROR(__xludf.DUMMYFUNCTION("""COMPUTED_VALUE"""),"Нехватает открытости и демоератичности в этих мероприятиях. ")</f>
        <v>Нехватает открытости и демоератичности в этих мероприятиях. </v>
      </c>
      <c r="AD148" s="6" t="str">
        <f>IFERROR(__xludf.DUMMYFUNCTION("""COMPUTED_VALUE"""),"Эксперт")</f>
        <v>Эксперт</v>
      </c>
      <c r="AE148" s="6" t="str">
        <f>IFERROR(__xludf.DUMMYFUNCTION("""COMPUTED_VALUE"""),"Женский")</f>
        <v>Женский</v>
      </c>
      <c r="AF148" s="6" t="str">
        <f>IFERROR(__xludf.DUMMYFUNCTION("""COMPUTED_VALUE"""),"30-44")</f>
        <v>30-44</v>
      </c>
      <c r="AG148" s="6"/>
      <c r="AH148" s="6"/>
      <c r="AI148" s="6"/>
      <c r="AJ148" s="6"/>
      <c r="AK148" s="6"/>
      <c r="AL148" s="6"/>
      <c r="AM148" s="6"/>
    </row>
    <row r="149">
      <c r="A149" s="4">
        <v>148.0</v>
      </c>
      <c r="B149" s="6" t="str">
        <f>IFERROR(__xludf.DUMMYFUNCTION("""COMPUTED_VALUE"""),"Работаю кассиром")</f>
        <v>Работаю кассиром</v>
      </c>
      <c r="C149" s="6" t="str">
        <f>IFERROR(__xludf.DUMMYFUNCTION("""COMPUTED_VALUE"""),"Компьютерные игры")</f>
        <v>Компьютерные игры</v>
      </c>
      <c r="D149" s="6" t="str">
        <f>IFERROR(__xludf.DUMMYFUNCTION("""COMPUTED_VALUE"""),"Ленинский ")</f>
        <v>Ленинский </v>
      </c>
      <c r="E149" s="6" t="str">
        <f>IFERROR(__xludf.DUMMYFUNCTION("""COMPUTED_VALUE"""),"Лента")</f>
        <v>Лента</v>
      </c>
      <c r="F149" s="6" t="str">
        <f>IFERROR(__xludf.DUMMYFUNCTION("""COMPUTED_VALUE"""),"Живу здесь с рождения")</f>
        <v>Живу здесь с рождения</v>
      </c>
      <c r="G149" s="6" t="str">
        <f>IFERROR(__xludf.DUMMYFUNCTION("""COMPUTED_VALUE"""),"В основном в центр города")</f>
        <v>В основном в центр города</v>
      </c>
      <c r="H149" s="6" t="str">
        <f>IFERROR(__xludf.DUMMYFUNCTION("""COMPUTED_VALUE"""),"Тихий, спокойный, пустой, солнечный, яркий")</f>
        <v>Тихий, спокойный, пустой, солнечный, яркий</v>
      </c>
      <c r="I149" s="6" t="str">
        <f>IFERROR(__xludf.DUMMYFUNCTION("""COMPUTED_VALUE"""),"Волков")</f>
        <v>Волков</v>
      </c>
      <c r="J149" s="6" t="str">
        <f>IFERROR(__xludf.DUMMYFUNCTION("""COMPUTED_VALUE"""),"Таких не знаю")</f>
        <v>Таких не знаю</v>
      </c>
      <c r="K149" s="6" t="str">
        <f>IFERROR(__xludf.DUMMYFUNCTION("""COMPUTED_VALUE"""),"Набережная, красная горка")</f>
        <v>Набережная, красная горка</v>
      </c>
      <c r="L149" s="6" t="str">
        <f>IFERROR(__xludf.DUMMYFUNCTION("""COMPUTED_VALUE"""),"Не слышал")</f>
        <v>Не слышал</v>
      </c>
      <c r="M149" s="6" t="str">
        <f>IFERROR(__xludf.DUMMYFUNCTION("""COMPUTED_VALUE"""),"нет")</f>
        <v>нет</v>
      </c>
      <c r="N149" s="6" t="str">
        <f>IFERROR(__xludf.DUMMYFUNCTION("""COMPUTED_VALUE"""),"Тихий, спокойный, пасмурный, чистый, удобный")</f>
        <v>Тихий, спокойный, пасмурный, чистый, удобный</v>
      </c>
      <c r="O149" s="6" t="str">
        <f>IFERROR(__xludf.DUMMYFUNCTION("""COMPUTED_VALUE"""),"Залить ямы во дворах ")</f>
        <v>Залить ямы во дворах </v>
      </c>
      <c r="P149" s="6" t="str">
        <f>IFERROR(__xludf.DUMMYFUNCTION("""COMPUTED_VALUE"""),"Группа в вк Инцидент кемерово ")</f>
        <v>Группа в вк Инцидент кемерово </v>
      </c>
      <c r="Q149"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149" s="6" t="str">
        <f>IFERROR(__xludf.DUMMYFUNCTION("""COMPUTED_VALUE"""),"Масленица на томской писанице")</f>
        <v>Масленица на томской писанице</v>
      </c>
      <c r="S149" s="6" t="str">
        <f>IFERROR(__xludf.DUMMYFUNCTION("""COMPUTED_VALUE"""),"Нет, не приходилось")</f>
        <v>Нет, не приходилось</v>
      </c>
      <c r="T149" s="6" t="str">
        <f>IFERROR(__xludf.DUMMYFUNCTION("""COMPUTED_VALUE"""),"Уголь")</f>
        <v>Уголь</v>
      </c>
      <c r="U149" s="6" t="str">
        <f>IFERROR(__xludf.DUMMYFUNCTION("""COMPUTED_VALUE"""),"центр я")</f>
        <v>центр я</v>
      </c>
      <c r="V149" s="6" t="str">
        <f>IFERROR(__xludf.DUMMYFUNCTION("""COMPUTED_VALUE"""),"ничего")</f>
        <v>ничего</v>
      </c>
      <c r="W149" s="6" t="str">
        <f>IFERROR(__xludf.DUMMYFUNCTION("""COMPUTED_VALUE"""),"Непримечательные, хмурые")</f>
        <v>Непримечательные, хмурые</v>
      </c>
      <c r="X149" s="6" t="str">
        <f>IFERROR(__xludf.DUMMYFUNCTION("""COMPUTED_VALUE"""),"набережная - парк веры волошиной")</f>
        <v>набережная - парк веры волошиной</v>
      </c>
      <c r="Y149" s="6" t="str">
        <f>IFERROR(__xludf.DUMMYFUNCTION("""COMPUTED_VALUE"""),"не знаю")</f>
        <v>не знаю</v>
      </c>
      <c r="Z149" s="6" t="str">
        <f>IFERROR(__xludf.DUMMYFUNCTION("""COMPUTED_VALUE"""),"елка за 18 миллионов")</f>
        <v>елка за 18 миллионов</v>
      </c>
      <c r="AA149" s="6" t="str">
        <f>IFERROR(__xludf.DUMMYFUNCTION("""COMPUTED_VALUE"""),"смог ")</f>
        <v>смог </v>
      </c>
      <c r="AB149" s="6" t="str">
        <f>IFERROR(__xludf.DUMMYFUNCTION("""COMPUTED_VALUE"""),"всего хватает")</f>
        <v>всего хватает</v>
      </c>
      <c r="AC149" s="6" t="str">
        <f>IFERROR(__xludf.DUMMYFUNCTION("""COMPUTED_VALUE"""),"какие-нибудь сходки")</f>
        <v>какие-нибудь сходки</v>
      </c>
      <c r="AD149" s="6" t="str">
        <f>IFERROR(__xludf.DUMMYFUNCTION("""COMPUTED_VALUE"""),"задний план")</f>
        <v>задний план</v>
      </c>
      <c r="AE149" s="6" t="str">
        <f>IFERROR(__xludf.DUMMYFUNCTION("""COMPUTED_VALUE"""),"Мужской")</f>
        <v>Мужской</v>
      </c>
      <c r="AF149" s="6" t="str">
        <f>IFERROR(__xludf.DUMMYFUNCTION("""COMPUTED_VALUE"""),"18-29")</f>
        <v>18-29</v>
      </c>
      <c r="AG149" s="6"/>
      <c r="AH149" s="6"/>
      <c r="AI149" s="6"/>
      <c r="AJ149" s="6"/>
      <c r="AK149" s="6"/>
      <c r="AL149" s="6"/>
      <c r="AM149" s="6"/>
    </row>
    <row r="150">
      <c r="A150" s="4">
        <v>149.0</v>
      </c>
      <c r="B150" s="6" t="str">
        <f>IFERROR(__xludf.DUMMYFUNCTION("""COMPUTED_VALUE"""),"Студент ")</f>
        <v>Студент </v>
      </c>
      <c r="C150" s="6" t="str">
        <f>IFERROR(__xludf.DUMMYFUNCTION("""COMPUTED_VALUE"""),"Самореализация ")</f>
        <v>Самореализация </v>
      </c>
      <c r="D150" s="6" t="str">
        <f>IFERROR(__xludf.DUMMYFUNCTION("""COMPUTED_VALUE"""),"Центральный")</f>
        <v>Центральный</v>
      </c>
      <c r="E150" s="6" t="str">
        <f>IFERROR(__xludf.DUMMYFUNCTION("""COMPUTED_VALUE"""),"Все местные достопримечательности ")</f>
        <v>Все местные достопримечательности </v>
      </c>
      <c r="F150" s="6" t="str">
        <f>IFERROR(__xludf.DUMMYFUNCTION("""COMPUTED_VALUE"""),"Родился здесь,но сейчас живу в другом городе, Переехал сюда из другого места (откуда? укажите в графе другое), Верх-Чебула")</f>
        <v>Родился здесь,но сейчас живу в другом городе, Переехал сюда из другого места (откуда? укажите в графе другое), Верх-Чебула</v>
      </c>
      <c r="G150" s="6" t="str">
        <f>IFERROR(__xludf.DUMMYFUNCTION("""COMPUTED_VALUE"""),"Набережная ")</f>
        <v>Набережная </v>
      </c>
      <c r="H150" s="6" t="str">
        <f>IFERROR(__xludf.DUMMYFUNCTION("""COMPUTED_VALUE"""),"Мрак, апатия, серость, унылость, родина")</f>
        <v>Мрак, апатия, серость, унылость, родина</v>
      </c>
      <c r="I150" s="6" t="str">
        <f>IFERROR(__xludf.DUMMYFUNCTION("""COMPUTED_VALUE"""),"Не знаю")</f>
        <v>Не знаю</v>
      </c>
      <c r="J150" s="6" t="str">
        <f>IFERROR(__xludf.DUMMYFUNCTION("""COMPUTED_VALUE"""),"Не знаю")</f>
        <v>Не знаю</v>
      </c>
      <c r="K150" s="6" t="str">
        <f>IFERROR(__xludf.DUMMYFUNCTION("""COMPUTED_VALUE"""),"Чтоб не спугнуть - центральную часть")</f>
        <v>Чтоб не спугнуть - центральную часть</v>
      </c>
      <c r="L150" s="6" t="str">
        <f>IFERROR(__xludf.DUMMYFUNCTION("""COMPUTED_VALUE"""),"Гребенщиков ""человек из Кемерово"" ")</f>
        <v>Гребенщиков "человек из Кемерово" </v>
      </c>
      <c r="M150" s="6" t="str">
        <f>IFERROR(__xludf.DUMMYFUNCTION("""COMPUTED_VALUE"""),"Да")</f>
        <v>Да</v>
      </c>
      <c r="N150" s="6" t="str">
        <f>IFERROR(__xludf.DUMMYFUNCTION("""COMPUTED_VALUE"""),"Красота, доступность аренды жилья, малонаселенность, спокойствие, водоём ")</f>
        <v>Красота, доступность аренды жилья, малонаселенность, спокойствие, водоём </v>
      </c>
      <c r="O150" s="6" t="str">
        <f>IFERROR(__xludf.DUMMYFUNCTION("""COMPUTED_VALUE"""),"Почти все старые дома, особенно на ""старом"" южном")</f>
        <v>Почти все старые дома, особенно на "старом" южном</v>
      </c>
      <c r="P150" s="6" t="str">
        <f>IFERROR(__xludf.DUMMYFUNCTION("""COMPUTED_VALUE"""),"Не слежу ")</f>
        <v>Не слежу </v>
      </c>
      <c r="Q150"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50" s="6" t="str">
        <f>IFERROR(__xludf.DUMMYFUNCTION("""COMPUTED_VALUE"""),"День шахтёра, бибилионочь для меня. Для остальных день города ")</f>
        <v>День шахтёра, бибилионочь для меня. Для остальных день города </v>
      </c>
      <c r="S150" s="6" t="str">
        <f>IFERROR(__xludf.DUMMYFUNCTION("""COMPUTED_VALUE"""),"Продавал билеты на концерты приезжих музыкантов ")</f>
        <v>Продавал билеты на концерты приезжих музыкантов </v>
      </c>
      <c r="T150" s="6" t="str">
        <f>IFERROR(__xludf.DUMMYFUNCTION("""COMPUTED_VALUE"""),"Кроме угля и пожара, к сожалению, ничем ")</f>
        <v>Кроме угля и пожара, к сожалению, ничем </v>
      </c>
      <c r="U150" s="6" t="str">
        <f>IFERROR(__xludf.DUMMYFUNCTION("""COMPUTED_VALUE"""),"Фпк - столица Кемерово ")</f>
        <v>Фпк - столица Кемерово </v>
      </c>
      <c r="V150" s="6" t="str">
        <f>IFERROR(__xludf.DUMMYFUNCTION("""COMPUTED_VALUE"""),"Трудились на благо страны, добывая ресурсы и строя заводы. ")</f>
        <v>Трудились на благо страны, добывая ресурсы и строя заводы. </v>
      </c>
      <c r="W150" s="6" t="str">
        <f>IFERROR(__xludf.DUMMYFUNCTION("""COMPUTED_VALUE"""),"Половина добрых и общительных, половина угрюмых и неприветливых ")</f>
        <v>Половина добрых и общительных, половина угрюмых и неприветливых </v>
      </c>
      <c r="X150" s="6" t="str">
        <f>IFERROR(__xludf.DUMMYFUNCTION("""COMPUTED_VALUE"""),"От вокзала до площади на советском ")</f>
        <v>От вокзала до площади на советском </v>
      </c>
      <c r="Y150" s="6" t="str">
        <f>IFERROR(__xludf.DUMMYFUNCTION("""COMPUTED_VALUE"""),"Трагическое.")</f>
        <v>Трагическое.</v>
      </c>
      <c r="Z150" s="6" t="str">
        <f>IFERROR(__xludf.DUMMYFUNCTION("""COMPUTED_VALUE"""),"В последнее время, при смене управления, некоторые районы начали буквально расцветать. ")</f>
        <v>В последнее время, при смене управления, некоторые районы начали буквально расцветать. </v>
      </c>
      <c r="AA150" s="6" t="str">
        <f>IFERROR(__xludf.DUMMYFUNCTION("""COMPUTED_VALUE"""),"Трагические. ")</f>
        <v>Трагические. </v>
      </c>
      <c r="AB150" s="6" t="str">
        <f>IFERROR(__xludf.DUMMYFUNCTION("""COMPUTED_VALUE"""),"Не интересуюсь. ")</f>
        <v>Не интересуюсь. </v>
      </c>
      <c r="AC150" s="6" t="str">
        <f>IFERROR(__xludf.DUMMYFUNCTION("""COMPUTED_VALUE"""),"Своих хватает, о новых не сведущ")</f>
        <v>Своих хватает, о новых не сведущ</v>
      </c>
      <c r="AD150" s="6" t="str">
        <f>IFERROR(__xludf.DUMMYFUNCTION("""COMPUTED_VALUE"""),"В роли законопослущного налогоплательщика")</f>
        <v>В роли законопослущного налогоплательщика</v>
      </c>
      <c r="AE150" s="6" t="str">
        <f>IFERROR(__xludf.DUMMYFUNCTION("""COMPUTED_VALUE"""),"Мужской")</f>
        <v>Мужской</v>
      </c>
      <c r="AF150" s="6" t="str">
        <f>IFERROR(__xludf.DUMMYFUNCTION("""COMPUTED_VALUE"""),"18-29")</f>
        <v>18-29</v>
      </c>
      <c r="AG150" s="6"/>
      <c r="AH150" s="6"/>
      <c r="AI150" s="6"/>
      <c r="AJ150" s="6"/>
      <c r="AK150" s="6"/>
      <c r="AL150" s="6"/>
      <c r="AM150" s="6"/>
    </row>
    <row r="151">
      <c r="A151" s="4">
        <v>150.0</v>
      </c>
      <c r="B151" s="6" t="str">
        <f>IFERROR(__xludf.DUMMYFUNCTION("""COMPUTED_VALUE"""),"Служащий")</f>
        <v>Служащий</v>
      </c>
      <c r="C151" s="6" t="str">
        <f>IFERROR(__xludf.DUMMYFUNCTION("""COMPUTED_VALUE"""),"Шитье и дизайн одежды")</f>
        <v>Шитье и дизайн одежды</v>
      </c>
      <c r="D151" s="6" t="str">
        <f>IFERROR(__xludf.DUMMYFUNCTION("""COMPUTED_VALUE"""),"Центр")</f>
        <v>Центр</v>
      </c>
      <c r="E151" s="6" t="str">
        <f>IFERROR(__xludf.DUMMYFUNCTION("""COMPUTED_VALUE"""),"Театральная площадь, набережная, Советский проспект")</f>
        <v>Театральная площадь, набережная, Советский проспект</v>
      </c>
      <c r="F151" s="6" t="str">
        <f>IFERROR(__xludf.DUMMYFUNCTION("""COMPUTED_VALUE"""),"Живу здесь с рождения")</f>
        <v>Живу здесь с рождения</v>
      </c>
      <c r="G151" s="6" t="str">
        <f>IFERROR(__xludf.DUMMYFUNCTION("""COMPUTED_VALUE"""),"набережная")</f>
        <v>набережная</v>
      </c>
      <c r="H151" s="6" t="str">
        <f>IFERROR(__xludf.DUMMYFUNCTION("""COMPUTED_VALUE"""),"Зеленый, уютный, родина, ")</f>
        <v>Зеленый, уютный, родина, </v>
      </c>
      <c r="I151" s="6" t="str">
        <f>IFERROR(__xludf.DUMMYFUNCTION("""COMPUTED_VALUE"""),"Л.К. Моисеенко, М.А. Подгорбунский, А.П. Хмелевской.")</f>
        <v>Л.К. Моисеенко, М.А. Подгорбунский, А.П. Хмелевской.</v>
      </c>
      <c r="J151" s="6" t="str">
        <f>IFERROR(__xludf.DUMMYFUNCTION("""COMPUTED_VALUE"""),"В.В. Михайлов, И.Ф. Федорова, А.М. Терехов.")</f>
        <v>В.В. Михайлов, И.Ф. Федорова, А.М. Терехов.</v>
      </c>
      <c r="K151" s="6" t="str">
        <f>IFERROR(__xludf.DUMMYFUNCTION("""COMPUTED_VALUE"""),"Архитектурные ансамбли центральной части, Красная Горка, парк ангелов.")</f>
        <v>Архитектурные ансамбли центральной части, Красная Горка, парк ангелов.</v>
      </c>
      <c r="L151" s="6" t="str">
        <f>IFERROR(__xludf.DUMMYFUNCTION("""COMPUTED_VALUE"""),"С любовью к городу. Город, комфортный для жизни.")</f>
        <v>С любовью к городу. Город, комфортный для жизни.</v>
      </c>
      <c r="M151" s="6" t="str">
        <f>IFERROR(__xludf.DUMMYFUNCTION("""COMPUTED_VALUE"""),"Не знаю.")</f>
        <v>Не знаю.</v>
      </c>
      <c r="N151" s="6" t="str">
        <f>IFERROR(__xludf.DUMMYFUNCTION("""COMPUTED_VALUE"""),"Чистота, удобная транспортная логистика, зеленые насаждения, хорошая архитектура, благоустроенность.")</f>
        <v>Чистота, удобная транспортная логистика, зеленые насаждения, хорошая архитектура, благоустроенность.</v>
      </c>
      <c r="O151" s="6" t="str">
        <f>IFERROR(__xludf.DUMMYFUNCTION("""COMPUTED_VALUE"""),"Фасады зданий хотя бы на самых проходимых улицах, памятники монументального искусства, тротуары.")</f>
        <v>Фасады зданий хотя бы на самых проходимых улицах, памятники монументального искусства, тротуары.</v>
      </c>
      <c r="P151" s="6" t="str">
        <f>IFERROR(__xludf.DUMMYFUNCTION("""COMPUTED_VALUE"""),"Из рекламы учреждений.")</f>
        <v>Из рекламы учреждений.</v>
      </c>
      <c r="Q151" s="6" t="str">
        <f>IFERROR(__xludf.DUMMYFUNCTION("""COMPUTED_VALUE"""),"культурные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f>
        <v>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151" s="6" t="str">
        <f>IFERROR(__xludf.DUMMYFUNCTION("""COMPUTED_VALUE"""),"День города, 9 мая.")</f>
        <v>День города, 9 мая.</v>
      </c>
      <c r="S151" s="6" t="str">
        <f>IFERROR(__xludf.DUMMYFUNCTION("""COMPUTED_VALUE"""),"Нет, не приходилось")</f>
        <v>Нет, не приходилось</v>
      </c>
      <c r="T151" s="6" t="str">
        <f>IFERROR(__xludf.DUMMYFUNCTION("""COMPUTED_VALUE"""),"Химические предприятия в прошлом. ")</f>
        <v>Химические предприятия в прошлом. </v>
      </c>
      <c r="U151" s="6" t="str">
        <f>IFERROR(__xludf.DUMMYFUNCTION("""COMPUTED_VALUE"""),"Советский проспект.")</f>
        <v>Советский проспект.</v>
      </c>
      <c r="V151" s="6" t="str">
        <f>IFERROR(__xludf.DUMMYFUNCTION("""COMPUTED_VALUE"""),"Несколько поколений создавали промышленный потенциал региона, который очень разрушился в конце XX века. ")</f>
        <v>Несколько поколений создавали промышленный потенциал региона, который очень разрушился в конце XX века. </v>
      </c>
      <c r="W151" s="6" t="str">
        <f>IFERROR(__xludf.DUMMYFUNCTION("""COMPUTED_VALUE"""),"Доброжелательные, осторожные (не в хорошем смысле), пассивные.")</f>
        <v>Доброжелательные, осторожные (не в хорошем смысле), пассивные.</v>
      </c>
      <c r="X151" s="6" t="str">
        <f>IFERROR(__xludf.DUMMYFUNCTION("""COMPUTED_VALUE"""),"Весенняя - набережная - Советский проспект.")</f>
        <v>Весенняя - набережная - Советский проспект.</v>
      </c>
      <c r="Y151" s="6" t="str">
        <f>IFERROR(__xludf.DUMMYFUNCTION("""COMPUTED_VALUE"""),"""Герои рока"".")</f>
        <v>"Герои рока".</v>
      </c>
      <c r="Z151" s="6" t="str">
        <f>IFERROR(__xludf.DUMMYFUNCTION("""COMPUTED_VALUE"""),"Открытие театров и других учреждений после эпидемии.")</f>
        <v>Открытие театров и других учреждений после эпидемии.</v>
      </c>
      <c r="AA151" s="6" t="str">
        <f>IFERROR(__xludf.DUMMYFUNCTION("""COMPUTED_VALUE"""),"Пожар в ТРК ""Зимняя вишня"".")</f>
        <v>Пожар в ТРК "Зимняя вишня".</v>
      </c>
      <c r="AB151" s="6" t="str">
        <f>IFERROR(__xludf.DUMMYFUNCTION("""COMPUTED_VALUE"""),"Настроенных на созидание, а не критику.")</f>
        <v>Настроенных на созидание, а не критику.</v>
      </c>
      <c r="AC151" s="6" t="str">
        <f>IFERROR(__xludf.DUMMYFUNCTION("""COMPUTED_VALUE"""),"Крупные фестивали.")</f>
        <v>Крупные фестивали.</v>
      </c>
      <c r="AD151" s="6" t="str">
        <f>IFERROR(__xludf.DUMMYFUNCTION("""COMPUTED_VALUE"""),"Зритель.")</f>
        <v>Зритель.</v>
      </c>
      <c r="AE151" s="6" t="str">
        <f>IFERROR(__xludf.DUMMYFUNCTION("""COMPUTED_VALUE"""),"Женский")</f>
        <v>Женский</v>
      </c>
      <c r="AF151" s="6" t="str">
        <f>IFERROR(__xludf.DUMMYFUNCTION("""COMPUTED_VALUE"""),"45-55")</f>
        <v>45-55</v>
      </c>
      <c r="AG151" s="6"/>
      <c r="AH151" s="6"/>
      <c r="AI151" s="6"/>
      <c r="AJ151" s="6"/>
      <c r="AK151" s="6"/>
      <c r="AL151" s="6"/>
      <c r="AM151" s="6"/>
    </row>
    <row r="152">
      <c r="A152" s="4">
        <v>151.0</v>
      </c>
      <c r="B152" s="6" t="str">
        <f>IFERROR(__xludf.DUMMYFUNCTION("""COMPUTED_VALUE"""),"предприниматель")</f>
        <v>предприниматель</v>
      </c>
      <c r="C152" s="6" t="str">
        <f>IFERROR(__xludf.DUMMYFUNCTION("""COMPUTED_VALUE"""),"спорт")</f>
        <v>спорт</v>
      </c>
      <c r="D152" s="6" t="str">
        <f>IFERROR(__xludf.DUMMYFUNCTION("""COMPUTED_VALUE"""),"рудничный, радуга")</f>
        <v>рудничный, радуга</v>
      </c>
      <c r="E152" s="6" t="str">
        <f>IFERROR(__xludf.DUMMYFUNCTION("""COMPUTED_VALUE"""),"сосновый бор")</f>
        <v>сосновый бор</v>
      </c>
      <c r="F152" s="6" t="str">
        <f>IFERROR(__xludf.DUMMYFUNCTION("""COMPUTED_VALUE"""),"Живу здесь с рождения")</f>
        <v>Живу здесь с рождения</v>
      </c>
      <c r="G152" s="6" t="str">
        <f>IFERROR(__xludf.DUMMYFUNCTION("""COMPUTED_VALUE"""),"сосновый бор")</f>
        <v>сосновый бор</v>
      </c>
      <c r="H152" s="6" t="str">
        <f>IFERROR(__xludf.DUMMYFUNCTION("""COMPUTED_VALUE"""),"уют, родина, отшиб, шахта, природа")</f>
        <v>уют, родина, отшиб, шахта, природа</v>
      </c>
      <c r="I152" s="6" t="str">
        <f>IFERROR(__xludf.DUMMYFUNCTION("""COMPUTED_VALUE"""),"подгорбунский, мартемьянов")</f>
        <v>подгорбунский, мартемьянов</v>
      </c>
      <c r="J152" s="6" t="str">
        <f>IFERROR(__xludf.DUMMYFUNCTION("""COMPUTED_VALUE"""),"гришковец")</f>
        <v>гришковец</v>
      </c>
      <c r="K152" s="6" t="str">
        <f>IFERROR(__xludf.DUMMYFUNCTION("""COMPUTED_VALUE"""),"сосновый бор, набережная")</f>
        <v>сосновый бор, набережная</v>
      </c>
      <c r="L152" s="6" t="str">
        <f>IFERROR(__xludf.DUMMYFUNCTION("""COMPUTED_VALUE"""),"не знаю")</f>
        <v>не знаю</v>
      </c>
      <c r="M152" s="6" t="str">
        <f>IFERROR(__xludf.DUMMYFUNCTION("""COMPUTED_VALUE"""),"нет")</f>
        <v>нет</v>
      </c>
      <c r="N152" s="6" t="str">
        <f>IFERROR(__xludf.DUMMYFUNCTION("""COMPUTED_VALUE"""),"чистота, культурные места, облагороженные территории, парки, дороги/пробки ")</f>
        <v>чистота, культурные места, облагороженные территории, парки, дороги/пробки </v>
      </c>
      <c r="O152" s="6" t="str">
        <f>IFERROR(__xludf.DUMMYFUNCTION("""COMPUTED_VALUE"""),"парки, аллеи, придорожная территория")</f>
        <v>парки, аллеи, придорожная территория</v>
      </c>
      <c r="P152" s="6" t="str">
        <f>IFERROR(__xludf.DUMMYFUNCTION("""COMPUTED_VALUE"""),"А42, инстаграм")</f>
        <v>А42, инстаграм</v>
      </c>
      <c r="Q152" s="6" t="str">
        <f>IFERROR(__xludf.DUMMYFUNCTION("""COMPUTED_VALUE"""),"городская афиша (кино/театр/концерты), интервью с местными предпринимателями, криминальные новости (происшествия/преступления)")</f>
        <v>городская афиша (кино/театр/концерты), интервью с местными предпринимателями, криминальные новости (происшествия/преступления)</v>
      </c>
      <c r="R152" s="6" t="str">
        <f>IFERROR(__xludf.DUMMYFUNCTION("""COMPUTED_VALUE"""),"день победы, спортивные марафоны")</f>
        <v>день победы, спортивные марафоны</v>
      </c>
      <c r="S152" s="6" t="str">
        <f>IFERROR(__xludf.DUMMYFUNCTION("""COMPUTED_VALUE"""),"Обращался в редакции электронных городских СМИ")</f>
        <v>Обращался в редакции электронных городских СМИ</v>
      </c>
      <c r="T152" s="6" t="str">
        <f>IFERROR(__xludf.DUMMYFUNCTION("""COMPUTED_VALUE"""),"из последних, к сожалению, зимняя вишня. а так, шахтерский край")</f>
        <v>из последних, к сожалению, зимняя вишня. а так, шахтерский край</v>
      </c>
      <c r="U152" s="6" t="str">
        <f>IFERROR(__xludf.DUMMYFUNCTION("""COMPUTED_VALUE"""),"набережная")</f>
        <v>набережная</v>
      </c>
      <c r="V152" s="6" t="str">
        <f>IFERROR(__xludf.DUMMYFUNCTION("""COMPUTED_VALUE"""),"не знаю")</f>
        <v>не знаю</v>
      </c>
      <c r="W152" s="6" t="str">
        <f>IFERROR(__xludf.DUMMYFUNCTION("""COMPUTED_VALUE"""),"трудолюбивые, активные, общительные")</f>
        <v>трудолюбивые, активные, общительные</v>
      </c>
      <c r="X152" s="6" t="str">
        <f>IFERROR(__xludf.DUMMYFUNCTION("""COMPUTED_VALUE"""),"центр - сосновый бор - лесная поляна")</f>
        <v>центр - сосновый бор - лесная поляна</v>
      </c>
      <c r="Y152" s="6" t="str">
        <f>IFERROR(__xludf.DUMMYFUNCTION("""COMPUTED_VALUE"""),"не знаю")</f>
        <v>не знаю</v>
      </c>
      <c r="Z152" s="6" t="str">
        <f>IFERROR(__xludf.DUMMYFUNCTION("""COMPUTED_VALUE"""),"начали стоить спортивный комплекс на притомском")</f>
        <v>начали стоить спортивный комплекс на притомском</v>
      </c>
      <c r="AA152" s="6" t="str">
        <f>IFERROR(__xludf.DUMMYFUNCTION("""COMPUTED_VALUE"""),"за последние 2 года ничего")</f>
        <v>за последние 2 года ничего</v>
      </c>
      <c r="AB152" s="6" t="str">
        <f>IFERROR(__xludf.DUMMYFUNCTION("""COMPUTED_VALUE"""),"спортивных")</f>
        <v>спортивных</v>
      </c>
      <c r="AC152" s="6" t="str">
        <f>IFERROR(__xludf.DUMMYFUNCTION("""COMPUTED_VALUE"""),"больше достойных культурных и спортивных событий")</f>
        <v>больше достойных культурных и спортивных событий</v>
      </c>
      <c r="AD152" s="6" t="str">
        <f>IFERROR(__xludf.DUMMYFUNCTION("""COMPUTED_VALUE"""),"в организации спортивных событий  - организатором")</f>
        <v>в организации спортивных событий  - организатором</v>
      </c>
      <c r="AE152" s="6" t="str">
        <f>IFERROR(__xludf.DUMMYFUNCTION("""COMPUTED_VALUE"""),"Женский")</f>
        <v>Женский</v>
      </c>
      <c r="AF152" s="6" t="str">
        <f>IFERROR(__xludf.DUMMYFUNCTION("""COMPUTED_VALUE"""),"30-44")</f>
        <v>30-44</v>
      </c>
      <c r="AG152" s="6"/>
      <c r="AH152" s="6"/>
      <c r="AI152" s="6"/>
      <c r="AJ152" s="6"/>
      <c r="AK152" s="6"/>
      <c r="AL152" s="6"/>
      <c r="AM152" s="6"/>
    </row>
    <row r="153">
      <c r="A153" s="4">
        <v>152.0</v>
      </c>
      <c r="B153" s="6" t="str">
        <f>IFERROR(__xludf.DUMMYFUNCTION("""COMPUTED_VALUE"""),"Студент")</f>
        <v>Студент</v>
      </c>
      <c r="C153" s="6" t="str">
        <f>IFERROR(__xludf.DUMMYFUNCTION("""COMPUTED_VALUE"""),"Танцы")</f>
        <v>Танцы</v>
      </c>
      <c r="D153" s="6" t="str">
        <f>IFERROR(__xludf.DUMMYFUNCTION("""COMPUTED_VALUE"""),"Ленинский ")</f>
        <v>Ленинский </v>
      </c>
      <c r="E153" s="6" t="str">
        <f>IFERROR(__xludf.DUMMYFUNCTION("""COMPUTED_VALUE"""),"Бульвар Строителей")</f>
        <v>Бульвар Строителей</v>
      </c>
      <c r="F153" s="6" t="str">
        <f>IFERROR(__xludf.DUMMYFUNCTION("""COMPUTED_VALUE"""),"Переехал сюда из другого места (откуда? укажите в графе другое), г.Куйбышев, НСО")</f>
        <v>Переехал сюда из другого места (откуда? укажите в графе другое), г.Куйбышев, НСО</v>
      </c>
      <c r="G153" s="6" t="str">
        <f>IFERROR(__xludf.DUMMYFUNCTION("""COMPUTED_VALUE"""),"Тц, парки")</f>
        <v>Тц, парки</v>
      </c>
      <c r="H153" s="6" t="str">
        <f>IFERROR(__xludf.DUMMYFUNCTION("""COMPUTED_VALUE"""),"-")</f>
        <v>-</v>
      </c>
      <c r="I153" s="6" t="str">
        <f>IFERROR(__xludf.DUMMYFUNCTION("""COMPUTED_VALUE"""),"-")</f>
        <v>-</v>
      </c>
      <c r="J153" s="6" t="str">
        <f>IFERROR(__xludf.DUMMYFUNCTION("""COMPUTED_VALUE"""),"-")</f>
        <v>-</v>
      </c>
      <c r="K153" s="6" t="str">
        <f>IFERROR(__xludf.DUMMYFUNCTION("""COMPUTED_VALUE"""),"-")</f>
        <v>-</v>
      </c>
      <c r="L153" s="6" t="str">
        <f>IFERROR(__xludf.DUMMYFUNCTION("""COMPUTED_VALUE"""),"-")</f>
        <v>-</v>
      </c>
      <c r="M153" s="6" t="str">
        <f>IFERROR(__xludf.DUMMYFUNCTION("""COMPUTED_VALUE"""),"Нет")</f>
        <v>Нет</v>
      </c>
      <c r="N153" s="6" t="str">
        <f>IFERROR(__xludf.DUMMYFUNCTION("""COMPUTED_VALUE"""),"-")</f>
        <v>-</v>
      </c>
      <c r="O153" s="6" t="str">
        <f>IFERROR(__xludf.DUMMYFUNCTION("""COMPUTED_VALUE"""),"Озеленить
")</f>
        <v>Озеленить
</v>
      </c>
      <c r="P153" s="6" t="str">
        <f>IFERROR(__xludf.DUMMYFUNCTION("""COMPUTED_VALUE"""),"ВКонтакте")</f>
        <v>ВКонтакте</v>
      </c>
      <c r="Q153"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v>
      </c>
      <c r="R153" s="6" t="str">
        <f>IFERROR(__xludf.DUMMYFUNCTION("""COMPUTED_VALUE"""),"-")</f>
        <v>-</v>
      </c>
      <c r="S153" s="6" t="str">
        <f>IFERROR(__xludf.DUMMYFUNCTION("""COMPUTED_VALUE"""),"Нет, не приходилось")</f>
        <v>Нет, не приходилось</v>
      </c>
      <c r="T153" s="6" t="str">
        <f>IFERROR(__xludf.DUMMYFUNCTION("""COMPUTED_VALUE"""),"Город шахтеров")</f>
        <v>Город шахтеров</v>
      </c>
      <c r="U153" s="6" t="str">
        <f>IFERROR(__xludf.DUMMYFUNCTION("""COMPUTED_VALUE"""),"Набережная, центр")</f>
        <v>Набережная, центр</v>
      </c>
      <c r="V153" s="6" t="str">
        <f>IFERROR(__xludf.DUMMYFUNCTION("""COMPUTED_VALUE"""),"-")</f>
        <v>-</v>
      </c>
      <c r="W153" s="6" t="str">
        <f>IFERROR(__xludf.DUMMYFUNCTION("""COMPUTED_VALUE"""),"-")</f>
        <v>-</v>
      </c>
      <c r="X153" s="6" t="str">
        <f>IFERROR(__xludf.DUMMYFUNCTION("""COMPUTED_VALUE"""),"-")</f>
        <v>-</v>
      </c>
      <c r="Y153" s="6" t="str">
        <f>IFERROR(__xludf.DUMMYFUNCTION("""COMPUTED_VALUE"""),"-")</f>
        <v>-</v>
      </c>
      <c r="Z153" s="6" t="str">
        <f>IFERROR(__xludf.DUMMYFUNCTION("""COMPUTED_VALUE"""),"-")</f>
        <v>-</v>
      </c>
      <c r="AA153" s="6" t="str">
        <f>IFERROR(__xludf.DUMMYFUNCTION("""COMPUTED_VALUE"""),"-")</f>
        <v>-</v>
      </c>
      <c r="AB153" s="6" t="str">
        <f>IFERROR(__xludf.DUMMYFUNCTION("""COMPUTED_VALUE"""),"-")</f>
        <v>-</v>
      </c>
      <c r="AC153" s="6" t="str">
        <f>IFERROR(__xludf.DUMMYFUNCTION("""COMPUTED_VALUE"""),"-")</f>
        <v>-</v>
      </c>
      <c r="AD153" s="6" t="str">
        <f>IFERROR(__xludf.DUMMYFUNCTION("""COMPUTED_VALUE"""),"-")</f>
        <v>-</v>
      </c>
      <c r="AE153" s="6" t="str">
        <f>IFERROR(__xludf.DUMMYFUNCTION("""COMPUTED_VALUE"""),"Женский")</f>
        <v>Женский</v>
      </c>
      <c r="AF153" s="6" t="str">
        <f>IFERROR(__xludf.DUMMYFUNCTION("""COMPUTED_VALUE"""),"18-29")</f>
        <v>18-29</v>
      </c>
      <c r="AG153" s="6"/>
      <c r="AH153" s="6"/>
      <c r="AI153" s="6"/>
      <c r="AJ153" s="6"/>
      <c r="AK153" s="6"/>
      <c r="AL153" s="6"/>
      <c r="AM153" s="6"/>
    </row>
    <row r="154">
      <c r="A154" s="4">
        <v>153.0</v>
      </c>
      <c r="B154" s="6" t="str">
        <f>IFERROR(__xludf.DUMMYFUNCTION("""COMPUTED_VALUE"""),"IT услуги, в B2B")</f>
        <v>IT услуги, в B2B</v>
      </c>
      <c r="C154" s="6" t="str">
        <f>IFERROR(__xludf.DUMMYFUNCTION("""COMPUTED_VALUE"""),"Футбол")</f>
        <v>Футбол</v>
      </c>
      <c r="D154" s="6" t="str">
        <f>IFERROR(__xludf.DUMMYFUNCTION("""COMPUTED_VALUE"""),"Ленинский, Старый Ленинский")</f>
        <v>Ленинский, Старый Ленинский</v>
      </c>
      <c r="E154" s="6" t="str">
        <f>IFERROR(__xludf.DUMMYFUNCTION("""COMPUTED_VALUE"""),"Парк Юбилейный")</f>
        <v>Парк Юбилейный</v>
      </c>
      <c r="F154" s="6" t="str">
        <f>IFERROR(__xludf.DUMMYFUNCTION("""COMPUTED_VALUE"""),"Живу здесь с рождения")</f>
        <v>Живу здесь с рождения</v>
      </c>
      <c r="G154" s="6" t="str">
        <f>IFERROR(__xludf.DUMMYFUNCTION("""COMPUTED_VALUE"""),"Набережная, кинотеатр Юбилейный")</f>
        <v>Набережная, кинотеатр Юбилейный</v>
      </c>
      <c r="H154" s="6" t="str">
        <f>IFERROR(__xludf.DUMMYFUNCTION("""COMPUTED_VALUE"""),"Заводы, уголь, суровый, родной, любимый")</f>
        <v>Заводы, уголь, суровый, родной, любимый</v>
      </c>
      <c r="I154" s="6" t="str">
        <f>IFERROR(__xludf.DUMMYFUNCTION("""COMPUTED_VALUE"""),"Алексей Леонов")</f>
        <v>Алексей Леонов</v>
      </c>
      <c r="J154" s="6" t="str">
        <f>IFERROR(__xludf.DUMMYFUNCTION("""COMPUTED_VALUE"""),"Евгений Гришковец, Тулеев Аман Гумирович")</f>
        <v>Евгений Гришковец, Тулеев Аман Гумирович</v>
      </c>
      <c r="K154" s="6" t="str">
        <f>IFERROR(__xludf.DUMMYFUNCTION("""COMPUTED_VALUE"""),"Ботанический сад, Парк Люскус")</f>
        <v>Ботанический сад, Парк Люскус</v>
      </c>
      <c r="L154" s="6" t="str">
        <f>IFERROR(__xludf.DUMMYFUNCTION("""COMPUTED_VALUE"""),"Где города по берегам реки 
Тепла и света создают запасы, 
Ее добыли в шахте горняки - 
Рабочую мелодию Кузбасса.")</f>
        <v>Где города по берегам реки 
Тепла и света создают запасы, 
Ее добыли в шахте горняки - 
Рабочую мелодию Кузбасса.</v>
      </c>
      <c r="M154" s="6" t="str">
        <f>IFERROR(__xludf.DUMMYFUNCTION("""COMPUTED_VALUE"""),"Жить по-кемеровски")</f>
        <v>Жить по-кемеровски</v>
      </c>
      <c r="N154" s="6" t="str">
        <f>IFERROR(__xludf.DUMMYFUNCTION("""COMPUTED_VALUE"""),"Чистые улицы, чистый воздух, есть где погулять, торговые центры, развитие города ")</f>
        <v>Чистые улицы, чистый воздух, есть где погулять, торговые центры, развитие города </v>
      </c>
      <c r="O154" s="6" t="str">
        <f>IFERROR(__xludf.DUMMYFUNCTION("""COMPUTED_VALUE"""),"Освободить улицу Заречная от домов, пересилив жителей в другие районы и построить на этом месте культурный кластер, т.к. каждую зиму затапливает дома, и нужно с этим что то делать.")</f>
        <v>Освободить улицу Заречная от домов, пересилив жителей в другие районы и построить на этом месте культурный кластер, т.к. каждую зиму затапливает дома, и нужно с этим что то делать.</v>
      </c>
      <c r="P154" s="6" t="str">
        <f>IFERROR(__xludf.DUMMYFUNCTION("""COMPUTED_VALUE"""),"Инстаграмм, вконтакте, радио на улицах, знакомые")</f>
        <v>Инстаграмм, вконтакте, радио на улицах, знакомые</v>
      </c>
      <c r="Q154"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54" s="6" t="str">
        <f>IFERROR(__xludf.DUMMYFUNCTION("""COMPUTED_VALUE"""),"Новый год и масленица")</f>
        <v>Новый год и масленица</v>
      </c>
      <c r="S154" s="6" t="str">
        <f>IFERROR(__xludf.DUMMYFUNCTION("""COMPUTED_VALUE"""),"Делал рассылку по электронной почте")</f>
        <v>Делал рассылку по электронной почте</v>
      </c>
      <c r="T154" s="6" t="str">
        <f>IFERROR(__xludf.DUMMYFUNCTION("""COMPUTED_VALUE"""),"Угольная столица")</f>
        <v>Угольная столица</v>
      </c>
      <c r="U154" s="6" t="str">
        <f>IFERROR(__xludf.DUMMYFUNCTION("""COMPUTED_VALUE"""),"ул.Весенняя и вечный огонь")</f>
        <v>ул.Весенняя и вечный огонь</v>
      </c>
      <c r="V154" s="6" t="str">
        <f>IFERROR(__xludf.DUMMYFUNCTION("""COMPUTED_VALUE"""),"Развитие промышленности и добыча угля")</f>
        <v>Развитие промышленности и добыча угля</v>
      </c>
      <c r="W154" s="6" t="str">
        <f>IFERROR(__xludf.DUMMYFUNCTION("""COMPUTED_VALUE"""),"Жесткие люди")</f>
        <v>Жесткие люди</v>
      </c>
      <c r="X154" s="6" t="str">
        <f>IFERROR(__xludf.DUMMYFUNCTION("""COMPUTED_VALUE"""),"Набережная, Ленина, Юбилейный, Лесная поляна")</f>
        <v>Набережная, Ленина, Юбилейный, Лесная поляна</v>
      </c>
      <c r="Y154" s="6" t="str">
        <f>IFERROR(__xludf.DUMMYFUNCTION("""COMPUTED_VALUE"""),"Построили аэропорт")</f>
        <v>Построили аэропорт</v>
      </c>
      <c r="Z154" s="6" t="str">
        <f>IFERROR(__xludf.DUMMYFUNCTION("""COMPUTED_VALUE"""),"Строительство новых домов")</f>
        <v>Строительство новых домов</v>
      </c>
      <c r="AA154" s="6" t="str">
        <f>IFERROR(__xludf.DUMMYFUNCTION("""COMPUTED_VALUE"""),"Смог зимой, когда не чем дышать")</f>
        <v>Смог зимой, когда не чем дышать</v>
      </c>
      <c r="AB154" s="6" t="str">
        <f>IFERROR(__xludf.DUMMYFUNCTION("""COMPUTED_VALUE"""),"Культурных")</f>
        <v>Культурных</v>
      </c>
      <c r="AC154" s="6" t="str">
        <f>IFERROR(__xludf.DUMMYFUNCTION("""COMPUTED_VALUE"""),"Сообщества по интересам")</f>
        <v>Сообщества по интересам</v>
      </c>
      <c r="AD154" s="6" t="str">
        <f>IFERROR(__xludf.DUMMYFUNCTION("""COMPUTED_VALUE"""),"Организатор")</f>
        <v>Организатор</v>
      </c>
      <c r="AE154" s="6" t="str">
        <f>IFERROR(__xludf.DUMMYFUNCTION("""COMPUTED_VALUE"""),"Мужской")</f>
        <v>Мужской</v>
      </c>
      <c r="AF154" s="6" t="str">
        <f>IFERROR(__xludf.DUMMYFUNCTION("""COMPUTED_VALUE"""),"30-44")</f>
        <v>30-44</v>
      </c>
      <c r="AG154" s="6"/>
      <c r="AH154" s="6"/>
      <c r="AI154" s="6"/>
      <c r="AJ154" s="6"/>
      <c r="AK154" s="6"/>
      <c r="AL154" s="6"/>
      <c r="AM154" s="6"/>
    </row>
    <row r="155">
      <c r="A155" s="4">
        <v>154.0</v>
      </c>
      <c r="B155" s="6" t="str">
        <f>IFERROR(__xludf.DUMMYFUNCTION("""COMPUTED_VALUE"""),"Пресс-секретарь")</f>
        <v>Пресс-секретарь</v>
      </c>
      <c r="C155" s="6" t="str">
        <f>IFERROR(__xludf.DUMMYFUNCTION("""COMPUTED_VALUE"""),"Аналитика")</f>
        <v>Аналитика</v>
      </c>
      <c r="D155" s="6" t="str">
        <f>IFERROR(__xludf.DUMMYFUNCTION("""COMPUTED_VALUE"""),"Центральный")</f>
        <v>Центральный</v>
      </c>
      <c r="E155" s="6" t="str">
        <f>IFERROR(__xludf.DUMMYFUNCTION("""COMPUTED_VALUE"""),"Улица Весенняя")</f>
        <v>Улица Весенняя</v>
      </c>
      <c r="F155"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155" s="6" t="str">
        <f>IFERROR(__xludf.DUMMYFUNCTION("""COMPUTED_VALUE"""),"Кофейни")</f>
        <v>Кофейни</v>
      </c>
      <c r="H155" s="6" t="str">
        <f>IFERROR(__xludf.DUMMYFUNCTION("""COMPUTED_VALUE"""),"Компактный, комфортный, меняющийся, молодой, удобный")</f>
        <v>Компактный, комфортный, меняющийся, молодой, удобный</v>
      </c>
      <c r="I155" s="6" t="str">
        <f>IFERROR(__xludf.DUMMYFUNCTION("""COMPUTED_VALUE"""),"Михайлов, Бурдин, Батиевский Богдан Васильевич, Георгий Конрицкий ")</f>
        <v>Михайлов, Бурдин, Батиевский Богдан Васильевич, Георгий Конрицкий </v>
      </c>
      <c r="J155" s="6" t="str">
        <f>IFERROR(__xludf.DUMMYFUNCTION("""COMPUTED_VALUE"""),"Середюк, Цивилёв, Федяев Михаил, ")</f>
        <v>Середюк, Цивилёв, Федяев Михаил, </v>
      </c>
      <c r="K155" s="6" t="str">
        <f>IFERROR(__xludf.DUMMYFUNCTION("""COMPUTED_VALUE"""),"Памятник ""Рабочий"" во дворе Арочной 41")</f>
        <v>Памятник "Рабочий" во дворе Арочной 41</v>
      </c>
      <c r="L155" s="6" t="str">
        <f>IFERROR(__xludf.DUMMYFUNCTION("""COMPUTED_VALUE"""),"Не знаю")</f>
        <v>Не знаю</v>
      </c>
      <c r="M155" s="6" t="str">
        <f>IFERROR(__xludf.DUMMYFUNCTION("""COMPUTED_VALUE"""),"Не знаю")</f>
        <v>Не знаю</v>
      </c>
      <c r="N155" s="6" t="str">
        <f>IFERROR(__xludf.DUMMYFUNCTION("""COMPUTED_VALUE"""),"Компактность, качество общественного транспорта, развитая сфера услуг, своевременный ремонт общественных пространств, чистота")</f>
        <v>Компактность, качество общественного транспорта, развитая сфера услуг, своевременный ремонт общественных пространств, чистота</v>
      </c>
      <c r="O155" s="6" t="str">
        <f>IFERROR(__xludf.DUMMYFUNCTION("""COMPUTED_VALUE"""),"Регламентация рекламных вывесок в соответствии с дизайн-кодом города")</f>
        <v>Регламентация рекламных вывесок в соответствии с дизайн-кодом города</v>
      </c>
      <c r="P155" s="6" t="str">
        <f>IFERROR(__xludf.DUMMYFUNCTION("""COMPUTED_VALUE"""),"Городские сообщества ВК/телеграмм")</f>
        <v>Городские сообщества ВК/телеграмм</v>
      </c>
      <c r="Q155" s="6" t="str">
        <f>IFERROR(__xludf.DUMMYFUNCTION("""COMPUTED_VALUE"""),"куда пойти в свободное время, где вкусно поесть/открытие новых кафе/ресторанов, результаты местных исследований (рейтинги/аналитика/тенденции)")</f>
        <v>куда пойти в свободное время, где вкусно поесть/открытие новых кафе/ресторанов, результаты местных исследований (рейтинги/аналитика/тенденции)</v>
      </c>
      <c r="R155" s="6" t="str">
        <f>IFERROR(__xludf.DUMMYFUNCTION("""COMPUTED_VALUE"""),"Нет таких")</f>
        <v>Нет таких</v>
      </c>
      <c r="S155" s="6" t="str">
        <f>IFERROR(__xludf.DUMMYFUNCTION("""COMPUTED_VALUE"""),"Нет, не приходилось")</f>
        <v>Нет, не приходилось</v>
      </c>
      <c r="T155" s="6" t="str">
        <f>IFERROR(__xludf.DUMMYFUNCTION("""COMPUTED_VALUE"""),"Столица угольной промышленности")</f>
        <v>Столица угольной промышленности</v>
      </c>
      <c r="U155" s="6" t="str">
        <f>IFERROR(__xludf.DUMMYFUNCTION("""COMPUTED_VALUE"""),"Весенняя улица")</f>
        <v>Весенняя улица</v>
      </c>
      <c r="V155" s="6" t="str">
        <f>IFERROR(__xludf.DUMMYFUNCTION("""COMPUTED_VALUE"""),"-")</f>
        <v>-</v>
      </c>
      <c r="W155" s="6" t="str">
        <f>IFERROR(__xludf.DUMMYFUNCTION("""COMPUTED_VALUE"""),"Спокойные")</f>
        <v>Спокойные</v>
      </c>
      <c r="X155" s="6" t="str">
        <f>IFERROR(__xludf.DUMMYFUNCTION("""COMPUTED_VALUE"""),"Весенняя улица - набережная - советский проспект - площадь Пушкина.")</f>
        <v>Весенняя улица - набережная - советский проспект - площадь Пушкина.</v>
      </c>
      <c r="Y155" s="6" t="str">
        <f>IFERROR(__xludf.DUMMYFUNCTION("""COMPUTED_VALUE"""),"Пожар в Зимней Вишне")</f>
        <v>Пожар в Зимней Вишне</v>
      </c>
      <c r="Z155" s="6" t="str">
        <f>IFERROR(__xludf.DUMMYFUNCTION("""COMPUTED_VALUE"""),"Ремонт Бульвара Строителей ")</f>
        <v>Ремонт Бульвара Строителей </v>
      </c>
      <c r="AA155" s="6" t="str">
        <f>IFERROR(__xludf.DUMMYFUNCTION("""COMPUTED_VALUE"""),"Пожар в Зимней Вишне")</f>
        <v>Пожар в Зимней Вишне</v>
      </c>
      <c r="AB155" s="6" t="str">
        <f>IFERROR(__xludf.DUMMYFUNCTION("""COMPUTED_VALUE"""),"Всего хватает")</f>
        <v>Всего хватает</v>
      </c>
      <c r="AC155" s="6" t="str">
        <f>IFERROR(__xludf.DUMMYFUNCTION("""COMPUTED_VALUE"""),"не знаю")</f>
        <v>не знаю</v>
      </c>
      <c r="AD155" s="6" t="str">
        <f>IFERROR(__xludf.DUMMYFUNCTION("""COMPUTED_VALUE"""),"Продвижение ")</f>
        <v>Продвижение </v>
      </c>
      <c r="AE155" s="6" t="str">
        <f>IFERROR(__xludf.DUMMYFUNCTION("""COMPUTED_VALUE"""),"Мужской")</f>
        <v>Мужской</v>
      </c>
      <c r="AF155" s="6" t="str">
        <f>IFERROR(__xludf.DUMMYFUNCTION("""COMPUTED_VALUE"""),"18-29")</f>
        <v>18-29</v>
      </c>
      <c r="AG155" s="6"/>
      <c r="AH155" s="6"/>
      <c r="AI155" s="6"/>
      <c r="AJ155" s="6"/>
      <c r="AK155" s="6"/>
      <c r="AL155" s="6"/>
      <c r="AM155" s="6"/>
    </row>
    <row r="156">
      <c r="A156" s="4">
        <v>155.0</v>
      </c>
      <c r="B156" s="6" t="str">
        <f>IFERROR(__xludf.DUMMYFUNCTION("""COMPUTED_VALUE"""),"Студент")</f>
        <v>Студент</v>
      </c>
      <c r="C156" s="6" t="str">
        <f>IFERROR(__xludf.DUMMYFUNCTION("""COMPUTED_VALUE"""),"Рисование пейзажей, катание на скейте, велосипеде")</f>
        <v>Рисование пейзажей, катание на скейте, велосипеде</v>
      </c>
      <c r="D156" s="6" t="str">
        <f>IFERROR(__xludf.DUMMYFUNCTION("""COMPUTED_VALUE"""),"Кировский район (Кировский)")</f>
        <v>Кировский район (Кировский)</v>
      </c>
      <c r="E156" s="6" t="str">
        <f>IFERROR(__xludf.DUMMYFUNCTION("""COMPUTED_VALUE"""),"Набережная и прогулочные территории рядом с ней")</f>
        <v>Набережная и прогулочные территории рядом с ней</v>
      </c>
      <c r="F156" s="6" t="str">
        <f>IFERROR(__xludf.DUMMYFUNCTION("""COMPUTED_VALUE"""),"Живу здесь с рождения")</f>
        <v>Живу здесь с рождения</v>
      </c>
      <c r="G156" s="6" t="str">
        <f>IFERROR(__xludf.DUMMYFUNCTION("""COMPUTED_VALUE"""),"На набережную Кировского района и в парки возле областной библиотеки")</f>
        <v>На набережную Кировского района и в парки возле областной библиотеки</v>
      </c>
      <c r="H156" s="6" t="str">
        <f>IFERROR(__xludf.DUMMYFUNCTION("""COMPUTED_VALUE"""),"Культурный, развивающийся, обладающий потенциалом, творческий,  ")</f>
        <v>Культурный, развивающийся, обладающий потенциалом, творческий,  </v>
      </c>
      <c r="I156" s="6" t="str">
        <f>IFERROR(__xludf.DUMMYFUNCTION("""COMPUTED_VALUE"""),"Йоханнес ван Лохем")</f>
        <v>Йоханнес ван Лохем</v>
      </c>
      <c r="J156" s="6" t="str">
        <f>IFERROR(__xludf.DUMMYFUNCTION("""COMPUTED_VALUE"""),"Ольга Васильева (проекты ""Внутри и снаружи"", ""Рыба шагала"")")</f>
        <v>Ольга Васильева (проекты "Внутри и снаружи", "Рыба шагала")</v>
      </c>
      <c r="K156" s="6" t="str">
        <f>IFERROR(__xludf.DUMMYFUNCTION("""COMPUTED_VALUE"""),"Архитектуру театров, застройку центрального района и такие же дома в Кировском районе. И именно в Кировском районе хотелось бы, чтобы человек прогулялся. Идя по Севастопольской улице, чувствуешь тот масштаб и ""ощущение"" истории. Это улица, построенная д"&amp;"ля парадов - большая, просторная; дома высокие, парадно украшенные архитектурными элементами.")</f>
        <v>Архитектуру театров, застройку центрального района и такие же дома в Кировском районе. И именно в Кировском районе хотелось бы, чтобы человек прогулялся. Идя по Севастопольской улице, чувствуешь тот масштаб и "ощущение" истории. Это улица, построенная для парадов - большая, просторная; дома высокие, парадно украшенные архитектурными элементами.</v>
      </c>
      <c r="L156" s="6" t="str">
        <f>IFERROR(__xludf.DUMMYFUNCTION("""COMPUTED_VALUE"""),"Затрудняюсь ответить")</f>
        <v>Затрудняюсь ответить</v>
      </c>
      <c r="M156" s="6" t="str">
        <f>IFERROR(__xludf.DUMMYFUNCTION("""COMPUTED_VALUE"""),"Нет")</f>
        <v>Нет</v>
      </c>
      <c r="N156" s="6" t="str">
        <f>IFERROR(__xludf.DUMMYFUNCTION("""COMPUTED_VALUE"""),"Развитый общественный транспорт;
Общественные пространства во всех районах города;
")</f>
        <v>Развитый общественный транспорт;
Общественные пространства во всех районах города;
</v>
      </c>
      <c r="O156" s="6" t="str">
        <f>IFERROR(__xludf.DUMMYFUNCTION("""COMPUTED_VALUE"""),"Было бы неплохо привести в порядок общественные пространства и организовать в них мероприятия для горожан. Возможно, платформы, на которых горожане сами своими силами смогли бы группироваться и что-то устраивать.")</f>
        <v>Было бы неплохо привести в порядок общественные пространства и организовать в них мероприятия для горожан. Возможно, платформы, на которых горожане сами своими силами смогли бы группироваться и что-то устраивать.</v>
      </c>
      <c r="P156" s="6" t="str">
        <f>IFERROR(__xludf.DUMMYFUNCTION("""COMPUTED_VALUE"""),"Инстаграм, Вконтакте")</f>
        <v>Инстаграм, Вконтакте</v>
      </c>
      <c r="Q156"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предпринимателями, результаты местных исследований (рейтинги/аналитика/тенденции), интервью с экспертами на разные те"&amp;"мы (напишите в разделе Другое свои предложения), экспертами в сфере культуры и искусства")</f>
        <v>куда пойти в свободное время, городская афиша (кино/театр/концерты), культурные новинки (что почитать/что послушать),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 экспертами в сфере культуры и искусства</v>
      </c>
      <c r="R156" s="6" t="str">
        <f>IFERROR(__xludf.DUMMYFUNCTION("""COMPUTED_VALUE"""),"День города, День шахтёра, День семьи, любви и верности")</f>
        <v>День города, День шахтёра, День семьи, любви и верности</v>
      </c>
      <c r="S156" s="6" t="str">
        <f>IFERROR(__xludf.DUMMYFUNCTION("""COMPUTED_VALUE"""),"Через социальные сети (Какие? Укажите в графе другое), Вела аккаунт про культурные мероприятия города Кемерово и достопримечательности Кемеровской области")</f>
        <v>Через социальные сети (Какие? Укажите в графе другое), Вела аккаунт про культурные мероприятия города Кемерово и достопримечательности Кемеровской области</v>
      </c>
      <c r="T156" s="6" t="str">
        <f>IFERROR(__xludf.DUMMYFUNCTION("""COMPUTED_VALUE"""),"Кемерово известен угольной промышленностью. В этом плане у нас были поставлены спектакли на шахтерскую тему, которые были уникальны тем, что как нигде больше, они были очень глубоко прочувствованы, как самими актерами, так и жителями города. Ведь у нас пр"&amp;"авда раньше чуть ли не каждая семья была связана с профессией шахтера, и это действительно было очень близко и понятно.
Но сейчас делается поворот в сторону творческих индустрий. Этому свидетельствует и постройка кластера. Сейчас жители города устали от и"&amp;"ндустриальной темы. Постоянные проблемы с экологией из-за заводов дают о себе знать. Художники больше не изображают промышленные предприятия (индустриальный пейзаж), а уходят к изображению природы (лирический пейзаж).
В связи с этим, можно сказать, что ун"&amp;"икальной становится ситуация, когда жители промышленного города стараются выйти на другой уровень. От промышленности перейти к культуре и обратиться к природе.")</f>
        <v>Кемерово известен угольной промышленностью. В этом плане у нас были поставлены спектакли на шахтерскую тему, которые были уникальны тем, что как нигде больше, они были очень глубоко прочувствованы, как самими актерами, так и жителями города. Ведь у нас правда раньше чуть ли не каждая семья была связана с профессией шахтера, и это действительно было очень близко и понятно.
Но сейчас делается поворот в сторону творческих индустрий. Этому свидетельствует и постройка кластера. Сейчас жители города устали от индустриальной темы. Постоянные проблемы с экологией из-за заводов дают о себе знать. Художники больше не изображают промышленные предприятия (индустриальный пейзаж), а уходят к изображению природы (лирический пейзаж).
В связи с этим, можно сказать, что уникальной становится ситуация, когда жители промышленного города стараются выйти на другой уровень. От промышленности перейти к культуре и обратиться к природе.</v>
      </c>
      <c r="U156" s="6" t="str">
        <f>IFERROR(__xludf.DUMMYFUNCTION("""COMPUTED_VALUE"""),"Можно сказать, что центром города выступает ось, на которой стоят театры - драматический и музыкальный.")</f>
        <v>Можно сказать, что центром города выступает ось, на которой стоят театры - драматический и музыкальный.</v>
      </c>
      <c r="V156" s="6" t="str">
        <f>IFERROR(__xludf.DUMMYFUNCTION("""COMPUTED_VALUE"""),"Затрудняюсь ответить")</f>
        <v>Затрудняюсь ответить</v>
      </c>
      <c r="W156" s="6" t="str">
        <f>IFERROR(__xludf.DUMMYFUNCTION("""COMPUTED_VALUE"""),"Искренние, любящие объединяться по интересам. Творческие.")</f>
        <v>Искренние, любящие объединяться по интересам. Творческие.</v>
      </c>
      <c r="X156" s="6" t="str">
        <f>IFERROR(__xludf.DUMMYFUNCTION("""COMPUTED_VALUE"""),"Посмотреть наши театры")</f>
        <v>Посмотреть наши театры</v>
      </c>
      <c r="Y156" s="6" t="str">
        <f>IFERROR(__xludf.DUMMYFUNCTION("""COMPUTED_VALUE"""),"Не могу сказать")</f>
        <v>Не могу сказать</v>
      </c>
      <c r="Z156" s="6" t="str">
        <f>IFERROR(__xludf.DUMMYFUNCTION("""COMPUTED_VALUE"""),"Открытие выставки ""Река Томь-4. Наша малая Родина"". После карантина такое масштабное открытие выставки (было представлено много работ изобразительного искусства и перформансы) вызвало большой интерес у зрителей. Ведь из-за карантина люди устали сидеть д"&amp;"ома и хотели уже увидеть что-то, поучаствовать, пообщаться.")</f>
        <v>Открытие выставки "Река Томь-4. Наша малая Родина". После карантина такое масштабное открытие выставки (было представлено много работ изобразительного искусства и перформансы) вызвало большой интерес у зрителей. Ведь из-за карантина люди устали сидеть дома и хотели уже увидеть что-то, поучаствовать, пообщаться.</v>
      </c>
      <c r="AA156" s="6" t="str">
        <f>IFERROR(__xludf.DUMMYFUNCTION("""COMPUTED_VALUE"""),"Конфликт из-за витражей города Кемерово")</f>
        <v>Конфликт из-за витражей города Кемерово</v>
      </c>
      <c r="AB156" s="6" t="str">
        <f>IFERROR(__xludf.DUMMYFUNCTION("""COMPUTED_VALUE"""),"Творческих пространств, для объединения жителей одного района.
Например, было бы интересно в Кировском районе (в области набережной или близлежащей аллеи) установить небольшую камерную сцену с парой-тройкой скамеек для зрителей/слушателей.
Так люди нашего"&amp;" района смогли бы по интересам приходить туда и, например, декламировать стихи, музыканты выступать. Дети школы №19 занимаются в театральной секции, им было бы интересно репетировать свои выступления (при том перед зрителями, которыми выступили бы жители "&amp;"района, прогуливающиеся рядом) ")</f>
        <v>Творческих пространств, для объединения жителей одного района.
Например, было бы интересно в Кировском районе (в области набережной или близлежащей аллеи) установить небольшую камерную сцену с парой-тройкой скамеек для зрителей/слушателей.
Так люди нашего района смогли бы по интересам приходить туда и, например, декламировать стихи, музыканты выступать. Дети школы №19 занимаются в театральной секции, им было бы интересно репетировать свои выступления (при том перед зрителями, которыми выступили бы жители района, прогуливающиеся рядом) </v>
      </c>
      <c r="AC156" s="6" t="str">
        <f>IFERROR(__xludf.DUMMYFUNCTION("""COMPUTED_VALUE"""),"Больше различных творческих фестивалей, конкурсов, возможности на какой-либо платформе (постоянно функционирующей) организовывать мероприятия самими активными горожанами.
У нас очень много творческих людей. И было бы здорово и интересно, например, слушать"&amp;" наших талантливых музыкантов, поэтов, видеть работы художников.")</f>
        <v>Больше различных творческих фестивалей, конкурсов, возможности на какой-либо платформе (постоянно функционирующей) организовывать мероприятия самими активными горожанами.
У нас очень много творческих людей. И было бы здорово и интересно, например, слушать наших талантливых музыкантов, поэтов, видеть работы художников.</v>
      </c>
      <c r="AD156" s="6" t="str">
        <f>IFERROR(__xludf.DUMMYFUNCTION("""COMPUTED_VALUE"""),"У меня есть несколько идей арт-объектов, которые можно установить в городе Кемерово.
Например: на набережной Кировского района можно разметить арт-объект - небольшое колесо обозрения (можно, чтобы оно функционировало). Это будет для жителей района символо"&amp;"м связи с прошлым, нашей историей, нашей индивидуальностью. Ведь у нас можно так сказать, ходят легенды о том, что на набережной Кировского района уже было колесо обозрения, но кто-то уверен, что этого не было. Это было бы новой изюминкой района и интерес"&amp;"ной историей. Арт-объект важный, как для самих жителей (связь с прошлым нашей набережной), так и увлекательный для гостей города (интересная легенда).")</f>
        <v>У меня есть несколько идей арт-объектов, которые можно установить в городе Кемерово.
Например: на набережной Кировского района можно разметить арт-объект - небольшое колесо обозрения (можно, чтобы оно функционировало). Это будет для жителей района символом связи с прошлым, нашей историей, нашей индивидуальностью. Ведь у нас можно так сказать, ходят легенды о том, что на набережной Кировского района уже было колесо обозрения, но кто-то уверен, что этого не было. Это было бы новой изюминкой района и интересной историей. Арт-объект важный, как для самих жителей (связь с прошлым нашей набережной), так и увлекательный для гостей города (интересная легенда).</v>
      </c>
      <c r="AE156" s="6" t="str">
        <f>IFERROR(__xludf.DUMMYFUNCTION("""COMPUTED_VALUE"""),"Женский")</f>
        <v>Женский</v>
      </c>
      <c r="AF156" s="6" t="str">
        <f>IFERROR(__xludf.DUMMYFUNCTION("""COMPUTED_VALUE"""),"18-29")</f>
        <v>18-29</v>
      </c>
      <c r="AG156" s="6"/>
      <c r="AH156" s="6"/>
      <c r="AI156" s="6"/>
      <c r="AJ156" s="6"/>
      <c r="AK156" s="6"/>
      <c r="AL156" s="6"/>
      <c r="AM156" s="6"/>
    </row>
    <row r="157">
      <c r="A157" s="4">
        <v>156.0</v>
      </c>
      <c r="B157" s="6" t="str">
        <f>IFERROR(__xludf.DUMMYFUNCTION("""COMPUTED_VALUE"""),"Студентка КемГИК")</f>
        <v>Студентка КемГИК</v>
      </c>
      <c r="C157" s="6" t="str">
        <f>IFERROR(__xludf.DUMMYFUNCTION("""COMPUTED_VALUE"""),"Обожаю петь и играть на гитаре")</f>
        <v>Обожаю петь и играть на гитаре</v>
      </c>
      <c r="D157" s="6" t="str">
        <f>IFERROR(__xludf.DUMMYFUNCTION("""COMPUTED_VALUE"""),"Заводский район, шахта Ягуновская. Ягуновка.")</f>
        <v>Заводский район, шахта Ягуновская. Ягуновка.</v>
      </c>
      <c r="E157" s="6" t="str">
        <f>IFERROR(__xludf.DUMMYFUNCTION("""COMPUTED_VALUE"""),"Сложный вопрос... Парк, наверное")</f>
        <v>Сложный вопрос... Парк, наверное</v>
      </c>
      <c r="F157" s="6" t="str">
        <f>IFERROR(__xludf.DUMMYFUNCTION("""COMPUTED_VALUE"""),"Живу здесь с рождения")</f>
        <v>Живу здесь с рождения</v>
      </c>
      <c r="G157" s="6" t="str">
        <f>IFERROR(__xludf.DUMMYFUNCTION("""COMPUTED_VALUE"""),"Парк Ангелов, Парк Чудес, Набережная, площадь Советов, пр. Ленина ")</f>
        <v>Парк Ангелов, Парк Чудес, Набережная, площадь Советов, пр. Ленина </v>
      </c>
      <c r="H157" s="6" t="str">
        <f>IFERROR(__xludf.DUMMYFUNCTION("""COMPUTED_VALUE"""),"Уголь, шахта, Ленин, промышленность, конструктивизм")</f>
        <v>Уголь, шахта, Ленин, промышленность, конструктивизм</v>
      </c>
      <c r="I157" s="6" t="str">
        <f>IFERROR(__xludf.DUMMYFUNCTION("""COMPUTED_VALUE"""),"Вера Волошина, Алексей Леонов, Михайло Волков, Андрей Панин")</f>
        <v>Вера Волошина, Алексей Леонов, Михайло Волков, Андрей Панин</v>
      </c>
      <c r="J157" s="6" t="str">
        <f>IFERROR(__xludf.DUMMYFUNCTION("""COMPUTED_VALUE"""),"Не приходят на ум")</f>
        <v>Не приходят на ум</v>
      </c>
      <c r="K157" s="6" t="str">
        <f>IFERROR(__xludf.DUMMYFUNCTION("""COMPUTED_VALUE"""),"Томская писаница, Парк Ангелов ")</f>
        <v>Томская писаница, Парк Ангелов </v>
      </c>
      <c r="L157" s="6" t="str">
        <f>IFERROR(__xludf.DUMMYFUNCTION("""COMPUTED_VALUE"""),"Дуракам закон не писан; тише едешь — дальше будешь; 
— Милая, я посмотрел на мир другими глазами!
— Ещё бы! Первый раз за полгода трезвый!; 
")</f>
        <v>Дуракам закон не писан; тише едешь — дальше будешь; 
— Милая, я посмотрел на мир другими глазами!
— Ещё бы! Первый раз за полгода трезвый!; 
</v>
      </c>
      <c r="M157" s="6" t="str">
        <f>IFERROR(__xludf.DUMMYFUNCTION("""COMPUTED_VALUE"""),"Нет")</f>
        <v>Нет</v>
      </c>
      <c r="N157" s="6" t="str">
        <f>IFERROR(__xludf.DUMMYFUNCTION("""COMPUTED_VALUE"""),"Красивые места, свежий воздух, чистота, архитектура, скверы")</f>
        <v>Красивые места, свежий воздух, чистота, архитектура, скверы</v>
      </c>
      <c r="O157" s="6" t="str">
        <f>IFERROR(__xludf.DUMMYFUNCTION("""COMPUTED_VALUE"""),"Отреставрировать здания в центре; правильно спроектировать дороги (чтобы грязь на тротуарах не валялась комками весной!!! Хотя бы избавиться от открытого грунта и посадить !нормальный! газон, а не жалкое подобие). Короче, много чего я бы изменила в городе")</f>
        <v>Отреставрировать здания в центре; правильно спроектировать дороги (чтобы грязь на тротуарах не валялась комками весной!!! Хотя бы избавиться от открытого грунта и посадить !нормальный! газон, а не жалкое подобие). Короче, много чего я бы изменила в городе</v>
      </c>
      <c r="P157" s="6" t="str">
        <f>IFERROR(__xludf.DUMMYFUNCTION("""COMPUTED_VALUE"""),"Группы во ВКонтакте, друзья ")</f>
        <v>Группы во ВКонтакте, друзья </v>
      </c>
      <c r="Q157"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57" s="6" t="str">
        <f>IFERROR(__xludf.DUMMYFUNCTION("""COMPUTED_VALUE"""),"Нет таких")</f>
        <v>Нет таких</v>
      </c>
      <c r="S157" s="6" t="str">
        <f>IFERROR(__xludf.DUMMYFUNCTION("""COMPUTED_VALUE"""),"Нет, не приходилось")</f>
        <v>Нет, не приходилось</v>
      </c>
      <c r="T157" s="6" t="str">
        <f>IFERROR(__xludf.DUMMYFUNCTION("""COMPUTED_VALUE"""),"Знаменит углём, трагедией в ""Зимней вишне"". Ну и столица Кузбасса, как никак. ")</f>
        <v>Знаменит углём, трагедией в "Зимней вишне". Ну и столица Кузбасса, как никак. </v>
      </c>
      <c r="U157" s="6" t="str">
        <f>IFERROR(__xludf.DUMMYFUNCTION("""COMPUTED_VALUE"""),"Парк Ангелов, пр. Ленина, цирк")</f>
        <v>Парк Ангелов, пр. Ленина, цирк</v>
      </c>
      <c r="V157" s="6" t="str">
        <f>IFERROR(__xludf.DUMMYFUNCTION("""COMPUTED_VALUE"""),"Андрей Панин добился успеха в киноиндустрии. Алексей Леонов первым вышел в открытый космос")</f>
        <v>Андрей Панин добился успеха в киноиндустрии. Алексей Леонов первым вышел в открытый космос</v>
      </c>
      <c r="W157" s="6" t="str">
        <f>IFERROR(__xludf.DUMMYFUNCTION("""COMPUTED_VALUE"""),"Отзывчивые, простые, добрые.")</f>
        <v>Отзывчивые, простые, добрые.</v>
      </c>
      <c r="X157" s="6" t="str">
        <f>IFERROR(__xludf.DUMMYFUNCTION("""COMPUTED_VALUE"""),"Летом лучше на Набережную. А зимой — на Площадь Советов, когда там горки и красивые ледяные постройки")</f>
        <v>Летом лучше на Набережную. А зимой — на Площадь Советов, когда там горки и красивые ледяные постройки</v>
      </c>
      <c r="Y157" s="6" t="str">
        <f>IFERROR(__xludf.DUMMYFUNCTION("""COMPUTED_VALUE"""),"К сожалению, это трагедия в ""Зимней вишне""")</f>
        <v>К сожалению, это трагедия в "Зимней вишне"</v>
      </c>
      <c r="Z157" s="6" t="str">
        <f>IFERROR(__xludf.DUMMYFUNCTION("""COMPUTED_VALUE"""),"Походы в культурные места: театры, кинотеатры, Кузбасский центр искусств.")</f>
        <v>Походы в культурные места: театры, кинотеатры, Кузбасский центр искусств.</v>
      </c>
      <c r="AA157" s="6" t="str">
        <f>IFERROR(__xludf.DUMMYFUNCTION("""COMPUTED_VALUE"""),"Назначение Цивилёва на пост губернатора")</f>
        <v>Назначение Цивилёва на пост губернатора</v>
      </c>
      <c r="AB157" s="6" t="str">
        <f>IFERROR(__xludf.DUMMYFUNCTION("""COMPUTED_VALUE"""),"Творческих. Да их, скорее, не то, что не хватает, просто о них ничего неизвестно")</f>
        <v>Творческих. Да их, скорее, не то, что не хватает, просто о них ничего неизвестно</v>
      </c>
      <c r="AC157" s="6" t="str">
        <f>IFERROR(__xludf.DUMMYFUNCTION("""COMPUTED_VALUE"""),"Больше творчества, концертов и, конечно, провокаций")</f>
        <v>Больше творчества, концертов и, конечно, провокаций</v>
      </c>
      <c r="AD157" s="6" t="str">
        <f>IFERROR(__xludf.DUMMYFUNCTION("""COMPUTED_VALUE"""),"Хотела бы помогать развивать культуру в любой роли, лишь бы пользу приносить")</f>
        <v>Хотела бы помогать развивать культуру в любой роли, лишь бы пользу приносить</v>
      </c>
      <c r="AE157" s="6" t="str">
        <f>IFERROR(__xludf.DUMMYFUNCTION("""COMPUTED_VALUE"""),"Женский")</f>
        <v>Женский</v>
      </c>
      <c r="AF157" s="6" t="str">
        <f>IFERROR(__xludf.DUMMYFUNCTION("""COMPUTED_VALUE"""),"18-29")</f>
        <v>18-29</v>
      </c>
      <c r="AG157" s="6"/>
      <c r="AH157" s="6"/>
      <c r="AI157" s="6"/>
      <c r="AJ157" s="6"/>
      <c r="AK157" s="6"/>
      <c r="AL157" s="6"/>
      <c r="AM157" s="6"/>
    </row>
    <row r="158">
      <c r="A158" s="4">
        <v>157.0</v>
      </c>
      <c r="B158" s="6" t="str">
        <f>IFERROR(__xludf.DUMMYFUNCTION("""COMPUTED_VALUE"""),"Студентка КемГИК")</f>
        <v>Студентка КемГИК</v>
      </c>
      <c r="C158" s="6" t="str">
        <f>IFERROR(__xludf.DUMMYFUNCTION("""COMPUTED_VALUE"""),"Обожаю петь и играть на гитаре")</f>
        <v>Обожаю петь и играть на гитаре</v>
      </c>
      <c r="D158" s="6" t="str">
        <f>IFERROR(__xludf.DUMMYFUNCTION("""COMPUTED_VALUE"""),"Заводский район, шахта Ягуновская. Ягуновка.")</f>
        <v>Заводский район, шахта Ягуновская. Ягуновка.</v>
      </c>
      <c r="E158" s="6" t="str">
        <f>IFERROR(__xludf.DUMMYFUNCTION("""COMPUTED_VALUE"""),"Сложный вопрос... Парк, наверное")</f>
        <v>Сложный вопрос... Парк, наверное</v>
      </c>
      <c r="F158" s="6" t="str">
        <f>IFERROR(__xludf.DUMMYFUNCTION("""COMPUTED_VALUE"""),"Живу здесь с рождения")</f>
        <v>Живу здесь с рождения</v>
      </c>
      <c r="G158" s="6" t="str">
        <f>IFERROR(__xludf.DUMMYFUNCTION("""COMPUTED_VALUE"""),"Парк Ангелов, Парк Чудес, Набережная, площадь Советов, пр. Ленина ")</f>
        <v>Парк Ангелов, Парк Чудес, Набережная, площадь Советов, пр. Ленина </v>
      </c>
      <c r="H158" s="6" t="str">
        <f>IFERROR(__xludf.DUMMYFUNCTION("""COMPUTED_VALUE"""),"Уголь, шахта, Ленин, промышленность, конструктивизм")</f>
        <v>Уголь, шахта, Ленин, промышленность, конструктивизм</v>
      </c>
      <c r="I158" s="6" t="str">
        <f>IFERROR(__xludf.DUMMYFUNCTION("""COMPUTED_VALUE"""),"Вера Волошина, Алексей Леонов, Михайло Волков, Андрей Панин")</f>
        <v>Вера Волошина, Алексей Леонов, Михайло Волков, Андрей Панин</v>
      </c>
      <c r="J158" s="6" t="str">
        <f>IFERROR(__xludf.DUMMYFUNCTION("""COMPUTED_VALUE"""),"Не приходят на ум")</f>
        <v>Не приходят на ум</v>
      </c>
      <c r="K158" s="6" t="str">
        <f>IFERROR(__xludf.DUMMYFUNCTION("""COMPUTED_VALUE"""),"Томская писаница, Парк Ангелов ")</f>
        <v>Томская писаница, Парк Ангелов </v>
      </c>
      <c r="L158" s="6" t="str">
        <f>IFERROR(__xludf.DUMMYFUNCTION("""COMPUTED_VALUE"""),"Дуракам закон не писан; тише едешь — дальше будешь; 
— Милая, я посмотрел на мир другими глазами!
— Ещё бы! Первый раз за полгода трезвый!; 
")</f>
        <v>Дуракам закон не писан; тише едешь — дальше будешь; 
— Милая, я посмотрел на мир другими глазами!
— Ещё бы! Первый раз за полгода трезвый!; 
</v>
      </c>
      <c r="M158" s="6" t="str">
        <f>IFERROR(__xludf.DUMMYFUNCTION("""COMPUTED_VALUE"""),"Нет")</f>
        <v>Нет</v>
      </c>
      <c r="N158" s="6" t="str">
        <f>IFERROR(__xludf.DUMMYFUNCTION("""COMPUTED_VALUE"""),"Красивые места, свежий воздух, чистота, архитектура, скверы")</f>
        <v>Красивые места, свежий воздух, чистота, архитектура, скверы</v>
      </c>
      <c r="O158" s="6" t="str">
        <f>IFERROR(__xludf.DUMMYFUNCTION("""COMPUTED_VALUE"""),"Отреставрировать здания в центре; правильно спроектировать дороги (чтобы грязь на тротуарах не валялась комками весной!!! Хотя бы избавиться от открытого грунта и посадить !нормальный! газон, а не жалкое подобие). Короче, много чего я бы изменила в городе")</f>
        <v>Отреставрировать здания в центре; правильно спроектировать дороги (чтобы грязь на тротуарах не валялась комками весной!!! Хотя бы избавиться от открытого грунта и посадить !нормальный! газон, а не жалкое подобие). Короче, много чего я бы изменила в городе</v>
      </c>
      <c r="P158" s="6" t="str">
        <f>IFERROR(__xludf.DUMMYFUNCTION("""COMPUTED_VALUE"""),"Группы во ВКонтакте, друзья ")</f>
        <v>Группы во ВКонтакте, друзья </v>
      </c>
      <c r="Q158"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58" s="6" t="str">
        <f>IFERROR(__xludf.DUMMYFUNCTION("""COMPUTED_VALUE"""),"Нет таких")</f>
        <v>Нет таких</v>
      </c>
      <c r="S158" s="6" t="str">
        <f>IFERROR(__xludf.DUMMYFUNCTION("""COMPUTED_VALUE"""),"Нет, не приходилось")</f>
        <v>Нет, не приходилось</v>
      </c>
      <c r="T158" s="6" t="str">
        <f>IFERROR(__xludf.DUMMYFUNCTION("""COMPUTED_VALUE"""),"Знаменит углём, трагедией в ""Зимней вишне"". Ну и столица Кузбасса, как никак. ")</f>
        <v>Знаменит углём, трагедией в "Зимней вишне". Ну и столица Кузбасса, как никак. </v>
      </c>
      <c r="U158" s="6" t="str">
        <f>IFERROR(__xludf.DUMMYFUNCTION("""COMPUTED_VALUE"""),"Парк Ангелов, пр. Ленина, цирк")</f>
        <v>Парк Ангелов, пр. Ленина, цирк</v>
      </c>
      <c r="V158" s="6" t="str">
        <f>IFERROR(__xludf.DUMMYFUNCTION("""COMPUTED_VALUE"""),"Андрей Панин добился успеха в киноиндустрии. Алексей Леонов первым вышел в открытый космос")</f>
        <v>Андрей Панин добился успеха в киноиндустрии. Алексей Леонов первым вышел в открытый космос</v>
      </c>
      <c r="W158" s="6" t="str">
        <f>IFERROR(__xludf.DUMMYFUNCTION("""COMPUTED_VALUE"""),"Отзывчивые, простые, добрые.")</f>
        <v>Отзывчивые, простые, добрые.</v>
      </c>
      <c r="X158" s="6" t="str">
        <f>IFERROR(__xludf.DUMMYFUNCTION("""COMPUTED_VALUE"""),"Летом лучше на Набережную. А зимой — на Площадь Советов, когда там горки и красивые ледяные постройки")</f>
        <v>Летом лучше на Набережную. А зимой — на Площадь Советов, когда там горки и красивые ледяные постройки</v>
      </c>
      <c r="Y158" s="6" t="str">
        <f>IFERROR(__xludf.DUMMYFUNCTION("""COMPUTED_VALUE"""),"К сожалению, это трагедия в ""Зимней вишне""")</f>
        <v>К сожалению, это трагедия в "Зимней вишне"</v>
      </c>
      <c r="Z158" s="6" t="str">
        <f>IFERROR(__xludf.DUMMYFUNCTION("""COMPUTED_VALUE"""),"Походы в культурные места: театры, кинотеатры, Кузбасский центр искусств.")</f>
        <v>Походы в культурные места: театры, кинотеатры, Кузбасский центр искусств.</v>
      </c>
      <c r="AA158" s="6" t="str">
        <f>IFERROR(__xludf.DUMMYFUNCTION("""COMPUTED_VALUE"""),"Назначение Цивилёва на пост губернатора")</f>
        <v>Назначение Цивилёва на пост губернатора</v>
      </c>
      <c r="AB158" s="6" t="str">
        <f>IFERROR(__xludf.DUMMYFUNCTION("""COMPUTED_VALUE"""),"Творческих. Да их, скорее, не то, что не хватает, просто о них ничего неизвестно")</f>
        <v>Творческих. Да их, скорее, не то, что не хватает, просто о них ничего неизвестно</v>
      </c>
      <c r="AC158" s="6" t="str">
        <f>IFERROR(__xludf.DUMMYFUNCTION("""COMPUTED_VALUE"""),"Больше творчества, концертов и, конечно, провокаций")</f>
        <v>Больше творчества, концертов и, конечно, провокаций</v>
      </c>
      <c r="AD158" s="6" t="str">
        <f>IFERROR(__xludf.DUMMYFUNCTION("""COMPUTED_VALUE"""),"Хотела бы помогать развивать культуру в любой роли, лишь бы пользу приносить")</f>
        <v>Хотела бы помогать развивать культуру в любой роли, лишь бы пользу приносить</v>
      </c>
      <c r="AE158" s="6" t="str">
        <f>IFERROR(__xludf.DUMMYFUNCTION("""COMPUTED_VALUE"""),"Женский")</f>
        <v>Женский</v>
      </c>
      <c r="AF158" s="6" t="str">
        <f>IFERROR(__xludf.DUMMYFUNCTION("""COMPUTED_VALUE"""),"18-29")</f>
        <v>18-29</v>
      </c>
      <c r="AG158" s="6"/>
      <c r="AH158" s="6"/>
      <c r="AI158" s="6"/>
      <c r="AJ158" s="6"/>
      <c r="AK158" s="6"/>
      <c r="AL158" s="6"/>
      <c r="AM158" s="6"/>
    </row>
    <row r="159">
      <c r="A159" s="4">
        <v>158.0</v>
      </c>
      <c r="B159" s="6" t="str">
        <f>IFERROR(__xludf.DUMMYFUNCTION("""COMPUTED_VALUE"""),"Студентка КемГИК")</f>
        <v>Студентка КемГИК</v>
      </c>
      <c r="C159" s="6" t="str">
        <f>IFERROR(__xludf.DUMMYFUNCTION("""COMPUTED_VALUE"""),"Обожаю петь и играть на гитаре")</f>
        <v>Обожаю петь и играть на гитаре</v>
      </c>
      <c r="D159" s="6" t="str">
        <f>IFERROR(__xludf.DUMMYFUNCTION("""COMPUTED_VALUE"""),"Заводский район, шахта Ягуновская. Ягуновка.")</f>
        <v>Заводский район, шахта Ягуновская. Ягуновка.</v>
      </c>
      <c r="E159" s="6" t="str">
        <f>IFERROR(__xludf.DUMMYFUNCTION("""COMPUTED_VALUE"""),"Сложный вопрос... Парк, наверное")</f>
        <v>Сложный вопрос... Парк, наверное</v>
      </c>
      <c r="F159" s="6" t="str">
        <f>IFERROR(__xludf.DUMMYFUNCTION("""COMPUTED_VALUE"""),"Живу здесь с рождения")</f>
        <v>Живу здесь с рождения</v>
      </c>
      <c r="G159" s="6" t="str">
        <f>IFERROR(__xludf.DUMMYFUNCTION("""COMPUTED_VALUE"""),"Парк Ангелов, Парк Чудес, Набережная, площадь Советов, пр. Ленина ")</f>
        <v>Парк Ангелов, Парк Чудес, Набережная, площадь Советов, пр. Ленина </v>
      </c>
      <c r="H159" s="6" t="str">
        <f>IFERROR(__xludf.DUMMYFUNCTION("""COMPUTED_VALUE"""),"Уголь, шахта, Ленин, промышленность, конструктивизм")</f>
        <v>Уголь, шахта, Ленин, промышленность, конструктивизм</v>
      </c>
      <c r="I159" s="6" t="str">
        <f>IFERROR(__xludf.DUMMYFUNCTION("""COMPUTED_VALUE"""),"Вера Волошина, Алексей Леонов, Михайло Волков, Андрей Панин")</f>
        <v>Вера Волошина, Алексей Леонов, Михайло Волков, Андрей Панин</v>
      </c>
      <c r="J159" s="6" t="str">
        <f>IFERROR(__xludf.DUMMYFUNCTION("""COMPUTED_VALUE"""),"Не приходят на ум")</f>
        <v>Не приходят на ум</v>
      </c>
      <c r="K159" s="6" t="str">
        <f>IFERROR(__xludf.DUMMYFUNCTION("""COMPUTED_VALUE"""),"Томская писаница, Парк Ангелов ")</f>
        <v>Томская писаница, Парк Ангелов </v>
      </c>
      <c r="L159" s="6" t="str">
        <f>IFERROR(__xludf.DUMMYFUNCTION("""COMPUTED_VALUE"""),"Дуракам закон не писан; тише едешь — дальше будешь; 
— Милая, я посмотрел на мир другими глазами!
— Ещё бы! Первый раз за полгода трезвый!; 
")</f>
        <v>Дуракам закон не писан; тише едешь — дальше будешь; 
— Милая, я посмотрел на мир другими глазами!
— Ещё бы! Первый раз за полгода трезвый!; 
</v>
      </c>
      <c r="M159" s="6" t="str">
        <f>IFERROR(__xludf.DUMMYFUNCTION("""COMPUTED_VALUE"""),"Нет")</f>
        <v>Нет</v>
      </c>
      <c r="N159" s="6" t="str">
        <f>IFERROR(__xludf.DUMMYFUNCTION("""COMPUTED_VALUE"""),"Красивые места, свежий воздух, чистота, архитектура, скверы")</f>
        <v>Красивые места, свежий воздух, чистота, архитектура, скверы</v>
      </c>
      <c r="O159" s="6" t="str">
        <f>IFERROR(__xludf.DUMMYFUNCTION("""COMPUTED_VALUE"""),"Отреставрировать здания в центре; правильно спроектировать дороги (чтобы грязь на тротуарах не валялась комками весной!!! Хотя бы избавиться от открытого грунта и посадить !нормальный! газон, а не жалкое подобие). Короче, много чего я бы изменила в городе")</f>
        <v>Отреставрировать здания в центре; правильно спроектировать дороги (чтобы грязь на тротуарах не валялась комками весной!!! Хотя бы избавиться от открытого грунта и посадить !нормальный! газон, а не жалкое подобие). Короче, много чего я бы изменила в городе</v>
      </c>
      <c r="P159" s="6" t="str">
        <f>IFERROR(__xludf.DUMMYFUNCTION("""COMPUTED_VALUE"""),"Группы во ВКонтакте, друзья ")</f>
        <v>Группы во ВКонтакте, друзья </v>
      </c>
      <c r="Q159"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59" s="6" t="str">
        <f>IFERROR(__xludf.DUMMYFUNCTION("""COMPUTED_VALUE"""),"Нет таких")</f>
        <v>Нет таких</v>
      </c>
      <c r="S159" s="6" t="str">
        <f>IFERROR(__xludf.DUMMYFUNCTION("""COMPUTED_VALUE"""),"Нет, не приходилось")</f>
        <v>Нет, не приходилось</v>
      </c>
      <c r="T159" s="6" t="str">
        <f>IFERROR(__xludf.DUMMYFUNCTION("""COMPUTED_VALUE"""),"Знаменит углём, трагедией в ""Зимней вишне"". Ну и столица Кузбасса, как никак. ")</f>
        <v>Знаменит углём, трагедией в "Зимней вишне". Ну и столица Кузбасса, как никак. </v>
      </c>
      <c r="U159" s="6" t="str">
        <f>IFERROR(__xludf.DUMMYFUNCTION("""COMPUTED_VALUE"""),"Парк Ангелов, пр. Ленина, цирк")</f>
        <v>Парк Ангелов, пр. Ленина, цирк</v>
      </c>
      <c r="V159" s="6" t="str">
        <f>IFERROR(__xludf.DUMMYFUNCTION("""COMPUTED_VALUE"""),"Андрей Панин добился успеха в киноиндустрии. Алексей Леонов первым вышел в открытый космос")</f>
        <v>Андрей Панин добился успеха в киноиндустрии. Алексей Леонов первым вышел в открытый космос</v>
      </c>
      <c r="W159" s="6" t="str">
        <f>IFERROR(__xludf.DUMMYFUNCTION("""COMPUTED_VALUE"""),"Отзывчивые, простые, добрые.")</f>
        <v>Отзывчивые, простые, добрые.</v>
      </c>
      <c r="X159" s="6" t="str">
        <f>IFERROR(__xludf.DUMMYFUNCTION("""COMPUTED_VALUE"""),"Летом лучше на Набережную. А зимой — на Площадь Советов, когда там горки и красивые ледяные постройки")</f>
        <v>Летом лучше на Набережную. А зимой — на Площадь Советов, когда там горки и красивые ледяные постройки</v>
      </c>
      <c r="Y159" s="6" t="str">
        <f>IFERROR(__xludf.DUMMYFUNCTION("""COMPUTED_VALUE"""),"К сожалению, это трагедия в ""Зимней вишне""")</f>
        <v>К сожалению, это трагедия в "Зимней вишне"</v>
      </c>
      <c r="Z159" s="6" t="str">
        <f>IFERROR(__xludf.DUMMYFUNCTION("""COMPUTED_VALUE"""),"Походы в культурные места: театры, кинотеатры, Кузбасский центр искусств.")</f>
        <v>Походы в культурные места: театры, кинотеатры, Кузбасский центр искусств.</v>
      </c>
      <c r="AA159" s="6" t="str">
        <f>IFERROR(__xludf.DUMMYFUNCTION("""COMPUTED_VALUE"""),"Назначение Цивилёва на пост губернатора")</f>
        <v>Назначение Цивилёва на пост губернатора</v>
      </c>
      <c r="AB159" s="6" t="str">
        <f>IFERROR(__xludf.DUMMYFUNCTION("""COMPUTED_VALUE"""),"Творческих. Да их, скорее, не то, что не хватает, просто о них ничего неизвестно")</f>
        <v>Творческих. Да их, скорее, не то, что не хватает, просто о них ничего неизвестно</v>
      </c>
      <c r="AC159" s="6" t="str">
        <f>IFERROR(__xludf.DUMMYFUNCTION("""COMPUTED_VALUE"""),"Больше творчества, концертов и, конечно, провокаций")</f>
        <v>Больше творчества, концертов и, конечно, провокаций</v>
      </c>
      <c r="AD159" s="6" t="str">
        <f>IFERROR(__xludf.DUMMYFUNCTION("""COMPUTED_VALUE"""),"Хотела бы помогать развивать культуру в любой роли, лишь бы пользу приносить")</f>
        <v>Хотела бы помогать развивать культуру в любой роли, лишь бы пользу приносить</v>
      </c>
      <c r="AE159" s="6" t="str">
        <f>IFERROR(__xludf.DUMMYFUNCTION("""COMPUTED_VALUE"""),"Женский")</f>
        <v>Женский</v>
      </c>
      <c r="AF159" s="6" t="str">
        <f>IFERROR(__xludf.DUMMYFUNCTION("""COMPUTED_VALUE"""),"18-29")</f>
        <v>18-29</v>
      </c>
      <c r="AG159" s="6"/>
      <c r="AH159" s="6"/>
      <c r="AI159" s="6"/>
      <c r="AJ159" s="6"/>
      <c r="AK159" s="6"/>
      <c r="AL159" s="6"/>
      <c r="AM159" s="6"/>
    </row>
    <row r="160">
      <c r="A160" s="4">
        <v>159.0</v>
      </c>
      <c r="B160" s="6" t="str">
        <f>IFERROR(__xludf.DUMMYFUNCTION("""COMPUTED_VALUE"""),"культура")</f>
        <v>культура</v>
      </c>
      <c r="C160" s="6" t="str">
        <f>IFERROR(__xludf.DUMMYFUNCTION("""COMPUTED_VALUE"""),"вязание")</f>
        <v>вязание</v>
      </c>
      <c r="D160" s="6" t="str">
        <f>IFERROR(__xludf.DUMMYFUNCTION("""COMPUTED_VALUE"""),"ленинский")</f>
        <v>ленинский</v>
      </c>
      <c r="E160" s="6" t="str">
        <f>IFERROR(__xludf.DUMMYFUNCTION("""COMPUTED_VALUE"""),"Набережная")</f>
        <v>Набережная</v>
      </c>
      <c r="F160" s="6" t="str">
        <f>IFERROR(__xludf.DUMMYFUNCTION("""COMPUTED_VALUE"""),"Переехал сюда из другого места (откуда? укажите в графе другое), Алтай")</f>
        <v>Переехал сюда из другого места (откуда? укажите в графе другое), Алтай</v>
      </c>
      <c r="G160" s="6" t="str">
        <f>IFERROR(__xludf.DUMMYFUNCTION("""COMPUTED_VALUE"""),"ни в каких")</f>
        <v>ни в каких</v>
      </c>
      <c r="H160" s="6" t="str">
        <f>IFERROR(__xludf.DUMMYFUNCTION("""COMPUTED_VALUE"""),"Уголь, детство, Аман Тулеев, уехать, скука")</f>
        <v>Уголь, детство, Аман Тулеев, уехать, скука</v>
      </c>
      <c r="I160" s="6" t="str">
        <f>IFERROR(__xludf.DUMMYFUNCTION("""COMPUTED_VALUE"""),"Аман Тулеев")</f>
        <v>Аман Тулеев</v>
      </c>
      <c r="J160" s="6" t="str">
        <f>IFERROR(__xludf.DUMMYFUNCTION("""COMPUTED_VALUE"""),"Холкина Ирина Петровна")</f>
        <v>Холкина Ирина Петровна</v>
      </c>
      <c r="K160" s="6" t="str">
        <f>IFERROR(__xludf.DUMMYFUNCTION("""COMPUTED_VALUE"""),"набережную")</f>
        <v>набережную</v>
      </c>
      <c r="L160" s="6" t="str">
        <f>IFERROR(__xludf.DUMMYFUNCTION("""COMPUTED_VALUE"""),"В фильме ""Выйти замуж за капитана"" героиня Веры Глагольевой говорит: - Ну и женишься на какой нить коротконогой толстухе с тремя детьми из кемерово.
")</f>
        <v>В фильме "Выйти замуж за капитана" героиня Веры Глагольевой говорит: - Ну и женишься на какой нить коротконогой толстухе с тремя детьми из кемерово.
</v>
      </c>
      <c r="M160" s="6" t="str">
        <f>IFERROR(__xludf.DUMMYFUNCTION("""COMPUTED_VALUE"""),"нет")</f>
        <v>нет</v>
      </c>
      <c r="N160" s="6" t="str">
        <f>IFERROR(__xludf.DUMMYFUNCTION("""COMPUTED_VALUE"""),"доступность транспорта, поликлиники (без очередей), чистые магазины с вежливыми продавцами, чобы лифт работал")</f>
        <v>доступность транспорта, поликлиники (без очередей), чистые магазины с вежливыми продавцами, чобы лифт работал</v>
      </c>
      <c r="O160" s="6" t="str">
        <f>IFERROR(__xludf.DUMMYFUNCTION("""COMPUTED_VALUE"""),"не знаю")</f>
        <v>не знаю</v>
      </c>
      <c r="P160" s="6" t="str">
        <f>IFERROR(__xludf.DUMMYFUNCTION("""COMPUTED_VALUE"""),"интернет")</f>
        <v>интернет</v>
      </c>
      <c r="Q160" s="6" t="str">
        <f>IFERROR(__xludf.DUMMYFUNCTION("""COMPUTED_VALUE"""),"культурные новинки (что почитать/что послушать), о простых людях")</f>
        <v>культурные новинки (что почитать/что послушать), о простых людях</v>
      </c>
      <c r="R160" s="6" t="str">
        <f>IFERROR(__xludf.DUMMYFUNCTION("""COMPUTED_VALUE"""),"мне все равно")</f>
        <v>мне все равно</v>
      </c>
      <c r="S160" s="6" t="str">
        <f>IFERROR(__xludf.DUMMYFUNCTION("""COMPUTED_VALUE"""),"Нет, не приходилось")</f>
        <v>Нет, не приходилось</v>
      </c>
      <c r="T160" s="6" t="str">
        <f>IFERROR(__xludf.DUMMYFUNCTION("""COMPUTED_VALUE"""),"Кемерово знаменит Аманом Тулеевым, елкой за 18 млн")</f>
        <v>Кемерово знаменит Аманом Тулеевым, елкой за 18 млн</v>
      </c>
      <c r="U160" s="6" t="str">
        <f>IFERROR(__xludf.DUMMYFUNCTION("""COMPUTED_VALUE"""),"площадь Советов")</f>
        <v>площадь Советов</v>
      </c>
      <c r="V160" s="6" t="str">
        <f>IFERROR(__xludf.DUMMYFUNCTION("""COMPUTED_VALUE"""),"??? за всех ответить сложно
")</f>
        <v>??? за всех ответить сложно
</v>
      </c>
      <c r="W160" s="6" t="str">
        <f>IFERROR(__xludf.DUMMYFUNCTION("""COMPUTED_VALUE"""),"разные, как и везде в России")</f>
        <v>разные, как и везде в России</v>
      </c>
      <c r="X160" s="6" t="str">
        <f>IFERROR(__xludf.DUMMYFUNCTION("""COMPUTED_VALUE"""),"до аэропорта")</f>
        <v>до аэропорта</v>
      </c>
      <c r="Y160" s="6" t="str">
        <f>IFERROR(__xludf.DUMMYFUNCTION("""COMPUTED_VALUE"""),"ввод 6 батареи на Коксе")</f>
        <v>ввод 6 батареи на Коксе</v>
      </c>
      <c r="Z160" s="6" t="str">
        <f>IFERROR(__xludf.DUMMYFUNCTION("""COMPUTED_VALUE"""),"Концерт Гергиева")</f>
        <v>Концерт Гергиева</v>
      </c>
      <c r="AA160" s="6" t="str">
        <f>IFERROR(__xludf.DUMMYFUNCTION("""COMPUTED_VALUE"""),"да все нормально")</f>
        <v>да все нормально</v>
      </c>
      <c r="AB160" s="6" t="str">
        <f>IFERROR(__xludf.DUMMYFUNCTION("""COMPUTED_VALUE"""),"фриганов")</f>
        <v>фриганов</v>
      </c>
      <c r="AC160" s="6" t="str">
        <f>IFERROR(__xludf.DUMMYFUNCTION("""COMPUTED_VALUE"""),"зарядки для пенсионеров на свежем воздухе")</f>
        <v>зарядки для пенсионеров на свежем воздухе</v>
      </c>
      <c r="AD160" s="6" t="str">
        <f>IFERROR(__xludf.DUMMYFUNCTION("""COMPUTED_VALUE"""),"делиться опытом многодетной матери")</f>
        <v>делиться опытом многодетной матери</v>
      </c>
      <c r="AE160" s="6" t="str">
        <f>IFERROR(__xludf.DUMMYFUNCTION("""COMPUTED_VALUE"""),"Женский")</f>
        <v>Женский</v>
      </c>
      <c r="AF160" s="6" t="str">
        <f>IFERROR(__xludf.DUMMYFUNCTION("""COMPUTED_VALUE"""),"старше 55")</f>
        <v>старше 55</v>
      </c>
      <c r="AG160" s="6"/>
      <c r="AH160" s="6"/>
      <c r="AI160" s="6"/>
      <c r="AJ160" s="6"/>
      <c r="AK160" s="6"/>
      <c r="AL160" s="6"/>
      <c r="AM160" s="6"/>
    </row>
    <row r="161">
      <c r="A161" s="4">
        <v>160.0</v>
      </c>
      <c r="B161" s="6" t="str">
        <f>IFERROR(__xludf.DUMMYFUNCTION("""COMPUTED_VALUE"""),"Работа в сфере продаж")</f>
        <v>Работа в сфере продаж</v>
      </c>
      <c r="C161" s="6" t="str">
        <f>IFERROR(__xludf.DUMMYFUNCTION("""COMPUTED_VALUE"""),"Есть, Кондитерка")</f>
        <v>Есть, Кондитерка</v>
      </c>
      <c r="D161" s="6" t="str">
        <f>IFERROR(__xludf.DUMMYFUNCTION("""COMPUTED_VALUE"""),"Южный")</f>
        <v>Южный</v>
      </c>
      <c r="E161" s="6" t="str">
        <f>IFERROR(__xludf.DUMMYFUNCTION("""COMPUTED_VALUE"""),"Никаких")</f>
        <v>Никаких</v>
      </c>
      <c r="F161" s="6" t="str">
        <f>IFERROR(__xludf.DUMMYFUNCTION("""COMPUTED_VALUE"""),"Переехал сюда из другого места (откуда? укажите в графе другое), Новосибирская область город Каргат")</f>
        <v>Переехал сюда из другого места (откуда? укажите в графе другое), Новосибирская область город Каргат</v>
      </c>
      <c r="G161" s="6" t="str">
        <f>IFERROR(__xludf.DUMMYFUNCTION("""COMPUTED_VALUE"""),"Притомье, Сосновый бор.")</f>
        <v>Притомье, Сосновый бор.</v>
      </c>
      <c r="H161" s="6" t="str">
        <f>IFERROR(__xludf.DUMMYFUNCTION("""COMPUTED_VALUE"""),"Дым, серость, стройка, уголь, маленький")</f>
        <v>Дым, серость, стройка, уголь, маленький</v>
      </c>
      <c r="I161" s="6" t="str">
        <f>IFERROR(__xludf.DUMMYFUNCTION("""COMPUTED_VALUE"""),"Леонов, Малышева, Волошина, Подгорбунский, хотя это по Кузбассу...")</f>
        <v>Леонов, Малышева, Волошина, Подгорбунский, хотя это по Кузбассу...</v>
      </c>
      <c r="J161" s="6" t="str">
        <f>IFERROR(__xludf.DUMMYFUNCTION("""COMPUTED_VALUE"""),"Тулеев")</f>
        <v>Тулеев</v>
      </c>
      <c r="K161" s="6" t="str">
        <f>IFERROR(__xludf.DUMMYFUNCTION("""COMPUTED_VALUE"""),"Орел на горе (сосновый бор)")</f>
        <v>Орел на горе (сосновый бор)</v>
      </c>
      <c r="L161" s="6" t="str">
        <f>IFERROR(__xludf.DUMMYFUNCTION("""COMPUTED_VALUE"""),"Двое пашут, а семеро руками машут. Где родился – там и пригодился. Чем богаты, тем и рады.")</f>
        <v>Двое пашут, а семеро руками машут. Где родился – там и пригодился. Чем богаты, тем и рады.</v>
      </c>
      <c r="M161" s="6" t="str">
        <f>IFERROR(__xludf.DUMMYFUNCTION("""COMPUTED_VALUE"""),"нет")</f>
        <v>нет</v>
      </c>
      <c r="N161" s="6" t="str">
        <f>IFERROR(__xludf.DUMMYFUNCTION("""COMPUTED_VALUE"""),"Чисто без мусора, зоны отдыха , туалеты на улице обустроенные конечно, (современные в местах отдыха), развитая логистика, качественные дороги")</f>
        <v>Чисто без мусора, зоны отдыха , туалеты на улице обустроенные конечно, (современные в местах отдыха), развитая логистика, качественные дороги</v>
      </c>
      <c r="O161" s="6" t="str">
        <f>IFERROR(__xludf.DUMMYFUNCTION("""COMPUTED_VALUE"""),"внешний вид города и дороги!")</f>
        <v>внешний вид города и дороги!</v>
      </c>
      <c r="P161" s="6" t="str">
        <f>IFERROR(__xludf.DUMMYFUNCTION("""COMPUTED_VALUE"""),"просторы интернета, определенного места нет")</f>
        <v>просторы интернета, определенного места нет</v>
      </c>
      <c r="Q161" s="6" t="str">
        <f>IFERROR(__xludf.DUMMYFUNCTION("""COMPUTED_VALUE"""),"криминальные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f>
        <v>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v>
      </c>
      <c r="R161" s="6" t="str">
        <f>IFERROR(__xludf.DUMMYFUNCTION("""COMPUTED_VALUE"""),"вообще нет таких праздников. А для других жителей: наверное, День шахтера, 9 мая.")</f>
        <v>вообще нет таких праздников. А для других жителей: наверное, День шахтера, 9 мая.</v>
      </c>
      <c r="S161" s="6" t="str">
        <f>IFERROR(__xludf.DUMMYFUNCTION("""COMPUTED_VALUE"""),"Через социальные сети (Какие? Укажите в графе другое), Инстаграм")</f>
        <v>Через социальные сети (Какие? Укажите в графе другое), Инстаграм</v>
      </c>
      <c r="T161" s="6" t="str">
        <f>IFERROR(__xludf.DUMMYFUNCTION("""COMPUTED_VALUE"""),"парк Ангелов")</f>
        <v>парк Ангелов</v>
      </c>
      <c r="U161" s="6" t="str">
        <f>IFERROR(__xludf.DUMMYFUNCTION("""COMPUTED_VALUE"""),"бульвар строителей (верхний), аллея Южный, кировский роща березовая")</f>
        <v>бульвар строителей (верхний), аллея Южный, кировский роща березовая</v>
      </c>
      <c r="V161" s="6" t="str">
        <f>IFERROR(__xludf.DUMMYFUNCTION("""COMPUTED_VALUE"""),"ничего особенного")</f>
        <v>ничего особенного</v>
      </c>
      <c r="W161" s="6" t="str">
        <f>IFERROR(__xludf.DUMMYFUNCTION("""COMPUTED_VALUE"""),"постоянно в суете, необщительные, делятся на 3 лагеря: работяги, лентяи и студенты")</f>
        <v>постоянно в суете, необщительные, делятся на 3 лагеря: работяги, лентяи и студенты</v>
      </c>
      <c r="X161" s="6" t="str">
        <f>IFERROR(__xludf.DUMMYFUNCTION("""COMPUTED_VALUE"""),"по кузнецкому вдоль моста")</f>
        <v>по кузнецкому вдоль моста</v>
      </c>
      <c r="Y161" s="6" t="str">
        <f>IFERROR(__xludf.DUMMYFUNCTION("""COMPUTED_VALUE"""),"не знаю")</f>
        <v>не знаю</v>
      </c>
      <c r="Z161" s="6" t="str">
        <f>IFERROR(__xludf.DUMMYFUNCTION("""COMPUTED_VALUE"""),"-")</f>
        <v>-</v>
      </c>
      <c r="AA161" s="6" t="str">
        <f>IFERROR(__xludf.DUMMYFUNCTION("""COMPUTED_VALUE"""),"Зимняя вишня, убийство девушки в квартире в которую не приехала полиция, потому что нет свободных экипажей.")</f>
        <v>Зимняя вишня, убийство девушки в квартире в которую не приехала полиция, потому что нет свободных экипажей.</v>
      </c>
      <c r="AB161" s="6" t="str">
        <f>IFERROR(__xludf.DUMMYFUNCTION("""COMPUTED_VALUE"""),"-")</f>
        <v>-</v>
      </c>
      <c r="AC161" s="6" t="str">
        <f>IFERROR(__xludf.DUMMYFUNCTION("""COMPUTED_VALUE"""),"семейные")</f>
        <v>семейные</v>
      </c>
      <c r="AD161" s="6" t="str">
        <f>IFERROR(__xludf.DUMMYFUNCTION("""COMPUTED_VALUE"""),"участник")</f>
        <v>участник</v>
      </c>
      <c r="AE161" s="6" t="str">
        <f>IFERROR(__xludf.DUMMYFUNCTION("""COMPUTED_VALUE"""),"Женский")</f>
        <v>Женский</v>
      </c>
      <c r="AF161" s="6" t="str">
        <f>IFERROR(__xludf.DUMMYFUNCTION("""COMPUTED_VALUE"""),"30-44")</f>
        <v>30-44</v>
      </c>
      <c r="AG161" s="6"/>
      <c r="AH161" s="6"/>
      <c r="AI161" s="6"/>
      <c r="AJ161" s="6"/>
      <c r="AK161" s="6"/>
      <c r="AL161" s="6"/>
      <c r="AM161" s="6"/>
    </row>
    <row r="162">
      <c r="A162" s="4">
        <v>161.0</v>
      </c>
      <c r="B162" s="6" t="str">
        <f>IFERROR(__xludf.DUMMYFUNCTION("""COMPUTED_VALUE"""),"Системный администратор")</f>
        <v>Системный администратор</v>
      </c>
      <c r="C162" s="6" t="str">
        <f>IFERROR(__xludf.DUMMYFUNCTION("""COMPUTED_VALUE"""),"Пою под гитару помаленьку")</f>
        <v>Пою под гитару помаленьку</v>
      </c>
      <c r="D162" s="6" t="str">
        <f>IFERROR(__xludf.DUMMYFUNCTION("""COMPUTED_VALUE"""),"Радуга")</f>
        <v>Радуга</v>
      </c>
      <c r="E162" s="6" t="str">
        <f>IFERROR(__xludf.DUMMYFUNCTION("""COMPUTED_VALUE"""),"2 бора. Это_офис")</f>
        <v>2 бора. Это_офис</v>
      </c>
      <c r="F162"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162" s="6" t="str">
        <f>IFERROR(__xludf.DUMMYFUNCTION("""COMPUTED_VALUE"""),"Лесная Поляна, Журавлёво (в журавлёво прекрасные домики посреди леса)")</f>
        <v>Лесная Поляна, Журавлёво (в журавлёво прекрасные домики посреди леса)</v>
      </c>
      <c r="H162" s="6" t="str">
        <f>IFERROR(__xludf.DUMMYFUNCTION("""COMPUTED_VALUE"""),"Зимняя виншя, Тулеев, уголь, смог, упадок.")</f>
        <v>Зимняя виншя, Тулеев, уголь, смог, упадок.</v>
      </c>
      <c r="I162" s="6" t="str">
        <f>IFERROR(__xludf.DUMMYFUNCTION("""COMPUTED_VALUE"""),"Леонов")</f>
        <v>Леонов</v>
      </c>
      <c r="J162" s="6" t="str">
        <f>IFERROR(__xludf.DUMMYFUNCTION("""COMPUTED_VALUE"""),"Ольга и Миша хозяева кота-да-винчи (закрылся пару лет назад). Александр Маричев - импровизационный музыкант, организатор фестиваля ""Тезисы""")</f>
        <v>Ольга и Миша хозяева кота-да-винчи (закрылся пару лет назад). Александр Маричев - импровизационный музыкант, организатор фестиваля "Тезисы"</v>
      </c>
      <c r="K162" s="6" t="str">
        <f>IFERROR(__xludf.DUMMYFUNCTION("""COMPUTED_VALUE"""),"Парк Ангелов. ")</f>
        <v>Парк Ангелов. </v>
      </c>
      <c r="L162" s="6" t="str">
        <f>IFERROR(__xludf.DUMMYFUNCTION("""COMPUTED_VALUE"""),"Он придёт и молча поправит всё - человек из Кемерово.")</f>
        <v>Он придёт и молча поправит всё - человек из Кемерово.</v>
      </c>
      <c r="M162" s="6" t="str">
        <f>IFERROR(__xludf.DUMMYFUNCTION("""COMPUTED_VALUE"""),"Живу на радуге) ")</f>
        <v>Живу на радуге) </v>
      </c>
      <c r="N162" s="6" t="str">
        <f>IFERROR(__xludf.DUMMYFUNCTION("""COMPUTED_VALUE"""),"Разделение властей, хорошие дороги с долговечным покрытием. ")</f>
        <v>Разделение властей, хорошие дороги с долговечным покрытием. </v>
      </c>
      <c r="O162" s="6" t="str">
        <f>IFERROR(__xludf.DUMMYFUNCTION("""COMPUTED_VALUE"""),"Убрать LED щиты с социальной рекламой (берегись поезда) с Притомского проспекта. Бесполезные. ")</f>
        <v>Убрать LED щиты с социальной рекламой (берегись поезда) с Притомского проспекта. Бесполезные. </v>
      </c>
      <c r="P162" s="6" t="str">
        <f>IFERROR(__xludf.DUMMYFUNCTION("""COMPUTED_VALUE"""),"В последнее время нет интересных событий и мероприятий. ")</f>
        <v>В последнее время нет интересных событий и мероприятий. </v>
      </c>
      <c r="Q162" s="6" t="str">
        <f>IFERROR(__xludf.DUMMYFUNCTION("""COMPUTED_VALUE"""),"городская афиша (кино/театр/концерты), культурные новинки (что почитать/что послушать), интервью с местными политиками")</f>
        <v>городская афиша (кино/театр/концерты), культурные новинки (что почитать/что послушать), интервью с местными политиками</v>
      </c>
      <c r="R162" s="6" t="str">
        <f>IFERROR(__xludf.DUMMYFUNCTION("""COMPUTED_VALUE"""),"Праздники для меня не важны. Для других жителей день города, наверное. ")</f>
        <v>Праздники для меня не важны. Для других жителей день города, наверное. </v>
      </c>
      <c r="S162" s="6" t="str">
        <f>IFERROR(__xludf.DUMMYFUNCTION("""COMPUTED_VALUE"""),"Писал и расклеивал объявления/афиши")</f>
        <v>Писал и расклеивал объявления/афиши</v>
      </c>
      <c r="T162" s="6" t="str">
        <f>IFERROR(__xludf.DUMMYFUNCTION("""COMPUTED_VALUE"""),"Печально знаменит зимней вишней. Памятником раздолбайству и коррупции. Многие знают Тулеева, за пределами области. Помнят его оппозиционную деятельность во времена путча. Уникальное - Район Лесная поляна. ")</f>
        <v>Печально знаменит зимней вишней. Памятником раздолбайству и коррупции. Многие знают Тулеева, за пределами области. Помнят его оппозиционную деятельность во времена путча. Уникальное - Район Лесная поляна. </v>
      </c>
      <c r="U162" s="6" t="str">
        <f>IFERROR(__xludf.DUMMYFUNCTION("""COMPUTED_VALUE"""),"Драмм-театр, весенняя. ")</f>
        <v>Драмм-театр, весенняя. </v>
      </c>
      <c r="V162" s="6" t="str">
        <f>IFERROR(__xludf.DUMMYFUNCTION("""COMPUTED_VALUE"""),"Концепция гордости за свой город мне не близка. ")</f>
        <v>Концепция гордости за свой город мне не близка. </v>
      </c>
      <c r="W162" s="6" t="str">
        <f>IFERROR(__xludf.DUMMYFUNCTION("""COMPUTED_VALUE"""),"Разочарованные. ")</f>
        <v>Разочарованные. </v>
      </c>
      <c r="X162" s="6" t="str">
        <f>IFERROR(__xludf.DUMMYFUNCTION("""COMPUTED_VALUE"""),"Площадь советов, филармония, наберержная -вверх по  весенней - драммтеатр - вних по весенней и до конца по набережной")</f>
        <v>Площадь советов, филармония, наберержная -вверх по  весенней - драммтеатр - вних по весенней и до конца по набережной</v>
      </c>
      <c r="Y162" s="6" t="str">
        <f>IFERROR(__xludf.DUMMYFUNCTION("""COMPUTED_VALUE"""),"Пожар в Зимней вишне. ")</f>
        <v>Пожар в Зимней вишне. </v>
      </c>
      <c r="Z162" s="6" t="str">
        <f>IFERROR(__xludf.DUMMYFUNCTION("""COMPUTED_VALUE"""),"Построили действительно замечательную, очень просторную пешеходную зону возле президентской кадетки")</f>
        <v>Построили действительно замечательную, очень просторную пешеходную зону возле президентской кадетки</v>
      </c>
      <c r="AA162" s="6" t="str">
        <f>IFERROR(__xludf.DUMMYFUNCTION("""COMPUTED_VALUE"""),"Обьединение КЕМГУ и КемТИП. Закрытие Кота-да-винчи ввиду нерентабельности. ЗАкрытие театра Встреча в КемГУ. Миграция творческой интеллигенции в столицы и зарубеж. ")</f>
        <v>Обьединение КЕМГУ и КемТИП. Закрытие Кота-да-винчи ввиду нерентабельности. ЗАкрытие театра Встреча в КемГУ. Миграция творческой интеллигенции в столицы и зарубеж. </v>
      </c>
      <c r="AB162" s="6" t="str">
        <f>IFERROR(__xludf.DUMMYFUNCTION("""COMPUTED_VALUE"""),"Независимых")</f>
        <v>Независимых</v>
      </c>
      <c r="AC162" s="6" t="str">
        <f>IFERROR(__xludf.DUMMYFUNCTION("""COMPUTED_VALUE"""),"Главное, позволять людям делать то что они хотят делать сами. Не вставлять палки в колёса. Поддерживать инициативы. ")</f>
        <v>Главное, позволять людям делать то что они хотят делать сами. Не вставлять палки в колёса. Поддерживать инициативы. </v>
      </c>
      <c r="AD162" s="6" t="str">
        <f>IFERROR(__xludf.DUMMYFUNCTION("""COMPUTED_VALUE"""),"В роли наблюдателя 
")</f>
        <v>В роли наблюдателя 
</v>
      </c>
      <c r="AE162" s="6" t="str">
        <f>IFERROR(__xludf.DUMMYFUNCTION("""COMPUTED_VALUE"""),"Мужской")</f>
        <v>Мужской</v>
      </c>
      <c r="AF162" s="6" t="str">
        <f>IFERROR(__xludf.DUMMYFUNCTION("""COMPUTED_VALUE"""),"18-29")</f>
        <v>18-29</v>
      </c>
      <c r="AG162" s="6"/>
      <c r="AH162" s="6"/>
      <c r="AI162" s="6"/>
      <c r="AJ162" s="6"/>
      <c r="AK162" s="6"/>
      <c r="AL162" s="6"/>
      <c r="AM162" s="6"/>
    </row>
    <row r="163">
      <c r="A163" s="4">
        <v>162.0</v>
      </c>
      <c r="B163" s="6" t="str">
        <f>IFERROR(__xludf.DUMMYFUNCTION("""COMPUTED_VALUE"""),"Культура")</f>
        <v>Культура</v>
      </c>
      <c r="C163" s="6" t="str">
        <f>IFERROR(__xludf.DUMMYFUNCTION("""COMPUTED_VALUE"""),"Плавание")</f>
        <v>Плавание</v>
      </c>
      <c r="D163" s="6" t="str">
        <f>IFERROR(__xludf.DUMMYFUNCTION("""COMPUTED_VALUE"""),"Рудничный")</f>
        <v>Рудничный</v>
      </c>
      <c r="E163" s="6" t="str">
        <f>IFERROR(__xludf.DUMMYFUNCTION("""COMPUTED_VALUE"""),"Памятник Шахтёру, музей Красная Горка")</f>
        <v>Памятник Шахтёру, музей Красная Горка</v>
      </c>
      <c r="F163" s="6" t="str">
        <f>IFERROR(__xludf.DUMMYFUNCTION("""COMPUTED_VALUE"""),"Родилась здесь и  вернулась сюда ")</f>
        <v>Родилась здесь и  вернулась сюда </v>
      </c>
      <c r="G163" s="6" t="str">
        <f>IFERROR(__xludf.DUMMYFUNCTION("""COMPUTED_VALUE"""),"Набережная, Городской сад")</f>
        <v>Набережная, Городской сад</v>
      </c>
      <c r="H163" s="6" t="str">
        <f>IFERROR(__xludf.DUMMYFUNCTION("""COMPUTED_VALUE"""),"Уголь, шахтеры, Томь, Набережная, Красная Горка")</f>
        <v>Уголь, шахтеры, Томь, Набережная, Красная Горка</v>
      </c>
      <c r="I163" s="6" t="str">
        <f>IFERROR(__xludf.DUMMYFUNCTION("""COMPUTED_VALUE"""),"Лев Моисеевич Резников, Аман Гумирович Тулеев")</f>
        <v>Лев Моисеевич Резников, Аман Гумирович Тулеев</v>
      </c>
      <c r="J163" s="6" t="str">
        <f>IFERROR(__xludf.DUMMYFUNCTION("""COMPUTED_VALUE"""),"Алексей Михайлович Стоянов")</f>
        <v>Алексей Михайлович Стоянов</v>
      </c>
      <c r="K163" s="6" t="str">
        <f>IFERROR(__xludf.DUMMYFUNCTION("""COMPUTED_VALUE"""),"музей-заповедник Томская Писаница, жилой район Кедровка, Лесная Полянв")</f>
        <v>музей-заповедник Томская Писаница, жилой район Кедровка, Лесная Полянв</v>
      </c>
      <c r="L163" s="6" t="str">
        <f>IFERROR(__xludf.DUMMYFUNCTION("""COMPUTED_VALUE"""),"Шахтерский труд")</f>
        <v>Шахтерский труд</v>
      </c>
      <c r="M163" s="6" t="str">
        <f>IFERROR(__xludf.DUMMYFUNCTION("""COMPUTED_VALUE"""),"Копать по-кемеровски")</f>
        <v>Копать по-кемеровски</v>
      </c>
      <c r="N163" s="6" t="str">
        <f>IFERROR(__xludf.DUMMYFUNCTION("""COMPUTED_VALUE"""),"Безопасность, удобная транспортная сеть, развитая инфраструктура, экология, культурная среда")</f>
        <v>Безопасность, удобная транспортная сеть, развитая инфраструктура, экология, культурная среда</v>
      </c>
      <c r="O163" s="6" t="str">
        <f>IFERROR(__xludf.DUMMYFUNCTION("""COMPUTED_VALUE"""),"Озеленение города, снесение бараков")</f>
        <v>Озеленение города, снесение бараков</v>
      </c>
      <c r="P163" s="6" t="str">
        <f>IFERROR(__xludf.DUMMYFUNCTION("""COMPUTED_VALUE"""),"Инстаграм")</f>
        <v>Инстаграм</v>
      </c>
      <c r="Q163" s="6" t="str">
        <f>IFERROR(__xludf.DUMMYFUNCTION("""COMPUTED_VALUE"""),"городская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163" s="6" t="str">
        <f>IFERROR(__xludf.DUMMYFUNCTION("""COMPUTED_VALUE"""),"День шахтера, день города")</f>
        <v>День шахтера, день города</v>
      </c>
      <c r="S163"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f>
        <v>Через социальные сети (Какие? Укажите в графе другое), Делал рассылку по электронной почте, Обращался в редакции электронных городских СМИ</v>
      </c>
      <c r="T163" s="6" t="str">
        <f>IFERROR(__xludf.DUMMYFUNCTION("""COMPUTED_VALUE"""),"История промышленного освоения")</f>
        <v>История промышленного освоения</v>
      </c>
      <c r="U163" s="6" t="str">
        <f>IFERROR(__xludf.DUMMYFUNCTION("""COMPUTED_VALUE"""),"Набережная, Горсад, Площадь Советов")</f>
        <v>Набережная, Горсад, Площадь Советов</v>
      </c>
      <c r="V163" s="6" t="str">
        <f>IFERROR(__xludf.DUMMYFUNCTION("""COMPUTED_VALUE"""),"Прославили город, промышленный прогресс")</f>
        <v>Прославили город, промышленный прогресс</v>
      </c>
      <c r="W163" s="6" t="str">
        <f>IFERROR(__xludf.DUMMYFUNCTION("""COMPUTED_VALUE"""),"Выносливые, серьезные")</f>
        <v>Выносливые, серьезные</v>
      </c>
      <c r="X163" s="6" t="str">
        <f>IFERROR(__xludf.DUMMYFUNCTION("""COMPUTED_VALUE"""),"Томская Писаница- Лесная Поляна - Кедровка")</f>
        <v>Томская Писаница- Лесная Поляна - Кедровка</v>
      </c>
      <c r="Y163" s="6" t="str">
        <f>IFERROR(__xludf.DUMMYFUNCTION("""COMPUTED_VALUE"""),"Кемерово стал столицей Кузбасса")</f>
        <v>Кемерово стал столицей Кузбасса</v>
      </c>
      <c r="Z163" s="6" t="str">
        <f>IFERROR(__xludf.DUMMYFUNCTION("""COMPUTED_VALUE"""),"Рок-фестиваль, Симфоночь")</f>
        <v>Рок-фестиваль, Симфоночь</v>
      </c>
      <c r="AA163" s="6" t="str">
        <f>IFERROR(__xludf.DUMMYFUNCTION("""COMPUTED_VALUE"""),"Коррупция")</f>
        <v>Коррупция</v>
      </c>
      <c r="AB163" s="6" t="str">
        <f>IFERROR(__xludf.DUMMYFUNCTION("""COMPUTED_VALUE"""),"Культурно-досуговых")</f>
        <v>Культурно-досуговых</v>
      </c>
      <c r="AC163" s="6" t="str">
        <f>IFERROR(__xludf.DUMMYFUNCTION("""COMPUTED_VALUE"""),"Международные бесплатные концерты")</f>
        <v>Международные бесплатные концерты</v>
      </c>
      <c r="AD163" s="6" t="str">
        <f>IFERROR(__xludf.DUMMYFUNCTION("""COMPUTED_VALUE"""),"Модератор")</f>
        <v>Модератор</v>
      </c>
      <c r="AE163" s="6" t="str">
        <f>IFERROR(__xludf.DUMMYFUNCTION("""COMPUTED_VALUE"""),"Женский")</f>
        <v>Женский</v>
      </c>
      <c r="AF163" s="6" t="str">
        <f>IFERROR(__xludf.DUMMYFUNCTION("""COMPUTED_VALUE"""),"30-44")</f>
        <v>30-44</v>
      </c>
      <c r="AG163" s="6"/>
      <c r="AH163" s="6"/>
      <c r="AI163" s="6"/>
      <c r="AJ163" s="6"/>
      <c r="AK163" s="6"/>
      <c r="AL163" s="6"/>
      <c r="AM163" s="6"/>
    </row>
    <row r="164">
      <c r="A164" s="4">
        <v>163.0</v>
      </c>
      <c r="B164" s="6" t="str">
        <f>IFERROR(__xludf.DUMMYFUNCTION("""COMPUTED_VALUE"""),"работаю")</f>
        <v>работаю</v>
      </c>
      <c r="C164" s="6" t="str">
        <f>IFERROR(__xludf.DUMMYFUNCTION("""COMPUTED_VALUE"""),"Да, спорт")</f>
        <v>Да, спорт</v>
      </c>
      <c r="D164" s="6" t="str">
        <f>IFERROR(__xludf.DUMMYFUNCTION("""COMPUTED_VALUE"""),"На тыргане")</f>
        <v>На тыргане</v>
      </c>
      <c r="E164" s="6" t="str">
        <f>IFERROR(__xludf.DUMMYFUNCTION("""COMPUTED_VALUE"""),"Парк победы, молодёжный парк")</f>
        <v>Парк победы, молодёжный парк</v>
      </c>
      <c r="F164" s="6" t="str">
        <f>IFERROR(__xludf.DUMMYFUNCTION("""COMPUTED_VALUE"""),"Живу здесь с рождения")</f>
        <v>Живу здесь с рождения</v>
      </c>
      <c r="G164" s="6" t="str">
        <f>IFERROR(__xludf.DUMMYFUNCTION("""COMPUTED_VALUE"""),"Зенковский парк")</f>
        <v>Зенковский парк</v>
      </c>
      <c r="H164" s="6" t="str">
        <f>IFERROR(__xludf.DUMMYFUNCTION("""COMPUTED_VALUE"""),"Шахтёр, спорт,культура,памятники,парк.")</f>
        <v>Шахтёр, спорт,культура,памятники,парк.</v>
      </c>
      <c r="I164" s="6" t="str">
        <f>IFERROR(__xludf.DUMMYFUNCTION("""COMPUTED_VALUE"""),"Шишкин, Селиванов, Волынов, Гринчак, Гаранин.")</f>
        <v>Шишкин, Селиванов, Волынов, Гринчак, Гаранин.</v>
      </c>
      <c r="J164" s="6" t="str">
        <f>IFERROR(__xludf.DUMMYFUNCTION("""COMPUTED_VALUE"""),"Аман Тулеев")</f>
        <v>Аман Тулеев</v>
      </c>
      <c r="K164" s="6" t="str">
        <f>IFERROR(__xludf.DUMMYFUNCTION("""COMPUTED_VALUE"""),"Зенковский парк, Парк Победы, Молодёжный парк")</f>
        <v>Зенковский парк, Парк Победы, Молодёжный парк</v>
      </c>
      <c r="L164" s="6" t="str">
        <f>IFERROR(__xludf.DUMMYFUNCTION("""COMPUTED_VALUE"""),"Без труда не вытянешь и рыбку из пруда")</f>
        <v>Без труда не вытянешь и рыбку из пруда</v>
      </c>
      <c r="M164" s="6" t="str">
        <f>IFERROR(__xludf.DUMMYFUNCTION("""COMPUTED_VALUE"""),"Золотые руки, спустя рукава, рукой подать")</f>
        <v>Золотые руки, спустя рукава, рукой подать</v>
      </c>
      <c r="N164" s="6" t="str">
        <f>IFERROR(__xludf.DUMMYFUNCTION("""COMPUTED_VALUE"""),"транспортная развязка, чистота , детские центры, культурные центры")</f>
        <v>транспортная развязка, чистота , детские центры, культурные центры</v>
      </c>
      <c r="O164" s="6" t="str">
        <f>IFERROR(__xludf.DUMMYFUNCTION("""COMPUTED_VALUE"""),"Озеленить город")</f>
        <v>Озеленить город</v>
      </c>
      <c r="P164" s="6" t="str">
        <f>IFERROR(__xludf.DUMMYFUNCTION("""COMPUTED_VALUE"""),"Новости 27 канала, газета ""Шахтёрская правда""")</f>
        <v>Новости 27 канала, газета "Шахтёрская правда"</v>
      </c>
      <c r="Q164"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64" s="6" t="str">
        <f>IFERROR(__xludf.DUMMYFUNCTION("""COMPUTED_VALUE"""),"День победы, День шахтёра.")</f>
        <v>День победы, День шахтёра.</v>
      </c>
      <c r="S164" s="6" t="str">
        <f>IFERROR(__xludf.DUMMYFUNCTION("""COMPUTED_VALUE"""),"Нет, не приходилось")</f>
        <v>Нет, не приходилось</v>
      </c>
      <c r="T164" s="6" t="str">
        <f>IFERROR(__xludf.DUMMYFUNCTION("""COMPUTED_VALUE"""),"Кемерово-является основным центром Сибири.")</f>
        <v>Кемерово-является основным центром Сибири.</v>
      </c>
      <c r="U164" s="6" t="str">
        <f>IFERROR(__xludf.DUMMYFUNCTION("""COMPUTED_VALUE"""),"город Кемерово")</f>
        <v>город Кемерово</v>
      </c>
      <c r="V164" s="6" t="str">
        <f>IFERROR(__xludf.DUMMYFUNCTION("""COMPUTED_VALUE"""),"Построили Кузнецкий мост.")</f>
        <v>Построили Кузнецкий мост.</v>
      </c>
      <c r="W164" s="6" t="str">
        <f>IFERROR(__xludf.DUMMYFUNCTION("""COMPUTED_VALUE"""),"Трудолюбивые, суровые.")</f>
        <v>Трудолюбивые, суровые.</v>
      </c>
      <c r="X164" s="6" t="str">
        <f>IFERROR(__xludf.DUMMYFUNCTION("""COMPUTED_VALUE"""),"Кузнеций мост, набережная")</f>
        <v>Кузнеций мост, набережная</v>
      </c>
      <c r="Y164" s="6" t="str">
        <f>IFERROR(__xludf.DUMMYFUNCTION("""COMPUTED_VALUE"""),"Снятие с поста губернатора А.Тулеева")</f>
        <v>Снятие с поста губернатора А.Тулеева</v>
      </c>
      <c r="Z164" s="6" t="str">
        <f>IFERROR(__xludf.DUMMYFUNCTION("""COMPUTED_VALUE"""),"Строительство кадетской школы")</f>
        <v>Строительство кадетской школы</v>
      </c>
      <c r="AA164" s="6" t="str">
        <f>IFERROR(__xludf.DUMMYFUNCTION("""COMPUTED_VALUE"""),"Пожар в тц ""Зимняя вишня""")</f>
        <v>Пожар в тц "Зимняя вишня"</v>
      </c>
      <c r="AB164" s="6" t="str">
        <f>IFERROR(__xludf.DUMMYFUNCTION("""COMPUTED_VALUE"""),"культурно-массовых ")</f>
        <v>культурно-массовых </v>
      </c>
      <c r="AC164" s="6" t="str">
        <f>IFERROR(__xludf.DUMMYFUNCTION("""COMPUTED_VALUE"""),"больше культурно-массовых мероприятий")</f>
        <v>больше культурно-массовых мероприятий</v>
      </c>
      <c r="AD164" s="6" t="str">
        <f>IFERROR(__xludf.DUMMYFUNCTION("""COMPUTED_VALUE"""),"В роли смотрителя")</f>
        <v>В роли смотрителя</v>
      </c>
      <c r="AE164" s="6" t="str">
        <f>IFERROR(__xludf.DUMMYFUNCTION("""COMPUTED_VALUE"""),"Женский")</f>
        <v>Женский</v>
      </c>
      <c r="AF164" s="6" t="str">
        <f>IFERROR(__xludf.DUMMYFUNCTION("""COMPUTED_VALUE"""),"30-44")</f>
        <v>30-44</v>
      </c>
      <c r="AG164" s="6"/>
      <c r="AH164" s="6"/>
      <c r="AI164" s="6"/>
      <c r="AJ164" s="6"/>
      <c r="AK164" s="6"/>
      <c r="AL164" s="6"/>
      <c r="AM164" s="6"/>
    </row>
    <row r="165">
      <c r="A165" s="4">
        <v>164.0</v>
      </c>
      <c r="B165" s="6" t="str">
        <f>IFERROR(__xludf.DUMMYFUNCTION("""COMPUTED_VALUE"""),"Студент работаю ")</f>
        <v>Студент работаю </v>
      </c>
      <c r="C165" s="6" t="str">
        <f>IFERROR(__xludf.DUMMYFUNCTION("""COMPUTED_VALUE"""),"Спорт ")</f>
        <v>Спорт </v>
      </c>
      <c r="D165" s="6" t="str">
        <f>IFERROR(__xludf.DUMMYFUNCTION("""COMPUTED_VALUE"""),"Ленинский район ")</f>
        <v>Ленинский район </v>
      </c>
      <c r="E165" s="6" t="str">
        <f>IFERROR(__xludf.DUMMYFUNCTION("""COMPUTED_VALUE"""),"площадь Советов ")</f>
        <v>площадь Советов </v>
      </c>
      <c r="F165" s="6" t="str">
        <f>IFERROR(__xludf.DUMMYFUNCTION("""COMPUTED_VALUE"""),"Переехал сюда из другого места (откуда? укажите в графе другое), Березовский ")</f>
        <v>Переехал сюда из другого места (откуда? укажите в графе другое), Березовский </v>
      </c>
      <c r="G165" s="6" t="str">
        <f>IFERROR(__xludf.DUMMYFUNCTION("""COMPUTED_VALUE"""),"Центр ")</f>
        <v>Центр </v>
      </c>
      <c r="H165" s="6" t="str">
        <f>IFERROR(__xludf.DUMMYFUNCTION("""COMPUTED_VALUE"""),"химия производство экология история сложность ")</f>
        <v>химия производство экология история сложность </v>
      </c>
      <c r="I165" s="6" t="str">
        <f>IFERROR(__xludf.DUMMYFUNCTION("""COMPUTED_VALUE"""),"Волков ")</f>
        <v>Волков </v>
      </c>
      <c r="J165" s="6" t="str">
        <f>IFERROR(__xludf.DUMMYFUNCTION("""COMPUTED_VALUE"""),"Безух ")</f>
        <v>Безух </v>
      </c>
      <c r="K165" s="6" t="str">
        <f>IFERROR(__xludf.DUMMYFUNCTION("""COMPUTED_VALUE"""),"Красная горка ")</f>
        <v>Красная горка </v>
      </c>
      <c r="L165" s="6" t="str">
        <f>IFERROR(__xludf.DUMMYFUNCTION("""COMPUTED_VALUE"""),"*")</f>
        <v>*</v>
      </c>
      <c r="M165" s="6" t="str">
        <f>IFERROR(__xludf.DUMMYFUNCTION("""COMPUTED_VALUE"""),"забрить ")</f>
        <v>забрить </v>
      </c>
      <c r="N165" s="6" t="str">
        <f>IFERROR(__xludf.DUMMYFUNCTION("""COMPUTED_VALUE"""),"дороги без ям, развитая инфраструктура, тц, интересные места ")</f>
        <v>дороги без ям, развитая инфраструктура, тц, интересные места </v>
      </c>
      <c r="O165" s="6" t="str">
        <f>IFERROR(__xludf.DUMMYFUNCTION("""COMPUTED_VALUE"""),"дороги ")</f>
        <v>дороги </v>
      </c>
      <c r="P165" s="6" t="str">
        <f>IFERROR(__xludf.DUMMYFUNCTION("""COMPUTED_VALUE"""),"информационные порталы, инстаграм ")</f>
        <v>информационные порталы, инстаграм </v>
      </c>
      <c r="Q165"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65" s="6" t="str">
        <f>IFERROR(__xludf.DUMMYFUNCTION("""COMPUTED_VALUE"""),"день шахтера ")</f>
        <v>день шахтера </v>
      </c>
      <c r="S165" s="6" t="str">
        <f>IFERROR(__xludf.DUMMYFUNCTION("""COMPUTED_VALUE"""),"Нет, не приходилось")</f>
        <v>Нет, не приходилось</v>
      </c>
      <c r="T165" s="6" t="str">
        <f>IFERROR(__xludf.DUMMYFUNCTION("""COMPUTED_VALUE"""),"Производство ")</f>
        <v>Производство </v>
      </c>
      <c r="U165" s="6" t="str">
        <f>IFERROR(__xludf.DUMMYFUNCTION("""COMPUTED_VALUE"""),"Весенняя ")</f>
        <v>Весенняя </v>
      </c>
      <c r="V165" s="6" t="str">
        <f>IFERROR(__xludf.DUMMYFUNCTION("""COMPUTED_VALUE""")," *")</f>
        <v> *</v>
      </c>
      <c r="W165" s="6" t="str">
        <f>IFERROR(__xludf.DUMMYFUNCTION("""COMPUTED_VALUE"""),"суровые ")</f>
        <v>суровые </v>
      </c>
      <c r="X165" s="6" t="str">
        <f>IFERROR(__xludf.DUMMYFUNCTION("""COMPUTED_VALUE"""),"от радуги до центра ")</f>
        <v>от радуги до центра </v>
      </c>
      <c r="Y165" s="6" t="str">
        <f>IFERROR(__xludf.DUMMYFUNCTION("""COMPUTED_VALUE"""),"постройка города спутника ")</f>
        <v>постройка города спутника </v>
      </c>
      <c r="Z165" s="6" t="str">
        <f>IFERROR(__xludf.DUMMYFUNCTION("""COMPUTED_VALUE"""),"обновление города")</f>
        <v>обновление города</v>
      </c>
      <c r="AA165" s="6" t="str">
        <f>IFERROR(__xludf.DUMMYFUNCTION("""COMPUTED_VALUE"""),"зимняя вишня")</f>
        <v>зимняя вишня</v>
      </c>
      <c r="AB165" s="6" t="str">
        <f>IFERROR(__xludf.DUMMYFUNCTION("""COMPUTED_VALUE"""),"активность ")</f>
        <v>активность </v>
      </c>
      <c r="AC165" s="6" t="str">
        <f>IFERROR(__xludf.DUMMYFUNCTION("""COMPUTED_VALUE"""),"новые тц ")</f>
        <v>новые тц </v>
      </c>
      <c r="AD165" s="6" t="str">
        <f>IFERROR(__xludf.DUMMYFUNCTION("""COMPUTED_VALUE"""),"
да")</f>
        <v>
да</v>
      </c>
      <c r="AE165" s="6" t="str">
        <f>IFERROR(__xludf.DUMMYFUNCTION("""COMPUTED_VALUE"""),"Женский")</f>
        <v>Женский</v>
      </c>
      <c r="AF165" s="6" t="str">
        <f>IFERROR(__xludf.DUMMYFUNCTION("""COMPUTED_VALUE"""),"18-29")</f>
        <v>18-29</v>
      </c>
      <c r="AG165" s="6"/>
      <c r="AH165" s="6"/>
      <c r="AI165" s="6"/>
      <c r="AJ165" s="6"/>
      <c r="AK165" s="6"/>
      <c r="AL165" s="6"/>
      <c r="AM165" s="6"/>
    </row>
    <row r="166">
      <c r="A166" s="4">
        <v>165.0</v>
      </c>
      <c r="B166" s="6" t="str">
        <f>IFERROR(__xludf.DUMMYFUNCTION("""COMPUTED_VALUE"""),"культура")</f>
        <v>культура</v>
      </c>
      <c r="C166" s="6" t="str">
        <f>IFERROR(__xludf.DUMMYFUNCTION("""COMPUTED_VALUE"""),"вязание")</f>
        <v>вязание</v>
      </c>
      <c r="D166" s="6" t="str">
        <f>IFERROR(__xludf.DUMMYFUNCTION("""COMPUTED_VALUE"""),"Зенковский район,Зенки")</f>
        <v>Зенковский район,Зенки</v>
      </c>
      <c r="E166" s="6" t="str">
        <f>IFERROR(__xludf.DUMMYFUNCTION("""COMPUTED_VALUE"""),"Зенковский парк")</f>
        <v>Зенковский парк</v>
      </c>
      <c r="F166" s="6" t="str">
        <f>IFERROR(__xludf.DUMMYFUNCTION("""COMPUTED_VALUE"""),"Живу здесь с рождения")</f>
        <v>Живу здесь с рождения</v>
      </c>
      <c r="G166" s="6" t="str">
        <f>IFERROR(__xludf.DUMMYFUNCTION("""COMPUTED_VALUE"""),"В Зенковский парк")</f>
        <v>В Зенковский парк</v>
      </c>
      <c r="H166" s="6" t="str">
        <f>IFERROR(__xludf.DUMMYFUNCTION("""COMPUTED_VALUE"""),"Грязь, плохие дороги,загазованность,мало рабочих мест")</f>
        <v>Грязь, плохие дороги,загазованность,мало рабочих мест</v>
      </c>
      <c r="I166" s="6" t="str">
        <f>IFERROR(__xludf.DUMMYFUNCTION("""COMPUTED_VALUE"""),"Волынов космонавт проживал")</f>
        <v>Волынов космонавт проживал</v>
      </c>
      <c r="J166" s="6" t="str">
        <f>IFERROR(__xludf.DUMMYFUNCTION("""COMPUTED_VALUE"""),"затрудняюсь ответить")</f>
        <v>затрудняюсь ответить</v>
      </c>
      <c r="K166" s="6" t="str">
        <f>IFERROR(__xludf.DUMMYFUNCTION("""COMPUTED_VALUE"""),"Зенковский парк, парк Победы")</f>
        <v>Зенковский парк, парк Победы</v>
      </c>
      <c r="L166" s="6" t="str">
        <f>IFERROR(__xludf.DUMMYFUNCTION("""COMPUTED_VALUE"""),"не знаю")</f>
        <v>не знаю</v>
      </c>
      <c r="M166" s="6" t="str">
        <f>IFERROR(__xludf.DUMMYFUNCTION("""COMPUTED_VALUE"""),"не знаю")</f>
        <v>не знаю</v>
      </c>
      <c r="N166" s="6" t="str">
        <f>IFERROR(__xludf.DUMMYFUNCTION("""COMPUTED_VALUE"""),"дороги,чистый воздух")</f>
        <v>дороги,чистый воздух</v>
      </c>
      <c r="O166" s="6" t="str">
        <f>IFERROR(__xludf.DUMMYFUNCTION("""COMPUTED_VALUE"""),"дороги")</f>
        <v>дороги</v>
      </c>
      <c r="P166" s="6" t="str">
        <f>IFERROR(__xludf.DUMMYFUNCTION("""COMPUTED_VALUE"""),"интернет,инстограмм")</f>
        <v>интернет,инстограмм</v>
      </c>
      <c r="Q166" s="6" t="str">
        <f>IFERROR(__xludf.DUMMYFUNCTION("""COMPUTED_VALUE"""),"куда пойти в свободное время, криминальные новости (происшествия/преступления), результаты местных исследований (рейтинги/аналитика/тенденции)")</f>
        <v>куда пойти в свободное время, криминальные новости (происшествия/преступления), результаты местных исследований (рейтинги/аналитика/тенденции)</v>
      </c>
      <c r="R166" s="6" t="str">
        <f>IFERROR(__xludf.DUMMYFUNCTION("""COMPUTED_VALUE"""),"проводы зимы,день поселка,день города")</f>
        <v>проводы зимы,день поселка,день города</v>
      </c>
      <c r="S166"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166" s="6" t="str">
        <f>IFERROR(__xludf.DUMMYFUNCTION("""COMPUTED_VALUE"""),"памятник шахтеру,областной театр")</f>
        <v>памятник шахтеру,областной театр</v>
      </c>
      <c r="U166" s="6" t="str">
        <f>IFERROR(__xludf.DUMMYFUNCTION("""COMPUTED_VALUE"""),"парк ангелов")</f>
        <v>парк ангелов</v>
      </c>
      <c r="V166" s="6" t="str">
        <f>IFERROR(__xludf.DUMMYFUNCTION("""COMPUTED_VALUE"""),"установили елку")</f>
        <v>установили елку</v>
      </c>
      <c r="W166" s="6" t="str">
        <f>IFERROR(__xludf.DUMMYFUNCTION("""COMPUTED_VALUE"""),"как и все")</f>
        <v>как и все</v>
      </c>
      <c r="X166" s="6" t="str">
        <f>IFERROR(__xludf.DUMMYFUNCTION("""COMPUTED_VALUE"""),"набережная")</f>
        <v>набережная</v>
      </c>
      <c r="Y166" s="6" t="str">
        <f>IFERROR(__xludf.DUMMYFUNCTION("""COMPUTED_VALUE"""),"затрудняюсь ответить")</f>
        <v>затрудняюсь ответить</v>
      </c>
      <c r="Z166" s="6" t="str">
        <f>IFERROR(__xludf.DUMMYFUNCTION("""COMPUTED_VALUE"""),"пожар ")</f>
        <v>пожар </v>
      </c>
      <c r="AA166" s="6" t="str">
        <f>IFERROR(__xludf.DUMMYFUNCTION("""COMPUTED_VALUE"""),"пожар Зимняя вишня")</f>
        <v>пожар Зимняя вишня</v>
      </c>
      <c r="AB166" s="6" t="str">
        <f>IFERROR(__xludf.DUMMYFUNCTION("""COMPUTED_VALUE"""),"не знаю")</f>
        <v>не знаю</v>
      </c>
      <c r="AC166" s="6" t="str">
        <f>IFERROR(__xludf.DUMMYFUNCTION("""COMPUTED_VALUE"""),"не знаю")</f>
        <v>не знаю</v>
      </c>
      <c r="AD166" s="6" t="str">
        <f>IFERROR(__xludf.DUMMYFUNCTION("""COMPUTED_VALUE"""),"не знаю")</f>
        <v>не знаю</v>
      </c>
      <c r="AE166" s="6" t="str">
        <f>IFERROR(__xludf.DUMMYFUNCTION("""COMPUTED_VALUE"""),"Женский")</f>
        <v>Женский</v>
      </c>
      <c r="AF166" s="6" t="str">
        <f>IFERROR(__xludf.DUMMYFUNCTION("""COMPUTED_VALUE"""),"45-55")</f>
        <v>45-55</v>
      </c>
      <c r="AG166" s="6"/>
      <c r="AH166" s="6"/>
      <c r="AI166" s="6"/>
      <c r="AJ166" s="6"/>
      <c r="AK166" s="6"/>
      <c r="AL166" s="6"/>
      <c r="AM166" s="6"/>
    </row>
    <row r="167">
      <c r="A167" s="4">
        <v>166.0</v>
      </c>
      <c r="B167" s="6" t="str">
        <f>IFERROR(__xludf.DUMMYFUNCTION("""COMPUTED_VALUE"""),"Работаю в библиотеке")</f>
        <v>Работаю в библиотеке</v>
      </c>
      <c r="C167" s="6" t="str">
        <f>IFERROR(__xludf.DUMMYFUNCTION("""COMPUTED_VALUE"""),"Чтение, прогулки в парках, посещение спектаклей, концертов, занятие аквааэробикой")</f>
        <v>Чтение, прогулки в парках, посещение спектаклей, концертов, занятие аквааэробикой</v>
      </c>
      <c r="D167" s="6" t="str">
        <f>IFERROR(__xludf.DUMMYFUNCTION("""COMPUTED_VALUE"""),"в Заводском")</f>
        <v>в Заводском</v>
      </c>
      <c r="E167" s="6" t="str">
        <f>IFERROR(__xludf.DUMMYFUNCTION("""COMPUTED_VALUE"""),"Парк ангелов")</f>
        <v>Парк ангелов</v>
      </c>
      <c r="F167" s="6" t="str">
        <f>IFERROR(__xludf.DUMMYFUNCTION("""COMPUTED_VALUE"""),"Живу здесь с рождения")</f>
        <v>Живу здесь с рождения</v>
      </c>
      <c r="G167" s="6" t="str">
        <f>IFERROR(__xludf.DUMMYFUNCTION("""COMPUTED_VALUE"""),"Набережная, улица Весенняя, кафе, театры, филармония, библиотеки, парки,бор")</f>
        <v>Набережная, улица Весенняя, кафе, театры, филармония, библиотеки, парки,бор</v>
      </c>
      <c r="H167" s="6" t="str">
        <f>IFERROR(__xludf.DUMMYFUNCTION("""COMPUTED_VALUE"""),"Любимый, родной, камерный, атмосферный, рабочий")</f>
        <v>Любимый, родной, камерный, атмосферный, рабочий</v>
      </c>
      <c r="I167" s="6" t="str">
        <f>IFERROR(__xludf.DUMMYFUNCTION("""COMPUTED_VALUE"""),"Мартемьянов, В. Волошина, Ю. Двужильный, Подгорбунский")</f>
        <v>Мартемьянов, В. Волошина, Ю. Двужильный, Подгорбунский</v>
      </c>
      <c r="J167" s="6" t="str">
        <f>IFERROR(__xludf.DUMMYFUNCTION("""COMPUTED_VALUE"""),"В. Михайлов, И. Середюк")</f>
        <v>В. Михайлов, И. Середюк</v>
      </c>
      <c r="K167" s="6" t="str">
        <f>IFERROR(__xludf.DUMMYFUNCTION("""COMPUTED_VALUE"""),"Бор, Старый центр(ул. Весенняя, Набережная, пл. Пушкина), Парк Ангелов")</f>
        <v>Бор, Старый центр(ул. Весенняя, Набережная, пл. Пушкина), Парк Ангелов</v>
      </c>
      <c r="L167" s="6" t="str">
        <f>IFERROR(__xludf.DUMMYFUNCTION("""COMPUTED_VALUE"""),"АИК ""Кузбасс"",созданная по поручению В. И. Ленина, где работали иностранцы")</f>
        <v>АИК "Кузбасс",созданная по поручению В. И. Ленина, где работали иностранцы</v>
      </c>
      <c r="M167" s="6" t="str">
        <f>IFERROR(__xludf.DUMMYFUNCTION("""COMPUTED_VALUE"""),"Песня Б. Гребенщикова ""Человек из Кемерово""")</f>
        <v>Песня Б. Гребенщикова "Человек из Кемерово"</v>
      </c>
      <c r="N167" s="6" t="str">
        <f>IFERROR(__xludf.DUMMYFUNCTION("""COMPUTED_VALUE"""),"Чистые улицы, отремонтированные дороги, тротуары, дворы, исторические здания в центре города")</f>
        <v>Чистые улицы, отремонтированные дороги, тротуары, дворы, исторические здания в центре города</v>
      </c>
      <c r="O167" s="6" t="str">
        <f>IFERROR(__xludf.DUMMYFUNCTION("""COMPUTED_VALUE"""),"Обновить фасады зданий")</f>
        <v>Обновить фасады зданий</v>
      </c>
      <c r="P167" s="6" t="str">
        <f>IFERROR(__xludf.DUMMYFUNCTION("""COMPUTED_VALUE"""),"Вконтакте, Инстаграмм")</f>
        <v>Вконтакте, Инстаграмм</v>
      </c>
      <c r="Q167" s="6" t="str">
        <f>IFERROR(__xludf.DUMMYFUNCTION("""COMPUTED_VALUE"""),"городская афиша (кино/театр/концерты), культурные новинки (что почитать/что послушать), интервью с местными политиками")</f>
        <v>городская афиша (кино/театр/концерты), культурные новинки (что почитать/что послушать), интервью с местными политиками</v>
      </c>
      <c r="R167" s="6" t="str">
        <f>IFERROR(__xludf.DUMMYFUNCTION("""COMPUTED_VALUE"""),"День города, День Победы")</f>
        <v>День города, День Победы</v>
      </c>
      <c r="S167" s="6" t="str">
        <f>IFERROR(__xludf.DUMMYFUNCTION("""COMPUTED_VALUE"""),"Нет, не приходилось")</f>
        <v>Нет, не приходилось</v>
      </c>
      <c r="T167" s="6" t="str">
        <f>IFERROR(__xludf.DUMMYFUNCTION("""COMPUTED_VALUE"""),"Красная горка, Михайло Волков, АИК ""Кузбасс"", Бор")</f>
        <v>Красная горка, Михайло Волков, АИК "Кузбасс", Бор</v>
      </c>
      <c r="U167" s="6" t="str">
        <f>IFERROR(__xludf.DUMMYFUNCTION("""COMPUTED_VALUE"""),"Площадь Советов, Фонтан около Драматического театра")</f>
        <v>Площадь Советов, Фонтан около Драматического театра</v>
      </c>
      <c r="V167" s="6" t="str">
        <f>IFERROR(__xludf.DUMMYFUNCTION("""COMPUTED_VALUE"""),"Создали красивый, уютный город")</f>
        <v>Создали красивый, уютный город</v>
      </c>
      <c r="W167" s="6" t="str">
        <f>IFERROR(__xludf.DUMMYFUNCTION("""COMPUTED_VALUE"""),"Не равнодушные, отзывчивые, патриоты родного города")</f>
        <v>Не равнодушные, отзывчивые, патриоты родного города</v>
      </c>
      <c r="X167" s="6" t="str">
        <f>IFERROR(__xludf.DUMMYFUNCTION("""COMPUTED_VALUE"""),"Бор")</f>
        <v>Бор</v>
      </c>
      <c r="Y167" s="6" t="str">
        <f>IFERROR(__xludf.DUMMYFUNCTION("""COMPUTED_VALUE"""),"Нашли залежи каменного угля")</f>
        <v>Нашли залежи каменного угля</v>
      </c>
      <c r="Z167" s="6" t="str">
        <f>IFERROR(__xludf.DUMMYFUNCTION("""COMPUTED_VALUE"""),"Строительство кластера искусств, открытие Парка Ангелов")</f>
        <v>Строительство кластера искусств, открытие Парка Ангелов</v>
      </c>
      <c r="AA167" s="6" t="str">
        <f>IFERROR(__xludf.DUMMYFUNCTION("""COMPUTED_VALUE"""),"Зимняя вишня")</f>
        <v>Зимняя вишня</v>
      </c>
      <c r="AB167" s="6" t="str">
        <f>IFERROR(__xludf.DUMMYFUNCTION("""COMPUTED_VALUE"""),"Мне всего хватает")</f>
        <v>Мне всего хватает</v>
      </c>
      <c r="AC167" s="6" t="str">
        <f>IFERROR(__xludf.DUMMYFUNCTION("""COMPUTED_VALUE"""),"Больше гастролей артистов Российского и мировоо уровня")</f>
        <v>Больше гастролей артистов Российского и мировоо уровня</v>
      </c>
      <c r="AD167" s="6" t="str">
        <f>IFERROR(__xludf.DUMMYFUNCTION("""COMPUTED_VALUE"""),"Мы участвуем в проектах в рамках наших библиотечных мероприятий ")</f>
        <v>Мы участвуем в проектах в рамках наших библиотечных мероприятий </v>
      </c>
      <c r="AE167" s="6" t="str">
        <f>IFERROR(__xludf.DUMMYFUNCTION("""COMPUTED_VALUE"""),"Женский")</f>
        <v>Женский</v>
      </c>
      <c r="AF167" s="6" t="str">
        <f>IFERROR(__xludf.DUMMYFUNCTION("""COMPUTED_VALUE"""),"45-55")</f>
        <v>45-55</v>
      </c>
      <c r="AG167" s="6"/>
      <c r="AH167" s="6"/>
      <c r="AI167" s="6"/>
      <c r="AJ167" s="6"/>
      <c r="AK167" s="6"/>
      <c r="AL167" s="6"/>
      <c r="AM167" s="6"/>
    </row>
    <row r="168">
      <c r="A168" s="4">
        <v>167.0</v>
      </c>
      <c r="B168" s="6" t="str">
        <f>IFERROR(__xludf.DUMMYFUNCTION("""COMPUTED_VALUE"""),"Занята в области энергетики")</f>
        <v>Занята в области энергетики</v>
      </c>
      <c r="C168" s="6" t="str">
        <f>IFERROR(__xludf.DUMMYFUNCTION("""COMPUTED_VALUE"""),"Шитьё, танцы, сноубординг, беговые лыжи, коньки")</f>
        <v>Шитьё, танцы, сноубординг, беговые лыжи, коньки</v>
      </c>
      <c r="D168" s="6" t="str">
        <f>IFERROR(__xludf.DUMMYFUNCTION("""COMPUTED_VALUE"""),"Лесная поляна")</f>
        <v>Лесная поляна</v>
      </c>
      <c r="E168" s="6" t="str">
        <f>IFERROR(__xludf.DUMMYFUNCTION("""COMPUTED_VALUE"""),"Парк Лесная сказка, прогулочный проспект Весенний")</f>
        <v>Парк Лесная сказка, прогулочный проспект Весенний</v>
      </c>
      <c r="F168" s="6" t="str">
        <f>IFERROR(__xludf.DUMMYFUNCTION("""COMPUTED_VALUE"""),"Живу здесь с рождения")</f>
        <v>Живу здесь с рождения</v>
      </c>
      <c r="G168" s="6" t="str">
        <f>IFERROR(__xludf.DUMMYFUNCTION("""COMPUTED_VALUE"""),"На прогулку с детьми в Комсомольском парке, Парке Чудес, Антошка, Парк Победы, бульвар Строителей, Березовая роща Кировского района; без детей - улицы центрального района (Весенняя, Советский, Кирова, Набережная), сосновый бор. Кроме того - кинотеатры, те"&amp;"атры, филармония, музеи, люскус, томская писаница, берег реки Томь и это точно не всё... ")</f>
        <v>На прогулку с детьми в Комсомольском парке, Парке Чудес, Антошка, Парк Победы, бульвар Строителей, Березовая роща Кировского района; без детей - улицы центрального района (Весенняя, Советский, Кирова, Набережная), сосновый бор. Кроме того - кинотеатры, театры, филармония, музеи, люскус, томская писаница, берег реки Томь и это точно не всё... </v>
      </c>
      <c r="H168" s="6" t="str">
        <f>IFERROR(__xludf.DUMMYFUNCTION("""COMPUTED_VALUE"""),"Простор, зелень, дом, смог, трубы")</f>
        <v>Простор, зелень, дом, смог, трубы</v>
      </c>
      <c r="I168" s="6" t="str">
        <f>IFERROR(__xludf.DUMMYFUNCTION("""COMPUTED_VALUE"""),"Волков, леонов, рутгерс")</f>
        <v>Волков, леонов, рутгерс</v>
      </c>
      <c r="J168" s="6" t="str">
        <f>IFERROR(__xludf.DUMMYFUNCTION("""COMPUTED_VALUE"""),"Сложно сказать, к сожалению")</f>
        <v>Сложно сказать, к сожалению</v>
      </c>
      <c r="K168" s="6" t="str">
        <f>IFERROR(__xludf.DUMMYFUNCTION("""COMPUTED_VALUE"""),"Красная горка и памятник шахтеру, лесная поляна (сама, как достопримечательность), набережная, ул. Весенняя, из неофициальных - вид с горы Люскус (или рядом с ней) на город")</f>
        <v>Красная горка и памятник шахтеру, лесная поляна (сама, как достопримечательность), набережная, ул. Весенняя, из неофициальных - вид с горы Люскус (или рядом с ней) на город</v>
      </c>
      <c r="L168" s="6" t="str">
        <f>IFERROR(__xludf.DUMMYFUNCTION("""COMPUTED_VALUE"""),"Затрудняюсь")</f>
        <v>Затрудняюсь</v>
      </c>
      <c r="M168" s="6" t="str">
        <f>IFERROR(__xludf.DUMMYFUNCTION("""COMPUTED_VALUE"""),"Нет")</f>
        <v>Нет</v>
      </c>
      <c r="N168" s="6" t="str">
        <f>IFERROR(__xludf.DUMMYFUNCTION("""COMPUTED_VALUE"""),"Отсутствие пробок, наличие парковок, чистый воздух, зелень и клумбы, наличие инфраструктуры для детей (площадки, сады, школы) ")</f>
        <v>Отсутствие пробок, наличие парковок, чистый воздух, зелень и клумбы, наличие инфраструктуры для детей (площадки, сады, школы) </v>
      </c>
      <c r="O168" s="6" t="str">
        <f>IFERROR(__xludf.DUMMYFUNCTION("""COMPUTED_VALUE"""),"Затрудняюсь")</f>
        <v>Затрудняюсь</v>
      </c>
      <c r="P168" s="6" t="str">
        <f>IFERROR(__xludf.DUMMYFUNCTION("""COMPUTED_VALUE"""),"Афиша а42 или все42, газета ""лесная поляна"" ")</f>
        <v>Афиша а42 или все42, газета "лесная поляна" </v>
      </c>
      <c r="Q168"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168" s="6" t="str">
        <f>IFERROR(__xludf.DUMMYFUNCTION("""COMPUTED_VALUE"""),"9мая,день города, день шахтера")</f>
        <v>9мая,день города, день шахтера</v>
      </c>
      <c r="S168" s="6" t="str">
        <f>IFERROR(__xludf.DUMMYFUNCTION("""COMPUTED_VALUE"""),"Нет, не приходилось")</f>
        <v>Нет, не приходилось</v>
      </c>
      <c r="T168" s="6" t="str">
        <f>IFERROR(__xludf.DUMMYFUNCTION("""COMPUTED_VALUE"""),"Затрудняюсь")</f>
        <v>Затрудняюсь</v>
      </c>
      <c r="U168" s="6" t="str">
        <f>IFERROR(__xludf.DUMMYFUNCTION("""COMPUTED_VALUE"""),"Площадь Советов")</f>
        <v>Площадь Советов</v>
      </c>
      <c r="V168" s="6" t="str">
        <f>IFERROR(__xludf.DUMMYFUNCTION("""COMPUTED_VALUE"""),"Затрудняюсь")</f>
        <v>Затрудняюсь</v>
      </c>
      <c r="W168" s="6" t="str">
        <f>IFERROR(__xludf.DUMMYFUNCTION("""COMPUTED_VALUE"""),"Затрудняюсь")</f>
        <v>Затрудняюсь</v>
      </c>
      <c r="X168" s="6" t="str">
        <f>IFERROR(__xludf.DUMMYFUNCTION("""COMPUTED_VALUE"""),"Весенняя-набережная-советский")</f>
        <v>Весенняя-набережная-советский</v>
      </c>
      <c r="Y168" s="6" t="str">
        <f>IFERROR(__xludf.DUMMYFUNCTION("""COMPUTED_VALUE"""),"Проект Лесная поляна")</f>
        <v>Проект Лесная поляна</v>
      </c>
      <c r="Z168" s="6" t="str">
        <f>IFERROR(__xludf.DUMMYFUNCTION("""COMPUTED_VALUE"""),"Затрудняюсь")</f>
        <v>Затрудняюсь</v>
      </c>
      <c r="AA168" s="6" t="str">
        <f>IFERROR(__xludf.DUMMYFUNCTION("""COMPUTED_VALUE"""),"Вопрос строительства шахты вблизи лесной поляны")</f>
        <v>Вопрос строительства шахты вблизи лесной поляны</v>
      </c>
      <c r="AB168" s="6" t="str">
        <f>IFERROR(__xludf.DUMMYFUNCTION("""COMPUTED_VALUE"""),"Затрудняюсь")</f>
        <v>Затрудняюсь</v>
      </c>
      <c r="AC168" s="6" t="str">
        <f>IFERROR(__xludf.DUMMYFUNCTION("""COMPUTED_VALUE"""),"Затрудняюсь")</f>
        <v>Затрудняюсь</v>
      </c>
      <c r="AD168" s="6" t="str">
        <f>IFERROR(__xludf.DUMMYFUNCTION("""COMPUTED_VALUE"""),"Затрудняюсь ")</f>
        <v>Затрудняюсь </v>
      </c>
      <c r="AE168" s="6" t="str">
        <f>IFERROR(__xludf.DUMMYFUNCTION("""COMPUTED_VALUE"""),"Женский")</f>
        <v>Женский</v>
      </c>
      <c r="AF168" s="6" t="str">
        <f>IFERROR(__xludf.DUMMYFUNCTION("""COMPUTED_VALUE"""),"30-44")</f>
        <v>30-44</v>
      </c>
      <c r="AG168" s="6"/>
      <c r="AH168" s="6"/>
      <c r="AI168" s="6"/>
      <c r="AJ168" s="6"/>
      <c r="AK168" s="6"/>
      <c r="AL168" s="6"/>
      <c r="AM168" s="6"/>
    </row>
    <row r="169">
      <c r="A169" s="4">
        <v>168.0</v>
      </c>
      <c r="B169" s="6" t="str">
        <f>IFERROR(__xludf.DUMMYFUNCTION("""COMPUTED_VALUE"""),"Работаю ")</f>
        <v>Работаю </v>
      </c>
      <c r="C169" s="6" t="str">
        <f>IFERROR(__xludf.DUMMYFUNCTION("""COMPUTED_VALUE"""),"Есть. Велосипед.")</f>
        <v>Есть. Велосипед.</v>
      </c>
      <c r="D169" s="6" t="str">
        <f>IFERROR(__xludf.DUMMYFUNCTION("""COMPUTED_VALUE"""),"Рудничный")</f>
        <v>Рудничный</v>
      </c>
      <c r="E169" s="6" t="str">
        <f>IFERROR(__xludf.DUMMYFUNCTION("""COMPUTED_VALUE"""),"Бор, Памятник Шахтеру, музей Красная горка.")</f>
        <v>Бор, Памятник Шахтеру, музей Красная горка.</v>
      </c>
      <c r="F16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69" s="6" t="str">
        <f>IFERROR(__xludf.DUMMYFUNCTION("""COMPUTED_VALUE"""),"Набережная, Бор.")</f>
        <v>Набережная, Бор.</v>
      </c>
      <c r="H169" s="6" t="str">
        <f>IFERROR(__xludf.DUMMYFUNCTION("""COMPUTED_VALUE"""),"Университет, Томь, Уголь, Химия, ГРЭС")</f>
        <v>Университет, Томь, Уголь, Химия, ГРЭС</v>
      </c>
      <c r="I169" s="6" t="str">
        <f>IFERROR(__xludf.DUMMYFUNCTION("""COMPUTED_VALUE"""),"Леонов, Волков, Волошина, Двужильный, Мартемьянов")</f>
        <v>Леонов, Волков, Волошина, Двужильный, Мартемьянов</v>
      </c>
      <c r="J169" s="6" t="str">
        <f>IFERROR(__xludf.DUMMYFUNCTION("""COMPUTED_VALUE"""),"Малышева, Машков, Гришковец")</f>
        <v>Малышева, Машков, Гришковец</v>
      </c>
      <c r="K169" s="6" t="str">
        <f>IFERROR(__xludf.DUMMYFUNCTION("""COMPUTED_VALUE"""),"Бывший Карьер поворот на Березовский  55.543033229986236, 86.19096318987357 ")</f>
        <v>Бывший Карьер поворот на Березовский  55.543033229986236, 86.19096318987357 </v>
      </c>
      <c r="L169" s="6" t="str">
        <f>IFERROR(__xludf.DUMMYFUNCTION("""COMPUTED_VALUE"""),"Песня человек из Кемерово")</f>
        <v>Песня человек из Кемерово</v>
      </c>
      <c r="M169" s="6" t="str">
        <f>IFERROR(__xludf.DUMMYFUNCTION("""COMPUTED_VALUE"""),"нет")</f>
        <v>нет</v>
      </c>
      <c r="N169" s="6" t="str">
        <f>IFERROR(__xludf.DUMMYFUNCTION("""COMPUTED_VALUE"""),"Довольно неплохое качество дорог")</f>
        <v>Довольно неплохое качество дорог</v>
      </c>
      <c r="O169" s="6" t="str">
        <f>IFERROR(__xludf.DUMMYFUNCTION("""COMPUTED_VALUE"""),"Запретить беспорядочно делать балконы разных цветов и портить фасады зданий, перестать обшивать здания сайдингом, хаотичные рекламные вывески и баннеры.")</f>
        <v>Запретить беспорядочно делать балконы разных цветов и портить фасады зданий, перестать обшивать здания сайдингом, хаотичные рекламные вывески и баннеры.</v>
      </c>
      <c r="P169" s="6" t="str">
        <f>IFERROR(__xludf.DUMMYFUNCTION("""COMPUTED_VALUE"""),"Яндекс, A42, Социальные сети - instagram, VK.")</f>
        <v>Яндекс, A42, Социальные сети - instagram, VK.</v>
      </c>
      <c r="Q169" s="6" t="str">
        <f>IFERROR(__xludf.DUMMYFUNCTION("""COMPUTED_VALUE"""),"куда пойти в свободное время, интервью с местными творческими личностями,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f>
        <v>куда пойти в свободное время, интервью с местными творческими личностями,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v>
      </c>
      <c r="R169" s="6" t="str">
        <f>IFERROR(__xludf.DUMMYFUNCTION("""COMPUTED_VALUE"""),"Парад ко дню победы, день города, новый год.")</f>
        <v>Парад ко дню победы, день города, новый год.</v>
      </c>
      <c r="S169" s="6" t="str">
        <f>IFERROR(__xludf.DUMMYFUNCTION("""COMPUTED_VALUE"""),"Нет, не приходилось")</f>
        <v>Нет, не приходилось</v>
      </c>
      <c r="T169" s="6" t="str">
        <f>IFERROR(__xludf.DUMMYFUNCTION("""COMPUTED_VALUE"""),"Первым Космонавтом вышедшим в открытый космос")</f>
        <v>Первым Космонавтом вышедшим в открытый космос</v>
      </c>
      <c r="U169" s="6" t="str">
        <f>IFERROR(__xludf.DUMMYFUNCTION("""COMPUTED_VALUE"""),"Улица Весенняя, Драм театр, Набережная")</f>
        <v>Улица Весенняя, Драм театр, Набережная</v>
      </c>
      <c r="V169" s="6" t="str">
        <f>IFERROR(__xludf.DUMMYFUNCTION("""COMPUTED_VALUE"""),"затрудняюсь ответить")</f>
        <v>затрудняюсь ответить</v>
      </c>
      <c r="W169" s="6" t="str">
        <f>IFERROR(__xludf.DUMMYFUNCTION("""COMPUTED_VALUE"""),"Не заметил чтобы Кемеровчане как - то особенно отличались от других Сибирских городов.")</f>
        <v>Не заметил чтобы Кемеровчане как - то особенно отличались от других Сибирских городов.</v>
      </c>
      <c r="X169" s="6" t="str">
        <f>IFERROR(__xludf.DUMMYFUNCTION("""COMPUTED_VALUE"""),"Красная горка - трамвай 10 - Центр города")</f>
        <v>Красная горка - трамвай 10 - Центр города</v>
      </c>
      <c r="Y169" s="6" t="str">
        <f>IFERROR(__xludf.DUMMYFUNCTION("""COMPUTED_VALUE"""),"затрудняюсь ответить")</f>
        <v>затрудняюсь ответить</v>
      </c>
      <c r="Z169" s="6" t="str">
        <f>IFERROR(__xludf.DUMMYFUNCTION("""COMPUTED_VALUE"""),"Строительство магистрали ")</f>
        <v>Строительство магистрали </v>
      </c>
      <c r="AA169" s="6" t="str">
        <f>IFERROR(__xludf.DUMMYFUNCTION("""COMPUTED_VALUE"""),"Елка за 18 млн.")</f>
        <v>Елка за 18 млн.</v>
      </c>
      <c r="AB169" s="6" t="str">
        <f>IFERROR(__xludf.DUMMYFUNCTION("""COMPUTED_VALUE"""),"в век интернета людям легко найти сообщество по интересам. ")</f>
        <v>в век интернета людям легко найти сообщество по интересам. </v>
      </c>
      <c r="AC169" s="6" t="str">
        <f>IFERROR(__xludf.DUMMYFUNCTION("""COMPUTED_VALUE"""),"массовых спортивных мероприятий, открытых тренировок, интересны мероприятия в формате ""ночь музеев"". Кинопоказов под открытым небом. ")</f>
        <v>массовых спортивных мероприятий, открытых тренировок, интересны мероприятия в формате "ночь музеев". Кинопоказов под открытым небом. </v>
      </c>
      <c r="AD169" s="6" t="str">
        <f>IFERROR(__xludf.DUMMYFUNCTION("""COMPUTED_VALUE"""),"в роли участника.")</f>
        <v>в роли участника.</v>
      </c>
      <c r="AE169" s="6" t="str">
        <f>IFERROR(__xludf.DUMMYFUNCTION("""COMPUTED_VALUE"""),"Мужской")</f>
        <v>Мужской</v>
      </c>
      <c r="AF169" s="6" t="str">
        <f>IFERROR(__xludf.DUMMYFUNCTION("""COMPUTED_VALUE"""),"30-44")</f>
        <v>30-44</v>
      </c>
      <c r="AG169" s="6"/>
      <c r="AH169" s="6"/>
      <c r="AI169" s="6"/>
      <c r="AJ169" s="6"/>
      <c r="AK169" s="6"/>
      <c r="AL169" s="6"/>
      <c r="AM169" s="6"/>
    </row>
    <row r="170">
      <c r="A170" s="4">
        <v>169.0</v>
      </c>
      <c r="B170" s="6" t="str">
        <f>IFERROR(__xludf.DUMMYFUNCTION("""COMPUTED_VALUE"""),"работаю")</f>
        <v>работаю</v>
      </c>
      <c r="C170" s="6" t="str">
        <f>IFERROR(__xludf.DUMMYFUNCTION("""COMPUTED_VALUE"""),"нет")</f>
        <v>нет</v>
      </c>
      <c r="D170" s="6" t="str">
        <f>IFERROR(__xludf.DUMMYFUNCTION("""COMPUTED_VALUE"""),"Ленинский")</f>
        <v>Ленинский</v>
      </c>
      <c r="E170" s="6" t="str">
        <f>IFERROR(__xludf.DUMMYFUNCTION("""COMPUTED_VALUE"""),"б-р Строителей, Комсомольский парк")</f>
        <v>б-р Строителей, Комсомольский парк</v>
      </c>
      <c r="F170"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70" s="6" t="str">
        <f>IFERROR(__xludf.DUMMYFUNCTION("""COMPUTED_VALUE"""),"годской сад, парки, кинотеатры")</f>
        <v>годской сад, парки, кинотеатры</v>
      </c>
      <c r="H170" s="6" t="str">
        <f>IFERROR(__xludf.DUMMYFUNCTION("""COMPUTED_VALUE"""),"Кузбасс, уголь, шахтер, белаз, М. Волков")</f>
        <v>Кузбасс, уголь, шахтер, белаз, М. Волков</v>
      </c>
      <c r="I170" s="6" t="str">
        <f>IFERROR(__xludf.DUMMYFUNCTION("""COMPUTED_VALUE"""),"М. Волков")</f>
        <v>М. Волков</v>
      </c>
      <c r="J170" s="6" t="str">
        <f>IFERROR(__xludf.DUMMYFUNCTION("""COMPUTED_VALUE"""),"затрудняюсь ответить")</f>
        <v>затрудняюсь ответить</v>
      </c>
      <c r="K170" s="6" t="str">
        <f>IFERROR(__xludf.DUMMYFUNCTION("""COMPUTED_VALUE"""),"Памятник шахтерам, музей Красная горка и др.")</f>
        <v>Памятник шахтерам, музей Красная горка и др.</v>
      </c>
      <c r="L170" s="6" t="str">
        <f>IFERROR(__xludf.DUMMYFUNCTION("""COMPUTED_VALUE"""),"затрудняюсь ответить")</f>
        <v>затрудняюсь ответить</v>
      </c>
      <c r="M170" s="6" t="str">
        <f>IFERROR(__xludf.DUMMYFUNCTION("""COMPUTED_VALUE"""),"затрудняюсь ответить")</f>
        <v>затрудняюсь ответить</v>
      </c>
      <c r="N170" s="6" t="str">
        <f>IFERROR(__xludf.DUMMYFUNCTION("""COMPUTED_VALUE"""),"инфраструктура, места отдыха, шаговая доступность, выбор")</f>
        <v>инфраструктура, места отдыха, шаговая доступность, выбор</v>
      </c>
      <c r="O170" s="6" t="str">
        <f>IFERROR(__xludf.DUMMYFUNCTION("""COMPUTED_VALUE"""),"уход за городом")</f>
        <v>уход за городом</v>
      </c>
      <c r="P170" s="6" t="str">
        <f>IFERROR(__xludf.DUMMYFUNCTION("""COMPUTED_VALUE"""),"новости, интернет")</f>
        <v>новости, интернет</v>
      </c>
      <c r="Q170" s="6" t="str">
        <f>IFERROR(__xludf.DUMMYFUNCTION("""COMPUTED_VALUE"""),"куда пойти в свободное время, новости про новые профессии/куда поступать/вакансии, результаты местных исследований (рейтинги/аналитика/тенденции)")</f>
        <v>куда пойти в свободное время, новости про новые профессии/куда поступать/вакансии, результаты местных исследований (рейтинги/аналитика/тенденции)</v>
      </c>
      <c r="R170" s="6" t="str">
        <f>IFERROR(__xludf.DUMMYFUNCTION("""COMPUTED_VALUE"""),"все")</f>
        <v>все</v>
      </c>
      <c r="S170" s="6" t="str">
        <f>IFERROR(__xludf.DUMMYFUNCTION("""COMPUTED_VALUE"""),"Нет, не приходилось")</f>
        <v>Нет, не приходилось</v>
      </c>
      <c r="T170" s="6" t="str">
        <f>IFERROR(__xludf.DUMMYFUNCTION("""COMPUTED_VALUE"""),"Угольный город")</f>
        <v>Угольный город</v>
      </c>
      <c r="U170" s="6" t="str">
        <f>IFERROR(__xludf.DUMMYFUNCTION("""COMPUTED_VALUE"""),"памятник сердце шахтера")</f>
        <v>памятник сердце шахтера</v>
      </c>
      <c r="V170" s="6" t="str">
        <f>IFERROR(__xludf.DUMMYFUNCTION("""COMPUTED_VALUE"""),"затрудняюсь ответить")</f>
        <v>затрудняюсь ответить</v>
      </c>
      <c r="W170" s="6" t="str">
        <f>IFERROR(__xludf.DUMMYFUNCTION("""COMPUTED_VALUE"""),"затрудняюсь ответить")</f>
        <v>затрудняюсь ответить</v>
      </c>
      <c r="X170" s="6" t="str">
        <f>IFERROR(__xludf.DUMMYFUNCTION("""COMPUTED_VALUE"""),"затрудняюсь ответить")</f>
        <v>затрудняюсь ответить</v>
      </c>
      <c r="Y170" s="6" t="str">
        <f>IFERROR(__xludf.DUMMYFUNCTION("""COMPUTED_VALUE"""),"затрудняюсь ответить")</f>
        <v>затрудняюсь ответить</v>
      </c>
      <c r="Z170" s="6" t="str">
        <f>IFERROR(__xludf.DUMMYFUNCTION("""COMPUTED_VALUE"""),"затрудняюсь ответить")</f>
        <v>затрудняюсь ответить</v>
      </c>
      <c r="AA170" s="6" t="str">
        <f>IFERROR(__xludf.DUMMYFUNCTION("""COMPUTED_VALUE"""),"затрудняюсь ответить")</f>
        <v>затрудняюсь ответить</v>
      </c>
      <c r="AB170" s="6" t="str">
        <f>IFERROR(__xludf.DUMMYFUNCTION("""COMPUTED_VALUE"""),"мест отдыха")</f>
        <v>мест отдыха</v>
      </c>
      <c r="AC170" s="6" t="str">
        <f>IFERROR(__xludf.DUMMYFUNCTION("""COMPUTED_VALUE"""),"затрудняюсь ответить")</f>
        <v>затрудняюсь ответить</v>
      </c>
      <c r="AD170" s="6" t="str">
        <f>IFERROR(__xludf.DUMMYFUNCTION("""COMPUTED_VALUE"""),"затрудняюсь ответить")</f>
        <v>затрудняюсь ответить</v>
      </c>
      <c r="AE170" s="6" t="str">
        <f>IFERROR(__xludf.DUMMYFUNCTION("""COMPUTED_VALUE"""),"Женский")</f>
        <v>Женский</v>
      </c>
      <c r="AF170" s="6" t="str">
        <f>IFERROR(__xludf.DUMMYFUNCTION("""COMPUTED_VALUE"""),"45-55")</f>
        <v>45-55</v>
      </c>
      <c r="AG170" s="6"/>
      <c r="AH170" s="6"/>
      <c r="AI170" s="6"/>
      <c r="AJ170" s="6"/>
      <c r="AK170" s="6"/>
      <c r="AL170" s="6"/>
      <c r="AM170" s="6"/>
    </row>
    <row r="171">
      <c r="A171" s="4">
        <v>170.0</v>
      </c>
      <c r="B171" s="6" t="str">
        <f>IFERROR(__xludf.DUMMYFUNCTION("""COMPUTED_VALUE"""),"Учусь")</f>
        <v>Учусь</v>
      </c>
      <c r="C171" s="6" t="str">
        <f>IFERROR(__xludf.DUMMYFUNCTION("""COMPUTED_VALUE"""),"Макияжем")</f>
        <v>Макияжем</v>
      </c>
      <c r="D171" s="6" t="str">
        <f>IFERROR(__xludf.DUMMYFUNCTION("""COMPUTED_VALUE"""),"г. Топки. Кемеровский район")</f>
        <v>г. Топки. Кемеровский район</v>
      </c>
      <c r="E171" s="6" t="str">
        <f>IFERROR(__xludf.DUMMYFUNCTION("""COMPUTED_VALUE"""),"Много каких")</f>
        <v>Много каких</v>
      </c>
      <c r="F171" s="6" t="str">
        <f>IFERROR(__xludf.DUMMYFUNCTION("""COMPUTED_VALUE"""),"Живу здесь с рождения")</f>
        <v>Живу здесь с рождения</v>
      </c>
      <c r="G171" s="6" t="str">
        <f>IFERROR(__xludf.DUMMYFUNCTION("""COMPUTED_VALUE"""),"Никуда")</f>
        <v>Никуда</v>
      </c>
      <c r="H171" s="6" t="str">
        <f>IFERROR(__xludf.DUMMYFUNCTION("""COMPUTED_VALUE"""),"Комфорт, уют, ")</f>
        <v>Комфорт, уют, </v>
      </c>
      <c r="I171" s="6" t="str">
        <f>IFERROR(__xludf.DUMMYFUNCTION("""COMPUTED_VALUE"""),"Не знаю ")</f>
        <v>Не знаю </v>
      </c>
      <c r="J171" s="6" t="str">
        <f>IFERROR(__xludf.DUMMYFUNCTION("""COMPUTED_VALUE"""),"Не знаю")</f>
        <v>Не знаю</v>
      </c>
      <c r="K171" s="6" t="str">
        <f>IFERROR(__xludf.DUMMYFUNCTION("""COMPUTED_VALUE"""),"Никаких")</f>
        <v>Никаких</v>
      </c>
      <c r="L171" s="6" t="str">
        <f>IFERROR(__xludf.DUMMYFUNCTION("""COMPUTED_VALUE"""),"Ни каких ")</f>
        <v>Ни каких </v>
      </c>
      <c r="M171" s="6" t="str">
        <f>IFERROR(__xludf.DUMMYFUNCTION("""COMPUTED_VALUE"""),"Нет")</f>
        <v>Нет</v>
      </c>
      <c r="N171" s="6" t="str">
        <f>IFERROR(__xludf.DUMMYFUNCTION("""COMPUTED_VALUE"""),"Нет много людей, и тут спокойно")</f>
        <v>Нет много людей, и тут спокойно</v>
      </c>
      <c r="O171" s="6" t="str">
        <f>IFERROR(__xludf.DUMMYFUNCTION("""COMPUTED_VALUE"""),"Дороги")</f>
        <v>Дороги</v>
      </c>
      <c r="P171" s="6" t="str">
        <f>IFERROR(__xludf.DUMMYFUNCTION("""COMPUTED_VALUE"""),"Вк")</f>
        <v>Вк</v>
      </c>
      <c r="Q171"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71" s="6" t="str">
        <f>IFERROR(__xludf.DUMMYFUNCTION("""COMPUTED_VALUE"""),"Ни каких ")</f>
        <v>Ни каких </v>
      </c>
      <c r="S171" s="6" t="str">
        <f>IFERROR(__xludf.DUMMYFUNCTION("""COMPUTED_VALUE"""),"Нет, не приходилось")</f>
        <v>Нет, не приходилось</v>
      </c>
      <c r="T171" s="6" t="str">
        <f>IFERROR(__xludf.DUMMYFUNCTION("""COMPUTED_VALUE"""),"Ничего")</f>
        <v>Ничего</v>
      </c>
      <c r="U171" s="6" t="str">
        <f>IFERROR(__xludf.DUMMYFUNCTION("""COMPUTED_VALUE"""),"-")</f>
        <v>-</v>
      </c>
      <c r="V171" s="6" t="str">
        <f>IFERROR(__xludf.DUMMYFUNCTION("""COMPUTED_VALUE"""),"Не знаю")</f>
        <v>Не знаю</v>
      </c>
      <c r="W171" s="6" t="str">
        <f>IFERROR(__xludf.DUMMYFUNCTION("""COMPUTED_VALUE"""),"Как и все люди")</f>
        <v>Как и все люди</v>
      </c>
      <c r="X171" s="6" t="str">
        <f>IFERROR(__xludf.DUMMYFUNCTION("""COMPUTED_VALUE"""),"Машина")</f>
        <v>Машина</v>
      </c>
      <c r="Y171" s="6" t="str">
        <f>IFERROR(__xludf.DUMMYFUNCTION("""COMPUTED_VALUE"""),"Не знаю")</f>
        <v>Не знаю</v>
      </c>
      <c r="Z171" s="6" t="str">
        <f>IFERROR(__xludf.DUMMYFUNCTION("""COMPUTED_VALUE"""),"Никаких ")</f>
        <v>Никаких </v>
      </c>
      <c r="AA171" s="6" t="str">
        <f>IFERROR(__xludf.DUMMYFUNCTION("""COMPUTED_VALUE"""),"Ни каких ")</f>
        <v>Ни каких </v>
      </c>
      <c r="AB171" s="6" t="str">
        <f>IFERROR(__xludf.DUMMYFUNCTION("""COMPUTED_VALUE"""),"Все хватает")</f>
        <v>Все хватает</v>
      </c>
      <c r="AC171" s="6" t="str">
        <f>IFERROR(__xludf.DUMMYFUNCTION("""COMPUTED_VALUE"""),"Все устраивает ")</f>
        <v>Все устраивает </v>
      </c>
      <c r="AD171" s="6" t="str">
        <f>IFERROR(__xludf.DUMMYFUNCTION("""COMPUTED_VALUE"""),"Ни в какой")</f>
        <v>Ни в какой</v>
      </c>
      <c r="AE171" s="6" t="str">
        <f>IFERROR(__xludf.DUMMYFUNCTION("""COMPUTED_VALUE"""),"Женский")</f>
        <v>Женский</v>
      </c>
      <c r="AF171" s="6" t="str">
        <f>IFERROR(__xludf.DUMMYFUNCTION("""COMPUTED_VALUE"""),"18-29")</f>
        <v>18-29</v>
      </c>
      <c r="AG171" s="6"/>
      <c r="AH171" s="6"/>
      <c r="AI171" s="6"/>
      <c r="AJ171" s="6"/>
      <c r="AK171" s="6"/>
      <c r="AL171" s="6"/>
      <c r="AM171" s="6"/>
    </row>
    <row r="172">
      <c r="A172" s="4">
        <v>171.0</v>
      </c>
      <c r="B172" s="6" t="str">
        <f>IFERROR(__xludf.DUMMYFUNCTION("""COMPUTED_VALUE"""),"Культура")</f>
        <v>Культура</v>
      </c>
      <c r="C172" s="6" t="str">
        <f>IFERROR(__xludf.DUMMYFUNCTION("""COMPUTED_VALUE"""),"Чтение")</f>
        <v>Чтение</v>
      </c>
      <c r="D172" s="6" t="str">
        <f>IFERROR(__xludf.DUMMYFUNCTION("""COMPUTED_VALUE"""),"Прокопьевск")</f>
        <v>Прокопьевск</v>
      </c>
      <c r="E172" s="6" t="str">
        <f>IFERROR(__xludf.DUMMYFUNCTION("""COMPUTED_VALUE"""),"Молодежный парк")</f>
        <v>Молодежный парк</v>
      </c>
      <c r="F172" s="6" t="str">
        <f>IFERROR(__xludf.DUMMYFUNCTION("""COMPUTED_VALUE"""),"Живу здесь с рождения")</f>
        <v>Живу здесь с рождения</v>
      </c>
      <c r="G172" s="6" t="str">
        <f>IFERROR(__xludf.DUMMYFUNCTION("""COMPUTED_VALUE"""),"на работу")</f>
        <v>на работу</v>
      </c>
      <c r="H172" s="6" t="str">
        <f>IFERROR(__xludf.DUMMYFUNCTION("""COMPUTED_VALUE"""),"шахта, уголь, пыль, сажа. смог")</f>
        <v>шахта, уголь, пыль, сажа. смог</v>
      </c>
      <c r="I172" s="6" t="str">
        <f>IFERROR(__xludf.DUMMYFUNCTION("""COMPUTED_VALUE"""),"Борисов")</f>
        <v>Борисов</v>
      </c>
      <c r="J172" s="6" t="str">
        <f>IFERROR(__xludf.DUMMYFUNCTION("""COMPUTED_VALUE"""),"Волынов")</f>
        <v>Волынов</v>
      </c>
      <c r="K172" s="6" t="str">
        <f>IFERROR(__xludf.DUMMYFUNCTION("""COMPUTED_VALUE"""),"Парк Победы г. Прокопьевск")</f>
        <v>Парк Победы г. Прокопьевск</v>
      </c>
      <c r="L172" s="6" t="str">
        <f>IFERROR(__xludf.DUMMYFUNCTION("""COMPUTED_VALUE"""),"затрудняюсь")</f>
        <v>затрудняюсь</v>
      </c>
      <c r="M172" s="6" t="str">
        <f>IFERROR(__xludf.DUMMYFUNCTION("""COMPUTED_VALUE"""),"нет")</f>
        <v>нет</v>
      </c>
      <c r="N172" s="6" t="str">
        <f>IFERROR(__xludf.DUMMYFUNCTION("""COMPUTED_VALUE"""),"экология, рабочие места, чистота, тепло, дороги")</f>
        <v>экология, рабочие места, чистота, тепло, дороги</v>
      </c>
      <c r="O172" s="6" t="str">
        <f>IFERROR(__xludf.DUMMYFUNCTION("""COMPUTED_VALUE"""),"дороги г. Прокопьевска")</f>
        <v>дороги г. Прокопьевска</v>
      </c>
      <c r="P172" s="6" t="str">
        <f>IFERROR(__xludf.DUMMYFUNCTION("""COMPUTED_VALUE"""),"Инстаграмм, ТВ")</f>
        <v>Инстаграмм, ТВ</v>
      </c>
      <c r="Q172" s="6" t="str">
        <f>IFERROR(__xludf.DUMMYFUNCTION("""COMPUTED_VALUE"""),"культурные новинки (что почитать/что послушать), новости про новые профессии/куда поступать/вакансии, интервью с экспертами на разные темы (напишите в разделе Другое свои предложения)")</f>
        <v>культурные новинки (что почитать/что послушать), новости про новые профессии/куда поступать/вакансии, интервью с экспертами на разные темы (напишите в разделе Другое свои предложения)</v>
      </c>
      <c r="R172" s="6" t="str">
        <f>IFERROR(__xludf.DUMMYFUNCTION("""COMPUTED_VALUE"""),"день города")</f>
        <v>день города</v>
      </c>
      <c r="S172" s="6" t="str">
        <f>IFERROR(__xludf.DUMMYFUNCTION("""COMPUTED_VALUE"""),"Нет, не приходилось")</f>
        <v>Нет, не приходилось</v>
      </c>
      <c r="T172" s="6" t="str">
        <f>IFERROR(__xludf.DUMMYFUNCTION("""COMPUTED_VALUE"""),"Томская писаница")</f>
        <v>Томская писаница</v>
      </c>
      <c r="U172" s="6" t="str">
        <f>IFERROR(__xludf.DUMMYFUNCTION("""COMPUTED_VALUE"""),"цирк")</f>
        <v>цирк</v>
      </c>
      <c r="V172" s="6" t="str">
        <f>IFERROR(__xludf.DUMMYFUNCTION("""COMPUTED_VALUE"""),"работали")</f>
        <v>работали</v>
      </c>
      <c r="W172" s="6" t="str">
        <f>IFERROR(__xludf.DUMMYFUNCTION("""COMPUTED_VALUE"""),"русские")</f>
        <v>русские</v>
      </c>
      <c r="X172" s="6" t="str">
        <f>IFERROR(__xludf.DUMMYFUNCTION("""COMPUTED_VALUE"""),"пр. Ленина")</f>
        <v>пр. Ленина</v>
      </c>
      <c r="Y172" s="6" t="str">
        <f>IFERROR(__xludf.DUMMYFUNCTION("""COMPUTED_VALUE"""),"затрудняюсь")</f>
        <v>затрудняюсь</v>
      </c>
      <c r="Z172" s="6" t="str">
        <f>IFERROR(__xludf.DUMMYFUNCTION("""COMPUTED_VALUE"""),"никакие")</f>
        <v>никакие</v>
      </c>
      <c r="AA172" s="6" t="str">
        <f>IFERROR(__xludf.DUMMYFUNCTION("""COMPUTED_VALUE"""),"никакие")</f>
        <v>никакие</v>
      </c>
      <c r="AB172" s="6" t="str">
        <f>IFERROR(__xludf.DUMMYFUNCTION("""COMPUTED_VALUE"""),"в Моем городе всего хватает. Кемерово не посещаю")</f>
        <v>в Моем городе всего хватает. Кемерово не посещаю</v>
      </c>
      <c r="AC172" s="6" t="str">
        <f>IFERROR(__xludf.DUMMYFUNCTION("""COMPUTED_VALUE"""),"уже интересно")</f>
        <v>уже интересно</v>
      </c>
      <c r="AD172" s="6" t="str">
        <f>IFERROR(__xludf.DUMMYFUNCTION("""COMPUTED_VALUE"""),"созерцатель")</f>
        <v>созерцатель</v>
      </c>
      <c r="AE172" s="6" t="str">
        <f>IFERROR(__xludf.DUMMYFUNCTION("""COMPUTED_VALUE"""),"Женский")</f>
        <v>Женский</v>
      </c>
      <c r="AF172" s="6" t="str">
        <f>IFERROR(__xludf.DUMMYFUNCTION("""COMPUTED_VALUE"""),"45-55")</f>
        <v>45-55</v>
      </c>
      <c r="AG172" s="6"/>
      <c r="AH172" s="6"/>
      <c r="AI172" s="6"/>
      <c r="AJ172" s="6"/>
      <c r="AK172" s="6"/>
      <c r="AL172" s="6"/>
      <c r="AM172" s="6"/>
    </row>
    <row r="173">
      <c r="A173" s="4">
        <v>172.0</v>
      </c>
      <c r="B173" s="6" t="str">
        <f>IFERROR(__xludf.DUMMYFUNCTION("""COMPUTED_VALUE"""),"Руководитель в IT. Развиваю команду тестировщиков и девопсов, курирую образовательные проекты в IT")</f>
        <v>Руководитель в IT. Развиваю команду тестировщиков и девопсов, курирую образовательные проекты в IT</v>
      </c>
      <c r="C173" s="6" t="str">
        <f>IFERROR(__xludf.DUMMYFUNCTION("""COMPUTED_VALUE"""),"рисование, современная вышивка, фридайвинг, походы")</f>
        <v>рисование, современная вышивка, фридайвинг, походы</v>
      </c>
      <c r="D173" s="6" t="str">
        <f>IFERROR(__xludf.DUMMYFUNCTION("""COMPUTED_VALUE"""),"в центральном, хотя теперь он заводский. На ""Искитимке"" живу")</f>
        <v>в центральном, хотя теперь он заводский. На "Искитимке" живу</v>
      </c>
      <c r="E173" s="6" t="str">
        <f>IFERROR(__xludf.DUMMYFUNCTION("""COMPUTED_VALUE"""),"парк Антошка, парк Жукова, бассейн Лазурный, цирк, Универ, первая музыкальная школа")</f>
        <v>парк Антошка, парк Жукова, бассейн Лазурный, цирк, Универ, первая музыкальная школа</v>
      </c>
      <c r="F173" s="6" t="str">
        <f>IFERROR(__xludf.DUMMYFUNCTION("""COMPUTED_VALUE"""),"Живу здесь с рождения")</f>
        <v>Живу здесь с рождения</v>
      </c>
      <c r="G173" s="6" t="str">
        <f>IFERROR(__xludf.DUMMYFUNCTION("""COMPUTED_VALUE"""),"гуляю по центру, езжу в гости в Кедровку, езжу в лес за Осиновкой, на берег Томи в Жургавань, путешествую по Кузбассу")</f>
        <v>гуляю по центру, езжу в гости в Кедровку, езжу в лес за Осиновкой, на берег Томи в Жургавань, путешествую по Кузбассу</v>
      </c>
      <c r="H173" s="6" t="str">
        <f>IFERROR(__xludf.DUMMYFUNCTION("""COMPUTED_VALUE"""),"голуби, такси, облепиха, площадь Советов, перекрестки по которым можно ходить сразу во все стороны(швейка, советский-кирова, красноармеская-красная)")</f>
        <v>голуби, такси, облепиха, площадь Советов, перекрестки по которым можно ходить сразу во все стороны(швейка, советский-кирова, красноармеская-красная)</v>
      </c>
      <c r="I173" s="6" t="str">
        <f>IFERROR(__xludf.DUMMYFUNCTION("""COMPUTED_VALUE"""),"вера волошина, леонов, гришковец, волков, ")</f>
        <v>вера волошина, леонов, гришковец, волков, </v>
      </c>
      <c r="J173" s="6" t="str">
        <f>IFERROR(__xludf.DUMMYFUNCTION("""COMPUTED_VALUE"""),"Михайлов, Владимир Васильевич давно был мэром, ")</f>
        <v>Михайлов, Владимир Васильевич давно был мэром, </v>
      </c>
      <c r="K173" s="6" t="str">
        <f>IFERROR(__xludf.DUMMYFUNCTION("""COMPUTED_VALUE"""),"красную горку, шахтера, кафе бебе которое недалеко от чайхана 42, кафе чизи, набережную, ")</f>
        <v>красную горку, шахтера, кафе бебе которое недалеко от чайхана 42, кафе чизи, набережную, </v>
      </c>
      <c r="L173" s="6" t="str">
        <f>IFERROR(__xludf.DUMMYFUNCTION("""COMPUTED_VALUE"""),"не знаю")</f>
        <v>не знаю</v>
      </c>
      <c r="M173" s="6" t="str">
        <f>IFERROR(__xludf.DUMMYFUNCTION("""COMPUTED_VALUE"""),"маленько - по этому слову сразу все понимают, что ты из сибири. Тормозок - перекус")</f>
        <v>маленько - по этому слову сразу все понимают, что ты из сибири. Тормозок - перекус</v>
      </c>
      <c r="N173" s="6" t="str">
        <f>IFERROR(__xludf.DUMMYFUNCTION("""COMPUTED_VALUE"""),"транспорт, парки, детские площадки, доспупность магазинов с продуктами и детскими товарами, чистый воздух, чистота")</f>
        <v>транспорт, парки, детские площадки, доспупность магазинов с продуктами и детскими товарами, чистый воздух, чистота</v>
      </c>
      <c r="O173" s="6" t="str">
        <f>IFERROR(__xludf.DUMMYFUNCTION("""COMPUTED_VALUE"""),"убрать ублюдские банеры, озеленить, сделать нормальные детские площадки по ВСЕМУ городу")</f>
        <v>убрать ублюдские банеры, озеленить, сделать нормальные детские площадки по ВСЕМУ городу</v>
      </c>
      <c r="P173" s="6" t="str">
        <f>IFERROR(__xludf.DUMMYFUNCTION("""COMPUTED_VALUE"""),"мне кажется я в центре событий, мне не  надо специально узнавать.")</f>
        <v>мне кажется я в центре событий, мне не  надо специально узнавать.</v>
      </c>
      <c r="Q173" s="6" t="str">
        <f>IFERROR(__xludf.DUMMYFUNCTION("""COMPUTED_VALUE"""),"интервью с местными творческими личностями, интервью с местными предпринимателями, результаты местных исследований (рейтинги/аналитика/тенденции)")</f>
        <v>интервью с местными творческими личностями, интервью с местными предпринимателями, результаты местных исследований (рейтинги/аналитика/тенденции)</v>
      </c>
      <c r="R173" s="6" t="str">
        <f>IFERROR(__xludf.DUMMYFUNCTION("""COMPUTED_VALUE"""),"во время городских праздников я стараюсь покинуть город. ")</f>
        <v>во время городских праздников я стараюсь покинуть город. </v>
      </c>
      <c r="S173"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173" s="6" t="str">
        <f>IFERROR(__xludf.DUMMYFUNCTION("""COMPUTED_VALUE"""),"уголь, кедр, мёд, ")</f>
        <v>уголь, кедр, мёд, </v>
      </c>
      <c r="U173" s="6" t="str">
        <f>IFERROR(__xludf.DUMMYFUNCTION("""COMPUTED_VALUE"""),"площадь советов, красная горка, старые дома в кировском,район политеха и ""профессорских"" домов")</f>
        <v>площадь советов, красная горка, старые дома в кировском,район политеха и "профессорских" домов</v>
      </c>
      <c r="V173" s="6" t="str">
        <f>IFERROR(__xludf.DUMMYFUNCTION("""COMPUTED_VALUE"""),"на отвалах сажают облепиху, построили греческую деревню в кедровке, широкие проспекты в городе, леонов летал в космос, писал про детство в кемерово, гришковец пишет о кемерово тоже, гребенщиков написал песню человек из кемерова")</f>
        <v>на отвалах сажают облепиху, построили греческую деревню в кедровке, широкие проспекты в городе, леонов летал в космос, писал про детство в кемерово, гришковец пишет о кемерово тоже, гребенщиков написал песню человек из кемерова</v>
      </c>
      <c r="W173" s="6" t="str">
        <f>IFERROR(__xludf.DUMMYFUNCTION("""COMPUTED_VALUE"""),"прямолинейные, быстрые, честные, ")</f>
        <v>прямолинейные, быстрые, честные, </v>
      </c>
      <c r="X173" s="6" t="str">
        <f>IFERROR(__xludf.DUMMYFUNCTION("""COMPUTED_VALUE"""),"из моего дома: парк Антошка, парк Жукова, Филармония, Часовня, площадь советов, Пушкин, Набережная, весенняя, драмтеатр, 62 лицей, политех, кофейня Скворечник, парк Зимняя вишня")</f>
        <v>из моего дома: парк Антошка, парк Жукова, Филармония, Часовня, площадь советов, Пушкин, Набережная, весенняя, драмтеатр, 62 лицей, политех, кофейня Скворечник, парк Зимняя вишня</v>
      </c>
      <c r="Y173" s="6" t="str">
        <f>IFERROR(__xludf.DUMMYFUNCTION("""COMPUTED_VALUE"""),"-")</f>
        <v>-</v>
      </c>
      <c r="Z173" s="6" t="str">
        <f>IFERROR(__xludf.DUMMYFUNCTION("""COMPUTED_VALUE"""),"-")</f>
        <v>-</v>
      </c>
      <c r="AA173" s="6" t="str">
        <f>IFERROR(__xludf.DUMMYFUNCTION("""COMPUTED_VALUE"""),"-")</f>
        <v>-</v>
      </c>
      <c r="AB173" s="6" t="str">
        <f>IFERROR(__xludf.DUMMYFUNCTION("""COMPUTED_VALUE"""),"-")</f>
        <v>-</v>
      </c>
      <c r="AC173" s="6" t="str">
        <f>IFERROR(__xludf.DUMMYFUNCTION("""COMPUTED_VALUE"""),"-")</f>
        <v>-</v>
      </c>
      <c r="AD173" s="6" t="str">
        <f>IFERROR(__xludf.DUMMYFUNCTION("""COMPUTED_VALUE"""),"-")</f>
        <v>-</v>
      </c>
      <c r="AE173" s="6" t="str">
        <f>IFERROR(__xludf.DUMMYFUNCTION("""COMPUTED_VALUE"""),"Женский")</f>
        <v>Женский</v>
      </c>
      <c r="AF173" s="6" t="str">
        <f>IFERROR(__xludf.DUMMYFUNCTION("""COMPUTED_VALUE"""),"30-44")</f>
        <v>30-44</v>
      </c>
      <c r="AG173" s="6"/>
      <c r="AH173" s="6"/>
      <c r="AI173" s="6"/>
      <c r="AJ173" s="6"/>
      <c r="AK173" s="6"/>
      <c r="AL173" s="6"/>
      <c r="AM173" s="6"/>
    </row>
    <row r="174">
      <c r="A174" s="4">
        <v>173.0</v>
      </c>
      <c r="B174" s="6" t="str">
        <f>IFERROR(__xludf.DUMMYFUNCTION("""COMPUTED_VALUE"""),"Учусь,работаю")</f>
        <v>Учусь,работаю</v>
      </c>
      <c r="C174" s="6" t="str">
        <f>IFERROR(__xludf.DUMMYFUNCTION("""COMPUTED_VALUE"""),"Да, рисую")</f>
        <v>Да, рисую</v>
      </c>
      <c r="D174" s="6" t="str">
        <f>IFERROR(__xludf.DUMMYFUNCTION("""COMPUTED_VALUE"""),"Рудничный район , Радуга")</f>
        <v>Рудничный район , Радуга</v>
      </c>
      <c r="E174" s="6" t="str">
        <f>IFERROR(__xludf.DUMMYFUNCTION("""COMPUTED_VALUE"""),"Рудничный бор")</f>
        <v>Рудничный бор</v>
      </c>
      <c r="F174" s="6" t="str">
        <f>IFERROR(__xludf.DUMMYFUNCTION("""COMPUTED_VALUE"""),"Переехал сюда из другого места (откуда? укажите в графе другое), Из Новокузнецка,переехала в связи с учебой")</f>
        <v>Переехал сюда из другого места (откуда? укажите в графе другое), Из Новокузнецка,переехала в связи с учебой</v>
      </c>
      <c r="G174" s="6" t="str">
        <f>IFERROR(__xludf.DUMMYFUNCTION("""COMPUTED_VALUE"""),"Рудничный бор, парк Ангелов,кинотеатры,кафе")</f>
        <v>Рудничный бор, парк Ангелов,кинотеатры,кафе</v>
      </c>
      <c r="H174" s="6" t="str">
        <f>IFERROR(__xludf.DUMMYFUNCTION("""COMPUTED_VALUE"""),"-")</f>
        <v>-</v>
      </c>
      <c r="I174" s="6" t="str">
        <f>IFERROR(__xludf.DUMMYFUNCTION("""COMPUTED_VALUE"""),"-")</f>
        <v>-</v>
      </c>
      <c r="J174" s="6" t="str">
        <f>IFERROR(__xludf.DUMMYFUNCTION("""COMPUTED_VALUE"""),"-")</f>
        <v>-</v>
      </c>
      <c r="K174" s="6" t="str">
        <f>IFERROR(__xludf.DUMMYFUNCTION("""COMPUTED_VALUE"""),"-")</f>
        <v>-</v>
      </c>
      <c r="L174" s="6" t="str">
        <f>IFERROR(__xludf.DUMMYFUNCTION("""COMPUTED_VALUE"""),"-")</f>
        <v>-</v>
      </c>
      <c r="M174" s="6" t="str">
        <f>IFERROR(__xludf.DUMMYFUNCTION("""COMPUTED_VALUE"""),"-")</f>
        <v>-</v>
      </c>
      <c r="N174" s="6" t="str">
        <f>IFERROR(__xludf.DUMMYFUNCTION("""COMPUTED_VALUE"""),"Чистота")</f>
        <v>Чистота</v>
      </c>
      <c r="O174" s="6" t="str">
        <f>IFERROR(__xludf.DUMMYFUNCTION("""COMPUTED_VALUE"""),"Посадить больше деревьев , отремонтировать фасад домов")</f>
        <v>Посадить больше деревьев , отремонтировать фасад домов</v>
      </c>
      <c r="P174" s="6" t="str">
        <f>IFERROR(__xludf.DUMMYFUNCTION("""COMPUTED_VALUE"""),"Инстаграм ")</f>
        <v>Инстаграм </v>
      </c>
      <c r="Q17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74" s="6" t="str">
        <f>IFERROR(__xludf.DUMMYFUNCTION("""COMPUTED_VALUE"""),"-")</f>
        <v>-</v>
      </c>
      <c r="S174" s="6" t="str">
        <f>IFERROR(__xludf.DUMMYFUNCTION("""COMPUTED_VALUE"""),"Нет, не приходилось")</f>
        <v>Нет, не приходилось</v>
      </c>
      <c r="T174" s="6" t="str">
        <f>IFERROR(__xludf.DUMMYFUNCTION("""COMPUTED_VALUE"""),"Промышленность")</f>
        <v>Промышленность</v>
      </c>
      <c r="U174" s="6" t="str">
        <f>IFERROR(__xludf.DUMMYFUNCTION("""COMPUTED_VALUE"""),"-")</f>
        <v>-</v>
      </c>
      <c r="V174" s="6" t="str">
        <f>IFERROR(__xludf.DUMMYFUNCTION("""COMPUTED_VALUE"""),"-")</f>
        <v>-</v>
      </c>
      <c r="W174" s="6" t="str">
        <f>IFERROR(__xludf.DUMMYFUNCTION("""COMPUTED_VALUE"""),"Грустные,подавленные,рассеянные ")</f>
        <v>Грустные,подавленные,рассеянные </v>
      </c>
      <c r="X174" s="6" t="str">
        <f>IFERROR(__xludf.DUMMYFUNCTION("""COMPUTED_VALUE"""),"-")</f>
        <v>-</v>
      </c>
      <c r="Y174" s="6" t="str">
        <f>IFERROR(__xludf.DUMMYFUNCTION("""COMPUTED_VALUE"""),"-")</f>
        <v>-</v>
      </c>
      <c r="Z174" s="6" t="str">
        <f>IFERROR(__xludf.DUMMYFUNCTION("""COMPUTED_VALUE"""),"-")</f>
        <v>-</v>
      </c>
      <c r="AA174" s="6" t="str">
        <f>IFERROR(__xludf.DUMMYFUNCTION("""COMPUTED_VALUE"""),"пожар на Зимней вишне")</f>
        <v>пожар на Зимней вишне</v>
      </c>
      <c r="AB174" s="6" t="str">
        <f>IFERROR(__xludf.DUMMYFUNCTION("""COMPUTED_VALUE"""),"-")</f>
        <v>-</v>
      </c>
      <c r="AC174" s="6" t="str">
        <f>IFERROR(__xludf.DUMMYFUNCTION("""COMPUTED_VALUE"""),"-")</f>
        <v>-</v>
      </c>
      <c r="AD174" s="6" t="str">
        <f>IFERROR(__xludf.DUMMYFUNCTION("""COMPUTED_VALUE"""),"-")</f>
        <v>-</v>
      </c>
      <c r="AE174" s="6" t="str">
        <f>IFERROR(__xludf.DUMMYFUNCTION("""COMPUTED_VALUE"""),"Женский")</f>
        <v>Женский</v>
      </c>
      <c r="AF174" s="6" t="str">
        <f>IFERROR(__xludf.DUMMYFUNCTION("""COMPUTED_VALUE"""),"18-29")</f>
        <v>18-29</v>
      </c>
      <c r="AG174" s="6"/>
      <c r="AH174" s="6"/>
      <c r="AI174" s="6"/>
      <c r="AJ174" s="6"/>
      <c r="AK174" s="6"/>
      <c r="AL174" s="6"/>
      <c r="AM174" s="6"/>
    </row>
    <row r="175">
      <c r="A175" s="4">
        <v>174.0</v>
      </c>
      <c r="B175" s="6" t="str">
        <f>IFERROR(__xludf.DUMMYFUNCTION("""COMPUTED_VALUE"""),"goodline")</f>
        <v>goodline</v>
      </c>
      <c r="C175" s="6" t="str">
        <f>IFERROR(__xludf.DUMMYFUNCTION("""COMPUTED_VALUE"""),"комп.игры")</f>
        <v>комп.игры</v>
      </c>
      <c r="D175" s="6" t="str">
        <f>IFERROR(__xludf.DUMMYFUNCTION("""COMPUTED_VALUE"""),"Кировский, ""КирЫч""")</f>
        <v>Кировский, "КирЫч"</v>
      </c>
      <c r="E175" s="6" t="str">
        <f>IFERROR(__xludf.DUMMYFUNCTION("""COMPUTED_VALUE"""),"набережная, ДК Кировского, телефонка")</f>
        <v>набережная, ДК Кировского, телефонка</v>
      </c>
      <c r="F175" s="6" t="str">
        <f>IFERROR(__xludf.DUMMYFUNCTION("""COMPUTED_VALUE"""),"Переехал сюда из другого места (откуда? укажите в графе другое), Алтайский край")</f>
        <v>Переехал сюда из другого места (откуда? укажите в графе другое), Алтайский край</v>
      </c>
      <c r="G175" s="6" t="str">
        <f>IFERROR(__xludf.DUMMYFUNCTION("""COMPUTED_VALUE"""),"гор.сад, набережная, бульвар, парк ВВ, Сосновый бор")</f>
        <v>гор.сад, набережная, бульвар, парк ВВ, Сосновый бор</v>
      </c>
      <c r="H175" s="6" t="str">
        <f>IFERROR(__xludf.DUMMYFUNCTION("""COMPUTED_VALUE"""),"Уголь, труд, гармония, спокойствие, инженер ")</f>
        <v>Уголь, труд, гармония, спокойствие, инженер </v>
      </c>
      <c r="I175" s="6" t="str">
        <f>IFERROR(__xludf.DUMMYFUNCTION("""COMPUTED_VALUE"""),"Волков,  Леонов, Горбачев")</f>
        <v>Волков,  Леонов, Горбачев</v>
      </c>
      <c r="J175" s="6" t="str">
        <f>IFERROR(__xludf.DUMMYFUNCTION("""COMPUTED_VALUE"""),"затрудняюсь ответить ")</f>
        <v>затрудняюсь ответить </v>
      </c>
      <c r="K175" s="6" t="str">
        <f>IFERROR(__xludf.DUMMYFUNCTION("""COMPUTED_VALUE"""),"памятник шахтёрам, ""КУЗБАСС"" на горе, площадь советов, парк Ангелов")</f>
        <v>памятник шахтёрам, "КУЗБАСС" на горе, площадь советов, парк Ангелов</v>
      </c>
      <c r="L175" s="6" t="str">
        <f>IFERROR(__xludf.DUMMYFUNCTION("""COMPUTED_VALUE"""),"затрудняюсь ответить ")</f>
        <v>затрудняюсь ответить </v>
      </c>
      <c r="M175" s="6" t="str">
        <f>IFERROR(__xludf.DUMMYFUNCTION("""COMPUTED_VALUE"""),"Швейка, Весенька")</f>
        <v>Швейка, Весенька</v>
      </c>
      <c r="N175" s="6" t="str">
        <f>IFERROR(__xludf.DUMMYFUNCTION("""COMPUTED_VALUE"""),"затрудняюсь ответить ")</f>
        <v>затрудняюсь ответить </v>
      </c>
      <c r="O175" s="6" t="str">
        <f>IFERROR(__xludf.DUMMYFUNCTION("""COMPUTED_VALUE"""),"Дороги")</f>
        <v>Дороги</v>
      </c>
      <c r="P175" s="6" t="str">
        <f>IFERROR(__xludf.DUMMYFUNCTION("""COMPUTED_VALUE"""),"vk.com, a42, сибдепо")</f>
        <v>vk.com, a42, сибдепо</v>
      </c>
      <c r="Q175"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75" s="6" t="str">
        <f>IFERROR(__xludf.DUMMYFUNCTION("""COMPUTED_VALUE"""),"день шахтера, день города")</f>
        <v>день шахтера, день города</v>
      </c>
      <c r="S175" s="6" t="str">
        <f>IFERROR(__xludf.DUMMYFUNCTION("""COMPUTED_VALUE"""),"Нет, не приходилось")</f>
        <v>Нет, не приходилось</v>
      </c>
      <c r="T175" s="6" t="str">
        <f>IFERROR(__xludf.DUMMYFUNCTION("""COMPUTED_VALUE"""),"затрудняюсь ответить ")</f>
        <v>затрудняюсь ответить </v>
      </c>
      <c r="U175" s="6" t="str">
        <f>IFERROR(__xludf.DUMMYFUNCTION("""COMPUTED_VALUE"""),"Площадь советов")</f>
        <v>Площадь советов</v>
      </c>
      <c r="V175" s="6" t="str">
        <f>IFERROR(__xludf.DUMMYFUNCTION("""COMPUTED_VALUE"""),"затрудняюсь ответить ")</f>
        <v>затрудняюсь ответить </v>
      </c>
      <c r="W175" s="6" t="str">
        <f>IFERROR(__xludf.DUMMYFUNCTION("""COMPUTED_VALUE"""),"Спокойные, отзывчивые, готовые помочь")</f>
        <v>Спокойные, отзывчивые, готовые помочь</v>
      </c>
      <c r="X175" s="6" t="str">
        <f>IFERROR(__xludf.DUMMYFUNCTION("""COMPUTED_VALUE"""),"""Я""- Горсад-Весенняя, ДТ-площадь советов-Филармония-Парк победы")</f>
        <v>"Я"- Горсад-Весенняя, ДТ-площадь советов-Филармония-Парк победы</v>
      </c>
      <c r="Y175" s="6" t="str">
        <f>IFERROR(__xludf.DUMMYFUNCTION("""COMPUTED_VALUE"""),"Герои Мирового Рока")</f>
        <v>Герои Мирового Рока</v>
      </c>
      <c r="Z175" s="6" t="str">
        <f>IFERROR(__xludf.DUMMYFUNCTION("""COMPUTED_VALUE"""),"Герои Мирового Рока, GoodLine Open")</f>
        <v>Герои Мирового Рока, GoodLine Open</v>
      </c>
      <c r="AA175" s="6" t="str">
        <f>IFERROR(__xludf.DUMMYFUNCTION("""COMPUTED_VALUE"""),"затрудняюсь ответить")</f>
        <v>затрудняюсь ответить</v>
      </c>
      <c r="AB175" s="6" t="str">
        <f>IFERROR(__xludf.DUMMYFUNCTION("""COMPUTED_VALUE"""),"затрудняюсь ответить")</f>
        <v>затрудняюсь ответить</v>
      </c>
      <c r="AC175" s="6" t="str">
        <f>IFERROR(__xludf.DUMMYFUNCTION("""COMPUTED_VALUE"""),"концерты мировых групп")</f>
        <v>концерты мировых групп</v>
      </c>
      <c r="AD175" s="6" t="str">
        <f>IFERROR(__xludf.DUMMYFUNCTION("""COMPUTED_VALUE""")," ни в какой ")</f>
        <v> ни в какой </v>
      </c>
      <c r="AE175" s="6" t="str">
        <f>IFERROR(__xludf.DUMMYFUNCTION("""COMPUTED_VALUE"""),"Мужской")</f>
        <v>Мужской</v>
      </c>
      <c r="AF175" s="6" t="str">
        <f>IFERROR(__xludf.DUMMYFUNCTION("""COMPUTED_VALUE"""),"18-29")</f>
        <v>18-29</v>
      </c>
      <c r="AG175" s="6"/>
      <c r="AH175" s="6"/>
      <c r="AI175" s="6"/>
      <c r="AJ175" s="6"/>
      <c r="AK175" s="6"/>
      <c r="AL175" s="6"/>
      <c r="AM175" s="6"/>
    </row>
    <row r="176">
      <c r="A176" s="4">
        <v>175.0</v>
      </c>
      <c r="B176" s="6" t="str">
        <f>IFERROR(__xludf.DUMMYFUNCTION("""COMPUTED_VALUE"""),"IT")</f>
        <v>IT</v>
      </c>
      <c r="C176" s="6" t="str">
        <f>IFERROR(__xludf.DUMMYFUNCTION("""COMPUTED_VALUE"""),"охота, рыбалка, прогулки")</f>
        <v>охота, рыбалка, прогулки</v>
      </c>
      <c r="D176" s="6" t="str">
        <f>IFERROR(__xludf.DUMMYFUNCTION("""COMPUTED_VALUE"""),"Рудничный, радуга")</f>
        <v>Рудничный, радуга</v>
      </c>
      <c r="E176" s="6" t="str">
        <f>IFERROR(__xludf.DUMMYFUNCTION("""COMPUTED_VALUE"""),"Ни каких только бичевники, и наркоманы в бору")</f>
        <v>Ни каких только бичевники, и наркоманы в бору</v>
      </c>
      <c r="F176" s="6" t="str">
        <f>IFERROR(__xludf.DUMMYFUNCTION("""COMPUTED_VALUE"""),"Живу здесь с рождения")</f>
        <v>Живу здесь с рождения</v>
      </c>
      <c r="G176" s="6" t="str">
        <f>IFERROR(__xludf.DUMMYFUNCTION("""COMPUTED_VALUE"""),"Уезжаю далеко от города, или в другие города, у нас делать нечего в городе.")</f>
        <v>Уезжаю далеко от города, или в другие города, у нас делать нечего в городе.</v>
      </c>
      <c r="H176" s="6" t="str">
        <f>IFERROR(__xludf.DUMMYFUNCTION("""COMPUTED_VALUE"""),"грязь, серость, смог, маргиналы, дыра")</f>
        <v>грязь, серость, смог, маргиналы, дыра</v>
      </c>
      <c r="I176" s="6" t="str">
        <f>IFERROR(__xludf.DUMMYFUNCTION("""COMPUTED_VALUE"""),"Волков М. ну и хватит")</f>
        <v>Волков М. ну и хватит</v>
      </c>
      <c r="J176" s="6" t="str">
        <f>IFERROR(__xludf.DUMMYFUNCTION("""COMPUTED_VALUE"""),"Зачем писать о тех которые не живут даже в этом городе, они при первой возможности уехали и забыли")</f>
        <v>Зачем писать о тех которые не живут даже в этом городе, они при первой возможности уехали и забыли</v>
      </c>
      <c r="K176" s="6" t="str">
        <f>IFERROR(__xludf.DUMMYFUNCTION("""COMPUTED_VALUE"""),"А нет таких, все давно пришло в упадок и продолжит уходить")</f>
        <v>А нет таких, все давно пришло в упадок и продолжит уходить</v>
      </c>
      <c r="L176" s="6" t="str">
        <f>IFERROR(__xludf.DUMMYFUNCTION("""COMPUTED_VALUE"""),"Это что очередной город призрак, нет это Кемерово")</f>
        <v>Это что очередной город призрак, нет это Кемерово</v>
      </c>
      <c r="M176" s="6" t="str">
        <f>IFERROR(__xludf.DUMMYFUNCTION("""COMPUTED_VALUE"""),"Кемерове...")</f>
        <v>Кемерове...</v>
      </c>
      <c r="N176" s="6" t="str">
        <f>IFERROR(__xludf.DUMMYFUNCTION("""COMPUTED_VALUE"""),"Экология, развитая дорожная инфраструктура, здравоохранение, соцциальная инфраструктура, дет сады, школы, чистый город.")</f>
        <v>Экология, развитая дорожная инфраструктура, здравоохранение, соцциальная инфраструктура, дет сады, школы, чистый город.</v>
      </c>
      <c r="O176" s="6" t="str">
        <f>IFERROR(__xludf.DUMMYFUNCTION("""COMPUTED_VALUE"""),"Менять надо не вид города, а уровень жизни населения этого города.")</f>
        <v>Менять надо не вид города, а уровень жизни населения этого города.</v>
      </c>
      <c r="P176" s="6" t="str">
        <f>IFERROR(__xludf.DUMMYFUNCTION("""COMPUTED_VALUE"""),"У нас в городе ни чего интересного не происходит, на все концерты приходится ехать или в Новосибирск или вообще в Москву, Питер...")</f>
        <v>У нас в городе ни чего интересного не происходит, на все концерты приходится ехать или в Новосибирск или вообще в Москву, Питер...</v>
      </c>
      <c r="Q176" s="6" t="str">
        <f>IFERROR(__xludf.DUMMYFUNCTION("""COMPUTED_VALUE"""),"Самое интересное это конечно же как наши рег СМИ скрывают новости о нашей власти, пишут под диктовочку.")</f>
        <v>Самое интересное это конечно же как наши рег СМИ скрывают новости о нашей власти, пишут под диктовочку.</v>
      </c>
      <c r="R176" s="6" t="str">
        <f>IFERROR(__xludf.DUMMYFUNCTION("""COMPUTED_VALUE"""),"Все давно перестало быть интересным, выглядит как ярмарка в рай центре в 50х, и да салют не спасет")</f>
        <v>Все давно перестало быть интересным, выглядит как ярмарка в рай центре в 50х, и да салют не спасет</v>
      </c>
      <c r="S176" s="6" t="str">
        <f>IFERROR(__xludf.DUMMYFUNCTION("""COMPUTED_VALUE"""),"Писал и расклеивал объявления/афиши")</f>
        <v>Писал и расклеивал объявления/афиши</v>
      </c>
      <c r="T176" s="6" t="str">
        <f>IFERROR(__xludf.DUMMYFUNCTION("""COMPUTED_VALUE"""),"Сейчас про Кемерово все знают благодаря Зимней вишне...")</f>
        <v>Сейчас про Кемерово все знают благодаря Зимней вишне...</v>
      </c>
      <c r="U176" s="6" t="str">
        <f>IFERROR(__xludf.DUMMYFUNCTION("""COMPUTED_VALUE"""),"Центр, филармония, драма, набережная")</f>
        <v>Центр, филармония, драма, набережная</v>
      </c>
      <c r="V176" s="6" t="str">
        <f>IFERROR(__xludf.DUMMYFUNCTION("""COMPUTED_VALUE"""),"не знаю")</f>
        <v>не знаю</v>
      </c>
      <c r="W176" s="6" t="str">
        <f>IFERROR(__xludf.DUMMYFUNCTION("""COMPUTED_VALUE"""),"озлобленные, мало культурных людей.")</f>
        <v>озлобленные, мало культурных людей.</v>
      </c>
      <c r="X176" s="6" t="str">
        <f>IFERROR(__xludf.DUMMYFUNCTION("""COMPUTED_VALUE"""),"нет таких, город грязь")</f>
        <v>нет таких, город грязь</v>
      </c>
      <c r="Y176" s="6" t="str">
        <f>IFERROR(__xludf.DUMMYFUNCTION("""COMPUTED_VALUE"""),"Герои мирового Рока.")</f>
        <v>Герои мирового Рока.</v>
      </c>
      <c r="Z176" s="6" t="str">
        <f>IFERROR(__xludf.DUMMYFUNCTION("""COMPUTED_VALUE"""),"и снова ничего не происходило")</f>
        <v>и снова ничего не происходило</v>
      </c>
      <c r="AA176" s="6" t="str">
        <f>IFERROR(__xludf.DUMMYFUNCTION("""COMPUTED_VALUE"""),"каждый год одно и то же событие режим черного неба, и какие то дикие сказки властей, или сугробы которые не вывозят, дороги разбитые, грязь по всему городу???
Бездействие полиции?")</f>
        <v>каждый год одно и то же событие режим черного неба, и какие то дикие сказки властей, или сугробы которые не вывозят, дороги разбитые, грязь по всему городу???
Бездействие полиции?</v>
      </c>
      <c r="AB176" s="6" t="str">
        <f>IFERROR(__xludf.DUMMYFUNCTION("""COMPUTED_VALUE"""),"в первую очередь необходимо направить внимание на детей этого города")</f>
        <v>в первую очередь необходимо направить внимание на детей этого города</v>
      </c>
      <c r="AC176" s="6" t="str">
        <f>IFERROR(__xludf.DUMMYFUNCTION("""COMPUTED_VALUE"""),"Откройте стрельбище для желающих, сделайте, зоны отдыха для детей и взрослых, но только охраняемые, чтобы маргинальные личности не ломали все это.")</f>
        <v>Откройте стрельбище для желающих, сделайте, зоны отдыха для детей и взрослых, но только охраняемые, чтобы маргинальные личности не ломали все это.</v>
      </c>
      <c r="AD176" s="6" t="str">
        <f>IFERROR(__xludf.DUMMYFUNCTION("""COMPUTED_VALUE"""),"я уезжаю из этого города, т.к. ждать чего-то бесполезно, а когда хотел делать всем было все равно.")</f>
        <v>я уезжаю из этого города, т.к. ждать чего-то бесполезно, а когда хотел делать всем было все равно.</v>
      </c>
      <c r="AE176" s="6" t="str">
        <f>IFERROR(__xludf.DUMMYFUNCTION("""COMPUTED_VALUE"""),"Мужской")</f>
        <v>Мужской</v>
      </c>
      <c r="AF176" s="6" t="str">
        <f>IFERROR(__xludf.DUMMYFUNCTION("""COMPUTED_VALUE"""),"30-44")</f>
        <v>30-44</v>
      </c>
      <c r="AG176" s="6"/>
      <c r="AH176" s="6"/>
      <c r="AI176" s="6"/>
      <c r="AJ176" s="6"/>
      <c r="AK176" s="6"/>
      <c r="AL176" s="6"/>
      <c r="AM176" s="6"/>
    </row>
    <row r="177">
      <c r="A177" s="4">
        <v>176.0</v>
      </c>
      <c r="B177" s="6" t="str">
        <f>IFERROR(__xludf.DUMMYFUNCTION("""COMPUTED_VALUE"""),"Культура, экономист ")</f>
        <v>Культура, экономист </v>
      </c>
      <c r="C177" s="6" t="str">
        <f>IFERROR(__xludf.DUMMYFUNCTION("""COMPUTED_VALUE"""),"Прогулки на свежем воздухе с ребёнком ")</f>
        <v>Прогулки на свежем воздухе с ребёнком </v>
      </c>
      <c r="D177" s="6" t="str">
        <f>IFERROR(__xludf.DUMMYFUNCTION("""COMPUTED_VALUE"""),"Заводский, Комиссарово ")</f>
        <v>Заводский, Комиссарово </v>
      </c>
      <c r="E177" s="6" t="str">
        <f>IFERROR(__xludf.DUMMYFUNCTION("""COMPUTED_VALUE"""),"Школа 50")</f>
        <v>Школа 50</v>
      </c>
      <c r="F177" s="6" t="str">
        <f>IFERROR(__xludf.DUMMYFUNCTION("""COMPUTED_VALUE"""),"Переехал сюда из другого места (откуда? укажите в графе другое), Казахстан ")</f>
        <v>Переехал сюда из другого места (откуда? укажите в графе другое), Казахстан </v>
      </c>
      <c r="G177" s="6" t="str">
        <f>IFERROR(__xludf.DUMMYFUNCTION("""COMPUTED_VALUE"""),"Парки, скверы, набережная ")</f>
        <v>Парки, скверы, набережная </v>
      </c>
      <c r="H177" s="6" t="str">
        <f>IFERROR(__xludf.DUMMYFUNCTION("""COMPUTED_VALUE"""),"Угольное плато")</f>
        <v>Угольное плато</v>
      </c>
      <c r="I177" s="6" t="str">
        <f>IFERROR(__xludf.DUMMYFUNCTION("""COMPUTED_VALUE"""),"Волошина, Двужильный")</f>
        <v>Волошина, Двужильный</v>
      </c>
      <c r="J177" s="6" t="str">
        <f>IFERROR(__xludf.DUMMYFUNCTION("""COMPUTED_VALUE"""),"Таких не знаю ")</f>
        <v>Таких не знаю </v>
      </c>
      <c r="K177" s="6" t="str">
        <f>IFERROR(__xludf.DUMMYFUNCTION("""COMPUTED_VALUE"""),"Набережная, памятник Шахтёрам с горящим сердцем, надпись Кузбасс на горе, очень красиво в Кедровке ")</f>
        <v>Набережная, памятник Шахтёрам с горящим сердцем, надпись Кузбасс на горе, очень красиво в Кедровке </v>
      </c>
      <c r="L177" s="6" t="str">
        <f>IFERROR(__xludf.DUMMYFUNCTION("""COMPUTED_VALUE"""),"Затрудняюсь ответить ")</f>
        <v>Затрудняюсь ответить </v>
      </c>
      <c r="M177" s="6" t="str">
        <f>IFERROR(__xludf.DUMMYFUNCTION("""COMPUTED_VALUE"""),"Нет")</f>
        <v>Нет</v>
      </c>
      <c r="N177" s="6" t="str">
        <f>IFERROR(__xludf.DUMMYFUNCTION("""COMPUTED_VALUE"""),"Затрудняюсь ответить ")</f>
        <v>Затрудняюсь ответить </v>
      </c>
      <c r="O177" s="6" t="str">
        <f>IFERROR(__xludf.DUMMYFUNCTION("""COMPUTED_VALUE"""),"Город серый")</f>
        <v>Город серый</v>
      </c>
      <c r="P177" s="6" t="str">
        <f>IFERROR(__xludf.DUMMYFUNCTION("""COMPUTED_VALUE"""),"По тв")</f>
        <v>По тв</v>
      </c>
      <c r="Q177"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f>
        <v>куда пойти в свободное время, новости про новые профессии/куда поступать/вакансии, бизнес-новости (средний чек/рекламные акции/запуск новых предприятий)</v>
      </c>
      <c r="R177" s="6" t="str">
        <f>IFERROR(__xludf.DUMMYFUNCTION("""COMPUTED_VALUE"""),"Новый год ")</f>
        <v>Новый год </v>
      </c>
      <c r="S177" s="6" t="str">
        <f>IFERROR(__xludf.DUMMYFUNCTION("""COMPUTED_VALUE"""),"Нет, не приходилось")</f>
        <v>Нет, не приходилось</v>
      </c>
      <c r="T177" s="6" t="str">
        <f>IFERROR(__xludf.DUMMYFUNCTION("""COMPUTED_VALUE"""),"Уголь")</f>
        <v>Уголь</v>
      </c>
      <c r="U177" s="6" t="str">
        <f>IFERROR(__xludf.DUMMYFUNCTION("""COMPUTED_VALUE"""),"Затрудняюсь ответить ")</f>
        <v>Затрудняюсь ответить </v>
      </c>
      <c r="V177" s="6" t="str">
        <f>IFERROR(__xludf.DUMMYFUNCTION("""COMPUTED_VALUE"""),"Добыча угля")</f>
        <v>Добыча угля</v>
      </c>
      <c r="W177" s="6" t="str">
        <f>IFERROR(__xludf.DUMMYFUNCTION("""COMPUTED_VALUE"""),"На мой взгляд немного хмурые")</f>
        <v>На мой взгляд немного хмурые</v>
      </c>
      <c r="X177" s="6" t="str">
        <f>IFERROR(__xludf.DUMMYFUNCTION("""COMPUTED_VALUE"""),"Набережная ")</f>
        <v>Набережная </v>
      </c>
      <c r="Y177" s="6" t="str">
        <f>IFERROR(__xludf.DUMMYFUNCTION("""COMPUTED_VALUE"""),"Затрудняюсь ответить ")</f>
        <v>Затрудняюсь ответить </v>
      </c>
      <c r="Z177" s="6" t="str">
        <f>IFERROR(__xludf.DUMMYFUNCTION("""COMPUTED_VALUE"""),"Слёт дед морозов")</f>
        <v>Слёт дед морозов</v>
      </c>
      <c r="AA177" s="6" t="str">
        <f>IFERROR(__xludf.DUMMYFUNCTION("""COMPUTED_VALUE"""),"Пожар Зимняя Вишня")</f>
        <v>Пожар Зимняя Вишня</v>
      </c>
      <c r="AB177" s="6" t="str">
        <f>IFERROR(__xludf.DUMMYFUNCTION("""COMPUTED_VALUE"""),"Не знаю ")</f>
        <v>Не знаю </v>
      </c>
      <c r="AC177" s="6" t="str">
        <f>IFERROR(__xludf.DUMMYFUNCTION("""COMPUTED_VALUE"""),"Для детей побольше бесплатных мероприятий ")</f>
        <v>Для детей побольше бесплатных мероприятий </v>
      </c>
      <c r="AD177" s="6" t="str">
        <f>IFERROR(__xludf.DUMMYFUNCTION("""COMPUTED_VALUE"""),"Нет такой ")</f>
        <v>Нет такой </v>
      </c>
      <c r="AE177" s="6" t="str">
        <f>IFERROR(__xludf.DUMMYFUNCTION("""COMPUTED_VALUE"""),"Женский")</f>
        <v>Женский</v>
      </c>
      <c r="AF177" s="6" t="str">
        <f>IFERROR(__xludf.DUMMYFUNCTION("""COMPUTED_VALUE"""),"30-44")</f>
        <v>30-44</v>
      </c>
      <c r="AG177" s="6"/>
      <c r="AH177" s="6"/>
      <c r="AI177" s="6"/>
      <c r="AJ177" s="6"/>
      <c r="AK177" s="6"/>
      <c r="AL177" s="6"/>
      <c r="AM177" s="6"/>
    </row>
    <row r="178">
      <c r="A178" s="4">
        <v>177.0</v>
      </c>
      <c r="B178" s="6" t="str">
        <f>IFERROR(__xludf.DUMMYFUNCTION("""COMPUTED_VALUE"""),"Работаю")</f>
        <v>Работаю</v>
      </c>
      <c r="C178" s="6" t="str">
        <f>IFERROR(__xludf.DUMMYFUNCTION("""COMPUTED_VALUE"""),"Нет")</f>
        <v>Нет</v>
      </c>
      <c r="D178" s="6" t="str">
        <f>IFERROR(__xludf.DUMMYFUNCTION("""COMPUTED_VALUE"""),"ФПК")</f>
        <v>ФПК</v>
      </c>
      <c r="E178" s="6" t="str">
        <f>IFERROR(__xludf.DUMMYFUNCTION("""COMPUTED_VALUE"""),"Парк музей Красная горка, Притомская набережная")</f>
        <v>Парк музей Красная горка, Притомская набережная</v>
      </c>
      <c r="F178" s="6" t="str">
        <f>IFERROR(__xludf.DUMMYFUNCTION("""COMPUTED_VALUE"""),"Живу здесь с рождения")</f>
        <v>Живу здесь с рождения</v>
      </c>
      <c r="G178" s="6" t="str">
        <f>IFERROR(__xludf.DUMMYFUNCTION("""COMPUTED_VALUE"""),"Центр города, Притомская набережная")</f>
        <v>Центр города, Притомская набережная</v>
      </c>
      <c r="H178" s="6" t="str">
        <f>IFERROR(__xludf.DUMMYFUNCTION("""COMPUTED_VALUE"""),"Угол, лес, химическая, индустриальная, машиностроительная  промышленность.")</f>
        <v>Угол, лес, химическая, индустриальная, машиностроительная  промышленность.</v>
      </c>
      <c r="I178" s="6" t="str">
        <f>IFERROR(__xludf.DUMMYFUNCTION("""COMPUTED_VALUE"""),"Михайло Волков - открыл уголь,
Влади́мир Давы́дович Мартемья́нов (15 июня 1936 года, Кемерово, РСФСР, СССР — 13 апреля 1970 года, Ессентуки Ставропольский край, РСФСР, СССР) — лётчик-спортсмен. Заслуженный мастер спорта СССР (1966).
8 августа 1966 года н"&amp;"а IV чемпионате мира в Москве завоевал звание абсолютного чемпиона мира по высшему пилотажу. Одержав эту победу, он стал первым из советских лётчиков абсолютным чемпионом мира. Четырежды становился абсолютным чемпионом СССР.")</f>
        <v>Михайло Волков - открыл уголь,
Влади́мир Давы́дович Мартемья́нов (15 июня 1936 года, Кемерово, РСФСР, СССР — 13 апреля 1970 года, Ессентуки Ставропольский край, РСФСР, СССР) — лётчик-спортсмен. Заслуженный мастер спорта СССР (1966).
8 августа 1966 года на IV чемпионате мира в Москве завоевал звание абсолютного чемпиона мира по высшему пилотажу. Одержав эту победу, он стал первым из советских лётчиков абсолютным чемпионом мира. Четырежды становился абсолютным чемпионом СССР.</v>
      </c>
      <c r="J178" s="6" t="str">
        <f>IFERROR(__xludf.DUMMYFUNCTION("""COMPUTED_VALUE"""),"Булгаков Анатолий Иванович
Заслуженный шахтер РСФСР, Почетный гражданин Кемеровской области, 
Балибалов Иван Алексеевич, Журналист, краевед, летописец города Кемерово,
Гришковец Евгений Валерьевич
Писатель, драматург, актёр, режиссёр. Почётный гражда"&amp;"нин города Калининграда, родился в г. Кемерово, 17.02.1967 г.")</f>
        <v>Булгаков Анатолий Иванович
Заслуженный шахтер РСФСР, Почетный гражданин Кемеровской области, 
Балибалов Иван Алексеевич, Журналист, краевед, летописец города Кемерово,
Гришковец Евгений Валерьевич
Писатель, драматург, актёр, режиссёр. Почётный гражданин города Калининграда, родился в г. Кемерово, 17.02.1967 г.</v>
      </c>
      <c r="K178" s="6" t="str">
        <f>IFERROR(__xludf.DUMMYFUNCTION("""COMPUTED_VALUE"""),"Томская писаница, Сосновый бор, город в городе Лесная подляна.")</f>
        <v>Томская писаница, Сосновый бор, город в городе Лесная подляна.</v>
      </c>
      <c r="L178" s="6" t="str">
        <f>IFERROR(__xludf.DUMMYFUNCTION("""COMPUTED_VALUE"""),"Наш городок - Москвы уголок; Киев - мать городов русских; Новгород нижний - сосед  Москве ближней")</f>
        <v>Наш городок - Москвы уголок; Киев - мать городов русских; Новгород нижний - сосед  Москве ближней</v>
      </c>
      <c r="M178" s="6" t="str">
        <f>IFERROR(__xludf.DUMMYFUNCTION("""COMPUTED_VALUE"""),"В кемерово жить не тужить, в Кемерово жить с морозом дружить.")</f>
        <v>В кемерово жить не тужить, в Кемерово жить с морозом дружить.</v>
      </c>
      <c r="N178" s="6" t="str">
        <f>IFERROR(__xludf.DUMMYFUNCTION("""COMPUTED_VALUE"""),"Транспортная доступность, медецинские услуги, образовательная среда, развлечение, комфортные условия прживания")</f>
        <v>Транспортная доступность, медецинские услуги, образовательная среда, развлечение, комфортные условия прживания</v>
      </c>
      <c r="O178" s="6" t="str">
        <f>IFERROR(__xludf.DUMMYFUNCTION("""COMPUTED_VALUE"""),"Строить заводыпредприятия, создавать рабочие места.")</f>
        <v>Строить заводыпредприятия, создавать рабочие места.</v>
      </c>
      <c r="P178" s="6" t="str">
        <f>IFERROR(__xludf.DUMMYFUNCTION("""COMPUTED_VALUE"""),"Телевидение, В Контакте, Инстаграм, Тик Ток")</f>
        <v>Телевидение, В Контакте, Инстаграм, Тик Ток</v>
      </c>
      <c r="Q178" s="6" t="str">
        <f>IFERROR(__xludf.DUMMYFUNCTION("""COMPUTED_VALUE"""),"городская афиша (кино/театр/концерты), интервью с местными политиками, бизнес-новости (средний чек/рекламные акции/запуск новых предприятий)")</f>
        <v>городская афиша (кино/театр/концерты), интервью с местными политиками, бизнес-новости (средний чек/рекламные акции/запуск новых предприятий)</v>
      </c>
      <c r="R178" s="6" t="str">
        <f>IFERROR(__xludf.DUMMYFUNCTION("""COMPUTED_VALUE"""),"День молодёжи, день города")</f>
        <v>День молодёжи, день города</v>
      </c>
      <c r="S178" s="6" t="str">
        <f>IFERROR(__xludf.DUMMYFUNCTION("""COMPUTED_VALUE"""),"Нет, не приходилось")</f>
        <v>Нет, не приходилось</v>
      </c>
      <c r="T178" s="6" t="str">
        <f>IFERROR(__xludf.DUMMYFUNCTION("""COMPUTED_VALUE"""),"Полезными ископаемыми (уголь)")</f>
        <v>Полезными ископаемыми (уголь)</v>
      </c>
      <c r="U178" s="6" t="str">
        <f>IFERROR(__xludf.DUMMYFUNCTION("""COMPUTED_VALUE"""),"Площадь советов")</f>
        <v>Площадь советов</v>
      </c>
      <c r="V178" s="6" t="str">
        <f>IFERROR(__xludf.DUMMYFUNCTION("""COMPUTED_VALUE"""),"Затрудняюсь ответить")</f>
        <v>Затрудняюсь ответить</v>
      </c>
      <c r="W178" s="6" t="str">
        <f>IFERROR(__xludf.DUMMYFUNCTION("""COMPUTED_VALUE"""),"Ответственные, добрые, отзывчивые. трудолюбивые")</f>
        <v>Ответственные, добрые, отзывчивые. трудолюбивые</v>
      </c>
      <c r="X178" s="6" t="str">
        <f>IFERROR(__xludf.DUMMYFUNCTION("""COMPUTED_VALUE"""),"Сосновый бор")</f>
        <v>Сосновый бор</v>
      </c>
      <c r="Y178" s="6" t="str">
        <f>IFERROR(__xludf.DUMMYFUNCTION("""COMPUTED_VALUE"""),"За время существования колонии аиковцами были реконструированы и электрифицированы шахты, достроен и пущен 1-й в Сибири коксохимический завод в Кемерово, проведена электрификация деревень, создана механизированная сельскохозяйственная ферма, построены пер"&amp;"вые благоустроенные поселки в городах Кузбасса.")</f>
        <v>За время существования колонии аиковцами были реконструированы и электрифицированы шахты, достроен и пущен 1-й в Сибири коксохимический завод в Кемерово, проведена электрификация деревень, создана механизированная сельскохозяйственная ферма, построены первые благоустроенные поселки в городах Кузбасса.</v>
      </c>
      <c r="Z178" s="6" t="str">
        <f>IFERROR(__xludf.DUMMYFUNCTION("""COMPUTED_VALUE"""),"Открытие космического музея в здании Кемеровского Аэропорта; открытие  Кемеровского президентского кадетского училища
Движения по кольцу на проспекте Химиков")</f>
        <v>Открытие космического музея в здании Кемеровского Аэропорта; открытие  Кемеровского президентского кадетского училища
Движения по кольцу на проспекте Химиков</v>
      </c>
      <c r="AA178" s="6" t="str">
        <f>IFERROR(__xludf.DUMMYFUNCTION("""COMPUTED_VALUE"""),"За последние 2 года затрудняюсь ответить, а за последние 3 года трагедия в Зимней вишни")</f>
        <v>За последние 2 года затрудняюсь ответить, а за последние 3 года трагедия в Зимней вишни</v>
      </c>
      <c r="AB178" s="6" t="str">
        <f>IFERROR(__xludf.DUMMYFUNCTION("""COMPUTED_VALUE"""),"Затрудняюсь ответить")</f>
        <v>Затрудняюсь ответить</v>
      </c>
      <c r="AC178" s="6" t="str">
        <f>IFERROR(__xludf.DUMMYFUNCTION("""COMPUTED_VALUE"""),"Затрудняюсь ответить")</f>
        <v>Затрудняюсь ответить</v>
      </c>
      <c r="AD178" s="6" t="str">
        <f>IFERROR(__xludf.DUMMYFUNCTION("""COMPUTED_VALUE"""),"Стротельство инфраструктуры сетей связи, для цифровизации всевозможных проектов.")</f>
        <v>Стротельство инфраструктуры сетей связи, для цифровизации всевозможных проектов.</v>
      </c>
      <c r="AE178" s="6" t="str">
        <f>IFERROR(__xludf.DUMMYFUNCTION("""COMPUTED_VALUE"""),"Мужской")</f>
        <v>Мужской</v>
      </c>
      <c r="AF178" s="6" t="str">
        <f>IFERROR(__xludf.DUMMYFUNCTION("""COMPUTED_VALUE"""),"45-55")</f>
        <v>45-55</v>
      </c>
      <c r="AG178" s="6"/>
      <c r="AH178" s="6"/>
      <c r="AI178" s="6"/>
      <c r="AJ178" s="6"/>
      <c r="AK178" s="6"/>
      <c r="AL178" s="6"/>
      <c r="AM178" s="6"/>
    </row>
    <row r="179">
      <c r="A179" s="4">
        <v>178.0</v>
      </c>
      <c r="B179" s="6" t="str">
        <f>IFERROR(__xludf.DUMMYFUNCTION("""COMPUTED_VALUE"""),"учусь")</f>
        <v>учусь</v>
      </c>
      <c r="C179" s="6" t="str">
        <f>IFERROR(__xludf.DUMMYFUNCTION("""COMPUTED_VALUE"""),"шахматы")</f>
        <v>шахматы</v>
      </c>
      <c r="D179" s="6" t="str">
        <f>IFERROR(__xludf.DUMMYFUNCTION("""COMPUTED_VALUE"""),"ленинский")</f>
        <v>ленинский</v>
      </c>
      <c r="E179" s="6" t="str">
        <f>IFERROR(__xludf.DUMMYFUNCTION("""COMPUTED_VALUE"""),"аллеи")</f>
        <v>аллеи</v>
      </c>
      <c r="F179" s="6" t="str">
        <f>IFERROR(__xludf.DUMMYFUNCTION("""COMPUTED_VALUE"""),"Живу здесь с рождения")</f>
        <v>Живу здесь с рождения</v>
      </c>
      <c r="G179" s="6" t="str">
        <f>IFERROR(__xludf.DUMMYFUNCTION("""COMPUTED_VALUE"""),"в кино")</f>
        <v>в кино</v>
      </c>
      <c r="H179" s="6" t="str">
        <f>IFERROR(__xludf.DUMMYFUNCTION("""COMPUTED_VALUE"""),"парк,завод,химия,дорога,толпа")</f>
        <v>парк,завод,химия,дорога,толпа</v>
      </c>
      <c r="I179" s="6" t="str">
        <f>IFERROR(__xludf.DUMMYFUNCTION("""COMPUTED_VALUE"""),"Тулеев?")</f>
        <v>Тулеев?</v>
      </c>
      <c r="J179" s="6" t="str">
        <f>IFERROR(__xludf.DUMMYFUNCTION("""COMPUTED_VALUE"""),"без комментариев")</f>
        <v>без комментариев</v>
      </c>
      <c r="K179" s="6" t="str">
        <f>IFERROR(__xludf.DUMMYFUNCTION("""COMPUTED_VALUE"""),"зависит от человека")</f>
        <v>зависит от человека</v>
      </c>
      <c r="L179" s="6" t="str">
        <f>IFERROR(__xludf.DUMMYFUNCTION("""COMPUTED_VALUE"""),"тише едешь,дальше будешь")</f>
        <v>тише едешь,дальше будешь</v>
      </c>
      <c r="M179" s="6" t="str">
        <f>IFERROR(__xludf.DUMMYFUNCTION("""COMPUTED_VALUE"""),"да")</f>
        <v>да</v>
      </c>
      <c r="N179" s="6" t="str">
        <f>IFERROR(__xludf.DUMMYFUNCTION("""COMPUTED_VALUE"""),"качество дорог, все необходимое рядом, есть где провести время итд")</f>
        <v>качество дорог, все необходимое рядом, есть где провести время итд</v>
      </c>
      <c r="O179" s="6" t="str">
        <f>IFERROR(__xludf.DUMMYFUNCTION("""COMPUTED_VALUE"""),"по обстоятельствам")</f>
        <v>по обстоятельствам</v>
      </c>
      <c r="P179" s="6" t="str">
        <f>IFERROR(__xludf.DUMMYFUNCTION("""COMPUTED_VALUE"""),"кемерово 42")</f>
        <v>кемерово 42</v>
      </c>
      <c r="Q179"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 новости про новые профессии/куда поступать/вакансии")</f>
        <v>куда пойти в свободное время, где вкусно поесть/открытие новых кафе/ресторанов, криминальные новости (происшествия/преступления), новости про новые профессии/куда поступать/вакансии</v>
      </c>
      <c r="R179" s="6" t="str">
        <f>IFERROR(__xludf.DUMMYFUNCTION("""COMPUTED_VALUE"""),"день шахтера?")</f>
        <v>день шахтера?</v>
      </c>
      <c r="S179" s="6" t="str">
        <f>IFERROR(__xludf.DUMMYFUNCTION("""COMPUTED_VALUE"""),"Нет, не приходилось")</f>
        <v>Нет, не приходилось</v>
      </c>
      <c r="T179" s="6" t="str">
        <f>IFERROR(__xludf.DUMMYFUNCTION("""COMPUTED_VALUE"""),"столица области,как по мне ничем,давно тут")</f>
        <v>столица области,как по мне ничем,давно тут</v>
      </c>
      <c r="U179" s="6" t="str">
        <f>IFERROR(__xludf.DUMMYFUNCTION("""COMPUTED_VALUE"""),"без комментариев")</f>
        <v>без комментариев</v>
      </c>
      <c r="V179" s="6" t="str">
        <f>IFERROR(__xludf.DUMMYFUNCTION("""COMPUTED_VALUE"""),"работали")</f>
        <v>работали</v>
      </c>
      <c r="W179" s="6" t="str">
        <f>IFERROR(__xludf.DUMMYFUNCTION("""COMPUTED_VALUE"""),"основная масса добрая и отзывчивая")</f>
        <v>основная масса добрая и отзывчивая</v>
      </c>
      <c r="X179" s="6" t="str">
        <f>IFERROR(__xludf.DUMMYFUNCTION("""COMPUTED_VALUE"""),"лучше всего начать с парка ангелов,а там по обстоятельствам")</f>
        <v>лучше всего начать с парка ангелов,а там по обстоятельствам</v>
      </c>
      <c r="Y179" s="6" t="str">
        <f>IFERROR(__xludf.DUMMYFUNCTION("""COMPUTED_VALUE"""),"без комментариев")</f>
        <v>без комментариев</v>
      </c>
      <c r="Z179" s="6" t="str">
        <f>IFERROR(__xludf.DUMMYFUNCTION("""COMPUTED_VALUE"""),"""ослабление"" карантина")</f>
        <v>"ослабление" карантина</v>
      </c>
      <c r="AA179" s="6" t="str">
        <f>IFERROR(__xludf.DUMMYFUNCTION("""COMPUTED_VALUE"""),"без комментариев")</f>
        <v>без комментариев</v>
      </c>
      <c r="AB179" s="6" t="str">
        <f>IFERROR(__xludf.DUMMYFUNCTION("""COMPUTED_VALUE"""),"все в достатке")</f>
        <v>все в достатке</v>
      </c>
      <c r="AC179" s="6" t="str">
        <f>IFERROR(__xludf.DUMMYFUNCTION("""COMPUTED_VALUE"""),"-")</f>
        <v>-</v>
      </c>
      <c r="AD179" s="6" t="str">
        <f>IFERROR(__xludf.DUMMYFUNCTION("""COMPUTED_VALUE"""),"не последней =)")</f>
        <v>не последней =)</v>
      </c>
      <c r="AE179" s="6" t="str">
        <f>IFERROR(__xludf.DUMMYFUNCTION("""COMPUTED_VALUE"""),"Мужской")</f>
        <v>Мужской</v>
      </c>
      <c r="AF179" s="6" t="str">
        <f>IFERROR(__xludf.DUMMYFUNCTION("""COMPUTED_VALUE"""),"18-29")</f>
        <v>18-29</v>
      </c>
      <c r="AG179" s="6"/>
      <c r="AH179" s="6"/>
      <c r="AI179" s="6"/>
      <c r="AJ179" s="6"/>
      <c r="AK179" s="6"/>
      <c r="AL179" s="6"/>
      <c r="AM179" s="6"/>
    </row>
    <row r="180">
      <c r="A180" s="4">
        <v>179.0</v>
      </c>
      <c r="B180" s="6" t="str">
        <f>IFERROR(__xludf.DUMMYFUNCTION("""COMPUTED_VALUE"""),"Специалист по продажам. Оформляю людям заявки на подключение услуг интернета и телевидения.")</f>
        <v>Специалист по продажам. Оформляю людям заявки на подключение услуг интернета и телевидения.</v>
      </c>
      <c r="C180" s="6" t="str">
        <f>IFERROR(__xludf.DUMMYFUNCTION("""COMPUTED_VALUE"""),"Фитнес (тренажерный зал), настольный теннис, болельщик фк Спартак, компьютерные игры (сейчас играю в WoW), фондовый рынок (читаю книги по инвестированию, экономике например на днях дочитал Сергея Маратовича Гуриева и его книгу про мифы экономики России), "&amp;"интересуюсь политикой (например интересно сравнить ВВП по ППС на душу населения нашей страны и допустим Эстонии или Латвии).")</f>
        <v>Фитнес (тренажерный зал), настольный теннис, болельщик фк Спартак, компьютерные игры (сейчас играю в WoW), фондовый рынок (читаю книги по инвестированию, экономике например на днях дочитал Сергея Маратовича Гуриева и его книгу про мифы экономики России), интересуюсь политикой (например интересно сравнить ВВП по ППС на душу населения нашей страны и допустим Эстонии или Латвии).</v>
      </c>
      <c r="D180" s="6" t="str">
        <f>IFERROR(__xludf.DUMMYFUNCTION("""COMPUTED_VALUE"""),"Живу на ФПК с начальной школы.")</f>
        <v>Живу на ФПК с начальной школы.</v>
      </c>
      <c r="E180" s="6" t="str">
        <f>IFERROR(__xludf.DUMMYFUNCTION("""COMPUTED_VALUE"""),"Гринвич, Ледовая Арена (закрытая для свободного посещения) и для меня Зеленая Горилла - тренажерный зал.")</f>
        <v>Гринвич, Ледовая Арена (закрытая для свободного посещения) и для меня Зеленая Горилла - тренажерный зал.</v>
      </c>
      <c r="F180" s="6" t="str">
        <f>IFERROR(__xludf.DUMMYFUNCTION("""COMPUTED_VALUE"""),"Живу здесь с рождения")</f>
        <v>Живу здесь с рождения</v>
      </c>
      <c r="G180" s="6" t="str">
        <f>IFERROR(__xludf.DUMMYFUNCTION("""COMPUTED_VALUE"""),"Регулярно только тренажерный зал Зеленая Горилла на ФПК, клуб по настольному теннису Союз на бульваре Строителей. Периодически бываю в театре Драмы и театре детей и молодежи.")</f>
        <v>Регулярно только тренажерный зал Зеленая Горилла на ФПК, клуб по настольному теннису Союз на бульваре Строителей. Периодически бываю в театре Драмы и театре детей и молодежи.</v>
      </c>
      <c r="H180" s="6" t="str">
        <f>IFERROR(__xludf.DUMMYFUNCTION("""COMPUTED_VALUE"""),"Детство, дым, мороз, родители, гудлайн.")</f>
        <v>Детство, дым, мороз, родители, гудлайн.</v>
      </c>
      <c r="I180" s="6" t="str">
        <f>IFERROR(__xludf.DUMMYFUNCTION("""COMPUTED_VALUE"""),"Не знаю.")</f>
        <v>Не знаю.</v>
      </c>
      <c r="J180" s="6" t="str">
        <f>IFERROR(__xludf.DUMMYFUNCTION("""COMPUTED_VALUE"""),"Футболист Александр Головин (правда он из Калтана) и игрок сброной России по настольному теннису Кирилл Скачков (правда он с Новокузнецка). А прямо из г. Кемерово есть ютуб-блогеры канала Немагия - если оценивать известность в рамках всей страны.")</f>
        <v>Футболист Александр Головин (правда он из Калтана) и игрок сброной России по настольному теннису Кирилл Скачков (правда он с Новокузнецка). А прямо из г. Кемерово есть ютуб-блогеры канала Немагия - если оценивать известность в рамках всей страны.</v>
      </c>
      <c r="K180" s="6" t="str">
        <f>IFERROR(__xludf.DUMMYFUNCTION("""COMPUTED_VALUE"""),"Из меня плохой советчик на тему достопримечательностей. Разве что новогоднюю ёлку за 18 млн рублей можно показать (или место где она стояла если её уже убрали).")</f>
        <v>Из меня плохой советчик на тему достопримечательностей. Разве что новогоднюю ёлку за 18 млн рублей можно показать (или место где она стояла если её уже убрали).</v>
      </c>
      <c r="L180" s="6" t="str">
        <f>IFERROR(__xludf.DUMMYFUNCTION("""COMPUTED_VALUE"""),"Где родился, там и пригодился. Яблоко от яблони недалеко падает.")</f>
        <v>Где родился, там и пригодился. Яблоко от яблони недалеко падает.</v>
      </c>
      <c r="M180" s="6" t="str">
        <f>IFERROR(__xludf.DUMMYFUNCTION("""COMPUTED_VALUE"""),"Не знаю.")</f>
        <v>Не знаю.</v>
      </c>
      <c r="N180" s="6" t="str">
        <f>IFERROR(__xludf.DUMMYFUNCTION("""COMPUTED_VALUE"""),"Удобный, безопасный и экологичный городской транспорт (прежде всего трамваи и троллейбусы с выделенными для них полосами и приоритетом движения). Малоэтажные на 3-4 этажа спальные районы с безавтомобильной дворовой зоной (вместо многоэтажных высоток с пар"&amp;"ковками между домами). Безопасный автотрансорт за счет снижения допустимой скорости движения в городе, за счет возможно платного въезда в некоторые зоны города. Пусть будет 3 пункта.")</f>
        <v>Удобный, безопасный и экологичный городской транспорт (прежде всего трамваи и троллейбусы с выделенными для них полосами и приоритетом движения). Малоэтажные на 3-4 этажа спальные районы с безавтомобильной дворовой зоной (вместо многоэтажных высоток с парковками между домами). Безопасный автотрансорт за счет снижения допустимой скорости движения в городе, за счет возможно платного въезда в некоторые зоны города. Пусть будет 3 пункта.</v>
      </c>
      <c r="O180" s="6" t="str">
        <f>IFERROR(__xludf.DUMMYFUNCTION("""COMPUTED_VALUE"""),"В первую очередь перестать строить многоэтажные дома и перенять европейский опыт урбанистики и начать строить малоэтажные жилые районы с внутренними дворами без автомобилей. Снизить допустимую скорость движения автотранспорта по городу. Создать больше пла"&amp;"тных парковок и запретить (ввести штрафы) хаотичные парковки во дворах под окнами (хочешь купить автомобиль - подумай сначала где будешь его парковать причем как у дома так и около места работы), что при параллельном развитии общественного транспорта (его"&amp;" удобства и доступности) позволит (вынудит) многих людей пересесть с личных автомобилей на городской транспорт. Также важно ввести открытую и публичную подотчетность всех муниципальных\государственных служб чтобы граждане могли посмотреть сколько денег с "&amp;"налогов\жкх идёт например на уборку снега и заранее видеть оплаченный график уборочных работ с этих денег в своём дворе условно на год вперёд. Чтобы например ЖКХ собирая деньги на капитальный ремонт публиковали полную отчетность сколько денег собрано и на"&amp;" что и когда будет потрачено с графиком работ во дворе\подъезде. Сюда же можно добавить введение штрафов за экскременты домашних животных на улице (нужно все убирать за собой и своими домашними животными).")</f>
        <v>В первую очередь перестать строить многоэтажные дома и перенять европейский опыт урбанистики и начать строить малоэтажные жилые районы с внутренними дворами без автомобилей. Снизить допустимую скорость движения автотранспорта по городу. Создать больше платных парковок и запретить (ввести штрафы) хаотичные парковки во дворах под окнами (хочешь купить автомобиль - подумай сначала где будешь его парковать причем как у дома так и около места работы), что при параллельном развитии общественного транспорта (его удобства и доступности) позволит (вынудит) многих людей пересесть с личных автомобилей на городской транспорт. Также важно ввести открытую и публичную подотчетность всех муниципальных\государственных служб чтобы граждане могли посмотреть сколько денег с налогов\жкх идёт например на уборку снега и заранее видеть оплаченный график уборочных работ с этих денег в своём дворе условно на год вперёд. Чтобы например ЖКХ собирая деньги на капитальный ремонт публиковали полную отчетность сколько денег собрано и на что и когда будет потрачено с графиком работ во дворе\подъезде. Сюда же можно добавить введение штрафов за экскременты домашних животных на улице (нужно все убирать за собой и своими домашними животными).</v>
      </c>
      <c r="P180" s="6" t="str">
        <f>IFERROR(__xludf.DUMMYFUNCTION("""COMPUTED_VALUE"""),"Сарафанное радио от коллег\друзей\родственников. Отдельно за региональными новостями не слежу совсем.")</f>
        <v>Сарафанное радио от коллег\друзей\родственников. Отдельно за региональными новостями не слежу совсем.</v>
      </c>
      <c r="Q180" s="6" t="str">
        <f>IFERROR(__xludf.DUMMYFUNCTION("""COMPUTED_VALUE"""),"интервью с местными политиками, интервью с местными предпринимателями, результаты местных исследований (рейтинги/аналитика/тенденции)")</f>
        <v>интервью с местными политиками, интервью с местными предпринимателями, результаты местных исследований (рейтинги/аналитика/тенденции)</v>
      </c>
      <c r="R180" s="6" t="str">
        <f>IFERROR(__xludf.DUMMYFUNCTION("""COMPUTED_VALUE"""),"У меня такой график, что праздничные дни все равно рабочие. Насколько знаю в городе у нас люди отмечают день Шахтёра и день города. Хотя сложно сказать чем они и их празднование отличаются от общероссийских.")</f>
        <v>У меня такой график, что праздничные дни все равно рабочие. Насколько знаю в городе у нас люди отмечают день Шахтёра и день города. Хотя сложно сказать чем они и их празднование отличаются от общероссийских.</v>
      </c>
      <c r="S180" s="6" t="str">
        <f>IFERROR(__xludf.DUMMYFUNCTION("""COMPUTED_VALUE"""),"Нет, не приходилось")</f>
        <v>Нет, не приходилось</v>
      </c>
      <c r="T180" s="6" t="str">
        <f>IFERROR(__xludf.DUMMYFUNCTION("""COMPUTED_VALUE"""),"Боюсь наш город ассоциируется у жителей других регионов с трагедией в Зимней Вишне и высоким уровнем коррупции, который вскрылся в том числе на этом событии. А еще у нас на ""голосовании по поправкам в конституцию"" по данным официального ЦИКа была явка 9"&amp;"0% и 90% голосов ЗА - наша область и наш город всегда славились потрясающим уровнем провластной фальсификации на выборах.")</f>
        <v>Боюсь наш город ассоциируется у жителей других регионов с трагедией в Зимней Вишне и высоким уровнем коррупции, который вскрылся в том числе на этом событии. А еще у нас на "голосовании по поправкам в конституцию" по данным официального ЦИКа была явка 90% и 90% голосов ЗА - наша область и наш город всегда славились потрясающим уровнем провластной фальсификации на выборах.</v>
      </c>
      <c r="U180" s="6" t="str">
        <f>IFERROR(__xludf.DUMMYFUNCTION("""COMPUTED_VALUE"""),"Площадь Советов, набережная, Весенний проспект.")</f>
        <v>Площадь Советов, набережная, Весенний проспект.</v>
      </c>
      <c r="V180" s="6" t="str">
        <f>IFERROR(__xludf.DUMMYFUNCTION("""COMPUTED_VALUE"""),"Они тут родились. Хотелось бы жить в свободной, демократической стране\регионе\городе и гордиться тем, что у нас у людей равные права и возможности. Что у нас честные выборы и независимые суды. Что у нас высокий уровень жизни и стабильный рост реально рас"&amp;"полагаемых доходов и покупательской способности населения. Наша область и город Кемерово с нашими ресурсами и человеческим капиталом вполне могли бы жить на уровне средней страны восточной Европы и стран Прибалтики.")</f>
        <v>Они тут родились. Хотелось бы жить в свободной, демократической стране\регионе\городе и гордиться тем, что у нас у людей равные права и возможности. Что у нас честные выборы и независимые суды. Что у нас высокий уровень жизни и стабильный рост реально располагаемых доходов и покупательской способности населения. Наша область и город Кемерово с нашими ресурсами и человеческим капиталом вполне могли бы жить на уровне средней страны восточной Европы и стран Прибалтики.</v>
      </c>
      <c r="W180" s="6" t="str">
        <f>IFERROR(__xludf.DUMMYFUNCTION("""COMPUTED_VALUE"""),"Смирение, равнодушие, политическая апатия. Поведение людей в стиле ""ничего не знаю, меня все устраивает, моя хата с краю"".")</f>
        <v>Смирение, равнодушие, политическая апатия. Поведение людей в стиле "ничего не знаю, меня все устраивает, моя хата с краю".</v>
      </c>
      <c r="X180" s="6" t="str">
        <f>IFERROR(__xludf.DUMMYFUNCTION("""COMPUTED_VALUE"""),"Возможно что-то в сторону набережной, весеннего проспекта и площади Советов.")</f>
        <v>Возможно что-то в сторону набережной, весеннего проспекта и площади Советов.</v>
      </c>
      <c r="Y180" s="6" t="str">
        <f>IFERROR(__xludf.DUMMYFUNCTION("""COMPUTED_VALUE"""),"За все время существования не возьмусь судить. При мне сюда можно отнести чемпионат мира по хоккею с мячом 2007 года. И пожар в Зимней Вишне - это если события общероссийского масштаба.")</f>
        <v>За все время существования не возьмусь судить. При мне сюда можно отнести чемпионат мира по хоккею с мячом 2007 года. И пожар в Зимней Вишне - это если события общероссийского масштаба.</v>
      </c>
      <c r="Z180" s="6" t="str">
        <f>IFERROR(__xludf.DUMMYFUNCTION("""COMPUTED_VALUE"""),"Позитивные события связаны только со мной, моей семьей и улучшением уровня материального положения и финансовой грамотности. Правда нельзя сказать, что это благодаря городу - скорее вопреки.")</f>
        <v>Позитивные события связаны только со мной, моей семьей и улучшением уровня материального положения и финансовой грамотности. Правда нельзя сказать, что это благодаря городу - скорее вопреки.</v>
      </c>
      <c r="AA180" s="6" t="str">
        <f>IFERROR(__xludf.DUMMYFUNCTION("""COMPUTED_VALUE"""),"Трагедия в Зимней Вишне (коррупция). Голосование по поправкам (фальсификации). ""Самоизоляция"" (отсутствие реальной поддержки населения). ")</f>
        <v>Трагедия в Зимней Вишне (коррупция). Голосование по поправкам (фальсификации). "Самоизоляция" (отсутствие реальной поддержки населения). </v>
      </c>
      <c r="AB180" s="6" t="str">
        <f>IFERROR(__xludf.DUMMYFUNCTION("""COMPUTED_VALUE"""),"По настольному теннису, по армрестлингу. Сюда же можно добавить профсоюзы, независимые политические проекты и сообщества по финансовой грамотности.")</f>
        <v>По настольному теннису, по армрестлингу. Сюда же можно добавить профсоюзы, независимые политические проекты и сообщества по финансовой грамотности.</v>
      </c>
      <c r="AC180" s="6" t="str">
        <f>IFERROR(__xludf.DUMMYFUNCTION("""COMPUTED_VALUE"""),"Борьба с коррупцией, честные выборы, независимые суды.")</f>
        <v>Борьба с коррупцией, честные выборы, независимые суды.</v>
      </c>
      <c r="AD180" s="6" t="str">
        <f>IFERROR(__xludf.DUMMYFUNCTION("""COMPUTED_VALUE"""),"В роли законопослушного налогоплательщика, с которого государство берёт 13% НДФЛ, 22% в пенсионный фонд и 20% НДС. Итого 55% всех наших доходов берёт себе государство. И это нормально. Правда хочется быть уверенным, что эти деньги расходуются по назначени"&amp;"ю, а не на строительство дворцов.")</f>
        <v>В роли законопослушного налогоплательщика, с которого государство берёт 13% НДФЛ, 22% в пенсионный фонд и 20% НДС. Итого 55% всех наших доходов берёт себе государство. И это нормально. Правда хочется быть уверенным, что эти деньги расходуются по назначению, а не на строительство дворцов.</v>
      </c>
      <c r="AE180" s="6" t="str">
        <f>IFERROR(__xludf.DUMMYFUNCTION("""COMPUTED_VALUE"""),"Мужской")</f>
        <v>Мужской</v>
      </c>
      <c r="AF180" s="6" t="str">
        <f>IFERROR(__xludf.DUMMYFUNCTION("""COMPUTED_VALUE"""),"30-44")</f>
        <v>30-44</v>
      </c>
      <c r="AG180" s="6"/>
      <c r="AH180" s="6"/>
      <c r="AI180" s="6"/>
      <c r="AJ180" s="6"/>
      <c r="AK180" s="6"/>
      <c r="AL180" s="6"/>
      <c r="AM180" s="6"/>
    </row>
    <row r="181">
      <c r="A181" s="4">
        <v>180.0</v>
      </c>
      <c r="B181" s="6" t="str">
        <f>IFERROR(__xludf.DUMMYFUNCTION("""COMPUTED_VALUE"""),"Студентка учусь")</f>
        <v>Студентка учусь</v>
      </c>
      <c r="C181" s="6" t="str">
        <f>IFERROR(__xludf.DUMMYFUNCTION("""COMPUTED_VALUE"""),"Люблю рисовать")</f>
        <v>Люблю рисовать</v>
      </c>
      <c r="D181" s="6" t="str">
        <f>IFERROR(__xludf.DUMMYFUNCTION("""COMPUTED_VALUE"""),"Ленинский ")</f>
        <v>Ленинский </v>
      </c>
      <c r="E181" s="6" t="str">
        <f>IFERROR(__xludf.DUMMYFUNCTION("""COMPUTED_VALUE"""),"Не знаю ")</f>
        <v>Не знаю </v>
      </c>
      <c r="F181" s="6" t="str">
        <f>IFERROR(__xludf.DUMMYFUNCTION("""COMPUTED_VALUE"""),"Переехал сюда из другого места (откуда? укажите в графе другое), Тыва")</f>
        <v>Переехал сюда из другого места (откуда? укажите в графе другое), Тыва</v>
      </c>
      <c r="G181" s="6" t="str">
        <f>IFERROR(__xludf.DUMMYFUNCTION("""COMPUTED_VALUE"""),"Кинотеатр Юбилейный ")</f>
        <v>Кинотеатр Юбилейный </v>
      </c>
      <c r="H181" s="6" t="str">
        <f>IFERROR(__xludf.DUMMYFUNCTION("""COMPUTED_VALUE"""),"Спокойный красивый ")</f>
        <v>Спокойный красивый </v>
      </c>
      <c r="I181" s="6" t="str">
        <f>IFERROR(__xludf.DUMMYFUNCTION("""COMPUTED_VALUE"""),".")</f>
        <v>.</v>
      </c>
      <c r="J181" s="6" t="str">
        <f>IFERROR(__xludf.DUMMYFUNCTION("""COMPUTED_VALUE"""),".")</f>
        <v>.</v>
      </c>
      <c r="K181" s="6" t="str">
        <f>IFERROR(__xludf.DUMMYFUNCTION("""COMPUTED_VALUE"""),"Парк ангелов")</f>
        <v>Парк ангелов</v>
      </c>
      <c r="L181" s="6" t="str">
        <f>IFERROR(__xludf.DUMMYFUNCTION("""COMPUTED_VALUE"""),"Все города хороши, но Кемерова от души")</f>
        <v>Все города хороши, но Кемерова от души</v>
      </c>
      <c r="M181" s="6" t="str">
        <f>IFERROR(__xludf.DUMMYFUNCTION("""COMPUTED_VALUE"""),"Нет")</f>
        <v>Нет</v>
      </c>
      <c r="N181" s="6" t="str">
        <f>IFERROR(__xludf.DUMMYFUNCTION("""COMPUTED_VALUE"""),".")</f>
        <v>.</v>
      </c>
      <c r="O181" s="6" t="str">
        <f>IFERROR(__xludf.DUMMYFUNCTION("""COMPUTED_VALUE"""),".")</f>
        <v>.</v>
      </c>
      <c r="P181" s="6" t="str">
        <f>IFERROR(__xludf.DUMMYFUNCTION("""COMPUTED_VALUE"""),"Instagram, vk")</f>
        <v>Instagram, vk</v>
      </c>
      <c r="Q181"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81" s="6" t="str">
        <f>IFERROR(__xludf.DUMMYFUNCTION("""COMPUTED_VALUE"""),"Май 9")</f>
        <v>Май 9</v>
      </c>
      <c r="S181" s="6" t="str">
        <f>IFERROR(__xludf.DUMMYFUNCTION("""COMPUTED_VALUE"""),"Нет, не приходилось")</f>
        <v>Нет, не приходилось</v>
      </c>
      <c r="T181" s="6" t="str">
        <f>IFERROR(__xludf.DUMMYFUNCTION("""COMPUTED_VALUE"""),"Спокойный, добрые люди")</f>
        <v>Спокойный, добрые люди</v>
      </c>
      <c r="U181" s="6" t="str">
        <f>IFERROR(__xludf.DUMMYFUNCTION("""COMPUTED_VALUE"""),".")</f>
        <v>.</v>
      </c>
      <c r="V181" s="6" t="str">
        <f>IFERROR(__xludf.DUMMYFUNCTION("""COMPUTED_VALUE"""),"Много трудились ")</f>
        <v>Много трудились </v>
      </c>
      <c r="W181" s="6" t="str">
        <f>IFERROR(__xludf.DUMMYFUNCTION("""COMPUTED_VALUE"""),"Добрые")</f>
        <v>Добрые</v>
      </c>
      <c r="X181" s="6" t="str">
        <f>IFERROR(__xludf.DUMMYFUNCTION("""COMPUTED_VALUE"""),".")</f>
        <v>.</v>
      </c>
      <c r="Y181" s="6" t="str">
        <f>IFERROR(__xludf.DUMMYFUNCTION("""COMPUTED_VALUE"""),".")</f>
        <v>.</v>
      </c>
      <c r="Z181" s="6" t="str">
        <f>IFERROR(__xludf.DUMMYFUNCTION("""COMPUTED_VALUE"""),"Студенческие концерты ")</f>
        <v>Студенческие концерты </v>
      </c>
      <c r="AA181" s="6" t="str">
        <f>IFERROR(__xludf.DUMMYFUNCTION("""COMPUTED_VALUE"""),"Не было")</f>
        <v>Не было</v>
      </c>
      <c r="AB181" s="6" t="str">
        <f>IFERROR(__xludf.DUMMYFUNCTION("""COMPUTED_VALUE"""),".")</f>
        <v>.</v>
      </c>
      <c r="AC181" s="6" t="str">
        <f>IFERROR(__xludf.DUMMYFUNCTION("""COMPUTED_VALUE"""),".")</f>
        <v>.</v>
      </c>
      <c r="AD181" s="6" t="str">
        <f>IFERROR(__xludf.DUMMYFUNCTION("""COMPUTED_VALUE"""),".")</f>
        <v>.</v>
      </c>
      <c r="AE181" s="6" t="str">
        <f>IFERROR(__xludf.DUMMYFUNCTION("""COMPUTED_VALUE"""),"Женский")</f>
        <v>Женский</v>
      </c>
      <c r="AF181" s="6" t="str">
        <f>IFERROR(__xludf.DUMMYFUNCTION("""COMPUTED_VALUE"""),"18-29")</f>
        <v>18-29</v>
      </c>
      <c r="AG181" s="6"/>
      <c r="AH181" s="6"/>
      <c r="AI181" s="6"/>
      <c r="AJ181" s="6"/>
      <c r="AK181" s="6"/>
      <c r="AL181" s="6"/>
      <c r="AM181" s="6"/>
    </row>
    <row r="182">
      <c r="A182" s="4">
        <v>181.0</v>
      </c>
      <c r="B182" s="6" t="str">
        <f>IFERROR(__xludf.DUMMYFUNCTION("""COMPUTED_VALUE"""),"педагог")</f>
        <v>педагог</v>
      </c>
      <c r="C182" s="6" t="str">
        <f>IFERROR(__xludf.DUMMYFUNCTION("""COMPUTED_VALUE"""),"автотуризм")</f>
        <v>автотуризм</v>
      </c>
      <c r="D182" s="6" t="str">
        <f>IFERROR(__xludf.DUMMYFUNCTION("""COMPUTED_VALUE"""),"Рудничный")</f>
        <v>Рудничный</v>
      </c>
      <c r="E182" s="6" t="str">
        <f>IFERROR(__xludf.DUMMYFUNCTION("""COMPUTED_VALUE"""),"Музей-заповедник ""Красная горка"", монумент ""Память шахтерам Кузбасса""")</f>
        <v>Музей-заповедник "Красная горка", монумент "Память шахтерам Кузбасса"</v>
      </c>
      <c r="F18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82" s="6" t="str">
        <f>IFERROR(__xludf.DUMMYFUNCTION("""COMPUTED_VALUE"""),"ул.Весенняя, Парк Чудес, площадь Советов, Томская Писаница")</f>
        <v>ул.Весенняя, Парк Чудес, площадь Советов, Томская Писаница</v>
      </c>
      <c r="H182" s="6" t="str">
        <f>IFERROR(__xludf.DUMMYFUNCTION("""COMPUTED_VALUE"""),"регион, политика, ритмичность")</f>
        <v>регион, политика, ритмичность</v>
      </c>
      <c r="I182" s="6" t="str">
        <f>IFERROR(__xludf.DUMMYFUNCTION("""COMPUTED_VALUE"""),"Подгорбунский, Мартимьянов, Михайлов (мэр города), Балибалов, Раздаев")</f>
        <v>Подгорбунский, Мартимьянов, Михайлов (мэр города), Балибалов, Раздаев</v>
      </c>
      <c r="J182" s="6" t="str">
        <f>IFERROR(__xludf.DUMMYFUNCTION("""COMPUTED_VALUE"""),"Середюк, Гришковец")</f>
        <v>Середюк, Гришковец</v>
      </c>
      <c r="K182" s="6" t="str">
        <f>IFERROR(__xludf.DUMMYFUNCTION("""COMPUTED_VALUE"""),"Набережную, ул.Весеннюю, краеведческий музей")</f>
        <v>Набережную, ул.Весеннюю, краеведческий музей</v>
      </c>
      <c r="L182" s="6" t="str">
        <f>IFERROR(__xludf.DUMMYFUNCTION("""COMPUTED_VALUE"""),"нет ассоциаций")</f>
        <v>нет ассоциаций</v>
      </c>
      <c r="M182" s="6" t="str">
        <f>IFERROR(__xludf.DUMMYFUNCTION("""COMPUTED_VALUE"""),"нет")</f>
        <v>нет</v>
      </c>
      <c r="N182" s="6" t="str">
        <f>IFERROR(__xludf.DUMMYFUNCTION("""COMPUTED_VALUE"""),"безопасность, порядок, чистота, доброжилательность")</f>
        <v>безопасность, порядок, чистота, доброжилательность</v>
      </c>
      <c r="O182" s="6" t="str">
        <f>IFERROR(__xludf.DUMMYFUNCTION("""COMPUTED_VALUE"""),"Каждый год город меняется к лучшему ")</f>
        <v>Каждый год город меняется к лучшему </v>
      </c>
      <c r="P182" s="6" t="str">
        <f>IFERROR(__xludf.DUMMYFUNCTION("""COMPUTED_VALUE"""),"Региональные новости по ТВ, инстаграм губернатора и мэра города")</f>
        <v>Региональные новости по ТВ, инстаграм губернатора и мэра города</v>
      </c>
      <c r="Q182" s="6" t="str">
        <f>IFERROR(__xludf.DUMMYFUNCTION("""COMPUTED_VALUE"""),"ежедневные новости и события")</f>
        <v>ежедневные новости и события</v>
      </c>
      <c r="R182" s="6" t="str">
        <f>IFERROR(__xludf.DUMMYFUNCTION("""COMPUTED_VALUE"""),"День города, Масленица, Новый год")</f>
        <v>День города, Масленица, Новый год</v>
      </c>
      <c r="S182" s="6" t="str">
        <f>IFERROR(__xludf.DUMMYFUNCTION("""COMPUTED_VALUE"""),"Нет, не приходилось")</f>
        <v>Нет, не приходилось</v>
      </c>
      <c r="T182" s="6" t="str">
        <f>IFERROR(__xludf.DUMMYFUNCTION("""COMPUTED_VALUE"""),"шахтерами")</f>
        <v>шахтерами</v>
      </c>
      <c r="U182" s="6" t="str">
        <f>IFERROR(__xludf.DUMMYFUNCTION("""COMPUTED_VALUE"""),"Площадь Советов, Набережная, б-р Строителей")</f>
        <v>Площадь Советов, Набережная, б-р Строителей</v>
      </c>
      <c r="V182" s="6" t="str">
        <f>IFERROR(__xludf.DUMMYFUNCTION("""COMPUTED_VALUE"""),"затрудняюсь ответить")</f>
        <v>затрудняюсь ответить</v>
      </c>
      <c r="W182" s="6" t="str">
        <f>IFERROR(__xludf.DUMMYFUNCTION("""COMPUTED_VALUE"""),"отзывчивые, но при этом жесткие ")</f>
        <v>отзывчивые, но при этом жесткие </v>
      </c>
      <c r="X182" s="6" t="str">
        <f>IFERROR(__xludf.DUMMYFUNCTION("""COMPUTED_VALUE"""),"Парк Жукова - Площадь Советов - площадь Пушкина - Набережная - Парк Чудес - пр-т Советский - ул.Весенняя")</f>
        <v>Парк Жукова - Площадь Советов - площадь Пушкина - Набережная - Парк Чудес - пр-т Советский - ул.Весенняя</v>
      </c>
      <c r="Y182" s="6" t="str">
        <f>IFERROR(__xludf.DUMMYFUNCTION("""COMPUTED_VALUE"""),"выступление Хворостовского")</f>
        <v>выступление Хворостовского</v>
      </c>
      <c r="Z182" s="6" t="str">
        <f>IFERROR(__xludf.DUMMYFUNCTION("""COMPUTED_VALUE"""),"открытие Парка Ангелов, облагораживание районов около Кузбасского и Студенческого мостов")</f>
        <v>открытие Парка Ангелов, облагораживание районов около Кузбасского и Студенческого мостов</v>
      </c>
      <c r="AA182" s="6" t="str">
        <f>IFERROR(__xludf.DUMMYFUNCTION("""COMPUTED_VALUE"""),"оставил горькое впечатление пожар в ""Зимней вишне""")</f>
        <v>оставил горькое впечатление пожар в "Зимней вишне"</v>
      </c>
      <c r="AB182" s="6" t="str">
        <f>IFERROR(__xludf.DUMMYFUNCTION("""COMPUTED_VALUE"""),"все в достатке")</f>
        <v>все в достатке</v>
      </c>
      <c r="AC182" s="6" t="str">
        <f>IFERROR(__xludf.DUMMYFUNCTION("""COMPUTED_VALUE"""),"затрудняюсь ответить")</f>
        <v>затрудняюсь ответить</v>
      </c>
      <c r="AD182" s="6" t="str">
        <f>IFERROR(__xludf.DUMMYFUNCTION("""COMPUTED_VALUE"""),"участие в организации и проведении")</f>
        <v>участие в организации и проведении</v>
      </c>
      <c r="AE182" s="6" t="str">
        <f>IFERROR(__xludf.DUMMYFUNCTION("""COMPUTED_VALUE"""),"Женский")</f>
        <v>Женский</v>
      </c>
      <c r="AF182" s="6" t="str">
        <f>IFERROR(__xludf.DUMMYFUNCTION("""COMPUTED_VALUE"""),"45-55")</f>
        <v>45-55</v>
      </c>
      <c r="AG182" s="6"/>
      <c r="AH182" s="6"/>
      <c r="AI182" s="6"/>
      <c r="AJ182" s="6"/>
      <c r="AK182" s="6"/>
      <c r="AL182" s="6"/>
      <c r="AM182" s="6"/>
    </row>
    <row r="183">
      <c r="A183" s="4">
        <v>182.0</v>
      </c>
      <c r="B183" s="6" t="str">
        <f>IFERROR(__xludf.DUMMYFUNCTION("""COMPUTED_VALUE"""),"Продажи в сфере коммуникаций и связи")</f>
        <v>Продажи в сфере коммуникаций и связи</v>
      </c>
      <c r="C183" s="6" t="str">
        <f>IFERROR(__xludf.DUMMYFUNCTION("""COMPUTED_VALUE"""),"охота, квадроцикл")</f>
        <v>охота, квадроцикл</v>
      </c>
      <c r="D183" s="6" t="str">
        <f>IFERROR(__xludf.DUMMYFUNCTION("""COMPUTED_VALUE"""),"Рудничный район - Радуга")</f>
        <v>Рудничный район - Радуга</v>
      </c>
      <c r="E183" s="6" t="str">
        <f>IFERROR(__xludf.DUMMYFUNCTION("""COMPUTED_VALUE"""),"Рудничный бор, Сквер молодоженов, ДК Шахтеров")</f>
        <v>Рудничный бор, Сквер молодоженов, ДК Шахтеров</v>
      </c>
      <c r="F183" s="6" t="str">
        <f>IFERROR(__xludf.DUMMYFUNCTION("""COMPUTED_VALUE"""),"Живу здесь с рождения")</f>
        <v>Живу здесь с рождения</v>
      </c>
      <c r="G183" s="6" t="str">
        <f>IFERROR(__xludf.DUMMYFUNCTION("""COMPUTED_VALUE"""),"Рудничный бор, набережная р.Томь, парк возле Кадетского училища, б-р Строителей")</f>
        <v>Рудничный бор, набережная р.Томь, парк возле Кадетского училища, б-р Строителей</v>
      </c>
      <c r="H183" s="6" t="str">
        <f>IFERROR(__xludf.DUMMYFUNCTION("""COMPUTED_VALUE"""),"сильный, волевой, грязный, задымленный, серый")</f>
        <v>сильный, волевой, грязный, задымленный, серый</v>
      </c>
      <c r="I183" s="6" t="str">
        <f>IFERROR(__xludf.DUMMYFUNCTION("""COMPUTED_VALUE"""),"Алексей Леонов, Юрий Арбачаков, Владимир Курегешев, Геннадий Красильников, Вера Волошина, ")</f>
        <v>Алексей Леонов, Юрий Арбачаков, Владимир Курегешев, Геннадий Красильников, Вера Волошина, </v>
      </c>
      <c r="J183" s="6" t="str">
        <f>IFERROR(__xludf.DUMMYFUNCTION("""COMPUTED_VALUE"""),"Сергей Мяус, Роман Гейзель, ")</f>
        <v>Сергей Мяус, Роман Гейзель, </v>
      </c>
      <c r="K183" s="6" t="str">
        <f>IFERROR(__xludf.DUMMYFUNCTION("""COMPUTED_VALUE"""),"Не знаю")</f>
        <v>Не знаю</v>
      </c>
      <c r="L183" s="6" t="str">
        <f>IFERROR(__xludf.DUMMYFUNCTION("""COMPUTED_VALUE"""),"Не знаю")</f>
        <v>Не знаю</v>
      </c>
      <c r="M183" s="6" t="str">
        <f>IFERROR(__xludf.DUMMYFUNCTION("""COMPUTED_VALUE"""),"Ларёк, Чёт шило (не хочу)")</f>
        <v>Ларёк, Чёт шило (не хочу)</v>
      </c>
      <c r="N183" s="6" t="str">
        <f>IFERROR(__xludf.DUMMYFUNCTION("""COMPUTED_VALUE"""),"чистый воздух, свободные от пробок дороги, вовремя убранный снег, развитые во всех сферах жизни районы города, зеленые парки для прогулок и спорта")</f>
        <v>чистый воздух, свободные от пробок дороги, вовремя убранный снег, развитые во всех сферах жизни районы города, зеленые парки для прогулок и спорта</v>
      </c>
      <c r="O183" s="6" t="str">
        <f>IFERROR(__xludf.DUMMYFUNCTION("""COMPUTED_VALUE"""),"отремонтировать и озеленить все парки и скверы созданные ранее, отремонтировать сточные коммуникации в центре города, освежить цвет фасадов зданий (по примеру домов напротив нового Кадетского училища), построить 3ий автомобильный мост через р.Томь")</f>
        <v>отремонтировать и озеленить все парки и скверы созданные ранее, отремонтировать сточные коммуникации в центре города, освежить цвет фасадов зданий (по примеру домов напротив нового Кадетского училища), построить 3ий автомобильный мост через р.Томь</v>
      </c>
      <c r="P183" s="6" t="str">
        <f>IFERROR(__xludf.DUMMYFUNCTION("""COMPUTED_VALUE"""),"А42.ру, инстаграм страницы друзей и знакомых, поиск в интернете")</f>
        <v>А42.ру, инстаграм страницы друзей и знакомых, поиск в интернете</v>
      </c>
      <c r="Q183" s="6" t="str">
        <f>IFERROR(__xludf.DUMMYFUNCTION("""COMPUTED_VALUE"""),"где вкусно поесть/открытие новых кафе/ресторанов,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разные"&amp;" темы (напишите в разделе Другое свои предложения)")</f>
        <v>где вкусно поесть/открытие новых кафе/ресторанов,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83" s="6" t="str">
        <f>IFERROR(__xludf.DUMMYFUNCTION("""COMPUTED_VALUE"""),"День шахтера, День города")</f>
        <v>День шахтера, День города</v>
      </c>
      <c r="S183" s="6" t="str">
        <f>IFERROR(__xludf.DUMMYFUNCTION("""COMPUTED_VALUE"""),"Нет, не приходилось")</f>
        <v>Нет, не приходилось</v>
      </c>
      <c r="T183" s="6" t="str">
        <f>IFERROR(__xludf.DUMMYFUNCTION("""COMPUTED_VALUE"""),"Шахтерский край, промышленность, ")</f>
        <v>Шахтерский край, промышленность, </v>
      </c>
      <c r="U183" s="6" t="str">
        <f>IFERROR(__xludf.DUMMYFUNCTION("""COMPUTED_VALUE"""),"набережная р.Томь, вечный огонь")</f>
        <v>набережная р.Томь, вечный огонь</v>
      </c>
      <c r="V183" s="6" t="str">
        <f>IFERROR(__xludf.DUMMYFUNCTION("""COMPUTED_VALUE"""),"Не знаю")</f>
        <v>Не знаю</v>
      </c>
      <c r="W183" s="6" t="str">
        <f>IFERROR(__xludf.DUMMYFUNCTION("""COMPUTED_VALUE"""),"Сильные")</f>
        <v>Сильные</v>
      </c>
      <c r="X183" s="6" t="str">
        <f>IFERROR(__xludf.DUMMYFUNCTION("""COMPUTED_VALUE"""),"Не знаю")</f>
        <v>Не знаю</v>
      </c>
      <c r="Y183" s="6" t="str">
        <f>IFERROR(__xludf.DUMMYFUNCTION("""COMPUTED_VALUE"""),"ЧМ по Хоккею с мячом")</f>
        <v>ЧМ по Хоккею с мячом</v>
      </c>
      <c r="Z183" s="6" t="str">
        <f>IFERROR(__xludf.DUMMYFUNCTION("""COMPUTED_VALUE"""),"Запустилась стройка многих новых объектов в городе: Кадетское училище, Арбитражный суд, Спортивный комплекс и ряд других зданий, город развивается.")</f>
        <v>Запустилась стройка многих новых объектов в городе: Кадетское училище, Арбитражный суд, Спортивный комплекс и ряд других зданий, город развивается.</v>
      </c>
      <c r="AA183" s="6" t="str">
        <f>IFERROR(__xludf.DUMMYFUNCTION("""COMPUTED_VALUE"""),"Не знаю")</f>
        <v>Не знаю</v>
      </c>
      <c r="AB183" s="6" t="str">
        <f>IFERROR(__xludf.DUMMYFUNCTION("""COMPUTED_VALUE"""),"Не знаю")</f>
        <v>Не знаю</v>
      </c>
      <c r="AC183" s="6" t="str">
        <f>IFERROR(__xludf.DUMMYFUNCTION("""COMPUTED_VALUE"""),"Любые федеральные мероприятия дадут приток финансов, людей и гостей в город.")</f>
        <v>Любые федеральные мероприятия дадут приток финансов, людей и гостей в город.</v>
      </c>
      <c r="AD183" s="6" t="str">
        <f>IFERROR(__xludf.DUMMYFUNCTION("""COMPUTED_VALUE"""),"Не знаю")</f>
        <v>Не знаю</v>
      </c>
      <c r="AE183" s="6" t="str">
        <f>IFERROR(__xludf.DUMMYFUNCTION("""COMPUTED_VALUE"""),"Мужской")</f>
        <v>Мужской</v>
      </c>
      <c r="AF183" s="6" t="str">
        <f>IFERROR(__xludf.DUMMYFUNCTION("""COMPUTED_VALUE"""),"30-44")</f>
        <v>30-44</v>
      </c>
      <c r="AG183" s="6"/>
      <c r="AH183" s="6"/>
      <c r="AI183" s="6"/>
      <c r="AJ183" s="6"/>
      <c r="AK183" s="6"/>
      <c r="AL183" s="6"/>
      <c r="AM183" s="6"/>
    </row>
    <row r="184">
      <c r="A184" s="4">
        <v>183.0</v>
      </c>
      <c r="B184" s="6" t="str">
        <f>IFERROR(__xludf.DUMMYFUNCTION("""COMPUTED_VALUE"""),"Учусь")</f>
        <v>Учусь</v>
      </c>
      <c r="C184" s="6" t="str">
        <f>IFERROR(__xludf.DUMMYFUNCTION("""COMPUTED_VALUE"""),"Читаю, зал хожу")</f>
        <v>Читаю, зал хожу</v>
      </c>
      <c r="D184" s="6" t="str">
        <f>IFERROR(__xludf.DUMMYFUNCTION("""COMPUTED_VALUE"""),"Бульвар строителей. ")</f>
        <v>Бульвар строителей. </v>
      </c>
      <c r="E184" s="6" t="str">
        <f>IFERROR(__xludf.DUMMYFUNCTION("""COMPUTED_VALUE"""),"Спортивный комплекс Кузбасс")</f>
        <v>Спортивный комплекс Кузбасс</v>
      </c>
      <c r="F184" s="6" t="str">
        <f>IFERROR(__xludf.DUMMYFUNCTION("""COMPUTED_VALUE"""),"Приехала учиться сюда")</f>
        <v>Приехала учиться сюда</v>
      </c>
      <c r="G184" s="6" t="str">
        <f>IFERROR(__xludf.DUMMYFUNCTION("""COMPUTED_VALUE"""),"Парк чудес, Гуляю в бульваре ")</f>
        <v>Парк чудес, Гуляю в бульваре </v>
      </c>
      <c r="H184" s="6" t="str">
        <f>IFERROR(__xludf.DUMMYFUNCTION("""COMPUTED_VALUE"""),"Тихий, простой, небольшой ")</f>
        <v>Тихий, простой, небольшой </v>
      </c>
      <c r="I184" s="6" t="str">
        <f>IFERROR(__xludf.DUMMYFUNCTION("""COMPUTED_VALUE"""),"Вера Ворошилина")</f>
        <v>Вера Ворошилина</v>
      </c>
      <c r="J184" s="6" t="str">
        <f>IFERROR(__xludf.DUMMYFUNCTION("""COMPUTED_VALUE"""),"не знаю")</f>
        <v>не знаю</v>
      </c>
      <c r="K184" s="6" t="str">
        <f>IFERROR(__xludf.DUMMYFUNCTION("""COMPUTED_VALUE"""),"Центр показала")</f>
        <v>Центр показала</v>
      </c>
      <c r="L184" s="6" t="str">
        <f>IFERROR(__xludf.DUMMYFUNCTION("""COMPUTED_VALUE"""),"не знаю")</f>
        <v>не знаю</v>
      </c>
      <c r="M184" s="6" t="str">
        <f>IFERROR(__xludf.DUMMYFUNCTION("""COMPUTED_VALUE"""),"нет")</f>
        <v>нет</v>
      </c>
      <c r="N184" s="6" t="str">
        <f>IFERROR(__xludf.DUMMYFUNCTION("""COMPUTED_VALUE"""),"Тихий город, чем другие города")</f>
        <v>Тихий город, чем другие города</v>
      </c>
      <c r="O184" s="6" t="str">
        <f>IFERROR(__xludf.DUMMYFUNCTION("""COMPUTED_VALUE"""),"Дороги плохие, Ещё нужно большие и красивые магазины,  Построить небоскребы, Нужно красивые и небольшие торговые, оазвлекательные центры")</f>
        <v>Дороги плохие, Ещё нужно большие и красивые магазины,  Построить небоскребы, Нужно красивые и небольшие торговые, оазвлекательные центры</v>
      </c>
      <c r="P184" s="6" t="str">
        <f>IFERROR(__xludf.DUMMYFUNCTION("""COMPUTED_VALUE"""),"Я подписана на Подслушано Кемерово и ЧП Кемерово")</f>
        <v>Я подписана на Подслушано Кемерово и ЧП Кемерово</v>
      </c>
      <c r="Q184"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v>
      </c>
      <c r="R184" s="6" t="str">
        <f>IFERROR(__xludf.DUMMYFUNCTION("""COMPUTED_VALUE"""),"Концерты")</f>
        <v>Концерты</v>
      </c>
      <c r="S184" s="6" t="str">
        <f>IFERROR(__xludf.DUMMYFUNCTION("""COMPUTED_VALUE"""),"Нет, не приходилось")</f>
        <v>Нет, не приходилось</v>
      </c>
      <c r="T184" s="6" t="str">
        <f>IFERROR(__xludf.DUMMYFUNCTION("""COMPUTED_VALUE"""),"Уникальность это уголь . Леса")</f>
        <v>Уникальность это уголь . Леса</v>
      </c>
      <c r="U184" s="6" t="str">
        <f>IFERROR(__xludf.DUMMYFUNCTION("""COMPUTED_VALUE"""),"Парк ангелов")</f>
        <v>Парк ангелов</v>
      </c>
      <c r="V184" s="6" t="str">
        <f>IFERROR(__xludf.DUMMYFUNCTION("""COMPUTED_VALUE"""),"Не знаю")</f>
        <v>Не знаю</v>
      </c>
      <c r="W184" s="6" t="str">
        <f>IFERROR(__xludf.DUMMYFUNCTION("""COMPUTED_VALUE"""),"Они простые и некоторые люди сложные")</f>
        <v>Они простые и некоторые люди сложные</v>
      </c>
      <c r="X184" s="6" t="str">
        <f>IFERROR(__xludf.DUMMYFUNCTION("""COMPUTED_VALUE"""),"Все одинаковые")</f>
        <v>Все одинаковые</v>
      </c>
      <c r="Y184" s="6" t="str">
        <f>IFERROR(__xludf.DUMMYFUNCTION("""COMPUTED_VALUE"""),"Не знаю")</f>
        <v>Не знаю</v>
      </c>
      <c r="Z184" s="6" t="str">
        <f>IFERROR(__xludf.DUMMYFUNCTION("""COMPUTED_VALUE"""),"Не знаю")</f>
        <v>Не знаю</v>
      </c>
      <c r="AA184" s="6" t="str">
        <f>IFERROR(__xludf.DUMMYFUNCTION("""COMPUTED_VALUE"""),"Короновирус. ")</f>
        <v>Короновирус. </v>
      </c>
      <c r="AB184" s="6" t="str">
        <f>IFERROR(__xludf.DUMMYFUNCTION("""COMPUTED_VALUE"""),"Не знаю")</f>
        <v>Не знаю</v>
      </c>
      <c r="AC184" s="6" t="str">
        <f>IFERROR(__xludf.DUMMYFUNCTION("""COMPUTED_VALUE"""),"Чтобы стало интереснее проводить концерты, интересное для молодежи")</f>
        <v>Чтобы стало интереснее проводить концерты, интересное для молодежи</v>
      </c>
      <c r="AD184" s="6" t="str">
        <f>IFERROR(__xludf.DUMMYFUNCTION("""COMPUTED_VALUE"""),"Волонтером для общественных дел")</f>
        <v>Волонтером для общественных дел</v>
      </c>
      <c r="AE184" s="6" t="str">
        <f>IFERROR(__xludf.DUMMYFUNCTION("""COMPUTED_VALUE"""),"Женский")</f>
        <v>Женский</v>
      </c>
      <c r="AF184" s="6" t="str">
        <f>IFERROR(__xludf.DUMMYFUNCTION("""COMPUTED_VALUE"""),"18-29")</f>
        <v>18-29</v>
      </c>
      <c r="AG184" s="6"/>
      <c r="AH184" s="6"/>
      <c r="AI184" s="6"/>
      <c r="AJ184" s="6"/>
      <c r="AK184" s="6"/>
      <c r="AL184" s="6"/>
      <c r="AM184" s="6"/>
    </row>
    <row r="185">
      <c r="A185" s="4">
        <v>184.0</v>
      </c>
      <c r="B185" s="6" t="str">
        <f>IFERROR(__xludf.DUMMYFUNCTION("""COMPUTED_VALUE"""),"Главный специалист отдела развития")</f>
        <v>Главный специалист отдела развития</v>
      </c>
      <c r="C185" s="6" t="str">
        <f>IFERROR(__xludf.DUMMYFUNCTION("""COMPUTED_VALUE"""),"Рисование")</f>
        <v>Рисование</v>
      </c>
      <c r="D185" s="6" t="str">
        <f>IFERROR(__xludf.DUMMYFUNCTION("""COMPUTED_VALUE"""),"Центральный")</f>
        <v>Центральный</v>
      </c>
      <c r="E185" s="6" t="str">
        <f>IFERROR(__xludf.DUMMYFUNCTION("""COMPUTED_VALUE"""),"Областная библиотека и все театры")</f>
        <v>Областная библиотека и все театры</v>
      </c>
      <c r="F185" s="6" t="str">
        <f>IFERROR(__xludf.DUMMYFUNCTION("""COMPUTED_VALUE"""),"Переехал сюда из другого места (откуда? укажите в графе другое), Белогорск")</f>
        <v>Переехал сюда из другого места (откуда? укажите в графе другое), Белогорск</v>
      </c>
      <c r="G185" s="6" t="str">
        <f>IFERROR(__xludf.DUMMYFUNCTION("""COMPUTED_VALUE"""),"Туда, где меня не было")</f>
        <v>Туда, где меня не было</v>
      </c>
      <c r="H185" s="6" t="str">
        <f>IFERROR(__xludf.DUMMYFUNCTION("""COMPUTED_VALUE"""),"300-летний, Спокойный, Родной, Многонациональный, Химическиактивный")</f>
        <v>300-летний, Спокойный, Родной, Многонациональный, Химическиактивный</v>
      </c>
      <c r="I185" s="6" t="str">
        <f>IFERROR(__xludf.DUMMYFUNCTION("""COMPUTED_VALUE"""),"Их много, для меня Семья Мартыновых")</f>
        <v>Их много, для меня Семья Мартыновых</v>
      </c>
      <c r="J185" s="6" t="str">
        <f>IFERROR(__xludf.DUMMYFUNCTION("""COMPUTED_VALUE"""),"Не знаю таких")</f>
        <v>Не знаю таких</v>
      </c>
      <c r="K185" s="6" t="str">
        <f>IFERROR(__xludf.DUMMYFUNCTION("""COMPUTED_VALUE"""),"Все музеи, бор и набережную")</f>
        <v>Все музеи, бор и набережную</v>
      </c>
      <c r="L185" s="6" t="str">
        <f>IFERROR(__xludf.DUMMYFUNCTION("""COMPUTED_VALUE"""),"Все мы, вроде, разные, а всё равно едины.")</f>
        <v>Все мы, вроде, разные, а всё равно едины.</v>
      </c>
      <c r="M185" s="6" t="str">
        <f>IFERROR(__xludf.DUMMYFUNCTION("""COMPUTED_VALUE"""),"Нет")</f>
        <v>Нет</v>
      </c>
      <c r="N185" s="6" t="str">
        <f>IFERROR(__xludf.DUMMYFUNCTION("""COMPUTED_VALUE"""),"Тишина, умиротворённость, чистота, сохранность личного пространства, много зелени и парков.")</f>
        <v>Тишина, умиротворённость, чистота, сохранность личного пространства, много зелени и парков.</v>
      </c>
      <c r="O185" s="6" t="str">
        <f>IFERROR(__xludf.DUMMYFUNCTION("""COMPUTED_VALUE"""),"Отремонтировать то, что нужно")</f>
        <v>Отремонтировать то, что нужно</v>
      </c>
      <c r="P185" s="6" t="str">
        <f>IFERROR(__xludf.DUMMYFUNCTION("""COMPUTED_VALUE"""),"Нахожу в интернете")</f>
        <v>Нахожу в интернете</v>
      </c>
      <c r="Q18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85" s="6" t="str">
        <f>IFERROR(__xludf.DUMMYFUNCTION("""COMPUTED_VALUE"""),"Новый год, День Победы")</f>
        <v>Новый год, День Победы</v>
      </c>
      <c r="S185" s="6" t="str">
        <f>IFERROR(__xludf.DUMMYFUNCTION("""COMPUTED_VALUE"""),"Нет, не приходилось")</f>
        <v>Нет, не приходилось</v>
      </c>
      <c r="T185" s="6" t="str">
        <f>IFERROR(__xludf.DUMMYFUNCTION("""COMPUTED_VALUE"""),"Угледобывающей промышленностью")</f>
        <v>Угледобывающей промышленностью</v>
      </c>
      <c r="U185" s="6" t="str">
        <f>IFERROR(__xludf.DUMMYFUNCTION("""COMPUTED_VALUE"""),"Красную горку")</f>
        <v>Красную горку</v>
      </c>
      <c r="V185" s="6" t="str">
        <f>IFERROR(__xludf.DUMMYFUNCTION("""COMPUTED_VALUE"""),"Построили его")</f>
        <v>Построили его</v>
      </c>
      <c r="W185" s="6" t="str">
        <f>IFERROR(__xludf.DUMMYFUNCTION("""COMPUTED_VALUE"""),"Разнообразные")</f>
        <v>Разнообразные</v>
      </c>
      <c r="X185" s="6" t="str">
        <f>IFERROR(__xludf.DUMMYFUNCTION("""COMPUTED_VALUE"""),"В гору, в бор")</f>
        <v>В гору, в бор</v>
      </c>
      <c r="Y185" s="6" t="str">
        <f>IFERROR(__xludf.DUMMYFUNCTION("""COMPUTED_VALUE"""),"Все события сами по себе значимы, как с исторической, так и с культурной стороны")</f>
        <v>Все события сами по себе значимы, как с исторической, так и с культурной стороны</v>
      </c>
      <c r="Z185" s="6" t="str">
        <f>IFERROR(__xludf.DUMMYFUNCTION("""COMPUTED_VALUE"""),"Их много, сложно выбрать")</f>
        <v>Их много, сложно выбрать</v>
      </c>
      <c r="AA185" s="6" t="str">
        <f>IFERROR(__xludf.DUMMYFUNCTION("""COMPUTED_VALUE"""),"Соседка снизу")</f>
        <v>Соседка снизу</v>
      </c>
      <c r="AB185" s="6" t="str">
        <f>IFERROR(__xludf.DUMMYFUNCTION("""COMPUTED_VALUE"""),"Мне всего достаточно)")</f>
        <v>Мне всего достаточно)</v>
      </c>
      <c r="AC185" s="6" t="str">
        <f>IFERROR(__xludf.DUMMYFUNCTION("""COMPUTED_VALUE"""),"Яркие уличные фестивали")</f>
        <v>Яркие уличные фестивали</v>
      </c>
      <c r="AD185" s="6" t="str">
        <f>IFERROR(__xludf.DUMMYFUNCTION("""COMPUTED_VALUE"""),"В роли себя")</f>
        <v>В роли себя</v>
      </c>
      <c r="AE185" s="6" t="str">
        <f>IFERROR(__xludf.DUMMYFUNCTION("""COMPUTED_VALUE"""),"Мужской")</f>
        <v>Мужской</v>
      </c>
      <c r="AF185" s="6" t="str">
        <f>IFERROR(__xludf.DUMMYFUNCTION("""COMPUTED_VALUE"""),"30-44")</f>
        <v>30-44</v>
      </c>
      <c r="AG185" s="6"/>
      <c r="AH185" s="6"/>
      <c r="AI185" s="6"/>
      <c r="AJ185" s="6"/>
      <c r="AK185" s="6"/>
      <c r="AL185" s="6"/>
      <c r="AM185" s="6"/>
    </row>
    <row r="186">
      <c r="A186" s="4">
        <v>185.0</v>
      </c>
      <c r="B186" s="6" t="str">
        <f>IFERROR(__xludf.DUMMYFUNCTION("""COMPUTED_VALUE"""),"Работа в сфере культуры")</f>
        <v>Работа в сфере культуры</v>
      </c>
      <c r="C186" s="6" t="str">
        <f>IFERROR(__xludf.DUMMYFUNCTION("""COMPUTED_VALUE"""),"Чтение, спорт")</f>
        <v>Чтение, спорт</v>
      </c>
      <c r="D186" s="6" t="str">
        <f>IFERROR(__xludf.DUMMYFUNCTION("""COMPUTED_VALUE"""),"Ленинский р-н, район аутсайдеров")</f>
        <v>Ленинский р-н, район аутсайдеров</v>
      </c>
      <c r="E186" s="6" t="str">
        <f>IFERROR(__xludf.DUMMYFUNCTION("""COMPUTED_VALUE"""),"Променад-2, Лента, KFC, Кузбасский парк")</f>
        <v>Променад-2, Лента, KFC, Кузбасский парк</v>
      </c>
      <c r="F186" s="6" t="str">
        <f>IFERROR(__xludf.DUMMYFUNCTION("""COMPUTED_VALUE"""),"Переехал сюда из другого места (откуда? укажите в графе другое), Красноярск")</f>
        <v>Переехал сюда из другого места (откуда? укажите в графе другое), Красноярск</v>
      </c>
      <c r="G186" s="6" t="str">
        <f>IFERROR(__xludf.DUMMYFUNCTION("""COMPUTED_VALUE"""),"Набережная")</f>
        <v>Набережная</v>
      </c>
      <c r="H186" s="6" t="str">
        <f>IFERROR(__xludf.DUMMYFUNCTION("""COMPUTED_VALUE"""),"Маленький, грязный, милый")</f>
        <v>Маленький, грязный, милый</v>
      </c>
      <c r="I186" s="6" t="str">
        <f>IFERROR(__xludf.DUMMYFUNCTION("""COMPUTED_VALUE"""),"Не знаю")</f>
        <v>Не знаю</v>
      </c>
      <c r="J186" s="6" t="str">
        <f>IFERROR(__xludf.DUMMYFUNCTION("""COMPUTED_VALUE"""),"Не знаю")</f>
        <v>Не знаю</v>
      </c>
      <c r="K186" s="6" t="str">
        <f>IFERROR(__xludf.DUMMYFUNCTION("""COMPUTED_VALUE"""),"Центр города")</f>
        <v>Центр города</v>
      </c>
      <c r="L186" s="6" t="str">
        <f>IFERROR(__xludf.DUMMYFUNCTION("""COMPUTED_VALUE"""),"-")</f>
        <v>-</v>
      </c>
      <c r="M186" s="6" t="str">
        <f>IFERROR(__xludf.DUMMYFUNCTION("""COMPUTED_VALUE"""),"-")</f>
        <v>-</v>
      </c>
      <c r="N186" s="6" t="str">
        <f>IFERROR(__xludf.DUMMYFUNCTION("""COMPUTED_VALUE"""),"Общественный транспорт, пешеходные дорожки, доступность магазинов, асфальтированные улицы, нормальные водоотводы ")</f>
        <v>Общественный транспорт, пешеходные дорожки, доступность магазинов, асфальтированные улицы, нормальные водоотводы </v>
      </c>
      <c r="O186" s="6" t="str">
        <f>IFERROR(__xludf.DUMMYFUNCTION("""COMPUTED_VALUE"""),"Бараки уберите пожалуйста")</f>
        <v>Бараки уберите пожалуйста</v>
      </c>
      <c r="P186" s="6" t="str">
        <f>IFERROR(__xludf.DUMMYFUNCTION("""COMPUTED_VALUE"""),"-")</f>
        <v>-</v>
      </c>
      <c r="Q186" s="6" t="str">
        <f>IFERROR(__xludf.DUMMYFUNCTION("""COMPUTED_VALUE"""),"Не интересуюсь")</f>
        <v>Не интересуюсь</v>
      </c>
      <c r="R186" s="6" t="str">
        <f>IFERROR(__xludf.DUMMYFUNCTION("""COMPUTED_VALUE"""),"-")</f>
        <v>-</v>
      </c>
      <c r="S186" s="6" t="str">
        <f>IFERROR(__xludf.DUMMYFUNCTION("""COMPUTED_VALUE"""),"Нет, не приходилось")</f>
        <v>Нет, не приходилось</v>
      </c>
      <c r="T186" s="6" t="str">
        <f>IFERROR(__xludf.DUMMYFUNCTION("""COMPUTED_VALUE"""),"Углем известен, для гостей уникального нет")</f>
        <v>Углем известен, для гостей уникального нет</v>
      </c>
      <c r="U186" s="6" t="str">
        <f>IFERROR(__xludf.DUMMYFUNCTION("""COMPUTED_VALUE"""),"Частный сектор в районе Сибиряков, и местных люмпенов")</f>
        <v>Частный сектор в районе Сибиряков, и местных люмпенов</v>
      </c>
      <c r="V186" s="6" t="str">
        <f>IFERROR(__xludf.DUMMYFUNCTION("""COMPUTED_VALUE"""),"-")</f>
        <v>-</v>
      </c>
      <c r="W186" s="6" t="str">
        <f>IFERROR(__xludf.DUMMYFUNCTION("""COMPUTED_VALUE"""),"Лощенный, агрессивный, как правило не русский")</f>
        <v>Лощенный, агрессивный, как правило не русский</v>
      </c>
      <c r="X186" s="6" t="str">
        <f>IFERROR(__xludf.DUMMYFUNCTION("""COMPUTED_VALUE"""),"Тот который не проходит через Кемерово")</f>
        <v>Тот который не проходит через Кемерово</v>
      </c>
      <c r="Y186" s="6" t="str">
        <f>IFERROR(__xludf.DUMMYFUNCTION("""COMPUTED_VALUE"""),"В 1934 открытие ГРЭС")</f>
        <v>В 1934 открытие ГРЭС</v>
      </c>
      <c r="Z186" s="6" t="str">
        <f>IFERROR(__xludf.DUMMYFUNCTION("""COMPUTED_VALUE"""),"Парк ангелов открыли")</f>
        <v>Парк ангелов открыли</v>
      </c>
      <c r="AA186" s="6" t="str">
        <f>IFERROR(__xludf.DUMMYFUNCTION("""COMPUTED_VALUE"""),"Пожар в ""Зимней вишне""")</f>
        <v>Пожар в "Зимней вишне"</v>
      </c>
      <c r="AB186" s="6" t="str">
        <f>IFERROR(__xludf.DUMMYFUNCTION("""COMPUTED_VALUE"""),"Всего хватает")</f>
        <v>Всего хватает</v>
      </c>
      <c r="AC186" s="6" t="str">
        <f>IFERROR(__xludf.DUMMYFUNCTION("""COMPUTED_VALUE"""),"Больше парков")</f>
        <v>Больше парков</v>
      </c>
      <c r="AD186" s="6" t="str">
        <f>IFERROR(__xludf.DUMMYFUNCTION("""COMPUTED_VALUE"""),"Стороннего наблюдателя")</f>
        <v>Стороннего наблюдателя</v>
      </c>
      <c r="AE186" s="6" t="str">
        <f>IFERROR(__xludf.DUMMYFUNCTION("""COMPUTED_VALUE"""),"Мужской")</f>
        <v>Мужской</v>
      </c>
      <c r="AF186" s="6" t="str">
        <f>IFERROR(__xludf.DUMMYFUNCTION("""COMPUTED_VALUE"""),"18-29")</f>
        <v>18-29</v>
      </c>
      <c r="AG186" s="6"/>
      <c r="AH186" s="6"/>
      <c r="AI186" s="6"/>
      <c r="AJ186" s="6"/>
      <c r="AK186" s="6"/>
      <c r="AL186" s="6"/>
      <c r="AM186" s="6"/>
    </row>
    <row r="187">
      <c r="A187" s="4">
        <v>186.0</v>
      </c>
      <c r="B187" s="6" t="str">
        <f>IFERROR(__xludf.DUMMYFUNCTION("""COMPUTED_VALUE"""),"Учусь")</f>
        <v>Учусь</v>
      </c>
      <c r="C187" s="6" t="str">
        <f>IFERROR(__xludf.DUMMYFUNCTION("""COMPUTED_VALUE"""),"Читаю")</f>
        <v>Читаю</v>
      </c>
      <c r="D187" s="6" t="str">
        <f>IFERROR(__xludf.DUMMYFUNCTION("""COMPUTED_VALUE"""),"Ленинский Центральный")</f>
        <v>Ленинский Центральный</v>
      </c>
      <c r="E187" s="6" t="str">
        <f>IFERROR(__xludf.DUMMYFUNCTION("""COMPUTED_VALUE"""),"Спортивный центр Кузбасс")</f>
        <v>Спортивный центр Кузбасс</v>
      </c>
      <c r="F187" s="6" t="str">
        <f>IFERROR(__xludf.DUMMYFUNCTION("""COMPUTED_VALUE"""),"Переехал сюда из другого места (откуда? укажите в графе другое), Республика Тыва")</f>
        <v>Переехал сюда из другого места (откуда? укажите в графе другое), Республика Тыва</v>
      </c>
      <c r="G187" s="6" t="str">
        <f>IFERROR(__xludf.DUMMYFUNCTION("""COMPUTED_VALUE"""),"Кафешки")</f>
        <v>Кафешки</v>
      </c>
      <c r="H187" s="6" t="str">
        <f>IFERROR(__xludf.DUMMYFUNCTION("""COMPUTED_VALUE"""),"Сельхоз,архитектура,уголь,шахты,серый")</f>
        <v>Сельхоз,архитектура,уголь,шахты,серый</v>
      </c>
      <c r="I187" s="6" t="str">
        <f>IFERROR(__xludf.DUMMYFUNCTION("""COMPUTED_VALUE"""),"-")</f>
        <v>-</v>
      </c>
      <c r="J187" s="6" t="str">
        <f>IFERROR(__xludf.DUMMYFUNCTION("""COMPUTED_VALUE"""),"-")</f>
        <v>-</v>
      </c>
      <c r="K187" s="6" t="str">
        <f>IFERROR(__xludf.DUMMYFUNCTION("""COMPUTED_VALUE"""),"Незнаю город ")</f>
        <v>Незнаю город </v>
      </c>
      <c r="L187" s="6" t="str">
        <f>IFERROR(__xludf.DUMMYFUNCTION("""COMPUTED_VALUE"""),"-")</f>
        <v>-</v>
      </c>
      <c r="M187" s="6" t="str">
        <f>IFERROR(__xludf.DUMMYFUNCTION("""COMPUTED_VALUE"""),"Нет")</f>
        <v>Нет</v>
      </c>
      <c r="N187" s="6" t="str">
        <f>IFERROR(__xludf.DUMMYFUNCTION("""COMPUTED_VALUE"""),"Тихий ,маленький , все поблизости ")</f>
        <v>Тихий ,маленький , все поблизости </v>
      </c>
      <c r="O187" s="6" t="str">
        <f>IFERROR(__xludf.DUMMYFUNCTION("""COMPUTED_VALUE"""),"Дома")</f>
        <v>Дома</v>
      </c>
      <c r="P187" s="6" t="str">
        <f>IFERROR(__xludf.DUMMYFUNCTION("""COMPUTED_VALUE"""),"ВКонтакте ")</f>
        <v>ВКонтакте </v>
      </c>
      <c r="Q187"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187" s="6" t="str">
        <f>IFERROR(__xludf.DUMMYFUNCTION("""COMPUTED_VALUE"""),"День города ")</f>
        <v>День города </v>
      </c>
      <c r="S187" s="6" t="str">
        <f>IFERROR(__xludf.DUMMYFUNCTION("""COMPUTED_VALUE"""),"Нет, не приходилось")</f>
        <v>Нет, не приходилось</v>
      </c>
      <c r="T187" s="6" t="str">
        <f>IFERROR(__xludf.DUMMYFUNCTION("""COMPUTED_VALUE"""),"Уголь ")</f>
        <v>Уголь </v>
      </c>
      <c r="U187" s="6" t="str">
        <f>IFERROR(__xludf.DUMMYFUNCTION("""COMPUTED_VALUE"""),"Плохо знаю город")</f>
        <v>Плохо знаю город</v>
      </c>
      <c r="V187" s="6" t="str">
        <f>IFERROR(__xludf.DUMMYFUNCTION("""COMPUTED_VALUE"""),"-")</f>
        <v>-</v>
      </c>
      <c r="W187" s="6" t="str">
        <f>IFERROR(__xludf.DUMMYFUNCTION("""COMPUTED_VALUE"""),"Культурные ")</f>
        <v>Культурные </v>
      </c>
      <c r="X187" s="6" t="str">
        <f>IFERROR(__xludf.DUMMYFUNCTION("""COMPUTED_VALUE"""),"По центру")</f>
        <v>По центру</v>
      </c>
      <c r="Y187" s="6" t="str">
        <f>IFERROR(__xludf.DUMMYFUNCTION("""COMPUTED_VALUE"""),"Ничего ")</f>
        <v>Ничего </v>
      </c>
      <c r="Z187" s="6" t="str">
        <f>IFERROR(__xludf.DUMMYFUNCTION("""COMPUTED_VALUE"""),"Ничего ")</f>
        <v>Ничего </v>
      </c>
      <c r="AA187" s="6" t="str">
        <f>IFERROR(__xludf.DUMMYFUNCTION("""COMPUTED_VALUE"""),"Ничего ")</f>
        <v>Ничего </v>
      </c>
      <c r="AB187" s="6" t="str">
        <f>IFERROR(__xludf.DUMMYFUNCTION("""COMPUTED_VALUE"""),"-")</f>
        <v>-</v>
      </c>
      <c r="AC187" s="6" t="str">
        <f>IFERROR(__xludf.DUMMYFUNCTION("""COMPUTED_VALUE"""),"Бесплатные концерты ")</f>
        <v>Бесплатные концерты </v>
      </c>
      <c r="AD187" s="6" t="str">
        <f>IFERROR(__xludf.DUMMYFUNCTION("""COMPUTED_VALUE"""),"Смотря что будет ")</f>
        <v>Смотря что будет </v>
      </c>
      <c r="AE187" s="6" t="str">
        <f>IFERROR(__xludf.DUMMYFUNCTION("""COMPUTED_VALUE"""),"Женский")</f>
        <v>Женский</v>
      </c>
      <c r="AF187" s="6" t="str">
        <f>IFERROR(__xludf.DUMMYFUNCTION("""COMPUTED_VALUE"""),"18-29")</f>
        <v>18-29</v>
      </c>
      <c r="AG187" s="6"/>
      <c r="AH187" s="6"/>
      <c r="AI187" s="6"/>
      <c r="AJ187" s="6"/>
      <c r="AK187" s="6"/>
      <c r="AL187" s="6"/>
      <c r="AM187" s="6"/>
    </row>
    <row r="188">
      <c r="A188" s="4">
        <v>187.0</v>
      </c>
      <c r="B188" s="6" t="str">
        <f>IFERROR(__xludf.DUMMYFUNCTION("""COMPUTED_VALUE"""),"Офисный работник ")</f>
        <v>Офисный работник </v>
      </c>
      <c r="C188" s="6" t="str">
        <f>IFERROR(__xludf.DUMMYFUNCTION("""COMPUTED_VALUE"""),"Создаю видео поздравления и открытки ")</f>
        <v>Создаю видео поздравления и открытки </v>
      </c>
      <c r="D188" s="6" t="str">
        <f>IFERROR(__xludf.DUMMYFUNCTION("""COMPUTED_VALUE"""),"Заводский район, а микрорайон все называют ФПК ")</f>
        <v>Заводский район, а микрорайон все называют ФПК </v>
      </c>
      <c r="E188" s="6" t="str">
        <f>IFERROR(__xludf.DUMMYFUNCTION("""COMPUTED_VALUE"""),"ТРЦ Гринвич и сквер новорождённых ")</f>
        <v>ТРЦ Гринвич и сквер новорождённых </v>
      </c>
      <c r="F188" s="6" t="str">
        <f>IFERROR(__xludf.DUMMYFUNCTION("""COMPUTED_VALUE"""),"Переехал сюда из другого места (откуда? укажите в графе другое), Пригласили на работу из г. Анжеро-Судженск ")</f>
        <v>Переехал сюда из другого места (откуда? укажите в графе другое), Пригласили на работу из г. Анжеро-Судженск </v>
      </c>
      <c r="G188" s="6" t="str">
        <f>IFERROR(__xludf.DUMMYFUNCTION("""COMPUTED_VALUE"""),"Набережная, рудничный Бор, Томская писаница")</f>
        <v>Набережная, рудничный Бор, Томская писаница</v>
      </c>
      <c r="H188" s="6" t="str">
        <f>IFERROR(__xludf.DUMMYFUNCTION("""COMPUTED_VALUE"""),"Забой, сосновый Бор, исторический центр, парк ангелов, лесная поляна ")</f>
        <v>Забой, сосновый Бор, исторический центр, парк ангелов, лесная поляна </v>
      </c>
      <c r="I188" s="6" t="str">
        <f>IFERROR(__xludf.DUMMYFUNCTION("""COMPUTED_VALUE"""),"Волошина, Двужильный, Леонов ")</f>
        <v>Волошина, Двужильный, Леонов </v>
      </c>
      <c r="J188" s="6" t="str">
        <f>IFERROR(__xludf.DUMMYFUNCTION("""COMPUTED_VALUE"""),"Кимеев В.А. (историк) Капризов ")</f>
        <v>Кимеев В.А. (историк) Капризов </v>
      </c>
      <c r="K188" s="6" t="str">
        <f>IFERROR(__xludf.DUMMYFUNCTION("""COMPUTED_VALUE"""),"Томская писаница, памятник Пушкину, набережная ")</f>
        <v>Томская писаница, памятник Пушкину, набережная </v>
      </c>
      <c r="L188" s="6" t="str">
        <f>IFERROR(__xludf.DUMMYFUNCTION("""COMPUTED_VALUE"""),"———")</f>
        <v>———</v>
      </c>
      <c r="M188" s="6" t="str">
        <f>IFERROR(__xludf.DUMMYFUNCTION("""COMPUTED_VALUE"""),"———")</f>
        <v>———</v>
      </c>
      <c r="N188" s="6" t="str">
        <f>IFERROR(__xludf.DUMMYFUNCTION("""COMPUTED_VALUE"""),"Чистый воздух, современные детские площадки, транспортная доступность, отсутсвие грузовых машин в городе, наличие современного пространства для массового посещения ")</f>
        <v>Чистый воздух, современные детские площадки, транспортная доступность, отсутсвие грузовых машин в городе, наличие современного пространства для массового посещения </v>
      </c>
      <c r="O188" s="6" t="str">
        <f>IFERROR(__xludf.DUMMYFUNCTION("""COMPUTED_VALUE"""),"Провести уборку, высадить деревья в жилых зонах, зоопарк ")</f>
        <v>Провести уборку, высадить деревья в жилых зонах, зоопарк </v>
      </c>
      <c r="P188" s="6" t="str">
        <f>IFERROR(__xludf.DUMMYFUNCTION("""COMPUTED_VALUE"""),"Kuzbass_news, Все нормально, это Кемерово, Типичный Кузбасс")</f>
        <v>Kuzbass_news, Все нормально, это Кемерово, Типичный Кузбасс</v>
      </c>
      <c r="Q188"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п"&amp;"редложения)")</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88" s="6" t="str">
        <f>IFERROR(__xludf.DUMMYFUNCTION("""COMPUTED_VALUE"""),"9 мая, день города, день шахтера ")</f>
        <v>9 мая, день города, день шахтера </v>
      </c>
      <c r="S188" s="6" t="str">
        <f>IFERROR(__xludf.DUMMYFUNCTION("""COMPUTED_VALUE"""),"Нет, не приходилось")</f>
        <v>Нет, не приходилось</v>
      </c>
      <c r="T188" s="6" t="str">
        <f>IFERROR(__xludf.DUMMYFUNCTION("""COMPUTED_VALUE"""),"Знаменит Зимней вишней к сожалению")</f>
        <v>Знаменит Зимней вишней к сожалению</v>
      </c>
      <c r="U188" s="6" t="str">
        <f>IFERROR(__xludf.DUMMYFUNCTION("""COMPUTED_VALUE"""),"Историческую часть - пр. Советский, ул. Весенняя, ул. Н.Островского")</f>
        <v>Историческую часть - пр. Советский, ул. Весенняя, ул. Н.Островского</v>
      </c>
      <c r="V188" s="6" t="str">
        <f>IFERROR(__xludf.DUMMYFUNCTION("""COMPUTED_VALUE"""),"Нашли город побратим - Шалготарьян, закончили ВУЗ")</f>
        <v>Нашли город побратим - Шалготарьян, закончили ВУЗ</v>
      </c>
      <c r="W188" s="6" t="str">
        <f>IFERROR(__xludf.DUMMYFUNCTION("""COMPUTED_VALUE"""),"Умные с технической направленностью склада ума, мало улыбаются, но отзывчивые ")</f>
        <v>Умные с технической направленностью склада ума, мало улыбаются, но отзывчивые </v>
      </c>
      <c r="X188" s="6" t="str">
        <f>IFERROR(__xludf.DUMMYFUNCTION("""COMPUTED_VALUE"""),"Ж/д вокзал-Цирк- ул. красноармейская- ул. Весенняя- пр. Советский - пр. Притомский  ")</f>
        <v>Ж/д вокзал-Цирк- ул. красноармейская- ул. Весенняя- пр. Советский - пр. Притомский  </v>
      </c>
      <c r="Y188" s="6" t="str">
        <f>IFERROR(__xludf.DUMMYFUNCTION("""COMPUTED_VALUE"""),"———")</f>
        <v>———</v>
      </c>
      <c r="Z188" s="6" t="str">
        <f>IFERROR(__xludf.DUMMYFUNCTION("""COMPUTED_VALUE"""),"———")</f>
        <v>———</v>
      </c>
      <c r="AA188" s="6" t="str">
        <f>IFERROR(__xludf.DUMMYFUNCTION("""COMPUTED_VALUE"""),"———")</f>
        <v>———</v>
      </c>
      <c r="AB188" s="6" t="str">
        <f>IFERROR(__xludf.DUMMYFUNCTION("""COMPUTED_VALUE"""),"———")</f>
        <v>———</v>
      </c>
      <c r="AC188" s="6" t="str">
        <f>IFERROR(__xludf.DUMMYFUNCTION("""COMPUTED_VALUE"""),"———")</f>
        <v>———</v>
      </c>
      <c r="AD188" s="6" t="str">
        <f>IFERROR(__xludf.DUMMYFUNCTION("""COMPUTED_VALUE"""),"———")</f>
        <v>———</v>
      </c>
      <c r="AE188" s="6" t="str">
        <f>IFERROR(__xludf.DUMMYFUNCTION("""COMPUTED_VALUE"""),"Женский")</f>
        <v>Женский</v>
      </c>
      <c r="AF188" s="6" t="str">
        <f>IFERROR(__xludf.DUMMYFUNCTION("""COMPUTED_VALUE"""),"30-44")</f>
        <v>30-44</v>
      </c>
      <c r="AG188" s="6"/>
      <c r="AH188" s="6"/>
      <c r="AI188" s="6"/>
      <c r="AJ188" s="6"/>
      <c r="AK188" s="6"/>
      <c r="AL188" s="6"/>
      <c r="AM188" s="6"/>
    </row>
    <row r="189">
      <c r="A189" s="4">
        <v>188.0</v>
      </c>
      <c r="B189" s="6" t="str">
        <f>IFERROR(__xludf.DUMMYFUNCTION("""COMPUTED_VALUE"""),"Учусь в институте  КемГИК")</f>
        <v>Учусь в институте  КемГИК</v>
      </c>
      <c r="C189" s="6" t="str">
        <f>IFERROR(__xludf.DUMMYFUNCTION("""COMPUTED_VALUE"""),"Да. Фотосъёмка, верховая езда, танцы ")</f>
        <v>Да. Фотосъёмка, верховая езда, танцы </v>
      </c>
      <c r="D189" s="6" t="str">
        <f>IFERROR(__xludf.DUMMYFUNCTION("""COMPUTED_VALUE"""),"Лененский ")</f>
        <v>Лененский </v>
      </c>
      <c r="E189" s="6" t="str">
        <f>IFERROR(__xludf.DUMMYFUNCTION("""COMPUTED_VALUE"""),"Строиться филиал московской академии балела ")</f>
        <v>Строиться филиал московской академии балела </v>
      </c>
      <c r="F189" s="6" t="str">
        <f>IFERROR(__xludf.DUMMYFUNCTION("""COMPUTED_VALUE"""),"Переехал сюда из другого места (откуда? укажите в графе другое), Шарыпово")</f>
        <v>Переехал сюда из другого места (откуда? укажите в графе другое), Шарыпово</v>
      </c>
      <c r="G189" s="6" t="str">
        <f>IFERROR(__xludf.DUMMYFUNCTION("""COMPUTED_VALUE"""),"Булочная-кондитерская №1")</f>
        <v>Булочная-кондитерская №1</v>
      </c>
      <c r="H189" s="6" t="str">
        <f>IFERROR(__xludf.DUMMYFUNCTION("""COMPUTED_VALUE"""),"Зелень, спокойствие, уют, умиротворение, кофе ")</f>
        <v>Зелень, спокойствие, уют, умиротворение, кофе </v>
      </c>
      <c r="I189" s="6" t="str">
        <f>IFERROR(__xludf.DUMMYFUNCTION("""COMPUTED_VALUE"""),":) ")</f>
        <v>:) </v>
      </c>
      <c r="J189" s="6" t="str">
        <f>IFERROR(__xludf.DUMMYFUNCTION("""COMPUTED_VALUE"""),":) ")</f>
        <v>:) </v>
      </c>
      <c r="K189" s="6" t="str">
        <f>IFERROR(__xludf.DUMMYFUNCTION("""COMPUTED_VALUE"""),"Я ещё мало где была. Недавно приехала ")</f>
        <v>Я ещё мало где была. Недавно приехала </v>
      </c>
      <c r="L189" s="6" t="str">
        <f>IFERROR(__xludf.DUMMYFUNCTION("""COMPUTED_VALUE"""),":) ")</f>
        <v>:) </v>
      </c>
      <c r="M189" s="6" t="str">
        <f>IFERROR(__xludf.DUMMYFUNCTION("""COMPUTED_VALUE"""),"Нет")</f>
        <v>Нет</v>
      </c>
      <c r="N189" s="6" t="str">
        <f>IFERROR(__xludf.DUMMYFUNCTION("""COMPUTED_VALUE"""),"Чистые сухие дороги, много деревьев и парков, небольшое население, много творческих объектов")</f>
        <v>Чистые сухие дороги, много деревьев и парков, небольшое население, много творческих объектов</v>
      </c>
      <c r="O189" s="6" t="str">
        <f>IFERROR(__xludf.DUMMYFUNCTION("""COMPUTED_VALUE"""),"Дороги! Отремонтировать и поддерживать в надлежащем виде ")</f>
        <v>Дороги! Отремонтировать и поддерживать в надлежащем виде </v>
      </c>
      <c r="P189" s="6" t="str">
        <f>IFERROR(__xludf.DUMMYFUNCTION("""COMPUTED_VALUE"""),"Интернет. ")</f>
        <v>Интернет. </v>
      </c>
      <c r="Q189" s="6" t="str">
        <f>IFERROR(__xludf.DUMMYFUNCTION("""COMPUTED_VALUE"""),"куда пойти в свободное время, городская афиша (кино/театр/концерты), интервью с местными творческими личностями, новости про новые профессии/куда поступать/вакансии")</f>
        <v>куда пойти в свободное время, городская афиша (кино/театр/концерты), интервью с местными творческими личностями, новости про новые профессии/куда поступать/вакансии</v>
      </c>
      <c r="R189" s="6" t="str">
        <f>IFERROR(__xludf.DUMMYFUNCTION("""COMPUTED_VALUE"""),"День города ")</f>
        <v>День города </v>
      </c>
      <c r="S189" s="6" t="str">
        <f>IFERROR(__xludf.DUMMYFUNCTION("""COMPUTED_VALUE"""),"Писал и расклеивал объявления/афиши")</f>
        <v>Писал и расклеивал объявления/афиши</v>
      </c>
      <c r="T189" s="6" t="str">
        <f>IFERROR(__xludf.DUMMYFUNCTION("""COMPUTED_VALUE"""),":) ")</f>
        <v>:) </v>
      </c>
      <c r="U189" s="6" t="str">
        <f>IFERROR(__xludf.DUMMYFUNCTION("""COMPUTED_VALUE"""),":) ")</f>
        <v>:) </v>
      </c>
      <c r="V189" s="6" t="str">
        <f>IFERROR(__xludf.DUMMYFUNCTION("""COMPUTED_VALUE"""),":) ")</f>
        <v>:) </v>
      </c>
      <c r="W189" s="6" t="str">
        <f>IFERROR(__xludf.DUMMYFUNCTION("""COMPUTED_VALUE"""),"Добрые, разные, открытые")</f>
        <v>Добрые, разные, открытые</v>
      </c>
      <c r="X189" s="6" t="str">
        <f>IFERROR(__xludf.DUMMYFUNCTION("""COMPUTED_VALUE"""),"Вдоль набережной ")</f>
        <v>Вдоль набережной </v>
      </c>
      <c r="Y189" s="6" t="str">
        <f>IFERROR(__xludf.DUMMYFUNCTION("""COMPUTED_VALUE"""),":) ")</f>
        <v>:) </v>
      </c>
      <c r="Z189" s="6" t="str">
        <f>IFERROR(__xludf.DUMMYFUNCTION("""COMPUTED_VALUE"""),":) ")</f>
        <v>:) </v>
      </c>
      <c r="AA189" s="6" t="str">
        <f>IFERROR(__xludf.DUMMYFUNCTION("""COMPUTED_VALUE"""),"Пожар ""Зимняя вишня"" ")</f>
        <v>Пожар "Зимняя вишня" </v>
      </c>
      <c r="AB189" s="6" t="str">
        <f>IFERROR(__xludf.DUMMYFUNCTION("""COMPUTED_VALUE"""),":) ")</f>
        <v>:) </v>
      </c>
      <c r="AC189" s="6" t="str">
        <f>IFERROR(__xludf.DUMMYFUNCTION("""COMPUTED_VALUE"""),"Танцы на открытом воздухе для горожан ")</f>
        <v>Танцы на открытом воздухе для горожан </v>
      </c>
      <c r="AD189" s="6" t="str">
        <f>IFERROR(__xludf.DUMMYFUNCTION("""COMPUTED_VALUE"""),"Участника ")</f>
        <v>Участника </v>
      </c>
      <c r="AE189" s="6" t="str">
        <f>IFERROR(__xludf.DUMMYFUNCTION("""COMPUTED_VALUE"""),"Женский")</f>
        <v>Женский</v>
      </c>
      <c r="AF189" s="6" t="str">
        <f>IFERROR(__xludf.DUMMYFUNCTION("""COMPUTED_VALUE"""),"18-29")</f>
        <v>18-29</v>
      </c>
      <c r="AG189" s="6"/>
      <c r="AH189" s="6"/>
      <c r="AI189" s="6"/>
      <c r="AJ189" s="6"/>
      <c r="AK189" s="6"/>
      <c r="AL189" s="6"/>
      <c r="AM189" s="6"/>
    </row>
    <row r="190">
      <c r="A190" s="4">
        <v>189.0</v>
      </c>
      <c r="B190" s="6" t="str">
        <f>IFERROR(__xludf.DUMMYFUNCTION("""COMPUTED_VALUE"""),"сотрудник учреждения культуры")</f>
        <v>сотрудник учреждения культуры</v>
      </c>
      <c r="C190" s="6" t="str">
        <f>IFERROR(__xludf.DUMMYFUNCTION("""COMPUTED_VALUE"""),"фотография, кулинария")</f>
        <v>фотография, кулинария</v>
      </c>
      <c r="D190" s="6" t="str">
        <f>IFERROR(__xludf.DUMMYFUNCTION("""COMPUTED_VALUE"""),"Ленинский")</f>
        <v>Ленинский</v>
      </c>
      <c r="E190" s="6" t="str">
        <f>IFERROR(__xludf.DUMMYFUNCTION("""COMPUTED_VALUE"""),"Набережная")</f>
        <v>Набережная</v>
      </c>
      <c r="F190" s="6" t="str">
        <f>IFERROR(__xludf.DUMMYFUNCTION("""COMPUTED_VALUE"""),"Живу здесь с рождения")</f>
        <v>Живу здесь с рождения</v>
      </c>
      <c r="G190" s="6" t="str">
        <f>IFERROR(__xludf.DUMMYFUNCTION("""COMPUTED_VALUE"""),"Центр города, Бульвар Строителей")</f>
        <v>Центр города, Бульвар Строителей</v>
      </c>
      <c r="H190" s="6" t="str">
        <f>IFERROR(__xludf.DUMMYFUNCTION("""COMPUTED_VALUE"""),"Уголь, Столица Кузбасса, Тайга, Родина")</f>
        <v>Уголь, Столица Кузбасса, Тайга, Родина</v>
      </c>
      <c r="I190" s="6" t="str">
        <f>IFERROR(__xludf.DUMMYFUNCTION("""COMPUTED_VALUE"""),"Михайло Волков, Рутгерс, Эрнст Неизвестный")</f>
        <v>Михайло Волков, Рутгерс, Эрнст Неизвестный</v>
      </c>
      <c r="J190" s="6" t="str">
        <f>IFERROR(__xludf.DUMMYFUNCTION("""COMPUTED_VALUE"""),"Нет таких")</f>
        <v>Нет таких</v>
      </c>
      <c r="K190" s="6" t="str">
        <f>IFERROR(__xludf.DUMMYFUNCTION("""COMPUTED_VALUE"""),"Набережная")</f>
        <v>Набережная</v>
      </c>
      <c r="L190" s="6" t="str">
        <f>IFERROR(__xludf.DUMMYFUNCTION("""COMPUTED_VALUE"""),"Не знаю")</f>
        <v>Не знаю</v>
      </c>
      <c r="M190" s="6" t="str">
        <f>IFERROR(__xludf.DUMMYFUNCTION("""COMPUTED_VALUE"""),"мультифора")</f>
        <v>мультифора</v>
      </c>
      <c r="N190" s="6" t="str">
        <f>IFERROR(__xludf.DUMMYFUNCTION("""COMPUTED_VALUE"""),"Чистота, экология, озеленение, инфраструктура, работа")</f>
        <v>Чистота, экология, озеленение, инфраструктура, работа</v>
      </c>
      <c r="O190" s="6" t="str">
        <f>IFERROR(__xludf.DUMMYFUNCTION("""COMPUTED_VALUE"""),"Ремонт тротуаров")</f>
        <v>Ремонт тротуаров</v>
      </c>
      <c r="P190" s="6" t="str">
        <f>IFERROR(__xludf.DUMMYFUNCTION("""COMPUTED_VALUE"""),"Инстаграм")</f>
        <v>Инстаграм</v>
      </c>
      <c r="Q19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90" s="6" t="str">
        <f>IFERROR(__xludf.DUMMYFUNCTION("""COMPUTED_VALUE"""),"Фестивали, День Победы")</f>
        <v>Фестивали, День Победы</v>
      </c>
      <c r="S190"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Инстаграм, фейсбук, вконтакте, одноклассники")</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Инстаграм, фейсбук, вконтакте, одноклассники</v>
      </c>
      <c r="T190" s="6" t="str">
        <f>IFERROR(__xludf.DUMMYFUNCTION("""COMPUTED_VALUE"""),"столица Кузбасса, новые объекты")</f>
        <v>столица Кузбасса, новые объекты</v>
      </c>
      <c r="U190" s="6" t="str">
        <f>IFERROR(__xludf.DUMMYFUNCTION("""COMPUTED_VALUE"""),"Драмтеатр, аллея ул. Весенней")</f>
        <v>Драмтеатр, аллея ул. Весенней</v>
      </c>
      <c r="V190" s="6" t="str">
        <f>IFERROR(__xludf.DUMMYFUNCTION("""COMPUTED_VALUE"""),"не знаю")</f>
        <v>не знаю</v>
      </c>
      <c r="W190" s="6" t="str">
        <f>IFERROR(__xludf.DUMMYFUNCTION("""COMPUTED_VALUE"""),"строгие, замкнутые, скромные, трудолюбивые")</f>
        <v>строгие, замкнутые, скромные, трудолюбивые</v>
      </c>
      <c r="X190" s="6" t="str">
        <f>IFERROR(__xludf.DUMMYFUNCTION("""COMPUTED_VALUE"""),"ул. Весенняя, Набережная")</f>
        <v>ул. Весенняя, Набережная</v>
      </c>
      <c r="Y190" s="6" t="str">
        <f>IFERROR(__xludf.DUMMYFUNCTION("""COMPUTED_VALUE"""),"Герои мирового рока")</f>
        <v>Герои мирового рока</v>
      </c>
      <c r="Z190" s="6" t="str">
        <f>IFERROR(__xludf.DUMMYFUNCTION("""COMPUTED_VALUE"""),"Герои мирового рока, Новый год в Кузбассе, фестиваль ""Дни Шукшина"", телепроект ""Голоса""")</f>
        <v>Герои мирового рока, Новый год в Кузбассе, фестиваль "Дни Шукшина", телепроект "Голоса"</v>
      </c>
      <c r="AA190" s="6" t="str">
        <f>IFERROR(__xludf.DUMMYFUNCTION("""COMPUTED_VALUE"""),"Пожар в Зимней вишне, Коронавирус")</f>
        <v>Пожар в Зимней вишне, Коронавирус</v>
      </c>
      <c r="AB190" s="6" t="str">
        <f>IFERROR(__xludf.DUMMYFUNCTION("""COMPUTED_VALUE"""),"всего хватает")</f>
        <v>всего хватает</v>
      </c>
      <c r="AC190" s="6" t="str">
        <f>IFERROR(__xludf.DUMMYFUNCTION("""COMPUTED_VALUE"""),"Концерты, выставки, спектакли и пр. всероссийского и мирового значения")</f>
        <v>Концерты, выставки, спектакли и пр. всероссийского и мирового значения</v>
      </c>
      <c r="AD190" s="6" t="str">
        <f>IFERROR(__xludf.DUMMYFUNCTION("""COMPUTED_VALUE"""),"гость, фотограф и пр.")</f>
        <v>гость, фотограф и пр.</v>
      </c>
      <c r="AE190" s="6" t="str">
        <f>IFERROR(__xludf.DUMMYFUNCTION("""COMPUTED_VALUE"""),"Женский")</f>
        <v>Женский</v>
      </c>
      <c r="AF190" s="6" t="str">
        <f>IFERROR(__xludf.DUMMYFUNCTION("""COMPUTED_VALUE"""),"18-29")</f>
        <v>18-29</v>
      </c>
      <c r="AG190" s="6"/>
      <c r="AH190" s="6"/>
      <c r="AI190" s="6"/>
      <c r="AJ190" s="6"/>
      <c r="AK190" s="6"/>
      <c r="AL190" s="6"/>
      <c r="AM190" s="6"/>
    </row>
    <row r="191">
      <c r="A191" s="4">
        <v>190.0</v>
      </c>
      <c r="B191" s="6" t="str">
        <f>IFERROR(__xludf.DUMMYFUNCTION("""COMPUTED_VALUE"""),"Работа по связи с общественностью")</f>
        <v>Работа по связи с общественностью</v>
      </c>
      <c r="C191" s="6" t="str">
        <f>IFERROR(__xludf.DUMMYFUNCTION("""COMPUTED_VALUE"""),"Да. Пишу картины маслом")</f>
        <v>Да. Пишу картины маслом</v>
      </c>
      <c r="D191" s="6" t="str">
        <f>IFERROR(__xludf.DUMMYFUNCTION("""COMPUTED_VALUE"""),"В центральном. Так и называю центральный район")</f>
        <v>В центральном. Так и называю центральный район</v>
      </c>
      <c r="E191" s="6" t="str">
        <f>IFERROR(__xludf.DUMMYFUNCTION("""COMPUTED_VALUE"""),"Набережная, улица Весенняя")</f>
        <v>Набережная, улица Весенняя</v>
      </c>
      <c r="F19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91" s="6" t="str">
        <f>IFERROR(__xludf.DUMMYFUNCTION("""COMPUTED_VALUE"""),"Набережная, Парк Ангелов, Московский проспект")</f>
        <v>Набережная, Парк Ангелов, Московский проспект</v>
      </c>
      <c r="H191" s="6" t="str">
        <f>IFERROR(__xludf.DUMMYFUNCTION("""COMPUTED_VALUE"""),"Драмтеатр, Памятник Ленину, Площадь Советов, заводы, уголь")</f>
        <v>Драмтеатр, Памятник Ленину, Площадь Советов, заводы, уголь</v>
      </c>
      <c r="I191" s="6" t="str">
        <f>IFERROR(__xludf.DUMMYFUNCTION("""COMPUTED_VALUE"""),"Михайло Волков, Йоханес ван Лохем")</f>
        <v>Михайло Волков, Йоханес ван Лохем</v>
      </c>
      <c r="J191" s="6" t="str">
        <f>IFERROR(__xludf.DUMMYFUNCTION("""COMPUTED_VALUE"""),"Нет таких")</f>
        <v>Нет таких</v>
      </c>
      <c r="K191" s="6" t="str">
        <f>IFERROR(__xludf.DUMMYFUNCTION("""COMPUTED_VALUE"""),"Ледники и снежники Кузнецкого Алатау, горы в Горной Шории")</f>
        <v>Ледники и снежники Кузнецкого Алатау, горы в Горной Шории</v>
      </c>
      <c r="L191" s="6" t="str">
        <f>IFERROR(__xludf.DUMMYFUNCTION("""COMPUTED_VALUE"""),"настолько свежо, что перестаешь дышать")</f>
        <v>настолько свежо, что перестаешь дышать</v>
      </c>
      <c r="M191" s="6" t="str">
        <f>IFERROR(__xludf.DUMMYFUNCTION("""COMPUTED_VALUE"""),"подозрительная бедность")</f>
        <v>подозрительная бедность</v>
      </c>
      <c r="N191" s="6" t="str">
        <f>IFERROR(__xludf.DUMMYFUNCTION("""COMPUTED_VALUE"""),"доступность транспорта, доступность жилья, благоприятная экологическая обстановка, своевременно оказанная медицинская помощь, развитая инфраструктура города")</f>
        <v>доступность транспорта, доступность жилья, благоприятная экологическая обстановка, своевременно оказанная медицинская помощь, развитая инфраструктура города</v>
      </c>
      <c r="O191" s="6" t="str">
        <f>IFERROR(__xludf.DUMMYFUNCTION("""COMPUTED_VALUE"""),"Не забывать, что старые постройки, в том числе многоквартирные дома должны ремонтироваться и реставрироваться")</f>
        <v>Не забывать, что старые постройки, в том числе многоквартирные дома должны ремонтироваться и реставрироваться</v>
      </c>
      <c r="P191" s="6" t="str">
        <f>IFERROR(__xludf.DUMMYFUNCTION("""COMPUTED_VALUE"""),"паблики инсты, новостные региональные порталы ")</f>
        <v>паблики инсты, новостные региональные порталы </v>
      </c>
      <c r="Q191" s="6" t="str">
        <f>IFERROR(__xludf.DUMMYFUNCTION("""COMPUTED_VALUE"""),"куда пойти в свободное время, 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f>
        <v>куда пойти в свободное время, 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v>
      </c>
      <c r="R191" s="6" t="str">
        <f>IFERROR(__xludf.DUMMYFUNCTION("""COMPUTED_VALUE"""),"У нас такие не проводятся")</f>
        <v>У нас такие не проводятся</v>
      </c>
      <c r="S191"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v>
      </c>
      <c r="T191" s="6" t="str">
        <f>IFERROR(__xludf.DUMMYFUNCTION("""COMPUTED_VALUE"""),"Территория исполнения желаний")</f>
        <v>Территория исполнения желаний</v>
      </c>
      <c r="U191" s="6" t="str">
        <f>IFERROR(__xludf.DUMMYFUNCTION("""COMPUTED_VALUE"""),"Драмтеатр")</f>
        <v>Драмтеатр</v>
      </c>
      <c r="V191" s="6" t="str">
        <f>IFERROR(__xludf.DUMMYFUNCTION("""COMPUTED_VALUE"""),"Уезжали из него")</f>
        <v>Уезжали из него</v>
      </c>
      <c r="W191" s="6" t="str">
        <f>IFERROR(__xludf.DUMMYFUNCTION("""COMPUTED_VALUE"""),"Резкие, надменные, но известны и дружелюбные")</f>
        <v>Резкие, надменные, но известны и дружелюбные</v>
      </c>
      <c r="X191" s="6" t="str">
        <f>IFERROR(__xludf.DUMMYFUNCTION("""COMPUTED_VALUE"""),"За его пределами ")</f>
        <v>За его пределами </v>
      </c>
      <c r="Y191" s="6" t="str">
        <f>IFERROR(__xludf.DUMMYFUNCTION("""COMPUTED_VALUE"""),"Открытие Парка Ангелов")</f>
        <v>Открытие Парка Ангелов</v>
      </c>
      <c r="Z191" s="6" t="str">
        <f>IFERROR(__xludf.DUMMYFUNCTION("""COMPUTED_VALUE"""),"Парад Дедушек Морозов")</f>
        <v>Парад Дедушек Морозов</v>
      </c>
      <c r="AA191" s="6" t="str">
        <f>IFERROR(__xludf.DUMMYFUNCTION("""COMPUTED_VALUE"""),"Пандемия, медицина, экология.")</f>
        <v>Пандемия, медицина, экология.</v>
      </c>
      <c r="AB191" s="6" t="str">
        <f>IFERROR(__xludf.DUMMYFUNCTION("""COMPUTED_VALUE"""),"Тайных")</f>
        <v>Тайных</v>
      </c>
      <c r="AC191" s="6" t="str">
        <f>IFERROR(__xludf.DUMMYFUNCTION("""COMPUTED_VALUE"""),"Запрещённые")</f>
        <v>Запрещённые</v>
      </c>
      <c r="AD191" s="6" t="str">
        <f>IFERROR(__xludf.DUMMYFUNCTION("""COMPUTED_VALUE"""),"В главной")</f>
        <v>В главной</v>
      </c>
      <c r="AE191" s="6" t="str">
        <f>IFERROR(__xludf.DUMMYFUNCTION("""COMPUTED_VALUE"""),"Женский")</f>
        <v>Женский</v>
      </c>
      <c r="AF191" s="6" t="str">
        <f>IFERROR(__xludf.DUMMYFUNCTION("""COMPUTED_VALUE"""),"18-29")</f>
        <v>18-29</v>
      </c>
      <c r="AG191" s="6"/>
      <c r="AH191" s="6"/>
      <c r="AI191" s="6"/>
      <c r="AJ191" s="6"/>
      <c r="AK191" s="6"/>
      <c r="AL191" s="6"/>
      <c r="AM191" s="6"/>
    </row>
    <row r="192">
      <c r="A192" s="4">
        <v>191.0</v>
      </c>
      <c r="B192" s="6" t="str">
        <f>IFERROR(__xludf.DUMMYFUNCTION("""COMPUTED_VALUE"""),"строю сети связи и их обслуживание")</f>
        <v>строю сети связи и их обслуживание</v>
      </c>
      <c r="C192" s="6" t="str">
        <f>IFERROR(__xludf.DUMMYFUNCTION("""COMPUTED_VALUE"""),"рыбалка летняя")</f>
        <v>рыбалка летняя</v>
      </c>
      <c r="D192" s="6" t="str">
        <f>IFERROR(__xludf.DUMMYFUNCTION("""COMPUTED_VALUE"""),"на Южном")</f>
        <v>на Южном</v>
      </c>
      <c r="E192" s="6" t="str">
        <f>IFERROR(__xludf.DUMMYFUNCTION("""COMPUTED_VALUE"""),"улица Патриотов ,  памятник герою СССР Юрию Двужильному .")</f>
        <v>улица Патриотов ,  памятник герою СССР Юрию Двужильному .</v>
      </c>
      <c r="F192" s="6" t="str">
        <f>IFERROR(__xludf.DUMMYFUNCTION("""COMPUTED_VALUE"""),"Переехал сюда из другого места (откуда? укажите в графе другое), р.п. Ижморский  Кемеровской обл.  учёба  в КВВКУС в 1994году")</f>
        <v>Переехал сюда из другого места (откуда? укажите в графе другое), р.п. Ижморский  Кемеровской обл.  учёба  в КВВКУС в 1994году</v>
      </c>
      <c r="G192" s="6" t="str">
        <f>IFERROR(__xludf.DUMMYFUNCTION("""COMPUTED_VALUE"""),"Гор сад , парк Победы .  был  в кировском на набережной , И вообще , в теплый период года   по вечерам после работы  езжу на авто  по окрестностям  Кемерово  .  Я был практически везде  в радиусе  50 км  и не один раз. ")</f>
        <v>Гор сад , парк Победы .  был  в кировском на набережной , И вообще , в теплый период года   по вечерам после работы  езжу на авто  по окрестностям  Кемерово  .  Я был практически везде  в радиусе  50 км  и не один раз. </v>
      </c>
      <c r="H192" s="6" t="str">
        <f>IFERROR(__xludf.DUMMYFUNCTION("""COMPUTED_VALUE"""),"Шахтёры, Химики, курсанты, Томь, семья.")</f>
        <v>Шахтёры, Химики, курсанты, Томь, семья.</v>
      </c>
      <c r="I192" s="6" t="str">
        <f>IFERROR(__xludf.DUMMYFUNCTION("""COMPUTED_VALUE"""),"Тулеев, Михайлов,  Вера Волошина ,Ю.Двужильный, Н.И. Масалов ")</f>
        <v>Тулеев, Михайлов,  Вера Волошина ,Ю.Двужильный, Н.И. Масалов </v>
      </c>
      <c r="J192" s="6" t="str">
        <f>IFERROR(__xludf.DUMMYFUNCTION("""COMPUTED_VALUE"""),"Леонов  , Мошковский, Панин. .Михайлов.  ")</f>
        <v>Леонов  , Мошковский, Панин. .Михайлов.  </v>
      </c>
      <c r="K192" s="6" t="str">
        <f>IFERROR(__xludf.DUMMYFUNCTION("""COMPUTED_VALUE"""),"Парк победы, Парк  на Ленинградском,  бульвар Строителей  , музей Красная горка, ул. Весенняя с окрестностями . Лесную поляну , офис Гудлана . смотровая площадка где памятник шахтёрам, прокатил бы  по окрестным деревенькам в летнее время ( Лениградка , по"&amp;"сёлок Кузбасский ,  по дороге  в строну Елыкаева ,Старочервово. итд")</f>
        <v>Парк победы, Парк  на Ленинградском,  бульвар Строителей  , музей Красная горка, ул. Весенняя с окрестностями . Лесную поляну , офис Гудлана . смотровая площадка где памятник шахтёрам, прокатил бы  по окрестным деревенькам в летнее время ( Лениградка , посёлок Кузбасский ,  по дороге  в строну Елыкаева ,Старочервово. итд</v>
      </c>
      <c r="L192" s="6" t="str">
        <f>IFERROR(__xludf.DUMMYFUNCTION("""COMPUTED_VALUE"""),"Кузбасс территория возможностей .")</f>
        <v>Кузбасс территория возможностей .</v>
      </c>
      <c r="M192" s="6" t="str">
        <f>IFERROR(__xludf.DUMMYFUNCTION("""COMPUTED_VALUE"""),"кемеровчане  или  кузбасовцы ")</f>
        <v>кемеровчане  или  кузбасовцы </v>
      </c>
      <c r="N192" s="6" t="str">
        <f>IFERROR(__xludf.DUMMYFUNCTION("""COMPUTED_VALUE"""),"самореализация , хорошие дороги, наличие озеленения , большое количество зон отдыха, хорошее образование. наличие доступного жилья. ")</f>
        <v>самореализация , хорошие дороги, наличие озеленения , большое количество зон отдыха, хорошее образование. наличие доступного жилья. </v>
      </c>
      <c r="O192" s="6" t="str">
        <f>IFERROR(__xludf.DUMMYFUNCTION("""COMPUTED_VALUE"""),"довести до ума начатые стройки ( на притомском и вдоль Искитимки )  сделать дорогу между Автозаводской и Федоровского ,  построить обходную дорогу в обход города   И крайне важно   ГАЗИФИЦИРОВАТЬ  частный сектор ( сибиреки , южный  итд)  дышать нечем  в х"&amp;"олодный период.")</f>
        <v>довести до ума начатые стройки ( на притомском и вдоль Искитимки )  сделать дорогу между Автозаводской и Федоровского ,  построить обходную дорогу в обход города   И крайне важно   ГАЗИФИЦИРОВАТЬ  частный сектор ( сибиреки , южный  итд)  дышать нечем  в холодный период.</v>
      </c>
      <c r="P192" s="6" t="str">
        <f>IFERROR(__xludf.DUMMYFUNCTION("""COMPUTED_VALUE"""),"22 канал Известия Кузбасс   местное время на Россия 24   телеграмм  каналы ")</f>
        <v>22 канал Известия Кузбасс   местное время на Россия 24   телеграмм  каналы </v>
      </c>
      <c r="Q192" s="6" t="str">
        <f>IFERROR(__xludf.DUMMYFUNCTION("""COMPUTED_VALUE"""),"куда пойти в свободное время, интервью с местными предпринимателями, бизнес-новости (средний чек/рекламные акции/запуск новых предприятий)")</f>
        <v>куда пойти в свободное время, интервью с местными предпринимателями, бизнес-новости (средний чек/рекламные акции/запуск новых предприятий)</v>
      </c>
      <c r="R192" s="6" t="str">
        <f>IFERROR(__xludf.DUMMYFUNCTION("""COMPUTED_VALUE"""),"День победы, День города 12 июня ,   для других наверно День шахтёра и НГ")</f>
        <v>День победы, День города 12 июня ,   для других наверно День шахтёра и НГ</v>
      </c>
      <c r="S192" s="6" t="str">
        <f>IFERROR(__xludf.DUMMYFUNCTION("""COMPUTED_VALUE"""),"Нет, не приходилось")</f>
        <v>Нет, не приходилось</v>
      </c>
      <c r="T192" s="6" t="str">
        <f>IFERROR(__xludf.DUMMYFUNCTION("""COMPUTED_VALUE"""),"город шахтёрской  славы ")</f>
        <v>город шахтёрской  славы </v>
      </c>
      <c r="U192" s="6" t="str">
        <f>IFERROR(__xludf.DUMMYFUNCTION("""COMPUTED_VALUE"""),"ул. Весенняя и набережная          там были мои юные годы.")</f>
        <v>ул. Весенняя и набережная          там были мои юные годы.</v>
      </c>
      <c r="V192" s="6" t="str">
        <f>IFERROR(__xludf.DUMMYFUNCTION("""COMPUTED_VALUE"""),"честно трудится , быть не равнодушными , смерится  к взаимопомощи .")</f>
        <v>честно трудится , быть не равнодушными , смерится  к взаимопомощи .</v>
      </c>
      <c r="W192" s="6" t="str">
        <f>IFERROR(__xludf.DUMMYFUNCTION("""COMPUTED_VALUE"""),"приветливые,  умные , есть чувства сострадания .")</f>
        <v>приветливые,  умные , есть чувства сострадания .</v>
      </c>
      <c r="X192" s="6" t="str">
        <f>IFERROR(__xludf.DUMMYFUNCTION("""COMPUTED_VALUE"""),"бульвар Строителей ,  Кузбасский парк  ")</f>
        <v>бульвар Строителей ,  Кузбасский парк  </v>
      </c>
      <c r="Y192" s="6" t="str">
        <f>IFERROR(__xludf.DUMMYFUNCTION("""COMPUTED_VALUE"""),"день образование Кемеровской области")</f>
        <v>день образование Кемеровской области</v>
      </c>
      <c r="Z192" s="6" t="str">
        <f>IFERROR(__xludf.DUMMYFUNCTION("""COMPUTED_VALUE"""),"отсутствие татального карантина")</f>
        <v>отсутствие татального карантина</v>
      </c>
      <c r="AA192" s="6" t="str">
        <f>IFERROR(__xludf.DUMMYFUNCTION("""COMPUTED_VALUE"""),"расследование катастрофы "" Зимней вишне""     и поиск крайних. Лицемеры !!!")</f>
        <v>расследование катастрофы " Зимней вишне"     и поиск крайних. Лицемеры !!!</v>
      </c>
      <c r="AB192" s="6" t="str">
        <f>IFERROR(__xludf.DUMMYFUNCTION("""COMPUTED_VALUE"""),"мне всего хватает")</f>
        <v>мне всего хватает</v>
      </c>
      <c r="AC192" s="6" t="str">
        <f>IFERROR(__xludf.DUMMYFUNCTION("""COMPUTED_VALUE"""),"цивилизованные  водные прогулки  по Томи ")</f>
        <v>цивилизованные  водные прогулки  по Томи </v>
      </c>
      <c r="AD192" s="6" t="str">
        <f>IFERROR(__xludf.DUMMYFUNCTION("""COMPUTED_VALUE"""),"оказания помощи и готов содействовать  , если есть такая компетенция у меня ")</f>
        <v>оказания помощи и готов содействовать  , если есть такая компетенция у меня </v>
      </c>
      <c r="AE192" s="6" t="str">
        <f>IFERROR(__xludf.DUMMYFUNCTION("""COMPUTED_VALUE"""),"Мужской")</f>
        <v>Мужской</v>
      </c>
      <c r="AF192" s="6" t="str">
        <f>IFERROR(__xludf.DUMMYFUNCTION("""COMPUTED_VALUE"""),"30-44")</f>
        <v>30-44</v>
      </c>
      <c r="AG192" s="6"/>
      <c r="AH192" s="6"/>
      <c r="AI192" s="6"/>
      <c r="AJ192" s="6"/>
      <c r="AK192" s="6"/>
      <c r="AL192" s="6"/>
      <c r="AM192" s="6"/>
    </row>
    <row r="193">
      <c r="A193" s="4">
        <v>192.0</v>
      </c>
      <c r="B193" s="6" t="str">
        <f>IFERROR(__xludf.DUMMYFUNCTION("""COMPUTED_VALUE"""),"Я студентка Кузбасской Государственной академии. Учусь ")</f>
        <v>Я студентка Кузбасской Государственной академии. Учусь </v>
      </c>
      <c r="C193" s="6" t="str">
        <f>IFERROR(__xludf.DUMMYFUNCTION("""COMPUTED_VALUE"""),"Да есть, рисование ")</f>
        <v>Да есть, рисование </v>
      </c>
      <c r="D193" s="6" t="str">
        <f>IFERROR(__xludf.DUMMYFUNCTION("""COMPUTED_VALUE"""),"Ленинский район")</f>
        <v>Ленинский район</v>
      </c>
      <c r="E193" s="6" t="str">
        <f>IFERROR(__xludf.DUMMYFUNCTION("""COMPUTED_VALUE"""),"Бульвар Строителей")</f>
        <v>Бульвар Строителей</v>
      </c>
      <c r="F193" s="6" t="str">
        <f>IFERROR(__xludf.DUMMYFUNCTION("""COMPUTED_VALUE"""),"Приезжаю из деревни учится, живу в общежитии")</f>
        <v>Приезжаю из деревни учится, живу в общежитии</v>
      </c>
      <c r="G193" s="6" t="str">
        <f>IFERROR(__xludf.DUMMYFUNCTION("""COMPUTED_VALUE"""),"Набережная ")</f>
        <v>Набережная </v>
      </c>
      <c r="H193" s="6" t="str">
        <f>IFERROR(__xludf.DUMMYFUNCTION("""COMPUTED_VALUE"""),"Не знаю ")</f>
        <v>Не знаю </v>
      </c>
      <c r="I193" s="6" t="str">
        <f>IFERROR(__xludf.DUMMYFUNCTION("""COMPUTED_VALUE"""),"Абызов Михаил Петрович, Бобров Александр Константинович")</f>
        <v>Абызов Михаил Петрович, Бобров Александр Константинович</v>
      </c>
      <c r="J193" s="6" t="str">
        <f>IFERROR(__xludf.DUMMYFUNCTION("""COMPUTED_VALUE"""),"Булгаков Анатолий Иванович.")</f>
        <v>Булгаков Анатолий Иванович.</v>
      </c>
      <c r="K193" s="6" t="str">
        <f>IFERROR(__xludf.DUMMYFUNCTION("""COMPUTED_VALUE"""),"Лесная поляна ")</f>
        <v>Лесная поляна </v>
      </c>
      <c r="L193" s="6" t="str">
        <f>IFERROR(__xludf.DUMMYFUNCTION("""COMPUTED_VALUE"""),"Не только свету, что в окне; на улицу выйдешь - больше увидишь.")</f>
        <v>Не только свету, что в окне; на улицу выйдешь - больше увидишь.</v>
      </c>
      <c r="M193" s="6" t="str">
        <f>IFERROR(__xludf.DUMMYFUNCTION("""COMPUTED_VALUE"""),"Жадина-говядина")</f>
        <v>Жадина-говядина</v>
      </c>
      <c r="N193" s="6" t="str">
        <f>IFERROR(__xludf.DUMMYFUNCTION("""COMPUTED_VALUE"""),"Не сильно шумно, есть интересные места, не сильно загрязненный город, есть хорошие люди, можно получить хорошее образование ")</f>
        <v>Не сильно шумно, есть интересные места, не сильно загрязненный город, есть хорошие люди, можно получить хорошее образование </v>
      </c>
      <c r="O193" s="6" t="str">
        <f>IFERROR(__xludf.DUMMYFUNCTION("""COMPUTED_VALUE"""),"Побольше мест в которые можно пойти отдохнуть ")</f>
        <v>Побольше мест в которые можно пойти отдохнуть </v>
      </c>
      <c r="P193" s="6" t="str">
        <f>IFERROR(__xludf.DUMMYFUNCTION("""COMPUTED_VALUE"""),"Инстаграм, вконтакте")</f>
        <v>Инстаграм, вконтакте</v>
      </c>
      <c r="Q193"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93" s="6" t="str">
        <f>IFERROR(__xludf.DUMMYFUNCTION("""COMPUTED_VALUE"""),"День России")</f>
        <v>День России</v>
      </c>
      <c r="S193" s="6" t="str">
        <f>IFERROR(__xludf.DUMMYFUNCTION("""COMPUTED_VALUE"""),"Нет, не приходилось")</f>
        <v>Нет, не приходилось</v>
      </c>
      <c r="T193" s="6" t="str">
        <f>IFERROR(__xludf.DUMMYFUNCTION("""COMPUTED_VALUE"""),"Новогодняя елка, на Советском ")</f>
        <v>Новогодняя елка, на Советском </v>
      </c>
      <c r="U193" s="6" t="str">
        <f>IFERROR(__xludf.DUMMYFUNCTION("""COMPUTED_VALUE"""),"Не знаю ")</f>
        <v>Не знаю </v>
      </c>
      <c r="V193" s="6" t="str">
        <f>IFERROR(__xludf.DUMMYFUNCTION("""COMPUTED_VALUE"""),"Строили дома, торговые центры ")</f>
        <v>Строили дома, торговые центры </v>
      </c>
      <c r="W193" s="6" t="str">
        <f>IFERROR(__xludf.DUMMYFUNCTION("""COMPUTED_VALUE"""),"Злые, не дружелюбные, агрессивные")</f>
        <v>Злые, не дружелюбные, агрессивные</v>
      </c>
      <c r="X193" s="6" t="str">
        <f>IFERROR(__xludf.DUMMYFUNCTION("""COMPUTED_VALUE"""),"Парк Чудес ")</f>
        <v>Парк Чудес </v>
      </c>
      <c r="Y193" s="6" t="str">
        <f>IFERROR(__xludf.DUMMYFUNCTION("""COMPUTED_VALUE"""),"были реконструированы и электрифицированы шахты, достроен и пущен 1-й в Сибири коксохимический завод в Кемерово")</f>
        <v>были реконструированы и электрифицированы шахты, достроен и пущен 1-й в Сибири коксохимический завод в Кемерово</v>
      </c>
      <c r="Z193" s="6" t="str">
        <f>IFERROR(__xludf.DUMMYFUNCTION("""COMPUTED_VALUE"""),"Никаких ")</f>
        <v>Никаких </v>
      </c>
      <c r="AA193" s="6" t="str">
        <f>IFERROR(__xludf.DUMMYFUNCTION("""COMPUTED_VALUE"""),"Сгорел торговый центр Зимняя Вишня")</f>
        <v>Сгорел торговый центр Зимняя Вишня</v>
      </c>
      <c r="AB193" s="6" t="str">
        <f>IFERROR(__xludf.DUMMYFUNCTION("""COMPUTED_VALUE"""),"Всего хватает")</f>
        <v>Всего хватает</v>
      </c>
      <c r="AC193" s="6" t="str">
        <f>IFERROR(__xludf.DUMMYFUNCTION("""COMPUTED_VALUE"""),"Побольше движения, каких-то мероприятий и концертов ")</f>
        <v>Побольше движения, каких-то мероприятий и концертов </v>
      </c>
      <c r="AD193" s="6" t="str">
        <f>IFERROR(__xludf.DUMMYFUNCTION("""COMPUTED_VALUE"""),"Не знаю ")</f>
        <v>Не знаю </v>
      </c>
      <c r="AE193" s="6" t="str">
        <f>IFERROR(__xludf.DUMMYFUNCTION("""COMPUTED_VALUE"""),"Женский")</f>
        <v>Женский</v>
      </c>
      <c r="AF193" s="6" t="str">
        <f>IFERROR(__xludf.DUMMYFUNCTION("""COMPUTED_VALUE"""),"18-29")</f>
        <v>18-29</v>
      </c>
      <c r="AG193" s="6"/>
      <c r="AH193" s="6"/>
      <c r="AI193" s="6"/>
      <c r="AJ193" s="6"/>
      <c r="AK193" s="6"/>
      <c r="AL193" s="6"/>
      <c r="AM193" s="6"/>
    </row>
    <row r="194">
      <c r="A194" s="4">
        <v>193.0</v>
      </c>
      <c r="B194" s="6" t="str">
        <f>IFERROR(__xludf.DUMMYFUNCTION("""COMPUTED_VALUE"""),"Работаю в библиотеке")</f>
        <v>Работаю в библиотеке</v>
      </c>
      <c r="C194" s="6" t="str">
        <f>IFERROR(__xludf.DUMMYFUNCTION("""COMPUTED_VALUE"""),"Чтение, киноман")</f>
        <v>Чтение, киноман</v>
      </c>
      <c r="D194" s="6" t="str">
        <f>IFERROR(__xludf.DUMMYFUNCTION("""COMPUTED_VALUE"""),"ФПК")</f>
        <v>ФПК</v>
      </c>
      <c r="E194" s="6" t="str">
        <f>IFERROR(__xludf.DUMMYFUNCTION("""COMPUTED_VALUE"""),"Нет")</f>
        <v>Нет</v>
      </c>
      <c r="F194" s="6" t="str">
        <f>IFERROR(__xludf.DUMMYFUNCTION("""COMPUTED_VALUE"""),"Красноярский край")</f>
        <v>Красноярский край</v>
      </c>
      <c r="G194" s="6" t="str">
        <f>IFERROR(__xludf.DUMMYFUNCTION("""COMPUTED_VALUE"""),"Филармония, театры, кинотеатры,  музеи, библиотеки")</f>
        <v>Филармония, театры, кинотеатры,  музеи, библиотеки</v>
      </c>
      <c r="H194" s="6" t="str">
        <f>IFERROR(__xludf.DUMMYFUNCTION("""COMPUTED_VALUE"""),"АИК ""Кузбасс"", Столица Кузбасса, Деревня")</f>
        <v>АИК "Кузбасс", Столица Кузбасса, Деревня</v>
      </c>
      <c r="I194" s="6" t="str">
        <f>IFERROR(__xludf.DUMMYFUNCTION("""COMPUTED_VALUE"""),"Михайло Волков. Угольные генералы Найдов и Кожевин. Летчик-ас Мартемьянов. Геолог Лутугин.")</f>
        <v>Михайло Волков. Угольные генералы Найдов и Кожевин. Летчик-ас Мартемьянов. Геолог Лутугин.</v>
      </c>
      <c r="J194" s="6" t="str">
        <f>IFERROR(__xludf.DUMMYFUNCTION("""COMPUTED_VALUE"""),"В.В.Михайлов, бывший мэр города. Академик Л.С.Барбараш. Заслуженный деятель науки России Н.И.Гендина. Поэт Б.В.Бурмистров. Ученый-историк И.Ю.Усков")</f>
        <v>В.В.Михайлов, бывший мэр города. Академик Л.С.Барбараш. Заслуженный деятель науки России Н.И.Гендина. Поэт Б.В.Бурмистров. Ученый-историк И.Ю.Усков</v>
      </c>
      <c r="K194" s="6" t="str">
        <f>IFERROR(__xludf.DUMMYFUNCTION("""COMPUTED_VALUE"""),"Памятник Э.Неизвестного. Памятник Пушкина. Улицу Весеннюю с выходом на набережную Томи. Музей-заповедник ""Красная Горка"". Бульвар Строителей ")</f>
        <v>Памятник Э.Неизвестного. Памятник Пушкина. Улицу Весеннюю с выходом на набережную Томи. Музей-заповедник "Красная Горка". Бульвар Строителей </v>
      </c>
      <c r="L194" s="6" t="str">
        <f>IFERROR(__xludf.DUMMYFUNCTION("""COMPUTED_VALUE"""),"Не знаю")</f>
        <v>Не знаю</v>
      </c>
      <c r="M194" s="6" t="str">
        <f>IFERROR(__xludf.DUMMYFUNCTION("""COMPUTED_VALUE"""),"Нет")</f>
        <v>Нет</v>
      </c>
      <c r="N194" s="6" t="str">
        <f>IFERROR(__xludf.DUMMYFUNCTION("""COMPUTED_VALUE"""),"Наличие рабочих мест. Современные библиотеки. Наличие регулярного движения общественного транспорта после 21-00 ч. Безбарьерная уличная среда для инвалидов. Воздушное сообщение с регионами-соседями.")</f>
        <v>Наличие рабочих мест. Современные библиотеки. Наличие регулярного движения общественного транспорта после 21-00 ч. Безбарьерная уличная среда для инвалидов. Воздушное сообщение с регионами-соседями.</v>
      </c>
      <c r="O194" s="6" t="str">
        <f>IFERROR(__xludf.DUMMYFUNCTION("""COMPUTED_VALUE"""),"Нет предложений.")</f>
        <v>Нет предложений.</v>
      </c>
      <c r="P194" s="6" t="str">
        <f>IFERROR(__xludf.DUMMYFUNCTION("""COMPUTED_VALUE"""),"Сайты филармонии, театров, библиотек.")</f>
        <v>Сайты филармонии, театров, библиотек.</v>
      </c>
      <c r="Q194"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94" s="6" t="str">
        <f>IFERROR(__xludf.DUMMYFUNCTION("""COMPUTED_VALUE"""),"Для меня и моих близких городские праздники не важны. Для молодежи, наверное, - День молодежи и другие уличные мероприятия к праздничным датам")</f>
        <v>Для меня и моих близких городские праздники не важны. Для молодежи, наверное, - День молодежи и другие уличные мероприятия к праздничным датам</v>
      </c>
      <c r="S194" s="6" t="str">
        <f>IFERROR(__xludf.DUMMYFUNCTION("""COMPUTED_VALUE"""),"Нет, не приходилось")</f>
        <v>Нет, не приходилось</v>
      </c>
      <c r="T194" s="6" t="str">
        <f>IFERROR(__xludf.DUMMYFUNCTION("""COMPUTED_VALUE"""),"Известен своим прошлым (химия, угольные шахты), нынешним здравоохранением (кардиоцентр и НИИ при нем). Уникален музеем ""Красная Горка"", хоккейной командой ""Кузбасс"", Кемеровской библиотечной школой (основана профессором С.А.Сбитневым)")</f>
        <v>Известен своим прошлым (химия, угольные шахты), нынешним здравоохранением (кардиоцентр и НИИ при нем). Уникален музеем "Красная Горка", хоккейной командой "Кузбасс", Кемеровской библиотечной школой (основана профессором С.А.Сбитневым)</v>
      </c>
      <c r="U194" s="6" t="str">
        <f>IFERROR(__xludf.DUMMYFUNCTION("""COMPUTED_VALUE"""),"Красная Горка. Площадь Советов.")</f>
        <v>Красная Горка. Площадь Советов.</v>
      </c>
      <c r="V194" s="6" t="str">
        <f>IFERROR(__xludf.DUMMYFUNCTION("""COMPUTED_VALUE"""),"Копикуз. АИК ""Кузбасс"". Развитая сеть учреждений культуры и образования, в т.ч. высшего. Музей-заповедник ""Красная Горка"" как отдельное достижение.")</f>
        <v>Копикуз. АИК "Кузбасс". Развитая сеть учреждений культуры и образования, в т.ч. высшего. Музей-заповедник "Красная Горка" как отдельное достижение.</v>
      </c>
      <c r="W194" s="6" t="str">
        <f>IFERROR(__xludf.DUMMYFUNCTION("""COMPUTED_VALUE"""),"Не могу охарактеризовать.")</f>
        <v>Не могу охарактеризовать.</v>
      </c>
      <c r="X194" s="6" t="str">
        <f>IFERROR(__xludf.DUMMYFUNCTION("""COMPUTED_VALUE"""),"От музей ""Красная Горка"" до памятника Э.Неизвестного.")</f>
        <v>От музей "Красная Горка" до памятника Э.Неизвестного.</v>
      </c>
      <c r="Y194" s="6" t="str">
        <f>IFERROR(__xludf.DUMMYFUNCTION("""COMPUTED_VALUE"""),"АИК ""Кузбасс""")</f>
        <v>АИК "Кузбасс"</v>
      </c>
      <c r="Z194" s="6" t="str">
        <f>IFERROR(__xludf.DUMMYFUNCTION("""COMPUTED_VALUE"""),"Нет ответа")</f>
        <v>Нет ответа</v>
      </c>
      <c r="AA194" s="6" t="str">
        <f>IFERROR(__xludf.DUMMYFUNCTION("""COMPUTED_VALUE"""),"Нет таких.")</f>
        <v>Нет таких.</v>
      </c>
      <c r="AB194" s="6" t="str">
        <f>IFERROR(__xludf.DUMMYFUNCTION("""COMPUTED_VALUE"""),"Мне хватает")</f>
        <v>Мне хватает</v>
      </c>
      <c r="AC194" s="6" t="str">
        <f>IFERROR(__xludf.DUMMYFUNCTION("""COMPUTED_VALUE"""),"Нет предложений")</f>
        <v>Нет предложений</v>
      </c>
      <c r="AD194" s="6" t="str">
        <f>IFERROR(__xludf.DUMMYFUNCTION("""COMPUTED_VALUE"""),"Экспертная оценка (по направлению профессиональной деятельности).")</f>
        <v>Экспертная оценка (по направлению профессиональной деятельности).</v>
      </c>
      <c r="AE194" s="6" t="str">
        <f>IFERROR(__xludf.DUMMYFUNCTION("""COMPUTED_VALUE"""),"Женский")</f>
        <v>Женский</v>
      </c>
      <c r="AF194" s="6" t="str">
        <f>IFERROR(__xludf.DUMMYFUNCTION("""COMPUTED_VALUE"""),"45-55")</f>
        <v>45-55</v>
      </c>
      <c r="AG194" s="6"/>
      <c r="AH194" s="6"/>
      <c r="AI194" s="6"/>
      <c r="AJ194" s="6"/>
      <c r="AK194" s="6"/>
      <c r="AL194" s="6"/>
      <c r="AM194" s="6"/>
    </row>
    <row r="195">
      <c r="A195" s="4">
        <v>194.0</v>
      </c>
      <c r="B195" s="6" t="str">
        <f>IFERROR(__xludf.DUMMYFUNCTION("""COMPUTED_VALUE"""),"Студент, учусь")</f>
        <v>Студент, учусь</v>
      </c>
      <c r="C195" s="6" t="str">
        <f>IFERROR(__xludf.DUMMYFUNCTION("""COMPUTED_VALUE"""),"Есть, танцы, театр")</f>
        <v>Есть, танцы, театр</v>
      </c>
      <c r="D195" s="6" t="str">
        <f>IFERROR(__xludf.DUMMYFUNCTION("""COMPUTED_VALUE"""),"Заводской")</f>
        <v>Заводской</v>
      </c>
      <c r="E195" s="6" t="str">
        <f>IFERROR(__xludf.DUMMYFUNCTION("""COMPUTED_VALUE"""),"Ретро")</f>
        <v>Ретро</v>
      </c>
      <c r="F195" s="6" t="str">
        <f>IFERROR(__xludf.DUMMYFUNCTION("""COMPUTED_VALUE"""),"Переехал сюда из другого места (откуда? укажите в графе другое), Из Мариинска")</f>
        <v>Переехал сюда из другого места (откуда? укажите в графе другое), Из Мариинска</v>
      </c>
      <c r="G195" s="6" t="str">
        <f>IFERROR(__xludf.DUMMYFUNCTION("""COMPUTED_VALUE"""),"Парк, библиотеку")</f>
        <v>Парк, библиотеку</v>
      </c>
      <c r="H195" s="6" t="str">
        <f>IFERROR(__xludf.DUMMYFUNCTION("""COMPUTED_VALUE"""),"Учёба, кафе, знания, веселье, друзья ")</f>
        <v>Учёба, кафе, знания, веселье, друзья </v>
      </c>
      <c r="I195" s="6" t="str">
        <f>IFERROR(__xludf.DUMMYFUNCTION("""COMPUTED_VALUE"""),"Александр, Максим ")</f>
        <v>Александр, Максим </v>
      </c>
      <c r="J195" s="6" t="str">
        <f>IFERROR(__xludf.DUMMYFUNCTION("""COMPUTED_VALUE"""),"-")</f>
        <v>-</v>
      </c>
      <c r="K195" s="6" t="str">
        <f>IFERROR(__xludf.DUMMYFUNCTION("""COMPUTED_VALUE"""),"-")</f>
        <v>-</v>
      </c>
      <c r="L195" s="6" t="str">
        <f>IFERROR(__xludf.DUMMYFUNCTION("""COMPUTED_VALUE"""),"-")</f>
        <v>-</v>
      </c>
      <c r="M195" s="6" t="str">
        <f>IFERROR(__xludf.DUMMYFUNCTION("""COMPUTED_VALUE"""),"-")</f>
        <v>-</v>
      </c>
      <c r="N195" s="6" t="str">
        <f>IFERROR(__xludf.DUMMYFUNCTION("""COMPUTED_VALUE"""),"Транспорт")</f>
        <v>Транспорт</v>
      </c>
      <c r="O195" s="6" t="str">
        <f>IFERROR(__xludf.DUMMYFUNCTION("""COMPUTED_VALUE"""),"Вид серых зданий")</f>
        <v>Вид серых зданий</v>
      </c>
      <c r="P195" s="6" t="str">
        <f>IFERROR(__xludf.DUMMYFUNCTION("""COMPUTED_VALUE"""),"Из социальных сетей ")</f>
        <v>Из социальных сетей </v>
      </c>
      <c r="Q195" s="6" t="str">
        <f>IFERROR(__xludf.DUMMYFUNCTION("""COMPUTED_VALUE"""),"куда пойти в свободное время, где вкусно поесть/открытие новых кафе/ресторанов, культурные новинки (что почитать/что послушать)")</f>
        <v>куда пойти в свободное время, где вкусно поесть/открытие новых кафе/ресторанов, культурные новинки (что почитать/что послушать)</v>
      </c>
      <c r="R195" s="6" t="str">
        <f>IFERROR(__xludf.DUMMYFUNCTION("""COMPUTED_VALUE"""),"-")</f>
        <v>-</v>
      </c>
      <c r="S195" s="6" t="str">
        <f>IFERROR(__xludf.DUMMYFUNCTION("""COMPUTED_VALUE"""),"Нет, не приходилось")</f>
        <v>Нет, не приходилось</v>
      </c>
      <c r="T195" s="6" t="str">
        <f>IFERROR(__xludf.DUMMYFUNCTION("""COMPUTED_VALUE"""),"Большой город где много возможностей")</f>
        <v>Большой город где много возможностей</v>
      </c>
      <c r="U195" s="6" t="str">
        <f>IFERROR(__xludf.DUMMYFUNCTION("""COMPUTED_VALUE"""),"-")</f>
        <v>-</v>
      </c>
      <c r="V195" s="6" t="str">
        <f>IFERROR(__xludf.DUMMYFUNCTION("""COMPUTED_VALUE"""),"-")</f>
        <v>-</v>
      </c>
      <c r="W195" s="6" t="str">
        <f>IFERROR(__xludf.DUMMYFUNCTION("""COMPUTED_VALUE"""),"Спокойные, закрытые")</f>
        <v>Спокойные, закрытые</v>
      </c>
      <c r="X195" s="6" t="str">
        <f>IFERROR(__xludf.DUMMYFUNCTION("""COMPUTED_VALUE"""),"Бульвар")</f>
        <v>Бульвар</v>
      </c>
      <c r="Y195" s="6" t="str">
        <f>IFERROR(__xludf.DUMMYFUNCTION("""COMPUTED_VALUE"""),"-")</f>
        <v>-</v>
      </c>
      <c r="Z195" s="6" t="str">
        <f>IFERROR(__xludf.DUMMYFUNCTION("""COMPUTED_VALUE"""),"Поступление в университет, приобретение новых знакомств")</f>
        <v>Поступление в университет, приобретение новых знакомств</v>
      </c>
      <c r="AA195" s="6" t="str">
        <f>IFERROR(__xludf.DUMMYFUNCTION("""COMPUTED_VALUE"""),"Пожар зимней вишни")</f>
        <v>Пожар зимней вишни</v>
      </c>
      <c r="AB195" s="6" t="str">
        <f>IFERROR(__xludf.DUMMYFUNCTION("""COMPUTED_VALUE"""),"-")</f>
        <v>-</v>
      </c>
      <c r="AC195" s="6" t="str">
        <f>IFERROR(__xludf.DUMMYFUNCTION("""COMPUTED_VALUE"""),"-")</f>
        <v>-</v>
      </c>
      <c r="AD195" s="6" t="str">
        <f>IFERROR(__xludf.DUMMYFUNCTION("""COMPUTED_VALUE"""),"-")</f>
        <v>-</v>
      </c>
      <c r="AE195" s="6" t="str">
        <f>IFERROR(__xludf.DUMMYFUNCTION("""COMPUTED_VALUE"""),"Женский")</f>
        <v>Женский</v>
      </c>
      <c r="AF195" s="6" t="str">
        <f>IFERROR(__xludf.DUMMYFUNCTION("""COMPUTED_VALUE"""),"18-29")</f>
        <v>18-29</v>
      </c>
      <c r="AG195" s="6"/>
      <c r="AH195" s="6"/>
      <c r="AI195" s="6"/>
      <c r="AJ195" s="6"/>
      <c r="AK195" s="6"/>
      <c r="AL195" s="6"/>
      <c r="AM195" s="6"/>
    </row>
    <row r="196">
      <c r="A196" s="4">
        <v>195.0</v>
      </c>
      <c r="B196" s="6" t="str">
        <f>IFERROR(__xludf.DUMMYFUNCTION("""COMPUTED_VALUE"""),"Студент, учусь")</f>
        <v>Студент, учусь</v>
      </c>
      <c r="C196" s="6" t="str">
        <f>IFERROR(__xludf.DUMMYFUNCTION("""COMPUTED_VALUE"""),"Есть, танцы, театр")</f>
        <v>Есть, танцы, театр</v>
      </c>
      <c r="D196" s="6" t="str">
        <f>IFERROR(__xludf.DUMMYFUNCTION("""COMPUTED_VALUE"""),"Заводской")</f>
        <v>Заводской</v>
      </c>
      <c r="E196" s="6" t="str">
        <f>IFERROR(__xludf.DUMMYFUNCTION("""COMPUTED_VALUE"""),"Ретро")</f>
        <v>Ретро</v>
      </c>
      <c r="F196" s="6" t="str">
        <f>IFERROR(__xludf.DUMMYFUNCTION("""COMPUTED_VALUE"""),"Переехал сюда из другого места (откуда? укажите в графе другое), Из Мариинска")</f>
        <v>Переехал сюда из другого места (откуда? укажите в графе другое), Из Мариинска</v>
      </c>
      <c r="G196" s="6" t="str">
        <f>IFERROR(__xludf.DUMMYFUNCTION("""COMPUTED_VALUE"""),"Парк, библиотеку")</f>
        <v>Парк, библиотеку</v>
      </c>
      <c r="H196" s="6" t="str">
        <f>IFERROR(__xludf.DUMMYFUNCTION("""COMPUTED_VALUE"""),"Учёба, кафе, знания, веселье, друзья ")</f>
        <v>Учёба, кафе, знания, веселье, друзья </v>
      </c>
      <c r="I196" s="6" t="str">
        <f>IFERROR(__xludf.DUMMYFUNCTION("""COMPUTED_VALUE"""),"Александр, Максим ")</f>
        <v>Александр, Максим </v>
      </c>
      <c r="J196" s="6" t="str">
        <f>IFERROR(__xludf.DUMMYFUNCTION("""COMPUTED_VALUE"""),"-")</f>
        <v>-</v>
      </c>
      <c r="K196" s="6" t="str">
        <f>IFERROR(__xludf.DUMMYFUNCTION("""COMPUTED_VALUE"""),"-")</f>
        <v>-</v>
      </c>
      <c r="L196" s="6" t="str">
        <f>IFERROR(__xludf.DUMMYFUNCTION("""COMPUTED_VALUE"""),"-")</f>
        <v>-</v>
      </c>
      <c r="M196" s="6" t="str">
        <f>IFERROR(__xludf.DUMMYFUNCTION("""COMPUTED_VALUE"""),"-")</f>
        <v>-</v>
      </c>
      <c r="N196" s="6" t="str">
        <f>IFERROR(__xludf.DUMMYFUNCTION("""COMPUTED_VALUE"""),"Транспорт")</f>
        <v>Транспорт</v>
      </c>
      <c r="O196" s="6" t="str">
        <f>IFERROR(__xludf.DUMMYFUNCTION("""COMPUTED_VALUE"""),"Вид серых зданий")</f>
        <v>Вид серых зданий</v>
      </c>
      <c r="P196" s="6" t="str">
        <f>IFERROR(__xludf.DUMMYFUNCTION("""COMPUTED_VALUE"""),"Из социальных сетей ")</f>
        <v>Из социальных сетей </v>
      </c>
      <c r="Q196" s="6" t="str">
        <f>IFERROR(__xludf.DUMMYFUNCTION("""COMPUTED_VALUE"""),"куда пойти в свободное время, где вкусно поесть/открытие новых кафе/ресторанов, культурные новинки (что почитать/что послушать)")</f>
        <v>куда пойти в свободное время, где вкусно поесть/открытие новых кафе/ресторанов, культурные новинки (что почитать/что послушать)</v>
      </c>
      <c r="R196" s="6" t="str">
        <f>IFERROR(__xludf.DUMMYFUNCTION("""COMPUTED_VALUE"""),"-")</f>
        <v>-</v>
      </c>
      <c r="S196" s="6" t="str">
        <f>IFERROR(__xludf.DUMMYFUNCTION("""COMPUTED_VALUE"""),"Нет, не приходилось")</f>
        <v>Нет, не приходилось</v>
      </c>
      <c r="T196" s="6" t="str">
        <f>IFERROR(__xludf.DUMMYFUNCTION("""COMPUTED_VALUE"""),"Большой город где много возможностей")</f>
        <v>Большой город где много возможностей</v>
      </c>
      <c r="U196" s="6" t="str">
        <f>IFERROR(__xludf.DUMMYFUNCTION("""COMPUTED_VALUE"""),"-")</f>
        <v>-</v>
      </c>
      <c r="V196" s="6" t="str">
        <f>IFERROR(__xludf.DUMMYFUNCTION("""COMPUTED_VALUE"""),"-")</f>
        <v>-</v>
      </c>
      <c r="W196" s="6" t="str">
        <f>IFERROR(__xludf.DUMMYFUNCTION("""COMPUTED_VALUE"""),"Спокойные, закрытые")</f>
        <v>Спокойные, закрытые</v>
      </c>
      <c r="X196" s="6" t="str">
        <f>IFERROR(__xludf.DUMMYFUNCTION("""COMPUTED_VALUE"""),"Бульвар")</f>
        <v>Бульвар</v>
      </c>
      <c r="Y196" s="6" t="str">
        <f>IFERROR(__xludf.DUMMYFUNCTION("""COMPUTED_VALUE"""),"-")</f>
        <v>-</v>
      </c>
      <c r="Z196" s="6" t="str">
        <f>IFERROR(__xludf.DUMMYFUNCTION("""COMPUTED_VALUE"""),"Поступление в университет, приобретение новых знакомств")</f>
        <v>Поступление в университет, приобретение новых знакомств</v>
      </c>
      <c r="AA196" s="6" t="str">
        <f>IFERROR(__xludf.DUMMYFUNCTION("""COMPUTED_VALUE"""),"Пожар зимней вишни")</f>
        <v>Пожар зимней вишни</v>
      </c>
      <c r="AB196" s="6" t="str">
        <f>IFERROR(__xludf.DUMMYFUNCTION("""COMPUTED_VALUE"""),"-")</f>
        <v>-</v>
      </c>
      <c r="AC196" s="6" t="str">
        <f>IFERROR(__xludf.DUMMYFUNCTION("""COMPUTED_VALUE"""),"-")</f>
        <v>-</v>
      </c>
      <c r="AD196" s="6" t="str">
        <f>IFERROR(__xludf.DUMMYFUNCTION("""COMPUTED_VALUE"""),"-")</f>
        <v>-</v>
      </c>
      <c r="AE196" s="6" t="str">
        <f>IFERROR(__xludf.DUMMYFUNCTION("""COMPUTED_VALUE"""),"Женский")</f>
        <v>Женский</v>
      </c>
      <c r="AF196" s="6" t="str">
        <f>IFERROR(__xludf.DUMMYFUNCTION("""COMPUTED_VALUE"""),"18-29")</f>
        <v>18-29</v>
      </c>
      <c r="AG196" s="6"/>
      <c r="AH196" s="6"/>
      <c r="AI196" s="6"/>
      <c r="AJ196" s="6"/>
      <c r="AK196" s="6"/>
      <c r="AL196" s="6"/>
      <c r="AM196" s="6"/>
    </row>
    <row r="197">
      <c r="A197" s="4">
        <v>196.0</v>
      </c>
      <c r="B197" s="6" t="str">
        <f>IFERROR(__xludf.DUMMYFUNCTION("""COMPUTED_VALUE"""),"ремонт компьютеров и ноутбуков")</f>
        <v>ремонт компьютеров и ноутбуков</v>
      </c>
      <c r="C197" s="6" t="str">
        <f>IFERROR(__xludf.DUMMYFUNCTION("""COMPUTED_VALUE"""),"фотография")</f>
        <v>фотография</v>
      </c>
      <c r="D197" s="6" t="str">
        <f>IFERROR(__xludf.DUMMYFUNCTION("""COMPUTED_VALUE"""),"Кировский")</f>
        <v>Кировский</v>
      </c>
      <c r="E197" s="6" t="str">
        <f>IFERROR(__xludf.DUMMYFUNCTION("""COMPUTED_VALUE"""),"набережная, площадь ДК")</f>
        <v>набережная, площадь ДК</v>
      </c>
      <c r="F197" s="6" t="str">
        <f>IFERROR(__xludf.DUMMYFUNCTION("""COMPUTED_VALUE"""),"Переехал сюда из другого места (откуда? укажите в графе другое), Ростов на Дону")</f>
        <v>Переехал сюда из другого места (откуда? укажите в графе другое), Ростов на Дону</v>
      </c>
      <c r="G197" s="6" t="str">
        <f>IFERROR(__xludf.DUMMYFUNCTION("""COMPUTED_VALUE"""),"Томская Писаница, бульвар Строителей, дача, Сосновый бор")</f>
        <v>Томская Писаница, бульвар Строителей, дача, Сосновый бор</v>
      </c>
      <c r="H197" s="6" t="str">
        <f>IFERROR(__xludf.DUMMYFUNCTION("""COMPUTED_VALUE"""),"площадь Волкова, Сосновый бор, горбатый мост, ул. Весенняя, Томская Писаница")</f>
        <v>площадь Волкова, Сосновый бор, горбатый мост, ул. Весенняя, Томская Писаница</v>
      </c>
      <c r="I197" s="6" t="str">
        <f>IFERROR(__xludf.DUMMYFUNCTION("""COMPUTED_VALUE"""),"Волков, Михайлов, Подгорбунский")</f>
        <v>Волков, Михайлов, Подгорбунский</v>
      </c>
      <c r="J197" s="6" t="str">
        <f>IFERROR(__xludf.DUMMYFUNCTION("""COMPUTED_VALUE"""),"Михайлов")</f>
        <v>Михайлов</v>
      </c>
      <c r="K197" s="6" t="str">
        <f>IFERROR(__xludf.DUMMYFUNCTION("""COMPUTED_VALUE"""),"набережная в Кировском, томская Писаница, сосновый бор")</f>
        <v>набережная в Кировском, томская Писаница, сосновый бор</v>
      </c>
      <c r="L197" s="6" t="str">
        <f>IFERROR(__xludf.DUMMYFUNCTION("""COMPUTED_VALUE"""),"Южный - ни кому не нужный )))")</f>
        <v>Южный - ни кому не нужный )))</v>
      </c>
      <c r="M197" s="6" t="str">
        <f>IFERROR(__xludf.DUMMYFUNCTION("""COMPUTED_VALUE"""),"пос.Кулатский, пятак (3-особый), микрашка")</f>
        <v>пос.Кулатский, пятак (3-особый), микрашка</v>
      </c>
      <c r="N197" s="6" t="str">
        <f>IFERROR(__xludf.DUMMYFUNCTION("""COMPUTED_VALUE"""),"5 раз доступность для людей на инв.колясках!")</f>
        <v>5 раз доступность для людей на инв.колясках!</v>
      </c>
      <c r="O197" s="6" t="str">
        <f>IFERROR(__xludf.DUMMYFUNCTION("""COMPUTED_VALUE"""),"ухабы и прочие неровности на дорогах и тротуарах, круглогодичная, своевременная уборка улиц и скверов")</f>
        <v>ухабы и прочие неровности на дорогах и тротуарах, круглогодичная, своевременная уборка улиц и скверов</v>
      </c>
      <c r="P197" s="6" t="str">
        <f>IFERROR(__xludf.DUMMYFUNCTION("""COMPUTED_VALUE"""),"новостные, официальные группы в ВК, yaplakal.com")</f>
        <v>новостные, официальные группы в ВК, yaplakal.com</v>
      </c>
      <c r="Q197"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97" s="6" t="str">
        <f>IFERROR(__xludf.DUMMYFUNCTION("""COMPUTED_VALUE"""),"день города, 9 мая, НГ")</f>
        <v>день города, 9 мая, НГ</v>
      </c>
      <c r="S197" s="6" t="str">
        <f>IFERROR(__xludf.DUMMYFUNCTION("""COMPUTED_VALUE"""),"Через социальные сети (Какие? Укажите в графе другое), Обращался в редакции городских газет, телевидения, радио, ВК")</f>
        <v>Через социальные сети (Какие? Укажите в графе другое), Обращался в редакции городских газет, телевидения, радио, ВК</v>
      </c>
      <c r="T197" s="6" t="str">
        <f>IFERROR(__xludf.DUMMYFUNCTION("""COMPUTED_VALUE"""),"Угледобыча, Томская Писаница, много частного сектора ))")</f>
        <v>Угледобыча, Томская Писаница, много частного сектора ))</v>
      </c>
      <c r="U197" s="6" t="str">
        <f>IFERROR(__xludf.DUMMYFUNCTION("""COMPUTED_VALUE"""),"ул. Весенняя, ")</f>
        <v>ул. Весенняя, </v>
      </c>
      <c r="V197" s="6" t="str">
        <f>IFERROR(__xludf.DUMMYFUNCTION("""COMPUTED_VALUE"""),"тем, что могли выжить и продолжить свой род в суровых условиях")</f>
        <v>тем, что могли выжить и продолжить свой род в суровых условиях</v>
      </c>
      <c r="W197" s="6" t="str">
        <f>IFERROR(__xludf.DUMMYFUNCTION("""COMPUTED_VALUE"""),"доброжелательность, здоровая недоверчивость, ")</f>
        <v>доброжелательность, здоровая недоверчивость, </v>
      </c>
      <c r="X197" s="6" t="str">
        <f>IFERROR(__xludf.DUMMYFUNCTION("""COMPUTED_VALUE"""),"по ул.Весеней")</f>
        <v>по ул.Весеней</v>
      </c>
      <c r="Y197" s="6" t="str">
        <f>IFERROR(__xludf.DUMMYFUNCTION("""COMPUTED_VALUE"""),"Чемпионат мира по хоккею с мячом 2007")</f>
        <v>Чемпионат мира по хоккею с мячом 2007</v>
      </c>
      <c r="Z197" s="6" t="str">
        <f>IFERROR(__xludf.DUMMYFUNCTION("""COMPUTED_VALUE"""),"27 июля 2019 года международный рок-фестиваль «Герои мирового рока» в честь 25-летия компании ЗАО «Стройсервис».")</f>
        <v>27 июля 2019 года международный рок-фестиваль «Герои мирового рока» в честь 25-летия компании ЗАО «Стройсервис».</v>
      </c>
      <c r="AA197" s="6" t="str">
        <f>IFERROR(__xludf.DUMMYFUNCTION("""COMPUTED_VALUE"""),"трагедия в Зимней вишне")</f>
        <v>трагедия в Зимней вишне</v>
      </c>
      <c r="AB197" s="6" t="str">
        <f>IFERROR(__xludf.DUMMYFUNCTION("""COMPUTED_VALUE"""),"Спортивных, музыкальных")</f>
        <v>Спортивных, музыкальных</v>
      </c>
      <c r="AC197" s="6" t="str">
        <f>IFERROR(__xludf.DUMMYFUNCTION("""COMPUTED_VALUE"""),"спортивны, музыкальны мероприятий. музейных выставок")</f>
        <v>спортивны, музыкальны мероприятий. музейных выставок</v>
      </c>
      <c r="AD197" s="6" t="str">
        <f>IFERROR(__xludf.DUMMYFUNCTION("""COMPUTED_VALUE"""),"консультант по организации доступной среде для маломобильных категорий граждан")</f>
        <v>консультант по организации доступной среде для маломобильных категорий граждан</v>
      </c>
      <c r="AE197" s="6" t="str">
        <f>IFERROR(__xludf.DUMMYFUNCTION("""COMPUTED_VALUE"""),"Мужской")</f>
        <v>Мужской</v>
      </c>
      <c r="AF197" s="6" t="str">
        <f>IFERROR(__xludf.DUMMYFUNCTION("""COMPUTED_VALUE"""),"45-55")</f>
        <v>45-55</v>
      </c>
      <c r="AG197" s="6"/>
      <c r="AH197" s="6"/>
      <c r="AI197" s="6"/>
      <c r="AJ197" s="6"/>
      <c r="AK197" s="6"/>
      <c r="AL197" s="6"/>
      <c r="AM197" s="6"/>
    </row>
    <row r="198">
      <c r="A198" s="4">
        <v>197.0</v>
      </c>
      <c r="B198" s="6" t="str">
        <f>IFERROR(__xludf.DUMMYFUNCTION("""COMPUTED_VALUE"""),"здравоохранение")</f>
        <v>здравоохранение</v>
      </c>
      <c r="C198" s="6" t="str">
        <f>IFERROR(__xludf.DUMMYFUNCTION("""COMPUTED_VALUE"""),"вышивание. огород")</f>
        <v>вышивание. огород</v>
      </c>
      <c r="D198" s="6" t="str">
        <f>IFERROR(__xludf.DUMMYFUNCTION("""COMPUTED_VALUE"""),"Центральный район")</f>
        <v>Центральный район</v>
      </c>
      <c r="E198" s="6" t="str">
        <f>IFERROR(__xludf.DUMMYFUNCTION("""COMPUTED_VALUE"""),"Пионерский бульвар")</f>
        <v>Пионерский бульвар</v>
      </c>
      <c r="F198" s="6" t="str">
        <f>IFERROR(__xludf.DUMMYFUNCTION("""COMPUTED_VALUE"""),"Живу здесь с рождения")</f>
        <v>Живу здесь с рождения</v>
      </c>
      <c r="G198" s="6" t="str">
        <f>IFERROR(__xludf.DUMMYFUNCTION("""COMPUTED_VALUE"""),"В театр, пешие прогулки по центру. торговые центры. сосновый бор.летом дача грибы ягоды- лес. речка...")</f>
        <v>В театр, пешие прогулки по центру. торговые центры. сосновый бор.летом дача грибы ягоды- лес. речка...</v>
      </c>
      <c r="H198" s="6" t="str">
        <f>IFERROR(__xludf.DUMMYFUNCTION("""COMPUTED_VALUE"""),"мой. дом. семья. работа. друзья")</f>
        <v>мой. дом. семья. работа. друзья</v>
      </c>
      <c r="I198" s="6" t="str">
        <f>IFERROR(__xludf.DUMMYFUNCTION("""COMPUTED_VALUE"""),"Летчик Мартынов.космонавт Леонов. врач Подгорбунский.Беляев Атаманов. добыча угля-Волков")</f>
        <v>Летчик Мартынов.космонавт Леонов. врач Подгорбунский.Беляев Атаманов. добыча угля-Волков</v>
      </c>
      <c r="J198" s="6" t="str">
        <f>IFERROR(__xludf.DUMMYFUNCTION("""COMPUTED_VALUE"""),"Врачи.Учителя. Шахтеры.  и все кто активно трудится во благо общества.Сосновый бор. весь Центр. Ленинский.Рудничный.Предзаводской и Южный районы загород")</f>
        <v>Врачи.Учителя. Шахтеры.  и все кто активно трудится во благо общества.Сосновый бор. весь Центр. Ленинский.Рудничный.Предзаводской и Южный районы загород</v>
      </c>
      <c r="K198" s="6" t="str">
        <f>IFERROR(__xludf.DUMMYFUNCTION("""COMPUTED_VALUE"""),"Фонтан на драмтеатре. театр им.Боброва.филармонию. театр молодежи. кукольный театр. ул.Весеннюю. ул.Кирова. Пионерский бульвар. ")</f>
        <v>Фонтан на драмтеатре. театр им.Боброва.филармонию. театр молодежи. кукольный театр. ул.Весеннюю. ул.Кирова. Пионерский бульвар. </v>
      </c>
      <c r="L198" s="6" t="str">
        <f>IFERROR(__xludf.DUMMYFUNCTION("""COMPUTED_VALUE"""),"Мой город (дом)- Моя крепость. ")</f>
        <v>Мой город (дом)- Моя крепость. </v>
      </c>
      <c r="M198" s="6" t="str">
        <f>IFERROR(__xludf.DUMMYFUNCTION("""COMPUTED_VALUE"""),"все коротко и ясно")</f>
        <v>все коротко и ясно</v>
      </c>
      <c r="N198" s="6" t="str">
        <f>IFERROR(__xludf.DUMMYFUNCTION("""COMPUTED_VALUE"""),"хорошие дороги. вежливые люди. много собаководов. чистые больницы.хорошее качество связи и тв")</f>
        <v>хорошие дороги. вежливые люди. много собаководов. чистые больницы.хорошее качество связи и тв</v>
      </c>
      <c r="O198" s="6" t="str">
        <f>IFERROR(__xludf.DUMMYFUNCTION("""COMPUTED_VALUE"""),"помыть дороги. очистить и благоустроить для отдыха сосновый бор.сделать стоянки у больниц и поликлиник. а так же во дворах . привести в порядок остановки. поставить ушедшим медикам (в борьбе с короновирусом)памятник. сделать фонта-Сказка(большой) и парк р"&amp;"ядом со сказочными персонажами (может в районе реки Искитимки). чтоб там были аниматоры. открытый бассейн")</f>
        <v>помыть дороги. очистить и благоустроить для отдыха сосновый бор.сделать стоянки у больниц и поликлиник. а так же во дворах . привести в порядок остановки. поставить ушедшим медикам (в борьбе с короновирусом)памятник. сделать фонта-Сказка(большой) и парк рядом со сказочными персонажами (может в районе реки Искитимки). чтоб там были аниматоры. открытый бассейн</v>
      </c>
      <c r="P198" s="6" t="str">
        <f>IFERROR(__xludf.DUMMYFUNCTION("""COMPUTED_VALUE"""),"Интернет. Вести Кузбасса")</f>
        <v>Интернет. Вести Кузбасса</v>
      </c>
      <c r="Q19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криминальны"&amp;"е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раз"&amp;"ные темы (напишите в разделе Другое свои предложения), психологические медицинские педагогические программы. про достижения детей. открытые образовательные программы. открытые ")</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психологические медицинские педагогические программы. про достижения детей. открытые образовательные программы. открытые </v>
      </c>
      <c r="R198" s="6" t="str">
        <f>IFERROR(__xludf.DUMMYFUNCTION("""COMPUTED_VALUE"""),"день рождение города. все традиционные праздники (новый год . масленица, день шахтеров, детей.тд), ")</f>
        <v>день рождение города. все традиционные праздники (новый год . масленица, день шахтеров, детей.тд), </v>
      </c>
      <c r="S198" s="6" t="str">
        <f>IFERROR(__xludf.DUMMYFUNCTION("""COMPUTED_VALUE"""),"Нет, не приходилось")</f>
        <v>Нет, не приходилось</v>
      </c>
      <c r="T198" s="6" t="str">
        <f>IFERROR(__xludf.DUMMYFUNCTION("""COMPUTED_VALUE"""),"Шахтерский город")</f>
        <v>Шахтерский город</v>
      </c>
      <c r="U198" s="6" t="str">
        <f>IFERROR(__xludf.DUMMYFUNCTION("""COMPUTED_VALUE"""),"Площадь Волкова")</f>
        <v>Площадь Волкова</v>
      </c>
      <c r="V198" s="6" t="str">
        <f>IFERROR(__xludf.DUMMYFUNCTION("""COMPUTED_VALUE"""),"Работали и вкладывали свои силы для будущего своих детей, по всем направлениям")</f>
        <v>Работали и вкладывали свои силы для будущего своих детей, по всем направлениям</v>
      </c>
      <c r="W198" s="6" t="str">
        <f>IFERROR(__xludf.DUMMYFUNCTION("""COMPUTED_VALUE"""),"Крепкие, сильные духом, воинственные, стойкие, ответственные. терпеливые.")</f>
        <v>Крепкие, сильные духом, воинственные, стойкие, ответственные. терпеливые.</v>
      </c>
      <c r="X198" s="6" t="str">
        <f>IFERROR(__xludf.DUMMYFUNCTION("""COMPUTED_VALUE"""),"Вечерний центр Кемерово, театры, набережная ранним утром (когда еще мало авто)")</f>
        <v>Вечерний центр Кемерово, театры, набережная ранним утром (когда еще мало авто)</v>
      </c>
      <c r="Y198" s="6" t="str">
        <f>IFERROR(__xludf.DUMMYFUNCTION("""COMPUTED_VALUE"""),"не помню")</f>
        <v>не помню</v>
      </c>
      <c r="Z198" s="6" t="str">
        <f>IFERROR(__xludf.DUMMYFUNCTION("""COMPUTED_VALUE"""),"сделали дороги")</f>
        <v>сделали дороги</v>
      </c>
      <c r="AA198" s="6" t="str">
        <f>IFERROR(__xludf.DUMMYFUNCTION("""COMPUTED_VALUE"""),"короновирус")</f>
        <v>короновирус</v>
      </c>
      <c r="AB198" s="6" t="str">
        <f>IFERROR(__xludf.DUMMYFUNCTION("""COMPUTED_VALUE"""),"хоровых, театральных, танцевальных, рукодельных, ")</f>
        <v>хоровых, театральных, танцевальных, рукодельных, </v>
      </c>
      <c r="AC198" s="6" t="str">
        <f>IFERROR(__xludf.DUMMYFUNCTION("""COMPUTED_VALUE"""),"открытые театральные показы на открытых площадях города, доступных для всех, выставки картин, фестивали, конкурсы с подарками(подарки не для сватьев и братьев, а для обычных прохожих) для участия всех (Открытые)")</f>
        <v>открытые театральные показы на открытых площадях города, доступных для всех, выставки картин, фестивали, конкурсы с подарками(подарки не для сватьев и братьев, а для обычных прохожих) для участия всех (Открытые)</v>
      </c>
      <c r="AD198" s="6" t="str">
        <f>IFERROR(__xludf.DUMMYFUNCTION("""COMPUTED_VALUE"""),"голосование за новые улучшения во всех проектах")</f>
        <v>голосование за новые улучшения во всех проектах</v>
      </c>
      <c r="AE198" s="6" t="str">
        <f>IFERROR(__xludf.DUMMYFUNCTION("""COMPUTED_VALUE"""),"Женский")</f>
        <v>Женский</v>
      </c>
      <c r="AF198" s="6" t="str">
        <f>IFERROR(__xludf.DUMMYFUNCTION("""COMPUTED_VALUE"""),"45-55")</f>
        <v>45-55</v>
      </c>
      <c r="AG198" s="6"/>
      <c r="AH198" s="6"/>
      <c r="AI198" s="6"/>
      <c r="AJ198" s="6"/>
      <c r="AK198" s="6"/>
      <c r="AL198" s="6"/>
      <c r="AM198" s="6"/>
    </row>
    <row r="199">
      <c r="A199" s="4">
        <v>198.0</v>
      </c>
      <c r="B199" s="6" t="str">
        <f>IFERROR(__xludf.DUMMYFUNCTION("""COMPUTED_VALUE"""),"Банк")</f>
        <v>Банк</v>
      </c>
      <c r="C199" s="6" t="str">
        <f>IFERROR(__xludf.DUMMYFUNCTION("""COMPUTED_VALUE"""),"Сноуборд, дача")</f>
        <v>Сноуборд, дача</v>
      </c>
      <c r="D199" s="6" t="str">
        <f>IFERROR(__xludf.DUMMYFUNCTION("""COMPUTED_VALUE"""),"Лесная поляна. Называю «поляна»")</f>
        <v>Лесная поляна. Называю «поляна»</v>
      </c>
      <c r="E199" s="6" t="str">
        <f>IFERROR(__xludf.DUMMYFUNCTION("""COMPUTED_VALUE"""),"Парк лесной поляны, таежная заимка, открытый доступный стадион и много тренажеров на улице")</f>
        <v>Парк лесной поляны, таежная заимка, открытый доступный стадион и много тренажеров на улице</v>
      </c>
      <c r="F199" s="6" t="str">
        <f>IFERROR(__xludf.DUMMYFUNCTION("""COMPUTED_VALUE"""),"Живу здесь с рождения")</f>
        <v>Живу здесь с рождения</v>
      </c>
      <c r="G199" s="6" t="str">
        <f>IFERROR(__xludf.DUMMYFUNCTION("""COMPUTED_VALUE"""),"Гуляем по Лесной поляне, ездим в центр города, на страусиное ранчо, на озера поблизости, картинг центр адреналин, бор.")</f>
        <v>Гуляем по Лесной поляне, ездим в центр города, на страусиное ранчо, на озера поблизости, картинг центр адреналин, бор.</v>
      </c>
      <c r="H199" s="6" t="str">
        <f>IFERROR(__xludf.DUMMYFUNCTION("""COMPUTED_VALUE"""),"Уголь, шахтер, кедр, сибирь, шерегеш")</f>
        <v>Уголь, шахтер, кедр, сибирь, шерегеш</v>
      </c>
      <c r="I199" s="6" t="str">
        <f>IFERROR(__xludf.DUMMYFUNCTION("""COMPUTED_VALUE"""),"Волков")</f>
        <v>Волков</v>
      </c>
      <c r="J199" s="6" t="str">
        <f>IFERROR(__xludf.DUMMYFUNCTION("""COMPUTED_VALUE"""),"Тулеев, михайлов, федяев, цивилев")</f>
        <v>Тулеев, михайлов, федяев, цивилев</v>
      </c>
      <c r="K199" s="6" t="str">
        <f>IFERROR(__xludf.DUMMYFUNCTION("""COMPUTED_VALUE"""),"Лесную поляну, обрыв в бору в журавлях, памятник шахтерам, набережную, томскую писаницу.")</f>
        <v>Лесную поляну, обрыв в бору в журавлях, памятник шахтерам, набережную, томскую писаницу.</v>
      </c>
      <c r="L199" s="6" t="str">
        <f>IFERROR(__xludf.DUMMYFUNCTION("""COMPUTED_VALUE"""),"-")</f>
        <v>-</v>
      </c>
      <c r="M199" s="6" t="str">
        <f>IFERROR(__xludf.DUMMYFUNCTION("""COMPUTED_VALUE"""),"-")</f>
        <v>-</v>
      </c>
      <c r="N199" s="6" t="str">
        <f>IFERROR(__xludf.DUMMYFUNCTION("""COMPUTED_VALUE"""),"Свежий воздух, возможность найти высокооплачиваемую работу, условия для воспитания детей( сады, школы, занятия для детей), развлечения (аквапарк, зоопарк, парк аттракционов), досуг для взрослых (рестораны, бары, пивоварни)")</f>
        <v>Свежий воздух, возможность найти высокооплачиваемую работу, условия для воспитания детей( сады, школы, занятия для детей), развлечения (аквапарк, зоопарк, парк аттракционов), досуг для взрослых (рестораны, бары, пивоварни)</v>
      </c>
      <c r="O199" s="6" t="str">
        <f>IFERROR(__xludf.DUMMYFUNCTION("""COMPUTED_VALUE"""),"Добавить современного стиля в жилые дома, засадить по возможности новыми красивыми деревьями, а не подпиливать старые толстенные тополя, ")</f>
        <v>Добавить современного стиля в жилые дома, засадить по возможности новыми красивыми деревьями, а не подпиливать старые толстенные тополя, </v>
      </c>
      <c r="P199" s="6" t="str">
        <f>IFERROR(__xludf.DUMMYFUNCTION("""COMPUTED_VALUE"""),"А 42 афиша 42")</f>
        <v>А 42 афиша 42</v>
      </c>
      <c r="Q199" s="6" t="str">
        <f>IFERROR(__xludf.DUMMYFUNCTION("""COMPUTED_VALUE"""),"где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99" s="6" t="str">
        <f>IFERROR(__xludf.DUMMYFUNCTION("""COMPUTED_VALUE"""),"День шахтера, день города")</f>
        <v>День шахтера, день города</v>
      </c>
      <c r="S199" s="6" t="str">
        <f>IFERROR(__xludf.DUMMYFUNCTION("""COMPUTED_VALUE"""),"Нет, не приходилось")</f>
        <v>Нет, не приходилось</v>
      </c>
      <c r="T199" s="6" t="str">
        <f>IFERROR(__xludf.DUMMYFUNCTION("""COMPUTED_VALUE"""),"Углем")</f>
        <v>Углем</v>
      </c>
      <c r="U199" s="6" t="str">
        <f>IFERROR(__xludf.DUMMYFUNCTION("""COMPUTED_VALUE"""),"Набережная и весенняя")</f>
        <v>Набережная и весенняя</v>
      </c>
      <c r="V199" s="6" t="str">
        <f>IFERROR(__xludf.DUMMYFUNCTION("""COMPUTED_VALUE"""),"Да")</f>
        <v>Да</v>
      </c>
      <c r="W199" s="6" t="str">
        <f>IFERROR(__xludf.DUMMYFUNCTION("""COMPUTED_VALUE"""),"Отзывчивые")</f>
        <v>Отзывчивые</v>
      </c>
      <c r="X199" s="6" t="str">
        <f>IFERROR(__xludf.DUMMYFUNCTION("""COMPUTED_VALUE"""),"По набережной через мост на крест и памятник шахтеров")</f>
        <v>По набережной через мост на крест и памятник шахтеров</v>
      </c>
      <c r="Y199" s="6" t="str">
        <f>IFERROR(__xludf.DUMMYFUNCTION("""COMPUTED_VALUE"""),"Да")</f>
        <v>Да</v>
      </c>
      <c r="Z199" s="6" t="str">
        <f>IFERROR(__xludf.DUMMYFUNCTION("""COMPUTED_VALUE"""),"Начали строить спортивные объекты и аквапарк")</f>
        <v>Начали строить спортивные объекты и аквапарк</v>
      </c>
      <c r="AA199" s="6" t="str">
        <f>IFERROR(__xludf.DUMMYFUNCTION("""COMPUTED_VALUE"""),"Не")</f>
        <v>Не</v>
      </c>
      <c r="AB199" s="6" t="str">
        <f>IFERROR(__xludf.DUMMYFUNCTION("""COMPUTED_VALUE"""),"Не")</f>
        <v>Не</v>
      </c>
      <c r="AC199" s="6" t="str">
        <f>IFERROR(__xludf.DUMMYFUNCTION("""COMPUTED_VALUE"""),"Концерты как на день рождения Стройсервиса")</f>
        <v>Концерты как на день рождения Стройсервиса</v>
      </c>
      <c r="AD199" s="6" t="str">
        <f>IFERROR(__xludf.DUMMYFUNCTION("""COMPUTED_VALUE"""),"Да в какой удобно")</f>
        <v>Да в какой удобно</v>
      </c>
      <c r="AE199" s="6" t="str">
        <f>IFERROR(__xludf.DUMMYFUNCTION("""COMPUTED_VALUE"""),"Мужской")</f>
        <v>Мужской</v>
      </c>
      <c r="AF199" s="6" t="str">
        <f>IFERROR(__xludf.DUMMYFUNCTION("""COMPUTED_VALUE"""),"30-44")</f>
        <v>30-44</v>
      </c>
      <c r="AG199" s="6"/>
      <c r="AH199" s="6"/>
      <c r="AI199" s="6"/>
      <c r="AJ199" s="6"/>
      <c r="AK199" s="6"/>
      <c r="AL199" s="6"/>
      <c r="AM199" s="6"/>
    </row>
    <row r="200">
      <c r="A200" s="4">
        <v>199.0</v>
      </c>
      <c r="B200" s="6" t="str">
        <f>IFERROR(__xludf.DUMMYFUNCTION("""COMPUTED_VALUE"""),"Учусь в техникуме")</f>
        <v>Учусь в техникуме</v>
      </c>
      <c r="C200" s="6" t="str">
        <f>IFERROR(__xludf.DUMMYFUNCTION("""COMPUTED_VALUE"""),"Да, есть, стрельба из лука, растяжка, рисование")</f>
        <v>Да, есть, стрельба из лука, растяжка, рисование</v>
      </c>
      <c r="D200" s="6" t="str">
        <f>IFERROR(__xludf.DUMMYFUNCTION("""COMPUTED_VALUE"""),"Заводский (ФПК)")</f>
        <v>Заводский (ФПК)</v>
      </c>
      <c r="E200" s="6" t="str">
        <f>IFERROR(__xludf.DUMMYFUNCTION("""COMPUTED_VALUE"""),"Вокзал/Автовокзал, Гринвич, Аэропорт")</f>
        <v>Вокзал/Автовокзал, Гринвич, Аэропорт</v>
      </c>
      <c r="F200" s="6" t="str">
        <f>IFERROR(__xludf.DUMMYFUNCTION("""COMPUTED_VALUE"""),"Родился здесь,но сейчас живу в другом городе")</f>
        <v>Родился здесь,но сейчас живу в другом городе</v>
      </c>
      <c r="G200" s="6" t="str">
        <f>IFERROR(__xludf.DUMMYFUNCTION("""COMPUTED_VALUE"""),"Гринвич, Лапландия, Космос, просто прогуляться, Набережная, театр Молодёжи, пиццерии, другие кафе")</f>
        <v>Гринвич, Лапландия, Космос, просто прогуляться, Набережная, театр Молодёжи, пиццерии, другие кафе</v>
      </c>
      <c r="H200" s="6" t="str">
        <f>IFERROR(__xludf.DUMMYFUNCTION("""COMPUTED_VALUE"""),"Родной, мобильный, маленький, свободный, красивый")</f>
        <v>Родной, мобильный, маленький, свободный, красивый</v>
      </c>
      <c r="I200" s="6" t="str">
        <f>IFERROR(__xludf.DUMMYFUNCTION("""COMPUTED_VALUE"""),"Михайло Волков, Аман Тулеев... Ремезов, если его можно считать")</f>
        <v>Михайло Волков, Аман Тулеев... Ремезов, если его можно считать</v>
      </c>
      <c r="J200" s="6" t="str">
        <f>IFERROR(__xludf.DUMMYFUNCTION("""COMPUTED_VALUE"""),"Николай Степанов, как предприниматель, продвигающий спорт в Кузбассе, Сергей Цивилёв (считаю его достаточно положительным персонажем истории, т.к. строит интересные объекты в городе)")</f>
        <v>Николай Степанов, как предприниматель, продвигающий спорт в Кузбассе, Сергей Цивилёв (считаю его достаточно положительным персонажем истории, т.к. строит интересные объекты в городе)</v>
      </c>
      <c r="K200" s="6" t="str">
        <f>IFERROR(__xludf.DUMMYFUNCTION("""COMPUTED_VALUE"""),"Музей на красной горке, Юбилейный возможно, Набережную (в целом центр города), краеведческий музей, мельком взглянуть на кадетское училище, Лесную Поляну, ")</f>
        <v>Музей на красной горке, Юбилейный возможно, Набережную (в целом центр города), краеведческий музей, мельком взглянуть на кадетское училище, Лесную Поляну, </v>
      </c>
      <c r="L200" s="6" t="str">
        <f>IFERROR(__xludf.DUMMYFUNCTION("""COMPUTED_VALUE"""),"Таковых не знаю")</f>
        <v>Таковых не знаю</v>
      </c>
      <c r="M200" s="6" t="str">
        <f>IFERROR(__xludf.DUMMYFUNCTION("""COMPUTED_VALUE"""),"Из Сибирского сленга знаю только мультифоры")</f>
        <v>Из Сибирского сленга знаю только мультифоры</v>
      </c>
      <c r="N200" s="6" t="str">
        <f>IFERROR(__xludf.DUMMYFUNCTION("""COMPUTED_VALUE"""),"Мобильность (пешеходные зоны, транспорт, дороги) небольшой размер, ухоженность, интересные места, развитая инфраструктура")</f>
        <v>Мобильность (пешеходные зоны, транспорт, дороги) небольшой размер, ухоженность, интересные места, развитая инфраструктура</v>
      </c>
      <c r="O200" s="6" t="str">
        <f>IFERROR(__xludf.DUMMYFUNCTION("""COMPUTED_VALUE"""),"Убрать частные сектора из самого города (к примеру на Гагарина). Может застроить вместо них подобие леснополянских коттеджей; облагородить территорию зеленью, в «малоизвестных» или в «малопроходимых» районах наладить пешеходные зоны, ибо чаще всего там пр"&amp;"осто голая земля. Пора начать ухаживать за домами: красить, чистить, оформлять, поддерживать. Убрать позорные «лисьи тропы», либо насадить туда кустарников, либо сделать комфортные тропы. Добавить больше доступных и надёжных контейнеров для раздельного сб"&amp;"ора мусора в каждый двор. ")</f>
        <v>Убрать частные сектора из самого города (к примеру на Гагарина). Может застроить вместо них подобие леснополянских коттеджей; облагородить территорию зеленью, в «малоизвестных» или в «малопроходимых» районах наладить пешеходные зоны, ибо чаще всего там просто голая земля. Пора начать ухаживать за домами: красить, чистить, оформлять, поддерживать. Убрать позорные «лисьи тропы», либо насадить туда кустарников, либо сделать комфортные тропы. Добавить больше доступных и надёжных контейнеров для раздельного сбора мусора в каждый двор. </v>
      </c>
      <c r="P200" s="6" t="str">
        <f>IFERROR(__xludf.DUMMYFUNCTION("""COMPUTED_VALUE"""),"Соц.сети, новости")</f>
        <v>Соц.сети, новости</v>
      </c>
      <c r="Q200"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крим"&amp;"инальные новости (происшествия/преступления),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200" s="6" t="str">
        <f>IFERROR(__xludf.DUMMYFUNCTION("""COMPUTED_VALUE"""),"Как для других не знаю, но для меня важен день города")</f>
        <v>Как для других не знаю, но для меня важен день города</v>
      </c>
      <c r="S200" s="6" t="str">
        <f>IFERROR(__xludf.DUMMYFUNCTION("""COMPUTED_VALUE"""),"Только помогать в этом как волонтёр")</f>
        <v>Только помогать в этом как волонтёр</v>
      </c>
      <c r="T200" s="6" t="str">
        <f>IFERROR(__xludf.DUMMYFUNCTION("""COMPUTED_VALUE"""),"Кемерово малоизвестный город, однако он красивый, удобный, доступный... Уникальный, разве что хороший транспорт, его доступность и Лесная поляна ")</f>
        <v>Кемерово малоизвестный город, однако он красивый, удобный, доступный... Уникальный, разве что хороший транспорт, его доступность и Лесная поляна </v>
      </c>
      <c r="U200" s="6" t="str">
        <f>IFERROR(__xludf.DUMMYFUNCTION("""COMPUTED_VALUE"""),"Центр города, со всеми старыми домами, культурными центрами ")</f>
        <v>Центр города, со всеми старыми домами, культурными центрами </v>
      </c>
      <c r="V200" s="6" t="str">
        <f>IFERROR(__xludf.DUMMYFUNCTION("""COMPUTED_VALUE"""),"-")</f>
        <v>-</v>
      </c>
      <c r="W200" s="6" t="str">
        <f>IFERROR(__xludf.DUMMYFUNCTION("""COMPUTED_VALUE"""),"-")</f>
        <v>-</v>
      </c>
      <c r="X200" s="6" t="str">
        <f>IFERROR(__xludf.DUMMYFUNCTION("""COMPUTED_VALUE"""),"Если начинать от вокзала, то обязательно в сторону Парка Ангелов, дальше к ТЦ Я и по центру, дальше можно приехать Второй Променад, к Юбилейному, пройтись до Лапландии и съездить на Лесную Поляну")</f>
        <v>Если начинать от вокзала, то обязательно в сторону Парка Ангелов, дальше к ТЦ Я и по центру, дальше можно приехать Второй Променад, к Юбилейному, пройтись до Лапландии и съездить на Лесную Поляну</v>
      </c>
      <c r="Y200" s="6" t="str">
        <f>IFERROR(__xludf.DUMMYFUNCTION("""COMPUTED_VALUE"""),"История с Зимней Вишней, перемена губернатора... а так, живу я на свете не так долго, чтобы ответить на данный вопросы")</f>
        <v>История с Зимней Вишней, перемена губернатора... а так, живу я на свете не так долго, чтобы ответить на данный вопросы</v>
      </c>
      <c r="Z200" s="6" t="str">
        <f>IFERROR(__xludf.DUMMYFUNCTION("""COMPUTED_VALUE"""),"-")</f>
        <v>-</v>
      </c>
      <c r="AA200" s="6" t="str">
        <f>IFERROR(__xludf.DUMMYFUNCTION("""COMPUTED_VALUE"""),"Зимняя Вишня сгорела более двух лет назад, но тем не менее, так же спор по поводу Лазурного")</f>
        <v>Зимняя Вишня сгорела более двух лет назад, но тем не менее, так же спор по поводу Лазурного</v>
      </c>
      <c r="AB200" s="6" t="str">
        <f>IFERROR(__xludf.DUMMYFUNCTION("""COMPUTED_VALUE"""),"Очень сильно не хватает вегетарианских/веганских заведений, продуктов, магазинов; не хватает центров по разделению мусора (!!!)")</f>
        <v>Очень сильно не хватает вегетарианских/веганских заведений, продуктов, магазинов; не хватает центров по разделению мусора (!!!)</v>
      </c>
      <c r="AC200" s="6" t="str">
        <f>IFERROR(__xludf.DUMMYFUNCTION("""COMPUTED_VALUE"""),"Больше спортивного, масштабного, вероятно... так не знаю, мне интересно живётся в Кемерове")</f>
        <v>Больше спортивного, масштабного, вероятно... так не знаю, мне интересно живётся в Кемерове</v>
      </c>
      <c r="AD200" s="6" t="str">
        <f>IFERROR(__xludf.DUMMYFUNCTION("""COMPUTED_VALUE"""),"Как волонтёр, вероятно")</f>
        <v>Как волонтёр, вероятно</v>
      </c>
      <c r="AE200" s="6" t="str">
        <f>IFERROR(__xludf.DUMMYFUNCTION("""COMPUTED_VALUE"""),"Женский")</f>
        <v>Женский</v>
      </c>
      <c r="AF200" s="6" t="str">
        <f>IFERROR(__xludf.DUMMYFUNCTION("""COMPUTED_VALUE"""),"18-29")</f>
        <v>18-29</v>
      </c>
      <c r="AG200" s="6"/>
      <c r="AH200" s="6"/>
      <c r="AI200" s="6"/>
      <c r="AJ200" s="6"/>
      <c r="AK200" s="6"/>
      <c r="AL200" s="6"/>
      <c r="AM200" s="6"/>
    </row>
    <row r="201">
      <c r="A201" s="4">
        <v>200.0</v>
      </c>
      <c r="B201" s="6" t="str">
        <f>IFERROR(__xludf.DUMMYFUNCTION("""COMPUTED_VALUE"""),"Фотограф ")</f>
        <v>Фотограф </v>
      </c>
      <c r="C201" s="6" t="str">
        <f>IFERROR(__xludf.DUMMYFUNCTION("""COMPUTED_VALUE"""),"Озеленение, ботаника")</f>
        <v>Озеленение, ботаника</v>
      </c>
      <c r="D201" s="6" t="str">
        <f>IFERROR(__xludf.DUMMYFUNCTION("""COMPUTED_VALUE"""),"Центральный ")</f>
        <v>Центральный </v>
      </c>
      <c r="E201" s="6" t="str">
        <f>IFERROR(__xludf.DUMMYFUNCTION("""COMPUTED_VALUE"""),"Советский, набережная")</f>
        <v>Советский, набережная</v>
      </c>
      <c r="F201" s="6" t="str">
        <f>IFERROR(__xludf.DUMMYFUNCTION("""COMPUTED_VALUE"""),"Живу здесь с рождения")</f>
        <v>Живу здесь с рождения</v>
      </c>
      <c r="G201" s="6" t="str">
        <f>IFERROR(__xludf.DUMMYFUNCTION("""COMPUTED_VALUE"""),"Комсомольский парк, Антошка, бор")</f>
        <v>Комсомольский парк, Антошка, бор</v>
      </c>
      <c r="H201" s="6" t="str">
        <f>IFERROR(__xludf.DUMMYFUNCTION("""COMPUTED_VALUE"""),"Простой, зелёный, удобный, семейный, сибирский")</f>
        <v>Простой, зелёный, удобный, семейный, сибирский</v>
      </c>
      <c r="I201" s="6" t="str">
        <f>IFERROR(__xludf.DUMMYFUNCTION("""COMPUTED_VALUE"""),"Михайло Волков")</f>
        <v>Михайло Волков</v>
      </c>
      <c r="J201" s="6" t="str">
        <f>IFERROR(__xludf.DUMMYFUNCTION("""COMPUTED_VALUE"""),"Мэр Михайлов")</f>
        <v>Мэр Михайлов</v>
      </c>
      <c r="K201" s="6" t="str">
        <f>IFERROR(__xludf.DUMMYFUNCTION("""COMPUTED_VALUE"""),"Сосновый бор, драмтеатр")</f>
        <v>Сосновый бор, драмтеатр</v>
      </c>
      <c r="L201" s="6" t="str">
        <f>IFERROR(__xludf.DUMMYFUNCTION("""COMPUTED_VALUE"""),"Не знаю таких")</f>
        <v>Не знаю таких</v>
      </c>
      <c r="M201" s="6" t="str">
        <f>IFERROR(__xludf.DUMMYFUNCTION("""COMPUTED_VALUE"""),"Нет")</f>
        <v>Нет</v>
      </c>
      <c r="N201" s="6" t="str">
        <f>IFERROR(__xludf.DUMMYFUNCTION("""COMPUTED_VALUE"""),"Чистота, удобство, экология хорошая, мобильность передвижения, доступность путешествий")</f>
        <v>Чистота, удобство, экология хорошая, мобильность передвижения, доступность путешествий</v>
      </c>
      <c r="O201" s="6" t="str">
        <f>IFERROR(__xludf.DUMMYFUNCTION("""COMPUTED_VALUE"""),"Тротуары починить и дороги, добавить озеленения")</f>
        <v>Тротуары починить и дороги, добавить озеленения</v>
      </c>
      <c r="P201" s="6" t="str">
        <f>IFERROR(__xludf.DUMMYFUNCTION("""COMPUTED_VALUE"""),"Афиша, инстаграм")</f>
        <v>Афиша, инстаграм</v>
      </c>
      <c r="Q201" s="6" t="str">
        <f>IFERROR(__xludf.DUMMYFUNCTION("""COMPUTED_VALUE"""),"интервью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f>
        <v>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v>
      </c>
      <c r="R201" s="6" t="str">
        <f>IFERROR(__xludf.DUMMYFUNCTION("""COMPUTED_VALUE"""),"День города, фестивали, концерты")</f>
        <v>День города, фестивали, концерты</v>
      </c>
      <c r="S201"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201" s="6" t="str">
        <f>IFERROR(__xludf.DUMMYFUNCTION("""COMPUTED_VALUE"""),"Если бы было достаточно мест работы и хорошая экология, это отличный город для жизни и создания семьи. Его уникальность в компактности, доступности чистой природы, не перенаселенности")</f>
        <v>Если бы было достаточно мест работы и хорошая экология, это отличный город для жизни и создания семьи. Его уникальность в компактности, доступности чистой природы, не перенаселенности</v>
      </c>
      <c r="U201" s="6" t="str">
        <f>IFERROR(__xludf.DUMMYFUNCTION("""COMPUTED_VALUE"""),"Драмтеатр")</f>
        <v>Драмтеатр</v>
      </c>
      <c r="V201" s="6" t="str">
        <f>IFERROR(__xludf.DUMMYFUNCTION("""COMPUTED_VALUE"""),"Не знаю ")</f>
        <v>Не знаю </v>
      </c>
      <c r="W201" s="6" t="str">
        <f>IFERROR(__xludf.DUMMYFUNCTION("""COMPUTED_VALUE"""),"Открые, весёлые, радушные")</f>
        <v>Открые, весёлые, радушные</v>
      </c>
      <c r="X201" s="6" t="str">
        <f>IFERROR(__xludf.DUMMYFUNCTION("""COMPUTED_VALUE"""),"Центр, лесная поляна ")</f>
        <v>Центр, лесная поляна </v>
      </c>
      <c r="Y201" s="6" t="str">
        <f>IFERROR(__xludf.DUMMYFUNCTION("""COMPUTED_VALUE"""),"Не могу сказать ")</f>
        <v>Не могу сказать </v>
      </c>
      <c r="Z201" s="6" t="str">
        <f>IFERROR(__xludf.DUMMYFUNCTION("""COMPUTED_VALUE"""),"Никаких")</f>
        <v>Никаких</v>
      </c>
      <c r="AA201" s="6" t="str">
        <f>IFERROR(__xludf.DUMMYFUNCTION("""COMPUTED_VALUE"""),"Зимняя вишня, протесты")</f>
        <v>Зимняя вишня, протесты</v>
      </c>
      <c r="AB201" s="6" t="str">
        <f>IFERROR(__xludf.DUMMYFUNCTION("""COMPUTED_VALUE"""),"Про Материнство, здоровый образ жизни, спорт на открытом воздухе ")</f>
        <v>Про Материнство, здоровый образ жизни, спорт на открытом воздухе </v>
      </c>
      <c r="AC201" s="6" t="str">
        <f>IFERROR(__xludf.DUMMYFUNCTION("""COMPUTED_VALUE"""),"Общение, фестивали, тематические праздники")</f>
        <v>Общение, фестивали, тематические праздники</v>
      </c>
      <c r="AD201" s="6" t="str">
        <f>IFERROR(__xludf.DUMMYFUNCTION("""COMPUTED_VALUE"""),"Помогать в развитии ")</f>
        <v>Помогать в развитии </v>
      </c>
      <c r="AE201" s="6" t="str">
        <f>IFERROR(__xludf.DUMMYFUNCTION("""COMPUTED_VALUE"""),"Женский")</f>
        <v>Женский</v>
      </c>
      <c r="AF201" s="6" t="str">
        <f>IFERROR(__xludf.DUMMYFUNCTION("""COMPUTED_VALUE"""),"30-44")</f>
        <v>30-44</v>
      </c>
      <c r="AG201" s="6"/>
      <c r="AH201" s="6"/>
      <c r="AI201" s="6"/>
      <c r="AJ201" s="6"/>
      <c r="AK201" s="6"/>
      <c r="AL201" s="6"/>
      <c r="AM201" s="6"/>
    </row>
    <row r="202">
      <c r="A202" s="4">
        <v>201.0</v>
      </c>
      <c r="B202" s="6" t="str">
        <f>IFERROR(__xludf.DUMMYFUNCTION("""COMPUTED_VALUE"""),"Организатор мероприятий")</f>
        <v>Организатор мероприятий</v>
      </c>
      <c r="C202" s="6" t="str">
        <f>IFERROR(__xludf.DUMMYFUNCTION("""COMPUTED_VALUE"""),"Спорт")</f>
        <v>Спорт</v>
      </c>
      <c r="D202" s="6" t="str">
        <f>IFERROR(__xludf.DUMMYFUNCTION("""COMPUTED_VALUE"""),"пр. Московский")</f>
        <v>пр. Московский</v>
      </c>
      <c r="E202" s="6" t="str">
        <f>IFERROR(__xludf.DUMMYFUNCTION("""COMPUTED_VALUE"""),"Будущая Набережная, озеро Красное, Кадетский корпус")</f>
        <v>Будущая Набережная, озеро Красное, Кадетский корпус</v>
      </c>
      <c r="F202" s="6" t="str">
        <f>IFERROR(__xludf.DUMMYFUNCTION("""COMPUTED_VALUE"""),"Переехал сюда из другого места (откуда? укажите в графе другое), Омска")</f>
        <v>Переехал сюда из другого места (откуда? укажите в графе другое), Омска</v>
      </c>
      <c r="G202" s="6" t="str">
        <f>IFERROR(__xludf.DUMMYFUNCTION("""COMPUTED_VALUE"""),"Набережная Томи, Центр, Кедровый бор, Сухово,")</f>
        <v>Набережная Томи, Центр, Кедровый бор, Сухово,</v>
      </c>
      <c r="H202" s="6" t="str">
        <f>IFERROR(__xludf.DUMMYFUNCTION("""COMPUTED_VALUE"""),"Небольшой, душный, пыльный, сибирский, ")</f>
        <v>Небольшой, душный, пыльный, сибирский, </v>
      </c>
      <c r="I202" s="6" t="str">
        <f>IFERROR(__xludf.DUMMYFUNCTION("""COMPUTED_VALUE"""),"Марковцев, ")</f>
        <v>Марковцев, </v>
      </c>
      <c r="J202" s="6" t="str">
        <f>IFERROR(__xludf.DUMMYFUNCTION("""COMPUTED_VALUE"""),"Гришковец")</f>
        <v>Гришковец</v>
      </c>
      <c r="K202" s="6" t="str">
        <f>IFERROR(__xludf.DUMMYFUNCTION("""COMPUTED_VALUE"""),"Набережная, Красная горка, ")</f>
        <v>Набережная, Красная горка, </v>
      </c>
      <c r="L202" s="6" t="str">
        <f>IFERROR(__xludf.DUMMYFUNCTION("""COMPUTED_VALUE"""),"Сибиряками рождаются")</f>
        <v>Сибиряками рождаются</v>
      </c>
      <c r="M202" s="6" t="str">
        <f>IFERROR(__xludf.DUMMYFUNCTION("""COMPUTED_VALUE"""),"Файл-мультифора")</f>
        <v>Файл-мультифора</v>
      </c>
      <c r="N202" s="6" t="str">
        <f>IFERROR(__xludf.DUMMYFUNCTION("""COMPUTED_VALUE"""),"Свежий воздух, озеленение, искусственные водоемы, образованность населения, ")</f>
        <v>Свежий воздух, озеленение, искусственные водоемы, образованность населения, </v>
      </c>
      <c r="O202" s="6" t="str">
        <f>IFERROR(__xludf.DUMMYFUNCTION("""COMPUTED_VALUE"""),"Озеленить, убрать мусор, добавить единый стиль домам")</f>
        <v>Озеленить, убрать мусор, добавить единый стиль домам</v>
      </c>
      <c r="P202" s="6" t="str">
        <f>IFERROR(__xludf.DUMMYFUNCTION("""COMPUTED_VALUE"""),"Профессиональная ориентация")</f>
        <v>Профессиональная ориентация</v>
      </c>
      <c r="Q20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бизнес-новости (средний чек/рекламные акции"&amp;"/запуск новых предприятий),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202" s="6" t="str">
        <f>IFERROR(__xludf.DUMMYFUNCTION("""COMPUTED_VALUE"""),"День Победы, День города")</f>
        <v>День Победы, День города</v>
      </c>
      <c r="S202"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Инстаграмм")</f>
        <v>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Инстаграмм</v>
      </c>
      <c r="T202" s="6" t="str">
        <f>IFERROR(__xludf.DUMMYFUNCTION("""COMPUTED_VALUE"""),"Уникальности нет, известен в последнее время, к сожалению, трагичными событиями")</f>
        <v>Уникальности нет, известен в последнее время, к сожалению, трагичными событиями</v>
      </c>
      <c r="U202" s="6" t="str">
        <f>IFERROR(__xludf.DUMMYFUNCTION("""COMPUTED_VALUE"""),"Набережная реки в центре")</f>
        <v>Набережная реки в центре</v>
      </c>
      <c r="V202" s="6" t="str">
        <f>IFERROR(__xludf.DUMMYFUNCTION("""COMPUTED_VALUE"""),"Не имею такой информации,к сожалению")</f>
        <v>Не имею такой информации,к сожалению</v>
      </c>
      <c r="W202" s="6" t="str">
        <f>IFERROR(__xludf.DUMMYFUNCTION("""COMPUTED_VALUE"""),"хмурость, интерес к событиям, ")</f>
        <v>хмурость, интерес к событиям, </v>
      </c>
      <c r="X202" s="6" t="str">
        <f>IFERROR(__xludf.DUMMYFUNCTION("""COMPUTED_VALUE"""),"Набережная -центр, и Новая набережная-надеюсь)")</f>
        <v>Набережная -центр, и Новая набережная-надеюсь)</v>
      </c>
      <c r="Y202" s="6" t="str">
        <f>IFERROR(__xludf.DUMMYFUNCTION("""COMPUTED_VALUE"""),"Чемпионат по хоккею с мячом")</f>
        <v>Чемпионат по хоккею с мячом</v>
      </c>
      <c r="Z202" s="6" t="str">
        <f>IFERROR(__xludf.DUMMYFUNCTION("""COMPUTED_VALUE"""),"Общегородской проект по развитию парка Жукова")</f>
        <v>Общегородской проект по развитию парка Жукова</v>
      </c>
      <c r="AA202" s="6" t="str">
        <f>IFERROR(__xludf.DUMMYFUNCTION("""COMPUTED_VALUE"""),"Зимняя вишня, убийство девушки в общежитии,")</f>
        <v>Зимняя вишня, убийство девушки в общежитии,</v>
      </c>
      <c r="AB202" s="6" t="str">
        <f>IFERROR(__xludf.DUMMYFUNCTION("""COMPUTED_VALUE"""),"Культурного развития, борьба за экологию")</f>
        <v>Культурного развития, борьба за экологию</v>
      </c>
      <c r="AC202" s="6" t="str">
        <f>IFERROR(__xludf.DUMMYFUNCTION("""COMPUTED_VALUE"""),"Экологические дни, семейные дни и т.д. Прививать ценности гражданам")</f>
        <v>Экологические дни, семейные дни и т.д. Прививать ценности гражданам</v>
      </c>
      <c r="AD202" s="6" t="str">
        <f>IFERROR(__xludf.DUMMYFUNCTION("""COMPUTED_VALUE"""),"Организатор событий")</f>
        <v>Организатор событий</v>
      </c>
      <c r="AE202" s="6" t="str">
        <f>IFERROR(__xludf.DUMMYFUNCTION("""COMPUTED_VALUE"""),"Женский")</f>
        <v>Женский</v>
      </c>
      <c r="AF202" s="6" t="str">
        <f>IFERROR(__xludf.DUMMYFUNCTION("""COMPUTED_VALUE"""),"30-44")</f>
        <v>30-44</v>
      </c>
      <c r="AG202" s="6"/>
      <c r="AH202" s="6"/>
      <c r="AI202" s="6"/>
      <c r="AJ202" s="6"/>
      <c r="AK202" s="6"/>
      <c r="AL202" s="6"/>
      <c r="AM202" s="6"/>
    </row>
    <row r="203">
      <c r="A203" s="4">
        <v>202.0</v>
      </c>
      <c r="B203" s="6" t="str">
        <f>IFERROR(__xludf.DUMMYFUNCTION("""COMPUTED_VALUE"""),"Проектировщик")</f>
        <v>Проектировщик</v>
      </c>
      <c r="C203" s="6" t="str">
        <f>IFERROR(__xludf.DUMMYFUNCTION("""COMPUTED_VALUE"""),"Стрельба, сноуборд, 3д моделирование")</f>
        <v>Стрельба, сноуборд, 3д моделирование</v>
      </c>
      <c r="D203" s="6" t="str">
        <f>IFERROR(__xludf.DUMMYFUNCTION("""COMPUTED_VALUE"""),"Радуга")</f>
        <v>Радуга</v>
      </c>
      <c r="E203" s="6" t="str">
        <f>IFERROR(__xludf.DUMMYFUNCTION("""COMPUTED_VALUE"""),"Сосновый бор, аллея шахтёров")</f>
        <v>Сосновый бор, аллея шахтёров</v>
      </c>
      <c r="F203" s="6" t="str">
        <f>IFERROR(__xludf.DUMMYFUNCTION("""COMPUTED_VALUE"""),"Живу здесь с рождения")</f>
        <v>Живу здесь с рождения</v>
      </c>
      <c r="G203" s="6" t="str">
        <f>IFERROR(__xludf.DUMMYFUNCTION("""COMPUTED_VALUE"""),"гора Люскус, д.Пещерка, р.Томь в целом, центр города, набережная, лесная поляна")</f>
        <v>гора Люскус, д.Пещерка, р.Томь в целом, центр города, набережная, лесная поляна</v>
      </c>
      <c r="H203" s="6" t="str">
        <f>IFERROR(__xludf.DUMMYFUNCTION("""COMPUTED_VALUE"""),"Тихий, маленький, грязный, плохое управление, удобный для перемещений")</f>
        <v>Тихий, маленький, грязный, плохое управление, удобный для перемещений</v>
      </c>
      <c r="I203" s="6" t="str">
        <f>IFERROR(__xludf.DUMMYFUNCTION("""COMPUTED_VALUE"""),"Волков, Рутгерс")</f>
        <v>Волков, Рутгерс</v>
      </c>
      <c r="J203" s="6" t="str">
        <f>IFERROR(__xludf.DUMMYFUNCTION("""COMPUTED_VALUE"""),"Отсутствуют")</f>
        <v>Отсутствуют</v>
      </c>
      <c r="K203" s="6" t="str">
        <f>IFERROR(__xludf.DUMMYFUNCTION("""COMPUTED_VALUE"""),"Памятник Шахтеру Э.Неизвестного. Другие памятники ужасны.")</f>
        <v>Памятник Шахтеру Э.Неизвестного. Другие памятники ужасны.</v>
      </c>
      <c r="L203" s="6" t="str">
        <f>IFERROR(__xludf.DUMMYFUNCTION("""COMPUTED_VALUE"""),"Дай дураку член стеклянный, он и член разобьет и руки порежет.")</f>
        <v>Дай дураку член стеклянный, он и член разобьет и руки порежет.</v>
      </c>
      <c r="M203" s="6" t="str">
        <f>IFERROR(__xludf.DUMMYFUNCTION("""COMPUTED_VALUE"""),"""тормозок""")</f>
        <v>"тормозок"</v>
      </c>
      <c r="N203" s="6" t="str">
        <f>IFERROR(__xludf.DUMMYFUNCTION("""COMPUTED_VALUE"""),"Мало машин, много пешеходных зон и велодорожек, много зелени, уютные парки (а не монументальные площади), доступ к воде, отсутствие заборов")</f>
        <v>Мало машин, много пешеходных зон и велодорожек, много зелени, уютные парки (а не монументальные площади), доступ к воде, отсутствие заборов</v>
      </c>
      <c r="O203" s="6" t="str">
        <f>IFERROR(__xludf.DUMMYFUNCTION("""COMPUTED_VALUE"""),"Убрать заборы вдоль дорог, организовать движение, ввести платные парковки, освободить центр от машин")</f>
        <v>Убрать заборы вдоль дорог, организовать движение, ввести платные парковки, освободить центр от машин</v>
      </c>
      <c r="P203" s="6" t="str">
        <f>IFERROR(__xludf.DUMMYFUNCTION("""COMPUTED_VALUE"""),"много разных в интернете")</f>
        <v>много разных в интернете</v>
      </c>
      <c r="Q203" s="6" t="str">
        <f>IFERROR(__xludf.DUMMYFUNCTION("""COMPUTED_VALUE"""),"куда пойти в свободное время, где вкусно поесть/открытие новых кафе/ресторанов, бизнес-новости (средний чек/рекламные акции/запуск новых предприятий),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203" s="6" t="str">
        <f>IFERROR(__xludf.DUMMYFUNCTION("""COMPUTED_VALUE"""),"день города")</f>
        <v>день города</v>
      </c>
      <c r="S203" s="6" t="str">
        <f>IFERROR(__xludf.DUMMYFUNCTION("""COMPUTED_VALUE"""),"организация соревнований, турниров, квестов")</f>
        <v>организация соревнований, турниров, квестов</v>
      </c>
      <c r="T203" s="6" t="str">
        <f>IFERROR(__xludf.DUMMYFUNCTION("""COMPUTED_VALUE"""),"Пока только зимней вишней")</f>
        <v>Пока только зимней вишней</v>
      </c>
      <c r="U203" s="6" t="str">
        <f>IFERROR(__xludf.DUMMYFUNCTION("""COMPUTED_VALUE"""),"Площадь Советов, набережная, площадь Пушкина, ул.Весенняя, парк Жукова и Антошка")</f>
        <v>Площадь Советов, набережная, площадь Пушкина, ул.Весенняя, парк Жукова и Антошка</v>
      </c>
      <c r="V203" s="6" t="str">
        <f>IFERROR(__xludf.DUMMYFUNCTION("""COMPUTED_VALUE"""),"ГорСад, Набережная (не доделана), студ.городок Политеха, КемГу (не доведены до ума), Парк Антошка (та же история)")</f>
        <v>ГорСад, Набережная (не доделана), студ.городок Политеха, КемГу (не доведены до ума), Парк Антошка (та же история)</v>
      </c>
      <c r="W203" s="6" t="str">
        <f>IFERROR(__xludf.DUMMYFUNCTION("""COMPUTED_VALUE"""),"Они - люди, как и везде, просто разные. Ну нытиков еще много")</f>
        <v>Они - люди, как и везде, просто разные. Ну нытиков еще много</v>
      </c>
      <c r="X203" s="6" t="str">
        <f>IFERROR(__xludf.DUMMYFUNCTION("""COMPUTED_VALUE"""),"Кирова, Набережная, Советский, Весенняя, парк Антошка, Жукова")</f>
        <v>Кирова, Набережная, Советский, Весенняя, парк Антошка, Жукова</v>
      </c>
      <c r="Y203" s="6" t="str">
        <f>IFERROR(__xludf.DUMMYFUNCTION("""COMPUTED_VALUE"""),"Увы, но это тоже пожар в ЗВ")</f>
        <v>Увы, но это тоже пожар в ЗВ</v>
      </c>
      <c r="Z203" s="6" t="str">
        <f>IFERROR(__xludf.DUMMYFUNCTION("""COMPUTED_VALUE"""),"Расчистка набережной и ее благосутройство (но на данный момент не ясно качество этих работ и итоговый внешний вид)")</f>
        <v>Расчистка набережной и ее благосутройство (но на данный момент не ясно качество этих работ и итоговый внешний вид)</v>
      </c>
      <c r="AA203" s="6" t="str">
        <f>IFERROR(__xludf.DUMMYFUNCTION("""COMPUTED_VALUE"""),"Избыток личного транспорта, упадок городского транспорта, уменьшение кол-ва трамваев и троллейбусов")</f>
        <v>Избыток личного транспорта, упадок городского транспорта, уменьшение кол-ва трамваев и троллейбусов</v>
      </c>
      <c r="AB203" s="6" t="str">
        <f>IFERROR(__xludf.DUMMYFUNCTION("""COMPUTED_VALUE"""),"Муниципальных тиров ")</f>
        <v>Муниципальных тиров </v>
      </c>
      <c r="AC203" s="6" t="str">
        <f>IFERROR(__xludf.DUMMYFUNCTION("""COMPUTED_VALUE"""),"Всех и побольше, должно быть больше разнообразия и поменьше ""городских"" мероприятий с их унылой организацией")</f>
        <v>Всех и побольше, должно быть больше разнообразия и поменьше "городских" мероприятий с их унылой организацией</v>
      </c>
      <c r="AD203" s="6" t="str">
        <f>IFERROR(__xludf.DUMMYFUNCTION("""COMPUTED_VALUE"""),"Вариативно, от экспертной оценки до помощи руками")</f>
        <v>Вариативно, от экспертной оценки до помощи руками</v>
      </c>
      <c r="AE203" s="6" t="str">
        <f>IFERROR(__xludf.DUMMYFUNCTION("""COMPUTED_VALUE"""),"Мужской")</f>
        <v>Мужской</v>
      </c>
      <c r="AF203" s="6" t="str">
        <f>IFERROR(__xludf.DUMMYFUNCTION("""COMPUTED_VALUE"""),"18-29")</f>
        <v>18-29</v>
      </c>
      <c r="AG203" s="6"/>
      <c r="AH203" s="6"/>
      <c r="AI203" s="6"/>
      <c r="AJ203" s="6"/>
      <c r="AK203" s="6"/>
      <c r="AL203" s="6"/>
      <c r="AM203" s="6"/>
    </row>
    <row r="204">
      <c r="A204" s="4">
        <v>203.0</v>
      </c>
      <c r="B204" s="6" t="str">
        <f>IFERROR(__xludf.DUMMYFUNCTION("""COMPUTED_VALUE"""),"Программист")</f>
        <v>Программист</v>
      </c>
      <c r="C204" s="6" t="str">
        <f>IFERROR(__xludf.DUMMYFUNCTION("""COMPUTED_VALUE"""),"Компьютерные игры")</f>
        <v>Компьютерные игры</v>
      </c>
      <c r="D204" s="6" t="str">
        <f>IFERROR(__xludf.DUMMYFUNCTION("""COMPUTED_VALUE"""),"Ленинский, так и называю")</f>
        <v>Ленинский, так и называю</v>
      </c>
      <c r="E204" s="6" t="str">
        <f>IFERROR(__xludf.DUMMYFUNCTION("""COMPUTED_VALUE"""),"Бульвар строителей")</f>
        <v>Бульвар строителей</v>
      </c>
      <c r="F204" s="6" t="str">
        <f>IFERROR(__xludf.DUMMYFUNCTION("""COMPUTED_VALUE"""),"Живу здесь с рождения")</f>
        <v>Живу здесь с рождения</v>
      </c>
      <c r="G204" s="6" t="str">
        <f>IFERROR(__xludf.DUMMYFUNCTION("""COMPUTED_VALUE"""),"в основном никуда, летом это набережная в центре")</f>
        <v>в основном никуда, летом это набережная в центре</v>
      </c>
      <c r="H204" s="6" t="str">
        <f>IFERROR(__xludf.DUMMYFUNCTION("""COMPUTED_VALUE"""),"уголь, голландия, гордость, бедность, тулеев")</f>
        <v>уголь, голландия, гордость, бедность, тулеев</v>
      </c>
      <c r="I204" s="6" t="str">
        <f>IFERROR(__xludf.DUMMYFUNCTION("""COMPUTED_VALUE"""),"волков")</f>
        <v>волков</v>
      </c>
      <c r="J204" s="6" t="str">
        <f>IFERROR(__xludf.DUMMYFUNCTION("""COMPUTED_VALUE"""),"Данила безупречный, Середюк, Роман Жаворонков")</f>
        <v>Данила безупречный, Середюк, Роман Жаворонков</v>
      </c>
      <c r="K204" s="6" t="str">
        <f>IFERROR(__xludf.DUMMYFUNCTION("""COMPUTED_VALUE"""),"лесную поляну")</f>
        <v>лесную поляну</v>
      </c>
      <c r="L204" s="6" t="str">
        <f>IFERROR(__xludf.DUMMYFUNCTION("""COMPUTED_VALUE"""),"не жили богато, нечего и начинать")</f>
        <v>не жили богато, нечего и начинать</v>
      </c>
      <c r="M204" s="6" t="str">
        <f>IFERROR(__xludf.DUMMYFUNCTION("""COMPUTED_VALUE"""),"мультифора")</f>
        <v>мультифора</v>
      </c>
      <c r="N204" s="6" t="str">
        <f>IFERROR(__xludf.DUMMYFUNCTION("""COMPUTED_VALUE"""),"безопасность, чистый воздух, чистые улицы, уважительное отношение, вкусная еда")</f>
        <v>безопасность, чистый воздух, чистые улицы, уважительное отношение, вкусная еда</v>
      </c>
      <c r="O204" s="6" t="str">
        <f>IFERROR(__xludf.DUMMYFUNCTION("""COMPUTED_VALUE"""),"очистить воздух, чистить дороги, тротуары")</f>
        <v>очистить воздух, чистить дороги, тротуары</v>
      </c>
      <c r="P204" s="6" t="str">
        <f>IFERROR(__xludf.DUMMYFUNCTION("""COMPUTED_VALUE"""),"телеграмм чаты с друзьями")</f>
        <v>телеграмм чаты с друзьями</v>
      </c>
      <c r="Q204" s="6" t="str">
        <f>IFERROR(__xludf.DUMMYFUNCTION("""COMPUTED_VALUE"""),"где вкусно поесть/открытие новых кафе/ресторанов, городская афиша (кино/театр/концерты), результаты местных исследований (рейтинги/аналитика/тенденции)")</f>
        <v>где вкусно поесть/открытие новых кафе/ресторанов, городская афиша (кино/театр/концерты), результаты местных исследований (рейтинги/аналитика/тенденции)</v>
      </c>
      <c r="R204" s="6" t="str">
        <f>IFERROR(__xludf.DUMMYFUNCTION("""COMPUTED_VALUE"""),"1 мая, день победы, новый год")</f>
        <v>1 мая, день победы, новый год</v>
      </c>
      <c r="S204" s="6" t="str">
        <f>IFERROR(__xludf.DUMMYFUNCTION("""COMPUTED_VALUE"""),"Через социальные сети (Какие? Укажите в графе другое), событие вконтакте")</f>
        <v>Через социальные сети (Какие? Укажите в графе другое), событие вконтакте</v>
      </c>
      <c r="T204" s="6" t="str">
        <f>IFERROR(__xludf.DUMMYFUNCTION("""COMPUTED_VALUE"""),"зимней вишней")</f>
        <v>зимней вишней</v>
      </c>
      <c r="U204" s="6" t="str">
        <f>IFERROR(__xludf.DUMMYFUNCTION("""COMPUTED_VALUE"""),"набережная")</f>
        <v>набережная</v>
      </c>
      <c r="V204" s="6" t="str">
        <f>IFERROR(__xludf.DUMMYFUNCTION("""COMPUTED_VALUE"""),"не знаю")</f>
        <v>не знаю</v>
      </c>
      <c r="W204" s="6" t="str">
        <f>IFERROR(__xludf.DUMMYFUNCTION("""COMPUTED_VALUE"""),"провинциальные жители")</f>
        <v>провинциальные жители</v>
      </c>
      <c r="X204" s="6" t="str">
        <f>IFERROR(__xludf.DUMMYFUNCTION("""COMPUTED_VALUE"""),"бульвар - цирк - набережная")</f>
        <v>бульвар - цирк - набережная</v>
      </c>
      <c r="Y204" s="6" t="str">
        <f>IFERROR(__xludf.DUMMYFUNCTION("""COMPUTED_VALUE"""),"переименование из ""щегловска""")</f>
        <v>переименование из "щегловска"</v>
      </c>
      <c r="Z204" s="6" t="str">
        <f>IFERROR(__xludf.DUMMYFUNCTION("""COMPUTED_VALUE"""),"нет")</f>
        <v>нет</v>
      </c>
      <c r="AA204" s="6" t="str">
        <f>IFERROR(__xludf.DUMMYFUNCTION("""COMPUTED_VALUE"""),"молодые уезжают")</f>
        <v>молодые уезжают</v>
      </c>
      <c r="AB204" s="6" t="str">
        <f>IFERROR(__xludf.DUMMYFUNCTION("""COMPUTED_VALUE"""),"интернет их все заменяет успешно")</f>
        <v>интернет их все заменяет успешно</v>
      </c>
      <c r="AC204" s="6" t="str">
        <f>IFERROR(__xludf.DUMMYFUNCTION("""COMPUTED_VALUE"""),"приезд знаменитостей, хотя бы российских")</f>
        <v>приезд знаменитостей, хотя бы российских</v>
      </c>
      <c r="AD204" s="6" t="str">
        <f>IFERROR(__xludf.DUMMYFUNCTION("""COMPUTED_VALUE"""),"могу помочь в продвижении и разработке, если проект понравится")</f>
        <v>могу помочь в продвижении и разработке, если проект понравится</v>
      </c>
      <c r="AE204" s="6" t="str">
        <f>IFERROR(__xludf.DUMMYFUNCTION("""COMPUTED_VALUE"""),"Мужской")</f>
        <v>Мужской</v>
      </c>
      <c r="AF204" s="6" t="str">
        <f>IFERROR(__xludf.DUMMYFUNCTION("""COMPUTED_VALUE"""),"30-44")</f>
        <v>30-44</v>
      </c>
      <c r="AG204" s="6"/>
      <c r="AH204" s="6"/>
      <c r="AI204" s="6"/>
      <c r="AJ204" s="6"/>
      <c r="AK204" s="6"/>
      <c r="AL204" s="6"/>
      <c r="AM204" s="6"/>
    </row>
    <row r="205">
      <c r="A205" s="4">
        <v>204.0</v>
      </c>
      <c r="B205" s="6" t="str">
        <f>IFERROR(__xludf.DUMMYFUNCTION("""COMPUTED_VALUE"""),"инженер-проектировщик")</f>
        <v>инженер-проектировщик</v>
      </c>
      <c r="C205" s="6" t="str">
        <f>IFERROR(__xludf.DUMMYFUNCTION("""COMPUTED_VALUE"""),"чтение")</f>
        <v>чтение</v>
      </c>
      <c r="D205" s="6" t="str">
        <f>IFERROR(__xludf.DUMMYFUNCTION("""COMPUTED_VALUE"""),"центральный")</f>
        <v>центральный</v>
      </c>
      <c r="E205" s="6" t="str">
        <f>IFERROR(__xludf.DUMMYFUNCTION("""COMPUTED_VALUE"""),"набережная, улица Весенняя, парк ангелов, искитимка, проспект Советский")</f>
        <v>набережная, улица Весенняя, парк ангелов, искитимка, проспект Советский</v>
      </c>
      <c r="F205" s="6" t="str">
        <f>IFERROR(__xludf.DUMMYFUNCTION("""COMPUTED_VALUE"""),"Переехал сюда из другого места (откуда? укажите в графе другое), из Прокопьевского района")</f>
        <v>Переехал сюда из другого места (откуда? укажите в графе другое), из Прокопьевского района</v>
      </c>
      <c r="G205" s="6" t="str">
        <f>IFERROR(__xludf.DUMMYFUNCTION("""COMPUTED_VALUE"""),"Гулять по центру, в бор, в кинотеатры")</f>
        <v>Гулять по центру, в бор, в кинотеатры</v>
      </c>
      <c r="H205" s="6" t="str">
        <f>IFERROR(__xludf.DUMMYFUNCTION("""COMPUTED_VALUE"""),"Зелень, грязь, снег, уют, дом")</f>
        <v>Зелень, грязь, снег, уют, дом</v>
      </c>
      <c r="I205" s="6" t="str">
        <f>IFERROR(__xludf.DUMMYFUNCTION("""COMPUTED_VALUE"""),"Леонов")</f>
        <v>Леонов</v>
      </c>
      <c r="J205" s="6" t="str">
        <f>IFERROR(__xludf.DUMMYFUNCTION("""COMPUTED_VALUE"""),"-")</f>
        <v>-</v>
      </c>
      <c r="K205" s="6" t="str">
        <f>IFERROR(__xludf.DUMMYFUNCTION("""COMPUTED_VALUE"""),"сосновый бор, парк ангелов, остров на томи, нечетная сторона улицы Весенней от набережной до драмтеатра")</f>
        <v>сосновый бор, парк ангелов, остров на томи, нечетная сторона улицы Весенней от набережной до драмтеатра</v>
      </c>
      <c r="L205" s="6" t="str">
        <f>IFERROR(__xludf.DUMMYFUNCTION("""COMPUTED_VALUE"""),"-")</f>
        <v>-</v>
      </c>
      <c r="M205" s="6" t="str">
        <f>IFERROR(__xludf.DUMMYFUNCTION("""COMPUTED_VALUE"""),"-")</f>
        <v>-</v>
      </c>
      <c r="N205" s="6" t="str">
        <f>IFERROR(__xludf.DUMMYFUNCTION("""COMPUTED_VALUE"""),"Удобный общественный транспорт с проездными, много комфортных пешеходных зон, развитая инфраструктура в сфере развлечений и обслуживания, наличие аэропорта, высокие зарплаты и возможность устроиться на хорошую работу")</f>
        <v>Удобный общественный транспорт с проездными, много комфортных пешеходных зон, развитая инфраструктура в сфере развлечений и обслуживания, наличие аэропорта, высокие зарплаты и возможность устроиться на хорошую работу</v>
      </c>
      <c r="O205" s="6" t="str">
        <f>IFERROR(__xludf.DUMMYFUNCTION("""COMPUTED_VALUE"""),"Восстановить старый центр и отремонтировать дворы")</f>
        <v>Восстановить старый центр и отремонтировать дворы</v>
      </c>
      <c r="P205" s="6" t="str">
        <f>IFERROR(__xludf.DUMMYFUNCTION("""COMPUTED_VALUE"""),"журнал Авокадо")</f>
        <v>журнал Авокадо</v>
      </c>
      <c r="Q20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результаты местных исследований (рейт"&amp;"инги/аналитика/тенденции),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205" s="6" t="str">
        <f>IFERROR(__xludf.DUMMYFUNCTION("""COMPUTED_VALUE"""),"день города")</f>
        <v>день города</v>
      </c>
      <c r="S205" s="6" t="str">
        <f>IFERROR(__xludf.DUMMYFUNCTION("""COMPUTED_VALUE"""),"Нет, не приходилось")</f>
        <v>Нет, не приходилось</v>
      </c>
      <c r="T205" s="6" t="str">
        <f>IFERROR(__xludf.DUMMYFUNCTION("""COMPUTED_VALUE"""),"известен печальной зимней вишней")</f>
        <v>известен печальной зимней вишней</v>
      </c>
      <c r="U205" s="6" t="str">
        <f>IFERROR(__xludf.DUMMYFUNCTION("""COMPUTED_VALUE"""),"площадь советов, пересечение проспекта Советского и улицы Кирова")</f>
        <v>площадь советов, пересечение проспекта Советского и улицы Кирова</v>
      </c>
      <c r="V205" s="6" t="str">
        <f>IFERROR(__xludf.DUMMYFUNCTION("""COMPUTED_VALUE"""),"сохранили внешний облик города, обеспечили развитие города")</f>
        <v>сохранили внешний облик города, обеспечили развитие города</v>
      </c>
      <c r="W205" s="6" t="str">
        <f>IFERROR(__xludf.DUMMYFUNCTION("""COMPUTED_VALUE"""),"Амбициозные, образованные, серьезные")</f>
        <v>Амбициозные, образованные, серьезные</v>
      </c>
      <c r="X205" s="6" t="str">
        <f>IFERROR(__xludf.DUMMYFUNCTION("""COMPUTED_VALUE"""),"улица Кирова - парк Чудес - набережная - парки Жукова, Антошка - парк Ангелов - Весенняя, Островского")</f>
        <v>улица Кирова - парк Чудес - набережная - парки Жукова, Антошка - парк Ангелов - Весенняя, Островского</v>
      </c>
      <c r="Y205" s="6" t="str">
        <f>IFERROR(__xludf.DUMMYFUNCTION("""COMPUTED_VALUE"""),"Зимняя вишня")</f>
        <v>Зимняя вишня</v>
      </c>
      <c r="Z205" s="6" t="str">
        <f>IFERROR(__xludf.DUMMYFUNCTION("""COMPUTED_VALUE"""),"рок-фестиваль")</f>
        <v>рок-фестиваль</v>
      </c>
      <c r="AA205" s="6" t="str">
        <f>IFERROR(__xludf.DUMMYFUNCTION("""COMPUTED_VALUE"""),"совершенно не убирают снег зимой даже на главных дорогах")</f>
        <v>совершенно не убирают снег зимой даже на главных дорогах</v>
      </c>
      <c r="AB205" s="6" t="str">
        <f>IFERROR(__xludf.DUMMYFUNCTION("""COMPUTED_VALUE"""),"книжного клуба")</f>
        <v>книжного клуба</v>
      </c>
      <c r="AC205" s="6" t="str">
        <f>IFERROR(__xludf.DUMMYFUNCTION("""COMPUTED_VALUE"""),"побольше выставок и концертов")</f>
        <v>побольше выставок и концертов</v>
      </c>
      <c r="AD205" s="6" t="str">
        <f>IFERROR(__xludf.DUMMYFUNCTION("""COMPUTED_VALUE"""),"-")</f>
        <v>-</v>
      </c>
      <c r="AE205" s="6" t="str">
        <f>IFERROR(__xludf.DUMMYFUNCTION("""COMPUTED_VALUE"""),"Женский")</f>
        <v>Женский</v>
      </c>
      <c r="AF205" s="6" t="str">
        <f>IFERROR(__xludf.DUMMYFUNCTION("""COMPUTED_VALUE"""),"18-29")</f>
        <v>18-29</v>
      </c>
      <c r="AG205" s="6"/>
      <c r="AH205" s="6"/>
      <c r="AI205" s="6"/>
      <c r="AJ205" s="6"/>
      <c r="AK205" s="6"/>
      <c r="AL205" s="6"/>
      <c r="AM205" s="6"/>
    </row>
    <row r="206">
      <c r="A206" s="4">
        <v>205.0</v>
      </c>
      <c r="B206" s="6" t="str">
        <f>IFERROR(__xludf.DUMMYFUNCTION("""COMPUTED_VALUE"""),"Архитектура и дизайн")</f>
        <v>Архитектура и дизайн</v>
      </c>
      <c r="C206" s="6" t="str">
        <f>IFERROR(__xludf.DUMMYFUNCTION("""COMPUTED_VALUE"""),"волейбол туризм дизайн чтение")</f>
        <v>волейбол туризм дизайн чтение</v>
      </c>
      <c r="D206" s="6" t="str">
        <f>IFERROR(__xludf.DUMMYFUNCTION("""COMPUTED_VALUE"""),"центральный")</f>
        <v>центральный</v>
      </c>
      <c r="E206" s="6" t="str">
        <f>IFERROR(__xludf.DUMMYFUNCTION("""COMPUTED_VALUE"""),"Притомская набережная, Сосновый бор, Красная горка, Лесная поляна, ул. Весенняя , Бульвар Строителей, Парк Победы")</f>
        <v>Притомская набережная, Сосновый бор, Красная горка, Лесная поляна, ул. Весенняя , Бульвар Строителей, Парк Победы</v>
      </c>
      <c r="F206" s="6" t="str">
        <f>IFERROR(__xludf.DUMMYFUNCTION("""COMPUTED_VALUE"""),"Живу здесь с рождения")</f>
        <v>Живу здесь с рождения</v>
      </c>
      <c r="G206" s="6" t="str">
        <f>IFERROR(__xludf.DUMMYFUNCTION("""COMPUTED_VALUE"""),"Сосновый бор, Набережная, Весенняя,")</f>
        <v>Сосновый бор, Набережная, Весенняя,</v>
      </c>
      <c r="H206" s="6" t="str">
        <f>IFERROR(__xludf.DUMMYFUNCTION("""COMPUTED_VALUE"""),"Широта,  История, Провинция, Прошлое, Наивность  ")</f>
        <v>Широта,  История, Провинция, Прошлое, Наивность  </v>
      </c>
      <c r="I206" s="6" t="str">
        <f>IFERROR(__xludf.DUMMYFUNCTION("""COMPUTED_VALUE"""),"Волков, Михайлов, Рутгерс, Кулиев, Домбай, Моисеенко, Ватман, Раздаев, Бобров, Хмелевской, Гришковец, ")</f>
        <v>Волков, Михайлов, Рутгерс, Кулиев, Домбай, Моисеенко, Ватман, Раздаев, Бобров, Хмелевской, Гришковец, </v>
      </c>
      <c r="J206" s="6" t="str">
        <f>IFERROR(__xludf.DUMMYFUNCTION("""COMPUTED_VALUE"""),"Михайлов, Ражев, Кулиев, Попов, Цивилёв, Фёдорова, Шелепова, Юдельсон, Зайцев, Гайфулин, Раздаев, Панин, Гришковец , Сытый, ")</f>
        <v>Михайлов, Ражев, Кулиев, Попов, Цивилёв, Фёдорова, Шелепова, Юдельсон, Зайцев, Гайфулин, Раздаев, Панин, Гришковец , Сытый, </v>
      </c>
      <c r="K206" s="6" t="str">
        <f>IFERROR(__xludf.DUMMYFUNCTION("""COMPUTED_VALUE"""),"Сосновый Бор, Красная горка,  Кедровка,  Посёлок пионер,  Парк В.Волошиной. Ботанический сад, Губернский ботанический сад")</f>
        <v>Сосновый Бор, Красная горка,  Кедровка,  Посёлок пионер,  Парк В.Волошиной. Ботанический сад, Губернский ботанический сад</v>
      </c>
      <c r="L206" s="6" t="str">
        <f>IFERROR(__xludf.DUMMYFUNCTION("""COMPUTED_VALUE"""),"Танки грязи не боятся")</f>
        <v>Танки грязи не боятся</v>
      </c>
      <c r="M206" s="6" t="str">
        <f>IFERROR(__xludf.DUMMYFUNCTION("""COMPUTED_VALUE"""),"Искитимка. ")</f>
        <v>Искитимка. </v>
      </c>
      <c r="N206" s="6" t="str">
        <f>IFERROR(__xludf.DUMMYFUNCTION("""COMPUTED_VALUE"""),"Чистота, Ухоженность фасадов, дизайн, достопримечательности.")</f>
        <v>Чистота, Ухоженность фасадов, дизайн, достопримечательности.</v>
      </c>
      <c r="O206" s="6" t="str">
        <f>IFERROR(__xludf.DUMMYFUNCTION("""COMPUTED_VALUE""")," Убрать безобразные ограждения на перекрёстках дорог. Убрать шлагбаумы и заборы вокруг общественных и административных зданий, если они не режимные
Убрать заборы вокруг храмов. Реконструировать набережную. Отремонтировать спортивные площадки и  организова"&amp;"ть волейбольные площадки. Навести порядок  в сосновом бору и восстановить беседки и рекреационные зоны,.Установить в Сосновом бору скамейки и декоративные скульптуры. Реставрировать опоры освещения в центральной части города(Советский пр-т, набережная и т"&amp;".д)  Построить мост на остров. Благоустроить остров. Организовать туристический веломаршрут по городу и вокруг города.")</f>
        <v> Убрать безобразные ограждения на перекрёстках дорог. Убрать шлагбаумы и заборы вокруг общественных и административных зданий, если они не режимные
Убрать заборы вокруг храмов. Реконструировать набережную. Отремонтировать спортивные площадки и  организовать волейбольные площадки. Навести порядок  в сосновом бору и восстановить беседки и рекреационные зоны,.Установить в Сосновом бору скамейки и декоративные скульптуры. Реставрировать опоры освещения в центральной части города(Советский пр-т, набережная и т.д)  Построить мост на остров. Благоустроить остров. Организовать туристический веломаршрут по городу и вокруг города.</v>
      </c>
      <c r="P206" s="6" t="str">
        <f>IFERROR(__xludf.DUMMYFUNCTION("""COMPUTED_VALUE"""),"Телевидение. ")</f>
        <v>Телевидение. </v>
      </c>
      <c r="Q206"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б"&amp;"изнес-новости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206" s="6" t="str">
        <f>IFERROR(__xludf.DUMMYFUNCTION("""COMPUTED_VALUE"""),"День Шахтёра, 9мая, Масленница, Новый год, Рождество, Пасха, День города, Иван купала ")</f>
        <v>День Шахтёра, 9мая, Масленница, Новый год, Рождество, Пасха, День города, Иван купала </v>
      </c>
      <c r="S206" s="6" t="str">
        <f>IFERROR(__xludf.DUMMYFUNCTION("""COMPUTED_VALUE"""),"Нет, не приходилось, Печатал и размещал рекламные плакаты и афиши")</f>
        <v>Нет, не приходилось, Печатал и размещал рекламные плакаты и афиши</v>
      </c>
      <c r="T206" s="6" t="str">
        <f>IFERROR(__xludf.DUMMYFUNCTION("""COMPUTED_VALUE"""),"Криминальными историями прошлого, Рассказами Гришковца, театральными постановками. Светофорные конструкции, Сосновый бор,  ")</f>
        <v>Криминальными историями прошлого, Рассказами Гришковца, театральными постановками. Светофорные конструкции, Сосновый бор,  </v>
      </c>
      <c r="U206" s="6" t="str">
        <f>IFERROR(__xludf.DUMMYFUNCTION("""COMPUTED_VALUE"""),"Сквер рядом с Филармонией, Притомская набережная. Весенняя, Советский проспект ")</f>
        <v>Сквер рядом с Филармонией, Притомская набережная. Весенняя, Советский проспект </v>
      </c>
      <c r="V206" s="6" t="str">
        <f>IFERROR(__xludf.DUMMYFUNCTION("""COMPUTED_VALUE"""),"Архитектура, Заводы, Скульптуры и памятники, ")</f>
        <v>Архитектура, Заводы, Скульптуры и памятники, </v>
      </c>
      <c r="W206" s="6" t="str">
        <f>IFERROR(__xludf.DUMMYFUNCTION("""COMPUTED_VALUE"""),"Смелость, наивность, щедрость, терпение, безразличие.")</f>
        <v>Смелость, наивность, щедрость, терпение, безразличие.</v>
      </c>
      <c r="X206" s="6" t="str">
        <f>IFERROR(__xludf.DUMMYFUNCTION("""COMPUTED_VALUE"""),"Красная горка-Сосновый бор- Притомская набережная-Парк Жукова- Парк Ангелов")</f>
        <v>Красная горка-Сосновый бор- Притомская набережная-Парк Жукова- Парк Ангелов</v>
      </c>
      <c r="Y206" s="6" t="str">
        <f>IFERROR(__xludf.DUMMYFUNCTION("""COMPUTED_VALUE"""),"Гибель людей в Зимней вишне. Выступление на площади Хворостовского. Чемпионат мира по хоккею с мячом.")</f>
        <v>Гибель людей в Зимней вишне. Выступление на площади Хворостовского. Чемпионат мира по хоккею с мячом.</v>
      </c>
      <c r="Z206" s="6" t="str">
        <f>IFERROR(__xludf.DUMMYFUNCTION("""COMPUTED_VALUE"""),"Построили парк Ангелов.  Реконструировали Бульвар Строителей,  Победа волейбольного Кузбасса в чемпионате России.")</f>
        <v>Построили парк Ангелов.  Реконструировали Бульвар Строителей,  Победа волейбольного Кузбасса в чемпионате России.</v>
      </c>
      <c r="AA206" s="6" t="str">
        <f>IFERROR(__xludf.DUMMYFUNCTION("""COMPUTED_VALUE"""),"Разгон митингующих и запрет на проведение митингов. Это говорит о слабости власти и не способности к диалогу.")</f>
        <v>Разгон митингующих и запрет на проведение митингов. Это говорит о слабости власти и не способности к диалогу.</v>
      </c>
      <c r="AB206" s="6" t="str">
        <f>IFERROR(__xludf.DUMMYFUNCTION("""COMPUTED_VALUE"""),"Музыкально -театральных  фестивалей и творческих встреч. Туристических-песенных
слётов и фестивалей, площадок для детского творчества и моделирования.  ")</f>
        <v>Музыкально -театральных  фестивалей и творческих встреч. Туристических-песенных
слётов и фестивалей, площадок для детского творчества и моделирования.  </v>
      </c>
      <c r="AC206" s="6" t="str">
        <f>IFERROR(__xludf.DUMMYFUNCTION("""COMPUTED_VALUE"""),"Праздников и фестивалей с тематическими ярмарками - медовый спас, Яблочный спас, Овощной спас, Покров, Пасха, Рождество. Городской карнавал  на Иван Купала или в День города, с национальными костюмами танцами и песнями.  День молодёжи с ночными гуляньями,"&amp;" танцами. Ночные показы фильмов под открытым  небом Летом на набережной и в парках. Летние соревнования по волейболу среди любительских команд разного уровня на городских площадках.")</f>
        <v>Праздников и фестивалей с тематическими ярмарками - медовый спас, Яблочный спас, Овощной спас, Покров, Пасха, Рождество. Городской карнавал  на Иван Купала или в День города, с национальными костюмами танцами и песнями.  День молодёжи с ночными гуляньями, танцами. Ночные показы фильмов под открытым  небом Летом на набережной и в парках. Летние соревнования по волейболу среди любительских команд разного уровня на городских площадках.</v>
      </c>
      <c r="AD206" s="6" t="str">
        <f>IFERROR(__xludf.DUMMYFUNCTION("""COMPUTED_VALUE"""),"Дизайнер, Архитектор, Член рабочей группы, ")</f>
        <v>Дизайнер, Архитектор, Член рабочей группы, </v>
      </c>
      <c r="AE206" s="6" t="str">
        <f>IFERROR(__xludf.DUMMYFUNCTION("""COMPUTED_VALUE"""),"Мужской")</f>
        <v>Мужской</v>
      </c>
      <c r="AF206" s="6" t="str">
        <f>IFERROR(__xludf.DUMMYFUNCTION("""COMPUTED_VALUE"""),"45-55")</f>
        <v>45-55</v>
      </c>
      <c r="AG206" s="6"/>
      <c r="AH206" s="6"/>
      <c r="AI206" s="6"/>
      <c r="AJ206" s="6"/>
      <c r="AK206" s="6"/>
      <c r="AL206" s="6"/>
      <c r="AM206" s="6"/>
    </row>
    <row r="207">
      <c r="A207" s="4">
        <v>206.0</v>
      </c>
      <c r="B207" s="6" t="str">
        <f>IFERROR(__xludf.DUMMYFUNCTION("""COMPUTED_VALUE"""),"Коммерческая деятельность")</f>
        <v>Коммерческая деятельность</v>
      </c>
      <c r="C207" s="6" t="str">
        <f>IFERROR(__xludf.DUMMYFUNCTION("""COMPUTED_VALUE"""),"Бег, сноуборд ")</f>
        <v>Бег, сноуборд </v>
      </c>
      <c r="D207" s="6" t="str">
        <f>IFERROR(__xludf.DUMMYFUNCTION("""COMPUTED_VALUE"""),"Ленинский")</f>
        <v>Ленинский</v>
      </c>
      <c r="E207" s="6" t="str">
        <f>IFERROR(__xludf.DUMMYFUNCTION("""COMPUTED_VALUE"""),"Красивый отремонтированный бр Строителей в котором невозможно заниматься спортом из-за шума, потока машин и загазованности от них, но можно прогуляться; неухоженный парк Кузбасский, который стал убогим и неприятным для прогулок; лес между Химиков и Ленина"&amp;" где можно сделать суперэкозону для прогулок/ пробежек; строящийся теннисный корт, дающий надежды")</f>
        <v>Красивый отремонтированный бр Строителей в котором невозможно заниматься спортом из-за шума, потока машин и загазованности от них, но можно прогуляться; неухоженный парк Кузбасский, который стал убогим и неприятным для прогулок; лес между Химиков и Ленина где можно сделать суперэкозону для прогулок/ пробежек; строящийся теннисный корт, дающий надежды</v>
      </c>
      <c r="F207" s="6" t="str">
        <f>IFERROR(__xludf.DUMMYFUNCTION("""COMPUTED_VALUE"""),"Переехал сюда из другого места (откуда? укажите в графе другое), Москва")</f>
        <v>Переехал сюда из другого места (откуда? укажите в графе другое), Москва</v>
      </c>
      <c r="G207" s="6" t="str">
        <f>IFERROR(__xludf.DUMMYFUNCTION("""COMPUTED_VALUE"""),"Набережная Томи, Шерегеш")</f>
        <v>Набережная Томи, Шерегеш</v>
      </c>
      <c r="H207" s="6" t="str">
        <f>IFERROR(__xludf.DUMMYFUNCTION("""COMPUTED_VALUE"""),"Компактный, Относительноухоженный, Загазованный, Холодный, Бесперспективный")</f>
        <v>Компактный, Относительноухоженный, Загазованный, Холодный, Бесперспективный</v>
      </c>
      <c r="I207" s="6" t="str">
        <f>IFERROR(__xludf.DUMMYFUNCTION("""COMPUTED_VALUE"""),"Волков, Леонов")</f>
        <v>Волков, Леонов</v>
      </c>
      <c r="J207" s="6" t="str">
        <f>IFERROR(__xludf.DUMMYFUNCTION("""COMPUTED_VALUE"""),"Леонов, Головин, Арбачаков")</f>
        <v>Леонов, Головин, Арбачаков</v>
      </c>
      <c r="K207" s="6" t="str">
        <f>IFERROR(__xludf.DUMMYFUNCTION("""COMPUTED_VALUE"""),"Лесная поляна, парк Ангелов, памятник Шахтеру, Набережная Томи")</f>
        <v>Лесная поляна, парк Ангелов, памятник Шахтеру, Набережная Томи</v>
      </c>
      <c r="L207" s="6" t="str">
        <f>IFERROR(__xludf.DUMMYFUNCTION("""COMPUTED_VALUE"""),"Это какие то бузотёры")</f>
        <v>Это какие то бузотёры</v>
      </c>
      <c r="M207" s="6" t="str">
        <f>IFERROR(__xludf.DUMMYFUNCTION("""COMPUTED_VALUE"""),"Мультифора")</f>
        <v>Мультифора</v>
      </c>
      <c r="N207" s="6" t="str">
        <f>IFERROR(__xludf.DUMMYFUNCTION("""COMPUTED_VALUE"""),"Экология, Инфраструктура, Обеспеченность хорошим общественным транспортом, Рабочие места с адекватной зп")</f>
        <v>Экология, Инфраструктура, Обеспеченность хорошим общественным транспортом, Рабочие места с адекватной зп</v>
      </c>
      <c r="O207" s="6" t="str">
        <f>IFERROR(__xludf.DUMMYFUNCTION("""COMPUTED_VALUE"""),"Ужасный общественный транспорт и коптящие чёрным дымом маршрутки, ОЗЕЛЕНЕНИЕ и создание гораздо большего зон для досуга, спорта; больше современных спортивных площадок с современными покрытия и, а не таких как есть сейчас, например баскетбольные площадки "&amp;"с ПЕСКОМ, меньше милитаризма в виде танков, самолётов и плакатов про ВОВ ")</f>
        <v>Ужасный общественный транспорт и коптящие чёрным дымом маршрутки, ОЗЕЛЕНЕНИЕ и создание гораздо большего зон для досуга, спорта; больше современных спортивных площадок с современными покрытия и, а не таких как есть сейчас, например баскетбольные площадки с ПЕСКОМ, меньше милитаризма в виде танков, самолётов и плакатов про ВОВ </v>
      </c>
      <c r="P207" s="6" t="str">
        <f>IFERROR(__xludf.DUMMYFUNCTION("""COMPUTED_VALUE"""),"наружная реклама, соцсети, поисковики")</f>
        <v>наружная реклама, соцсети, поисковики</v>
      </c>
      <c r="Q207" s="6" t="str">
        <f>IFERROR(__xludf.DUMMYFUNCTION("""COMPUTED_VALUE"""),"куда пойти в свободное время,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207" s="6" t="str">
        <f>IFERROR(__xludf.DUMMYFUNCTION("""COMPUTED_VALUE"""),"Новый год, День города")</f>
        <v>Новый год, День города</v>
      </c>
      <c r="S207" s="6" t="str">
        <f>IFERROR(__xludf.DUMMYFUNCTION("""COMPUTED_VALUE"""),"Через социальные сети (Какие? Укажите в графе другое), Обращался в редакции городских газет, телевидения, радио")</f>
        <v>Через социальные сети (Какие? Укажите в графе другое), Обращался в редакции городских газет, телевидения, радио</v>
      </c>
      <c r="T207" s="6" t="str">
        <f>IFERROR(__xludf.DUMMYFUNCTION("""COMPUTED_VALUE"""),"Криминальныыми сводками, углем, хорошими дорогами")</f>
        <v>Криминальныыми сводками, углем, хорошими дорогами</v>
      </c>
      <c r="U207" s="6" t="str">
        <f>IFERROR(__xludf.DUMMYFUNCTION("""COMPUTED_VALUE"""),"Набережная Томи, ул.Весенняя ")</f>
        <v>Набережная Томи, ул.Весенняя </v>
      </c>
      <c r="V207" s="6" t="str">
        <f>IFERROR(__xludf.DUMMYFUNCTION("""COMPUTED_VALUE"""),"Странный вопрос")</f>
        <v>Странный вопрос</v>
      </c>
      <c r="W207" s="6" t="str">
        <f>IFERROR(__xludf.DUMMYFUNCTION("""COMPUTED_VALUE"""),"Разные")</f>
        <v>Разные</v>
      </c>
      <c r="X207" s="6" t="str">
        <f>IFERROR(__xludf.DUMMYFUNCTION("""COMPUTED_VALUE"""),"Набережная Томи - Филармония- парк Антошка")</f>
        <v>Набережная Томи - Филармония- парк Антошка</v>
      </c>
      <c r="Y207" s="6" t="str">
        <f>IFERROR(__xludf.DUMMYFUNCTION("""COMPUTED_VALUE"""),"Кости мамонтов, развитие Шерегеша, к сожалению стал знаменит Зимней вишней")</f>
        <v>Кости мамонтов, развитие Шерегеша, к сожалению стал знаменит Зимней вишней</v>
      </c>
      <c r="Z207" s="6" t="str">
        <f>IFERROR(__xludf.DUMMYFUNCTION("""COMPUTED_VALUE"""),"Начало строительство новой набережной и теннисного корта, продление Комсомольского проспекта, строительство парка Ангелов")</f>
        <v>Начало строительство новой набережной и теннисного корта, продление Комсомольского проспекта, строительство парка Ангелов</v>
      </c>
      <c r="AA207" s="6" t="str">
        <f>IFERROR(__xludf.DUMMYFUNCTION("""COMPUTED_VALUE"""),"Ухудшение экологии, ухудшение экономической ситуации и уменьшение реальных зарплат, демографические изменения - уезжает массово молодёжь, приезжают республики азии")</f>
        <v>Ухудшение экологии, ухудшение экономической ситуации и уменьшение реальных зарплат, демографические изменения - уезжает массово молодёжь, приезжают республики азии</v>
      </c>
      <c r="AB207" s="6" t="str">
        <f>IFERROR(__xludf.DUMMYFUNCTION("""COMPUTED_VALUE"""),"Спортивных, творческих, бизнес")</f>
        <v>Спортивных, творческих, бизнес</v>
      </c>
      <c r="AC207" s="6" t="str">
        <f>IFERROR(__xludf.DUMMYFUNCTION("""COMPUTED_VALUE"""),"Спортивные, творческие, бизнес что ")</f>
        <v>Спортивные, творческие, бизнес что </v>
      </c>
      <c r="AD207" s="6" t="str">
        <f>IFERROR(__xludf.DUMMYFUNCTION("""COMPUTED_VALUE"""),"Что за проекты?")</f>
        <v>Что за проекты?</v>
      </c>
      <c r="AE207" s="6" t="str">
        <f>IFERROR(__xludf.DUMMYFUNCTION("""COMPUTED_VALUE"""),"Мужской")</f>
        <v>Мужской</v>
      </c>
      <c r="AF207" s="6" t="str">
        <f>IFERROR(__xludf.DUMMYFUNCTION("""COMPUTED_VALUE"""),"30-44")</f>
        <v>30-44</v>
      </c>
      <c r="AG207" s="6"/>
      <c r="AH207" s="6"/>
      <c r="AI207" s="6"/>
      <c r="AJ207" s="6"/>
      <c r="AK207" s="6"/>
      <c r="AL207" s="6"/>
      <c r="AM207" s="6"/>
    </row>
    <row r="208">
      <c r="A208" s="4">
        <v>207.0</v>
      </c>
      <c r="B208" s="6" t="str">
        <f>IFERROR(__xludf.DUMMYFUNCTION("""COMPUTED_VALUE"""),"Коммерческая деятельность")</f>
        <v>Коммерческая деятельность</v>
      </c>
      <c r="C208" s="6" t="str">
        <f>IFERROR(__xludf.DUMMYFUNCTION("""COMPUTED_VALUE"""),"Бег, сноуборд ")</f>
        <v>Бег, сноуборд </v>
      </c>
      <c r="D208" s="6" t="str">
        <f>IFERROR(__xludf.DUMMYFUNCTION("""COMPUTED_VALUE"""),"Ленинский")</f>
        <v>Ленинский</v>
      </c>
      <c r="E208" s="6" t="str">
        <f>IFERROR(__xludf.DUMMYFUNCTION("""COMPUTED_VALUE"""),"Красивый отремонтированный бр Строителей в котором невозможно заниматься спортом из-за шума, потока машин и загазованности от них, но можно прогуляться; неухоженный парк Кузбасский, который стал убогим и неприятным для прогулок; лес между Химиков и Ленина"&amp;" где можно сделать суперэкозону для прогулок/ пробежек; строящийся теннисный корт, дающий надежды")</f>
        <v>Красивый отремонтированный бр Строителей в котором невозможно заниматься спортом из-за шума, потока машин и загазованности от них, но можно прогуляться; неухоженный парк Кузбасский, который стал убогим и неприятным для прогулок; лес между Химиков и Ленина где можно сделать суперэкозону для прогулок/ пробежек; строящийся теннисный корт, дающий надежды</v>
      </c>
      <c r="F208" s="6" t="str">
        <f>IFERROR(__xludf.DUMMYFUNCTION("""COMPUTED_VALUE"""),"Переехал сюда из другого места (откуда? укажите в графе другое), Москва")</f>
        <v>Переехал сюда из другого места (откуда? укажите в графе другое), Москва</v>
      </c>
      <c r="G208" s="6" t="str">
        <f>IFERROR(__xludf.DUMMYFUNCTION("""COMPUTED_VALUE"""),"Набережная Томи, Шерегеш")</f>
        <v>Набережная Томи, Шерегеш</v>
      </c>
      <c r="H208" s="6" t="str">
        <f>IFERROR(__xludf.DUMMYFUNCTION("""COMPUTED_VALUE"""),"Компактный, Относительноухоженный, Загазованный, Холодный, Бесперспективный")</f>
        <v>Компактный, Относительноухоженный, Загазованный, Холодный, Бесперспективный</v>
      </c>
      <c r="I208" s="6" t="str">
        <f>IFERROR(__xludf.DUMMYFUNCTION("""COMPUTED_VALUE"""),"Волков, Леонов")</f>
        <v>Волков, Леонов</v>
      </c>
      <c r="J208" s="6" t="str">
        <f>IFERROR(__xludf.DUMMYFUNCTION("""COMPUTED_VALUE"""),"Леонов, Головин, Арбачаков")</f>
        <v>Леонов, Головин, Арбачаков</v>
      </c>
      <c r="K208" s="6" t="str">
        <f>IFERROR(__xludf.DUMMYFUNCTION("""COMPUTED_VALUE"""),"Лесная поляна, парк Ангелов, памятник Шахтеру, Набережная Томи")</f>
        <v>Лесная поляна, парк Ангелов, памятник Шахтеру, Набережная Томи</v>
      </c>
      <c r="L208" s="6" t="str">
        <f>IFERROR(__xludf.DUMMYFUNCTION("""COMPUTED_VALUE"""),"Это какие то бузотёры")</f>
        <v>Это какие то бузотёры</v>
      </c>
      <c r="M208" s="6" t="str">
        <f>IFERROR(__xludf.DUMMYFUNCTION("""COMPUTED_VALUE"""),"Мультифора")</f>
        <v>Мультифора</v>
      </c>
      <c r="N208" s="6" t="str">
        <f>IFERROR(__xludf.DUMMYFUNCTION("""COMPUTED_VALUE"""),"Экология, Инфраструктура, Обеспеченность хорошим общественным транспортом, Рабочие места с адекватной зп")</f>
        <v>Экология, Инфраструктура, Обеспеченность хорошим общественным транспортом, Рабочие места с адекватной зп</v>
      </c>
      <c r="O208" s="6" t="str">
        <f>IFERROR(__xludf.DUMMYFUNCTION("""COMPUTED_VALUE"""),"Ужасный общественный транспорт и коптящие чёрным дымом маршрутки, ОЗЕЛЕНЕНИЕ и создание гораздо большего зон для досуга, спорта; больше современных спортивных площадок с современными покрытия и, а не таких как есть сейчас, например баскетбольные площадки "&amp;"с ПЕСКОМ, меньше милитаризма в виде танков, самолётов и плакатов про ВОВ ")</f>
        <v>Ужасный общественный транспорт и коптящие чёрным дымом маршрутки, ОЗЕЛЕНЕНИЕ и создание гораздо большего зон для досуга, спорта; больше современных спортивных площадок с современными покрытия и, а не таких как есть сейчас, например баскетбольные площадки с ПЕСКОМ, меньше милитаризма в виде танков, самолётов и плакатов про ВОВ </v>
      </c>
      <c r="P208" s="6" t="str">
        <f>IFERROR(__xludf.DUMMYFUNCTION("""COMPUTED_VALUE"""),"наружная реклама, соцсети, поисковики")</f>
        <v>наружная реклама, соцсети, поисковики</v>
      </c>
      <c r="Q208" s="6" t="str">
        <f>IFERROR(__xludf.DUMMYFUNCTION("""COMPUTED_VALUE"""),"куда пойти в свободное время,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208" s="6" t="str">
        <f>IFERROR(__xludf.DUMMYFUNCTION("""COMPUTED_VALUE"""),"Новый год, День города")</f>
        <v>Новый год, День города</v>
      </c>
      <c r="S208" s="6" t="str">
        <f>IFERROR(__xludf.DUMMYFUNCTION("""COMPUTED_VALUE"""),"Через социальные сети (Какие? Укажите в графе другое), Обращался в редакции городских газет, телевидения, радио")</f>
        <v>Через социальные сети (Какие? Укажите в графе другое), Обращался в редакции городских газет, телевидения, радио</v>
      </c>
      <c r="T208" s="6" t="str">
        <f>IFERROR(__xludf.DUMMYFUNCTION("""COMPUTED_VALUE"""),"Криминальныыми сводками, углем, хорошими дорогами")</f>
        <v>Криминальныыми сводками, углем, хорошими дорогами</v>
      </c>
      <c r="U208" s="6" t="str">
        <f>IFERROR(__xludf.DUMMYFUNCTION("""COMPUTED_VALUE"""),"Набережная Томи, ул.Весенняя ")</f>
        <v>Набережная Томи, ул.Весенняя </v>
      </c>
      <c r="V208" s="6" t="str">
        <f>IFERROR(__xludf.DUMMYFUNCTION("""COMPUTED_VALUE"""),"Странный вопрос")</f>
        <v>Странный вопрос</v>
      </c>
      <c r="W208" s="6" t="str">
        <f>IFERROR(__xludf.DUMMYFUNCTION("""COMPUTED_VALUE"""),"Разные")</f>
        <v>Разные</v>
      </c>
      <c r="X208" s="6" t="str">
        <f>IFERROR(__xludf.DUMMYFUNCTION("""COMPUTED_VALUE"""),"Набережная Томи - Филармония- парк Антошка")</f>
        <v>Набережная Томи - Филармония- парк Антошка</v>
      </c>
      <c r="Y208" s="6" t="str">
        <f>IFERROR(__xludf.DUMMYFUNCTION("""COMPUTED_VALUE"""),"Кости мамонтов, развитие Шерегеша, к сожалению стал знаменит Зимней вишней")</f>
        <v>Кости мамонтов, развитие Шерегеша, к сожалению стал знаменит Зимней вишней</v>
      </c>
      <c r="Z208" s="6" t="str">
        <f>IFERROR(__xludf.DUMMYFUNCTION("""COMPUTED_VALUE"""),"Начало строительство новой набережной и теннисного корта, продление Комсомольского проспекта, строительство парка Ангелов")</f>
        <v>Начало строительство новой набережной и теннисного корта, продление Комсомольского проспекта, строительство парка Ангелов</v>
      </c>
      <c r="AA208" s="6" t="str">
        <f>IFERROR(__xludf.DUMMYFUNCTION("""COMPUTED_VALUE"""),"Ухудшение экологии, ухудшение экономической ситуации и уменьшение реальных зарплат, демографические изменения - уезжает массово молодёжь, приезжают республики азии")</f>
        <v>Ухудшение экологии, ухудшение экономической ситуации и уменьшение реальных зарплат, демографические изменения - уезжает массово молодёжь, приезжают республики азии</v>
      </c>
      <c r="AB208" s="6" t="str">
        <f>IFERROR(__xludf.DUMMYFUNCTION("""COMPUTED_VALUE"""),"Спортивных, творческих, бизнес")</f>
        <v>Спортивных, творческих, бизнес</v>
      </c>
      <c r="AC208" s="6" t="str">
        <f>IFERROR(__xludf.DUMMYFUNCTION("""COMPUTED_VALUE"""),"Спортивные, творческие, бизнес что ")</f>
        <v>Спортивные, творческие, бизнес что </v>
      </c>
      <c r="AD208" s="6" t="str">
        <f>IFERROR(__xludf.DUMMYFUNCTION("""COMPUTED_VALUE"""),"Что за проекты?")</f>
        <v>Что за проекты?</v>
      </c>
      <c r="AE208" s="6" t="str">
        <f>IFERROR(__xludf.DUMMYFUNCTION("""COMPUTED_VALUE"""),"Мужской")</f>
        <v>Мужской</v>
      </c>
      <c r="AF208" s="6" t="str">
        <f>IFERROR(__xludf.DUMMYFUNCTION("""COMPUTED_VALUE"""),"30-44")</f>
        <v>30-44</v>
      </c>
      <c r="AG208" s="6"/>
      <c r="AH208" s="6"/>
      <c r="AI208" s="6"/>
      <c r="AJ208" s="6"/>
      <c r="AK208" s="6"/>
      <c r="AL208" s="6"/>
      <c r="AM208" s="6"/>
    </row>
    <row r="209">
      <c r="A209" s="4">
        <v>208.0</v>
      </c>
      <c r="B209" s="6" t="str">
        <f>IFERROR(__xludf.DUMMYFUNCTION("""COMPUTED_VALUE"""),"Студент")</f>
        <v>Студент</v>
      </c>
      <c r="C209" s="6" t="str">
        <f>IFERROR(__xludf.DUMMYFUNCTION("""COMPUTED_VALUE"""),"Вокал")</f>
        <v>Вокал</v>
      </c>
      <c r="D209" s="6" t="str">
        <f>IFERROR(__xludf.DUMMYFUNCTION("""COMPUTED_VALUE"""),"Ленинский")</f>
        <v>Ленинский</v>
      </c>
      <c r="E209" s="6" t="str">
        <f>IFERROR(__xludf.DUMMYFUNCTION("""COMPUTED_VALUE"""),"Парк Ангелов")</f>
        <v>Парк Ангелов</v>
      </c>
      <c r="F209" s="6" t="str">
        <f>IFERROR(__xludf.DUMMYFUNCTION("""COMPUTED_VALUE"""),"Переехал сюда из другого места (откуда? укажите в графе другое), Из Томской области. ")</f>
        <v>Переехал сюда из другого места (откуда? укажите в графе другое), Из Томской области. </v>
      </c>
      <c r="G209" s="6" t="str">
        <f>IFERROR(__xludf.DUMMYFUNCTION("""COMPUTED_VALUE"""),"Бульвар Строителей ")</f>
        <v>Бульвар Строителей </v>
      </c>
      <c r="H209" s="6" t="str">
        <f>IFERROR(__xludf.DUMMYFUNCTION("""COMPUTED_VALUE"""),"-")</f>
        <v>-</v>
      </c>
      <c r="I209" s="6" t="str">
        <f>IFERROR(__xludf.DUMMYFUNCTION("""COMPUTED_VALUE"""),"-")</f>
        <v>-</v>
      </c>
      <c r="J209" s="6" t="str">
        <f>IFERROR(__xludf.DUMMYFUNCTION("""COMPUTED_VALUE"""),"Елена Малышева")</f>
        <v>Елена Малышева</v>
      </c>
      <c r="K209" s="6" t="str">
        <f>IFERROR(__xludf.DUMMYFUNCTION("""COMPUTED_VALUE"""),"-")</f>
        <v>-</v>
      </c>
      <c r="L209" s="6" t="str">
        <f>IFERROR(__xludf.DUMMYFUNCTION("""COMPUTED_VALUE"""),"-")</f>
        <v>-</v>
      </c>
      <c r="M209" s="6" t="str">
        <f>IFERROR(__xludf.DUMMYFUNCTION("""COMPUTED_VALUE"""),"-")</f>
        <v>-</v>
      </c>
      <c r="N209" s="6" t="str">
        <f>IFERROR(__xludf.DUMMYFUNCTION("""COMPUTED_VALUE"""),"-")</f>
        <v>-</v>
      </c>
      <c r="O209" s="6" t="str">
        <f>IFERROR(__xludf.DUMMYFUNCTION("""COMPUTED_VALUE"""),"Дороги")</f>
        <v>Дороги</v>
      </c>
      <c r="P209" s="6" t="str">
        <f>IFERROR(__xludf.DUMMYFUNCTION("""COMPUTED_VALUE"""),"от одногруппников ")</f>
        <v>от одногруппников </v>
      </c>
      <c r="Q209" s="6" t="str">
        <f>IFERROR(__xludf.DUMMYFUNCTION("""COMPUTED_VALUE"""),"интервью с местными творческими личностями, криминальные новости (происшествия/преступления)")</f>
        <v>интервью с местными творческими личностями, криминальные новости (происшествия/преступления)</v>
      </c>
      <c r="R209" s="6" t="str">
        <f>IFERROR(__xludf.DUMMYFUNCTION("""COMPUTED_VALUE"""),"-")</f>
        <v>-</v>
      </c>
      <c r="S209" s="6" t="str">
        <f>IFERROR(__xludf.DUMMYFUNCTION("""COMPUTED_VALUE"""),"Нет, не приходилось")</f>
        <v>Нет, не приходилось</v>
      </c>
      <c r="T209" s="6" t="str">
        <f>IFERROR(__xludf.DUMMYFUNCTION("""COMPUTED_VALUE"""),"Шахтеры, ")</f>
        <v>Шахтеры, </v>
      </c>
      <c r="U209" s="6" t="str">
        <f>IFERROR(__xludf.DUMMYFUNCTION("""COMPUTED_VALUE"""),"-")</f>
        <v>-</v>
      </c>
      <c r="V209" s="6" t="str">
        <f>IFERROR(__xludf.DUMMYFUNCTION("""COMPUTED_VALUE"""),"Строили город")</f>
        <v>Строили город</v>
      </c>
      <c r="W209" s="6" t="str">
        <f>IFERROR(__xludf.DUMMYFUNCTION("""COMPUTED_VALUE"""),"Спокойные, неторопливые.")</f>
        <v>Спокойные, неторопливые.</v>
      </c>
      <c r="X209" s="6" t="str">
        <f>IFERROR(__xludf.DUMMYFUNCTION("""COMPUTED_VALUE"""),"-")</f>
        <v>-</v>
      </c>
      <c r="Y209" s="6" t="str">
        <f>IFERROR(__xludf.DUMMYFUNCTION("""COMPUTED_VALUE"""),"-")</f>
        <v>-</v>
      </c>
      <c r="Z209" s="6" t="str">
        <f>IFERROR(__xludf.DUMMYFUNCTION("""COMPUTED_VALUE"""),"-")</f>
        <v>-</v>
      </c>
      <c r="AA209" s="6" t="str">
        <f>IFERROR(__xludf.DUMMYFUNCTION("""COMPUTED_VALUE"""),"-")</f>
        <v>-</v>
      </c>
      <c r="AB209" s="6" t="str">
        <f>IFERROR(__xludf.DUMMYFUNCTION("""COMPUTED_VALUE"""),"-")</f>
        <v>-</v>
      </c>
      <c r="AC209" s="6" t="str">
        <f>IFERROR(__xludf.DUMMYFUNCTION("""COMPUTED_VALUE"""),"Как можно больше творческих мероприятий ")</f>
        <v>Как можно больше творческих мероприятий </v>
      </c>
      <c r="AD209" s="6" t="str">
        <f>IFERROR(__xludf.DUMMYFUNCTION("""COMPUTED_VALUE"""),"-")</f>
        <v>-</v>
      </c>
      <c r="AE209" s="6" t="str">
        <f>IFERROR(__xludf.DUMMYFUNCTION("""COMPUTED_VALUE"""),"Мужской")</f>
        <v>Мужской</v>
      </c>
      <c r="AF209" s="6" t="str">
        <f>IFERROR(__xludf.DUMMYFUNCTION("""COMPUTED_VALUE"""),"18-29")</f>
        <v>18-29</v>
      </c>
      <c r="AG209" s="6"/>
      <c r="AH209" s="6"/>
      <c r="AI209" s="6"/>
      <c r="AJ209" s="6"/>
      <c r="AK209" s="6"/>
      <c r="AL209" s="6"/>
      <c r="AM209" s="6"/>
    </row>
    <row r="210">
      <c r="A210" s="4">
        <v>209.0</v>
      </c>
      <c r="B210" s="6" t="str">
        <f>IFERROR(__xludf.DUMMYFUNCTION("""COMPUTED_VALUE"""),"студент ")</f>
        <v>студент </v>
      </c>
      <c r="C210" s="6" t="str">
        <f>IFERROR(__xludf.DUMMYFUNCTION("""COMPUTED_VALUE"""),"пение, йога ")</f>
        <v>пение, йога </v>
      </c>
      <c r="D210" s="6" t="str">
        <f>IFERROR(__xludf.DUMMYFUNCTION("""COMPUTED_VALUE"""),"заводский, парк ангелов ")</f>
        <v>заводский, парк ангелов </v>
      </c>
      <c r="E210" s="6" t="str">
        <f>IFERROR(__xludf.DUMMYFUNCTION("""COMPUTED_VALUE"""),"парк ангелов, вокзал")</f>
        <v>парк ангелов, вокзал</v>
      </c>
      <c r="F210"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210" s="6" t="str">
        <f>IFERROR(__xludf.DUMMYFUNCTION("""COMPUTED_VALUE"""),"в центр ")</f>
        <v>в центр </v>
      </c>
      <c r="H210" s="6" t="str">
        <f>IFERROR(__xludf.DUMMYFUNCTION("""COMPUTED_VALUE"""),"химия, столица, учеба")</f>
        <v>химия, столица, учеба</v>
      </c>
      <c r="I210" s="6" t="str">
        <f>IFERROR(__xludf.DUMMYFUNCTION("""COMPUTED_VALUE"""),"михайло волков")</f>
        <v>михайло волков</v>
      </c>
      <c r="J210" s="6" t="str">
        <f>IFERROR(__xludf.DUMMYFUNCTION("""COMPUTED_VALUE"""),"не знаю")</f>
        <v>не знаю</v>
      </c>
      <c r="K210" s="6" t="str">
        <f>IFERROR(__xludf.DUMMYFUNCTION("""COMPUTED_VALUE"""),"кузбасс в сосновом бору, озеро красное, ботанический сад")</f>
        <v>кузбасс в сосновом бору, озеро красное, ботанический сад</v>
      </c>
      <c r="L210" s="6" t="str">
        <f>IFERROR(__xludf.DUMMYFUNCTION("""COMPUTED_VALUE"""),"не знаю")</f>
        <v>не знаю</v>
      </c>
      <c r="M210" s="6" t="str">
        <f>IFERROR(__xludf.DUMMYFUNCTION("""COMPUTED_VALUE"""),"нет")</f>
        <v>нет</v>
      </c>
      <c r="N210" s="6" t="str">
        <f>IFERROR(__xludf.DUMMYFUNCTION("""COMPUTED_VALUE"""),"хороши внешний вид города, доступная транспортная и инфраструктура, чистота, широкий  выбор досуга, наличие мест отдыха, которые хотелось бы посещать ")</f>
        <v>хороши внешний вид города, доступная транспортная и инфраструктура, чистота, широкий  выбор досуга, наличие мест отдыха, которые хотелось бы посещать </v>
      </c>
      <c r="O210" s="6" t="str">
        <f>IFERROR(__xludf.DUMMYFUNCTION("""COMPUTED_VALUE"""),"убрать заборы вдоль дорог, усовершенствовать дренажные системы и ухаживать за газонами, для того чтобы не было грязи, отремонтировать фасады домов (даже провести реновацию), создать дизайн-код (чтобы не было пестрых разнообразных вывесок и рекламы), сдела"&amp;"ть нормальные тротуары и придомовые территории( желательно избавится от асфальта, используя вместо этого брусчатку), не использовать вентфасады, своевременно избавляться от снега")</f>
        <v>убрать заборы вдоль дорог, усовершенствовать дренажные системы и ухаживать за газонами, для того чтобы не было грязи, отремонтировать фасады домов (даже провести реновацию), создать дизайн-код (чтобы не было пестрых разнообразных вывесок и рекламы), сделать нормальные тротуары и придомовые территории( желательно избавится от асфальта, используя вместо этого брусчатку), не использовать вентфасады, своевременно избавляться от снега</v>
      </c>
      <c r="P210" s="6" t="str">
        <f>IFERROR(__xludf.DUMMYFUNCTION("""COMPUTED_VALUE"""),"новостная лента Яндекса")</f>
        <v>новостная лента Яндекса</v>
      </c>
      <c r="Q210"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210" s="6" t="str">
        <f>IFERROR(__xludf.DUMMYFUNCTION("""COMPUTED_VALUE"""),"День России, Новый год ")</f>
        <v>День России, Новый год </v>
      </c>
      <c r="S210" s="6" t="str">
        <f>IFERROR(__xludf.DUMMYFUNCTION("""COMPUTED_VALUE"""),"Нет, не приходилось")</f>
        <v>Нет, не приходилось</v>
      </c>
      <c r="T210" s="6" t="str">
        <f>IFERROR(__xludf.DUMMYFUNCTION("""COMPUTED_VALUE"""),"Химическая промышленность, город(столица) Кузбасса(а ассоциация с Кузбассом - уголь). Главная проблема в том, что особой уникальности  по сравнению с другими постсоветским городами такого размера нет ")</f>
        <v>Химическая промышленность, город(столица) Кузбасса(а ассоциация с Кузбассом - уголь). Главная проблема в том, что особой уникальности  по сравнению с другими постсоветским городами такого размера нет </v>
      </c>
      <c r="U210" s="6" t="str">
        <f>IFERROR(__xludf.DUMMYFUNCTION("""COMPUTED_VALUE"""),"Площадь Советов, Набережная Томи")</f>
        <v>Площадь Советов, Набережная Томи</v>
      </c>
      <c r="V210" s="6" t="str">
        <f>IFERROR(__xludf.DUMMYFUNCTION("""COMPUTED_VALUE"""),"Жители советского периода, как и всей страны, росли в особой идеологии, которая позволяла им мобилизовать ресурсы и создавать большие проекты: предприятия промышленности, транспортную инфраструктуру, центр города в сталинском стиле. Все это произошло за д"&amp;"овольно короткий временной промежуток, что довольно сильно вдохновляет ")</f>
        <v>Жители советского периода, как и всей страны, росли в особой идеологии, которая позволяла им мобилизовать ресурсы и создавать большие проекты: предприятия промышленности, транспортную инфраструктуру, центр города в сталинском стиле. Все это произошло за довольно короткий временной промежуток, что довольно сильно вдохновляет </v>
      </c>
      <c r="W210" s="6" t="str">
        <f>IFERROR(__xludf.DUMMYFUNCTION("""COMPUTED_VALUE"""),"Все люди разные, нельзя брать всех под одну гребенку. В целом есть качества, схожие с качествами жителей остальной Сибири, обусловленные климатом, отдаленностью от центра страны (может быть качество - большая  отстранённость от горячих тем, вроде внешней "&amp;"политики, поскольку находимся в глубине страны, не уверен). На мой взгляд, упор нужно делать на некое единство всех жителей Кузбасса, вспоминая красивую природу, Шерегеш. А для города, наоборот, акцентировать внимание на разнообразии. Кто-то больше творче"&amp;"ский человек, кто то больше научный, предприимчивый. И город должен быть комфортным для всех, перемешивать всех. Слоган - единство в многообразии ")</f>
        <v>Все люди разные, нельзя брать всех под одну гребенку. В целом есть качества, схожие с качествами жителей остальной Сибири, обусловленные климатом, отдаленностью от центра страны (может быть качество - большая  отстранённость от горячих тем, вроде внешней политики, поскольку находимся в глубине страны, не уверен). На мой взгляд, упор нужно делать на некое единство всех жителей Кузбасса, вспоминая красивую природу, Шерегеш. А для города, наоборот, акцентировать внимание на разнообразии. Кто-то больше творческий человек, кто то больше научный, предприимчивый. И город должен быть комфортным для всех, перемешивать всех. Слоган - единство в многообразии </v>
      </c>
      <c r="X210" s="6" t="str">
        <f>IFERROR(__xludf.DUMMYFUNCTION("""COMPUTED_VALUE"""),"Вокзал-Парк Ангелов-Весенняя улица-Площадь Советов-Драмтеатр-Набережная-Сосновый бор ")</f>
        <v>Вокзал-Парк Ангелов-Весенняя улица-Площадь Советов-Драмтеатр-Набережная-Сосновый бор </v>
      </c>
      <c r="Y210" s="6" t="str">
        <f>IFERROR(__xludf.DUMMYFUNCTION("""COMPUTED_VALUE"""),"не знаю")</f>
        <v>не знаю</v>
      </c>
      <c r="Z210" s="6" t="str">
        <f>IFERROR(__xludf.DUMMYFUNCTION("""COMPUTED_VALUE"""),"начало строительства многих зданий на набережной Искитимки и в Ленинском районе, открытие парка Ангелов")</f>
        <v>начало строительства многих зданий на набережной Искитимки и в Ленинском районе, открытие парка Ангелов</v>
      </c>
      <c r="AA210" s="6" t="str">
        <f>IFERROR(__xludf.DUMMYFUNCTION("""COMPUTED_VALUE"""),"не помню")</f>
        <v>не помню</v>
      </c>
      <c r="AB210" s="6" t="str">
        <f>IFERROR(__xludf.DUMMYFUNCTION("""COMPUTED_VALUE"""),"музыка, программирование, урбанистка ")</f>
        <v>музыка, программирование, урбанистка </v>
      </c>
      <c r="AC210" s="6" t="str">
        <f>IFERROR(__xludf.DUMMYFUNCTION("""COMPUTED_VALUE"""),"общегородские ")</f>
        <v>общегородские </v>
      </c>
      <c r="AD210" s="6" t="str">
        <f>IFERROR(__xludf.DUMMYFUNCTION("""COMPUTED_VALUE"""),"оценивать решения, разрабатывать ")</f>
        <v>оценивать решения, разрабатывать </v>
      </c>
      <c r="AE210" s="6" t="str">
        <f>IFERROR(__xludf.DUMMYFUNCTION("""COMPUTED_VALUE"""),"Мужской")</f>
        <v>Мужской</v>
      </c>
      <c r="AF210" s="6" t="str">
        <f>IFERROR(__xludf.DUMMYFUNCTION("""COMPUTED_VALUE"""),"18-29")</f>
        <v>18-29</v>
      </c>
      <c r="AG210" s="6"/>
      <c r="AH210" s="6"/>
      <c r="AI210" s="6"/>
      <c r="AJ210" s="6"/>
      <c r="AK210" s="6"/>
      <c r="AL210" s="6"/>
      <c r="AM210" s="6"/>
    </row>
    <row r="211">
      <c r="A211" s="4">
        <v>210.0</v>
      </c>
      <c r="B211" s="6" t="str">
        <f>IFERROR(__xludf.DUMMYFUNCTION("""COMPUTED_VALUE"""),"Техник программист")</f>
        <v>Техник программист</v>
      </c>
      <c r="C211" s="6" t="str">
        <f>IFERROR(__xludf.DUMMYFUNCTION("""COMPUTED_VALUE"""),"Увлекаюсь фото и видео съёмкой в городе. Изучаю программирование ви моделирование с разных сторон.")</f>
        <v>Увлекаюсь фото и видео съёмкой в городе. Изучаю программирование ви моделирование с разных сторон.</v>
      </c>
      <c r="D211" s="6" t="str">
        <f>IFERROR(__xludf.DUMMYFUNCTION("""COMPUTED_VALUE"""),"Ленинский район. Альтернативных названий нет, но точка отсчёта для меня это кольцо (пересечение Ленина и бульвара строителей)")</f>
        <v>Ленинский район. Альтернативных названий нет, но точка отсчёта для меня это кольцо (пересечение Ленина и бульвара строителей)</v>
      </c>
      <c r="E211" s="6" t="str">
        <f>IFERROR(__xludf.DUMMYFUNCTION("""COMPUTED_VALUE"""),"Кольцо, Whykick, шалго")</f>
        <v>Кольцо, Whykick, шалго</v>
      </c>
      <c r="F211" s="6" t="str">
        <f>IFERROR(__xludf.DUMMYFUNCTION("""COMPUTED_VALUE"""),"Живу здесь с рождения")</f>
        <v>Живу здесь с рождения</v>
      </c>
      <c r="G211" s="6" t="str">
        <f>IFERROR(__xludf.DUMMYFUNCTION("""COMPUTED_VALUE"""),"Парк Антошка (если рядом), а так по парку на бульваре строителей")</f>
        <v>Парк Антошка (если рядом), а так по парку на бульваре строителей</v>
      </c>
      <c r="H211" s="6" t="str">
        <f>IFERROR(__xludf.DUMMYFUNCTION("""COMPUTED_VALUE"""),"Уголь, дым, газ, скука, деревня.")</f>
        <v>Уголь, дым, газ, скука, деревня.</v>
      </c>
      <c r="I211" s="6" t="str">
        <f>IFERROR(__xludf.DUMMYFUNCTION("""COMPUTED_VALUE"""),"Алексей Леонов?")</f>
        <v>Алексей Леонов?</v>
      </c>
      <c r="J211" s="6" t="str">
        <f>IFERROR(__xludf.DUMMYFUNCTION("""COMPUTED_VALUE"""),"Пока нет")</f>
        <v>Пока нет</v>
      </c>
      <c r="K211" s="6" t="str">
        <f>IFERROR(__xludf.DUMMYFUNCTION("""COMPUTED_VALUE"""),"Драм театр, прогуляться рядом с студенческим мостом, и в сторону вокзала :D")</f>
        <v>Драм театр, прогуляться рядом с студенческим мостом, и в сторону вокзала :D</v>
      </c>
      <c r="L211" s="6" t="str">
        <f>IFERROR(__xludf.DUMMYFUNCTION("""COMPUTED_VALUE"""),"-")</f>
        <v>-</v>
      </c>
      <c r="M211" s="6" t="str">
        <f>IFERROR(__xludf.DUMMYFUNCTION("""COMPUTED_VALUE"""),"Большая деревня")</f>
        <v>Большая деревня</v>
      </c>
      <c r="N211" s="6" t="str">
        <f>IFERROR(__xludf.DUMMYFUNCTION("""COMPUTED_VALUE"""),"Свежий воздух, хорошие дороги (во дворе в том числе),  ...")</f>
        <v>Свежий воздух, хорошие дороги (во дворе в том числе),  ...</v>
      </c>
      <c r="O211" s="6" t="str">
        <f>IFERROR(__xludf.DUMMYFUNCTION("""COMPUTED_VALUE"""),"Ремонт дорог, ремонт домов и фасадов (не только фасады же)")</f>
        <v>Ремонт дорог, ремонт домов и фасадов (не только фасады же)</v>
      </c>
      <c r="P211" s="6" t="str">
        <f>IFERROR(__xludf.DUMMYFUNCTION("""COMPUTED_VALUE"""),"Я отписался от всех кемеровских новостников. Много желтухи и пиара правительства")</f>
        <v>Я отписался от всех кемеровских новостников. Много желтухи и пиара правительства</v>
      </c>
      <c r="Q211" s="6" t="str">
        <f>IFERROR(__xludf.DUMMYFUNCTION("""COMPUTED_VALUE"""),"результаты местных исследований (рейтинги/аналитика/тенденции)")</f>
        <v>результаты местных исследований (рейтинги/аналитика/тенденции)</v>
      </c>
      <c r="R211" s="6" t="str">
        <f>IFERROR(__xludf.DUMMYFUNCTION("""COMPUTED_VALUE"""),"Праздники = выходные. А выходные это хорошо :)")</f>
        <v>Праздники = выходные. А выходные это хорошо :)</v>
      </c>
      <c r="S211" s="6" t="str">
        <f>IFERROR(__xludf.DUMMYFUNCTION("""COMPUTED_VALUE"""),"Стараюсь участвовать в публикации новостей. Мобильный репортёр так сказать. Делать фото или видео.")</f>
        <v>Стараюсь участвовать в публикации новостей. Мобильный репортёр так сказать. Делать фото или видео.</v>
      </c>
      <c r="T211" s="6" t="str">
        <f>IFERROR(__xludf.DUMMYFUNCTION("""COMPUTED_VALUE"""),"Зимняя вишня стала известна во всём мире во время пожара.")</f>
        <v>Зимняя вишня стала известна во всём мире во время пожара.</v>
      </c>
      <c r="U211" s="6" t="str">
        <f>IFERROR(__xludf.DUMMYFUNCTION("""COMPUTED_VALUE"""),"Раньше была Зимка. Сейчас я не езжу в центр. Парк построенный на территории зимки порой для меня становится центром.")</f>
        <v>Раньше была Зимка. Сейчас я не езжу в центр. Парк построенный на территории зимки порой для меня становится центром.</v>
      </c>
      <c r="V211" s="6" t="str">
        <f>IFERROR(__xludf.DUMMYFUNCTION("""COMPUTED_VALUE"""),"-")</f>
        <v>-</v>
      </c>
      <c r="W211" s="6" t="str">
        <f>IFERROR(__xludf.DUMMYFUNCTION("""COMPUTED_VALUE"""),"-")</f>
        <v>-</v>
      </c>
      <c r="X211" s="6" t="str">
        <f>IFERROR(__xludf.DUMMYFUNCTION("""COMPUTED_VALUE"""),"От кэмза через студенческий мост и домой на вокзал 😄")</f>
        <v>От кэмза через студенческий мост и домой на вокзал 😄</v>
      </c>
      <c r="Y211" s="6" t="str">
        <f>IFERROR(__xludf.DUMMYFUNCTION("""COMPUTED_VALUE"""),"Пожар в зимней вишне")</f>
        <v>Пожар в зимней вишне</v>
      </c>
      <c r="Z211" s="6" t="str">
        <f>IFERROR(__xludf.DUMMYFUNCTION("""COMPUTED_VALUE"""),"-")</f>
        <v>-</v>
      </c>
      <c r="AA211" s="6" t="str">
        <f>IFERROR(__xludf.DUMMYFUNCTION("""COMPUTED_VALUE"""),"Зимняя вишня")</f>
        <v>Зимняя вишня</v>
      </c>
      <c r="AB211" s="6" t="str">
        <f>IFERROR(__xludf.DUMMYFUNCTION("""COMPUTED_VALUE"""),"-")</f>
        <v>-</v>
      </c>
      <c r="AC211" s="6" t="str">
        <f>IFERROR(__xludf.DUMMYFUNCTION("""COMPUTED_VALUE"""),"-")</f>
        <v>-</v>
      </c>
      <c r="AD211" s="6" t="str">
        <f>IFERROR(__xludf.DUMMYFUNCTION("""COMPUTED_VALUE"""),"Сам не знаю. Было бы предложение")</f>
        <v>Сам не знаю. Было бы предложение</v>
      </c>
      <c r="AE211" s="6" t="str">
        <f>IFERROR(__xludf.DUMMYFUNCTION("""COMPUTED_VALUE"""),"Мужской")</f>
        <v>Мужской</v>
      </c>
      <c r="AF211" s="6" t="str">
        <f>IFERROR(__xludf.DUMMYFUNCTION("""COMPUTED_VALUE"""),"18-29")</f>
        <v>18-29</v>
      </c>
      <c r="AG211" s="6"/>
      <c r="AH211" s="6"/>
      <c r="AI211" s="6"/>
      <c r="AJ211" s="6"/>
      <c r="AK211" s="6"/>
      <c r="AL211" s="6"/>
      <c r="AM211" s="6"/>
    </row>
    <row r="212">
      <c r="A212" s="4">
        <v>211.0</v>
      </c>
      <c r="B212" s="6" t="str">
        <f>IFERROR(__xludf.DUMMYFUNCTION("""COMPUTED_VALUE"""),"Торговля финансовыми активами")</f>
        <v>Торговля финансовыми активами</v>
      </c>
      <c r="C212" s="6" t="str">
        <f>IFERROR(__xludf.DUMMYFUNCTION("""COMPUTED_VALUE"""),"Профессиональная фотография и музыка")</f>
        <v>Профессиональная фотография и музыка</v>
      </c>
      <c r="D212" s="6" t="str">
        <f>IFERROR(__xludf.DUMMYFUNCTION("""COMPUTED_VALUE"""),"На границе Ленинского и Центрального")</f>
        <v>На границе Ленинского и Центрального</v>
      </c>
      <c r="E212" s="6" t="str">
        <f>IFERROR(__xludf.DUMMYFUNCTION("""COMPUTED_VALUE"""),"Красное озеро, река Томь со скалистым противоположным берегом")</f>
        <v>Красное озеро, река Томь со скалистым противоположным берегом</v>
      </c>
      <c r="F212" s="6" t="str">
        <f>IFERROR(__xludf.DUMMYFUNCTION("""COMPUTED_VALUE"""),"Живу здесь с рождения")</f>
        <v>Живу здесь с рождения</v>
      </c>
      <c r="G212" s="6" t="str">
        <f>IFERROR(__xludf.DUMMYFUNCTION("""COMPUTED_VALUE"""),"Езжу на УАЗЕ по забытым таёжным тропам")</f>
        <v>Езжу на УАЗЕ по забытым таёжным тропам</v>
      </c>
      <c r="H212" s="6" t="str">
        <f>IFERROR(__xludf.DUMMYFUNCTION("""COMPUTED_VALUE"""),"Химический, шахтёрский, культурный, сибирский, грязный.")</f>
        <v>Химический, шахтёрский, культурный, сибирский, грязный.</v>
      </c>
      <c r="I212" s="6" t="str">
        <f>IFERROR(__xludf.DUMMYFUNCTION("""COMPUTED_VALUE"""),"Леонов")</f>
        <v>Леонов</v>
      </c>
      <c r="J212" s="6" t="str">
        <f>IFERROR(__xludf.DUMMYFUNCTION("""COMPUTED_VALUE"""),"Молодые предприниматели: Алексей Поляков, Михаил Беляев, Антон Овчинников, Татьяна Чештанова и другие")</f>
        <v>Молодые предприниматели: Алексей Поляков, Михаил Беляев, Антон Овчинников, Татьяна Чештанова и другие</v>
      </c>
      <c r="K212" s="6" t="str">
        <f>IFERROR(__xludf.DUMMYFUNCTION("""COMPUTED_VALUE"""),"Красная горка, Рудничный Бор, Харатс на Ноградской, арт-пространство Клумба.")</f>
        <v>Красная горка, Рудничный Бор, Харатс на Ноградской, арт-пространство Клумба.</v>
      </c>
      <c r="L212" s="6" t="str">
        <f>IFERROR(__xludf.DUMMYFUNCTION("""COMPUTED_VALUE"""),"Знаю только фразу «человек из Кемерова»")</f>
        <v>Знаю только фразу «человек из Кемерова»</v>
      </c>
      <c r="M212" s="6" t="str">
        <f>IFERROR(__xludf.DUMMYFUNCTION("""COMPUTED_VALUE"""),"Нет, не знаю :(")</f>
        <v>Нет, не знаю :(</v>
      </c>
      <c r="N212" s="6" t="str">
        <f>IFERROR(__xludf.DUMMYFUNCTION("""COMPUTED_VALUE"""),"Возможность комфортно пройти город вдоль и поперёк в белых кроссовках и с детской коляской, возможность проехать на мотоцикле и остаться чистым, возможность доехать на общественном транспорте быстро из нового района в другой новый район, возможность лежат"&amp;"ь на зелёном газоне и работать в ноутбуке.")</f>
        <v>Возможность комфортно пройти город вдоль и поперёк в белых кроссовках и с детской коляской, возможность проехать на мотоцикле и остаться чистым, возможность доехать на общественном транспорте быстро из нового района в другой новый район, возможность лежать на зелёном газоне и работать в ноутбуке.</v>
      </c>
      <c r="O212" s="6" t="str">
        <f>IFERROR(__xludf.DUMMYFUNCTION("""COMPUTED_VALUE"""),"Убрать фальш-фасады из керамогранита, кондиционеры и неопрятные вывески с исторических зданий")</f>
        <v>Убрать фальш-фасады из керамогранита, кондиционеры и неопрятные вывески с исторических зданий</v>
      </c>
      <c r="P212" s="6" t="str">
        <f>IFERROR(__xludf.DUMMYFUNCTION("""COMPUTED_VALUE"""),"Инстаграм")</f>
        <v>Инстаграм</v>
      </c>
      <c r="Q212" s="6" t="str">
        <f>IFERROR(__xludf.DUMMYFUNCTION("""COMPUTED_VALUE"""),"интервью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212" s="6" t="str">
        <f>IFERROR(__xludf.DUMMYFUNCTION("""COMPUTED_VALUE"""),"Затрудняюсь :(")</f>
        <v>Затрудняюсь :(</v>
      </c>
      <c r="S212" s="6" t="str">
        <f>IFERROR(__xludf.DUMMYFUNCTION("""COMPUTED_VALUE"""),"Через социальные сети (Какие? Укажите в графе другое), Организовывали автокультурное событие «HellLow Picnic 2015»")</f>
        <v>Через социальные сети (Какие? Укажите в графе другое), Организовывали автокультурное событие «HellLow Picnic 2015»</v>
      </c>
      <c r="T212" s="6" t="str">
        <f>IFERROR(__xludf.DUMMYFUNCTION("""COMPUTED_VALUE"""),"Прекрасный Бор на правом берегу Томи.")</f>
        <v>Прекрасный Бор на правом берегу Томи.</v>
      </c>
      <c r="U212" s="6" t="str">
        <f>IFERROR(__xludf.DUMMYFUNCTION("""COMPUTED_VALUE"""),"Красная горка")</f>
        <v>Красная горка</v>
      </c>
      <c r="V212" s="6" t="str">
        <f>IFERROR(__xludf.DUMMYFUNCTION("""COMPUTED_VALUE"""),"Если честно, почти никто не чувствует свою ответственность и возможность менять городскую среду в лучшую сторону. Все заняты зарабатыванием денег. Зона комфорта ограничена порогом своего жилья.")</f>
        <v>Если честно, почти никто не чувствует свою ответственность и возможность менять городскую среду в лучшую сторону. Все заняты зарабатыванием денег. Зона комфорта ограничена порогом своего жилья.</v>
      </c>
      <c r="W212" s="6" t="str">
        <f>IFERROR(__xludf.DUMMYFUNCTION("""COMPUTED_VALUE"""),"Если честно, то какие-то угрюмые :( Мало жизнерадостных и целеустремлённых людей.")</f>
        <v>Если честно, то какие-то угрюмые :( Мало жизнерадостных и целеустремлённых людей.</v>
      </c>
      <c r="X212" s="6" t="str">
        <f>IFERROR(__xludf.DUMMYFUNCTION("""COMPUTED_VALUE"""),"От пересечения Притомского/Октябрьского до Набережной с заходом на площадь Пушкина, по Набережной до Кирова/Советского, далее на Ноградскую, Весеннюю.")</f>
        <v>От пересечения Притомского/Октябрьского до Набережной с заходом на площадь Пушкина, по Набережной до Кирова/Советского, далее на Ноградскую, Весеннюю.</v>
      </c>
      <c r="Y212" s="6" t="str">
        <f>IFERROR(__xludf.DUMMYFUNCTION("""COMPUTED_VALUE"""),"Рок-концерт напротив Лапландии в 2019 году")</f>
        <v>Рок-концерт напротив Лапландии в 2019 году</v>
      </c>
      <c r="Z212" s="6" t="str">
        <f>IFERROR(__xludf.DUMMYFUNCTION("""COMPUTED_VALUE"""),"Может быть, что связано со строительством: реконструкция бульвара Строителей, продление проспекта Московского, начало строительства большого культурного кластера и продление набережной.")</f>
        <v>Может быть, что связано со строительством: реконструкция бульвара Строителей, продление проспекта Московского, начало строительства большого культурного кластера и продление набережной.</v>
      </c>
      <c r="AA212" s="6" t="str">
        <f>IFERROR(__xludf.DUMMYFUNCTION("""COMPUTED_VALUE"""),"Частые пожары на объектах малого и среднего бизнеса :(")</f>
        <v>Частые пожары на объектах малого и среднего бизнеса :(</v>
      </c>
      <c r="AB212" s="6" t="str">
        <f>IFERROR(__xludf.DUMMYFUNCTION("""COMPUTED_VALUE"""),"Побольше профсоюзов хотелось бы. И авторитетных интересных научных сообществ.")</f>
        <v>Побольше профсоюзов хотелось бы. И авторитетных интересных научных сообществ.</v>
      </c>
      <c r="AC212" s="6" t="str">
        <f>IFERROR(__xludf.DUMMYFUNCTION("""COMPUTED_VALUE"""),"Концерты мировых исполнителей")</f>
        <v>Концерты мировых исполнителей</v>
      </c>
      <c r="AD212" s="6" t="str">
        <f>IFERROR(__xludf.DUMMYFUNCTION("""COMPUTED_VALUE"""),"В роли консультанта по приведению городской среды в порядок")</f>
        <v>В роли консультанта по приведению городской среды в порядок</v>
      </c>
      <c r="AE212" s="6" t="str">
        <f>IFERROR(__xludf.DUMMYFUNCTION("""COMPUTED_VALUE"""),"Мужской")</f>
        <v>Мужской</v>
      </c>
      <c r="AF212" s="6" t="str">
        <f>IFERROR(__xludf.DUMMYFUNCTION("""COMPUTED_VALUE"""),"30-44")</f>
        <v>30-44</v>
      </c>
      <c r="AG212" s="6"/>
      <c r="AH212" s="6"/>
      <c r="AI212" s="6"/>
      <c r="AJ212" s="6"/>
      <c r="AK212" s="6"/>
      <c r="AL212" s="6"/>
      <c r="AM212" s="6"/>
    </row>
    <row r="213">
      <c r="A213" s="4">
        <v>212.0</v>
      </c>
      <c r="B213" s="6" t="str">
        <f>IFERROR(__xludf.DUMMYFUNCTION("""COMPUTED_VALUE"""),"ИТ")</f>
        <v>ИТ</v>
      </c>
      <c r="C213" s="6" t="str">
        <f>IFERROR(__xludf.DUMMYFUNCTION("""COMPUTED_VALUE"""),"их много")</f>
        <v>их много</v>
      </c>
      <c r="D213" s="6" t="str">
        <f>IFERROR(__xludf.DUMMYFUNCTION("""COMPUTED_VALUE"""),"Радуга, район с самым чистым воздухом после Лесной Поляны")</f>
        <v>Радуга, район с самым чистым воздухом после Лесной Поляны</v>
      </c>
      <c r="E213" s="6" t="str">
        <f>IFERROR(__xludf.DUMMYFUNCTION("""COMPUTED_VALUE"""),"Бор")</f>
        <v>Бор</v>
      </c>
      <c r="F213" s="6" t="str">
        <f>IFERROR(__xludf.DUMMYFUNCTION("""COMPUTED_VALUE"""),"Живу здесь с рождения")</f>
        <v>Живу здесь с рождения</v>
      </c>
      <c r="G213" s="6" t="str">
        <f>IFERROR(__xludf.DUMMYFUNCTION("""COMPUTED_VALUE"""),"Бор, набережная")</f>
        <v>Бор, набережная</v>
      </c>
      <c r="H213" s="6" t="str">
        <f>IFERROR(__xludf.DUMMYFUNCTION("""COMPUTED_VALUE"""),"смог, разбитые дороги, говорят самый зеленый город сибири")</f>
        <v>смог, разбитые дороги, говорят самый зеленый город сибири</v>
      </c>
      <c r="I213" s="6" t="str">
        <f>IFERROR(__xludf.DUMMYFUNCTION("""COMPUTED_VALUE"""),"Алексей Леонов")</f>
        <v>Алексей Леонов</v>
      </c>
      <c r="J213" s="6" t="str">
        <f>IFERROR(__xludf.DUMMYFUNCTION("""COMPUTED_VALUE"""),"затрудняюсь ответить")</f>
        <v>затрудняюсь ответить</v>
      </c>
      <c r="K213" s="6" t="str">
        <f>IFERROR(__xludf.DUMMYFUNCTION("""COMPUTED_VALUE"""),"Набережная, Память шахтёрам Кузбасса, надпись ""КУЗБАСС"" в бору, Парк Ангелов")</f>
        <v>Набережная, Память шахтёрам Кузбасса, надпись "КУЗБАСС" в бору, Парк Ангелов</v>
      </c>
      <c r="L213" s="6" t="str">
        <f>IFERROR(__xludf.DUMMYFUNCTION("""COMPUTED_VALUE"""),"затрудняюсь ответить")</f>
        <v>затрудняюсь ответить</v>
      </c>
      <c r="M213" s="6" t="str">
        <f>IFERROR(__xludf.DUMMYFUNCTION("""COMPUTED_VALUE"""),"""Кировский""... остальное нецензурные жаргонизмы ")</f>
        <v>"Кировский"... остальное нецензурные жаргонизмы </v>
      </c>
      <c r="N213" s="6" t="str">
        <f>IFERROR(__xludf.DUMMYFUNCTION("""COMPUTED_VALUE"""),"Экология, отсутствие криминогенной обстановки, хорошие дороги, развитая инфраструктура")</f>
        <v>Экология, отсутствие криминогенной обстановки, хорошие дороги, развитая инфраструктура</v>
      </c>
      <c r="O213" s="6" t="str">
        <f>IFERROR(__xludf.DUMMYFUNCTION("""COMPUTED_VALUE"""),"Больше зелени")</f>
        <v>Больше зелени</v>
      </c>
      <c r="P213" s="6" t="str">
        <f>IFERROR(__xludf.DUMMYFUNCTION("""COMPUTED_VALUE"""),"А42, знакомые")</f>
        <v>А42, знакомые</v>
      </c>
      <c r="Q213"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f>
        <v>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v>
      </c>
      <c r="R213" s="6" t="str">
        <f>IFERROR(__xludf.DUMMYFUNCTION("""COMPUTED_VALUE"""),"день города")</f>
        <v>день города</v>
      </c>
      <c r="S213" s="6" t="str">
        <f>IFERROR(__xludf.DUMMYFUNCTION("""COMPUTED_VALUE"""),"организация контестов в скейтпарках")</f>
        <v>организация контестов в скейтпарках</v>
      </c>
      <c r="T213" s="6" t="str">
        <f>IFERROR(__xludf.DUMMYFUNCTION("""COMPUTED_VALUE"""),"Леонов, Зимняя Вишня")</f>
        <v>Леонов, Зимняя Вишня</v>
      </c>
      <c r="U213" s="6" t="str">
        <f>IFERROR(__xludf.DUMMYFUNCTION("""COMPUTED_VALUE"""),"Ул. Весенняя ")</f>
        <v>Ул. Весенняя </v>
      </c>
      <c r="V213" s="6" t="str">
        <f>IFERROR(__xludf.DUMMYFUNCTION("""COMPUTED_VALUE"""),"затрудняюсь ответить")</f>
        <v>затрудняюсь ответить</v>
      </c>
      <c r="W213" s="6" t="str">
        <f>IFERROR(__xludf.DUMMYFUNCTION("""COMPUTED_VALUE"""),"затрудняюсь ответить")</f>
        <v>затрудняюсь ответить</v>
      </c>
      <c r="X213" s="6" t="str">
        <f>IFERROR(__xludf.DUMMYFUNCTION("""COMPUTED_VALUE"""),"Набережная, весенняя, площадь Советов или просто по бору с видом на город")</f>
        <v>Набережная, весенняя, площадь Советов или просто по бору с видом на город</v>
      </c>
      <c r="Y213" s="6" t="str">
        <f>IFERROR(__xludf.DUMMYFUNCTION("""COMPUTED_VALUE"""),"Бэнди, Зимняя Вишня")</f>
        <v>Бэнди, Зимняя Вишня</v>
      </c>
      <c r="Z213" s="6" t="str">
        <f>IFERROR(__xludf.DUMMYFUNCTION("""COMPUTED_VALUE"""),"Не припомню ")</f>
        <v>Не припомню </v>
      </c>
      <c r="AA213" s="6" t="str">
        <f>IFERROR(__xludf.DUMMYFUNCTION("""COMPUTED_VALUE"""),"Зимняя Вишня, правда это 3 года")</f>
        <v>Зимняя Вишня, правда это 3 года</v>
      </c>
      <c r="AB213" s="6" t="str">
        <f>IFERROR(__xludf.DUMMYFUNCTION("""COMPUTED_VALUE"""),"этого, можно сказать, хватает")</f>
        <v>этого, можно сказать, хватает</v>
      </c>
      <c r="AC213" s="6" t="str">
        <f>IFERROR(__xludf.DUMMYFUNCTION("""COMPUTED_VALUE"""),"Различные фестивали привлекающие людей с других город или даже стран")</f>
        <v>Различные фестивали привлекающие людей с других город или даже стран</v>
      </c>
      <c r="AD213" s="6" t="str">
        <f>IFERROR(__xludf.DUMMYFUNCTION("""COMPUTED_VALUE"""),"Посетитель, на остальное времени нет")</f>
        <v>Посетитель, на остальное времени нет</v>
      </c>
      <c r="AE213" s="6" t="str">
        <f>IFERROR(__xludf.DUMMYFUNCTION("""COMPUTED_VALUE"""),"Мужской")</f>
        <v>Мужской</v>
      </c>
      <c r="AF213" s="6" t="str">
        <f>IFERROR(__xludf.DUMMYFUNCTION("""COMPUTED_VALUE"""),"18-29")</f>
        <v>18-29</v>
      </c>
      <c r="AG213" s="6"/>
      <c r="AH213" s="6"/>
      <c r="AI213" s="6"/>
      <c r="AJ213" s="6"/>
      <c r="AK213" s="6"/>
      <c r="AL213" s="6"/>
      <c r="AM213" s="6"/>
    </row>
    <row r="214">
      <c r="A214" s="4">
        <v>213.0</v>
      </c>
      <c r="B214" s="6" t="str">
        <f>IFERROR(__xludf.DUMMYFUNCTION("""COMPUTED_VALUE"""),"Продажи")</f>
        <v>Продажи</v>
      </c>
      <c r="C214" s="6" t="str">
        <f>IFERROR(__xludf.DUMMYFUNCTION("""COMPUTED_VALUE"""),"Пою в караоке, читаю книги")</f>
        <v>Пою в караоке, читаю книги</v>
      </c>
      <c r="D214" s="6" t="str">
        <f>IFERROR(__xludf.DUMMYFUNCTION("""COMPUTED_VALUE"""),"""Швейка""")</f>
        <v>"Швейка"</v>
      </c>
      <c r="E214" s="6" t="str">
        <f>IFERROR(__xludf.DUMMYFUNCTION("""COMPUTED_VALUE"""),"Парк Ангелов")</f>
        <v>Парк Ангелов</v>
      </c>
      <c r="F214" s="6" t="str">
        <f>IFERROR(__xludf.DUMMYFUNCTION("""COMPUTED_VALUE"""),"Переехал сюда из другого места (откуда? укажите в графе другое), Ленинск-Кузнецкий ")</f>
        <v>Переехал сюда из другого места (откуда? укажите в графе другое), Ленинск-Кузнецкий </v>
      </c>
      <c r="G214" s="6" t="str">
        <f>IFERROR(__xludf.DUMMYFUNCTION("""COMPUTED_VALUE"""),"Набережная, парки")</f>
        <v>Набережная, парки</v>
      </c>
      <c r="H214" s="6" t="str">
        <f>IFERROR(__xludf.DUMMYFUNCTION("""COMPUTED_VALUE"""),"Смог, нормальные дороги, размереный ритм, ленивые коренные жители, нет того, что есть в больших городах")</f>
        <v>Смог, нормальные дороги, размереный ритм, ленивые коренные жители, нет того, что есть в больших городах</v>
      </c>
      <c r="I214" s="6" t="str">
        <f>IFERROR(__xludf.DUMMYFUNCTION("""COMPUTED_VALUE"""),"Леонов, Волков")</f>
        <v>Леонов, Волков</v>
      </c>
      <c r="J214" s="6" t="str">
        <f>IFERROR(__xludf.DUMMYFUNCTION("""COMPUTED_VALUE"""),"Михайлов (мэр)")</f>
        <v>Михайлов (мэр)</v>
      </c>
      <c r="K214" s="6" t="str">
        <f>IFERROR(__xludf.DUMMYFUNCTION("""COMPUTED_VALUE"""),"Красная горка, понтонный мост")</f>
        <v>Красная горка, понтонный мост</v>
      </c>
      <c r="L214" s="6" t="str">
        <f>IFERROR(__xludf.DUMMYFUNCTION("""COMPUTED_VALUE"""),"Начиная в неудачах виноватого искать, опасайся слишком близко приближаться к зеркалам")</f>
        <v>Начиная в неудачах виноватого искать, опасайся слишком близко приближаться к зеркалам</v>
      </c>
      <c r="M214" s="6" t="str">
        <f>IFERROR(__xludf.DUMMYFUNCTION("""COMPUTED_VALUE"""),"Вихотка, ""надо отсюда валить""")</f>
        <v>Вихотка, "надо отсюда валить"</v>
      </c>
      <c r="N214" s="6" t="str">
        <f>IFERROR(__xludf.DUMMYFUNCTION("""COMPUTED_VALUE"""),"Чистота (не только на центральных улицах), большие сетевые магазины, мало маргиналов, приветливые люди")</f>
        <v>Чистота (не только на центральных улицах), большие сетевые магазины, мало маргиналов, приветливые люди</v>
      </c>
      <c r="O214" s="6" t="str">
        <f>IFERROR(__xludf.DUMMYFUNCTION("""COMPUTED_VALUE"""),"Устранить ужасный смог")</f>
        <v>Устранить ужасный смог</v>
      </c>
      <c r="P214" s="6" t="str">
        <f>IFERROR(__xludf.DUMMYFUNCTION("""COMPUTED_VALUE"""),"Инстаграмм, вк")</f>
        <v>Инстаграмм, вк</v>
      </c>
      <c r="Q214"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Хочется, чтобы исследованиям верилось, а не как сейчас")</f>
        <v>бизнес-новости (средний чек/рекламные акции/запуск новых предприятий), результаты местных исследований (рейтинги/аналитика/тенденции), Хочется, чтобы исследованиям верилось, а не как сейчас</v>
      </c>
      <c r="R214" s="6" t="str">
        <f>IFERROR(__xludf.DUMMYFUNCTION("""COMPUTED_VALUE"""),"не готова ответить")</f>
        <v>не готова ответить</v>
      </c>
      <c r="S214" s="6" t="str">
        <f>IFERROR(__xludf.DUMMYFUNCTION("""COMPUTED_VALUE"""),"Нет, не приходилось")</f>
        <v>Нет, не приходилось</v>
      </c>
      <c r="T214" s="6" t="str">
        <f>IFERROR(__xludf.DUMMYFUNCTION("""COMPUTED_VALUE"""),"Зимней вишней...")</f>
        <v>Зимней вишней...</v>
      </c>
      <c r="U214" s="6" t="str">
        <f>IFERROR(__xludf.DUMMYFUNCTION("""COMPUTED_VALUE"""),"Площадь Волкова")</f>
        <v>Площадь Волкова</v>
      </c>
      <c r="V214" s="6" t="str">
        <f>IFERROR(__xludf.DUMMYFUNCTION("""COMPUTED_VALUE"""),"Много чего")</f>
        <v>Много чего</v>
      </c>
      <c r="W214" s="6" t="str">
        <f>IFERROR(__xludf.DUMMYFUNCTION("""COMPUTED_VALUE"""),"Изворотливые, злые - 70%, противоположные первым - 30%")</f>
        <v>Изворотливые, злые - 70%, противоположные первым - 30%</v>
      </c>
      <c r="X214" s="6" t="str">
        <f>IFERROR(__xludf.DUMMYFUNCTION("""COMPUTED_VALUE"""),"Центр ")</f>
        <v>Центр </v>
      </c>
      <c r="Y214" s="6" t="str">
        <f>IFERROR(__xludf.DUMMYFUNCTION("""COMPUTED_VALUE"""),"Большой бунт шахтеров")</f>
        <v>Большой бунт шахтеров</v>
      </c>
      <c r="Z214" s="6" t="str">
        <f>IFERROR(__xludf.DUMMYFUNCTION("""COMPUTED_VALUE"""),"Большой рок фестиваль ")</f>
        <v>Большой рок фестиваль </v>
      </c>
      <c r="AA214" s="6" t="str">
        <f>IFERROR(__xludf.DUMMYFUNCTION("""COMPUTED_VALUE"""),"Наглая ложь с думских трибун вызывает у меня негодование")</f>
        <v>Наглая ложь с думских трибун вызывает у меня негодование</v>
      </c>
      <c r="AB214" s="6" t="str">
        <f>IFERROR(__xludf.DUMMYFUNCTION("""COMPUTED_VALUE"""),"Затрудняюсь ответить")</f>
        <v>Затрудняюсь ответить</v>
      </c>
      <c r="AC214" s="6" t="str">
        <f>IFERROR(__xludf.DUMMYFUNCTION("""COMPUTED_VALUE"""),"Мероприятий популяризации чистоты и взаимоуважения")</f>
        <v>Мероприятий популяризации чистоты и взаимоуважения</v>
      </c>
      <c r="AD214" s="6" t="str">
        <f>IFERROR(__xludf.DUMMYFUNCTION("""COMPUTED_VALUE"""),"Могу и организатором")</f>
        <v>Могу и организатором</v>
      </c>
      <c r="AE214" s="6" t="str">
        <f>IFERROR(__xludf.DUMMYFUNCTION("""COMPUTED_VALUE"""),"Женский")</f>
        <v>Женский</v>
      </c>
      <c r="AF214" s="6" t="str">
        <f>IFERROR(__xludf.DUMMYFUNCTION("""COMPUTED_VALUE"""),"18-29")</f>
        <v>18-29</v>
      </c>
      <c r="AG214" s="6"/>
      <c r="AH214" s="6"/>
      <c r="AI214" s="6"/>
      <c r="AJ214" s="6"/>
      <c r="AK214" s="6"/>
      <c r="AL214" s="6"/>
      <c r="AM214" s="6"/>
    </row>
    <row r="215">
      <c r="A215" s="4">
        <v>214.0</v>
      </c>
      <c r="B215" s="6" t="str">
        <f>IFERROR(__xludf.DUMMYFUNCTION("""COMPUTED_VALUE"""),"Предприниматель")</f>
        <v>Предприниматель</v>
      </c>
      <c r="C215" s="6" t="str">
        <f>IFERROR(__xludf.DUMMYFUNCTION("""COMPUTED_VALUE"""),"Горные лыжи")</f>
        <v>Горные лыжи</v>
      </c>
      <c r="D215" s="6" t="str">
        <f>IFERROR(__xludf.DUMMYFUNCTION("""COMPUTED_VALUE"""),"Лесная Поляна")</f>
        <v>Лесная Поляна</v>
      </c>
      <c r="E215" s="6" t="str">
        <f>IFERROR(__xludf.DUMMYFUNCTION("""COMPUTED_VALUE"""),"Парк ""Лесная сказка""")</f>
        <v>Парк "Лесная сказка"</v>
      </c>
      <c r="F215" s="6" t="str">
        <f>IFERROR(__xludf.DUMMYFUNCTION("""COMPUTED_VALUE"""),"Переехал сюда из другого места (откуда? укажите в графе другое), Л-Кузнецкий")</f>
        <v>Переехал сюда из другого места (откуда? укажите в графе другое), Л-Кузнецкий</v>
      </c>
      <c r="G215" s="6" t="str">
        <f>IFERROR(__xludf.DUMMYFUNCTION("""COMPUTED_VALUE"""),"Лесная Поляна, Сосновый бор.")</f>
        <v>Лесная Поляна, Сосновый бор.</v>
      </c>
      <c r="H215" s="6" t="str">
        <f>IFERROR(__xludf.DUMMYFUNCTION("""COMPUTED_VALUE"""),"Химия, экология, промышленность, тайга, уют")</f>
        <v>Химия, экология, промышленность, тайга, уют</v>
      </c>
      <c r="I215" s="6" t="str">
        <f>IFERROR(__xludf.DUMMYFUNCTION("""COMPUTED_VALUE"""),"Рутгерс, Волошина, Туснолобова")</f>
        <v>Рутгерс, Волошина, Туснолобова</v>
      </c>
      <c r="J215" s="6" t="str">
        <f>IFERROR(__xludf.DUMMYFUNCTION("""COMPUTED_VALUE"""),"Гришковец, Михайлов")</f>
        <v>Гришковец, Михайлов</v>
      </c>
      <c r="K215" s="6" t="str">
        <f>IFERROR(__xludf.DUMMYFUNCTION("""COMPUTED_VALUE"""),"Лесная Поляна, Красная горка, Набережная")</f>
        <v>Лесная Поляна, Красная горка, Набережная</v>
      </c>
      <c r="L215" s="6" t="str">
        <f>IFERROR(__xludf.DUMMYFUNCTION("""COMPUTED_VALUE"""),"-")</f>
        <v>-</v>
      </c>
      <c r="M215" s="6" t="str">
        <f>IFERROR(__xludf.DUMMYFUNCTION("""COMPUTED_VALUE"""),"-")</f>
        <v>-</v>
      </c>
      <c r="N215" s="6" t="str">
        <f>IFERROR(__xludf.DUMMYFUNCTION("""COMPUTED_VALUE"""),"Уютный центр, компактность, незагруженные улицы, относительно чистый")</f>
        <v>Уютный центр, компактность, незагруженные улицы, относительно чистый</v>
      </c>
      <c r="O215" s="6" t="str">
        <f>IFERROR(__xludf.DUMMYFUNCTION("""COMPUTED_VALUE"""),"Убрать частный сектор из центра, более современная архитектура новостроек")</f>
        <v>Убрать частный сектор из центра, более современная архитектура новостроек</v>
      </c>
      <c r="P215" s="6" t="str">
        <f>IFERROR(__xludf.DUMMYFUNCTION("""COMPUTED_VALUE"""),"Фейсбук")</f>
        <v>Фейсбук</v>
      </c>
      <c r="Q215" s="6" t="str">
        <f>IFERROR(__xludf.DUMMYFUNCTION("""COMPUTED_VALUE"""),"городская афиша (кино/театр/концерты), интервью с местными творческими личностями, интервью с местными предпринимателями")</f>
        <v>городская афиша (кино/театр/концерты), интервью с местными творческими личностями, интервью с местными предпринимателями</v>
      </c>
      <c r="R215" s="6" t="str">
        <f>IFERROR(__xludf.DUMMYFUNCTION("""COMPUTED_VALUE"""),"Для других - день города, 9 мая. ")</f>
        <v>Для других - день города, 9 мая. </v>
      </c>
      <c r="S215" s="6" t="str">
        <f>IFERROR(__xludf.DUMMYFUNCTION("""COMPUTED_VALUE"""),"Нет, не приходилось")</f>
        <v>Нет, не приходилось</v>
      </c>
      <c r="T215" s="6" t="str">
        <f>IFERROR(__xludf.DUMMYFUNCTION("""COMPUTED_VALUE"""),"-")</f>
        <v>-</v>
      </c>
      <c r="U215" s="6" t="str">
        <f>IFERROR(__xludf.DUMMYFUNCTION("""COMPUTED_VALUE"""),"территория между Кузнецким, Мичурина, Красноармейской и Томью")</f>
        <v>территория между Кузнецким, Мичурина, Красноармейской и Томью</v>
      </c>
      <c r="V215" s="6" t="str">
        <f>IFERROR(__xludf.DUMMYFUNCTION("""COMPUTED_VALUE"""),"-")</f>
        <v>-</v>
      </c>
      <c r="W215" s="6" t="str">
        <f>IFERROR(__xludf.DUMMYFUNCTION("""COMPUTED_VALUE"""),"такие же люди, как и все остальные")</f>
        <v>такие же люди, как и все остальные</v>
      </c>
      <c r="X215" s="6" t="str">
        <f>IFERROR(__xludf.DUMMYFUNCTION("""COMPUTED_VALUE"""),"Набережная - Весенняя")</f>
        <v>Набережная - Весенняя</v>
      </c>
      <c r="Y215" s="6" t="str">
        <f>IFERROR(__xludf.DUMMYFUNCTION("""COMPUTED_VALUE"""),"-")</f>
        <v>-</v>
      </c>
      <c r="Z215" s="6" t="str">
        <f>IFERROR(__xludf.DUMMYFUNCTION("""COMPUTED_VALUE"""),"ничего особенного не вспоминается")</f>
        <v>ничего особенного не вспоминается</v>
      </c>
      <c r="AA215" s="6" t="str">
        <f>IFERROR(__xludf.DUMMYFUNCTION("""COMPUTED_VALUE"""),"Блокирование центра города в феврале 2021 полицией")</f>
        <v>Блокирование центра города в феврале 2021 полицией</v>
      </c>
      <c r="AB215" s="6" t="str">
        <f>IFERROR(__xludf.DUMMYFUNCTION("""COMPUTED_VALUE"""),"-")</f>
        <v>-</v>
      </c>
      <c r="AC215" s="6" t="str">
        <f>IFERROR(__xludf.DUMMYFUNCTION("""COMPUTED_VALUE"""),"Концерты, муз. фестивали, Спорт мероприятия массовые (н-р марафон) ")</f>
        <v>Концерты, муз. фестивали, Спорт мероприятия массовые (н-р марафон) </v>
      </c>
      <c r="AD215" s="6" t="str">
        <f>IFERROR(__xludf.DUMMYFUNCTION("""COMPUTED_VALUE"""),"волонтер")</f>
        <v>волонтер</v>
      </c>
      <c r="AE215" s="6" t="str">
        <f>IFERROR(__xludf.DUMMYFUNCTION("""COMPUTED_VALUE"""),"Мужской")</f>
        <v>Мужской</v>
      </c>
      <c r="AF215" s="6" t="str">
        <f>IFERROR(__xludf.DUMMYFUNCTION("""COMPUTED_VALUE"""),"45-55")</f>
        <v>45-55</v>
      </c>
      <c r="AG215" s="6"/>
      <c r="AH215" s="6"/>
      <c r="AI215" s="6"/>
      <c r="AJ215" s="6"/>
      <c r="AK215" s="6"/>
      <c r="AL215" s="6"/>
      <c r="AM215" s="6"/>
    </row>
    <row r="216">
      <c r="A216" s="4">
        <v>215.0</v>
      </c>
      <c r="B216" s="6" t="str">
        <f>IFERROR(__xludf.DUMMYFUNCTION("""COMPUTED_VALUE"""),"Копирайтер")</f>
        <v>Копирайтер</v>
      </c>
      <c r="C216" s="6" t="str">
        <f>IFERROR(__xludf.DUMMYFUNCTION("""COMPUTED_VALUE"""),"Прогулки на природе")</f>
        <v>Прогулки на природе</v>
      </c>
      <c r="D216" s="6" t="str">
        <f>IFERROR(__xludf.DUMMYFUNCTION("""COMPUTED_VALUE"""),"Мамаевка")</f>
        <v>Мамаевка</v>
      </c>
      <c r="E216" s="6" t="str">
        <f>IFERROR(__xludf.DUMMYFUNCTION("""COMPUTED_VALUE"""),"Парк Ангелов")</f>
        <v>Парк Ангелов</v>
      </c>
      <c r="F216" s="6" t="str">
        <f>IFERROR(__xludf.DUMMYFUNCTION("""COMPUTED_VALUE"""),"Живу здесь с рождения")</f>
        <v>Живу здесь с рождения</v>
      </c>
      <c r="G216" s="6" t="str">
        <f>IFERROR(__xludf.DUMMYFUNCTION("""COMPUTED_VALUE"""),"Томская писаница, Хаски Лэнд, Парк Ангелов, Притомская набережная")</f>
        <v>Томская писаница, Хаски Лэнд, Парк Ангелов, Притомская набережная</v>
      </c>
      <c r="H216" s="6" t="str">
        <f>IFERROR(__xludf.DUMMYFUNCTION("""COMPUTED_VALUE"""),"Уголь, промышленность, мороз, перспектива, пролетариат")</f>
        <v>Уголь, промышленность, мороз, перспектива, пролетариат</v>
      </c>
      <c r="I216" s="6" t="str">
        <f>IFERROR(__xludf.DUMMYFUNCTION("""COMPUTED_VALUE"""),"Федоров, ")</f>
        <v>Федоров, </v>
      </c>
      <c r="J216" s="6" t="str">
        <f>IFERROR(__xludf.DUMMYFUNCTION("""COMPUTED_VALUE"""),"Михайлов, Тулеев")</f>
        <v>Михайлов, Тулеев</v>
      </c>
      <c r="K216" s="6" t="str">
        <f>IFERROR(__xludf.DUMMYFUNCTION("""COMPUTED_VALUE"""),"Парк Ангелов, Знаменский собор, музыкальный театр, Драмтеатр, улицы центра города, Притомский проспект")</f>
        <v>Парк Ангелов, Знаменский собор, музыкальный театр, Драмтеатр, улицы центра города, Притомский проспект</v>
      </c>
      <c r="L216" s="6" t="str">
        <f>IFERROR(__xludf.DUMMYFUNCTION("""COMPUTED_VALUE"""),"Кроилово ведёт к попадалову")</f>
        <v>Кроилово ведёт к попадалову</v>
      </c>
      <c r="M216" s="6" t="str">
        <f>IFERROR(__xludf.DUMMYFUNCTION("""COMPUTED_VALUE"""),"Вехотка, колба, стайка, мультифора")</f>
        <v>Вехотка, колба, стайка, мультифора</v>
      </c>
      <c r="N216" s="6" t="str">
        <f>IFERROR(__xludf.DUMMYFUNCTION("""COMPUTED_VALUE"""),"Экономическое развитие, экология, чистота, удобство логистики, перспективы")</f>
        <v>Экономическое развитие, экология, чистота, удобство логистики, перспективы</v>
      </c>
      <c r="O216" s="6" t="str">
        <f>IFERROR(__xludf.DUMMYFUNCTION("""COMPUTED_VALUE"""),"В Калининграде есть прекрасный опыт придания нового внешнего вида домам советской постройки. Но это утопия.
Для начала хотелось бы, чтобы новые проекты реализовывались качественно. Неприятно удивляет, что за один сезон эксплуатации новый асфальт может ра"&amp;"стаять вместе с весенним снегом или покрыться значительными трещинами. И речь не только о транспортных  магистралях, но и о пешеходных пространствах. Яркий пример - прогулочная зона у президентского училища.
Это же место нужно упомянуть с ещё одной негат"&amp;"ивной стороны. В прошлом году эту зону торжественно презентовали после благоустройства: новые дорожки и засеянные травой газоны радовали глаз. Но уже через несколько месяцев в этом месте проводили работы по строительству нового канализационного коллектора"&amp;". В итоге вместо газона можно любоваться кучами глины и разрушенным асфальтом, который не прослужил и полугода.
Я понимаю, всё исправят... Но эти лишние затраты денег и рабочих ресурсов можно было потратить рационально.")</f>
        <v>В Калининграде есть прекрасный опыт придания нового внешнего вида домам советской постройки. Но это утопия.
Для начала хотелось бы, чтобы новые проекты реализовывались качественно. Неприятно удивляет, что за один сезон эксплуатации новый асфальт может растаять вместе с весенним снегом или покрыться значительными трещинами. И речь не только о транспортных  магистралях, но и о пешеходных пространствах. Яркий пример - прогулочная зона у президентского училища.
Это же место нужно упомянуть с ещё одной негативной стороны. В прошлом году эту зону торжественно презентовали после благоустройства: новые дорожки и засеянные травой газоны радовали глаз. Но уже через несколько месяцев в этом месте проводили работы по строительству нового канализационного коллектора. В итоге вместо газона можно любоваться кучами глины и разрушенным асфальтом, который не прослужил и полугода.
Я понимаю, всё исправят... Но эти лишние затраты денег и рабочих ресурсов можно было потратить рационально.</v>
      </c>
      <c r="P216" s="6" t="str">
        <f>IFERROR(__xludf.DUMMYFUNCTION("""COMPUTED_VALUE"""),"Нет единого ресурса, по которому я слежу за событиями. Помогает обширный круг знакомств.")</f>
        <v>Нет единого ресурса, по которому я слежу за событиями. Помогает обширный круг знакомств.</v>
      </c>
      <c r="Q216" s="6" t="str">
        <f>IFERROR(__xludf.DUMMYFUNCTION("""COMPUTED_VALUE"""),"интервью с местными политиками, интервью с местными творческими личностями, результаты местных исследований (рейтинги/аналитика/тенденции)")</f>
        <v>интервью с местными политиками, интервью с местными творческими личностями, результаты местных исследований (рейтинги/аналитика/тенденции)</v>
      </c>
      <c r="R216" s="6" t="str">
        <f>IFERROR(__xludf.DUMMYFUNCTION("""COMPUTED_VALUE"""),"Хотелось бы, чтобы происходило проникновение культуры в повседневную жизнь горожан через организацию открытых концертных площадок или организацию выставок в городских пространствах: на улицах, площадях или даже во дворах.")</f>
        <v>Хотелось бы, чтобы происходило проникновение культуры в повседневную жизнь горожан через организацию открытых концертных площадок или организацию выставок в городских пространствах: на улицах, площадях или даже во дворах.</v>
      </c>
      <c r="S216"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f>
        <v>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v>
      </c>
      <c r="T216" s="6" t="str">
        <f>IFERROR(__xludf.DUMMYFUNCTION("""COMPUTED_VALUE"""),"Химическая промышленность, столица Куззнецкого угольного бассейна, Тулеев")</f>
        <v>Химическая промышленность, столица Куззнецкого угольного бассейна, Тулеев</v>
      </c>
      <c r="U216" s="6" t="str">
        <f>IFERROR(__xludf.DUMMYFUNCTION("""COMPUTED_VALUE"""),"Площадь Советов, Парк Ангелов, Красная Горка")</f>
        <v>Площадь Советов, Парк Ангелов, Красная Горка</v>
      </c>
      <c r="V216" s="6" t="str">
        <f>IFERROR(__xludf.DUMMYFUNCTION("""COMPUTED_VALUE"""),"Если человек честно трудится и стремится благоукрасить свой город, то этим уже можно гордиться")</f>
        <v>Если человек честно трудится и стремится благоукрасить свой город, то этим уже можно гордиться</v>
      </c>
      <c r="W216" s="6" t="str">
        <f>IFERROR(__xludf.DUMMYFUNCTION("""COMPUTED_VALUE"""),"Суровые")</f>
        <v>Суровые</v>
      </c>
      <c r="X216" s="6" t="str">
        <f>IFERROR(__xludf.DUMMYFUNCTION("""COMPUTED_VALUE"""),"Весенняя, Притомская набережная, Арочная")</f>
        <v>Весенняя, Притомская набережная, Арочная</v>
      </c>
      <c r="Y216" s="6" t="str">
        <f>IFERROR(__xludf.DUMMYFUNCTION("""COMPUTED_VALUE"""),"Надеюсь, оно скоро произойдёт, если будет построен культурный кластер")</f>
        <v>Надеюсь, оно скоро произойдёт, если будет построен культурный кластер</v>
      </c>
      <c r="Z216" s="6" t="str">
        <f>IFERROR(__xludf.DUMMYFUNCTION("""COMPUTED_VALUE"""),"Открытие нового участка Комсомольского проспекта, строительство президентского училища и благоустройство территории вокруг него, реконструкция бульвара Строителей")</f>
        <v>Открытие нового участка Комсомольского проспекта, строительство президентского училища и благоустройство территории вокруг него, реконструкция бульвара Строителей</v>
      </c>
      <c r="AA216" s="6" t="str">
        <f>IFERROR(__xludf.DUMMYFUNCTION("""COMPUTED_VALUE"""),"Негодование у меня вызывает региональный сегмент социальных сетей. Порой, заслуженная критика нашей реальности, а порой огульная. Уверен, что с данной сферой нужно ответственно и продуктивно работать")</f>
        <v>Негодование у меня вызывает региональный сегмент социальных сетей. Порой, заслуженная критика нашей реальности, а порой огульная. Уверен, что с данной сферой нужно ответственно и продуктивно работать</v>
      </c>
      <c r="AB216" s="6" t="str">
        <f>IFERROR(__xludf.DUMMYFUNCTION("""COMPUTED_VALUE"""),"Мне было бы интересно появление открытой дискуссионной площадки, на которой любой желающий мог обсудить интересующие его вопросы: интеллектуальные, культурные, да и бытовые тоже (в концептуальной плоскости)")</f>
        <v>Мне было бы интересно появление открытой дискуссионной площадки, на которой любой желающий мог обсудить интересующие его вопросы: интеллектуальные, культурные, да и бытовые тоже (в концептуальной плоскости)</v>
      </c>
      <c r="AC216" s="6" t="str">
        <f>IFERROR(__xludf.DUMMYFUNCTION("""COMPUTED_VALUE"""),"Мне кажется, интерес не является первостепенным фактором в определении качества жизни. Поэтому отдам предпочтение мероприятиям по сохранению экологии :)")</f>
        <v>Мне кажется, интерес не является первостепенным фактором в определении качества жизни. Поэтому отдам предпочтение мероприятиям по сохранению экологии :)</v>
      </c>
      <c r="AD216" s="6" t="str">
        <f>IFERROR(__xludf.DUMMYFUNCTION("""COMPUTED_VALUE"""),"Если будет создана тематическая дискуссионная площадка, то с радостью готов участвовать в её работе. Непосредственную роль в проектах по развитию города можно понять уже в ходе дискуссии.")</f>
        <v>Если будет создана тематическая дискуссионная площадка, то с радостью готов участвовать в её работе. Непосредственную роль в проектах по развитию города можно понять уже в ходе дискуссии.</v>
      </c>
      <c r="AE216" s="6" t="str">
        <f>IFERROR(__xludf.DUMMYFUNCTION("""COMPUTED_VALUE"""),"Мужской")</f>
        <v>Мужской</v>
      </c>
      <c r="AF216" s="6" t="str">
        <f>IFERROR(__xludf.DUMMYFUNCTION("""COMPUTED_VALUE"""),"30-44")</f>
        <v>30-44</v>
      </c>
      <c r="AG216" s="6"/>
      <c r="AH216" s="6"/>
      <c r="AI216" s="6"/>
      <c r="AJ216" s="6"/>
      <c r="AK216" s="6"/>
      <c r="AL216" s="6"/>
      <c r="AM216" s="6"/>
    </row>
    <row r="217">
      <c r="A217" s="4">
        <v>216.0</v>
      </c>
      <c r="B217" s="6" t="str">
        <f>IFERROR(__xludf.DUMMYFUNCTION("""COMPUTED_VALUE"""),"Преподаватель английского ")</f>
        <v>Преподаватель английского </v>
      </c>
      <c r="C217" s="6" t="str">
        <f>IFERROR(__xludf.DUMMYFUNCTION("""COMPUTED_VALUE"""),"Фильмы и сериалы, лыжи ")</f>
        <v>Фильмы и сериалы, лыжи </v>
      </c>
      <c r="D217" s="6" t="str">
        <f>IFERROR(__xludf.DUMMYFUNCTION("""COMPUTED_VALUE"""),"Центральный. «На Московском»")</f>
        <v>Центральный. «На Московском»</v>
      </c>
      <c r="E217" s="6" t="str">
        <f>IFERROR(__xludf.DUMMYFUNCTION("""COMPUTED_VALUE"""),"Арарат ")</f>
        <v>Арарат </v>
      </c>
      <c r="F217" s="6" t="str">
        <f>IFERROR(__xludf.DUMMYFUNCTION("""COMPUTED_VALUE"""),"Переехал сюда из другого места (откуда? укажите в графе другое), Белово. Переехала для учебы и осталась ")</f>
        <v>Переехал сюда из другого места (откуда? укажите в графе другое), Белово. Переехала для учебы и осталась </v>
      </c>
      <c r="G217" s="6" t="str">
        <f>IFERROR(__xludf.DUMMYFUNCTION("""COMPUTED_VALUE"""),"Рестораны, набережная, проспект Московский ")</f>
        <v>Рестораны, набережная, проспект Московский </v>
      </c>
      <c r="H217" s="6" t="str">
        <f>IFERROR(__xludf.DUMMYFUNCTION("""COMPUTED_VALUE"""),"Уют, тепло, грязь, все знаю, столица Кузбасса ")</f>
        <v>Уют, тепло, грязь, все знаю, столица Кузбасса </v>
      </c>
      <c r="I217" s="6" t="str">
        <f>IFERROR(__xludf.DUMMYFUNCTION("""COMPUTED_VALUE"""),"Леонов")</f>
        <v>Леонов</v>
      </c>
      <c r="J217" s="6" t="str">
        <f>IFERROR(__xludf.DUMMYFUNCTION("""COMPUTED_VALUE"""),"Не знаю ")</f>
        <v>Не знаю </v>
      </c>
      <c r="K217" s="6" t="str">
        <f>IFERROR(__xludf.DUMMYFUNCTION("""COMPUTED_VALUE"""),"Красная горка, площадь зимой ")</f>
        <v>Красная горка, площадь зимой </v>
      </c>
      <c r="L217" s="6" t="str">
        <f>IFERROR(__xludf.DUMMYFUNCTION("""COMPUTED_VALUE"""),"Не знаю ")</f>
        <v>Не знаю </v>
      </c>
      <c r="M217" s="6" t="str">
        <f>IFERROR(__xludf.DUMMYFUNCTION("""COMPUTED_VALUE"""),"Нет ")</f>
        <v>Нет </v>
      </c>
      <c r="N217" s="6" t="str">
        <f>IFERROR(__xludf.DUMMYFUNCTION("""COMPUTED_VALUE"""),"Минимум пробок, много развлекательных мест, места для отдыха за городом ")</f>
        <v>Минимум пробок, много развлекательных мест, места для отдыха за городом </v>
      </c>
      <c r="O217" s="6" t="str">
        <f>IFERROR(__xludf.DUMMYFUNCTION("""COMPUTED_VALUE"""),"Дороги")</f>
        <v>Дороги</v>
      </c>
      <c r="P217" s="6" t="str">
        <f>IFERROR(__xludf.DUMMYFUNCTION("""COMPUTED_VALUE"""),"Все 42, разные паблики в Инстаграм, афиша 42, баннеры на улицах ")</f>
        <v>Все 42, разные паблики в Инстаграм, афиша 42, баннеры на улицах </v>
      </c>
      <c r="Q21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217" s="6" t="str">
        <f>IFERROR(__xludf.DUMMYFUNCTION("""COMPUTED_VALUE"""),"Никакие, не люблю толпу. Для остальных день шахтера ")</f>
        <v>Никакие, не люблю толпу. Для остальных день шахтера </v>
      </c>
      <c r="S217" s="6" t="str">
        <f>IFERROR(__xludf.DUMMYFUNCTION("""COMPUTED_VALUE"""),"Нет, не приходилось")</f>
        <v>Нет, не приходилось</v>
      </c>
      <c r="T217" s="6" t="str">
        <f>IFERROR(__xludf.DUMMYFUNCTION("""COMPUTED_VALUE"""),"Шахты, зимняя вишня, современный город ")</f>
        <v>Шахты, зимняя вишня, современный город </v>
      </c>
      <c r="U217" s="6" t="str">
        <f>IFERROR(__xludf.DUMMYFUNCTION("""COMPUTED_VALUE"""),"Набережная ")</f>
        <v>Набережная </v>
      </c>
      <c r="V217" s="6" t="str">
        <f>IFERROR(__xludf.DUMMYFUNCTION("""COMPUTED_VALUE"""),"Не знаю ")</f>
        <v>Не знаю </v>
      </c>
      <c r="W217" s="6" t="str">
        <f>IFERROR(__xludf.DUMMYFUNCTION("""COMPUTED_VALUE"""),"Совершенно разные ")</f>
        <v>Совершенно разные </v>
      </c>
      <c r="X217" s="6" t="str">
        <f>IFERROR(__xludf.DUMMYFUNCTION("""COMPUTED_VALUE"""),"Не знаю ")</f>
        <v>Не знаю </v>
      </c>
      <c r="Y217" s="6" t="str">
        <f>IFERROR(__xludf.DUMMYFUNCTION("""COMPUTED_VALUE"""),"Зимняя вишня (печальное событие, но известное всем)")</f>
        <v>Зимняя вишня (печальное событие, но известное всем)</v>
      </c>
      <c r="Z217" s="6" t="str">
        <f>IFERROR(__xludf.DUMMYFUNCTION("""COMPUTED_VALUE"""),"Стройка новых объектов")</f>
        <v>Стройка новых объектов</v>
      </c>
      <c r="AA217" s="6" t="str">
        <f>IFERROR(__xludf.DUMMYFUNCTION("""COMPUTED_VALUE"""),"Никакие ")</f>
        <v>Никакие </v>
      </c>
      <c r="AB217" s="6" t="str">
        <f>IFERROR(__xludf.DUMMYFUNCTION("""COMPUTED_VALUE"""),"Никаких ")</f>
        <v>Никаких </v>
      </c>
      <c r="AC217" s="6" t="str">
        <f>IFERROR(__xludf.DUMMYFUNCTION("""COMPUTED_VALUE"""),"По формату «модная среда»")</f>
        <v>По формату «модная среда»</v>
      </c>
      <c r="AD217" s="6" t="str">
        <f>IFERROR(__xludf.DUMMYFUNCTION("""COMPUTED_VALUE"""),"Не знаю ")</f>
        <v>Не знаю </v>
      </c>
      <c r="AE217" s="6" t="str">
        <f>IFERROR(__xludf.DUMMYFUNCTION("""COMPUTED_VALUE"""),"Женский")</f>
        <v>Женский</v>
      </c>
      <c r="AF217" s="6" t="str">
        <f>IFERROR(__xludf.DUMMYFUNCTION("""COMPUTED_VALUE"""),"30-44")</f>
        <v>30-44</v>
      </c>
      <c r="AG217" s="6"/>
      <c r="AH217" s="6"/>
      <c r="AI217" s="6"/>
      <c r="AJ217" s="6"/>
      <c r="AK217" s="6"/>
      <c r="AL217" s="6"/>
      <c r="AM217" s="6"/>
    </row>
    <row r="218">
      <c r="A218" s="4">
        <v>217.0</v>
      </c>
      <c r="B218" s="6" t="str">
        <f>IFERROR(__xludf.DUMMYFUNCTION("""COMPUTED_VALUE"""),"Искусствовед. Безработная. ")</f>
        <v>Искусствовед. Безработная. </v>
      </c>
      <c r="C218" s="6" t="str">
        <f>IFERROR(__xludf.DUMMYFUNCTION("""COMPUTED_VALUE"""),"Флорист ")</f>
        <v>Флорист </v>
      </c>
      <c r="D218" s="6" t="str">
        <f>IFERROR(__xludf.DUMMYFUNCTION("""COMPUTED_VALUE"""),"Рудничном ")</f>
        <v>Рудничном </v>
      </c>
      <c r="E218" s="6" t="str">
        <f>IFERROR(__xludf.DUMMYFUNCTION("""COMPUTED_VALUE"""),"Райсполком и тц радуга и рио")</f>
        <v>Райсполком и тц радуга и рио</v>
      </c>
      <c r="F218" s="6" t="str">
        <f>IFERROR(__xludf.DUMMYFUNCTION("""COMPUTED_VALUE"""),"Живу здесь с рождения")</f>
        <v>Живу здесь с рождения</v>
      </c>
      <c r="G218" s="6" t="str">
        <f>IFERROR(__xludf.DUMMYFUNCTION("""COMPUTED_VALUE"""),"Сосновый бор")</f>
        <v>Сосновый бор</v>
      </c>
      <c r="H218" s="6" t="str">
        <f>IFERROR(__xludf.DUMMYFUNCTION("""COMPUTED_VALUE"""),"Дым, уголь, возрождение культуры, провинция, уникальная природная область")</f>
        <v>Дым, уголь, возрождение культуры, провинция, уникальная природная область</v>
      </c>
      <c r="I218" s="6" t="str">
        <f>IFERROR(__xludf.DUMMYFUNCTION("""COMPUTED_VALUE"""),"-")</f>
        <v>-</v>
      </c>
      <c r="J218" s="6" t="str">
        <f>IFERROR(__xludf.DUMMYFUNCTION("""COMPUTED_VALUE"""),"-")</f>
        <v>-</v>
      </c>
      <c r="K218" s="6" t="str">
        <f>IFERROR(__xludf.DUMMYFUNCTION("""COMPUTED_VALUE"""),"Пещеры в скалах в береговом, вид с креста и горы Кузбасс")</f>
        <v>Пещеры в скалах в береговом, вид с креста и горы Кузбасс</v>
      </c>
      <c r="L218" s="6" t="str">
        <f>IFERROR(__xludf.DUMMYFUNCTION("""COMPUTED_VALUE"""),"Малые да удалые")</f>
        <v>Малые да удалые</v>
      </c>
      <c r="M218" s="6" t="str">
        <f>IFERROR(__xludf.DUMMYFUNCTION("""COMPUTED_VALUE"""),"-")</f>
        <v>-</v>
      </c>
      <c r="N218" s="6" t="str">
        <f>IFERROR(__xludf.DUMMYFUNCTION("""COMPUTED_VALUE"""),"Наличие культурного кластера, кочественных детских площадок, ровные дороги, честность и открытость")</f>
        <v>Наличие культурного кластера, кочественных детских площадок, ровные дороги, честность и открытость</v>
      </c>
      <c r="O218" s="6" t="str">
        <f>IFERROR(__xludf.DUMMYFUNCTION("""COMPUTED_VALUE"""),"Все уже происходит ")</f>
        <v>Все уже происходит </v>
      </c>
      <c r="P218" s="6" t="str">
        <f>IFERROR(__xludf.DUMMYFUNCTION("""COMPUTED_VALUE"""),"От людей ")</f>
        <v>От людей </v>
      </c>
      <c r="Q218" s="6" t="str">
        <f>IFERROR(__xludf.DUMMYFUNCTION("""COMPUTED_VALUE"""),"интервью с местными творческими личностями, интервью с местными предпринимателями, результаты местных исследований (рейтинги/аналитика/тенденции)")</f>
        <v>интервью с местными творческими личностями, интервью с местными предпринимателями, результаты местных исследований (рейтинги/аналитика/тенденции)</v>
      </c>
      <c r="R218" s="6" t="str">
        <f>IFERROR(__xludf.DUMMYFUNCTION("""COMPUTED_VALUE"""),"Проводы зимы ")</f>
        <v>Проводы зимы </v>
      </c>
      <c r="S218" s="6" t="str">
        <f>IFERROR(__xludf.DUMMYFUNCTION("""COMPUTED_VALUE"""),"Через социальные сети (Какие? Укажите в графе другое)")</f>
        <v>Через социальные сети (Какие? Укажите в графе другое)</v>
      </c>
      <c r="T218" s="6" t="str">
        <f>IFERROR(__xludf.DUMMYFUNCTION("""COMPUTED_VALUE"""),"Ничего. Только мы сами можем изменить такую ситуацию. ")</f>
        <v>Ничего. Только мы сами можем изменить такую ситуацию. </v>
      </c>
      <c r="U218" s="6" t="str">
        <f>IFERROR(__xludf.DUMMYFUNCTION("""COMPUTED_VALUE"""),"Сквер памяти зимней Вишни")</f>
        <v>Сквер памяти зимней Вишни</v>
      </c>
      <c r="V218" s="6" t="str">
        <f>IFERROR(__xludf.DUMMYFUNCTION("""COMPUTED_VALUE"""),"Малышева ведёт передачу)) ")</f>
        <v>Малышева ведёт передачу)) </v>
      </c>
      <c r="W218" s="6" t="str">
        <f>IFERROR(__xludf.DUMMYFUNCTION("""COMPUTED_VALUE"""),"Хмурые, сердитые и шпешашие")</f>
        <v>Хмурые, сердитые и шпешашие</v>
      </c>
      <c r="X218" s="6" t="str">
        <f>IFERROR(__xludf.DUMMYFUNCTION("""COMPUTED_VALUE"""),"Сразу на лесную поляну к фонтан а потом за грибами в лесок")</f>
        <v>Сразу на лесную поляну к фонтан а потом за грибами в лесок</v>
      </c>
      <c r="Y218" s="6" t="str">
        <f>IFERROR(__xludf.DUMMYFUNCTION("""COMPUTED_VALUE"""),"Хоккей Игры бенди")</f>
        <v>Хоккей Игры бенди</v>
      </c>
      <c r="Z218" s="6" t="str">
        <f>IFERROR(__xludf.DUMMYFUNCTION("""COMPUTED_VALUE"""),"Ночь в театре ")</f>
        <v>Ночь в театре </v>
      </c>
      <c r="AA218" s="6" t="str">
        <f>IFERROR(__xludf.DUMMYFUNCTION("""COMPUTED_VALUE"""),"-")</f>
        <v>-</v>
      </c>
      <c r="AB218" s="6" t="str">
        <f>IFERROR(__xludf.DUMMYFUNCTION("""COMPUTED_VALUE"""),"Творческих а конкретно искусствоведческих")</f>
        <v>Творческих а конкретно искусствоведческих</v>
      </c>
      <c r="AC218" s="6" t="str">
        <f>IFERROR(__xludf.DUMMYFUNCTION("""COMPUTED_VALUE"""),"-")</f>
        <v>-</v>
      </c>
      <c r="AD218" s="6" t="str">
        <f>IFERROR(__xludf.DUMMYFUNCTION("""COMPUTED_VALUE"""),"В главной ")</f>
        <v>В главной </v>
      </c>
      <c r="AE218" s="6" t="str">
        <f>IFERROR(__xludf.DUMMYFUNCTION("""COMPUTED_VALUE"""),"Женский")</f>
        <v>Женский</v>
      </c>
      <c r="AF218" s="6" t="str">
        <f>IFERROR(__xludf.DUMMYFUNCTION("""COMPUTED_VALUE"""),"18-29")</f>
        <v>18-29</v>
      </c>
      <c r="AG218" s="6"/>
      <c r="AH218" s="6"/>
      <c r="AI218" s="6"/>
      <c r="AJ218" s="6"/>
      <c r="AK218" s="6"/>
      <c r="AL218" s="6"/>
      <c r="AM218" s="6"/>
    </row>
    <row r="219">
      <c r="A219" s="4">
        <v>218.0</v>
      </c>
      <c r="B219" s="6" t="str">
        <f>IFERROR(__xludf.DUMMYFUNCTION("""COMPUTED_VALUE"""),"Студент")</f>
        <v>Студент</v>
      </c>
      <c r="C219" s="6" t="str">
        <f>IFERROR(__xludf.DUMMYFUNCTION("""COMPUTED_VALUE"""),"Танцы")</f>
        <v>Танцы</v>
      </c>
      <c r="D219" s="6" t="str">
        <f>IFERROR(__xludf.DUMMYFUNCTION("""COMPUTED_VALUE"""),"Ленинский")</f>
        <v>Ленинский</v>
      </c>
      <c r="E219" s="6" t="str">
        <f>IFERROR(__xludf.DUMMYFUNCTION("""COMPUTED_VALUE"""),"СК Кузбасс")</f>
        <v>СК Кузбасс</v>
      </c>
      <c r="F219" s="6" t="str">
        <f>IFERROR(__xludf.DUMMYFUNCTION("""COMPUTED_VALUE"""),"Не живу,но приезжаю сюда (к родственникам/друзьям)")</f>
        <v>Не живу,но приезжаю сюда (к родственникам/друзьям)</v>
      </c>
      <c r="G219" s="6" t="str">
        <f>IFERROR(__xludf.DUMMYFUNCTION("""COMPUTED_VALUE"""),"Бульвар")</f>
        <v>Бульвар</v>
      </c>
      <c r="H219" s="6" t="str">
        <f>IFERROR(__xludf.DUMMYFUNCTION("""COMPUTED_VALUE"""),"Высота, простор, доступность, спорт, магазины")</f>
        <v>Высота, простор, доступность, спорт, магазины</v>
      </c>
      <c r="I219" s="6" t="str">
        <f>IFERROR(__xludf.DUMMYFUNCTION("""COMPUTED_VALUE"""),"Тулеев")</f>
        <v>Тулеев</v>
      </c>
      <c r="J219" s="6" t="str">
        <f>IFERROR(__xludf.DUMMYFUNCTION("""COMPUTED_VALUE"""),"Тулеев")</f>
        <v>Тулеев</v>
      </c>
      <c r="K219" s="6" t="str">
        <f>IFERROR(__xludf.DUMMYFUNCTION("""COMPUTED_VALUE"""),"Парк Победы")</f>
        <v>Парк Победы</v>
      </c>
      <c r="L219" s="6" t="str">
        <f>IFERROR(__xludf.DUMMYFUNCTION("""COMPUTED_VALUE"""),"-")</f>
        <v>-</v>
      </c>
      <c r="M219" s="6" t="str">
        <f>IFERROR(__xludf.DUMMYFUNCTION("""COMPUTED_VALUE"""),"-")</f>
        <v>-</v>
      </c>
      <c r="N219" s="6" t="str">
        <f>IFERROR(__xludf.DUMMYFUNCTION("""COMPUTED_VALUE"""),"Мобильность, доступность")</f>
        <v>Мобильность, доступность</v>
      </c>
      <c r="O219" s="6" t="str">
        <f>IFERROR(__xludf.DUMMYFUNCTION("""COMPUTED_VALUE"""),"Дороги")</f>
        <v>Дороги</v>
      </c>
      <c r="P219" s="6" t="str">
        <f>IFERROR(__xludf.DUMMYFUNCTION("""COMPUTED_VALUE"""),"Инстаграм")</f>
        <v>Инстаграм</v>
      </c>
      <c r="Q219" s="6" t="str">
        <f>IFERROR(__xludf.DUMMYFUNCTION("""COMPUTED_VALUE"""),"интервью с местными творческими личностями, новости про новые профессии/куда поступать/вакансии")</f>
        <v>интервью с местными творческими личностями, новости про новые профессии/куда поступать/вакансии</v>
      </c>
      <c r="R219" s="6" t="str">
        <f>IFERROR(__xludf.DUMMYFUNCTION("""COMPUTED_VALUE"""),"9 Мая")</f>
        <v>9 Мая</v>
      </c>
      <c r="S219" s="6" t="str">
        <f>IFERROR(__xludf.DUMMYFUNCTION("""COMPUTED_VALUE"""),"Нет, не приходилось")</f>
        <v>Нет, не приходилось</v>
      </c>
      <c r="T219" s="6" t="str">
        <f>IFERROR(__xludf.DUMMYFUNCTION("""COMPUTED_VALUE"""),"Томская Писаница")</f>
        <v>Томская Писаница</v>
      </c>
      <c r="U219" s="6" t="str">
        <f>IFERROR(__xludf.DUMMYFUNCTION("""COMPUTED_VALUE"""),"СК Арена")</f>
        <v>СК Арена</v>
      </c>
      <c r="V219" s="6" t="str">
        <f>IFERROR(__xludf.DUMMYFUNCTION("""COMPUTED_VALUE"""),"Убирали мусор")</f>
        <v>Убирали мусор</v>
      </c>
      <c r="W219" s="6" t="str">
        <f>IFERROR(__xludf.DUMMYFUNCTION("""COMPUTED_VALUE"""),"Отзывчивые")</f>
        <v>Отзывчивые</v>
      </c>
      <c r="X219" s="6" t="str">
        <f>IFERROR(__xludf.DUMMYFUNCTION("""COMPUTED_VALUE"""),"Бульвар")</f>
        <v>Бульвар</v>
      </c>
      <c r="Y219" s="6" t="str">
        <f>IFERROR(__xludf.DUMMYFUNCTION("""COMPUTED_VALUE"""),"Открытие президентского училища")</f>
        <v>Открытие президентского училища</v>
      </c>
      <c r="Z219" s="6" t="str">
        <f>IFERROR(__xludf.DUMMYFUNCTION("""COMPUTED_VALUE"""),"Футбольный матч")</f>
        <v>Футбольный матч</v>
      </c>
      <c r="AA219" s="6" t="str">
        <f>IFERROR(__xludf.DUMMYFUNCTION("""COMPUTED_VALUE"""),"Карантин")</f>
        <v>Карантин</v>
      </c>
      <c r="AB219" s="6" t="str">
        <f>IFERROR(__xludf.DUMMYFUNCTION("""COMPUTED_VALUE"""),"-")</f>
        <v>-</v>
      </c>
      <c r="AC219" s="6" t="str">
        <f>IFERROR(__xludf.DUMMYFUNCTION("""COMPUTED_VALUE"""),"-")</f>
        <v>-</v>
      </c>
      <c r="AD219" s="6" t="str">
        <f>IFERROR(__xludf.DUMMYFUNCTION("""COMPUTED_VALUE"""),"-")</f>
        <v>-</v>
      </c>
      <c r="AE219" s="6" t="str">
        <f>IFERROR(__xludf.DUMMYFUNCTION("""COMPUTED_VALUE"""),"Женский")</f>
        <v>Женский</v>
      </c>
      <c r="AF219" s="6" t="str">
        <f>IFERROR(__xludf.DUMMYFUNCTION("""COMPUTED_VALUE"""),"30-44")</f>
        <v>30-44</v>
      </c>
      <c r="AG219" s="6"/>
      <c r="AH219" s="6"/>
      <c r="AI219" s="6"/>
      <c r="AJ219" s="6"/>
      <c r="AK219" s="6"/>
      <c r="AL219" s="6"/>
      <c r="AM219" s="6"/>
    </row>
    <row r="220">
      <c r="A220" s="4">
        <v>219.0</v>
      </c>
      <c r="B220" s="6" t="str">
        <f>IFERROR(__xludf.DUMMYFUNCTION("""COMPUTED_VALUE"""),"Музыка ")</f>
        <v>Музыка </v>
      </c>
      <c r="C220" s="6" t="str">
        <f>IFERROR(__xludf.DUMMYFUNCTION("""COMPUTED_VALUE"""),"Музыка ")</f>
        <v>Музыка </v>
      </c>
      <c r="D220" s="6" t="str">
        <f>IFERROR(__xludf.DUMMYFUNCTION("""COMPUTED_VALUE"""),"Центральный ")</f>
        <v>Центральный </v>
      </c>
      <c r="E220" s="6" t="str">
        <f>IFERROR(__xludf.DUMMYFUNCTION("""COMPUTED_VALUE"""),"Харатс ")</f>
        <v>Харатс </v>
      </c>
      <c r="F220" s="6" t="str">
        <f>IFERROR(__xludf.DUMMYFUNCTION("""COMPUTED_VALUE"""),"Переехал сюда из другого места (откуда? укажите в графе другое), Таштагол")</f>
        <v>Переехал сюда из другого места (откуда? укажите в графе другое), Таштагол</v>
      </c>
      <c r="G220" s="6" t="str">
        <f>IFERROR(__xludf.DUMMYFUNCTION("""COMPUTED_VALUE"""),"В магазин ")</f>
        <v>В магазин </v>
      </c>
      <c r="H220" s="6" t="str">
        <f>IFERROR(__xludf.DUMMYFUNCTION("""COMPUTED_VALUE"""),"Вонь, какашки весной, грязь, заболевания дыхательных путей, утки")</f>
        <v>Вонь, какашки весной, грязь, заболевания дыхательных путей, утки</v>
      </c>
      <c r="I220" s="6" t="str">
        <f>IFERROR(__xludf.DUMMYFUNCTION("""COMPUTED_VALUE"""),"Леонов")</f>
        <v>Леонов</v>
      </c>
      <c r="J220" s="6" t="str">
        <f>IFERROR(__xludf.DUMMYFUNCTION("""COMPUTED_VALUE"""),"???")</f>
        <v>???</v>
      </c>
      <c r="K220" s="6" t="str">
        <f>IFERROR(__xludf.DUMMYFUNCTION("""COMPUTED_VALUE"""),"Харатс ")</f>
        <v>Харатс </v>
      </c>
      <c r="L220" s="6" t="str">
        <f>IFERROR(__xludf.DUMMYFUNCTION("""COMPUTED_VALUE"""),"Ты не смог, к Кемерово смог")</f>
        <v>Ты не смог, к Кемерово смог</v>
      </c>
      <c r="M220" s="6" t="str">
        <f>IFERROR(__xludf.DUMMYFUNCTION("""COMPUTED_VALUE"""),"Нет")</f>
        <v>Нет</v>
      </c>
      <c r="N220" s="6" t="str">
        <f>IFERROR(__xludf.DUMMYFUNCTION("""COMPUTED_VALUE"""),"Экология, инфраструктура, медицина, рабочие места, экология, экология ")</f>
        <v>Экология, инфраструктура, медицина, рабочие места, экология, экология </v>
      </c>
      <c r="O220" s="6" t="str">
        <f>IFERROR(__xludf.DUMMYFUNCTION("""COMPUTED_VALUE"""),"Убрать заводы с черты города, перестать загрязнять  реки")</f>
        <v>Убрать заводы с черты города, перестать загрязнять  реки</v>
      </c>
      <c r="P220" s="6" t="str">
        <f>IFERROR(__xludf.DUMMYFUNCTION("""COMPUTED_VALUE"""),"Интернет. Паблики вк")</f>
        <v>Интернет. Паблики вк</v>
      </c>
      <c r="Q220"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 результаты местных исследований (рейтинги/аналитика/тенденции)")</f>
        <v>где вкусно поесть/открытие новых кафе/ресторанов, городская афиша (кино/театр/концерты), криминальные новости (происшествия/преступления), результаты местных исследований (рейтинги/аналитика/тенденции)</v>
      </c>
      <c r="R220" s="6" t="str">
        <f>IFERROR(__xludf.DUMMYFUNCTION("""COMPUTED_VALUE"""),"Никакие! Ненавижу городские праздники, потому что выходит все пьяные быдло ")</f>
        <v>Никакие! Ненавижу городские праздники, потому что выходит все пьяные быдло </v>
      </c>
      <c r="S220" s="6" t="str">
        <f>IFERROR(__xludf.DUMMYFUNCTION("""COMPUTED_VALUE"""),"Нет, не приходилось")</f>
        <v>Нет, не приходилось</v>
      </c>
      <c r="T220" s="6" t="str">
        <f>IFERROR(__xludf.DUMMYFUNCTION("""COMPUTED_VALUE"""),"Пожарами и уровнем загрязнения города. Уровнем заболеваемости вич и туберкулезом. ")</f>
        <v>Пожарами и уровнем загрязнения города. Уровнем заболеваемости вич и туберкулезом. </v>
      </c>
      <c r="U220" s="6" t="str">
        <f>IFERROR(__xludf.DUMMYFUNCTION("""COMPUTED_VALUE"""),"Улица арочная и весенняя")</f>
        <v>Улица арочная и весенняя</v>
      </c>
      <c r="V220" s="6" t="str">
        <f>IFERROR(__xludf.DUMMYFUNCTION("""COMPUTED_VALUE"""),"Ничего")</f>
        <v>Ничего</v>
      </c>
      <c r="W220" s="6" t="str">
        <f>IFERROR(__xludf.DUMMYFUNCTION("""COMPUTED_VALUE"""),"Злые, нервные, больные алкоголизмом. ")</f>
        <v>Злые, нервные, больные алкоголизмом. </v>
      </c>
      <c r="X220" s="6" t="str">
        <f>IFERROR(__xludf.DUMMYFUNCTION("""COMPUTED_VALUE"""),"Набережная, парк ангелов. ")</f>
        <v>Набережная, парк ангелов. </v>
      </c>
      <c r="Y220" s="6" t="str">
        <f>IFERROR(__xludf.DUMMYFUNCTION("""COMPUTED_VALUE"""),"Не знаю ")</f>
        <v>Не знаю </v>
      </c>
      <c r="Z220" s="6" t="str">
        <f>IFERROR(__xludf.DUMMYFUNCTION("""COMPUTED_VALUE"""),"Построили парк ангелов. Очень красивый. ")</f>
        <v>Построили парк ангелов. Очень красивый. </v>
      </c>
      <c r="AA220" s="6" t="str">
        <f>IFERROR(__xludf.DUMMYFUNCTION("""COMPUTED_VALUE"""),"Пожар в зимней вишне. Однажды зимой уровень загрязнения воздуха был не пригоден для жизни. ")</f>
        <v>Пожар в зимней вишне. Однажды зимой уровень загрязнения воздуха был не пригоден для жизни. </v>
      </c>
      <c r="AB220" s="6" t="str">
        <f>IFERROR(__xludf.DUMMYFUNCTION("""COMPUTED_VALUE"""),"Не знаю. ")</f>
        <v>Не знаю. </v>
      </c>
      <c r="AC220" s="6" t="str">
        <f>IFERROR(__xludf.DUMMYFUNCTION("""COMPUTED_VALUE"""),"???")</f>
        <v>???</v>
      </c>
      <c r="AD220" s="6" t="str">
        <f>IFERROR(__xludf.DUMMYFUNCTION("""COMPUTED_VALUE"""),"В роли агитатора за улучшение экологической ситуации в городе. ")</f>
        <v>В роли агитатора за улучшение экологической ситуации в городе. </v>
      </c>
      <c r="AE220" s="6" t="str">
        <f>IFERROR(__xludf.DUMMYFUNCTION("""COMPUTED_VALUE"""),"Женский")</f>
        <v>Женский</v>
      </c>
      <c r="AF220" s="6" t="str">
        <f>IFERROR(__xludf.DUMMYFUNCTION("""COMPUTED_VALUE"""),"18-29")</f>
        <v>18-29</v>
      </c>
      <c r="AG220" s="6"/>
      <c r="AH220" s="6"/>
      <c r="AI220" s="6"/>
      <c r="AJ220" s="6"/>
      <c r="AK220" s="6"/>
      <c r="AL220" s="6"/>
      <c r="AM220" s="6"/>
    </row>
    <row r="221">
      <c r="A221" s="4">
        <v>220.0</v>
      </c>
      <c r="B221" s="6" t="str">
        <f>IFERROR(__xludf.DUMMYFUNCTION("""COMPUTED_VALUE"""),"Музыка ")</f>
        <v>Музыка </v>
      </c>
      <c r="C221" s="6" t="str">
        <f>IFERROR(__xludf.DUMMYFUNCTION("""COMPUTED_VALUE"""),"Музыка ")</f>
        <v>Музыка </v>
      </c>
      <c r="D221" s="6" t="str">
        <f>IFERROR(__xludf.DUMMYFUNCTION("""COMPUTED_VALUE"""),"Центральный ")</f>
        <v>Центральный </v>
      </c>
      <c r="E221" s="6" t="str">
        <f>IFERROR(__xludf.DUMMYFUNCTION("""COMPUTED_VALUE"""),"Харатс ")</f>
        <v>Харатс </v>
      </c>
      <c r="F221" s="6" t="str">
        <f>IFERROR(__xludf.DUMMYFUNCTION("""COMPUTED_VALUE"""),"Переехал сюда из другого места (откуда? укажите в графе другое), Таштагол")</f>
        <v>Переехал сюда из другого места (откуда? укажите в графе другое), Таштагол</v>
      </c>
      <c r="G221" s="6" t="str">
        <f>IFERROR(__xludf.DUMMYFUNCTION("""COMPUTED_VALUE"""),"В магазин ")</f>
        <v>В магазин </v>
      </c>
      <c r="H221" s="6" t="str">
        <f>IFERROR(__xludf.DUMMYFUNCTION("""COMPUTED_VALUE"""),"Вонь, какашки весной, грязь, заболевания дыхательных путей, утки")</f>
        <v>Вонь, какашки весной, грязь, заболевания дыхательных путей, утки</v>
      </c>
      <c r="I221" s="6" t="str">
        <f>IFERROR(__xludf.DUMMYFUNCTION("""COMPUTED_VALUE"""),"Леонов")</f>
        <v>Леонов</v>
      </c>
      <c r="J221" s="6" t="str">
        <f>IFERROR(__xludf.DUMMYFUNCTION("""COMPUTED_VALUE"""),"???")</f>
        <v>???</v>
      </c>
      <c r="K221" s="6" t="str">
        <f>IFERROR(__xludf.DUMMYFUNCTION("""COMPUTED_VALUE"""),"Харатс ")</f>
        <v>Харатс </v>
      </c>
      <c r="L221" s="6" t="str">
        <f>IFERROR(__xludf.DUMMYFUNCTION("""COMPUTED_VALUE"""),"Ты не смог, к Кемерово смог")</f>
        <v>Ты не смог, к Кемерово смог</v>
      </c>
      <c r="M221" s="6" t="str">
        <f>IFERROR(__xludf.DUMMYFUNCTION("""COMPUTED_VALUE"""),"Нет")</f>
        <v>Нет</v>
      </c>
      <c r="N221" s="6" t="str">
        <f>IFERROR(__xludf.DUMMYFUNCTION("""COMPUTED_VALUE"""),"Экология, инфраструктура, медицина, рабочие места, экология, экология ")</f>
        <v>Экология, инфраструктура, медицина, рабочие места, экология, экология </v>
      </c>
      <c r="O221" s="6" t="str">
        <f>IFERROR(__xludf.DUMMYFUNCTION("""COMPUTED_VALUE"""),"Убрать заводы с черты города, перестать загрязнять  реки")</f>
        <v>Убрать заводы с черты города, перестать загрязнять  реки</v>
      </c>
      <c r="P221" s="6" t="str">
        <f>IFERROR(__xludf.DUMMYFUNCTION("""COMPUTED_VALUE"""),"Интернет. Паблики вк")</f>
        <v>Интернет. Паблики вк</v>
      </c>
      <c r="Q221"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 результаты местных исследований (рейтинги/аналитика/тенденции)")</f>
        <v>где вкусно поесть/открытие новых кафе/ресторанов, городская афиша (кино/театр/концерты), криминальные новости (происшествия/преступления), результаты местных исследований (рейтинги/аналитика/тенденции)</v>
      </c>
      <c r="R221" s="6" t="str">
        <f>IFERROR(__xludf.DUMMYFUNCTION("""COMPUTED_VALUE"""),"Никакие! Ненавижу городские праздники, потому что выходит все пьяные быдло ")</f>
        <v>Никакие! Ненавижу городские праздники, потому что выходит все пьяные быдло </v>
      </c>
      <c r="S221" s="6" t="str">
        <f>IFERROR(__xludf.DUMMYFUNCTION("""COMPUTED_VALUE"""),"Нет, не приходилось")</f>
        <v>Нет, не приходилось</v>
      </c>
      <c r="T221" s="6" t="str">
        <f>IFERROR(__xludf.DUMMYFUNCTION("""COMPUTED_VALUE"""),"Пожарами и уровнем загрязнения города. Уровнем заболеваемости вич и туберкулезом. ")</f>
        <v>Пожарами и уровнем загрязнения города. Уровнем заболеваемости вич и туберкулезом. </v>
      </c>
      <c r="U221" s="6" t="str">
        <f>IFERROR(__xludf.DUMMYFUNCTION("""COMPUTED_VALUE"""),"Улица арочная и весенняя")</f>
        <v>Улица арочная и весенняя</v>
      </c>
      <c r="V221" s="6" t="str">
        <f>IFERROR(__xludf.DUMMYFUNCTION("""COMPUTED_VALUE"""),"Ничего")</f>
        <v>Ничего</v>
      </c>
      <c r="W221" s="6" t="str">
        <f>IFERROR(__xludf.DUMMYFUNCTION("""COMPUTED_VALUE"""),"Злые, нервные, больные алкоголизмом. ")</f>
        <v>Злые, нервные, больные алкоголизмом. </v>
      </c>
      <c r="X221" s="6" t="str">
        <f>IFERROR(__xludf.DUMMYFUNCTION("""COMPUTED_VALUE"""),"Набережная, парк ангелов. ")</f>
        <v>Набережная, парк ангелов. </v>
      </c>
      <c r="Y221" s="6" t="str">
        <f>IFERROR(__xludf.DUMMYFUNCTION("""COMPUTED_VALUE"""),"Не знаю ")</f>
        <v>Не знаю </v>
      </c>
      <c r="Z221" s="6" t="str">
        <f>IFERROR(__xludf.DUMMYFUNCTION("""COMPUTED_VALUE"""),"Построили парк ангелов. Очень красивый. ")</f>
        <v>Построили парк ангелов. Очень красивый. </v>
      </c>
      <c r="AA221" s="6" t="str">
        <f>IFERROR(__xludf.DUMMYFUNCTION("""COMPUTED_VALUE"""),"Пожар в зимней вишне. Однажды зимой уровень загрязнения воздуха был не пригоден для жизни. ")</f>
        <v>Пожар в зимней вишне. Однажды зимой уровень загрязнения воздуха был не пригоден для жизни. </v>
      </c>
      <c r="AB221" s="6" t="str">
        <f>IFERROR(__xludf.DUMMYFUNCTION("""COMPUTED_VALUE"""),"Не знаю. ")</f>
        <v>Не знаю. </v>
      </c>
      <c r="AC221" s="6" t="str">
        <f>IFERROR(__xludf.DUMMYFUNCTION("""COMPUTED_VALUE"""),"???")</f>
        <v>???</v>
      </c>
      <c r="AD221" s="6" t="str">
        <f>IFERROR(__xludf.DUMMYFUNCTION("""COMPUTED_VALUE"""),"В роли агитатора за улучшение экологической ситуации в городе. ")</f>
        <v>В роли агитатора за улучшение экологической ситуации в городе. </v>
      </c>
      <c r="AE221" s="6" t="str">
        <f>IFERROR(__xludf.DUMMYFUNCTION("""COMPUTED_VALUE"""),"Женский")</f>
        <v>Женский</v>
      </c>
      <c r="AF221" s="6" t="str">
        <f>IFERROR(__xludf.DUMMYFUNCTION("""COMPUTED_VALUE"""),"18-29")</f>
        <v>18-29</v>
      </c>
      <c r="AG221" s="6"/>
      <c r="AH221" s="6"/>
      <c r="AI221" s="6"/>
      <c r="AJ221" s="6"/>
      <c r="AK221" s="6"/>
      <c r="AL221" s="6"/>
      <c r="AM221" s="6"/>
    </row>
    <row r="222">
      <c r="A222" s="4">
        <v>221.0</v>
      </c>
      <c r="B222" s="6" t="str">
        <f>IFERROR(__xludf.DUMMYFUNCTION("""COMPUTED_VALUE"""),"Руководитель, продажами услуг ")</f>
        <v>Руководитель, продажами услуг </v>
      </c>
      <c r="C222" s="6" t="str">
        <f>IFERROR(__xludf.DUMMYFUNCTION("""COMPUTED_VALUE"""),"Есть. Судья любительской лиги по волейболу")</f>
        <v>Есть. Судья любительской лиги по волейболу</v>
      </c>
      <c r="D222" s="6" t="str">
        <f>IFERROR(__xludf.DUMMYFUNCTION("""COMPUTED_VALUE"""),"Центральный Кемерово")</f>
        <v>Центральный Кемерово</v>
      </c>
      <c r="E222" s="6" t="str">
        <f>IFERROR(__xludf.DUMMYFUNCTION("""COMPUTED_VALUE"""),"Площадь, парк Антошка, парк Юбилейный")</f>
        <v>Площадь, парк Антошка, парк Юбилейный</v>
      </c>
      <c r="F222" s="6" t="str">
        <f>IFERROR(__xludf.DUMMYFUNCTION("""COMPUTED_VALUE"""),"Переехал сюда из другого места (откуда? укажите в графе другое), переехала в Кемерово из Таштагола после окончания школы")</f>
        <v>Переехал сюда из другого места (откуда? укажите в графе другое), переехала в Кемерово из Таштагола после окончания школы</v>
      </c>
      <c r="G222" s="6" t="str">
        <f>IFERROR(__xludf.DUMMYFUNCTION("""COMPUTED_VALUE"""),"Кедровый и сосновый бор, парк Антошка, парк Юбилейный")</f>
        <v>Кедровый и сосновый бор, парк Антошка, парк Юбилейный</v>
      </c>
      <c r="H222" s="6" t="str">
        <f>IFERROR(__xludf.DUMMYFUNCTION("""COMPUTED_VALUE"""),"Чистый, Развивающийся, Молодой, Уголь, Кузбасс")</f>
        <v>Чистый, Развивающийся, Молодой, Уголь, Кузбасс</v>
      </c>
      <c r="I222" s="6" t="str">
        <f>IFERROR(__xludf.DUMMYFUNCTION("""COMPUTED_VALUE"""),"Тулеев, Волков, Волошина")</f>
        <v>Тулеев, Волков, Волошина</v>
      </c>
      <c r="J222" s="6" t="str">
        <f>IFERROR(__xludf.DUMMYFUNCTION("""COMPUTED_VALUE"""),"Гришковец")</f>
        <v>Гришковец</v>
      </c>
      <c r="K222" s="6" t="str">
        <f>IFERROR(__xludf.DUMMYFUNCTION("""COMPUTED_VALUE"""),"ул Весенняя, площадь, набережная, красная горка")</f>
        <v>ул Весенняя, площадь, набережная, красная горка</v>
      </c>
      <c r="L222" s="6" t="str">
        <f>IFERROR(__xludf.DUMMYFUNCTION("""COMPUTED_VALUE"""),"не знаю")</f>
        <v>не знаю</v>
      </c>
      <c r="M222" s="6" t="str">
        <f>IFERROR(__xludf.DUMMYFUNCTION("""COMPUTED_VALUE"""),"не знаю")</f>
        <v>не знаю</v>
      </c>
      <c r="N222" s="6" t="str">
        <f>IFERROR(__xludf.DUMMYFUNCTION("""COMPUTED_VALUE"""),"доступность транспорта, легко и быстро уехать из любой точки города
качество дорог, без ям и без каши
уровень подготовки детей в школе
широкий выбор специальностей в институтах
средний заработок выше 50 тыс")</f>
        <v>доступность транспорта, легко и быстро уехать из любой точки города
качество дорог, без ям и без каши
уровень подготовки детей в школе
широкий выбор специальностей в институтах
средний заработок выше 50 тыс</v>
      </c>
      <c r="O222" s="6" t="str">
        <f>IFERROR(__xludf.DUMMYFUNCTION("""COMPUTED_VALUE"""),"парки привести в порядок, по вечерам страшно гулять в парке Юбилейный. Добавить интересных объектов, красивые скамейки, парки, фонтаны, аллеи для семейных пар ")</f>
        <v>парки привести в порядок, по вечерам страшно гулять в парке Юбилейный. Добавить интересных объектов, красивые скамейки, парки, фонтаны, аллеи для семейных пар </v>
      </c>
      <c r="P222" s="6" t="str">
        <f>IFERROR(__xludf.DUMMYFUNCTION("""COMPUTED_VALUE"""),"инстаграмм (инцидент 42 и т.д), личные аккаунты учреждений")</f>
        <v>инстаграмм (инцидент 42 и т.д), личные аккаунты учреждений</v>
      </c>
      <c r="Q222" s="6" t="str">
        <f>IFERROR(__xludf.DUMMYFUNCTION("""COMPUTED_VALUE"""),"куда пойти в свободное время, городская афиша (кино/театр/концерты),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(ср"&amp;"едний чек/рекламные акции/запуск новых предприятий), результаты местных исследований (рейтинги/аналитика/тенденции)")</f>
        <v>куда пойти в свободное время, городская афиша (кино/театр/концерты),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222" s="6" t="str">
        <f>IFERROR(__xludf.DUMMYFUNCTION("""COMPUTED_VALUE"""),"Народные гуляния, Масленица, День города, День защиты детей, день семьи ")</f>
        <v>Народные гуляния, Масленица, День города, День защиты детей, день семьи </v>
      </c>
      <c r="S222" s="6" t="str">
        <f>IFERROR(__xludf.DUMMYFUNCTION("""COMPUTED_VALUE"""),"Нет, не приходилось")</f>
        <v>Нет, не приходилось</v>
      </c>
      <c r="T222" s="6" t="str">
        <f>IFERROR(__xludf.DUMMYFUNCTION("""COMPUTED_VALUE"""),"Спортсменами, политиками Тулеевым и Цивилевым, пожаром в Вишне")</f>
        <v>Спортсменами, политиками Тулеевым и Цивилевым, пожаром в Вишне</v>
      </c>
      <c r="U222" s="6" t="str">
        <f>IFERROR(__xludf.DUMMYFUNCTION("""COMPUTED_VALUE"""),"площадь")</f>
        <v>площадь</v>
      </c>
      <c r="V222" s="6" t="str">
        <f>IFERROR(__xludf.DUMMYFUNCTION("""COMPUTED_VALUE"""),"Развивали экономику, благотворительностью занимались ")</f>
        <v>Развивали экономику, благотворительностью занимались </v>
      </c>
      <c r="W222" s="6" t="str">
        <f>IFERROR(__xludf.DUMMYFUNCTION("""COMPUTED_VALUE"""),"Добрые, веселые, творческие ")</f>
        <v>Добрые, веселые, творческие </v>
      </c>
      <c r="X222" s="6" t="str">
        <f>IFERROR(__xludf.DUMMYFUNCTION("""COMPUTED_VALUE"""),"Площадь, Красная горка, подъем до букв ""Кузбасс""")</f>
        <v>Площадь, Красная горка, подъем до букв "Кузбасс"</v>
      </c>
      <c r="Y222" s="6" t="str">
        <f>IFERROR(__xludf.DUMMYFUNCTION("""COMPUTED_VALUE"""),"не знаю. устал писать")</f>
        <v>не знаю. устал писать</v>
      </c>
      <c r="Z222" s="6" t="str">
        <f>IFERROR(__xludf.DUMMYFUNCTION("""COMPUTED_VALUE"""),"победы команды ВК Кузбасс ")</f>
        <v>победы команды ВК Кузбасс </v>
      </c>
      <c r="AA222" s="6" t="str">
        <f>IFERROR(__xludf.DUMMYFUNCTION("""COMPUTED_VALUE"""),"очень много происшествий, повлекших смерти: аварий, убийств ")</f>
        <v>очень много происшествий, повлекших смерти: аварий, убийств </v>
      </c>
      <c r="AB222" s="6" t="str">
        <f>IFERROR(__xludf.DUMMYFUNCTION("""COMPUTED_VALUE"""),"проводить совместные выходные, семейные и не семейные любые. Просто кто то куда то собрался, а поехали вместе. Жители делятся своими впечатлениями от отдыха и интересных местечках в нашей области и ближайших")</f>
        <v>проводить совместные выходные, семейные и не семейные любые. Просто кто то куда то собрался, а поехали вместе. Жители делятся своими впечатлениями от отдыха и интересных местечках в нашей области и ближайших</v>
      </c>
      <c r="AC222" s="6" t="str">
        <f>IFERROR(__xludf.DUMMYFUNCTION("""COMPUTED_VALUE"""),"соревнования, форумы с бесплатным входом, выступления редких звезд, тематические вечеринки массовые ")</f>
        <v>соревнования, форумы с бесплатным входом, выступления редких звезд, тематические вечеринки массовые </v>
      </c>
      <c r="AD222" s="6" t="str">
        <f>IFERROR(__xludf.DUMMYFUNCTION("""COMPUTED_VALUE"""),"участника, организатора ")</f>
        <v>участника, организатора </v>
      </c>
      <c r="AE222" s="6" t="str">
        <f>IFERROR(__xludf.DUMMYFUNCTION("""COMPUTED_VALUE"""),"Женский")</f>
        <v>Женский</v>
      </c>
      <c r="AF222" s="6" t="str">
        <f>IFERROR(__xludf.DUMMYFUNCTION("""COMPUTED_VALUE"""),"30-44")</f>
        <v>30-44</v>
      </c>
      <c r="AG222" s="6"/>
      <c r="AH222" s="6"/>
      <c r="AI222" s="6"/>
      <c r="AJ222" s="6"/>
      <c r="AK222" s="6"/>
      <c r="AL222" s="6"/>
      <c r="AM222" s="6"/>
    </row>
    <row r="223">
      <c r="A223" s="4">
        <v>222.0</v>
      </c>
      <c r="B223" s="6" t="str">
        <f>IFERROR(__xludf.DUMMYFUNCTION("""COMPUTED_VALUE"""),"Организую вокальные мастер-классы")</f>
        <v>Организую вокальные мастер-классы</v>
      </c>
      <c r="C223" s="6" t="str">
        <f>IFERROR(__xludf.DUMMYFUNCTION("""COMPUTED_VALUE"""),"Делаю пиньятты для своих троих детей и для детей друзей ")</f>
        <v>Делаю пиньятты для своих троих детей и для детей друзей </v>
      </c>
      <c r="D223" s="6" t="str">
        <f>IFERROR(__xludf.DUMMYFUNCTION("""COMPUTED_VALUE"""),"Радуга ")</f>
        <v>Радуга </v>
      </c>
      <c r="E223" s="6" t="str">
        <f>IFERROR(__xludf.DUMMYFUNCTION("""COMPUTED_VALUE"""),"Парк мамы и ребенка")</f>
        <v>Парк мамы и ребенка</v>
      </c>
      <c r="F223" s="6" t="str">
        <f>IFERROR(__xludf.DUMMYFUNCTION("""COMPUTED_VALUE"""),"Более 15лет")</f>
        <v>Более 15лет</v>
      </c>
      <c r="G223" s="6" t="str">
        <f>IFERROR(__xludf.DUMMYFUNCTION("""COMPUTED_VALUE"""),"Набережная, бор")</f>
        <v>Набережная, бор</v>
      </c>
      <c r="H223" s="6" t="str">
        <f>IFERROR(__xludf.DUMMYFUNCTION("""COMPUTED_VALUE"""),"Компактный, но грязненький, родной, тихий, провинциалтный ")</f>
        <v>Компактный, но грязненький, родной, тихий, провинциалтный </v>
      </c>
      <c r="I223" s="6" t="str">
        <f>IFERROR(__xludf.DUMMYFUNCTION("""COMPUTED_VALUE"""),"Леонов, Фёдоров,Волков,Рутгерс, ")</f>
        <v>Леонов, Фёдоров,Волков,Рутгерс, </v>
      </c>
      <c r="J223" s="6" t="str">
        <f>IFERROR(__xludf.DUMMYFUNCTION("""COMPUTED_VALUE"""),"Затрудняюсь, в целом нравится Анна Евгеньевна что пропагандирует и как себя ведёт на мероприятиях без лишних пантов и вроде с искренностью и душевностью")</f>
        <v>Затрудняюсь, в целом нравится Анна Евгеньевна что пропагандирует и как себя ведёт на мероприятиях без лишних пантов и вроде с искренностью и душевностью</v>
      </c>
      <c r="K223" s="6" t="str">
        <f>IFERROR(__xludf.DUMMYFUNCTION("""COMPUTED_VALUE"""),"Атмосферно в парке Кузбасском если там не бухариков, и если почистить его, также место красивое около Казанского Храма. ")</f>
        <v>Атмосферно в парке Кузбасском если там не бухариков, и если почистить его, также место красивое около Казанского Храма. </v>
      </c>
      <c r="L223" s="6" t="str">
        <f>IFERROR(__xludf.DUMMYFUNCTION("""COMPUTED_VALUE"""),"Песня, Человек из Кемерово. ")</f>
        <v>Песня, Человек из Кемерово. </v>
      </c>
      <c r="M223" s="6" t="str">
        <f>IFERROR(__xludf.DUMMYFUNCTION("""COMPUTED_VALUE"""),"Нет")</f>
        <v>Нет</v>
      </c>
      <c r="N223" s="6" t="str">
        <f>IFERROR(__xludf.DUMMYFUNCTION("""COMPUTED_VALUE"""),"Комфортно было бы если почистить город, привлечь архитекторов и отреставрировать в центре красивые фасады домиков и добавить новых современных местечке для фотосессию. ")</f>
        <v>Комфортно было бы если почистить город, привлечь архитекторов и отреставрировать в центре красивые фасады домиков и добавить новых современных местечке для фотосессию. </v>
      </c>
      <c r="O223" s="6" t="str">
        <f>IFERROR(__xludf.DUMMYFUNCTION("""COMPUTED_VALUE"""),"Закрыть слева по кузнецкому вид завода) ")</f>
        <v>Закрыть слева по кузнецкому вид завода) </v>
      </c>
      <c r="P223" s="6" t="str">
        <f>IFERROR(__xludf.DUMMYFUNCTION("""COMPUTED_VALUE"""),"Инстаграмм")</f>
        <v>Инстаграмм</v>
      </c>
      <c r="Q223" s="6" t="str">
        <f>IFERROR(__xludf.DUMMYFUNCTION("""COMPUTED_VALUE"""),"куда пойти в свободное время, новости про новые профессии/куда поступать/вакансии, результаты местных исследований (рейтинги/аналитика/тенденции)")</f>
        <v>куда пойти в свободное время, новости про новые профессии/куда поступать/вакансии, результаты местных исследований (рейтинги/аналитика/тенденции)</v>
      </c>
      <c r="R223" s="6" t="str">
        <f>IFERROR(__xludf.DUMMYFUNCTION("""COMPUTED_VALUE"""),"День города, 9мая")</f>
        <v>День города, 9мая</v>
      </c>
      <c r="S223" s="6" t="str">
        <f>IFERROR(__xludf.DUMMYFUNCTION("""COMPUTED_VALUE"""),"Обращался в редакции электронных городских СМИ")</f>
        <v>Обращался в редакции электронных городских СМИ</v>
      </c>
      <c r="T223" s="6" t="str">
        <f>IFERROR(__xludf.DUMMYFUNCTION("""COMPUTED_VALUE"""),"То, как можно умудриться жить на позитиве в этом городе (это уникальность) ")</f>
        <v>То, как можно умудриться жить на позитиве в этом городе (это уникальность) </v>
      </c>
      <c r="U223" s="6" t="str">
        <f>IFERROR(__xludf.DUMMYFUNCTION("""COMPUTED_VALUE"""),"Площадь Советов")</f>
        <v>Площадь Советов</v>
      </c>
      <c r="V223" s="6" t="str">
        <f>IFERROR(__xludf.DUMMYFUNCTION("""COMPUTED_VALUE"""),"Выжили ")</f>
        <v>Выжили </v>
      </c>
      <c r="W223" s="6" t="str">
        <f>IFERROR(__xludf.DUMMYFUNCTION("""COMPUTED_VALUE"""),"Добрые, работоспособные, преданные родным краям")</f>
        <v>Добрые, работоспособные, преданные родным краям</v>
      </c>
      <c r="X223" s="6" t="str">
        <f>IFERROR(__xludf.DUMMYFUNCTION("""COMPUTED_VALUE"""),"Смотря какое время года... ")</f>
        <v>Смотря какое время года... </v>
      </c>
      <c r="Y223" s="6" t="str">
        <f>IFERROR(__xludf.DUMMYFUNCTION("""COMPUTED_VALUE"""),"День Шахтера с рокерами")</f>
        <v>День Шахтера с рокерами</v>
      </c>
      <c r="Z223" s="6" t="str">
        <f>IFERROR(__xludf.DUMMYFUNCTION("""COMPUTED_VALUE"""),"
... ")</f>
        <v>
... </v>
      </c>
      <c r="AA223" s="6" t="str">
        <f>IFERROR(__xludf.DUMMYFUNCTION("""COMPUTED_VALUE"""),"... ")</f>
        <v>... </v>
      </c>
      <c r="AB223" s="6" t="str">
        <f>IFERROR(__xludf.DUMMYFUNCTION("""COMPUTED_VALUE"""),"Стоп-хам, уличные музыканты, танцоры(профессионалы) ")</f>
        <v>Стоп-хам, уличные музыканты, танцоры(профессионалы) </v>
      </c>
      <c r="AC223" s="6" t="str">
        <f>IFERROR(__xludf.DUMMYFUNCTION("""COMPUTED_VALUE"""),"Массовые, креативные")</f>
        <v>Массовые, креативные</v>
      </c>
      <c r="AD223" s="6" t="str">
        <f>IFERROR(__xludf.DUMMYFUNCTION("""COMPUTED_VALUE"""),"Партнера")</f>
        <v>Партнера</v>
      </c>
      <c r="AE223" s="6" t="str">
        <f>IFERROR(__xludf.DUMMYFUNCTION("""COMPUTED_VALUE"""),"Женский")</f>
        <v>Женский</v>
      </c>
      <c r="AF223" s="6" t="str">
        <f>IFERROR(__xludf.DUMMYFUNCTION("""COMPUTED_VALUE"""),"30-44")</f>
        <v>30-44</v>
      </c>
      <c r="AG223" s="6"/>
      <c r="AH223" s="6"/>
      <c r="AI223" s="6"/>
      <c r="AJ223" s="6"/>
      <c r="AK223" s="6"/>
      <c r="AL223" s="6"/>
      <c r="AM223" s="6"/>
    </row>
    <row r="224">
      <c r="A224" s="4">
        <v>223.0</v>
      </c>
      <c r="B224" s="6" t="str">
        <f>IFERROR(__xludf.DUMMYFUNCTION("""COMPUTED_VALUE"""),"Сотрудник компании гудлайн")</f>
        <v>Сотрудник компании гудлайн</v>
      </c>
      <c r="C224" s="6" t="str">
        <f>IFERROR(__xludf.DUMMYFUNCTION("""COMPUTED_VALUE"""),"Работать в гудлайн")</f>
        <v>Работать в гудлайн</v>
      </c>
      <c r="D224" s="6" t="str">
        <f>IFERROR(__xludf.DUMMYFUNCTION("""COMPUTED_VALUE"""),"Заводском")</f>
        <v>Заводском</v>
      </c>
      <c r="E224" s="6" t="str">
        <f>IFERROR(__xludf.DUMMYFUNCTION("""COMPUTED_VALUE"""),"Лесная поляна. Набережная. Сосновый бор.")</f>
        <v>Лесная поляна. Набережная. Сосновый бор.</v>
      </c>
      <c r="F224" s="6" t="str">
        <f>IFERROR(__xludf.DUMMYFUNCTION("""COMPUTED_VALUE"""),"Живу здесь с рождения")</f>
        <v>Живу здесь с рождения</v>
      </c>
      <c r="G224" s="6" t="str">
        <f>IFERROR(__xludf.DUMMYFUNCTION("""COMPUTED_VALUE"""),"Лесная поляна. Набережная. Сосновый бор.")</f>
        <v>Лесная поляна. Набережная. Сосновый бор.</v>
      </c>
      <c r="H224" s="6" t="str">
        <f>IFERROR(__xludf.DUMMYFUNCTION("""COMPUTED_VALUE"""),"Грязно. Много камер.Не плохие дороги.Отсутсвия хорошего тц.")</f>
        <v>Грязно. Много камер.Не плохие дороги.Отсутсвия хорошего тц.</v>
      </c>
      <c r="I224" s="6" t="str">
        <f>IFERROR(__xludf.DUMMYFUNCTION("""COMPUTED_VALUE"""),"Ленин Ильич")</f>
        <v>Ленин Ильич</v>
      </c>
      <c r="J224" s="6" t="str">
        <f>IFERROR(__xludf.DUMMYFUNCTION("""COMPUTED_VALUE"""),"Тулеев, хороший дедок, что-то хоть делал для города. ")</f>
        <v>Тулеев, хороший дедок, что-то хоть делал для города. </v>
      </c>
      <c r="K224" s="6" t="str">
        <f>IFERROR(__xludf.DUMMYFUNCTION("""COMPUTED_VALUE"""),"Никаких ")</f>
        <v>Никаких </v>
      </c>
      <c r="L224" s="6" t="str">
        <f>IFERROR(__xludf.DUMMYFUNCTION("""COMPUTED_VALUE"""),"-")</f>
        <v>-</v>
      </c>
      <c r="M224" s="6" t="str">
        <f>IFERROR(__xludf.DUMMYFUNCTION("""COMPUTED_VALUE"""),"-")</f>
        <v>-</v>
      </c>
      <c r="N224" s="6" t="str">
        <f>IFERROR(__xludf.DUMMYFUNCTION("""COMPUTED_VALUE"""),"дороги. Отсутствие пробок. ")</f>
        <v>дороги. Отсутствие пробок. </v>
      </c>
      <c r="O224" s="6" t="str">
        <f>IFERROR(__xludf.DUMMYFUNCTION("""COMPUTED_VALUE"""),"Окружающую среду. В городе нечем дышать")</f>
        <v>Окружающую среду. В городе нечем дышать</v>
      </c>
      <c r="P224" s="6" t="str">
        <f>IFERROR(__xludf.DUMMYFUNCTION("""COMPUTED_VALUE"""),"А42")</f>
        <v>А42</v>
      </c>
      <c r="Q224" s="6" t="str">
        <f>IFERROR(__xludf.DUMMYFUNCTION("""COMPUTED_VALUE"""),"куда пойти в свободное время, интервью с местными политиками, интервью с местными предпринимателями, новости про новые профессии/куда поступать/вакансии")</f>
        <v>куда пойти в свободное время, интервью с местными политиками, интервью с местными предпринимателями, новости про новые профессии/куда поступать/вакансии</v>
      </c>
      <c r="R224" s="6" t="str">
        <f>IFERROR(__xludf.DUMMYFUNCTION("""COMPUTED_VALUE"""),"День связи.День автомобилиста ")</f>
        <v>День связи.День автомобилиста </v>
      </c>
      <c r="S224" s="6" t="str">
        <f>IFERROR(__xludf.DUMMYFUNCTION("""COMPUTED_VALUE"""),"Нет, не приходилось")</f>
        <v>Нет, не приходилось</v>
      </c>
      <c r="T224" s="6" t="str">
        <f>IFERROR(__xludf.DUMMYFUNCTION("""COMPUTED_VALUE"""),"Гостиница Томь) ")</f>
        <v>Гостиница Томь) </v>
      </c>
      <c r="U224" s="6" t="str">
        <f>IFERROR(__xludf.DUMMYFUNCTION("""COMPUTED_VALUE"""),"Парк чудес")</f>
        <v>Парк чудес</v>
      </c>
      <c r="V224" s="6" t="str">
        <f>IFERROR(__xludf.DUMMYFUNCTION("""COMPUTED_VALUE"""),"реализовали хоть какую-то предпринимательскую деятельность. НО городу нужны свои герои и создание дальнейших условий для бизнеса.")</f>
        <v>реализовали хоть какую-то предпринимательскую деятельность. НО городу нужны свои герои и создание дальнейших условий для бизнеса.</v>
      </c>
      <c r="W224" s="6" t="str">
        <f>IFERROR(__xludf.DUMMYFUNCTION("""COMPUTED_VALUE"""),"50% - алкаши, наркоманы. Остальные к чему-то стремятся.")</f>
        <v>50% - алкаши, наркоманы. Остальные к чему-то стремятся.</v>
      </c>
      <c r="X224" s="6" t="str">
        <f>IFERROR(__xludf.DUMMYFUNCTION("""COMPUTED_VALUE"""),"Набережная, лесная поляна")</f>
        <v>Набережная, лесная поляна</v>
      </c>
      <c r="Y224" s="6" t="str">
        <f>IFERROR(__xludf.DUMMYFUNCTION("""COMPUTED_VALUE"""),"-")</f>
        <v>-</v>
      </c>
      <c r="Z224" s="6" t="str">
        <f>IFERROR(__xludf.DUMMYFUNCTION("""COMPUTED_VALUE"""),"-")</f>
        <v>-</v>
      </c>
      <c r="AA224" s="6" t="str">
        <f>IFERROR(__xludf.DUMMYFUNCTION("""COMPUTED_VALUE"""),"Люди в городе негативные. Контингент оставляет желать лучшего")</f>
        <v>Люди в городе негативные. Контингент оставляет желать лучшего</v>
      </c>
      <c r="AB224" s="6" t="str">
        <f>IFERROR(__xludf.DUMMYFUNCTION("""COMPUTED_VALUE"""),"Бизнес сообществ")</f>
        <v>Бизнес сообществ</v>
      </c>
      <c r="AC224" s="6" t="str">
        <f>IFERROR(__xludf.DUMMYFUNCTION("""COMPUTED_VALUE"""),"Проекты на подобии ""Чистый город""")</f>
        <v>Проекты на подобии "Чистый город"</v>
      </c>
      <c r="AD224" s="6" t="str">
        <f>IFERROR(__xludf.DUMMYFUNCTION("""COMPUTED_VALUE"""),"Окажу любое содействие, но не особо верю в реализацию моих мыслей. ")</f>
        <v>Окажу любое содействие, но не особо верю в реализацию моих мыслей. </v>
      </c>
      <c r="AE224" s="6" t="str">
        <f>IFERROR(__xludf.DUMMYFUNCTION("""COMPUTED_VALUE"""),"Мужской")</f>
        <v>Мужской</v>
      </c>
      <c r="AF224" s="6" t="str">
        <f>IFERROR(__xludf.DUMMYFUNCTION("""COMPUTED_VALUE"""),"18-29")</f>
        <v>18-29</v>
      </c>
      <c r="AG224" s="6"/>
      <c r="AH224" s="6"/>
      <c r="AI224" s="6"/>
      <c r="AJ224" s="6"/>
      <c r="AK224" s="6"/>
      <c r="AL224" s="6"/>
      <c r="AM224" s="6"/>
    </row>
    <row r="225">
      <c r="A225" s="4">
        <v>224.0</v>
      </c>
      <c r="B225" s="6" t="str">
        <f>IFERROR(__xludf.DUMMYFUNCTION("""COMPUTED_VALUE"""),"Руководитель среднего звена ")</f>
        <v>Руководитель среднего звена </v>
      </c>
      <c r="C225" s="6" t="str">
        <f>IFERROR(__xludf.DUMMYFUNCTION("""COMPUTED_VALUE"""),"Кино")</f>
        <v>Кино</v>
      </c>
      <c r="D225" s="6" t="str">
        <f>IFERROR(__xludf.DUMMYFUNCTION("""COMPUTED_VALUE"""),"Южный ")</f>
        <v>Южный </v>
      </c>
      <c r="E225" s="6" t="str">
        <f>IFERROR(__xludf.DUMMYFUNCTION("""COMPUTED_VALUE"""),"Аллея патриотов, Церковь Утоли моя печали")</f>
        <v>Аллея патриотов, Церковь Утоли моя печали</v>
      </c>
      <c r="F225" s="6" t="str">
        <f>IFERROR(__xludf.DUMMYFUNCTION("""COMPUTED_VALUE"""),"Переехал сюда из другого места (откуда? укажите в графе другое), Свердловская область ")</f>
        <v>Переехал сюда из другого места (откуда? укажите в графе другое), Свердловская область </v>
      </c>
      <c r="G225" s="6" t="str">
        <f>IFERROR(__xludf.DUMMYFUNCTION("""COMPUTED_VALUE"""),"Набережная, Советский пр., Весенняя ул, бульвар Строителей, Лесная Поляна - гулять, ТЦ, кинотеатры, театры, кафе")</f>
        <v>Набережная, Советский пр., Весенняя ул, бульвар Строителей, Лесная Поляна - гулять, ТЦ, кинотеатры, театры, кафе</v>
      </c>
      <c r="H225" s="6" t="str">
        <f>IFERROR(__xludf.DUMMYFUNCTION("""COMPUTED_VALUE"""),"Удобный, красивый, душевный, опрятный, родной")</f>
        <v>Удобный, красивый, душевный, опрятный, родной</v>
      </c>
      <c r="I225" s="6" t="str">
        <f>IFERROR(__xludf.DUMMYFUNCTION("""COMPUTED_VALUE"""),"Мартемьянов, Леонов")</f>
        <v>Мартемьянов, Леонов</v>
      </c>
      <c r="J225" s="6" t="str">
        <f>IFERROR(__xludf.DUMMYFUNCTION("""COMPUTED_VALUE"""),"Тулеев, Михайлов, Цивилёв, Середюк")</f>
        <v>Тулеев, Михайлов, Цивилёв, Середюк</v>
      </c>
      <c r="K225" s="6" t="str">
        <f>IFERROR(__xludf.DUMMYFUNCTION("""COMPUTED_VALUE"""),"Советский от Кирова до Лазурного, Набережную от вечного огня до Орбиты, пл. Пушкина, Красную горку и памятник шахтерам")</f>
        <v>Советский от Кирова до Лазурного, Набережную от вечного огня до Орбиты, пл. Пушкина, Красную горку и памятник шахтерам</v>
      </c>
      <c r="L225" s="6" t="str">
        <f>IFERROR(__xludf.DUMMYFUNCTION("""COMPUTED_VALUE"""),"Не знаю")</f>
        <v>Не знаю</v>
      </c>
      <c r="M225" s="6" t="str">
        <f>IFERROR(__xludf.DUMMYFUNCTION("""COMPUTED_VALUE"""),"Не знаю")</f>
        <v>Не знаю</v>
      </c>
      <c r="N225" s="6" t="str">
        <f>IFERROR(__xludf.DUMMYFUNCTION("""COMPUTED_VALUE"""),"Широкие качественные дороги, ухоженные чистые общественные пространства, качественная работа коммунальных служб, красивые парки, скверы, памятники, арт-объекты, фонтаны, наличие удобных для посещения и красивых ТЦ")</f>
        <v>Широкие качественные дороги, ухоженные чистые общественные пространства, качественная работа коммунальных служб, красивые парки, скверы, памятники, арт-объекты, фонтаны, наличие удобных для посещения и красивых ТЦ</v>
      </c>
      <c r="O225" s="6" t="str">
        <f>IFERROR(__xludf.DUMMYFUNCTION("""COMPUTED_VALUE"""),"Отремонтировать фасады старых зданий на наиболее посещаемых знаковых улицах, больше световой иллюминации, подсветка красивых зданий, памятников, деревьев, отреставрировать памятник Гагарину на Южном, создать парковую зону между Южным и ФПК от ул Дружбы до"&amp;" ЖК Берёзовая роща. На самом деле уже многое делается...")</f>
        <v>Отремонтировать фасады старых зданий на наиболее посещаемых знаковых улицах, больше световой иллюминации, подсветка красивых зданий, памятников, деревьев, отреставрировать памятник Гагарину на Южном, создать парковую зону между Южным и ФПК от ул Дружбы до ЖК Берёзовая роща. На самом деле уже многое делается...</v>
      </c>
      <c r="P225" s="6" t="str">
        <f>IFERROR(__xludf.DUMMYFUNCTION("""COMPUTED_VALUE"""),"Вконтакте, инстаграм, от друзей, коллег ")</f>
        <v>Вконтакте, инстаграм, от друзей, коллег </v>
      </c>
      <c r="Q225" s="6" t="str">
        <f>IFERROR(__xludf.DUMMYFUNCTION("""COMPUTED_VALUE"""),"интервью с местными предпринимателями, криминальные новости (происшествия/преступления), результаты местных исследований (рейтинги/аналитика/тенденции)")</f>
        <v>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225" s="6" t="str">
        <f>IFERROR(__xludf.DUMMYFUNCTION("""COMPUTED_VALUE"""),"День города, день шахтёра, день химика")</f>
        <v>День города, день шахтёра, день химика</v>
      </c>
      <c r="S225" s="6" t="str">
        <f>IFERROR(__xludf.DUMMYFUNCTION("""COMPUTED_VALUE"""),"Нет, не приходилось")</f>
        <v>Нет, не приходилось</v>
      </c>
      <c r="T225" s="6" t="str">
        <f>IFERROR(__xludf.DUMMYFUNCTION("""COMPUTED_VALUE"""),"Лучшие дороги в Сибири, Рудничный бор, эх, вот бы сделать ежегодным рок-фестиваль какой был в 2019 году под эгидой Стройсервиса...")</f>
        <v>Лучшие дороги в Сибири, Рудничный бор, эх, вот бы сделать ежегодным рок-фестиваль какой был в 2019 году под эгидой Стройсервиса...</v>
      </c>
      <c r="U225" s="6" t="str">
        <f>IFERROR(__xludf.DUMMYFUNCTION("""COMPUTED_VALUE"""),"Обл администрация, драмтеатр, гостиница Кристалл")</f>
        <v>Обл администрация, драмтеатр, гостиница Кристалл</v>
      </c>
      <c r="V225" s="6" t="str">
        <f>IFERROR(__xludf.DUMMYFUNCTION("""COMPUTED_VALUE"""),"Много работали")</f>
        <v>Много работали</v>
      </c>
      <c r="W225" s="6" t="str">
        <f>IFERROR(__xludf.DUMMYFUNCTION("""COMPUTED_VALUE"""),"Деловитые, весёлые, добрые, искренние")</f>
        <v>Деловитые, весёлые, добрые, искренние</v>
      </c>
      <c r="X225" s="6" t="str">
        <f>IFERROR(__xludf.DUMMYFUNCTION("""COMPUTED_VALUE"""),"Весь центр, весь бульвар Строителей + кадетское училище, парк Ангелов")</f>
        <v>Весь центр, весь бульвар Строителей + кадетское училище, парк Ангелов</v>
      </c>
      <c r="Y225" s="6" t="str">
        <f>IFERROR(__xludf.DUMMYFUNCTION("""COMPUTED_VALUE"""),"ЧМ по хоккею с мячом, рок фестиваль 2019")</f>
        <v>ЧМ по хоккею с мячом, рок фестиваль 2019</v>
      </c>
      <c r="Z225" s="6" t="str">
        <f>IFERROR(__xludf.DUMMYFUNCTION("""COMPUTED_VALUE"""),"Строительство на Притомском (суд, спорткомплексы, новая набережная), рок фестиваль 2019, открытие кадетского училища")</f>
        <v>Строительство на Притомском (суд, спорткомплексы, новая набережная), рок фестиваль 2019, открытие кадетского училища</v>
      </c>
      <c r="AA225" s="6" t="str">
        <f>IFERROR(__xludf.DUMMYFUNCTION("""COMPUTED_VALUE"""),"Не помню")</f>
        <v>Не помню</v>
      </c>
      <c r="AB225" s="6" t="str">
        <f>IFERROR(__xludf.DUMMYFUNCTION("""COMPUTED_VALUE"""),"Возможно типа ""За бег"", и возможно клуб Что где когда")</f>
        <v>Возможно типа "За бег", и возможно клуб Что где когда</v>
      </c>
      <c r="AC225" s="6" t="str">
        <f>IFERROR(__xludf.DUMMYFUNCTION("""COMPUTED_VALUE"""),"Музыка, спорт, выставки")</f>
        <v>Музыка, спорт, выставки</v>
      </c>
      <c r="AD225" s="6" t="str">
        <f>IFERROR(__xludf.DUMMYFUNCTION("""COMPUTED_VALUE"""),"Могу предложить пару тройку идей")</f>
        <v>Могу предложить пару тройку идей</v>
      </c>
      <c r="AE225" s="6" t="str">
        <f>IFERROR(__xludf.DUMMYFUNCTION("""COMPUTED_VALUE"""),"Мужской")</f>
        <v>Мужской</v>
      </c>
      <c r="AF225" s="6" t="str">
        <f>IFERROR(__xludf.DUMMYFUNCTION("""COMPUTED_VALUE"""),"30-44")</f>
        <v>30-44</v>
      </c>
      <c r="AG225" s="6"/>
      <c r="AH225" s="6"/>
      <c r="AI225" s="6"/>
      <c r="AJ225" s="6"/>
      <c r="AK225" s="6"/>
      <c r="AL225" s="6"/>
      <c r="AM225" s="6"/>
    </row>
    <row r="226">
      <c r="A226" s="4">
        <v>225.0</v>
      </c>
      <c r="B226" s="6" t="str">
        <f>IFERROR(__xludf.DUMMYFUNCTION("""COMPUTED_VALUE"""),"Блогер")</f>
        <v>Блогер</v>
      </c>
      <c r="C226" s="6" t="str">
        <f>IFERROR(__xludf.DUMMYFUNCTION("""COMPUTED_VALUE"""),"Йога, китайский язык, воспитание собаки, походу в горы")</f>
        <v>Йога, китайский язык, воспитание собаки, походу в горы</v>
      </c>
      <c r="D226" s="6" t="str">
        <f>IFERROR(__xludf.DUMMYFUNCTION("""COMPUTED_VALUE"""),"Центральный, Кемерово-сити")</f>
        <v>Центральный, Кемерово-сити</v>
      </c>
      <c r="E226" s="6" t="str">
        <f>IFERROR(__xludf.DUMMYFUNCTION("""COMPUTED_VALUE"""),"Фонтан в парке Резникова, новая набережная строится, гуляю до кофейни порт на 50лет октября часто")</f>
        <v>Фонтан в парке Резникова, новая набережная строится, гуляю до кофейни порт на 50лет октября часто</v>
      </c>
      <c r="F226" s="6" t="str">
        <f>IFERROR(__xludf.DUMMYFUNCTION("""COMPUTED_VALUE"""),"Родилась здесь, переезжала в другие страны, теперь снова здесь (вышла замуж, а у мужа тут работа, выбрала семью).")</f>
        <v>Родилась здесь, переезжала в другие страны, теперь снова здесь (вышла замуж, а у мужа тут работа, выбрала семью).</v>
      </c>
      <c r="G226" s="6" t="str">
        <f>IFERROR(__xludf.DUMMYFUNCTION("""COMPUTED_VALUE"""),"Порт (кафе), гуляю по центру, люблю Томскую писанницу. В бору гуляем. Ещё у нас с мужем есть ‘свой’ обрыв на реке. Ездим туда летом. И на оз глухое тоже часто катаемся.")</f>
        <v>Порт (кафе), гуляю по центру, люблю Томскую писанницу. В бору гуляем. Ещё у нас с мужем есть ‘свой’ обрыв на реке. Ездим туда летом. И на оз глухое тоже часто катаемся.</v>
      </c>
      <c r="H226" s="6" t="str">
        <f>IFERROR(__xludf.DUMMYFUNCTION("""COMPUTED_VALUE"""),"Зелень, уголь, одуванчики, линии, еда.")</f>
        <v>Зелень, уголь, одуванчики, линии, еда.</v>
      </c>
      <c r="I226" s="6" t="str">
        <f>IFERROR(__xludf.DUMMYFUNCTION("""COMPUTED_VALUE"""),"Волков, Леонов")</f>
        <v>Волков, Леонов</v>
      </c>
      <c r="J226" s="6" t="str">
        <f>IFERROR(__xludf.DUMMYFUNCTION("""COMPUTED_VALUE"""),"Сказала бы, что Гришковец, но мне не нравится его творчество.")</f>
        <v>Сказала бы, что Гришковец, но мне не нравится его творчество.</v>
      </c>
      <c r="K226" s="6" t="str">
        <f>IFERROR(__xludf.DUMMYFUNCTION("""COMPUTED_VALUE"""),"Сосновый бор")</f>
        <v>Сосновый бор</v>
      </c>
      <c r="L226" s="6" t="str">
        <f>IFERROR(__xludf.DUMMYFUNCTION("""COMPUTED_VALUE"""),"Не знаю")</f>
        <v>Не знаю</v>
      </c>
      <c r="M226" s="6" t="str">
        <f>IFERROR(__xludf.DUMMYFUNCTION("""COMPUTED_VALUE"""),"Не ")</f>
        <v>Не </v>
      </c>
      <c r="N226" s="6" t="str">
        <f>IFERROR(__xludf.DUMMYFUNCTION("""COMPUTED_VALUE"""),"Минимальные пробки (как у нас и есть), наличие парковок во дворах (с этим туго), чистота, постоянное развитие.")</f>
        <v>Минимальные пробки (как у нас и есть), наличие парковок во дворах (с этим туго), чистота, постоянное развитие.</v>
      </c>
      <c r="O226" s="6" t="str">
        <f>IFERROR(__xludf.DUMMYFUNCTION("""COMPUTED_VALUE"""),"Зачем стали красить дома в цвет плитки детсадовских туалетов? ")</f>
        <v>Зачем стали красить дома в цвет плитки детсадовских туалетов? </v>
      </c>
      <c r="P226" s="6" t="str">
        <f>IFERROR(__xludf.DUMMYFUNCTION("""COMPUTED_VALUE"""),"От знакомых или из реклам ")</f>
        <v>От знакомых или из реклам </v>
      </c>
      <c r="Q226"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226" s="6" t="str">
        <f>IFERROR(__xludf.DUMMYFUNCTION("""COMPUTED_VALUE"""),"Масленица. Обожаю.")</f>
        <v>Масленица. Обожаю.</v>
      </c>
      <c r="S226" s="6" t="str">
        <f>IFERROR(__xludf.DUMMYFUNCTION("""COMPUTED_VALUE"""),"Нет, не приходилось")</f>
        <v>Нет, не приходилось</v>
      </c>
      <c r="T226" s="6" t="str">
        <f>IFERROR(__xludf.DUMMYFUNCTION("""COMPUTED_VALUE"""),"Зимней вишней, углём.")</f>
        <v>Зимней вишней, углём.</v>
      </c>
      <c r="U226" s="6" t="str">
        <f>IFERROR(__xludf.DUMMYFUNCTION("""COMPUTED_VALUE"""),"Весенняя улица")</f>
        <v>Весенняя улица</v>
      </c>
      <c r="V226" s="6" t="str">
        <f>IFERROR(__xludf.DUMMYFUNCTION("""COMPUTED_VALUE"""),"Странный вопрос ")</f>
        <v>Странный вопрос </v>
      </c>
      <c r="W226" s="6" t="str">
        <f>IFERROR(__xludf.DUMMYFUNCTION("""COMPUTED_VALUE"""),"Серые, но с большой душой (которая иногда спрятана хорошенько от посторонних взглядов).")</f>
        <v>Серые, но с большой душой (которая иногда спрятана хорошенько от посторонних взглядов).</v>
      </c>
      <c r="X226" s="6" t="str">
        <f>IFERROR(__xludf.DUMMYFUNCTION("""COMPUTED_VALUE"""),"-")</f>
        <v>-</v>
      </c>
      <c r="Y226" s="6" t="str">
        <f>IFERROR(__xludf.DUMMYFUNCTION("""COMPUTED_VALUE"""),"-")</f>
        <v>-</v>
      </c>
      <c r="Z226" s="6" t="str">
        <f>IFERROR(__xludf.DUMMYFUNCTION("""COMPUTED_VALUE"""),"Мой день рождения? 😄")</f>
        <v>Мой день рождения? 😄</v>
      </c>
      <c r="AA226" s="6" t="str">
        <f>IFERROR(__xludf.DUMMYFUNCTION("""COMPUTED_VALUE"""),"Люди много ругают изменения: ‘а нафига нам это? А это? Лучше бы то сделали!’ Меня это удручает. Изменения - всегда хорошо")</f>
        <v>Люди много ругают изменения: ‘а нафига нам это? А это? Лучше бы то сделали!’ Меня это удручает. Изменения - всегда хорошо</v>
      </c>
      <c r="AB226" s="6" t="str">
        <f>IFERROR(__xludf.DUMMYFUNCTION("""COMPUTED_VALUE"""),"Я обожаю балет и выставки современного искусства ")</f>
        <v>Я обожаю балет и выставки современного искусства </v>
      </c>
      <c r="AC226" s="6" t="str">
        <f>IFERROR(__xludf.DUMMYFUNCTION("""COMPUTED_VALUE"""),"Выставки, выставки, выставки")</f>
        <v>Выставки, выставки, выставки</v>
      </c>
      <c r="AD226" s="6" t="str">
        <f>IFERROR(__xludf.DUMMYFUNCTION("""COMPUTED_VALUE"""),"Наблюдатель, обозреватель")</f>
        <v>Наблюдатель, обозреватель</v>
      </c>
      <c r="AE226" s="6" t="str">
        <f>IFERROR(__xludf.DUMMYFUNCTION("""COMPUTED_VALUE"""),"Женский")</f>
        <v>Женский</v>
      </c>
      <c r="AF226" s="6" t="str">
        <f>IFERROR(__xludf.DUMMYFUNCTION("""COMPUTED_VALUE"""),"30-44")</f>
        <v>30-44</v>
      </c>
      <c r="AG226" s="6"/>
      <c r="AH226" s="6"/>
      <c r="AI226" s="6"/>
      <c r="AJ226" s="6"/>
      <c r="AK226" s="6"/>
      <c r="AL226" s="6"/>
      <c r="AM226" s="6"/>
    </row>
    <row r="227">
      <c r="A227" s="4">
        <v>226.0</v>
      </c>
      <c r="B227" s="6" t="str">
        <f>IFERROR(__xludf.DUMMYFUNCTION("""COMPUTED_VALUE"""),"пенсионер")</f>
        <v>пенсионер</v>
      </c>
      <c r="C227" s="6" t="str">
        <f>IFERROR(__xludf.DUMMYFUNCTION("""COMPUTED_VALUE"""),"дача")</f>
        <v>дача</v>
      </c>
      <c r="D227" s="6" t="str">
        <f>IFERROR(__xludf.DUMMYFUNCTION("""COMPUTED_VALUE"""),"Кировский заброшенный район")</f>
        <v>Кировский заброшенный район</v>
      </c>
      <c r="E227" s="6" t="str">
        <f>IFERROR(__xludf.DUMMYFUNCTION("""COMPUTED_VALUE"""),"площадь Кировского,улица Леонова, сквер Леонова,  МФС")</f>
        <v>площадь Кировского,улица Леонова, сквер Леонова,  МФС</v>
      </c>
      <c r="F227" s="6" t="str">
        <f>IFERROR(__xludf.DUMMYFUNCTION("""COMPUTED_VALUE"""),"Живу здесь с рождения")</f>
        <v>Живу здесь с рождения</v>
      </c>
      <c r="G227" s="6" t="str">
        <f>IFERROR(__xludf.DUMMYFUNCTION("""COMPUTED_VALUE"""),"сквер Леонова")</f>
        <v>сквер Леонова</v>
      </c>
      <c r="H227" s="6" t="str">
        <f>IFERROR(__xludf.DUMMYFUNCTION("""COMPUTED_VALUE"""),"Город-трудяга. Столица Кузбасса. Город- химик, город шахтерской славы.")</f>
        <v>Город-трудяга. Столица Кузбасса. Город- химик, город шахтерской славы.</v>
      </c>
      <c r="I227" s="6" t="str">
        <f>IFERROR(__xludf.DUMMYFUNCTION("""COMPUTED_VALUE"""),"Заузелков, Александров,Михайлов, Бакатин, Белоус, Ештокин, Леонов")</f>
        <v>Заузелков, Александров,Михайлов, Бакатин, Белоус, Ештокин, Леонов</v>
      </c>
      <c r="J227" s="6" t="str">
        <f>IFERROR(__xludf.DUMMYFUNCTION("""COMPUTED_VALUE"""),"Михайлов")</f>
        <v>Михайлов</v>
      </c>
      <c r="K227" s="6" t="str">
        <f>IFERROR(__xludf.DUMMYFUNCTION("""COMPUTED_VALUE"""),"новый суд, Дворец спорта")</f>
        <v>новый суд, Дворец спорта</v>
      </c>
      <c r="L227" s="6" t="str">
        <f>IFERROR(__xludf.DUMMYFUNCTION("""COMPUTED_VALUE"""),"Кировский - никому не нужный")</f>
        <v>Кировский - никому не нужный</v>
      </c>
      <c r="M227" s="6" t="str">
        <f>IFERROR(__xludf.DUMMYFUNCTION("""COMPUTED_VALUE"""),"нет")</f>
        <v>нет</v>
      </c>
      <c r="N227" s="6" t="str">
        <f>IFERROR(__xludf.DUMMYFUNCTION("""COMPUTED_VALUE"""),"Благоустроенная дорога до детских учреждений -детского сада, школы,благоустроенные дворы и междворовая территория.безопасность подхода-под""езда к общественнозначимым учреждениям,Вид под""ездов в жилых домах, наличие аквапарка в городе")</f>
        <v>Благоустроенная дорога до детских учреждений -детского сада, школы,благоустроенные дворы и междворовая территория.безопасность подхода-под"езда к общественнозначимым учреждениям,Вид под"ездов в жилых домах, наличие аквапарка в городе</v>
      </c>
      <c r="O227" s="6" t="str">
        <f>IFERROR(__xludf.DUMMYFUNCTION("""COMPUTED_VALUE"""),"Убрать жилье с уличными туалетами - бараки.упорядочить правила содержания собак в квартирах")</f>
        <v>Убрать жилье с уличными туалетами - бараки.упорядочить правила содержания собак в квартирах</v>
      </c>
      <c r="P227" s="6" t="str">
        <f>IFERROR(__xludf.DUMMYFUNCTION("""COMPUTED_VALUE"""),"интернет Яндекс, теленовости Второго канала")</f>
        <v>интернет Яндекс, теленовости Второго канала</v>
      </c>
      <c r="Q227" s="6" t="str">
        <f>IFERROR(__xludf.DUMMYFUNCTION("""COMPUTED_VALUE"""),"городская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f>
        <v>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227" s="6" t="str">
        <f>IFERROR(__xludf.DUMMYFUNCTION("""COMPUTED_VALUE"""),"день Строителя, день Победы, день мед.работника")</f>
        <v>день Строителя, день Победы, день мед.работника</v>
      </c>
      <c r="S227" s="6" t="str">
        <f>IFERROR(__xludf.DUMMYFUNCTION("""COMPUTED_VALUE"""),"Нет, не приходилось")</f>
        <v>Нет, не приходилось</v>
      </c>
      <c r="T227" s="6" t="str">
        <f>IFERROR(__xludf.DUMMYFUNCTION("""COMPUTED_VALUE"""),"Люди - жители города")</f>
        <v>Люди - жители города</v>
      </c>
      <c r="U227" s="6" t="str">
        <f>IFERROR(__xludf.DUMMYFUNCTION("""COMPUTED_VALUE"""),"Сквер у политеха")</f>
        <v>Сквер у политеха</v>
      </c>
      <c r="V227" s="6" t="str">
        <f>IFERROR(__xludf.DUMMYFUNCTION("""COMPUTED_VALUE"""),"Приняли и много лет давали жизнь эвакуированным заводам  в  годы войны и поле нее")</f>
        <v>Приняли и много лет давали жизнь эвакуированным заводам  в  годы войны и поле нее</v>
      </c>
      <c r="W227" s="6" t="str">
        <f>IFERROR(__xludf.DUMMYFUNCTION("""COMPUTED_VALUE"""),"Трудолюбие и терпение")</f>
        <v>Трудолюбие и терпение</v>
      </c>
      <c r="X227" s="6" t="str">
        <f>IFERROR(__xludf.DUMMYFUNCTION("""COMPUTED_VALUE"""),"набережная Центрального района")</f>
        <v>набережная Центрального района</v>
      </c>
      <c r="Y227" s="6" t="str">
        <f>IFERROR(__xludf.DUMMYFUNCTION("""COMPUTED_VALUE"""),"забастовка шахтеров, докатившаяся до Москвы")</f>
        <v>забастовка шахтеров, докатившаяся до Москвы</v>
      </c>
      <c r="Z227" s="6" t="str">
        <f>IFERROR(__xludf.DUMMYFUNCTION("""COMPUTED_VALUE"""),"Рок - концерт прошлого года, начало строительства аквапарка")</f>
        <v>Рок - концерт прошлого года, начало строительства аквапарка</v>
      </c>
      <c r="AA227" s="6" t="str">
        <f>IFERROR(__xludf.DUMMYFUNCTION("""COMPUTED_VALUE"""),"""Зимняя вишня"" . ")</f>
        <v>"Зимняя вишня" . </v>
      </c>
      <c r="AB227" s="6" t="str">
        <f>IFERROR(__xludf.DUMMYFUNCTION("""COMPUTED_VALUE"""),"клуб собаководства. Клуб компьютерной грамотности для пожилых,фитнес клуб для пожилых")</f>
        <v>клуб собаководства. Клуб компьютерной грамотности для пожилых,фитнес клуб для пожилых</v>
      </c>
      <c r="AC227" s="6" t="str">
        <f>IFERROR(__xludf.DUMMYFUNCTION("""COMPUTED_VALUE"""),"срочно достроить аквапарк, студенческие спортивные соревнования между регионов")</f>
        <v>срочно достроить аквапарк, студенческие спортивные соревнования между регионов</v>
      </c>
      <c r="AD227" s="6" t="str">
        <f>IFERROR(__xludf.DUMMYFUNCTION("""COMPUTED_VALUE"""),"участник обсуждения")</f>
        <v>участник обсуждения</v>
      </c>
      <c r="AE227" s="6" t="str">
        <f>IFERROR(__xludf.DUMMYFUNCTION("""COMPUTED_VALUE"""),"Женский")</f>
        <v>Женский</v>
      </c>
      <c r="AF227" s="6" t="str">
        <f>IFERROR(__xludf.DUMMYFUNCTION("""COMPUTED_VALUE"""),"старше 55")</f>
        <v>старше 55</v>
      </c>
      <c r="AG227" s="6"/>
      <c r="AH227" s="6"/>
      <c r="AI227" s="6"/>
      <c r="AJ227" s="6"/>
      <c r="AK227" s="6"/>
      <c r="AL227" s="6"/>
      <c r="AM227" s="6"/>
    </row>
    <row r="228">
      <c r="A228" s="4">
        <v>227.0</v>
      </c>
      <c r="B228" s="6" t="str">
        <f>IFERROR(__xludf.DUMMYFUNCTION("""COMPUTED_VALUE"""),"Социальный работник, парикмахер")</f>
        <v>Социальный работник, парикмахер</v>
      </c>
      <c r="C228" s="6" t="str">
        <f>IFERROR(__xludf.DUMMYFUNCTION("""COMPUTED_VALUE"""),"Велосипед, коллекционирование, здоровый образ жизни")</f>
        <v>Велосипед, коллекционирование, здоровый образ жизни</v>
      </c>
      <c r="D228" s="6" t="str">
        <f>IFERROR(__xludf.DUMMYFUNCTION("""COMPUTED_VALUE"""),"Центральный")</f>
        <v>Центральный</v>
      </c>
      <c r="E228" s="6" t="str">
        <f>IFERROR(__xludf.DUMMYFUNCTION("""COMPUTED_VALUE"""),"Пионерский бульвар")</f>
        <v>Пионерский бульвар</v>
      </c>
      <c r="F228" s="6" t="str">
        <f>IFERROR(__xludf.DUMMYFUNCTION("""COMPUTED_VALUE"""),"Переехал сюда из другого места (откуда? укажите в графе другое), Мариинский район глухое село")</f>
        <v>Переехал сюда из другого места (откуда? укажите в графе другое), Мариинский район глухое село</v>
      </c>
      <c r="G228" s="6" t="str">
        <f>IFERROR(__xludf.DUMMYFUNCTION("""COMPUTED_VALUE"""),"Особо некуда ходить.....")</f>
        <v>Особо некуда ходить.....</v>
      </c>
      <c r="H228" s="6" t="str">
        <f>IFERROR(__xludf.DUMMYFUNCTION("""COMPUTED_VALUE"""),"Пыльно всегда и мусорно, потому что люди много мусорят, а пыльно потому что мало убирают....")</f>
        <v>Пыльно всегда и мусорно, потому что люди много мусорят, а пыльно потому что мало убирают....</v>
      </c>
      <c r="I228" s="6" t="str">
        <f>IFERROR(__xludf.DUMMYFUNCTION("""COMPUTED_VALUE"""),"Раздаев")</f>
        <v>Раздаев</v>
      </c>
      <c r="J228" s="6" t="str">
        <f>IFERROR(__xludf.DUMMYFUNCTION("""COMPUTED_VALUE"""),"Не знаю таких")</f>
        <v>Не знаю таких</v>
      </c>
      <c r="K228" s="6" t="str">
        <f>IFERROR(__xludf.DUMMYFUNCTION("""COMPUTED_VALUE"""),"Красная горка")</f>
        <v>Красная горка</v>
      </c>
      <c r="L228" s="6" t="str">
        <f>IFERROR(__xludf.DUMMYFUNCTION("""COMPUTED_VALUE"""),"Не в курсе")</f>
        <v>Не в курсе</v>
      </c>
      <c r="M228" s="6" t="str">
        <f>IFERROR(__xludf.DUMMYFUNCTION("""COMPUTED_VALUE"""),"Нет")</f>
        <v>Нет</v>
      </c>
      <c r="N228" s="6" t="str">
        <f>IFERROR(__xludf.DUMMYFUNCTION("""COMPUTED_VALUE"""),"Чистота, вежливость, благоустройство, туалеты на улицах с водой в достаточном количестве, меньше 
мест, где алкоголь и сигареты с кальянами, нормальные широкие тротуары без высоких резких выступов на светофорах, велодорожки")</f>
        <v>Чистота, вежливость, благоустройство, туалеты на улицах с водой в достаточном количестве, меньше 
мест, где алкоголь и сигареты с кальянами, нормальные широкие тротуары без высоких резких выступов на светофорах, велодорожки</v>
      </c>
      <c r="O228" s="6" t="str">
        <f>IFERROR(__xludf.DUMMYFUNCTION("""COMPUTED_VALUE"""),"Фасады в едином стиле как в нормальных городах, стилистика единая, парковки за тц как в европе, а не перед т.ц.где идешь и тебя давят, ")</f>
        <v>Фасады в едином стиле как в нормальных городах, стилистика единая, парковки за тц как в европе, а не перед т.ц.где идешь и тебя давят, </v>
      </c>
      <c r="P228" s="6" t="str">
        <f>IFERROR(__xludf.DUMMYFUNCTION("""COMPUTED_VALUE"""),"Инста, вк, мэйл")</f>
        <v>Инста, вк, мэйл</v>
      </c>
      <c r="Q228"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228" s="6" t="str">
        <f>IFERROR(__xludf.DUMMYFUNCTION("""COMPUTED_VALUE"""),"Не интересно.слишком большое скопление людей, а воспитанных мало")</f>
        <v>Не интересно.слишком большое скопление людей, а воспитанных мало</v>
      </c>
      <c r="S228" s="6" t="str">
        <f>IFERROR(__xludf.DUMMYFUNCTION("""COMPUTED_VALUE"""),"Нет, не приходилось")</f>
        <v>Нет, не приходилось</v>
      </c>
      <c r="T228" s="6" t="str">
        <f>IFERROR(__xludf.DUMMYFUNCTION("""COMPUTED_VALUE"""),"Уголь изначало")</f>
        <v>Уголь изначало</v>
      </c>
      <c r="U228" s="6" t="str">
        <f>IFERROR(__xludf.DUMMYFUNCTION("""COMPUTED_VALUE"""),"Памятник Волкову")</f>
        <v>Памятник Волкову</v>
      </c>
      <c r="V228" s="6" t="str">
        <f>IFERROR(__xludf.DUMMYFUNCTION("""COMPUTED_VALUE"""),"Не скажу..")</f>
        <v>Не скажу..</v>
      </c>
      <c r="W228" s="6" t="str">
        <f>IFERROR(__xludf.DUMMYFUNCTION("""COMPUTED_VALUE"""),"Равнодушные, нищие")</f>
        <v>Равнодушные, нищие</v>
      </c>
      <c r="X228" s="6" t="str">
        <f>IFERROR(__xludf.DUMMYFUNCTION("""COMPUTED_VALUE"""),"Ничего интересного")</f>
        <v>Ничего интересного</v>
      </c>
      <c r="Y228" s="6" t="str">
        <f>IFERROR(__xludf.DUMMYFUNCTION("""COMPUTED_VALUE"""),"Красная горка  добыча угля")</f>
        <v>Красная горка  добыча угля</v>
      </c>
      <c r="Z228" s="6" t="str">
        <f>IFERROR(__xludf.DUMMYFUNCTION("""COMPUTED_VALUE"""),"Стали делать тротуары наконец-то низкие на пешеходах...")</f>
        <v>Стали делать тротуары наконец-то низкие на пешеходах...</v>
      </c>
      <c r="AA228" s="6" t="str">
        <f>IFERROR(__xludf.DUMMYFUNCTION("""COMPUTED_VALUE"""),"Зимняя Вишня ....низкие зарплаты ..грязно")</f>
        <v>Зимняя Вишня ....низкие зарплаты ..грязно</v>
      </c>
      <c r="AB228" s="6" t="str">
        <f>IFERROR(__xludf.DUMMYFUNCTION("""COMPUTED_VALUE"""),"Стадион большой с велодорожкой и турниками или парк, именно для тех кому интересно, а не алкоголикам на лавках пиво попить  ")</f>
        <v>Стадион большой с велодорожкой и турниками или парк, именно для тех кому интересно, а не алкоголикам на лавках пиво попить  </v>
      </c>
      <c r="AC228" s="6" t="str">
        <f>IFERROR(__xludf.DUMMYFUNCTION("""COMPUTED_VALUE"""),"Чистота, штрафы за брошеный окурок и фантик, культурное воспитание семей с детьми, раз сами не справляются, незачем строить столько храмов, лучше спортивные площадки")</f>
        <v>Чистота, штрафы за брошеный окурок и фантик, культурное воспитание семей с детьми, раз сами не справляются, незачем строить столько храмов, лучше спортивные площадки</v>
      </c>
      <c r="AD228" s="6" t="str">
        <f>IFERROR(__xludf.DUMMYFUNCTION("""COMPUTED_VALUE"""),"Ни в какой")</f>
        <v>Ни в какой</v>
      </c>
      <c r="AE228" s="6" t="str">
        <f>IFERROR(__xludf.DUMMYFUNCTION("""COMPUTED_VALUE"""),"Женский")</f>
        <v>Женский</v>
      </c>
      <c r="AF228" s="6" t="str">
        <f>IFERROR(__xludf.DUMMYFUNCTION("""COMPUTED_VALUE"""),"30-44")</f>
        <v>30-44</v>
      </c>
      <c r="AG228" s="6"/>
      <c r="AH228" s="6"/>
      <c r="AI228" s="6"/>
      <c r="AJ228" s="6"/>
      <c r="AK228" s="6"/>
      <c r="AL228" s="6"/>
      <c r="AM228" s="6"/>
    </row>
    <row r="229">
      <c r="A229" s="4">
        <v>228.0</v>
      </c>
      <c r="B229" s="6" t="str">
        <f>IFERROR(__xludf.DUMMYFUNCTION("""COMPUTED_VALUE"""),"ИТ")</f>
        <v>ИТ</v>
      </c>
      <c r="C229" s="6" t="str">
        <f>IFERROR(__xludf.DUMMYFUNCTION("""COMPUTED_VALUE"""),"музыка, хендмейд")</f>
        <v>музыка, хендмейд</v>
      </c>
      <c r="D229" s="6" t="str">
        <f>IFERROR(__xludf.DUMMYFUNCTION("""COMPUTED_VALUE"""),"Радуга")</f>
        <v>Радуга</v>
      </c>
      <c r="E229" s="6" t="str">
        <f>IFERROR(__xludf.DUMMYFUNCTION("""COMPUTED_VALUE"""),"ТЦ Радуга, церковь рядом с ней, бульвар там же. Сосновый бор (это уже дальше).")</f>
        <v>ТЦ Радуга, церковь рядом с ней, бульвар там же. Сосновый бор (это уже дальше).</v>
      </c>
      <c r="F229" s="6" t="str">
        <f>IFERROR(__xludf.DUMMYFUNCTION("""COMPUTED_VALUE"""),"Родился здесь,но сейчас живу в другом городе, переехала из г.Кемерово по семейным обстоятельствам")</f>
        <v>Родился здесь,но сейчас живу в другом городе, переехала из г.Кемерово по семейным обстоятельствам</v>
      </c>
      <c r="G229" s="6" t="str">
        <f>IFERROR(__xludf.DUMMYFUNCTION("""COMPUTED_VALUE"""),"летом - парк чудес и вся набережная, озеро Красное, улица Весенняя, Сосновый бор, Советский проспект, Красноармейская, зимой также гора Люскус, Таежная заимка, Хаскиленд")</f>
        <v>летом - парк чудес и вся набережная, озеро Красное, улица Весенняя, Сосновый бор, Советский проспект, Красноармейская, зимой также гора Люскус, Таежная заимка, Хаскиленд</v>
      </c>
      <c r="H229" s="6" t="str">
        <f>IFERROR(__xludf.DUMMYFUNCTION("""COMPUTED_VALUE"""),"Уголь, АИК, шахтер, Томь, Забой")</f>
        <v>Уголь, АИК, шахтер, Томь, Забой</v>
      </c>
      <c r="I229" s="6" t="str">
        <f>IFERROR(__xludf.DUMMYFUNCTION("""COMPUTED_VALUE"""),"Рутгерс, Приставка, Тулеев, Михайлов, Гришковец, Леонов, ")</f>
        <v>Рутгерс, Приставка, Тулеев, Михайлов, Гришковец, Леонов, </v>
      </c>
      <c r="J229" s="6" t="str">
        <f>IFERROR(__xludf.DUMMYFUNCTION("""COMPUTED_VALUE"""),"Стоянов Алексей, Афанасьев Константин Евгеньевич (КемГУ), Ижмулкина Екатерина (сельхоз.академия), Жаворонков Роман, Петров Вячеслав, Василий Бочкарев, Лобанов (пивоварня, сыроварня, рестораны), Волков (Калина-малина, фермесрские магазины)")</f>
        <v>Стоянов Алексей, Афанасьев Константин Евгеньевич (КемГУ), Ижмулкина Екатерина (сельхоз.академия), Жаворонков Роман, Петров Вячеслав, Василий Бочкарев, Лобанов (пивоварня, сыроварня, рестораны), Волков (Калина-малина, фермесрские магазины)</v>
      </c>
      <c r="K229" s="6" t="str">
        <f>IFERROR(__xludf.DUMMYFUNCTION("""COMPUTED_VALUE"""),"Памятник Шахтеру Эрнста неизвестного, парк чудес, сквер с Орбитой, Лесную Поляну, шашлычки в Журавлево, бульвар Строителей, музеи")</f>
        <v>Памятник Шахтеру Эрнста неизвестного, парк чудес, сквер с Орбитой, Лесную Поляну, шашлычки в Журавлево, бульвар Строителей, музеи</v>
      </c>
      <c r="L229" s="6" t="str">
        <f>IFERROR(__xludf.DUMMYFUNCTION("""COMPUTED_VALUE"""),"затрудняюсь. в целом считаю, что в городе есть яркие, позитивные и креативные люди, но также много очень пессимистично настроенных людей. Их хочется вывезти в другие города и страны, чтобы потмо они вернулись и поняли, что в Кемерове - в целом хорошо жить"&amp;". Кажется, кемеровчане могли бы побороться за званием самых ворчлиых жителей, если проводить такой конкурс в стране.")</f>
        <v>затрудняюсь. в целом считаю, что в городе есть яркие, позитивные и креативные люди, но также много очень пессимистично настроенных людей. Их хочется вывезти в другие города и страны, чтобы потмо они вернулись и поняли, что в Кемерове - в целом хорошо жить. Кажется, кемеровчане могли бы побороться за званием самых ворчлиых жителей, если проводить такой конкурс в стране.</v>
      </c>
      <c r="M229" s="6" t="str">
        <f>IFERROR(__xludf.DUMMYFUNCTION("""COMPUTED_VALUE"""),"""хреновина"". Товарищ из Красноярска рассказывал, что у них это блюдо называется ""горлодер"" кажется, и он думал что ему какое-то плохое блюда предлагают, когда угощали этим острым соусом.")</f>
        <v>"хреновина". Товарищ из Красноярска рассказывал, что у них это блюдо называется "горлодер" кажется, и он думал что ему какое-то плохое блюда предлагают, когда угощали этим острым соусом.</v>
      </c>
      <c r="N229" s="6" t="str">
        <f>IFERROR(__xludf.DUMMYFUNCTION("""COMPUTED_VALUE"""),"экология, благоусройство жилых и общественных пространств, нормальные дороги, общественный транспорт, разнообразный досуг. (5 мало, не вошел средний уровень зп и безопасность)")</f>
        <v>экология, благоусройство жилых и общественных пространств, нормальные дороги, общественный транспорт, разнообразный досуг. (5 мало, не вошел средний уровень зп и безопасность)</v>
      </c>
      <c r="O229" s="6" t="str">
        <f>IFERROR(__xludf.DUMMYFUNCTION("""COMPUTED_VALUE"""),"Экологию. Простите, это не про внешний вид, но важнее.")</f>
        <v>Экологию. Простите, это не про внешний вид, но важнее.</v>
      </c>
      <c r="P229" s="6" t="str">
        <f>IFERROR(__xludf.DUMMYFUNCTION("""COMPUTED_VALUE"""),"Афиша А42, сайты музеев, театров, яндекс-афиша, фейсбук - события.")</f>
        <v>Афиша А42, сайты музеев, театров, яндекс-афиша, фейсбук - события.</v>
      </c>
      <c r="Q229" s="6" t="str">
        <f>IFERROR(__xludf.DUMMYFUNCTION("""COMPUTED_VALUE"""),"интервью с местными творческими личностями, интервью с местными предпринимателями,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Д"&amp;"ругое свои предложения)")</f>
        <v>интервью с местными творческими личностями, интервью с местными предпринимателями,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229" s="6" t="str">
        <f>IFERROR(__xludf.DUMMYFUNCTION("""COMPUTED_VALUE"""),"День города. 9 мая. Новый год.")</f>
        <v>День города. 9 мая. Новый год.</v>
      </c>
      <c r="S229"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 ВК, инстаграм, фейсбук")</f>
        <v>Через социальные сети (Какие? Укажите в графе другое), Делал рассылку по электронной почте, Обращался в редакции электронных городских СМИ, ВК, инстаграм, фейсбук</v>
      </c>
      <c r="T229" s="6" t="str">
        <f>IFERROR(__xludf.DUMMYFUNCTION("""COMPUTED_VALUE"""),"Столица угольного региона. Город где родилс Леонов. Город где строилось новое будущее - АИК (хотя увы мало кто об этом знает)")</f>
        <v>Столица угольного региона. Город где родилс Леонов. Город где строилось новое будущее - АИК (хотя увы мало кто об этом знает)</v>
      </c>
      <c r="U229" s="6" t="str">
        <f>IFERROR(__xludf.DUMMYFUNCTION("""COMPUTED_VALUE"""),"площадь Кирова, площадь  Советов")</f>
        <v>площадь Кирова, площадь  Советов</v>
      </c>
      <c r="V229" s="6" t="str">
        <f>IFERROR(__xludf.DUMMYFUNCTION("""COMPUTED_VALUE"""),"Нашли уголь и добывали его, слетали в Космос, развивали культуру, обустраивали город и регион")</f>
        <v>Нашли уголь и добывали его, слетали в Космос, развивали культуру, обустраивали город и регион</v>
      </c>
      <c r="W229" s="6" t="str">
        <f>IFERROR(__xludf.DUMMYFUNCTION("""COMPUTED_VALUE"""),"Не очень вежливые но достаточно прямолинейные, умеют дружить и помогать, очень открытые, если решают доверять тебе. Но во многом недоверчивые, закрытые и не особо оптимистичные. Не стремятся к открытости, партнерству, обмену опытом, постоянно охраняют сво"&amp;"и границы.")</f>
        <v>Не очень вежливые но достаточно прямолинейные, умеют дружить и помогать, очень открытые, если решают доверять тебе. Но во многом недоверчивые, закрытые и не особо оптимистичные. Не стремятся к открытости, партнерству, обмену опытом, постоянно охраняют свои границы.</v>
      </c>
      <c r="X229" s="6" t="str">
        <f>IFERROR(__xludf.DUMMYFUNCTION("""COMPUTED_VALUE"""),"затрудняюсь")</f>
        <v>затрудняюсь</v>
      </c>
      <c r="Y229" s="6" t="str">
        <f>IFERROR(__xludf.DUMMYFUNCTION("""COMPUTED_VALUE"""),"Пожар в Зимней Вишне. Смена губернатора. Появление Лесной Поляны (не могу ответить за все время сущестоввания, вспоминаю с 80х годов)")</f>
        <v>Пожар в Зимней Вишне. Смена губернатора. Появление Лесной Поляны (не могу ответить за все время сущестоввания, вспоминаю с 80х годов)</v>
      </c>
      <c r="Z229" s="6" t="str">
        <f>IFERROR(__xludf.DUMMYFUNCTION("""COMPUTED_VALUE"""),"Площадь Кузбасских историй, анонс создания культурного кластера, застройка Московского проспекта, запуск кадетского училища")</f>
        <v>Площадь Кузбасских историй, анонс создания культурного кластера, застройка Московского проспекта, запуск кадетского училища</v>
      </c>
      <c r="AA229" s="6" t="str">
        <f>IFERROR(__xludf.DUMMYFUNCTION("""COMPUTED_VALUE"""),"после Зимней вишни сложно что-то вспомнить. Была какая-то неприятная история с Лазурным бассейном, когда его пытались снести. ")</f>
        <v>после Зимней вишни сложно что-то вспомнить. Была какая-то неприятная история с Лазурным бассейном, когда его пытались снести. </v>
      </c>
      <c r="AB229" s="6" t="str">
        <f>IFERROR(__xludf.DUMMYFUNCTION("""COMPUTED_VALUE"""),"научных и креативных")</f>
        <v>научных и креативных</v>
      </c>
      <c r="AC229" s="6" t="str">
        <f>IFERROR(__xludf.DUMMYFUNCTION("""COMPUTED_VALUE"""),"приобщение к популярным интересным форматам типа Behance, TED")</f>
        <v>приобщение к популярным интересным форматам типа Behance, TED</v>
      </c>
      <c r="AD229" s="6" t="str">
        <f>IFERROR(__xludf.DUMMYFUNCTION("""COMPUTED_VALUE"""),"наблюдателя")</f>
        <v>наблюдателя</v>
      </c>
      <c r="AE229" s="6" t="str">
        <f>IFERROR(__xludf.DUMMYFUNCTION("""COMPUTED_VALUE"""),"Женский")</f>
        <v>Женский</v>
      </c>
      <c r="AF229" s="6" t="str">
        <f>IFERROR(__xludf.DUMMYFUNCTION("""COMPUTED_VALUE"""),"30-44")</f>
        <v>30-44</v>
      </c>
      <c r="AG229" s="6"/>
      <c r="AH229" s="6"/>
      <c r="AI229" s="6"/>
      <c r="AJ229" s="6"/>
      <c r="AK229" s="6"/>
      <c r="AL229" s="6"/>
      <c r="AM229" s="6"/>
    </row>
    <row r="230">
      <c r="A230" s="4">
        <v>229.0</v>
      </c>
      <c r="B230" s="6" t="str">
        <f>IFERROR(__xludf.DUMMYFUNCTION("""COMPUTED_VALUE"""),"Маркетолог ")</f>
        <v>Маркетолог </v>
      </c>
      <c r="C230" s="6" t="str">
        <f>IFERROR(__xludf.DUMMYFUNCTION("""COMPUTED_VALUE"""),"Нет ")</f>
        <v>Нет </v>
      </c>
      <c r="D230" s="6" t="str">
        <f>IFERROR(__xludf.DUMMYFUNCTION("""COMPUTED_VALUE"""),"Центр")</f>
        <v>Центр</v>
      </c>
      <c r="E230" s="6" t="str">
        <f>IFERROR(__xludf.DUMMYFUNCTION("""COMPUTED_VALUE"""),"Фонтан, Весенька, набережная ")</f>
        <v>Фонтан, Весенька, набережная </v>
      </c>
      <c r="F230" s="6" t="str">
        <f>IFERROR(__xludf.DUMMYFUNCTION("""COMPUTED_VALUE"""),"Переехал сюда из другого места (откуда? укажите в графе другое), Топки, из-за учебы ")</f>
        <v>Переехал сюда из другого места (откуда? укажите в графе другое), Топки, из-за учебы </v>
      </c>
      <c r="G230" s="6" t="str">
        <f>IFERROR(__xludf.DUMMYFUNCTION("""COMPUTED_VALUE"""),"Гуляем до кофейни , в Ленту ")</f>
        <v>Гуляем до кофейни , в Ленту </v>
      </c>
      <c r="H230" s="6" t="str">
        <f>IFERROR(__xludf.DUMMYFUNCTION("""COMPUTED_VALUE"""),"Шахтеры, грязь, онкология, Тулеев, цивилев, зимняя вишня")</f>
        <v>Шахтеры, грязь, онкология, Тулеев, цивилев, зимняя вишня</v>
      </c>
      <c r="I230" s="6" t="str">
        <f>IFERROR(__xludf.DUMMYFUNCTION("""COMPUTED_VALUE"""),"Волков михайло")</f>
        <v>Волков михайло</v>
      </c>
      <c r="J230" s="6" t="str">
        <f>IFERROR(__xludf.DUMMYFUNCTION("""COMPUTED_VALUE"""),"Бывший мэр Михайлов")</f>
        <v>Бывший мэр Михайлов</v>
      </c>
      <c r="K230" s="6" t="str">
        <f>IFERROR(__xludf.DUMMYFUNCTION("""COMPUTED_VALUE"""),"Театр для детей и Молодежи, памятник шахтеру ")</f>
        <v>Театр для детей и Молодежи, памятник шахтеру </v>
      </c>
      <c r="L230" s="6" t="str">
        <f>IFERROR(__xludf.DUMMYFUNCTION("""COMPUTED_VALUE"""),"Не знаю ")</f>
        <v>Не знаю </v>
      </c>
      <c r="M230" s="6" t="str">
        <f>IFERROR(__xludf.DUMMYFUNCTION("""COMPUTED_VALUE"""),"Не знаю ")</f>
        <v>Не знаю </v>
      </c>
      <c r="N230" s="6" t="str">
        <f>IFERROR(__xludf.DUMMYFUNCTION("""COMPUTED_VALUE"""),"Чистый воздух, низкая смертность, высокая рождаемость; вуз , входящий в топ3 рейтинговых вузов страны; большой тц типа Планеты в нвкз")</f>
        <v>Чистый воздух, низкая смертность, высокая рождаемость; вуз , входящий в топ3 рейтинговых вузов страны; большой тц типа Планеты в нвкз</v>
      </c>
      <c r="O230" s="6" t="str">
        <f>IFERROR(__xludf.DUMMYFUNCTION("""COMPUTED_VALUE"""),"Пл Советов сделать неформальной , тусовочным местом для детей и Молодежи, убрать памятник Ленину, убрать платный батут и прокат велосипедов там")</f>
        <v>Пл Советов сделать неформальной , тусовочным местом для детей и Молодежи, убрать памятник Ленину, убрать платный батут и прокат велосипедов там</v>
      </c>
      <c r="P230" s="6" t="str">
        <f>IFERROR(__xludf.DUMMYFUNCTION("""COMPUTED_VALUE"""),"Инцидент Кузбасс в Инстаграм ")</f>
        <v>Инцидент Кузбасс в Инстаграм </v>
      </c>
      <c r="Q23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230" s="6" t="str">
        <f>IFERROR(__xludf.DUMMYFUNCTION("""COMPUTED_VALUE"""),"День Победы , День города ,  Кинопоказ от Гудлайн ")</f>
        <v>День Победы , День города ,  Кинопоказ от Гудлайн </v>
      </c>
      <c r="S230" s="6" t="str">
        <f>IFERROR(__xludf.DUMMYFUNCTION("""COMPUTED_VALUE"""),"Писал и расклеивал объявления/афиши, Обращался в редакции электронных городских СМИ, Обращался в редакции городских газет, телевидения, радио")</f>
        <v>Писал и расклеивал объявления/афиши, Обращался в редакции электронных городских СМИ, Обращался в редакции городских газет, телевидения, радио</v>
      </c>
      <c r="T230" s="6" t="str">
        <f>IFERROR(__xludf.DUMMYFUNCTION("""COMPUTED_VALUE"""),"Зимняя вишня(")</f>
        <v>Зимняя вишня(</v>
      </c>
      <c r="U230" s="6" t="str">
        <f>IFERROR(__xludf.DUMMYFUNCTION("""COMPUTED_VALUE"""),"Фонтан, пл.Советов ")</f>
        <v>Фонтан, пл.Советов </v>
      </c>
      <c r="V230" s="6" t="str">
        <f>IFERROR(__xludf.DUMMYFUNCTION("""COMPUTED_VALUE"""),"Не знаю ")</f>
        <v>Не знаю </v>
      </c>
      <c r="W230" s="6" t="str">
        <f>IFERROR(__xludf.DUMMYFUNCTION("""COMPUTED_VALUE"""),"Суровые, терпеливые, боязливые , подчиняемые ")</f>
        <v>Суровые, терпеливые, боязливые , подчиняемые </v>
      </c>
      <c r="X230" s="6" t="str">
        <f>IFERROR(__xludf.DUMMYFUNCTION("""COMPUTED_VALUE"""),"Набережная в центре ")</f>
        <v>Набережная в центре </v>
      </c>
      <c r="Y230" s="6" t="str">
        <f>IFERROR(__xludf.DUMMYFUNCTION("""COMPUTED_VALUE"""),"Зимняя вишня ")</f>
        <v>Зимняя вишня </v>
      </c>
      <c r="Z230" s="6" t="str">
        <f>IFERROR(__xludf.DUMMYFUNCTION("""COMPUTED_VALUE"""),"Что-то строится на Притомском")</f>
        <v>Что-то строится на Притомском</v>
      </c>
      <c r="AA230" s="6" t="str">
        <f>IFERROR(__xludf.DUMMYFUNCTION("""COMPUTED_VALUE"""),"Зимняя вишня , назначение безучастного мэра ")</f>
        <v>Зимняя вишня , назначение безучастного мэра </v>
      </c>
      <c r="AB230" s="6" t="str">
        <f>IFERROR(__xludf.DUMMYFUNCTION("""COMPUTED_VALUE"""),"Которые бы разгоняли идеи за досуг детей ")</f>
        <v>Которые бы разгоняли идеи за досуг детей </v>
      </c>
      <c r="AC230" s="6" t="str">
        <f>IFERROR(__xludf.DUMMYFUNCTION("""COMPUTED_VALUE"""),"Фестивали молодежные типа ВК фэста")</f>
        <v>Фестивали молодежные типа ВК фэста</v>
      </c>
      <c r="AD230" s="6" t="str">
        <f>IFERROR(__xludf.DUMMYFUNCTION("""COMPUTED_VALUE"""),"Генератор идей ")</f>
        <v>Генератор идей </v>
      </c>
      <c r="AE230" s="6" t="str">
        <f>IFERROR(__xludf.DUMMYFUNCTION("""COMPUTED_VALUE"""),"Женский")</f>
        <v>Женский</v>
      </c>
      <c r="AF230" s="6" t="str">
        <f>IFERROR(__xludf.DUMMYFUNCTION("""COMPUTED_VALUE"""),"30-44")</f>
        <v>30-44</v>
      </c>
      <c r="AG230" s="6"/>
      <c r="AH230" s="6"/>
      <c r="AI230" s="6"/>
      <c r="AJ230" s="6"/>
      <c r="AK230" s="6"/>
      <c r="AL230" s="6"/>
      <c r="AM230" s="6"/>
    </row>
    <row r="231">
      <c r="A231" s="4">
        <v>230.0</v>
      </c>
      <c r="B231" s="6" t="str">
        <f>IFERROR(__xludf.DUMMYFUNCTION("""COMPUTED_VALUE"""),"Продажи")</f>
        <v>Продажи</v>
      </c>
      <c r="C231" s="6" t="str">
        <f>IFERROR(__xludf.DUMMYFUNCTION("""COMPUTED_VALUE"""),"Футбол")</f>
        <v>Футбол</v>
      </c>
      <c r="D231" s="6" t="str">
        <f>IFERROR(__xludf.DUMMYFUNCTION("""COMPUTED_VALUE"""),"Лесная поляна")</f>
        <v>Лесная поляна</v>
      </c>
      <c r="E231" s="6" t="str">
        <f>IFERROR(__xludf.DUMMYFUNCTION("""COMPUTED_VALUE"""),"Олень")</f>
        <v>Олень</v>
      </c>
      <c r="F231" s="6" t="str">
        <f>IFERROR(__xludf.DUMMYFUNCTION("""COMPUTED_VALUE"""),"Бийск")</f>
        <v>Бийск</v>
      </c>
      <c r="G231" s="6" t="str">
        <f>IFERROR(__xludf.DUMMYFUNCTION("""COMPUTED_VALUE"""),"Бор")</f>
        <v>Бор</v>
      </c>
      <c r="H231" s="6" t="str">
        <f>IFERROR(__xludf.DUMMYFUNCTION("""COMPUTED_VALUE"""),"Томь, кузбасс, смог, холодно, работа")</f>
        <v>Томь, кузбасс, смог, холодно, работа</v>
      </c>
      <c r="I231" s="6" t="str">
        <f>IFERROR(__xludf.DUMMYFUNCTION("""COMPUTED_VALUE"""),"Волков, Леонов, Смирнов, Волошина")</f>
        <v>Волков, Леонов, Смирнов, Волошина</v>
      </c>
      <c r="J231" s="6" t="str">
        <f>IFERROR(__xludf.DUMMYFUNCTION("""COMPUTED_VALUE"""),"Гришковец")</f>
        <v>Гришковец</v>
      </c>
      <c r="K231" s="6" t="str">
        <f>IFERROR(__xludf.DUMMYFUNCTION("""COMPUTED_VALUE"""),"Красная горка, бор, лесная поляна")</f>
        <v>Красная горка, бор, лесная поляна</v>
      </c>
      <c r="L231" s="6" t="str">
        <f>IFERROR(__xludf.DUMMYFUNCTION("""COMPUTED_VALUE"""),"Нет")</f>
        <v>Нет</v>
      </c>
      <c r="M231" s="6" t="str">
        <f>IFERROR(__xludf.DUMMYFUNCTION("""COMPUTED_VALUE"""),"Нет")</f>
        <v>Нет</v>
      </c>
      <c r="N231" s="6" t="str">
        <f>IFERROR(__xludf.DUMMYFUNCTION("""COMPUTED_VALUE"""),"Чистота, много парков, хорошие дороги, вело дорожки")</f>
        <v>Чистота, много парков, хорошие дороги, вело дорожки</v>
      </c>
      <c r="O231" s="6" t="str">
        <f>IFERROR(__xludf.DUMMYFUNCTION("""COMPUTED_VALUE"""),"Дороги и тратуары, общ. Транспорт, качественные парки и зоны отдыха.")</f>
        <v>Дороги и тратуары, общ. Транспорт, качественные парки и зоны отдыха.</v>
      </c>
      <c r="P231" s="6" t="str">
        <f>IFERROR(__xludf.DUMMYFUNCTION("""COMPUTED_VALUE"""),"Телеграмм каналы")</f>
        <v>Телеграмм каналы</v>
      </c>
      <c r="Q231"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231" s="6" t="str">
        <f>IFERROR(__xludf.DUMMYFUNCTION("""COMPUTED_VALUE"""),"9 мая")</f>
        <v>9 мая</v>
      </c>
      <c r="S231" s="6" t="str">
        <f>IFERROR(__xludf.DUMMYFUNCTION("""COMPUTED_VALUE"""),"Нет, не приходилось")</f>
        <v>Нет, не приходилось</v>
      </c>
      <c r="T231" s="6" t="str">
        <f>IFERROR(__xludf.DUMMYFUNCTION("""COMPUTED_VALUE"""),"Плохая экология")</f>
        <v>Плохая экология</v>
      </c>
      <c r="U231" s="6" t="str">
        <f>IFERROR(__xludf.DUMMYFUNCTION("""COMPUTED_VALUE"""),"Парк победы")</f>
        <v>Парк победы</v>
      </c>
      <c r="V231" s="6" t="str">
        <f>IFERROR(__xludf.DUMMYFUNCTION("""COMPUTED_VALUE"""),"Строили")</f>
        <v>Строили</v>
      </c>
      <c r="W231" s="6" t="str">
        <f>IFERROR(__xludf.DUMMYFUNCTION("""COMPUTED_VALUE"""),"Хмурые")</f>
        <v>Хмурые</v>
      </c>
      <c r="X231" s="6" t="str">
        <f>IFERROR(__xludf.DUMMYFUNCTION("""COMPUTED_VALUE"""),"Бульвар строителей")</f>
        <v>Бульвар строителей</v>
      </c>
      <c r="Y231" s="6" t="str">
        <f>IFERROR(__xludf.DUMMYFUNCTION("""COMPUTED_VALUE"""),"Не знаю")</f>
        <v>Не знаю</v>
      </c>
      <c r="Z231" s="6" t="str">
        <f>IFERROR(__xludf.DUMMYFUNCTION("""COMPUTED_VALUE"""),"Нет таких")</f>
        <v>Нет таких</v>
      </c>
      <c r="AA231" s="6" t="str">
        <f>IFERROR(__xludf.DUMMYFUNCTION("""COMPUTED_VALUE"""),"Плохая экология")</f>
        <v>Плохая экология</v>
      </c>
      <c r="AB231" s="6" t="str">
        <f>IFERROR(__xludf.DUMMYFUNCTION("""COMPUTED_VALUE"""),"Не думал")</f>
        <v>Не думал</v>
      </c>
      <c r="AC231" s="6" t="str">
        <f>IFERROR(__xludf.DUMMYFUNCTION("""COMPUTED_VALUE"""),"Не думал")</f>
        <v>Не думал</v>
      </c>
      <c r="AD231" s="6" t="str">
        <f>IFERROR(__xludf.DUMMYFUNCTION("""COMPUTED_VALUE"""),"Волонтера")</f>
        <v>Волонтера</v>
      </c>
      <c r="AE231" s="6" t="str">
        <f>IFERROR(__xludf.DUMMYFUNCTION("""COMPUTED_VALUE"""),"Мужской")</f>
        <v>Мужской</v>
      </c>
      <c r="AF231" s="6" t="str">
        <f>IFERROR(__xludf.DUMMYFUNCTION("""COMPUTED_VALUE"""),"30-44")</f>
        <v>30-44</v>
      </c>
      <c r="AG231" s="6"/>
      <c r="AH231" s="6"/>
      <c r="AI231" s="6"/>
      <c r="AJ231" s="6"/>
      <c r="AK231" s="6"/>
      <c r="AL231" s="6"/>
      <c r="AM231" s="6"/>
    </row>
    <row r="232">
      <c r="A232" s="4">
        <v>231.0</v>
      </c>
      <c r="B232" s="6" t="str">
        <f>IFERROR(__xludf.DUMMYFUNCTION("""COMPUTED_VALUE"""),"Мама")</f>
        <v>Мама</v>
      </c>
      <c r="C232" s="6" t="str">
        <f>IFERROR(__xludf.DUMMYFUNCTION("""COMPUTED_VALUE"""),"Спорт")</f>
        <v>Спорт</v>
      </c>
      <c r="D232" s="6" t="str">
        <f>IFERROR(__xludf.DUMMYFUNCTION("""COMPUTED_VALUE"""),"Ленинский")</f>
        <v>Ленинский</v>
      </c>
      <c r="E232" s="6" t="str">
        <f>IFERROR(__xludf.DUMMYFUNCTION("""COMPUTED_VALUE"""),"бульвар Строителей ")</f>
        <v>бульвар Строителей </v>
      </c>
      <c r="F232" s="6" t="str">
        <f>IFERROR(__xludf.DUMMYFUNCTION("""COMPUTED_VALUE"""),"Живу здесь с рождения")</f>
        <v>Живу здесь с рождения</v>
      </c>
      <c r="G232" s="6" t="str">
        <f>IFERROR(__xludf.DUMMYFUNCTION("""COMPUTED_VALUE"""),"Набережная. Весенька")</f>
        <v>Набережная. Весенька</v>
      </c>
      <c r="H232" s="6" t="str">
        <f>IFERROR(__xludf.DUMMYFUNCTION("""COMPUTED_VALUE"""),"Уголь. Чёрный снег. Маленькие зарплаты. Долгие зимы. Мало молодежи")</f>
        <v>Уголь. Чёрный снег. Маленькие зарплаты. Долгие зимы. Мало молодежи</v>
      </c>
      <c r="I232" s="6" t="str">
        <f>IFERROR(__xludf.DUMMYFUNCTION("""COMPUTED_VALUE"""),"Леонов. Золотухин")</f>
        <v>Леонов. Золотухин</v>
      </c>
      <c r="J232" s="6" t="str">
        <f>IFERROR(__xludf.DUMMYFUNCTION("""COMPUTED_VALUE"""),"Не знаю таких")</f>
        <v>Не знаю таких</v>
      </c>
      <c r="K232" s="6" t="str">
        <f>IFERROR(__xludf.DUMMYFUNCTION("""COMPUTED_VALUE"""),"Ресторан Забой")</f>
        <v>Ресторан Забой</v>
      </c>
      <c r="L232" s="6" t="str">
        <f>IFERROR(__xludf.DUMMYFUNCTION("""COMPUTED_VALUE"""),"Не знаю")</f>
        <v>Не знаю</v>
      </c>
      <c r="M232" s="6" t="str">
        <f>IFERROR(__xludf.DUMMYFUNCTION("""COMPUTED_VALUE"""),"Не знаю ")</f>
        <v>Не знаю </v>
      </c>
      <c r="N232" s="6" t="str">
        <f>IFERROR(__xludf.DUMMYFUNCTION("""COMPUTED_VALUE"""),"Родной. Стабильная работа у меня лично. Здесь живёт моя мама.")</f>
        <v>Родной. Стабильная работа у меня лично. Здесь живёт моя мама.</v>
      </c>
      <c r="O232" s="6" t="str">
        <f>IFERROR(__xludf.DUMMYFUNCTION("""COMPUTED_VALUE"""),"Больше спортивных сооружений. Сделать не тупиковую жд ветку!")</f>
        <v>Больше спортивных сооружений. Сделать не тупиковую жд ветку!</v>
      </c>
      <c r="P232" s="6" t="str">
        <f>IFERROR(__xludf.DUMMYFUNCTION("""COMPUTED_VALUE"""),"Страница губернатора вконтакте. СТС Кузбасс по тв")</f>
        <v>Страница губернатора вконтакте. СТС Кузбасс по тв</v>
      </c>
      <c r="Q232"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f>
        <v>городская афиша (кино/театр/концерты), культурные новинки (что почитать/что послушать), новости про новые профессии/куда поступать/вакансии</v>
      </c>
      <c r="R232" s="6" t="str">
        <f>IFERROR(__xludf.DUMMYFUNCTION("""COMPUTED_VALUE"""),"Не праздную")</f>
        <v>Не праздную</v>
      </c>
      <c r="S232" s="6" t="str">
        <f>IFERROR(__xludf.DUMMYFUNCTION("""COMPUTED_VALUE"""),"Нет, не приходилось")</f>
        <v>Нет, не приходилось</v>
      </c>
      <c r="T232" s="6" t="str">
        <f>IFERROR(__xludf.DUMMYFUNCTION("""COMPUTED_VALUE"""),"Известен чёрным снегом, плохим воздухом и экологией в целом. Про уникальность не в курсе")</f>
        <v>Известен чёрным снегом, плохим воздухом и экологией в целом. Про уникальность не в курсе</v>
      </c>
      <c r="U232" s="6" t="str">
        <f>IFERROR(__xludf.DUMMYFUNCTION("""COMPUTED_VALUE"""),"Горсад")</f>
        <v>Горсад</v>
      </c>
      <c r="V232" s="6" t="str">
        <f>IFERROR(__xludf.DUMMYFUNCTION("""COMPUTED_VALUE"""),"Участвовали в ВОВ и победили")</f>
        <v>Участвовали в ВОВ и победили</v>
      </c>
      <c r="W232" s="6" t="str">
        <f>IFERROR(__xludf.DUMMYFUNCTION("""COMPUTED_VALUE"""),"Открытость")</f>
        <v>Открытость</v>
      </c>
      <c r="X232" s="6" t="str">
        <f>IFERROR(__xludf.DUMMYFUNCTION("""COMPUTED_VALUE"""),"Негде толком у нас гулять, чтоб впечатлило ")</f>
        <v>Негде толком у нас гулять, чтоб впечатлило </v>
      </c>
      <c r="Y232" s="6" t="str">
        <f>IFERROR(__xludf.DUMMYFUNCTION("""COMPUTED_VALUE"""),"Тулеев ушёл с поста губернатора ")</f>
        <v>Тулеев ушёл с поста губернатора </v>
      </c>
      <c r="Z232" s="6" t="str">
        <f>IFERROR(__xludf.DUMMYFUNCTION("""COMPUTED_VALUE"""),"Стройка спортивного сооружения")</f>
        <v>Стройка спортивного сооружения</v>
      </c>
      <c r="AA232" s="6" t="str">
        <f>IFERROR(__xludf.DUMMYFUNCTION("""COMPUTED_VALUE"""),"Не убирают не чистят город")</f>
        <v>Не убирают не чистят город</v>
      </c>
      <c r="AB232" s="6" t="str">
        <f>IFERROR(__xludf.DUMMYFUNCTION("""COMPUTED_VALUE"""),"По благоустройству, по озеленению, дворников, ")</f>
        <v>По благоустройству, по озеленению, дворников, </v>
      </c>
      <c r="AC232" s="6" t="str">
        <f>IFERROR(__xludf.DUMMYFUNCTION("""COMPUTED_VALUE"""),"Стройка очистных фильтров на предприятиях, выпускающих в атмосферу газы и прочую дрянь вредную")</f>
        <v>Стройка очистных фильтров на предприятиях, выпускающих в атмосферу газы и прочую дрянь вредную</v>
      </c>
      <c r="AD232" s="6" t="str">
        <f>IFERROR(__xludf.DUMMYFUNCTION("""COMPUTED_VALUE"""),"Надо подумать")</f>
        <v>Надо подумать</v>
      </c>
      <c r="AE232" s="6" t="str">
        <f>IFERROR(__xludf.DUMMYFUNCTION("""COMPUTED_VALUE"""),"Женский")</f>
        <v>Женский</v>
      </c>
      <c r="AF232" s="6" t="str">
        <f>IFERROR(__xludf.DUMMYFUNCTION("""COMPUTED_VALUE"""),"30-44")</f>
        <v>30-44</v>
      </c>
      <c r="AG232" s="6"/>
      <c r="AH232" s="6"/>
      <c r="AI232" s="6"/>
      <c r="AJ232" s="6"/>
      <c r="AK232" s="6"/>
      <c r="AL232" s="6"/>
      <c r="AM232" s="6"/>
    </row>
    <row r="233">
      <c r="A233" s="4">
        <v>232.0</v>
      </c>
      <c r="B233" s="6" t="str">
        <f>IFERROR(__xludf.DUMMYFUNCTION("""COMPUTED_VALUE"""),"студент")</f>
        <v>студент</v>
      </c>
      <c r="C233" s="6" t="str">
        <f>IFERROR(__xludf.DUMMYFUNCTION("""COMPUTED_VALUE"""),"Цветоводство")</f>
        <v>Цветоводство</v>
      </c>
      <c r="D233" s="6" t="str">
        <f>IFERROR(__xludf.DUMMYFUNCTION("""COMPUTED_VALUE"""),"Заводский")</f>
        <v>Заводский</v>
      </c>
      <c r="E233" s="6" t="str">
        <f>IFERROR(__xludf.DUMMYFUNCTION("""COMPUTED_VALUE"""),"никаких")</f>
        <v>никаких</v>
      </c>
      <c r="F233" s="6" t="str">
        <f>IFERROR(__xludf.DUMMYFUNCTION("""COMPUTED_VALUE"""),"Живу здесь с рождения")</f>
        <v>Живу здесь с рождения</v>
      </c>
      <c r="G233" s="6" t="str">
        <f>IFERROR(__xludf.DUMMYFUNCTION("""COMPUTED_VALUE"""),"Набережная Томи")</f>
        <v>Набережная Томи</v>
      </c>
      <c r="H233" s="6" t="str">
        <f>IFERROR(__xludf.DUMMYFUNCTION("""COMPUTED_VALUE"""),"Грязный, некрасивый, неприветливый, суетливый, промышленный")</f>
        <v>Грязный, некрасивый, неприветливый, суетливый, промышленный</v>
      </c>
      <c r="I233" s="6" t="str">
        <f>IFERROR(__xludf.DUMMYFUNCTION("""COMPUTED_VALUE"""),"Ю. Двужильный,  А. Н. Кирчанов")</f>
        <v>Ю. Двужильный,  А. Н. Кирчанов</v>
      </c>
      <c r="J233" s="6" t="str">
        <f>IFERROR(__xludf.DUMMYFUNCTION("""COMPUTED_VALUE"""),"Тулеев А.Г., Михайлов В.В.")</f>
        <v>Тулеев А.Г., Михайлов В.В.</v>
      </c>
      <c r="K233" s="6" t="str">
        <f>IFERROR(__xludf.DUMMYFUNCTION("""COMPUTED_VALUE"""),"Рудничный сосновый бор")</f>
        <v>Рудничный сосновый бор</v>
      </c>
      <c r="L233" s="6" t="str">
        <f>IFERROR(__xludf.DUMMYFUNCTION("""COMPUTED_VALUE"""),"Города строят не языком, а рублём да топором")</f>
        <v>Города строят не языком, а рублём да топором</v>
      </c>
      <c r="M233" s="6" t="str">
        <f>IFERROR(__xludf.DUMMYFUNCTION("""COMPUTED_VALUE"""),"нет")</f>
        <v>нет</v>
      </c>
      <c r="N233" s="6" t="str">
        <f>IFERROR(__xludf.DUMMYFUNCTION("""COMPUTED_VALUE"""),"Много зелени и цветов; хорошие дороги и доступность общественного транспорта, благоприятная экологическая обстановка, наличие парковых зон в каждом микрарайоне")</f>
        <v>Много зелени и цветов; хорошие дороги и доступность общественного транспорта, благоприятная экологическая обстановка, наличие парковых зон в каждом микрарайоне</v>
      </c>
      <c r="O233" s="6" t="str">
        <f>IFERROR(__xludf.DUMMYFUNCTION("""COMPUTED_VALUE"""),"Отремонтировать фасады домов не только с видимой стороны; привести в порядок дороги, в том числе придворовых территорий, организовать больше зеленых зон для отдыха горожан; красивые цветочные клумбы должны быть не только в центре...")</f>
        <v>Отремонтировать фасады домов не только с видимой стороны; привести в порядок дороги, в том числе придворовых территорий, организовать больше зеленых зон для отдыха горожан; красивые цветочные клумбы должны быть не только в центре...</v>
      </c>
      <c r="P233" s="6" t="str">
        <f>IFERROR(__xludf.DUMMYFUNCTION("""COMPUTED_VALUE"""),"Вести-Кузбасс")</f>
        <v>Вести-Кузбасс</v>
      </c>
      <c r="Q233"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233" s="6" t="str">
        <f>IFERROR(__xludf.DUMMYFUNCTION("""COMPUTED_VALUE"""),"нет")</f>
        <v>нет</v>
      </c>
      <c r="S233" s="6" t="str">
        <f>IFERROR(__xludf.DUMMYFUNCTION("""COMPUTED_VALUE"""),"Нет, не приходилось")</f>
        <v>Нет, не приходилось</v>
      </c>
      <c r="T233" s="6" t="str">
        <f>IFERROR(__xludf.DUMMYFUNCTION("""COMPUTED_VALUE"""),"ничего")</f>
        <v>ничего</v>
      </c>
      <c r="U233" s="6" t="str">
        <f>IFERROR(__xludf.DUMMYFUNCTION("""COMPUTED_VALUE"""),"площадь Советов")</f>
        <v>площадь Советов</v>
      </c>
      <c r="V233" s="6" t="str">
        <f>IFERROR(__xludf.DUMMYFUNCTION("""COMPUTED_VALUE"""),"много работали ")</f>
        <v>много работали </v>
      </c>
      <c r="W233" s="6" t="str">
        <f>IFERROR(__xludf.DUMMYFUNCTION("""COMPUTED_VALUE"""),"Терпеливые, неунывающие.")</f>
        <v>Терпеливые, неунывающие.</v>
      </c>
      <c r="X233" s="6" t="str">
        <f>IFERROR(__xludf.DUMMYFUNCTION("""COMPUTED_VALUE"""),"Знаменский собор - Площадь Советов - Набережная реки Томи - сосновый бор")</f>
        <v>Знаменский собор - Площадь Советов - Набережная реки Томи - сосновый бор</v>
      </c>
      <c r="Y233" s="6" t="str">
        <f>IFERROR(__xludf.DUMMYFUNCTION("""COMPUTED_VALUE"""),"Появление Знаменского собора")</f>
        <v>Появление Знаменского собора</v>
      </c>
      <c r="Z233" s="6" t="str">
        <f>IFERROR(__xludf.DUMMYFUNCTION("""COMPUTED_VALUE"""),"нет")</f>
        <v>нет</v>
      </c>
      <c r="AA233" s="6" t="str">
        <f>IFERROR(__xludf.DUMMYFUNCTION("""COMPUTED_VALUE"""),"город стал очень грязным")</f>
        <v>город стал очень грязным</v>
      </c>
      <c r="AB233" s="6" t="str">
        <f>IFERROR(__xludf.DUMMYFUNCTION("""COMPUTED_VALUE"""),"-")</f>
        <v>-</v>
      </c>
      <c r="AC233" s="6" t="str">
        <f>IFERROR(__xludf.DUMMYFUNCTION("""COMPUTED_VALUE"""),"-")</f>
        <v>-</v>
      </c>
      <c r="AD233" s="6" t="str">
        <f>IFERROR(__xludf.DUMMYFUNCTION("""COMPUTED_VALUE"""),"-")</f>
        <v>-</v>
      </c>
      <c r="AE233" s="6" t="str">
        <f>IFERROR(__xludf.DUMMYFUNCTION("""COMPUTED_VALUE"""),"Женский")</f>
        <v>Женский</v>
      </c>
      <c r="AF233" s="6" t="str">
        <f>IFERROR(__xludf.DUMMYFUNCTION("""COMPUTED_VALUE"""),"18-29")</f>
        <v>18-29</v>
      </c>
      <c r="AG233" s="6"/>
      <c r="AH233" s="6"/>
      <c r="AI233" s="6"/>
      <c r="AJ233" s="6"/>
      <c r="AK233" s="6"/>
      <c r="AL233" s="6"/>
      <c r="AM233" s="6"/>
    </row>
    <row r="234">
      <c r="A234" s="4">
        <v>233.0</v>
      </c>
      <c r="B234" s="6" t="str">
        <f>IFERROR(__xludf.DUMMYFUNCTION("""COMPUTED_VALUE"""),"Учитель")</f>
        <v>Учитель</v>
      </c>
      <c r="C234" s="6" t="str">
        <f>IFERROR(__xludf.DUMMYFUNCTION("""COMPUTED_VALUE"""),"Танцы, корейский язык, рисование, путешествие")</f>
        <v>Танцы, корейский язык, рисование, путешествие</v>
      </c>
      <c r="D234" s="6" t="str">
        <f>IFERROR(__xludf.DUMMYFUNCTION("""COMPUTED_VALUE"""),"Заводский, ФПК")</f>
        <v>Заводский, ФПК</v>
      </c>
      <c r="E234" s="6" t="str">
        <f>IFERROR(__xludf.DUMMYFUNCTION("""COMPUTED_VALUE"""),"Парк перед Гринвичем, парк перед 99 школой, пруд в Берёзовой роще, центр спорта, каток.")</f>
        <v>Парк перед Гринвичем, парк перед 99 школой, пруд в Берёзовой роще, центр спорта, каток.</v>
      </c>
      <c r="F234" s="6" t="str">
        <f>IFERROR(__xludf.DUMMYFUNCTION("""COMPUTED_VALUE"""),"Живу здесь с рождения")</f>
        <v>Живу здесь с рождения</v>
      </c>
      <c r="G234" s="6" t="str">
        <f>IFERROR(__xludf.DUMMYFUNCTION("""COMPUTED_VALUE"""),"Сосновый бор, шашлычная у Петровича, комсомольский парк, каток на ФПК, кузбасский парк")</f>
        <v>Сосновый бор, шашлычная у Петровича, комсомольский парк, каток на ФПК, кузбасский парк</v>
      </c>
      <c r="H234" s="6" t="str">
        <f>IFERROR(__xludf.DUMMYFUNCTION("""COMPUTED_VALUE"""),"Чистый, зелёный, просторный,семейный, удобный")</f>
        <v>Чистый, зелёный, просторный,семейный, удобный</v>
      </c>
      <c r="I234" s="6" t="str">
        <f>IFERROR(__xludf.DUMMYFUNCTION("""COMPUTED_VALUE"""),"Леонов, Рутгерс, Чихачев, Михайло Волков")</f>
        <v>Леонов, Рутгерс, Чихачев, Михайло Волков</v>
      </c>
      <c r="J234" s="6" t="str">
        <f>IFERROR(__xludf.DUMMYFUNCTION("""COMPUTED_VALUE"""),"В. Михайлов, А. Тулеев")</f>
        <v>В. Михайлов, А. Тулеев</v>
      </c>
      <c r="K234" s="6" t="str">
        <f>IFERROR(__xludf.DUMMYFUNCTION("""COMPUTED_VALUE"""),"Набережная, Лесная поляна, центр города, кузбасский парк")</f>
        <v>Набережная, Лесная поляна, центр города, кузбасский парк</v>
      </c>
      <c r="L234" s="6" t="str">
        <f>IFERROR(__xludf.DUMMYFUNCTION("""COMPUTED_VALUE"""),"Не знаю")</f>
        <v>Не знаю</v>
      </c>
      <c r="M234" s="6" t="str">
        <f>IFERROR(__xludf.DUMMYFUNCTION("""COMPUTED_VALUE"""),"Нет")</f>
        <v>Нет</v>
      </c>
      <c r="N234" s="6" t="str">
        <f>IFERROR(__xludf.DUMMYFUNCTION("""COMPUTED_VALUE"""),"Есть работа, хорошо оплачиваемая. Детские и спортивные площадки, парки. Парковки. Доступная и качественная медицина.")</f>
        <v>Есть работа, хорошо оплачиваемая. Детские и спортивные площадки, парки. Парковки. Доступная и качественная медицина.</v>
      </c>
      <c r="O234" s="6" t="str">
        <f>IFERROR(__xludf.DUMMYFUNCTION("""COMPUTED_VALUE"""),"Штраф для собачников за .... Спортивные площадки во дворах")</f>
        <v>Штраф для собачников за .... Спортивные площадки во дворах</v>
      </c>
      <c r="P234" s="6" t="str">
        <f>IFERROR(__xludf.DUMMYFUNCTION("""COMPUTED_VALUE"""),"Новости вести 42")</f>
        <v>Новости вести 42</v>
      </c>
      <c r="Q234"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234" s="6" t="str">
        <f>IFERROR(__xludf.DUMMYFUNCTION("""COMPUTED_VALUE"""),"День победы, день города")</f>
        <v>День победы, день города</v>
      </c>
      <c r="S234" s="6" t="str">
        <f>IFERROR(__xludf.DUMMYFUNCTION("""COMPUTED_VALUE"""),"Нет, не приходилось")</f>
        <v>Нет, не приходилось</v>
      </c>
      <c r="T234" s="6" t="str">
        <f>IFERROR(__xludf.DUMMYFUNCTION("""COMPUTED_VALUE"""),"Уголь, и к сожалению Зимняя вишня.")</f>
        <v>Уголь, и к сожалению Зимняя вишня.</v>
      </c>
      <c r="U234" s="6" t="str">
        <f>IFERROR(__xludf.DUMMYFUNCTION("""COMPUTED_VALUE"""),"Проспект советский")</f>
        <v>Проспект советский</v>
      </c>
      <c r="V234" s="6" t="str">
        <f>IFERROR(__xludf.DUMMYFUNCTION("""COMPUTED_VALUE"""),"Работали много. Разумно распланировали городскую застройку")</f>
        <v>Работали много. Разумно распланировали городскую застройку</v>
      </c>
      <c r="W234" s="6" t="str">
        <f>IFERROR(__xludf.DUMMYFUNCTION("""COMPUTED_VALUE"""),"Разные. Уставшие, грустные")</f>
        <v>Разные. Уставшие, грустные</v>
      </c>
      <c r="X234" s="6" t="str">
        <f>IFERROR(__xludf.DUMMYFUNCTION("""COMPUTED_VALUE"""),"Проспект советский")</f>
        <v>Проспект советский</v>
      </c>
      <c r="Y234" s="6" t="str">
        <f>IFERROR(__xludf.DUMMYFUNCTION("""COMPUTED_VALUE"""),"Чемпионат мира по хоккею с мячом")</f>
        <v>Чемпионат мира по хоккею с мячом</v>
      </c>
      <c r="Z234" s="6" t="str">
        <f>IFERROR(__xludf.DUMMYFUNCTION("""COMPUTED_VALUE"""),"Бессмертный полк")</f>
        <v>Бессмертный полк</v>
      </c>
      <c r="AA234" s="6" t="str">
        <f>IFERROR(__xludf.DUMMYFUNCTION("""COMPUTED_VALUE"""),"Зимняя вишня")</f>
        <v>Зимняя вишня</v>
      </c>
      <c r="AB234" s="6" t="str">
        <f>IFERROR(__xludf.DUMMYFUNCTION("""COMPUTED_VALUE"""),"Нет")</f>
        <v>Нет</v>
      </c>
      <c r="AC234" s="6" t="str">
        <f>IFERROR(__xludf.DUMMYFUNCTION("""COMPUTED_VALUE"""),"Квесты по городу. Семейные соревнования")</f>
        <v>Квесты по городу. Семейные соревнования</v>
      </c>
      <c r="AD234" s="6" t="str">
        <f>IFERROR(__xludf.DUMMYFUNCTION("""COMPUTED_VALUE"""),"Волонтер")</f>
        <v>Волонтер</v>
      </c>
      <c r="AE234" s="6" t="str">
        <f>IFERROR(__xludf.DUMMYFUNCTION("""COMPUTED_VALUE"""),"Женский")</f>
        <v>Женский</v>
      </c>
      <c r="AF234" s="6" t="str">
        <f>IFERROR(__xludf.DUMMYFUNCTION("""COMPUTED_VALUE"""),"30-44")</f>
        <v>30-44</v>
      </c>
      <c r="AG234" s="6"/>
      <c r="AH234" s="6"/>
      <c r="AI234" s="6"/>
      <c r="AJ234" s="6"/>
      <c r="AK234" s="6"/>
      <c r="AL234" s="6"/>
      <c r="AM234" s="6"/>
    </row>
    <row r="235">
      <c r="A235" s="4">
        <v>234.0</v>
      </c>
      <c r="B235" s="6" t="str">
        <f>IFERROR(__xludf.DUMMYFUNCTION("""COMPUTED_VALUE"""),"Диспетчер")</f>
        <v>Диспетчер</v>
      </c>
      <c r="C235" s="6" t="str">
        <f>IFERROR(__xludf.DUMMYFUNCTION("""COMPUTED_VALUE"""),"Декупаж")</f>
        <v>Декупаж</v>
      </c>
      <c r="D235" s="6" t="str">
        <f>IFERROR(__xludf.DUMMYFUNCTION("""COMPUTED_VALUE"""),"Южный")</f>
        <v>Южный</v>
      </c>
      <c r="E235" s="6" t="str">
        <f>IFERROR(__xludf.DUMMYFUNCTION("""COMPUTED_VALUE"""),"ул Патриотов")</f>
        <v>ул Патриотов</v>
      </c>
      <c r="F235" s="6" t="str">
        <f>IFERROR(__xludf.DUMMYFUNCTION("""COMPUTED_VALUE"""),"Переехал сюда из другого места (откуда? укажите в графе другое), из Казахстана")</f>
        <v>Переехал сюда из другого места (откуда? укажите в графе другое), из Казахстана</v>
      </c>
      <c r="G235" s="6" t="str">
        <f>IFERROR(__xludf.DUMMYFUNCTION("""COMPUTED_VALUE"""),"Торговый центр ")</f>
        <v>Торговый центр </v>
      </c>
      <c r="H235" s="6" t="str">
        <f>IFERROR(__xludf.DUMMYFUNCTION("""COMPUTED_VALUE"""),"Сибирь, шахтеры")</f>
        <v>Сибирь, шахтеры</v>
      </c>
      <c r="I235" s="6" t="str">
        <f>IFERROR(__xludf.DUMMYFUNCTION("""COMPUTED_VALUE"""),"Леонов А.А.")</f>
        <v>Леонов А.А.</v>
      </c>
      <c r="J235" s="6" t="str">
        <f>IFERROR(__xludf.DUMMYFUNCTION("""COMPUTED_VALUE"""),".")</f>
        <v>.</v>
      </c>
      <c r="K235" s="6" t="str">
        <f>IFERROR(__xludf.DUMMYFUNCTION("""COMPUTED_VALUE"""),"Томская Писаница")</f>
        <v>Томская Писаница</v>
      </c>
      <c r="L235" s="6" t="str">
        <f>IFERROR(__xludf.DUMMYFUNCTION("""COMPUTED_VALUE"""),".")</f>
        <v>.</v>
      </c>
      <c r="M235" s="6" t="str">
        <f>IFERROR(__xludf.DUMMYFUNCTION("""COMPUTED_VALUE"""),"""виктория"" :) Нигде так клубнику не называют")</f>
        <v>"виктория" :) Нигде так клубнику не называют</v>
      </c>
      <c r="N235" s="6" t="str">
        <f>IFERROR(__xludf.DUMMYFUNCTION("""COMPUTED_VALUE"""),"Транспортная доступность,крупный город")</f>
        <v>Транспортная доступность,крупный город</v>
      </c>
      <c r="O235" s="6" t="str">
        <f>IFERROR(__xludf.DUMMYFUNCTION("""COMPUTED_VALUE"""),"Дороги, газоны, парковки машин")</f>
        <v>Дороги, газоны, парковки машин</v>
      </c>
      <c r="P235" s="6" t="str">
        <f>IFERROR(__xludf.DUMMYFUNCTION("""COMPUTED_VALUE"""),"Интернет главная страница Яндекса")</f>
        <v>Интернет главная страница Яндекса</v>
      </c>
      <c r="Q235"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235" s="6" t="str">
        <f>IFERROR(__xludf.DUMMYFUNCTION("""COMPUTED_VALUE"""),"9 мая")</f>
        <v>9 мая</v>
      </c>
      <c r="S235" s="6" t="str">
        <f>IFERROR(__xludf.DUMMYFUNCTION("""COMPUTED_VALUE"""),"Нет, не приходилось")</f>
        <v>Нет, не приходилось</v>
      </c>
      <c r="T235" s="6" t="str">
        <f>IFERROR(__xludf.DUMMYFUNCTION("""COMPUTED_VALUE"""),"Природа")</f>
        <v>Природа</v>
      </c>
      <c r="U235" s="6" t="str">
        <f>IFERROR(__xludf.DUMMYFUNCTION("""COMPUTED_VALUE"""),"Набережная")</f>
        <v>Набережная</v>
      </c>
      <c r="V235" s="6" t="str">
        <f>IFERROR(__xludf.DUMMYFUNCTION("""COMPUTED_VALUE"""),"Строительство")</f>
        <v>Строительство</v>
      </c>
      <c r="W235" s="6" t="str">
        <f>IFERROR(__xludf.DUMMYFUNCTION("""COMPUTED_VALUE"""),"Суровые")</f>
        <v>Суровые</v>
      </c>
      <c r="X235" s="6" t="str">
        <f>IFERROR(__xludf.DUMMYFUNCTION("""COMPUTED_VALUE"""),"Набережная")</f>
        <v>Набережная</v>
      </c>
      <c r="Y235" s="6" t="str">
        <f>IFERROR(__xludf.DUMMYFUNCTION("""COMPUTED_VALUE"""),".")</f>
        <v>.</v>
      </c>
      <c r="Z235" s="6" t="str">
        <f>IFERROR(__xludf.DUMMYFUNCTION("""COMPUTED_VALUE"""),".")</f>
        <v>.</v>
      </c>
      <c r="AA235" s="6" t="str">
        <f>IFERROR(__xludf.DUMMYFUNCTION("""COMPUTED_VALUE"""),"Зимняя Вишня")</f>
        <v>Зимняя Вишня</v>
      </c>
      <c r="AB235" s="6" t="str">
        <f>IFERROR(__xludf.DUMMYFUNCTION("""COMPUTED_VALUE"""),".")</f>
        <v>.</v>
      </c>
      <c r="AC235" s="6" t="str">
        <f>IFERROR(__xludf.DUMMYFUNCTION("""COMPUTED_VALUE"""),"Благоустройство города в целом")</f>
        <v>Благоустройство города в целом</v>
      </c>
      <c r="AD235" s="6" t="str">
        <f>IFERROR(__xludf.DUMMYFUNCTION("""COMPUTED_VALUE"""),".")</f>
        <v>.</v>
      </c>
      <c r="AE235" s="6" t="str">
        <f>IFERROR(__xludf.DUMMYFUNCTION("""COMPUTED_VALUE"""),"Женский")</f>
        <v>Женский</v>
      </c>
      <c r="AF235" s="6" t="str">
        <f>IFERROR(__xludf.DUMMYFUNCTION("""COMPUTED_VALUE"""),"30-44")</f>
        <v>30-44</v>
      </c>
      <c r="AG235" s="6"/>
      <c r="AH235" s="6"/>
      <c r="AI235" s="6"/>
      <c r="AJ235" s="6"/>
      <c r="AK235" s="6"/>
      <c r="AL235" s="6"/>
      <c r="AM235" s="6"/>
    </row>
    <row r="236">
      <c r="A236" s="4">
        <v>235.0</v>
      </c>
      <c r="B236" s="6" t="str">
        <f>IFERROR(__xludf.DUMMYFUNCTION("""COMPUTED_VALUE"""),"Студент")</f>
        <v>Студент</v>
      </c>
      <c r="C236" s="6" t="str">
        <f>IFERROR(__xludf.DUMMYFUNCTION("""COMPUTED_VALUE"""),"Танцы, театр, рисование")</f>
        <v>Танцы, театр, рисование</v>
      </c>
      <c r="D236" s="6" t="str">
        <f>IFERROR(__xludf.DUMMYFUNCTION("""COMPUTED_VALUE"""),"Лененский район, у ленина за пазухой")</f>
        <v>Лененский район, у ленина за пазухой</v>
      </c>
      <c r="E236" s="6" t="str">
        <f>IFERROR(__xludf.DUMMYFUNCTION("""COMPUTED_VALUE"""),"Гриль #1")</f>
        <v>Гриль #1</v>
      </c>
      <c r="F236"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236" s="6" t="str">
        <f>IFERROR(__xludf.DUMMYFUNCTION("""COMPUTED_VALUE"""),"Кафешки")</f>
        <v>Кафешки</v>
      </c>
      <c r="H236" s="6" t="str">
        <f>IFERROR(__xludf.DUMMYFUNCTION("""COMPUTED_VALUE"""),"Столица, уголь, люди, сельхоз")</f>
        <v>Столица, уголь, люди, сельхоз</v>
      </c>
      <c r="I236" s="6" t="str">
        <f>IFERROR(__xludf.DUMMYFUNCTION("""COMPUTED_VALUE"""),"Горняков ")</f>
        <v>Горняков </v>
      </c>
      <c r="J236" s="6" t="str">
        <f>IFERROR(__xludf.DUMMYFUNCTION("""COMPUTED_VALUE"""),"Смирнов")</f>
        <v>Смирнов</v>
      </c>
      <c r="K236" s="6" t="str">
        <f>IFERROR(__xludf.DUMMYFUNCTION("""COMPUTED_VALUE"""),"Парк ангелов")</f>
        <v>Парк ангелов</v>
      </c>
      <c r="L236" s="6" t="str">
        <f>IFERROR(__xludf.DUMMYFUNCTION("""COMPUTED_VALUE"""),"Ии")</f>
        <v>Ии</v>
      </c>
      <c r="M236" s="6" t="str">
        <f>IFERROR(__xludf.DUMMYFUNCTION("""COMPUTED_VALUE"""),"Сити")</f>
        <v>Сити</v>
      </c>
      <c r="N236" s="6" t="str">
        <f>IFERROR(__xludf.DUMMYFUNCTION("""COMPUTED_VALUE"""),"Небольшой, чистый")</f>
        <v>Небольшой, чистый</v>
      </c>
      <c r="O236" s="6" t="str">
        <f>IFERROR(__xludf.DUMMYFUNCTION("""COMPUTED_VALUE"""),"Грязь")</f>
        <v>Грязь</v>
      </c>
      <c r="P236" s="6" t="str">
        <f>IFERROR(__xludf.DUMMYFUNCTION("""COMPUTED_VALUE"""),"Группа")</f>
        <v>Группа</v>
      </c>
      <c r="Q236" s="6" t="str">
        <f>IFERROR(__xludf.DUMMYFUNCTION("""COMPUTED_VALUE"""),"куда пойти в свободное время")</f>
        <v>куда пойти в свободное время</v>
      </c>
      <c r="R236" s="6" t="str">
        <f>IFERROR(__xludf.DUMMYFUNCTION("""COMPUTED_VALUE"""),"День города")</f>
        <v>День города</v>
      </c>
      <c r="S236" s="6" t="str">
        <f>IFERROR(__xludf.DUMMYFUNCTION("""COMPUTED_VALUE"""),"Писал и расклеивал объявления/афиши")</f>
        <v>Писал и расклеивал объявления/афиши</v>
      </c>
      <c r="T236" s="6" t="str">
        <f>IFERROR(__xludf.DUMMYFUNCTION("""COMPUTED_VALUE"""),"Попа")</f>
        <v>Попа</v>
      </c>
      <c r="U236" s="6" t="str">
        <f>IFERROR(__xludf.DUMMYFUNCTION("""COMPUTED_VALUE"""),"Цирк")</f>
        <v>Цирк</v>
      </c>
      <c r="V236" s="6" t="str">
        <f>IFERROR(__xludf.DUMMYFUNCTION("""COMPUTED_VALUE"""),"Дружины")</f>
        <v>Дружины</v>
      </c>
      <c r="W236" s="6" t="str">
        <f>IFERROR(__xludf.DUMMYFUNCTION("""COMPUTED_VALUE"""),"Наглые")</f>
        <v>Наглые</v>
      </c>
      <c r="X236" s="6" t="str">
        <f>IFERROR(__xludf.DUMMYFUNCTION("""COMPUTED_VALUE"""),"По центральной улице")</f>
        <v>По центральной улице</v>
      </c>
      <c r="Y236" s="6" t="str">
        <f>IFERROR(__xludf.DUMMYFUNCTION("""COMPUTED_VALUE"""),"Не знаю")</f>
        <v>Не знаю</v>
      </c>
      <c r="Z236" s="6" t="str">
        <f>IFERROR(__xludf.DUMMYFUNCTION("""COMPUTED_VALUE"""),"Пожар в зимней вишне")</f>
        <v>Пожар в зимней вишне</v>
      </c>
      <c r="AA236" s="6" t="str">
        <f>IFERROR(__xludf.DUMMYFUNCTION("""COMPUTED_VALUE"""),"Расизм ")</f>
        <v>Расизм </v>
      </c>
      <c r="AB236" s="6" t="str">
        <f>IFERROR(__xludf.DUMMYFUNCTION("""COMPUTED_VALUE"""),"Ку Клукс клан")</f>
        <v>Ку Клукс клан</v>
      </c>
      <c r="AC236" s="6" t="str">
        <f>IFERROR(__xludf.DUMMYFUNCTION("""COMPUTED_VALUE"""),"Инквизиции")</f>
        <v>Инквизиции</v>
      </c>
      <c r="AD236" s="6" t="str">
        <f>IFERROR(__xludf.DUMMYFUNCTION("""COMPUTED_VALUE"""),"Помжв")</f>
        <v>Помжв</v>
      </c>
      <c r="AE236" s="6" t="str">
        <f>IFERROR(__xludf.DUMMYFUNCTION("""COMPUTED_VALUE"""),"Женский")</f>
        <v>Женский</v>
      </c>
      <c r="AF236" s="6" t="str">
        <f>IFERROR(__xludf.DUMMYFUNCTION("""COMPUTED_VALUE"""),"18-29")</f>
        <v>18-29</v>
      </c>
      <c r="AG236" s="6"/>
      <c r="AH236" s="6"/>
      <c r="AI236" s="6"/>
      <c r="AJ236" s="6"/>
      <c r="AK236" s="6"/>
      <c r="AL236" s="6"/>
      <c r="AM236" s="6"/>
    </row>
    <row r="237">
      <c r="A237" s="4">
        <v>236.0</v>
      </c>
      <c r="B237" s="6" t="str">
        <f>IFERROR(__xludf.DUMMYFUNCTION("""COMPUTED_VALUE"""),"Студент очной формы обучения")</f>
        <v>Студент очной формы обучения</v>
      </c>
      <c r="C237" s="6" t="str">
        <f>IFERROR(__xludf.DUMMYFUNCTION("""COMPUTED_VALUE"""),"Волонтерство")</f>
        <v>Волонтерство</v>
      </c>
      <c r="D237" s="6" t="str">
        <f>IFERROR(__xludf.DUMMYFUNCTION("""COMPUTED_VALUE"""),"Ленинский район города Кемерово")</f>
        <v>Ленинский район города Кемерово</v>
      </c>
      <c r="E237" s="6" t="str">
        <f>IFERROR(__xludf.DUMMYFUNCTION("""COMPUTED_VALUE"""),"ГЦС ""Кузбасс""")</f>
        <v>ГЦС "Кузбасс"</v>
      </c>
      <c r="F237" s="6" t="str">
        <f>IFERROR(__xludf.DUMMYFUNCTION("""COMPUTED_VALUE"""),"Живу здесь с рождения")</f>
        <v>Живу здесь с рождения</v>
      </c>
      <c r="G237" s="6" t="str">
        <f>IFERROR(__xludf.DUMMYFUNCTION("""COMPUTED_VALUE"""),"Бары в центральном районе г. Кемерово, ТРЦ г. Кемерово")</f>
        <v>Бары в центральном районе г. Кемерово, ТРЦ г. Кемерово</v>
      </c>
      <c r="H237" s="6" t="str">
        <f>IFERROR(__xludf.DUMMYFUNCTION("""COMPUTED_VALUE"""),"Грязь, воздух, серость, зелень, цвет")</f>
        <v>Грязь, воздух, серость, зелень, цвет</v>
      </c>
      <c r="I237" s="6" t="str">
        <f>IFERROR(__xludf.DUMMYFUNCTION("""COMPUTED_VALUE"""),"Леонов, Волков")</f>
        <v>Леонов, Волков</v>
      </c>
      <c r="J237" s="6" t="str">
        <f>IFERROR(__xludf.DUMMYFUNCTION("""COMPUTED_VALUE"""),"-")</f>
        <v>-</v>
      </c>
      <c r="K237" s="6" t="str">
        <f>IFERROR(__xludf.DUMMYFUNCTION("""COMPUTED_VALUE"""),"Монумент ""Памяти Шахтерам""")</f>
        <v>Монумент "Памяти Шахтерам"</v>
      </c>
      <c r="L237" s="6" t="str">
        <f>IFERROR(__xludf.DUMMYFUNCTION("""COMPUTED_VALUE"""),"-")</f>
        <v>-</v>
      </c>
      <c r="M237" s="6" t="str">
        <f>IFERROR(__xludf.DUMMYFUNCTION("""COMPUTED_VALUE"""),"-")</f>
        <v>-</v>
      </c>
      <c r="N237" s="6" t="str">
        <f>IFERROR(__xludf.DUMMYFUNCTION("""COMPUTED_VALUE"""),"Инфраструктура, рабочие места, экология, доступность, уровень з/п.")</f>
        <v>Инфраструктура, рабочие места, экология, доступность, уровень з/п.</v>
      </c>
      <c r="O237" s="6" t="str">
        <f>IFERROR(__xludf.DUMMYFUNCTION("""COMPUTED_VALUE"""),"ЭКОЛОГИЯ")</f>
        <v>ЭКОЛОГИЯ</v>
      </c>
      <c r="P237" s="6" t="str">
        <f>IFERROR(__xludf.DUMMYFUNCTION("""COMPUTED_VALUE"""),"Яндекс афиша")</f>
        <v>Яндекс афиша</v>
      </c>
      <c r="Q237" s="6" t="str">
        <f>IFERROR(__xludf.DUMMYFUNCTION("""COMPUTED_VALUE"""),"куда пойти в свободное время, где вкусно поесть/открытие новых кафе/ресторанов, новости про новые профессии/куда поступать/вакансии")</f>
        <v>куда пойти в свободное время, где вкусно поесть/открытие новых кафе/ресторанов, новости про новые профессии/куда поступать/вакансии</v>
      </c>
      <c r="R237" s="6" t="str">
        <f>IFERROR(__xludf.DUMMYFUNCTION("""COMPUTED_VALUE"""),"День шахтера, день города")</f>
        <v>День шахтера, день города</v>
      </c>
      <c r="S237" s="6" t="str">
        <f>IFERROR(__xludf.DUMMYFUNCTION("""COMPUTED_VALUE"""),"Через социальные сети (Какие? Укажите в графе другое)")</f>
        <v>Через социальные сети (Какие? Укажите в графе другое)</v>
      </c>
      <c r="T237" s="6" t="str">
        <f>IFERROR(__xludf.DUMMYFUNCTION("""COMPUTED_VALUE"""),"-")</f>
        <v>-</v>
      </c>
      <c r="U237" s="6" t="str">
        <f>IFERROR(__xludf.DUMMYFUNCTION("""COMPUTED_VALUE"""),"Площадь Советов")</f>
        <v>Площадь Советов</v>
      </c>
      <c r="V237" s="6" t="str">
        <f>IFERROR(__xludf.DUMMYFUNCTION("""COMPUTED_VALUE"""),"-")</f>
        <v>-</v>
      </c>
      <c r="W237" s="6" t="str">
        <f>IFERROR(__xludf.DUMMYFUNCTION("""COMPUTED_VALUE"""),"-")</f>
        <v>-</v>
      </c>
      <c r="X237" s="6" t="str">
        <f>IFERROR(__xludf.DUMMYFUNCTION("""COMPUTED_VALUE"""),"Ленинский район- притомский проспект- площадь советов- монумент памяти шахтерам")</f>
        <v>Ленинский район- притомский проспект- площадь советов- монумент памяти шахтерам</v>
      </c>
      <c r="Y237" s="6" t="str">
        <f>IFERROR(__xludf.DUMMYFUNCTION("""COMPUTED_VALUE"""),"Кузбасс 300")</f>
        <v>Кузбасс 300</v>
      </c>
      <c r="Z237" s="6" t="str">
        <f>IFERROR(__xludf.DUMMYFUNCTION("""COMPUTED_VALUE"""),"-")</f>
        <v>-</v>
      </c>
      <c r="AA237" s="6" t="str">
        <f>IFERROR(__xludf.DUMMYFUNCTION("""COMPUTED_VALUE"""),"-")</f>
        <v>-</v>
      </c>
      <c r="AB237" s="6" t="str">
        <f>IFERROR(__xludf.DUMMYFUNCTION("""COMPUTED_VALUE"""),"-")</f>
        <v>-</v>
      </c>
      <c r="AC237" s="6" t="str">
        <f>IFERROR(__xludf.DUMMYFUNCTION("""COMPUTED_VALUE"""),"- ")</f>
        <v>- </v>
      </c>
      <c r="AD237" s="6" t="str">
        <f>IFERROR(__xludf.DUMMYFUNCTION("""COMPUTED_VALUE"""),"-")</f>
        <v>-</v>
      </c>
      <c r="AE237" s="6" t="str">
        <f>IFERROR(__xludf.DUMMYFUNCTION("""COMPUTED_VALUE"""),"Женский")</f>
        <v>Женский</v>
      </c>
      <c r="AF237" s="6" t="str">
        <f>IFERROR(__xludf.DUMMYFUNCTION("""COMPUTED_VALUE"""),"18-29")</f>
        <v>18-29</v>
      </c>
      <c r="AG237" s="6"/>
      <c r="AH237" s="6"/>
      <c r="AI237" s="6"/>
      <c r="AJ237" s="6"/>
      <c r="AK237" s="6"/>
      <c r="AL237" s="6"/>
      <c r="AM237" s="6"/>
    </row>
    <row r="238">
      <c r="A238" s="4">
        <v>237.0</v>
      </c>
      <c r="B238" s="6" t="str">
        <f>IFERROR(__xludf.DUMMYFUNCTION("""COMPUTED_VALUE"""),"Оказание услуг")</f>
        <v>Оказание услуг</v>
      </c>
      <c r="C238" s="6" t="str">
        <f>IFERROR(__xludf.DUMMYFUNCTION("""COMPUTED_VALUE"""),"Чтение")</f>
        <v>Чтение</v>
      </c>
      <c r="D238" s="6" t="str">
        <f>IFERROR(__xludf.DUMMYFUNCTION("""COMPUTED_VALUE"""),"Радуга")</f>
        <v>Радуга</v>
      </c>
      <c r="E238" s="6" t="str">
        <f>IFERROR(__xludf.DUMMYFUNCTION("""COMPUTED_VALUE"""),"Сосновый бор")</f>
        <v>Сосновый бор</v>
      </c>
      <c r="F238" s="6" t="str">
        <f>IFERROR(__xludf.DUMMYFUNCTION("""COMPUTED_VALUE"""),"Живу здесь с рождения")</f>
        <v>Живу здесь с рождения</v>
      </c>
      <c r="G238" s="6" t="str">
        <f>IFERROR(__xludf.DUMMYFUNCTION("""COMPUTED_VALUE"""),"Сосновый бор, Томская писаница, своя дача")</f>
        <v>Сосновый бор, Томская писаница, своя дача</v>
      </c>
      <c r="H238" s="6" t="str">
        <f>IFERROR(__xludf.DUMMYFUNCTION("""COMPUTED_VALUE"""),"Кузбасс, уголь, Родина, Томь, сосновый бор")</f>
        <v>Кузбасс, уголь, Родина, Томь, сосновый бор</v>
      </c>
      <c r="I238" s="6" t="str">
        <f>IFERROR(__xludf.DUMMYFUNCTION("""COMPUTED_VALUE"""),"Волков, Подгорбунский, Мартемьянов, Леонов, Штоколов")</f>
        <v>Волков, Подгорбунский, Мартемьянов, Леонов, Штоколов</v>
      </c>
      <c r="J238" s="6" t="str">
        <f>IFERROR(__xludf.DUMMYFUNCTION("""COMPUTED_VALUE"""),"Тулеев А.Г. Валерий ТрЕска, Михайлов В.В. (бывший мэр)")</f>
        <v>Тулеев А.Г. Валерий ТрЕска, Михайлов В.В. (бывший мэр)</v>
      </c>
      <c r="K238" s="6" t="str">
        <f>IFERROR(__xludf.DUMMYFUNCTION("""COMPUTED_VALUE"""),"улица Весенняя, музей ""Красная горка"", сосновый бор, Лесная поляна, краеведческий музей")</f>
        <v>улица Весенняя, музей "Красная горка", сосновый бор, Лесная поляна, краеведческий музей</v>
      </c>
      <c r="L238" s="6" t="str">
        <f>IFERROR(__xludf.DUMMYFUNCTION("""COMPUTED_VALUE"""),"нет ответа")</f>
        <v>нет ответа</v>
      </c>
      <c r="M238" s="6" t="str">
        <f>IFERROR(__xludf.DUMMYFUNCTION("""COMPUTED_VALUE"""),"дОбыча угля")</f>
        <v>дОбыча угля</v>
      </c>
      <c r="N238" s="6" t="str">
        <f>IFERROR(__xludf.DUMMYFUNCTION("""COMPUTED_VALUE"""),"Много зелени (деревья, кустарники, газоны), наличие общественного транспорта во всех районах, отсутствие пробок, наличие культурных заведений (музей, филармония и т.д.), благоустройство улиц.")</f>
        <v>Много зелени (деревья, кустарники, газоны), наличие общественного транспорта во всех районах, отсутствие пробок, наличие культурных заведений (музей, филармония и т.д.), благоустройство улиц.</v>
      </c>
      <c r="O238" s="6" t="str">
        <f>IFERROR(__xludf.DUMMYFUNCTION("""COMPUTED_VALUE"""),"Увеличить зеленые насаждения - деревья, кустарники, газоны. Многократно. Во всех районах.")</f>
        <v>Увеличить зеленые насаждения - деревья, кустарники, газоны. Многократно. Во всех районах.</v>
      </c>
      <c r="P238" s="6" t="str">
        <f>IFERROR(__xludf.DUMMYFUNCTION("""COMPUTED_VALUE"""),"Интернет - новостные сайты, афиши, новости на телевидении.")</f>
        <v>Интернет - новостные сайты, афиши, новости на телевидении.</v>
      </c>
      <c r="Q238" s="6" t="str">
        <f>IFERROR(__xludf.DUMMYFUNCTION("""COMPUTED_VALUE"""),"культурные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f>
        <v>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238" s="6" t="str">
        <f>IFERROR(__xludf.DUMMYFUNCTION("""COMPUTED_VALUE"""),"День шахтера и день машиностроителя. Для других не знаю. ")</f>
        <v>День шахтера и день машиностроителя. Для других не знаю. </v>
      </c>
      <c r="S238" s="6" t="str">
        <f>IFERROR(__xludf.DUMMYFUNCTION("""COMPUTED_VALUE"""),"Нет, не приходилось")</f>
        <v>Нет, не приходилось</v>
      </c>
      <c r="T238" s="6" t="str">
        <f>IFERROR(__xludf.DUMMYFUNCTION("""COMPUTED_VALUE"""),"Сейчас только ""Зимней вишней"". Раньше - центр химии, столица угольного региона. ")</f>
        <v>Сейчас только "Зимней вишней". Раньше - центр химии, столица угольного региона. </v>
      </c>
      <c r="U238" s="6" t="str">
        <f>IFERROR(__xludf.DUMMYFUNCTION("""COMPUTED_VALUE"""),"Весенняя, набережная в горсаду (парк Чудес) .")</f>
        <v>Весенняя, набережная в горсаду (парк Чудес) .</v>
      </c>
      <c r="V238" s="6" t="str">
        <f>IFERROR(__xludf.DUMMYFUNCTION("""COMPUTED_VALUE"""),"Раньше -строили, украшали, планировали и согласовывали строительство, чем создавали стройный и красивый вид. Сейчас - ничего. Даже творческие личности негативно характеризуют и чернят город.")</f>
        <v>Раньше -строили, украшали, планировали и согласовывали строительство, чем создавали стройный и красивый вид. Сейчас - ничего. Даже творческие личности негативно характеризуют и чернят город.</v>
      </c>
      <c r="W238" s="6" t="str">
        <f>IFERROR(__xludf.DUMMYFUNCTION("""COMPUTED_VALUE"""),"Как все люди. Значительных отличий нет среднего человека на земле нет. ")</f>
        <v>Как все люди. Значительных отличий нет среднего человека на земле нет. </v>
      </c>
      <c r="X238" s="6" t="str">
        <f>IFERROR(__xludf.DUMMYFUNCTION("""COMPUTED_VALUE"""),"Весенняя и Кузнецкий мост. Кстати, что значит крутой? Степень подъема горы? ")</f>
        <v>Весенняя и Кузнецкий мост. Кстати, что значит крутой? Степень подъема горы? </v>
      </c>
      <c r="Y238" s="6" t="str">
        <f>IFERROR(__xludf.DUMMYFUNCTION("""COMPUTED_VALUE"""),"Отсоединение от Новосибирской области. ")</f>
        <v>Отсоединение от Новосибирской области. </v>
      </c>
      <c r="Z238" s="6" t="str">
        <f>IFERROR(__xludf.DUMMYFUNCTION("""COMPUTED_VALUE"""),"На Радугу стали ездить регулярно и допоздна автобусы. Неплохо благоустроили бульвар Строителей. Всё. ")</f>
        <v>На Радугу стали ездить регулярно и допоздна автобусы. Неплохо благоустроили бульвар Строителей. Всё. </v>
      </c>
      <c r="AA238" s="6" t="str">
        <f>IFERROR(__xludf.DUMMYFUNCTION("""COMPUTED_VALUE"""),"Много - безмозглая, сплошная, беспричинная вырубка деревьев. Несогласованное, незаконное строительство в ""модных"" местах (например, кафе на набережной Томи около Орбиты) , точечные застройки, захват уличных территорий под ""эффективные"" застройки (напр"&amp;"имер, площадка для выгула собак на улице Дзержинского для постройки церкви). Продажа управляющих компаний москвичам")</f>
        <v>Много - безмозглая, сплошная, беспричинная вырубка деревьев. Несогласованное, незаконное строительство в "модных" местах (например, кафе на набережной Томи около Орбиты) , точечные застройки, захват уличных территорий под "эффективные" застройки (например, площадка для выгула собак на улице Дзержинского для постройки церкви). Продажа управляющих компаний москвичам</v>
      </c>
      <c r="AB238" s="6" t="str">
        <f>IFERROR(__xludf.DUMMYFUNCTION("""COMPUTED_VALUE"""),"Спортивных.")</f>
        <v>Спортивных.</v>
      </c>
      <c r="AC238" s="6" t="str">
        <f>IFERROR(__xludf.DUMMYFUNCTION("""COMPUTED_VALUE"""),"Спортивные - соревнования как на бытовом уровне,так и профессиональном. Научно-просветительских - лекций, дискуссий, экскурсий, выставок.")</f>
        <v>Спортивные - соревнования как на бытовом уровне,так и профессиональном. Научно-просветительских - лекций, дискуссий, экскурсий, выставок.</v>
      </c>
      <c r="AD238" s="6" t="str">
        <f>IFERROR(__xludf.DUMMYFUNCTION("""COMPUTED_VALUE"""),"Волонтер.")</f>
        <v>Волонтер.</v>
      </c>
      <c r="AE238" s="6" t="str">
        <f>IFERROR(__xludf.DUMMYFUNCTION("""COMPUTED_VALUE"""),"Женский")</f>
        <v>Женский</v>
      </c>
      <c r="AF238" s="6" t="str">
        <f>IFERROR(__xludf.DUMMYFUNCTION("""COMPUTED_VALUE"""),"45-55")</f>
        <v>45-55</v>
      </c>
      <c r="AG238" s="6"/>
      <c r="AH238" s="6"/>
      <c r="AI238" s="6"/>
      <c r="AJ238" s="6"/>
      <c r="AK238" s="6"/>
      <c r="AL238" s="6"/>
      <c r="AM238" s="6"/>
    </row>
    <row r="239">
      <c r="A239" s="4">
        <v>238.0</v>
      </c>
      <c r="B239" s="6" t="str">
        <f>IFERROR(__xludf.DUMMYFUNCTION("""COMPUTED_VALUE"""),"Преподаватель вуза")</f>
        <v>Преподаватель вуза</v>
      </c>
      <c r="C239" s="6" t="str">
        <f>IFERROR(__xludf.DUMMYFUNCTION("""COMPUTED_VALUE"""),"Путешествия, мозаика")</f>
        <v>Путешествия, мозаика</v>
      </c>
      <c r="D239" s="6" t="str">
        <f>IFERROR(__xludf.DUMMYFUNCTION("""COMPUTED_VALUE"""),"Центральный; центр")</f>
        <v>Центральный; центр</v>
      </c>
      <c r="E239" s="6" t="str">
        <f>IFERROR(__xludf.DUMMYFUNCTION("""COMPUTED_VALUE"""),"Набережная, Весенняя, площадь Волкова, фонтан у драмтеатрах ")</f>
        <v>Набережная, Весенняя, площадь Волкова, фонтан у драмтеатрах </v>
      </c>
      <c r="F239" s="6" t="str">
        <f>IFERROR(__xludf.DUMMYFUNCTION("""COMPUTED_VALUE"""),"Живу здесь с рождения")</f>
        <v>Живу здесь с рождения</v>
      </c>
      <c r="G239" s="6" t="str">
        <f>IFERROR(__xludf.DUMMYFUNCTION("""COMPUTED_VALUE"""),"См. Пункт 4, и в Бор, ресторан «7 пятниц»")</f>
        <v>См. Пункт 4, и в Бор, ресторан «7 пятниц»</v>
      </c>
      <c r="H239" s="6" t="str">
        <f>IFERROR(__xludf.DUMMYFUNCTION("""COMPUTED_VALUE"""),"Удобный, компактный, спокойный, сильный, Красивый. ")</f>
        <v>Удобный, компактный, спокойный, сильный, Красивый. </v>
      </c>
      <c r="I239" s="6" t="str">
        <f>IFERROR(__xludf.DUMMYFUNCTION("""COMPUTED_VALUE"""),"Леонов А.А ., Чистяков Н.Н.,  Ештокин А.Ф. , Подгорбунский М. А. ")</f>
        <v>Леонов А.А ., Чистяков Н.Н.,  Ештокин А.Ф. , Подгорбунский М. А. </v>
      </c>
      <c r="J239" s="6" t="str">
        <f>IFERROR(__xludf.DUMMYFUNCTION("""COMPUTED_VALUE"""),"Михайлов В.В. , Раздаев В.А., В. Мирошниченко, Н.В. Бублик, ")</f>
        <v>Михайлов В.В. , Раздаев В.А., В. Мирошниченко, Н.В. Бублик, </v>
      </c>
      <c r="K239" s="6" t="str">
        <f>IFERROR(__xludf.DUMMYFUNCTION("""COMPUTED_VALUE"""),"Памятник шахтерам и Красная Горка, Лесная поляна, Ботсад, набережная, Бор, площадь Пушкина, Чужой (у «Космоса»)")</f>
        <v>Памятник шахтерам и Красная Горка, Лесная поляна, Ботсад, набережная, Бор, площадь Пушкина, Чужой (у «Космоса»)</v>
      </c>
      <c r="L239" s="6" t="str">
        <f>IFERROR(__xludf.DUMMYFUNCTION("""COMPUTED_VALUE"""),"Про Бедина (начальник департамента культуры администрации области) пришёл в театр, взял программу у биллитерши, она  спросила про деньги: 
- я Бедин
- да и я небогата! ")</f>
        <v>Про Бедина (начальник департамента культуры администрации области) пришёл в театр, взял программу у биллитерши, она  спросила про деньги: 
- я Бедин
- да и я небогата! </v>
      </c>
      <c r="M239" s="6" t="str">
        <f>IFERROR(__xludf.DUMMYFUNCTION("""COMPUTED_VALUE"""),"Мультифора, чё")</f>
        <v>Мультифора, чё</v>
      </c>
      <c r="N239" s="6" t="str">
        <f>IFERROR(__xludf.DUMMYFUNCTION("""COMPUTED_VALUE"""),"Чистота, хорошая логистика, зелёный пояс, комфортные места для отдыха разных возрастных групп, грамотное вписывание новых архитектурных форм в уже существующий вид")</f>
        <v>Чистота, хорошая логистика, зелёный пояс, комфортные места для отдыха разных возрастных групп, грамотное вписывание новых архитектурных форм в уже существующий вид</v>
      </c>
      <c r="O239" s="6" t="str">
        <f>IFERROR(__xludf.DUMMYFUNCTION("""COMPUTED_VALUE"""),"Начать мыть и чистить, наладить грамотную коммуникацию с жителями и учитывать их мнение при внесении изменений как во внешний вид и стиль города, так и при строительстве новых объектов и архитектурных форм. Отрицательные примеры - «сердце» у цирка, Кафе н"&amp;"а набережной. Попытка изменить Бор. ")</f>
        <v>Начать мыть и чистить, наладить грамотную коммуникацию с жителями и учитывать их мнение при внесении изменений как во внешний вид и стиль города, так и при строительстве новых объектов и архитектурных форм. Отрицательные примеры - «сердце» у цирка, Кафе на набережной. Попытка изменить Бор. </v>
      </c>
      <c r="P239" s="6" t="str">
        <f>IFERROR(__xludf.DUMMYFUNCTION("""COMPUTED_VALUE"""),"Рекламные банеры, новости в контакте, иногда афиша vse42, kassa.ru")</f>
        <v>Рекламные банеры, новости в контакте, иногда афиша vse42, kassa.ru</v>
      </c>
      <c r="Q239" s="6" t="str">
        <f>IFERROR(__xludf.DUMMYFUNCTION("""COMPUTED_VALUE"""),"где вкусно поесть/открытие новых кафе/ресторанов, городская афиша (кино/театр/концерты), новости про новые профессии/куда поступать/вакансии, результаты местных исследований (рейтинги/аналитика/тенденции)")</f>
        <v>где вкусно поесть/открытие новых кафе/ресторанов, городская афиша (кино/театр/концерты), новости про новые профессии/куда поступать/вакансии, результаты местных исследований (рейтинги/аналитика/тенденции)</v>
      </c>
      <c r="R239" s="6" t="str">
        <f>IFERROR(__xludf.DUMMYFUNCTION("""COMPUTED_VALUE"""),"День Победы, Новый год, ")</f>
        <v>День Победы, Новый год, </v>
      </c>
      <c r="S239" s="6" t="str">
        <f>IFERROR(__xludf.DUMMYFUNCTION("""COMPUTED_VALUE"""),"Нет, не приходилось")</f>
        <v>Нет, не приходилось</v>
      </c>
      <c r="T239" s="6" t="str">
        <f>IFERROR(__xludf.DUMMYFUNCTION("""COMPUTED_VALUE"""),"Шахтёры, «Зимняя вишня», чистый город - в других городах знают это. ")</f>
        <v>Шахтёры, «Зимняя вишня», чистый город - в других городах знают это. </v>
      </c>
      <c r="U239" s="6" t="str">
        <f>IFERROR(__xludf.DUMMYFUNCTION("""COMPUTED_VALUE"""),"Памятник Шахтеру, площадь Советов, площадь драмтеатра. ")</f>
        <v>Памятник Шахтеру, площадь Советов, площадь драмтеатра. </v>
      </c>
      <c r="V239" s="6" t="str">
        <f>IFERROR(__xludf.DUMMYFUNCTION("""COMPUTED_VALUE"""),"Работали для того, что бы город развивался. ")</f>
        <v>Работали для того, что бы город развивался. </v>
      </c>
      <c r="W239" s="6" t="str">
        <f>IFERROR(__xludf.DUMMYFUNCTION("""COMPUTED_VALUE"""),"Спокойные, доброжелательные, но если довести сплоченные и готовые противостоять несправедливости. Не очень культурные. ")</f>
        <v>Спокойные, доброжелательные, но если довести сплоченные и готовые противостоять несправедливости. Не очень культурные. </v>
      </c>
      <c r="X239" s="6" t="str">
        <f>IFERROR(__xludf.DUMMYFUNCTION("""COMPUTED_VALUE"""),"Площадь Волкова - Весенняя - Советский до площади Советов - площадь Пушкина - Набережная - горсад - мост - памятник Э. Неизвестного - Красная горка. ")</f>
        <v>Площадь Волкова - Весенняя - Советский до площади Советов - площадь Пушкина - Набережная - горсад - мост - памятник Э. Неизвестного - Красная горка. </v>
      </c>
      <c r="Y239" s="6" t="str">
        <f>IFERROR(__xludf.DUMMYFUNCTION("""COMPUTED_VALUE"""),"Чемпионат мира по бэнди 2007 г. ")</f>
        <v>Чемпионат мира по бэнди 2007 г. </v>
      </c>
      <c r="Z239" s="6" t="str">
        <f>IFERROR(__xludf.DUMMYFUNCTION("""COMPUTED_VALUE"""),"Реконструкция бульвара Строителей")</f>
        <v>Реконструкция бульвара Строителей</v>
      </c>
      <c r="AA239" s="6" t="str">
        <f>IFERROR(__xludf.DUMMYFUNCTION("""COMPUTED_VALUE"""),"Попытки изменить статус Бора, вырубка деревьев в городе бессмысленная и беспощадная")</f>
        <v>Попытки изменить статус Бора, вырубка деревьев в городе бессмысленная и беспощадная</v>
      </c>
      <c r="AB239" s="6" t="str">
        <f>IFERROR(__xludf.DUMMYFUNCTION("""COMPUTED_VALUE"""),"Никаких")</f>
        <v>Никаких</v>
      </c>
      <c r="AC239" s="6" t="str">
        <f>IFERROR(__xludf.DUMMYFUNCTION("""COMPUTED_VALUE"""),"Разных")</f>
        <v>Разных</v>
      </c>
      <c r="AD239" s="6" t="str">
        <f>IFERROR(__xludf.DUMMYFUNCTION("""COMPUTED_VALUE"""),"Зависит от проектов")</f>
        <v>Зависит от проектов</v>
      </c>
      <c r="AE239" s="6" t="str">
        <f>IFERROR(__xludf.DUMMYFUNCTION("""COMPUTED_VALUE"""),"Женский")</f>
        <v>Женский</v>
      </c>
      <c r="AF239" s="6" t="str">
        <f>IFERROR(__xludf.DUMMYFUNCTION("""COMPUTED_VALUE"""),"45-55")</f>
        <v>45-55</v>
      </c>
      <c r="AG239" s="6"/>
      <c r="AH239" s="6"/>
      <c r="AI239" s="6"/>
      <c r="AJ239" s="6"/>
      <c r="AK239" s="6"/>
      <c r="AL239" s="6"/>
      <c r="AM239" s="6"/>
    </row>
    <row r="240">
      <c r="A240" s="4">
        <v>239.0</v>
      </c>
      <c r="B240" s="6" t="str">
        <f>IFERROR(__xludf.DUMMYFUNCTION("""COMPUTED_VALUE"""),"Работаю")</f>
        <v>Работаю</v>
      </c>
      <c r="C240" s="6" t="str">
        <f>IFERROR(__xludf.DUMMYFUNCTION("""COMPUTED_VALUE"""),"Паяю")</f>
        <v>Паяю</v>
      </c>
      <c r="D240" s="6" t="str">
        <f>IFERROR(__xludf.DUMMYFUNCTION("""COMPUTED_VALUE"""),"Кировский")</f>
        <v>Кировский</v>
      </c>
      <c r="E240" s="6" t="str">
        <f>IFERROR(__xludf.DUMMYFUNCTION("""COMPUTED_VALUE"""),"Набережная, Березовая роща, Пиранья &lt;:)&gt;")</f>
        <v>Набережная, Березовая роща, Пиранья &lt;:)&gt;</v>
      </c>
      <c r="F240" s="6" t="str">
        <f>IFERROR(__xludf.DUMMYFUNCTION("""COMPUTED_VALUE"""),"Родился, жил далеко, опять живу в Кемерове")</f>
        <v>Родился, жил далеко, опять живу в Кемерове</v>
      </c>
      <c r="G240" s="6" t="str">
        <f>IFERROR(__xludf.DUMMYFUNCTION("""COMPUTED_VALUE"""),"По всему городу, но, в основном Ленина-центр")</f>
        <v>По всему городу, но, в основном Ленина-центр</v>
      </c>
      <c r="H240" s="6" t="str">
        <f>IFERROR(__xludf.DUMMYFUNCTION("""COMPUTED_VALUE"""),"Томь, горсад, мосты, пробка, шахтеры, уютно")</f>
        <v>Томь, горсад, мосты, пробка, шахтеры, уютно</v>
      </c>
      <c r="I240" s="6" t="str">
        <f>IFERROR(__xludf.DUMMYFUNCTION("""COMPUTED_VALUE"""),"Алексей Леонов")</f>
        <v>Алексей Леонов</v>
      </c>
      <c r="J240" s="6" t="str">
        <f>IFERROR(__xludf.DUMMYFUNCTION("""COMPUTED_VALUE"""),"Гришковец")</f>
        <v>Гришковец</v>
      </c>
      <c r="K240" s="6" t="str">
        <f>IFERROR(__xludf.DUMMYFUNCTION("""COMPUTED_VALUE"""),"Водозабор кемеровской ТЭЦ")</f>
        <v>Водозабор кемеровской ТЭЦ</v>
      </c>
      <c r="L240" s="6" t="str">
        <f>IFERROR(__xludf.DUMMYFUNCTION("""COMPUTED_VALUE"""),"Если выпускница политеха выйдет с дипломом в руках девственницей, Михайло Волков выронит камень")</f>
        <v>Если выпускница политеха выйдет с дипломом в руках девственницей, Михайло Волков выронит камень</v>
      </c>
      <c r="M240" s="6" t="str">
        <f>IFERROR(__xludf.DUMMYFUNCTION("""COMPUTED_VALUE"""),"Я живу в Кемеров""о""")</f>
        <v>Я живу в Кемеров"о"</v>
      </c>
      <c r="N240" s="6" t="str">
        <f>IFERROR(__xludf.DUMMYFUNCTION("""COMPUTED_VALUE"""),"Транспорт, деревья, количество центров ""тусовок"", освещение, достопримечательности")</f>
        <v>Транспорт, деревья, количество центров "тусовок", освещение, достопримечательности</v>
      </c>
      <c r="O240" s="6" t="str">
        <f>IFERROR(__xludf.DUMMYFUNCTION("""COMPUTED_VALUE"""),"Добавить красок")</f>
        <v>Добавить красок</v>
      </c>
      <c r="P240" s="6" t="str">
        <f>IFERROR(__xludf.DUMMYFUNCTION("""COMPUTED_VALUE"""),"слухи")</f>
        <v>слухи</v>
      </c>
      <c r="Q240"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Др"&amp;"угое свои предложения)")</f>
        <v>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240" s="6" t="str">
        <f>IFERROR(__xludf.DUMMYFUNCTION("""COMPUTED_VALUE"""),"День города, День Победы, Новый Год")</f>
        <v>День города, День Победы, Новый Год</v>
      </c>
      <c r="S240" s="6" t="str">
        <f>IFERROR(__xludf.DUMMYFUNCTION("""COMPUTED_VALUE"""),"Через социальные сети (Какие? Укажите в графе другое), Делал рассылку по электронной почте, Обращался в редакции городских газет, телевидения, радио")</f>
        <v>Через социальные сети (Какие? Укажите в графе другое), Делал рассылку по электронной почте, Обращался в редакции городских газет, телевидения, радио</v>
      </c>
      <c r="T240" s="6" t="str">
        <f>IFERROR(__xludf.DUMMYFUNCTION("""COMPUTED_VALUE"""),"Затрудняюсь")</f>
        <v>Затрудняюсь</v>
      </c>
      <c r="U240" s="6" t="str">
        <f>IFERROR(__xludf.DUMMYFUNCTION("""COMPUTED_VALUE"""),"Ул. Весенняя, Красная Горка")</f>
        <v>Ул. Весенняя, Красная Горка</v>
      </c>
      <c r="V240" s="6" t="str">
        <f>IFERROR(__xludf.DUMMYFUNCTION("""COMPUTED_VALUE"""),"Затрудняюсь")</f>
        <v>Затрудняюсь</v>
      </c>
      <c r="W240" s="6" t="str">
        <f>IFERROR(__xludf.DUMMYFUNCTION("""COMPUTED_VALUE"""),"Замкнутые")</f>
        <v>Замкнутые</v>
      </c>
      <c r="X240" s="6" t="str">
        <f>IFERROR(__xludf.DUMMYFUNCTION("""COMPUTED_VALUE"""),"Улица Рабочая")</f>
        <v>Улица Рабочая</v>
      </c>
      <c r="Y240" s="6" t="str">
        <f>IFERROR(__xludf.DUMMYFUNCTION("""COMPUTED_VALUE"""),"Индустриализация ""Нахаловки""")</f>
        <v>Индустриализация "Нахаловки"</v>
      </c>
      <c r="Z240" s="6" t="str">
        <f>IFERROR(__xludf.DUMMYFUNCTION("""COMPUTED_VALUE"""),"Участие в проекте культурного кластера")</f>
        <v>Участие в проекте культурного кластера</v>
      </c>
      <c r="AA240" s="6" t="str">
        <f>IFERROR(__xludf.DUMMYFUNCTION("""COMPUTED_VALUE"""),"Сокращение общественного транспорта")</f>
        <v>Сокращение общественного транспорта</v>
      </c>
      <c r="AB240" s="6" t="str">
        <f>IFERROR(__xludf.DUMMYFUNCTION("""COMPUTED_VALUE"""),"Сообщества паяльщиков")</f>
        <v>Сообщества паяльщиков</v>
      </c>
      <c r="AC240" s="6" t="str">
        <f>IFERROR(__xludf.DUMMYFUNCTION("""COMPUTED_VALUE"""),"Международный комиккон")</f>
        <v>Международный комиккон</v>
      </c>
      <c r="AD240" s="6" t="str">
        <f>IFERROR(__xludf.DUMMYFUNCTION("""COMPUTED_VALUE"""),"Проектировщик общественных мест")</f>
        <v>Проектировщик общественных мест</v>
      </c>
      <c r="AE240" s="6" t="str">
        <f>IFERROR(__xludf.DUMMYFUNCTION("""COMPUTED_VALUE"""),"Мужской")</f>
        <v>Мужской</v>
      </c>
      <c r="AF240" s="6" t="str">
        <f>IFERROR(__xludf.DUMMYFUNCTION("""COMPUTED_VALUE"""),"30-44")</f>
        <v>30-44</v>
      </c>
      <c r="AG240" s="6"/>
      <c r="AH240" s="6"/>
      <c r="AI240" s="6"/>
      <c r="AJ240" s="6"/>
      <c r="AK240" s="6"/>
      <c r="AL240" s="6"/>
      <c r="AM240" s="6"/>
    </row>
    <row r="241">
      <c r="A241" s="4">
        <v>240.0</v>
      </c>
      <c r="B241" s="6" t="str">
        <f>IFERROR(__xludf.DUMMYFUNCTION("""COMPUTED_VALUE"""),"Коммерческая Недвижимость ")</f>
        <v>Коммерческая Недвижимость </v>
      </c>
      <c r="C241" s="6" t="str">
        <f>IFERROR(__xludf.DUMMYFUNCTION("""COMPUTED_VALUE"""),"Бокс, плаванье")</f>
        <v>Бокс, плаванье</v>
      </c>
      <c r="D241" s="6" t="str">
        <f>IFERROR(__xludf.DUMMYFUNCTION("""COMPUTED_VALUE"""),"Центральный")</f>
        <v>Центральный</v>
      </c>
      <c r="E241" s="6" t="str">
        <f>IFERROR(__xludf.DUMMYFUNCTION("""COMPUTED_VALUE"""),"Парки, филармония, площадь советов")</f>
        <v>Парки, филармония, площадь советов</v>
      </c>
      <c r="F241" s="6" t="str">
        <f>IFERROR(__xludf.DUMMYFUNCTION("""COMPUTED_VALUE"""),"Переехал сюда из другого места (откуда? укажите в графе другое), Зеленогорский")</f>
        <v>Переехал сюда из другого места (откуда? укажите в графе другое), Зеленогорский</v>
      </c>
      <c r="G241" s="6" t="str">
        <f>IFERROR(__xludf.DUMMYFUNCTION("""COMPUTED_VALUE"""),"Парки, кинотеатры, бассейны, спортивные залы")</f>
        <v>Парки, кинотеатры, бассейны, спортивные залы</v>
      </c>
      <c r="H241" s="6" t="str">
        <f>IFERROR(__xludf.DUMMYFUNCTION("""COMPUTED_VALUE"""),"Компактный, уютный, дружелюбный, красивый, родной")</f>
        <v>Компактный, уютный, дружелюбный, красивый, родной</v>
      </c>
      <c r="I241" s="6" t="str">
        <f>IFERROR(__xludf.DUMMYFUNCTION("""COMPUTED_VALUE"""),"Волков")</f>
        <v>Волков</v>
      </c>
      <c r="J241" s="6" t="str">
        <f>IFERROR(__xludf.DUMMYFUNCTION("""COMPUTED_VALUE"""),"Цивилев, Середюк, Бочкарев, Жилинков, Лукин")</f>
        <v>Цивилев, Середюк, Бочкарев, Жилинков, Лукин</v>
      </c>
      <c r="K241" s="6" t="str">
        <f>IFERROR(__xludf.DUMMYFUNCTION("""COMPUTED_VALUE"""),"Бар Бельгия, Красная горка, площадь советов, филармония, Весенняя ")</f>
        <v>Бар Бельгия, Красная горка, площадь советов, филармония, Весенняя </v>
      </c>
      <c r="L241" s="6" t="str">
        <f>IFERROR(__xludf.DUMMYFUNCTION("""COMPUTED_VALUE"""),"Не знаю таких")</f>
        <v>Не знаю таких</v>
      </c>
      <c r="M241" s="6" t="str">
        <f>IFERROR(__xludf.DUMMYFUNCTION("""COMPUTED_VALUE"""),"Нет")</f>
        <v>Нет</v>
      </c>
      <c r="N241" s="6" t="str">
        <f>IFERROR(__xludf.DUMMYFUNCTION("""COMPUTED_VALUE"""),"Чистота, компактность, дружелюбие, красота, современность ")</f>
        <v>Чистота, компактность, дружелюбие, красота, современность </v>
      </c>
      <c r="O241" s="6" t="str">
        <f>IFERROR(__xludf.DUMMYFUNCTION("""COMPUTED_VALUE"""),"Центр ")</f>
        <v>Центр </v>
      </c>
      <c r="P241" s="6" t="str">
        <f>IFERROR(__xludf.DUMMYFUNCTION("""COMPUTED_VALUE"""),"Инстаграм")</f>
        <v>Инстаграм</v>
      </c>
      <c r="Q241" s="6" t="str">
        <f>IFERROR(__xludf.DUMMYFUNCTION("""COMPUTED_VALUE"""),"куда пойти в свободное время, городская афиша (кино/театр/концерты), интервью с местными предпринимателями")</f>
        <v>куда пойти в свободное время, городская афиша (кино/театр/концерты), интервью с местными предпринимателями</v>
      </c>
      <c r="R241" s="6" t="str">
        <f>IFERROR(__xludf.DUMMYFUNCTION("""COMPUTED_VALUE"""),"9 мая, день города")</f>
        <v>9 мая, день города</v>
      </c>
      <c r="S241" s="6" t="str">
        <f>IFERROR(__xludf.DUMMYFUNCTION("""COMPUTED_VALUE"""),"Нет, не приходилось")</f>
        <v>Нет, не приходилось</v>
      </c>
      <c r="T241" s="6" t="str">
        <f>IFERROR(__xludf.DUMMYFUNCTION("""COMPUTED_VALUE"""),"Песней Бориса Гребенщикова Человек из Кемерова")</f>
        <v>Песней Бориса Гребенщикова Человек из Кемерова</v>
      </c>
      <c r="U241" s="6" t="str">
        <f>IFERROR(__xludf.DUMMYFUNCTION("""COMPUTED_VALUE"""),"Площадь советов и Весенняя ")</f>
        <v>Площадь советов и Весенняя </v>
      </c>
      <c r="V241" s="6" t="str">
        <f>IFERROR(__xludf.DUMMYFUNCTION("""COMPUTED_VALUE"""),"Держали своё слово ")</f>
        <v>Держали своё слово </v>
      </c>
      <c r="W241" s="6" t="str">
        <f>IFERROR(__xludf.DUMMYFUNCTION("""COMPUTED_VALUE"""),"Добрый и отзывчивые люди")</f>
        <v>Добрый и отзывчивые люди</v>
      </c>
      <c r="X241" s="6" t="str">
        <f>IFERROR(__xludf.DUMMYFUNCTION("""COMPUTED_VALUE"""),"Центр города")</f>
        <v>Центр города</v>
      </c>
      <c r="Y241" s="6" t="str">
        <f>IFERROR(__xludf.DUMMYFUNCTION("""COMPUTED_VALUE"""),"Рок концерт")</f>
        <v>Рок концерт</v>
      </c>
      <c r="Z241" s="6" t="str">
        <f>IFERROR(__xludf.DUMMYFUNCTION("""COMPUTED_VALUE"""),"Большие стройки")</f>
        <v>Большие стройки</v>
      </c>
      <c r="AA241" s="6" t="str">
        <f>IFERROR(__xludf.DUMMYFUNCTION("""COMPUTED_VALUE"""),"Дороги")</f>
        <v>Дороги</v>
      </c>
      <c r="AB241" s="6" t="str">
        <f>IFERROR(__xludf.DUMMYFUNCTION("""COMPUTED_VALUE"""),"Деловых")</f>
        <v>Деловых</v>
      </c>
      <c r="AC241" s="6" t="str">
        <f>IFERROR(__xludf.DUMMYFUNCTION("""COMPUTED_VALUE"""),"Развлекательных ")</f>
        <v>Развлекательных </v>
      </c>
      <c r="AD241" s="6" t="str">
        <f>IFERROR(__xludf.DUMMYFUNCTION("""COMPUTED_VALUE"""),"Пассивное участие ")</f>
        <v>Пассивное участие </v>
      </c>
      <c r="AE241" s="6" t="str">
        <f>IFERROR(__xludf.DUMMYFUNCTION("""COMPUTED_VALUE"""),"Мужской")</f>
        <v>Мужской</v>
      </c>
      <c r="AF241" s="6" t="str">
        <f>IFERROR(__xludf.DUMMYFUNCTION("""COMPUTED_VALUE"""),"30-44")</f>
        <v>30-44</v>
      </c>
      <c r="AG241" s="6"/>
      <c r="AH241" s="6"/>
      <c r="AI241" s="6"/>
      <c r="AJ241" s="6"/>
      <c r="AK241" s="6"/>
      <c r="AL241" s="6"/>
      <c r="AM241" s="6"/>
    </row>
    <row r="242">
      <c r="A242" s="4">
        <v>241.0</v>
      </c>
      <c r="B242" s="6" t="str">
        <f>IFERROR(__xludf.DUMMYFUNCTION("""COMPUTED_VALUE"""),"Преподаватель")</f>
        <v>Преподаватель</v>
      </c>
      <c r="C242" s="6" t="str">
        <f>IFERROR(__xludf.DUMMYFUNCTION("""COMPUTED_VALUE"""),"Да, горные лыжи, шитье")</f>
        <v>Да, горные лыжи, шитье</v>
      </c>
      <c r="D242" s="6" t="str">
        <f>IFERROR(__xludf.DUMMYFUNCTION("""COMPUTED_VALUE"""),"Заводском. Южный")</f>
        <v>Заводском. Южный</v>
      </c>
      <c r="E242" s="6" t="str">
        <f>IFERROR(__xludf.DUMMYFUNCTION("""COMPUTED_VALUE"""),"Церковь Утоли мои печали, школьный стадион СОШ №14")</f>
        <v>Церковь Утоли мои печали, школьный стадион СОШ №14</v>
      </c>
      <c r="F242" s="6" t="str">
        <f>IFERROR(__xludf.DUMMYFUNCTION("""COMPUTED_VALUE"""),"Переехал сюда из другого места (откуда? укажите в графе другое), на учебу из г. Новокузнецк")</f>
        <v>Переехал сюда из другого места (откуда? укажите в графе другое), на учебу из г. Новокузнецк</v>
      </c>
      <c r="G242" s="6" t="str">
        <f>IFERROR(__xludf.DUMMYFUNCTION("""COMPUTED_VALUE"""),"Парк Победы, горсад, улица Весенняя")</f>
        <v>Парк Победы, горсад, улица Весенняя</v>
      </c>
      <c r="H242" s="6" t="str">
        <f>IFERROR(__xludf.DUMMYFUNCTION("""COMPUTED_VALUE"""),"чистый, современный, безопасный, культурный, спортивный")</f>
        <v>чистый, современный, безопасный, культурный, спортивный</v>
      </c>
      <c r="I242" s="6" t="str">
        <f>IFERROR(__xludf.DUMMYFUNCTION("""COMPUTED_VALUE"""),"Тулеев, Леонов, Машков")</f>
        <v>Тулеев, Леонов, Машков</v>
      </c>
      <c r="J242" s="6" t="str">
        <f>IFERROR(__xludf.DUMMYFUNCTION("""COMPUTED_VALUE"""),"Тулеев, Михайлов")</f>
        <v>Тулеев, Михайлов</v>
      </c>
      <c r="K242" s="6" t="str">
        <f>IFERROR(__xludf.DUMMYFUNCTION("""COMPUTED_VALUE"""),"улицу Весеннюю, набережную, музей Томская Писаница, музей Красная горка, Лесная Поляна")</f>
        <v>улицу Весеннюю, набережную, музей Томская Писаница, музей Красная горка, Лесная Поляна</v>
      </c>
      <c r="L242" s="6" t="str">
        <f>IFERROR(__xludf.DUMMYFUNCTION("""COMPUTED_VALUE"""),"он придет и молча поправит все человек из Кемерова ")</f>
        <v>он придет и молча поправит все человек из Кемерова </v>
      </c>
      <c r="M242" s="6" t="str">
        <f>IFERROR(__xludf.DUMMYFUNCTION("""COMPUTED_VALUE"""),"Южный - никому не нужный")</f>
        <v>Южный - никому не нужный</v>
      </c>
      <c r="N242" s="6" t="str">
        <f>IFERROR(__xludf.DUMMYFUNCTION("""COMPUTED_VALUE"""),"Озеленение, безопасность, чистота, современность, отдых")</f>
        <v>Озеленение, безопасность, чистота, современность, отдых</v>
      </c>
      <c r="O242" s="6" t="str">
        <f>IFERROR(__xludf.DUMMYFUNCTION("""COMPUTED_VALUE"""),"Фасады страшных серых домов перекрасить,  старых страшных школ и учебных заведений.")</f>
        <v>Фасады страшных серых домов перекрасить,  старых страшных школ и учебных заведений.</v>
      </c>
      <c r="P242" s="6" t="str">
        <f>IFERROR(__xludf.DUMMYFUNCTION("""COMPUTED_VALUE"""),"Реклама на ТВ, инстаграмм, афиши")</f>
        <v>Реклама на ТВ, инстаграмм, афиши</v>
      </c>
      <c r="Q24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чек/реклам"&amp;"ные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v>
      </c>
      <c r="R242" s="6" t="str">
        <f>IFERROR(__xludf.DUMMYFUNCTION("""COMPUTED_VALUE"""),"День города, новый год, день шахтера, масленница, день театра, день науки")</f>
        <v>День города, новый год, день шахтера, масленница, день театра, день науки</v>
      </c>
      <c r="S242" s="6" t="str">
        <f>IFERROR(__xludf.DUMMYFUNCTION("""COMPUTED_VALUE"""),"Через социальные сети (Какие? Укажите в графе другое), Делал рассылку по электронной почте, инстаграмм")</f>
        <v>Через социальные сети (Какие? Укажите в графе другое), Делал рассылку по электронной почте, инстаграмм</v>
      </c>
      <c r="T242" s="6" t="str">
        <f>IFERROR(__xludf.DUMMYFUNCTION("""COMPUTED_VALUE"""),"Щедрыми, добрыми людьми, готовыми прийти на помощь. ")</f>
        <v>Щедрыми, добрыми людьми, готовыми прийти на помощь. </v>
      </c>
      <c r="U242" s="6" t="str">
        <f>IFERROR(__xludf.DUMMYFUNCTION("""COMPUTED_VALUE"""),"Улица Весенняя и набережная, вечный огонь")</f>
        <v>Улица Весенняя и набережная, вечный огонь</v>
      </c>
      <c r="V242" s="6" t="str">
        <f>IFERROR(__xludf.DUMMYFUNCTION("""COMPUTED_VALUE"""),"Много трудились")</f>
        <v>Много трудились</v>
      </c>
      <c r="W242" s="6" t="str">
        <f>IFERROR(__xludf.DUMMYFUNCTION("""COMPUTED_VALUE"""),"Щедрые, добрые, готовые прийти на помощь, трудолюбивые")</f>
        <v>Щедрые, добрые, готовые прийти на помощь, трудолюбивые</v>
      </c>
      <c r="X242" s="6" t="str">
        <f>IFERROR(__xludf.DUMMYFUNCTION("""COMPUTED_VALUE"""),"От площади Советов по пр.Советскому по ул. Весенней до набережной")</f>
        <v>От площади Советов по пр.Советскому по ул. Весенней до набережной</v>
      </c>
      <c r="Y242" s="6" t="str">
        <f>IFERROR(__xludf.DUMMYFUNCTION("""COMPUTED_VALUE"""),"Чемпионаты мира по волейболу, хоккею. Концерт Within Temptation")</f>
        <v>Чемпионаты мира по волейболу, хоккею. Концерт Within Temptation</v>
      </c>
      <c r="Z242" s="6" t="str">
        <f>IFERROR(__xludf.DUMMYFUNCTION("""COMPUTED_VALUE"""),"Фестиваль ""Герои мирового рока"" с Within Temptation, Accept")</f>
        <v>Фестиваль "Герои мирового рока" с Within Temptation, Accept</v>
      </c>
      <c r="AA242" s="6" t="str">
        <f>IFERROR(__xludf.DUMMYFUNCTION("""COMPUTED_VALUE"""),"Закрытие бассейна Лазурный")</f>
        <v>Закрытие бассейна Лазурный</v>
      </c>
      <c r="AB242" s="6" t="str">
        <f>IFERROR(__xludf.DUMMYFUNCTION("""COMPUTED_VALUE"""),"Крупных портивных семейных центров")</f>
        <v>Крупных портивных семейных центров</v>
      </c>
      <c r="AC242" s="6" t="str">
        <f>IFERROR(__xludf.DUMMYFUNCTION("""COMPUTED_VALUE"""),"Концерты легендарных групп, творческие встречи со знаменитыми людьми, творческие фестивали, выставки и ярмарки. Концерты на открытых площадках")</f>
        <v>Концерты легендарных групп, творческие встречи со знаменитыми людьми, творческие фестивали, выставки и ярмарки. Концерты на открытых площадках</v>
      </c>
      <c r="AD242" s="6" t="str">
        <f>IFERROR(__xludf.DUMMYFUNCTION("""COMPUTED_VALUE"""),"поддержать голосованием")</f>
        <v>поддержать голосованием</v>
      </c>
      <c r="AE242" s="6" t="str">
        <f>IFERROR(__xludf.DUMMYFUNCTION("""COMPUTED_VALUE"""),"Женский")</f>
        <v>Женский</v>
      </c>
      <c r="AF242" s="6" t="str">
        <f>IFERROR(__xludf.DUMMYFUNCTION("""COMPUTED_VALUE"""),"45-55")</f>
        <v>45-55</v>
      </c>
      <c r="AG242" s="6"/>
      <c r="AH242" s="6"/>
      <c r="AI242" s="6"/>
      <c r="AJ242" s="6"/>
      <c r="AK242" s="6"/>
      <c r="AL242" s="6"/>
      <c r="AM242" s="6"/>
    </row>
    <row r="243">
      <c r="A243" s="4">
        <v>242.0</v>
      </c>
      <c r="B243" s="6" t="str">
        <f>IFERROR(__xludf.DUMMYFUNCTION("""COMPUTED_VALUE"""),"учусь на зоотехника")</f>
        <v>учусь на зоотехника</v>
      </c>
      <c r="C243" s="6" t="str">
        <f>IFERROR(__xludf.DUMMYFUNCTION("""COMPUTED_VALUE"""),"ухаживать за животными, любить их.")</f>
        <v>ухаживать за животными, любить их.</v>
      </c>
      <c r="D243" s="6" t="str">
        <f>IFERROR(__xludf.DUMMYFUNCTION("""COMPUTED_VALUE"""),"живу в Рудничном р-не, называю промышленка")</f>
        <v>живу в Рудничном р-не, называю промышленка</v>
      </c>
      <c r="E243" s="6" t="str">
        <f>IFERROR(__xludf.DUMMYFUNCTION("""COMPUTED_VALUE"""),"Кедровский разрез, Красная горка. ")</f>
        <v>Кедровский разрез, Красная горка. </v>
      </c>
      <c r="F243" s="6" t="str">
        <f>IFERROR(__xludf.DUMMYFUNCTION("""COMPUTED_VALUE"""),"Живу здесь с рождения")</f>
        <v>Живу здесь с рождения</v>
      </c>
      <c r="G243" s="6" t="str">
        <f>IFERROR(__xludf.DUMMYFUNCTION("""COMPUTED_VALUE"""),"тц Лапландия, тц радуга")</f>
        <v>тц Лапландия, тц радуга</v>
      </c>
      <c r="H243" s="6" t="str">
        <f>IFERROR(__xludf.DUMMYFUNCTION("""COMPUTED_VALUE""")," Томь, Кузбасс, Зимняя вишня.  ")</f>
        <v> Томь, Кузбасс, Зимняя вишня.  </v>
      </c>
      <c r="I243" s="6" t="str">
        <f>IFERROR(__xludf.DUMMYFUNCTION("""COMPUTED_VALUE"""),"Леонов А.А., Подгорбунский М.А.")</f>
        <v>Леонов А.А., Подгорбунский М.А.</v>
      </c>
      <c r="J243" s="6" t="str">
        <f>IFERROR(__xludf.DUMMYFUNCTION("""COMPUTED_VALUE"""),"Тулеев А.Г., Михайлов В.В.")</f>
        <v>Тулеев А.Г., Михайлов В.В.</v>
      </c>
      <c r="K243" s="6" t="str">
        <f>IFERROR(__xludf.DUMMYFUNCTION("""COMPUTED_VALUE"""),"лагерь Космос, красная горка, томь, томская писаница.")</f>
        <v>лагерь Космос, красная горка, томь, томская писаница.</v>
      </c>
      <c r="L243" s="6" t="str">
        <f>IFERROR(__xludf.DUMMYFUNCTION("""COMPUTED_VALUE"""),"где родился-там и пригодился.")</f>
        <v>где родился-там и пригодился.</v>
      </c>
      <c r="M243" s="6" t="str">
        <f>IFERROR(__xludf.DUMMYFUNCTION("""COMPUTED_VALUE"""),"нет")</f>
        <v>нет</v>
      </c>
      <c r="N243" s="6" t="str">
        <f>IFERROR(__xludf.DUMMYFUNCTION("""COMPUTED_VALUE"""),"чистота, хорошие дороги, объездная дорога ")</f>
        <v>чистота, хорошие дороги, объездная дорога </v>
      </c>
      <c r="O243" s="6" t="str">
        <f>IFERROR(__xludf.DUMMYFUNCTION("""COMPUTED_VALUE"""),"-")</f>
        <v>-</v>
      </c>
      <c r="P243" s="6" t="str">
        <f>IFERROR(__xludf.DUMMYFUNCTION("""COMPUTED_VALUE"""),"ВКонтакте, Инстанграм ")</f>
        <v>ВКонтакте, Инстанграм </v>
      </c>
      <c r="Q243" s="6" t="str">
        <f>IFERROR(__xludf.DUMMYFUNCTION("""COMPUTED_VALUE"""),"куда пойти в свободное время, городская афиша (кино/театр/концерты), Конный спорт,ветеринария,зоотехния,животноводство")</f>
        <v>куда пойти в свободное время, городская афиша (кино/театр/концерты), Конный спорт,ветеринария,зоотехния,животноводство</v>
      </c>
      <c r="R243" s="6" t="str">
        <f>IFERROR(__xludf.DUMMYFUNCTION("""COMPUTED_VALUE"""),"9 мая, пасха, 1мая, 1 сентября, новый год, открытие горсада.")</f>
        <v>9 мая, пасха, 1мая, 1 сентября, новый год, открытие горсада.</v>
      </c>
      <c r="S243" s="6" t="str">
        <f>IFERROR(__xludf.DUMMYFUNCTION("""COMPUTED_VALUE"""),"Нет, не приходилось")</f>
        <v>Нет, не приходилось</v>
      </c>
      <c r="T243" s="6" t="str">
        <f>IFERROR(__xludf.DUMMYFUNCTION("""COMPUTED_VALUE"""),"рекою Томь, ")</f>
        <v>рекою Томь, </v>
      </c>
      <c r="U243" s="6" t="str">
        <f>IFERROR(__xludf.DUMMYFUNCTION("""COMPUTED_VALUE"""),"тц Я")</f>
        <v>тц Я</v>
      </c>
      <c r="V243" s="6" t="str">
        <f>IFERROR(__xludf.DUMMYFUNCTION("""COMPUTED_VALUE"""),"не знаю")</f>
        <v>не знаю</v>
      </c>
      <c r="W243" s="6" t="str">
        <f>IFERROR(__xludf.DUMMYFUNCTION("""COMPUTED_VALUE"""),"-")</f>
        <v>-</v>
      </c>
      <c r="X243" s="6" t="str">
        <f>IFERROR(__xludf.DUMMYFUNCTION("""COMPUTED_VALUE"""),"набережная Томи.")</f>
        <v>набережная Томи.</v>
      </c>
      <c r="Y243" s="6" t="str">
        <f>IFERROR(__xludf.DUMMYFUNCTION("""COMPUTED_VALUE"""),"пожар в зимней вишни")</f>
        <v>пожар в зимней вишни</v>
      </c>
      <c r="Z243" s="6" t="str">
        <f>IFERROR(__xludf.DUMMYFUNCTION("""COMPUTED_VALUE"""),"застройка набережной реки томь")</f>
        <v>застройка набережной реки томь</v>
      </c>
      <c r="AA243" s="6" t="str">
        <f>IFERROR(__xludf.DUMMYFUNCTION("""COMPUTED_VALUE"""),"уборка снега в городе зимой 2020-2021 года")</f>
        <v>уборка снега в городе зимой 2020-2021 года</v>
      </c>
      <c r="AB243" s="6" t="str">
        <f>IFERROR(__xludf.DUMMYFUNCTION("""COMPUTED_VALUE"""),"-")</f>
        <v>-</v>
      </c>
      <c r="AC243" s="6" t="str">
        <f>IFERROR(__xludf.DUMMYFUNCTION("""COMPUTED_VALUE"""),"-")</f>
        <v>-</v>
      </c>
      <c r="AD243" s="6" t="str">
        <f>IFERROR(__xludf.DUMMYFUNCTION("""COMPUTED_VALUE"""),"-")</f>
        <v>-</v>
      </c>
      <c r="AE243" s="6" t="str">
        <f>IFERROR(__xludf.DUMMYFUNCTION("""COMPUTED_VALUE"""),"Женский")</f>
        <v>Женский</v>
      </c>
      <c r="AF243" s="6" t="str">
        <f>IFERROR(__xludf.DUMMYFUNCTION("""COMPUTED_VALUE"""),"18-29")</f>
        <v>18-29</v>
      </c>
      <c r="AG243" s="6"/>
      <c r="AH243" s="6"/>
      <c r="AI243" s="6"/>
      <c r="AJ243" s="6"/>
      <c r="AK243" s="6"/>
      <c r="AL243" s="6"/>
      <c r="AM243" s="6"/>
    </row>
    <row r="244">
      <c r="A244" s="4">
        <v>243.0</v>
      </c>
      <c r="B244" s="6" t="str">
        <f>IFERROR(__xludf.DUMMYFUNCTION("""COMPUTED_VALUE"""),"Служащий")</f>
        <v>Служащий</v>
      </c>
      <c r="C244" s="6" t="str">
        <f>IFERROR(__xludf.DUMMYFUNCTION("""COMPUTED_VALUE"""),"Спорт")</f>
        <v>Спорт</v>
      </c>
      <c r="D244" s="6" t="str">
        <f>IFERROR(__xludf.DUMMYFUNCTION("""COMPUTED_VALUE"""),"Ленинский")</f>
        <v>Ленинский</v>
      </c>
      <c r="E244" s="6" t="str">
        <f>IFERROR(__xludf.DUMMYFUNCTION("""COMPUTED_VALUE"""),"Бульвар Строителей")</f>
        <v>Бульвар Строителей</v>
      </c>
      <c r="F244" s="6" t="str">
        <f>IFERROR(__xludf.DUMMYFUNCTION("""COMPUTED_VALUE"""),"Живу здесь с рождения, Родился здесь,но сейчас живу в другом городе")</f>
        <v>Живу здесь с рождения, Родился здесь,но сейчас живу в другом городе</v>
      </c>
      <c r="G244" s="6" t="str">
        <f>IFERROR(__xludf.DUMMYFUNCTION("""COMPUTED_VALUE"""),"Набережная, сосновый бор, бульвар строителей, филармония, оперета")</f>
        <v>Набережная, сосновый бор, бульвар строителей, филармония, оперета</v>
      </c>
      <c r="H244" s="6" t="str">
        <f>IFERROR(__xludf.DUMMYFUNCTION("""COMPUTED_VALUE"""),"Бульвар, набережная, красная горка, сосновый бор, писаница")</f>
        <v>Бульвар, набережная, красная горка, сосновый бор, писаница</v>
      </c>
      <c r="I244" s="6" t="str">
        <f>IFERROR(__xludf.DUMMYFUNCTION("""COMPUTED_VALUE"""),"Волков. ")</f>
        <v>Волков. </v>
      </c>
      <c r="J244" s="6" t="str">
        <f>IFERROR(__xludf.DUMMYFUNCTION("""COMPUTED_VALUE"""),"Инженеры и шахтеры")</f>
        <v>Инженеры и шахтеры</v>
      </c>
      <c r="K244" s="6" t="str">
        <f>IFERROR(__xludf.DUMMYFUNCTION("""COMPUTED_VALUE"""),"Томская писаница, кедровый бор, набережная и ул.Весенняя")</f>
        <v>Томская писаница, кедровый бор, набережная и ул.Весенняя</v>
      </c>
      <c r="L244" s="6" t="str">
        <f>IFERROR(__xludf.DUMMYFUNCTION("""COMPUTED_VALUE"""),"ЖД тупик")</f>
        <v>ЖД тупик</v>
      </c>
      <c r="M244" s="6" t="str">
        <f>IFERROR(__xludf.DUMMYFUNCTION("""COMPUTED_VALUE"""),"Не знаю")</f>
        <v>Не знаю</v>
      </c>
      <c r="N244" s="6" t="str">
        <f>IFERROR(__xludf.DUMMYFUNCTION("""COMPUTED_VALUE"""),"Парки, чистота, безопасность, работа, досуг")</f>
        <v>Парки, чистота, безопасность, работа, досуг</v>
      </c>
      <c r="O244" s="6" t="str">
        <f>IFERROR(__xludf.DUMMYFUNCTION("""COMPUTED_VALUE"""),"Дороги")</f>
        <v>Дороги</v>
      </c>
      <c r="P244" s="6" t="str">
        <f>IFERROR(__xludf.DUMMYFUNCTION("""COMPUTED_VALUE"""),"Мой город")</f>
        <v>Мой город</v>
      </c>
      <c r="Q244" s="6" t="str">
        <f>IFERROR(__xludf.DUMMYFUNCTION("""COMPUTED_VALUE"""),"городская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v>
      </c>
      <c r="R244" s="6" t="str">
        <f>IFERROR(__xludf.DUMMYFUNCTION("""COMPUTED_VALUE"""),"День шахтера")</f>
        <v>День шахтера</v>
      </c>
      <c r="S244" s="6" t="str">
        <f>IFERROR(__xludf.DUMMYFUNCTION("""COMPUTED_VALUE"""),"Нет, не приходилось")</f>
        <v>Нет, не приходилось</v>
      </c>
      <c r="T244" s="6" t="str">
        <f>IFERROR(__xludf.DUMMYFUNCTION("""COMPUTED_VALUE"""),"Промышленность . Размеренность жизни")</f>
        <v>Промышленность . Размеренность жизни</v>
      </c>
      <c r="U244" s="6" t="str">
        <f>IFERROR(__xludf.DUMMYFUNCTION("""COMPUTED_VALUE"""),"Набережная и Бульвар строителей")</f>
        <v>Набережная и Бульвар строителей</v>
      </c>
      <c r="V244" s="6" t="str">
        <f>IFERROR(__xludf.DUMMYFUNCTION("""COMPUTED_VALUE"""),"Промышленность")</f>
        <v>Промышленность</v>
      </c>
      <c r="W244" s="6" t="str">
        <f>IFERROR(__xludf.DUMMYFUNCTION("""COMPUTED_VALUE"""),"Взаимовыручка, доброжелательность, щедрость")</f>
        <v>Взаимовыручка, доброжелательность, щедрость</v>
      </c>
      <c r="X244" s="6" t="str">
        <f>IFERROR(__xludf.DUMMYFUNCTION("""COMPUTED_VALUE"""),"Набережная Кировского района")</f>
        <v>Набережная Кировского района</v>
      </c>
      <c r="Y244" s="6" t="str">
        <f>IFERROR(__xludf.DUMMYFUNCTION("""COMPUTED_VALUE"""),"Их было много")</f>
        <v>Их было много</v>
      </c>
      <c r="Z244" s="6" t="str">
        <f>IFERROR(__xludf.DUMMYFUNCTION("""COMPUTED_VALUE"""),"Город меняется, растет. Это радует")</f>
        <v>Город меняется, растет. Это радует</v>
      </c>
      <c r="AA244" s="6" t="str">
        <f>IFERROR(__xludf.DUMMYFUNCTION("""COMPUTED_VALUE"""),"Зимняя вишня")</f>
        <v>Зимняя вишня</v>
      </c>
      <c r="AB244" s="6" t="str">
        <f>IFERROR(__xludf.DUMMYFUNCTION("""COMPUTED_VALUE"""),"Творческая и научная интеллигенция")</f>
        <v>Творческая и научная интеллигенция</v>
      </c>
      <c r="AC244" s="6" t="str">
        <f>IFERROR(__xludf.DUMMYFUNCTION("""COMPUTED_VALUE"""),"Рост бизнеса и промышленности")</f>
        <v>Рост бизнеса и промышленности</v>
      </c>
      <c r="AD244" s="6" t="str">
        <f>IFERROR(__xludf.DUMMYFUNCTION("""COMPUTED_VALUE"""),"Волонтер")</f>
        <v>Волонтер</v>
      </c>
      <c r="AE244" s="6" t="str">
        <f>IFERROR(__xludf.DUMMYFUNCTION("""COMPUTED_VALUE"""),"Женский")</f>
        <v>Женский</v>
      </c>
      <c r="AF244" s="6" t="str">
        <f>IFERROR(__xludf.DUMMYFUNCTION("""COMPUTED_VALUE"""),"старше 55")</f>
        <v>старше 55</v>
      </c>
      <c r="AG244" s="6"/>
      <c r="AH244" s="6"/>
      <c r="AI244" s="6"/>
      <c r="AJ244" s="6"/>
      <c r="AK244" s="6"/>
      <c r="AL244" s="6"/>
      <c r="AM244" s="6"/>
    </row>
    <row r="245">
      <c r="A245" s="4">
        <v>244.0</v>
      </c>
      <c r="B245" s="6" t="str">
        <f>IFERROR(__xludf.DUMMYFUNCTION("""COMPUTED_VALUE"""),"Юрист")</f>
        <v>Юрист</v>
      </c>
      <c r="C245" s="6" t="str">
        <f>IFERROR(__xludf.DUMMYFUNCTION("""COMPUTED_VALUE"""),"Мода, инвестиции, психология")</f>
        <v>Мода, инвестиции, психология</v>
      </c>
      <c r="D245" s="6" t="str">
        <f>IFERROR(__xludf.DUMMYFUNCTION("""COMPUTED_VALUE"""),"Пересечение Ленина и Центрального")</f>
        <v>Пересечение Ленина и Центрального</v>
      </c>
      <c r="E245" s="6" t="str">
        <f>IFERROR(__xludf.DUMMYFUNCTION("""COMPUTED_VALUE"""),"Кадеский корпус")</f>
        <v>Кадеский корпус</v>
      </c>
      <c r="F245" s="6" t="str">
        <f>IFERROR(__xludf.DUMMYFUNCTION("""COMPUTED_VALUE"""),"Живу здесь с рождения")</f>
        <v>Живу здесь с рождения</v>
      </c>
      <c r="G245" s="6" t="str">
        <f>IFERROR(__xludf.DUMMYFUNCTION("""COMPUTED_VALUE"""),"Центр, Набережная, район Кадетского корпуса")</f>
        <v>Центр, Набережная, район Кадетского корпуса</v>
      </c>
      <c r="H245" s="6" t="str">
        <f>IFERROR(__xludf.DUMMYFUNCTION("""COMPUTED_VALUE"""),"Компактный, удобный, доступный, привычный, простой")</f>
        <v>Компактный, удобный, доступный, привычный, простой</v>
      </c>
      <c r="I245" s="6" t="str">
        <f>IFERROR(__xludf.DUMMYFUNCTION("""COMPUTED_VALUE"""),"Волков")</f>
        <v>Волков</v>
      </c>
      <c r="J245" s="6" t="str">
        <f>IFERROR(__xludf.DUMMYFUNCTION("""COMPUTED_VALUE"""),"Гришковец")</f>
        <v>Гришковец</v>
      </c>
      <c r="K245" s="6" t="str">
        <f>IFERROR(__xludf.DUMMYFUNCTION("""COMPUTED_VALUE"""),"Центр, Набережная, район Кадетского корпуса, Красная горка")</f>
        <v>Центр, Набережная, район Кадетского корпуса, Красная горка</v>
      </c>
      <c r="L245" s="6" t="str">
        <f>IFERROR(__xludf.DUMMYFUNCTION("""COMPUTED_VALUE"""),"Не знаю")</f>
        <v>Не знаю</v>
      </c>
      <c r="M245" s="6" t="str">
        <f>IFERROR(__xludf.DUMMYFUNCTION("""COMPUTED_VALUE"""),"Нет")</f>
        <v>Нет</v>
      </c>
      <c r="N245" s="6" t="str">
        <f>IFERROR(__xludf.DUMMYFUNCTION("""COMPUTED_VALUE"""),"Развитая транспортная инфраструктура; наличие магазинов из крупных торговых сетей; наличие парков и мест для прогулок; чистота; возможность занятий различными видами спорта ")</f>
        <v>Развитая транспортная инфраструктура; наличие магазинов из крупных торговых сетей; наличие парков и мест для прогулок; чистота; возможность занятий различными видами спорта </v>
      </c>
      <c r="O245" s="6" t="str">
        <f>IFERROR(__xludf.DUMMYFUNCTION("""COMPUTED_VALUE"""),"Чистота, ухоженность (не только в центре)")</f>
        <v>Чистота, ухоженность (не только в центре)</v>
      </c>
      <c r="P245" s="6" t="str">
        <f>IFERROR(__xludf.DUMMYFUNCTION("""COMPUTED_VALUE"""),"Инстаграмм (узнаю мало)")</f>
        <v>Инстаграмм (узнаю мало)</v>
      </c>
      <c r="Q245" s="6" t="str">
        <f>IFERROR(__xludf.DUMMYFUNCTION("""COMPUTED_VALUE"""),"куда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v>
      </c>
      <c r="R245" s="6" t="str">
        <f>IFERROR(__xludf.DUMMYFUNCTION("""COMPUTED_VALUE"""),"Все праздники, которые предполагают масштабное празднование ")</f>
        <v>Все праздники, которые предполагают масштабное празднование </v>
      </c>
      <c r="S245" s="6" t="str">
        <f>IFERROR(__xludf.DUMMYFUNCTION("""COMPUTED_VALUE"""),"Нет, не приходилось")</f>
        <v>Нет, не приходилось</v>
      </c>
      <c r="T245" s="6" t="str">
        <f>IFERROR(__xludf.DUMMYFUNCTION("""COMPUTED_VALUE"""),"Знаменит углем. Уникального: бор, строительство новых культурных и строительных объектов")</f>
        <v>Знаменит углем. Уникального: бор, строительство новых культурных и строительных объектов</v>
      </c>
      <c r="U245" s="6" t="str">
        <f>IFERROR(__xludf.DUMMYFUNCTION("""COMPUTED_VALUE"""),"Драмтеар, фонтан")</f>
        <v>Драмтеар, фонтан</v>
      </c>
      <c r="V245" s="6" t="str">
        <f>IFERROR(__xludf.DUMMYFUNCTION("""COMPUTED_VALUE"""),"Не знаю")</f>
        <v>Не знаю</v>
      </c>
      <c r="W245" s="6" t="str">
        <f>IFERROR(__xludf.DUMMYFUNCTION("""COMPUTED_VALUE"""),"Спокойно-безразличные")</f>
        <v>Спокойно-безразличные</v>
      </c>
      <c r="X245" s="6" t="str">
        <f>IFERROR(__xludf.DUMMYFUNCTION("""COMPUTED_VALUE"""),"Думаю, ещё появится после строительства новой набережной ")</f>
        <v>Думаю, ещё появится после строительства новой набережной </v>
      </c>
      <c r="Y245" s="6" t="str">
        <f>IFERROR(__xludf.DUMMYFUNCTION("""COMPUTED_VALUE"""),"Чемпионат мира по хоккею с мясом")</f>
        <v>Чемпионат мира по хоккею с мясом</v>
      </c>
      <c r="Z245" s="6" t="str">
        <f>IFERROR(__xludf.DUMMYFUNCTION("""COMPUTED_VALUE"""),"Строительство новых объектов ")</f>
        <v>Строительство новых объектов </v>
      </c>
      <c r="AA245" s="6" t="str">
        <f>IFERROR(__xludf.DUMMYFUNCTION("""COMPUTED_VALUE"""),"Зимняя вишня")</f>
        <v>Зимняя вишня</v>
      </c>
      <c r="AB245" s="6" t="str">
        <f>IFERROR(__xludf.DUMMYFUNCTION("""COMPUTED_VALUE"""),"Никаких")</f>
        <v>Никаких</v>
      </c>
      <c r="AC245" s="6" t="str">
        <f>IFERROR(__xludf.DUMMYFUNCTION("""COMPUTED_VALUE"""),"Больше современных детских мероприятий")</f>
        <v>Больше современных детских мероприятий</v>
      </c>
      <c r="AD245" s="6" t="str">
        <f>IFERROR(__xludf.DUMMYFUNCTION("""COMPUTED_VALUE"""),"Никакой")</f>
        <v>Никакой</v>
      </c>
      <c r="AE245" s="6" t="str">
        <f>IFERROR(__xludf.DUMMYFUNCTION("""COMPUTED_VALUE"""),"Женский")</f>
        <v>Женский</v>
      </c>
      <c r="AF245" s="6" t="str">
        <f>IFERROR(__xludf.DUMMYFUNCTION("""COMPUTED_VALUE"""),"30-44")</f>
        <v>30-44</v>
      </c>
      <c r="AG245" s="6"/>
      <c r="AH245" s="6"/>
      <c r="AI245" s="6"/>
      <c r="AJ245" s="6"/>
      <c r="AK245" s="6"/>
      <c r="AL245" s="6"/>
      <c r="AM245" s="6"/>
    </row>
    <row r="246">
      <c r="A246" s="4">
        <v>245.0</v>
      </c>
      <c r="B246" s="6" t="str">
        <f>IFERROR(__xludf.DUMMYFUNCTION("""COMPUTED_VALUE"""),"Программист ")</f>
        <v>Программист </v>
      </c>
      <c r="C246" s="6" t="str">
        <f>IFERROR(__xludf.DUMMYFUNCTION("""COMPUTED_VALUE"""),"Рисовать, готовить")</f>
        <v>Рисовать, готовить</v>
      </c>
      <c r="D246" s="6" t="str">
        <f>IFERROR(__xludf.DUMMYFUNCTION("""COMPUTED_VALUE"""),"Радуга")</f>
        <v>Радуга</v>
      </c>
      <c r="E246" s="6" t="str">
        <f>IFERROR(__xludf.DUMMYFUNCTION("""COMPUTED_VALUE"""),"Поля с туманами и пшеницей, Бор. ")</f>
        <v>Поля с туманами и пшеницей, Бор. </v>
      </c>
      <c r="F246" s="6" t="str">
        <f>IFERROR(__xludf.DUMMYFUNCTION("""COMPUTED_VALUE"""),"Переехал сюда из другого места (откуда? укажите в графе другое), Санкт Петербург ")</f>
        <v>Переехал сюда из другого места (откуда? укажите в графе другое), Санкт Петербург </v>
      </c>
      <c r="G246" s="6" t="str">
        <f>IFERROR(__xludf.DUMMYFUNCTION("""COMPUTED_VALUE"""),"К реке на набережную, в лесную поляну, Бор. Ещё красивый бульвар в Ленинском")</f>
        <v>К реке на набережную, в лесную поляну, Бор. Ещё красивый бульвар в Ленинском</v>
      </c>
      <c r="H246" s="6" t="str">
        <f>IFERROR(__xludf.DUMMYFUNCTION("""COMPUTED_VALUE"""),"Томь, 40ковая маршрутка, Кировский, набережная, сосны")</f>
        <v>Томь, 40ковая маршрутка, Кировский, набережная, сосны</v>
      </c>
      <c r="I246" s="6" t="str">
        <f>IFERROR(__xludf.DUMMYFUNCTION("""COMPUTED_VALUE"""),":) Вера Волошина и Леонов")</f>
        <v>:) Вера Волошина и Леонов</v>
      </c>
      <c r="J246" s="6" t="str">
        <f>IFERROR(__xludf.DUMMYFUNCTION("""COMPUTED_VALUE"""),"Не слежу за ситуацией :)")</f>
        <v>Не слежу за ситуацией :)</v>
      </c>
      <c r="K246" s="6" t="str">
        <f>IFERROR(__xludf.DUMMYFUNCTION("""COMPUTED_VALUE"""),"Прокатила бы на 40ковой маршрутке;)")</f>
        <v>Прокатила бы на 40ковой маршрутке;)</v>
      </c>
      <c r="L246" s="6" t="str">
        <f>IFERROR(__xludf.DUMMYFUNCTION("""COMPUTED_VALUE"""),"-")</f>
        <v>-</v>
      </c>
      <c r="M246" s="6" t="str">
        <f>IFERROR(__xludf.DUMMYFUNCTION("""COMPUTED_VALUE"""),"Повешать! Тут так все говорят")</f>
        <v>Повешать! Тут так все говорят</v>
      </c>
      <c r="N246" s="6" t="str">
        <f>IFERROR(__xludf.DUMMYFUNCTION("""COMPUTED_VALUE"""),"Чистые дорожки от дома до остановки, транспорт по расписанию, экология, магазины с качественными продуктами у дома")</f>
        <v>Чистые дорожки от дома до остановки, транспорт по расписанию, экология, магазины с качественными продуктами у дома</v>
      </c>
      <c r="O246" s="6" t="str">
        <f>IFERROR(__xludf.DUMMYFUNCTION("""COMPUTED_VALUE"""),"Тротуары, сливы у дорог (чтобы меньше меньше луж и грязи),  больше «взрослых» детских площадок (как в Москве яма), меньше  глупых и цветных вывесок на фасадах, меньше соцрекламы на дорогах ")</f>
        <v>Тротуары, сливы у дорог (чтобы меньше меньше луж и грязи),  больше «взрослых» детских площадок (как в Москве яма), меньше  глупых и цветных вывесок на фасадах, меньше соцрекламы на дорогах </v>
      </c>
      <c r="P246" s="6" t="str">
        <f>IFERROR(__xludf.DUMMYFUNCTION("""COMPUTED_VALUE"""),"От друзей")</f>
        <v>От друзей</v>
      </c>
      <c r="Q246" s="6" t="str">
        <f>IFERROR(__xludf.DUMMYFUNCTION("""COMPUTED_VALUE"""),"куда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f>
        <v>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v>
      </c>
      <c r="R246" s="6" t="str">
        <f>IFERROR(__xludf.DUMMYFUNCTION("""COMPUTED_VALUE"""),"Не была ни на одном, наверное другим важны фейерверки на день города и девятое мая, но лучше эти деньги на зелень и тротуары пустить")</f>
        <v>Не была ни на одном, наверное другим важны фейерверки на день города и девятое мая, но лучше эти деньги на зелень и тротуары пустить</v>
      </c>
      <c r="S246" s="6" t="str">
        <f>IFERROR(__xludf.DUMMYFUNCTION("""COMPUTED_VALUE"""),"Нет, не приходилось")</f>
        <v>Нет, не приходилось</v>
      </c>
      <c r="T246" s="6" t="str">
        <f>IFERROR(__xludf.DUMMYFUNCTION("""COMPUTED_VALUE"""),"Уголь, шахты, и Тулеев ")</f>
        <v>Уголь, шахты, и Тулеев </v>
      </c>
      <c r="U246" s="6" t="str">
        <f>IFERROR(__xludf.DUMMYFUNCTION("""COMPUTED_VALUE"""),"Весенняя/советский. ")</f>
        <v>Весенняя/советский. </v>
      </c>
      <c r="V246" s="6" t="str">
        <f>IFERROR(__xludf.DUMMYFUNCTION("""COMPUTED_VALUE"""),"Не думала об этом")</f>
        <v>Не думала об этом</v>
      </c>
      <c r="W246" s="6" t="str">
        <f>IFERROR(__xludf.DUMMYFUNCTION("""COMPUTED_VALUE"""),"Простые, не спешные люди, с большой семьей и наверное мало зарабатывающиеся")</f>
        <v>Простые, не спешные люди, с большой семьей и наверное мало зарабатывающиеся</v>
      </c>
      <c r="X246" s="6" t="str">
        <f>IFERROR(__xludf.DUMMYFUNCTION("""COMPUTED_VALUE"""),"Набережная-Советский- студмост - Ленина-терешкова до лапландии")</f>
        <v>Набережная-Советский- студмост - Ленина-терешкова до лапландии</v>
      </c>
      <c r="Y246" s="6" t="str">
        <f>IFERROR(__xludf.DUMMYFUNCTION("""COMPUTED_VALUE"""),"Вишня :( ")</f>
        <v>Вишня :( </v>
      </c>
      <c r="Z246" s="6" t="str">
        <f>IFERROR(__xludf.DUMMYFUNCTION("""COMPUTED_VALUE"""),"Спилили кусты и деревья у студ моста. Стало больше пространства, хотя раньше казалось что деревья жалко ")</f>
        <v>Спилили кусты и деревья у студ моста. Стало больше пространства, хотя раньше казалось что деревья жалко </v>
      </c>
      <c r="AA246" s="6" t="str">
        <f>IFERROR(__xludf.DUMMYFUNCTION("""COMPUTED_VALUE"""),"Пожар наверное самое страшное.")</f>
        <v>Пожар наверное самое страшное.</v>
      </c>
      <c r="AB246" s="6" t="str">
        <f>IFERROR(__xludf.DUMMYFUNCTION("""COMPUTED_VALUE"""),"Пекарских кружков, мастерклассов. ")</f>
        <v>Пекарских кружков, мастерклассов. </v>
      </c>
      <c r="AC246" s="6" t="str">
        <f>IFERROR(__xludf.DUMMYFUNCTION("""COMPUTED_VALUE"""),"Возможно в городе не хватает лектория, летом бы пространство под лекторий, а зимой тоже. Причём на обоих берегах, так как с одного на другой без машины долго добираться после работы ")</f>
        <v>Возможно в городе не хватает лектория, летом бы пространство под лекторий, а зимой тоже. Причём на обоих берегах, так как с одного на другой без машины долго добираться после работы </v>
      </c>
      <c r="AD246" s="6" t="str">
        <f>IFERROR(__xludf.DUMMYFUNCTION("""COMPUTED_VALUE"""),"Не знаю какая деятельность меня бы зацепила ")</f>
        <v>Не знаю какая деятельность меня бы зацепила </v>
      </c>
      <c r="AE246" s="6" t="str">
        <f>IFERROR(__xludf.DUMMYFUNCTION("""COMPUTED_VALUE"""),"Женский")</f>
        <v>Женский</v>
      </c>
      <c r="AF246" s="6" t="str">
        <f>IFERROR(__xludf.DUMMYFUNCTION("""COMPUTED_VALUE"""),"18-29")</f>
        <v>18-29</v>
      </c>
      <c r="AG246" s="6"/>
      <c r="AH246" s="6"/>
      <c r="AI246" s="6"/>
      <c r="AJ246" s="6"/>
      <c r="AK246" s="6"/>
      <c r="AL246" s="6"/>
      <c r="AM246" s="6"/>
    </row>
    <row r="247">
      <c r="A247" s="4">
        <v>246.0</v>
      </c>
      <c r="B247" s="6" t="str">
        <f>IFERROR(__xludf.DUMMYFUNCTION("""COMPUTED_VALUE"""),"Я студент, учусь в сельскохозяйственной академии")</f>
        <v>Я студент, учусь в сельскохозяйственной академии</v>
      </c>
      <c r="C247" s="6" t="str">
        <f>IFERROR(__xludf.DUMMYFUNCTION("""COMPUTED_VALUE"""),"Моё хобби-рисование")</f>
        <v>Моё хобби-рисование</v>
      </c>
      <c r="D247" s="6" t="str">
        <f>IFERROR(__xludf.DUMMYFUNCTION("""COMPUTED_VALUE"""),"Живу в Ленинском районе")</f>
        <v>Живу в Ленинском районе</v>
      </c>
      <c r="E247" s="6" t="str">
        <f>IFERROR(__xludf.DUMMYFUNCTION("""COMPUTED_VALUE"""),"Бульвар Строителей ")</f>
        <v>Бульвар Строителей </v>
      </c>
      <c r="F247" s="6" t="str">
        <f>IFERROR(__xludf.DUMMYFUNCTION("""COMPUTED_VALUE"""),"Приехала из города Юрга, чтобы учиться")</f>
        <v>Приехала из города Юрга, чтобы учиться</v>
      </c>
      <c r="G247" s="6" t="str">
        <f>IFERROR(__xludf.DUMMYFUNCTION("""COMPUTED_VALUE"""),"В свободное время хожу в торговые центры, парки, набережную ")</f>
        <v>В свободное время хожу в торговые центры, парки, набережную </v>
      </c>
      <c r="H247" s="6" t="str">
        <f>IFERROR(__xludf.DUMMYFUNCTION("""COMPUTED_VALUE"""),"Томь, мост, город, торговый центр, пробка")</f>
        <v>Томь, мост, город, торговый центр, пробка</v>
      </c>
      <c r="I247" s="6" t="str">
        <f>IFERROR(__xludf.DUMMYFUNCTION("""COMPUTED_VALUE"""),"Балибалов Иван Алексеевич 
Журналист, краевед, летописец ")</f>
        <v>Балибалов Иван Алексеевич 
Журналист, краевед, летописец </v>
      </c>
      <c r="J247" s="6" t="str">
        <f>IFERROR(__xludf.DUMMYFUNCTION("""COMPUTED_VALUE"""),"-")</f>
        <v>-</v>
      </c>
      <c r="K247" s="6" t="str">
        <f>IFERROR(__xludf.DUMMYFUNCTION("""COMPUTED_VALUE"""),"Памятник реке Томь, Памятник Лобсангу Рампе («Философ»)")</f>
        <v>Памятник реке Томь, Памятник Лобсангу Рампе («Философ»)</v>
      </c>
      <c r="L247" s="6" t="str">
        <f>IFERROR(__xludf.DUMMYFUNCTION("""COMPUTED_VALUE"""),"-")</f>
        <v>-</v>
      </c>
      <c r="M247" s="6" t="str">
        <f>IFERROR(__xludf.DUMMYFUNCTION("""COMPUTED_VALUE"""),"-")</f>
        <v>-</v>
      </c>
      <c r="N247" s="6" t="str">
        <f>IFERROR(__xludf.DUMMYFUNCTION("""COMPUTED_VALUE"""),"Защищённости, комфортность, взаимодействие с окружающей средой.")</f>
        <v>Защищённости, комфортность, взаимодействие с окружающей средой.</v>
      </c>
      <c r="O247" s="6" t="str">
        <f>IFERROR(__xludf.DUMMYFUNCTION("""COMPUTED_VALUE"""),"В городе много серых домов, хотелось бы больше серых красок, больше живых деревьев, аллей")</f>
        <v>В городе много серых домов, хотелось бы больше серых красок, больше живых деревьев, аллей</v>
      </c>
      <c r="P247" s="6" t="str">
        <f>IFERROR(__xludf.DUMMYFUNCTION("""COMPUTED_VALUE"""),"Из своего ВУЗа")</f>
        <v>Из своего ВУЗа</v>
      </c>
      <c r="Q247" s="6" t="str">
        <f>IFERROR(__xludf.DUMMYFUNCTION("""COMPUTED_VALUE"""),"где вкусно поесть/открытие новых кафе/ресторанов, криминальные новости (происшествия/преступления), новости про новые профессии/куда поступать/вакансии")</f>
        <v>где вкусно поесть/открытие новых кафе/ресторанов, криминальные новости (происшествия/преступления), новости про новые профессии/куда поступать/вакансии</v>
      </c>
      <c r="R247" s="6" t="str">
        <f>IFERROR(__xludf.DUMMYFUNCTION("""COMPUTED_VALUE"""),"День шахтёра, день рождения Кузбасса")</f>
        <v>День шахтёра, день рождения Кузбасса</v>
      </c>
      <c r="S247" s="6" t="str">
        <f>IFERROR(__xludf.DUMMYFUNCTION("""COMPUTED_VALUE"""),"Нет, не приходилось")</f>
        <v>Нет, не приходилось</v>
      </c>
      <c r="T247" s="6" t="str">
        <f>IFERROR(__xludf.DUMMYFUNCTION("""COMPUTED_VALUE"""),"Город, в первую очередь славится угольной промышленностью.")</f>
        <v>Город, в первую очередь славится угольной промышленностью.</v>
      </c>
      <c r="U247" s="6" t="str">
        <f>IFERROR(__xludf.DUMMYFUNCTION("""COMPUTED_VALUE"""),"Административный центр")</f>
        <v>Административный центр</v>
      </c>
      <c r="V247" s="6" t="str">
        <f>IFERROR(__xludf.DUMMYFUNCTION("""COMPUTED_VALUE"""),"-")</f>
        <v>-</v>
      </c>
      <c r="W247" s="6" t="str">
        <f>IFERROR(__xludf.DUMMYFUNCTION("""COMPUTED_VALUE"""),"Вспыльчивые, грубые, недружелюбные")</f>
        <v>Вспыльчивые, грубые, недружелюбные</v>
      </c>
      <c r="X247" s="6" t="str">
        <f>IFERROR(__xludf.DUMMYFUNCTION("""COMPUTED_VALUE"""),"Я слишком мало знаю город для этого")</f>
        <v>Я слишком мало знаю город для этого</v>
      </c>
      <c r="Y247" s="6" t="str">
        <f>IFERROR(__xludf.DUMMYFUNCTION("""COMPUTED_VALUE"""),"-")</f>
        <v>-</v>
      </c>
      <c r="Z247" s="6" t="str">
        <f>IFERROR(__xludf.DUMMYFUNCTION("""COMPUTED_VALUE"""),"Миллионная новогодняя елка")</f>
        <v>Миллионная новогодняя елка</v>
      </c>
      <c r="AA247" s="6" t="str">
        <f>IFERROR(__xludf.DUMMYFUNCTION("""COMPUTED_VALUE"""),"Трагедия в торговом центре""зимняя вишня"" ")</f>
        <v>Трагедия в торговом центре"зимняя вишня" </v>
      </c>
      <c r="AB247" s="6" t="str">
        <f>IFERROR(__xludf.DUMMYFUNCTION("""COMPUTED_VALUE"""),"Всего хватает")</f>
        <v>Всего хватает</v>
      </c>
      <c r="AC247" s="6" t="str">
        <f>IFERROR(__xludf.DUMMYFUNCTION("""COMPUTED_VALUE"""),"Больше творческих мероприятий")</f>
        <v>Больше творческих мероприятий</v>
      </c>
      <c r="AD247" s="6" t="str">
        <f>IFERROR(__xludf.DUMMYFUNCTION("""COMPUTED_VALUE"""),"-")</f>
        <v>-</v>
      </c>
      <c r="AE247" s="6" t="str">
        <f>IFERROR(__xludf.DUMMYFUNCTION("""COMPUTED_VALUE"""),"Женский")</f>
        <v>Женский</v>
      </c>
      <c r="AF247" s="6" t="str">
        <f>IFERROR(__xludf.DUMMYFUNCTION("""COMPUTED_VALUE"""),"18-29")</f>
        <v>18-29</v>
      </c>
      <c r="AG247" s="6"/>
      <c r="AH247" s="6"/>
      <c r="AI247" s="6"/>
      <c r="AJ247" s="6"/>
      <c r="AK247" s="6"/>
      <c r="AL247" s="6"/>
      <c r="AM247" s="6"/>
    </row>
    <row r="248">
      <c r="A248" s="4">
        <v>247.0</v>
      </c>
      <c r="B248" s="6" t="str">
        <f>IFERROR(__xludf.DUMMYFUNCTION("""COMPUTED_VALUE"""),"Коуч")</f>
        <v>Коуч</v>
      </c>
      <c r="C248" s="6" t="str">
        <f>IFERROR(__xludf.DUMMYFUNCTION("""COMPUTED_VALUE"""),"Гулять по живописным местам, делать скетчи")</f>
        <v>Гулять по живописным местам, делать скетчи</v>
      </c>
      <c r="D248" s="6" t="str">
        <f>IFERROR(__xludf.DUMMYFUNCTION("""COMPUTED_VALUE"""),"Ленинский. Ленинский")</f>
        <v>Ленинский. Ленинский</v>
      </c>
      <c r="E248" s="6" t="str">
        <f>IFERROR(__xludf.DUMMYFUNCTION("""COMPUTED_VALUE"""),"Бульвар Строителей")</f>
        <v>Бульвар Строителей</v>
      </c>
      <c r="F248" s="6" t="str">
        <f>IFERROR(__xludf.DUMMYFUNCTION("""COMPUTED_VALUE"""),"Живу здесь с рождения")</f>
        <v>Живу здесь с рождения</v>
      </c>
      <c r="G248" s="6" t="str">
        <f>IFERROR(__xludf.DUMMYFUNCTION("""COMPUTED_VALUE"""),"Езжу на дачу в Журавли и в Новостройку. С ребёнком через 2 квартала на детскую площадку")</f>
        <v>Езжу на дачу в Журавли и в Новостройку. С ребёнком через 2 квартала на детскую площадку</v>
      </c>
      <c r="H248" s="6" t="str">
        <f>IFERROR(__xludf.DUMMYFUNCTION("""COMPUTED_VALUE"""),"Грязь, чернота, деревня, безразличие, гопники")</f>
        <v>Грязь, чернота, деревня, безразличие, гопники</v>
      </c>
      <c r="I248" s="6" t="str">
        <f>IFERROR(__xludf.DUMMYFUNCTION("""COMPUTED_VALUE"""),"Леонов")</f>
        <v>Леонов</v>
      </c>
      <c r="J248" s="6" t="str">
        <f>IFERROR(__xludf.DUMMYFUNCTION("""COMPUTED_VALUE"""),"Михайлов (бывший мэр). Больше не знаю")</f>
        <v>Михайлов (бывший мэр). Больше не знаю</v>
      </c>
      <c r="K248" s="6" t="str">
        <f>IFERROR(__xludf.DUMMYFUNCTION("""COMPUTED_VALUE"""),"Набережная. Всё. ")</f>
        <v>Набережная. Всё. </v>
      </c>
      <c r="L248" s="6" t="str">
        <f>IFERROR(__xludf.DUMMYFUNCTION("""COMPUTED_VALUE"""),"Хочется вспомнить что-то про грязь и лужи, но не знаю")</f>
        <v>Хочется вспомнить что-то про грязь и лужи, но не знаю</v>
      </c>
      <c r="M248" s="6" t="str">
        <f>IFERROR(__xludf.DUMMYFUNCTION("""COMPUTED_VALUE"""),"Нет")</f>
        <v>Нет</v>
      </c>
      <c r="N248" s="6" t="str">
        <f>IFERROR(__xludf.DUMMYFUNCTION("""COMPUTED_VALUE"""),"Зелёный, транспортно доступный, ухоженный, есть большие парки и места для пеших прогулок, экологически чистый")</f>
        <v>Зелёный, транспортно доступный, ухоженный, есть большие парки и места для пеших прогулок, экологически чистый</v>
      </c>
      <c r="O248" s="6" t="str">
        <f>IFERROR(__xludf.DUMMYFUNCTION("""COMPUTED_VALUE"""),"Сделать клумбы НИЖЕ тротуаров, чтобы грязь не смывалась на асфальт ")</f>
        <v>Сделать клумбы НИЖЕ тротуаров, чтобы грязь не смывалась на асфальт </v>
      </c>
      <c r="P248" s="6" t="str">
        <f>IFERROR(__xludf.DUMMYFUNCTION("""COMPUTED_VALUE"""),"Давно не встречала интересные события нашем городе")</f>
        <v>Давно не встречала интересные события нашем городе</v>
      </c>
      <c r="Q248" s="6" t="str">
        <f>IFERROR(__xludf.DUMMYFUNCTION("""COMPUTED_VALUE"""),"Не смотрю местные СМИ")</f>
        <v>Не смотрю местные СМИ</v>
      </c>
      <c r="R248" s="6" t="str">
        <f>IFERROR(__xludf.DUMMYFUNCTION("""COMPUTED_VALUE"""),"Не посещаем")</f>
        <v>Не посещаем</v>
      </c>
      <c r="S248" s="6" t="str">
        <f>IFERROR(__xludf.DUMMYFUNCTION("""COMPUTED_VALUE"""),"Нет, не приходилось")</f>
        <v>Нет, не приходилось</v>
      </c>
      <c r="T248" s="6" t="str">
        <f>IFERROR(__xludf.DUMMYFUNCTION("""COMPUTED_VALUE"""),"Известен Шахтами. Уникального - можно посмотреть на угольные разрезы , но простых людей туда не пускают ")</f>
        <v>Известен Шахтами. Уникального - можно посмотреть на угольные разрезы , но простых людей туда не пускают </v>
      </c>
      <c r="U248" s="6" t="str">
        <f>IFERROR(__xludf.DUMMYFUNCTION("""COMPUTED_VALUE"""),"Весенняя напротив фонтана")</f>
        <v>Весенняя напротив фонтана</v>
      </c>
      <c r="V248" s="6" t="str">
        <f>IFERROR(__xludf.DUMMYFUNCTION("""COMPUTED_VALUE"""),"Собой - открыли компании и заработали денег. Городом- не знаю")</f>
        <v>Собой - открыли компании и заработали денег. Городом- не знаю</v>
      </c>
      <c r="W248" s="6" t="str">
        <f>IFERROR(__xludf.DUMMYFUNCTION("""COMPUTED_VALUE"""),"Мрачные, замкнутые, безразличные, угрюмые, ")</f>
        <v>Мрачные, замкнутые, безразличные, угрюмые, </v>
      </c>
      <c r="X248" s="6" t="str">
        <f>IFERROR(__xludf.DUMMYFUNCTION("""COMPUTED_VALUE"""),"От Арочной по набережной до Парка Чудес, потом до Весенней и до фонтана и дальше")</f>
        <v>От Арочной по набережной до Парка Чудес, потом до Весенней и до фонтана и дальше</v>
      </c>
      <c r="Y248" s="6" t="str">
        <f>IFERROR(__xludf.DUMMYFUNCTION("""COMPUTED_VALUE"""),"Не знаю ")</f>
        <v>Не знаю </v>
      </c>
      <c r="Z248" s="6" t="str">
        <f>IFERROR(__xludf.DUMMYFUNCTION("""COMPUTED_VALUE"""),"Открытый фестиваль Небо 10.08.2019")</f>
        <v>Открытый фестиваль Небо 10.08.2019</v>
      </c>
      <c r="AA248" s="6" t="str">
        <f>IFERROR(__xludf.DUMMYFUNCTION("""COMPUTED_VALUE"""),"Не знаю о конфликтах ")</f>
        <v>Не знаю о конфликтах </v>
      </c>
      <c r="AB248" s="6" t="str">
        <f>IFERROR(__xludf.DUMMYFUNCTION("""COMPUTED_VALUE"""),"Сообщества есть. Эффективности нет")</f>
        <v>Сообщества есть. Эффективности нет</v>
      </c>
      <c r="AC248" s="6" t="str">
        <f>IFERROR(__xludf.DUMMYFUNCTION("""COMPUTED_VALUE"""),"Открытые джазовые музыкальные фестивали под открытым небом, экологические марафоны")</f>
        <v>Открытые джазовые музыкальные фестивали под открытым небом, экологические марафоны</v>
      </c>
      <c r="AD248" s="6" t="str">
        <f>IFERROR(__xludf.DUMMYFUNCTION("""COMPUTED_VALUE"""),"Проектировщик, реализатор")</f>
        <v>Проектировщик, реализатор</v>
      </c>
      <c r="AE248" s="6" t="str">
        <f>IFERROR(__xludf.DUMMYFUNCTION("""COMPUTED_VALUE"""),"Женский")</f>
        <v>Женский</v>
      </c>
      <c r="AF248" s="6" t="str">
        <f>IFERROR(__xludf.DUMMYFUNCTION("""COMPUTED_VALUE"""),"30-44")</f>
        <v>30-44</v>
      </c>
      <c r="AG248" s="6"/>
      <c r="AH248" s="6"/>
      <c r="AI248" s="6"/>
      <c r="AJ248" s="6"/>
      <c r="AK248" s="6"/>
      <c r="AL248" s="6"/>
      <c r="AM248" s="6"/>
    </row>
    <row r="249">
      <c r="A249" s="4">
        <v>248.0</v>
      </c>
      <c r="B249" s="6" t="str">
        <f>IFERROR(__xludf.DUMMYFUNCTION("""COMPUTED_VALUE"""),"Индивидуальный предприниматель")</f>
        <v>Индивидуальный предприниматель</v>
      </c>
      <c r="C249" s="6" t="str">
        <f>IFERROR(__xludf.DUMMYFUNCTION("""COMPUTED_VALUE"""),"Кондитерское искусство, вокал, рисование")</f>
        <v>Кондитерское искусство, вокал, рисование</v>
      </c>
      <c r="D249" s="6" t="str">
        <f>IFERROR(__xludf.DUMMYFUNCTION("""COMPUTED_VALUE"""),"Центральный (центр)")</f>
        <v>Центральный (центр)</v>
      </c>
      <c r="E249" s="6" t="str">
        <f>IFERROR(__xludf.DUMMYFUNCTION("""COMPUTED_VALUE"""),"Набережная, дом кино Москва, Драмтеатр")</f>
        <v>Набережная, дом кино Москва, Драмтеатр</v>
      </c>
      <c r="F249" s="6" t="str">
        <f>IFERROR(__xludf.DUMMYFUNCTION("""COMPUTED_VALUE"""),"Живу здесь с рождения")</f>
        <v>Живу здесь с рождения</v>
      </c>
      <c r="G249" s="6" t="str">
        <f>IFERROR(__xludf.DUMMYFUNCTION("""COMPUTED_VALUE"""),"Сосновый бор, Набережная")</f>
        <v>Сосновый бор, Набережная</v>
      </c>
      <c r="H249" s="6" t="str">
        <f>IFERROR(__xludf.DUMMYFUNCTION("""COMPUTED_VALUE"""),"Уголь, деревья, Томь, снег, семья")</f>
        <v>Уголь, деревья, Томь, снег, семья</v>
      </c>
      <c r="I249" s="6" t="str">
        <f>IFERROR(__xludf.DUMMYFUNCTION("""COMPUTED_VALUE"""),"Леонов, Волков")</f>
        <v>Леонов, Волков</v>
      </c>
      <c r="J249" s="6" t="str">
        <f>IFERROR(__xludf.DUMMYFUNCTION("""COMPUTED_VALUE"""),"Гришковец")</f>
        <v>Гришковец</v>
      </c>
      <c r="K249" s="6" t="str">
        <f>IFERROR(__xludf.DUMMYFUNCTION("""COMPUTED_VALUE"""),"Дома-колбасы и заброшенная школа архитектора Бернардеса")</f>
        <v>Дома-колбасы и заброшенная школа архитектора Бернардеса</v>
      </c>
      <c r="L249" s="6" t="str">
        <f>IFERROR(__xludf.DUMMYFUNCTION("""COMPUTED_VALUE"""),"Не знаю")</f>
        <v>Не знаю</v>
      </c>
      <c r="M249" s="6" t="str">
        <f>IFERROR(__xludf.DUMMYFUNCTION("""COMPUTED_VALUE"""),"Нет")</f>
        <v>Нет</v>
      </c>
      <c r="N249" s="6" t="str">
        <f>IFERROR(__xludf.DUMMYFUNCTION("""COMPUTED_VALUE"""),"Множество зелени, наличие парков и зон для прогулок, чистота, культурные мероприятия")</f>
        <v>Множество зелени, наличие парков и зон для прогулок, чистота, культурные мероприятия</v>
      </c>
      <c r="O249" s="6" t="str">
        <f>IFERROR(__xludf.DUMMYFUNCTION("""COMPUTED_VALUE"""),"Отреставрировать старые дома и постройки, представляющие историческую ценность. Заменить асфальт в Парке Жукова, Набережной и везде, где осуществляются прогулки и происходят пробежки. ")</f>
        <v>Отреставрировать старые дома и постройки, представляющие историческую ценность. Заменить асфальт в Парке Жукова, Набережной и везде, где осуществляются прогулки и происходят пробежки. </v>
      </c>
      <c r="P249" s="6" t="str">
        <f>IFERROR(__xludf.DUMMYFUNCTION("""COMPUTED_VALUE"""),"Афиша Кемерово")</f>
        <v>Афиша Кемерово</v>
      </c>
      <c r="Q249"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249" s="6" t="str">
        <f>IFERROR(__xludf.DUMMYFUNCTION("""COMPUTED_VALUE"""),"9 мая, День Шахтера")</f>
        <v>9 мая, День Шахтера</v>
      </c>
      <c r="S249" s="6" t="str">
        <f>IFERROR(__xludf.DUMMYFUNCTION("""COMPUTED_VALUE"""),"Нет, не приходилось")</f>
        <v>Нет, не приходилось</v>
      </c>
      <c r="T249" s="6" t="str">
        <f>IFERROR(__xludf.DUMMYFUNCTION("""COMPUTED_VALUE"""),"Ничего")</f>
        <v>Ничего</v>
      </c>
      <c r="U249" s="6" t="str">
        <f>IFERROR(__xludf.DUMMYFUNCTION("""COMPUTED_VALUE"""),"Проспект Советский и улица Островского со сталинками")</f>
        <v>Проспект Советский и улица Островского со сталинками</v>
      </c>
      <c r="V249" s="6" t="str">
        <f>IFERROR(__xludf.DUMMYFUNCTION("""COMPUTED_VALUE"""),"Не знаю")</f>
        <v>Не знаю</v>
      </c>
      <c r="W249" s="6" t="str">
        <f>IFERROR(__xludf.DUMMYFUNCTION("""COMPUTED_VALUE"""),"Душевные, общительные, отзывчивые")</f>
        <v>Душевные, общительные, отзывчивые</v>
      </c>
      <c r="X249" s="6" t="str">
        <f>IFERROR(__xludf.DUMMYFUNCTION("""COMPUTED_VALUE"""),"Проспект Советский, Набережная, ул.Весенняя")</f>
        <v>Проспект Советский, Набережная, ул.Весенняя</v>
      </c>
      <c r="Y249" s="6" t="str">
        <f>IFERROR(__xludf.DUMMYFUNCTION("""COMPUTED_VALUE"""),"Не знаю")</f>
        <v>Не знаю</v>
      </c>
      <c r="Z249" s="6" t="str">
        <f>IFERROR(__xludf.DUMMYFUNCTION("""COMPUTED_VALUE"""),"Открытие парка Ангелов на месте Зимней вишни")</f>
        <v>Открытие парка Ангелов на месте Зимней вишни</v>
      </c>
      <c r="AA249" s="6" t="str">
        <f>IFERROR(__xludf.DUMMYFUNCTION("""COMPUTED_VALUE"""),"Не знаю")</f>
        <v>Не знаю</v>
      </c>
      <c r="AB249" s="6" t="str">
        <f>IFERROR(__xludf.DUMMYFUNCTION("""COMPUTED_VALUE"""),"Затрудняюсь ответить")</f>
        <v>Затрудняюсь ответить</v>
      </c>
      <c r="AC249" s="6" t="str">
        <f>IFERROR(__xludf.DUMMYFUNCTION("""COMPUTED_VALUE"""),"Концерты зарубежных исполнителей, интересные выставки, открытие новых общественных локаций")</f>
        <v>Концерты зарубежных исполнителей, интересные выставки, открытие новых общественных локаций</v>
      </c>
      <c r="AD249" s="6" t="str">
        <f>IFERROR(__xludf.DUMMYFUNCTION("""COMPUTED_VALUE"""),"Не знаю")</f>
        <v>Не знаю</v>
      </c>
      <c r="AE249" s="6" t="str">
        <f>IFERROR(__xludf.DUMMYFUNCTION("""COMPUTED_VALUE"""),"Женский")</f>
        <v>Женский</v>
      </c>
      <c r="AF249" s="6" t="str">
        <f>IFERROR(__xludf.DUMMYFUNCTION("""COMPUTED_VALUE"""),"30-44")</f>
        <v>30-44</v>
      </c>
      <c r="AG249" s="6"/>
      <c r="AH249" s="6"/>
      <c r="AI249" s="6"/>
      <c r="AJ249" s="6"/>
      <c r="AK249" s="6"/>
      <c r="AL249" s="6"/>
      <c r="AM249" s="6"/>
    </row>
    <row r="250">
      <c r="A250" s="4">
        <v>249.0</v>
      </c>
      <c r="B250" s="6" t="str">
        <f>IFERROR(__xludf.DUMMYFUNCTION("""COMPUTED_VALUE"""),"Project Manager онлайн проектов")</f>
        <v>Project Manager онлайн проектов</v>
      </c>
      <c r="C250" s="6" t="str">
        <f>IFERROR(__xludf.DUMMYFUNCTION("""COMPUTED_VALUE"""),"Тренировки ")</f>
        <v>Тренировки </v>
      </c>
      <c r="D250" s="6" t="str">
        <f>IFERROR(__xludf.DUMMYFUNCTION("""COMPUTED_VALUE"""),"Рудничный. Радуга")</f>
        <v>Рудничный. Радуга</v>
      </c>
      <c r="E250" s="6" t="str">
        <f>IFERROR(__xludf.DUMMYFUNCTION("""COMPUTED_VALUE"""),"Бор")</f>
        <v>Бор</v>
      </c>
      <c r="F250" s="6" t="str">
        <f>IFERROR(__xludf.DUMMYFUNCTION("""COMPUTED_VALUE"""),"Переехал сюда из другого места (откуда? укажите в графе другое), Поступила в ВУЗ, г.Саяногорск, р. Хакасия")</f>
        <v>Переехал сюда из другого места (откуда? укажите в графе другое), Поступила в ВУЗ, г.Саяногорск, р. Хакасия</v>
      </c>
      <c r="G250" s="6" t="str">
        <f>IFERROR(__xludf.DUMMYFUNCTION("""COMPUTED_VALUE"""),"Бор, Набережная, центр")</f>
        <v>Бор, Набережная, центр</v>
      </c>
      <c r="H250" s="6" t="str">
        <f>IFERROR(__xludf.DUMMYFUNCTION("""COMPUTED_VALUE"""),"Уютный, стагнирующий, чистый, маленький")</f>
        <v>Уютный, стагнирующий, чистый, маленький</v>
      </c>
      <c r="I250" s="6" t="str">
        <f>IFERROR(__xludf.DUMMYFUNCTION("""COMPUTED_VALUE"""),"Волков")</f>
        <v>Волков</v>
      </c>
      <c r="J250" s="6" t="str">
        <f>IFERROR(__xludf.DUMMYFUNCTION("""COMPUTED_VALUE"""),"?")</f>
        <v>?</v>
      </c>
      <c r="K250" s="6" t="str">
        <f>IFERROR(__xludf.DUMMYFUNCTION("""COMPUTED_VALUE"""),"Лесная поляна")</f>
        <v>Лесная поляна</v>
      </c>
      <c r="L250" s="6" t="str">
        <f>IFERROR(__xludf.DUMMYFUNCTION("""COMPUTED_VALUE"""),"?")</f>
        <v>?</v>
      </c>
      <c r="M250" s="6" t="str">
        <f>IFERROR(__xludf.DUMMYFUNCTION("""COMPUTED_VALUE"""),"?")</f>
        <v>?</v>
      </c>
      <c r="N250" s="6" t="str">
        <f>IFERROR(__xludf.DUMMYFUNCTION("""COMPUTED_VALUE"""),"Удобная транспортная система, уютные места отдыха, хорошая экология, развитая система здравоохранения, низкий уровень приступности")</f>
        <v>Удобная транспортная система, уютные места отдыха, хорошая экология, развитая система здравоохранения, низкий уровень приступности</v>
      </c>
      <c r="O250" s="6" t="str">
        <f>IFERROR(__xludf.DUMMYFUNCTION("""COMPUTED_VALUE"""),"Убрать дизайн из 90х")</f>
        <v>Убрать дизайн из 90х</v>
      </c>
      <c r="P250" s="6" t="str">
        <f>IFERROR(__xludf.DUMMYFUNCTION("""COMPUTED_VALUE"""),"Instagram ")</f>
        <v>Instagram </v>
      </c>
      <c r="Q25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250" s="6" t="str">
        <f>IFERROR(__xludf.DUMMYFUNCTION("""COMPUTED_VALUE"""),"Я не фанат массовых мероприятий. Для других - день шахтера")</f>
        <v>Я не фанат массовых мероприятий. Для других - день шахтера</v>
      </c>
      <c r="S250" s="6" t="str">
        <f>IFERROR(__xludf.DUMMYFUNCTION("""COMPUTED_VALUE"""),"Нет, не приходилось")</f>
        <v>Нет, не приходилось</v>
      </c>
      <c r="T250" s="6" t="str">
        <f>IFERROR(__xludf.DUMMYFUNCTION("""COMPUTED_VALUE"""),"?")</f>
        <v>?</v>
      </c>
      <c r="U250" s="6" t="str">
        <f>IFERROR(__xludf.DUMMYFUNCTION("""COMPUTED_VALUE"""),"Советский")</f>
        <v>Советский</v>
      </c>
      <c r="V250" s="6" t="str">
        <f>IFERROR(__xludf.DUMMYFUNCTION("""COMPUTED_VALUE"""),"Без понятия")</f>
        <v>Без понятия</v>
      </c>
      <c r="W250" s="6" t="str">
        <f>IFERROR(__xludf.DUMMYFUNCTION("""COMPUTED_VALUE"""),"Грубые")</f>
        <v>Грубые</v>
      </c>
      <c r="X250" s="6" t="str">
        <f>IFERROR(__xludf.DUMMYFUNCTION("""COMPUTED_VALUE"""),"Пройтись по центру")</f>
        <v>Пройтись по центру</v>
      </c>
      <c r="Y250" s="6" t="str">
        <f>IFERROR(__xludf.DUMMYFUNCTION("""COMPUTED_VALUE"""),"Основание города")</f>
        <v>Основание города</v>
      </c>
      <c r="Z250" s="6" t="str">
        <f>IFERROR(__xludf.DUMMYFUNCTION("""COMPUTED_VALUE"""),"Большой открытый рок-концерт")</f>
        <v>Большой открытый рок-концерт</v>
      </c>
      <c r="AA250" s="6" t="str">
        <f>IFERROR(__xludf.DUMMYFUNCTION("""COMPUTED_VALUE"""),"Новый проект по редизайну центра")</f>
        <v>Новый проект по редизайну центра</v>
      </c>
      <c r="AB250" s="6" t="str">
        <f>IFERROR(__xludf.DUMMYFUNCTION("""COMPUTED_VALUE"""),"Никаких")</f>
        <v>Никаких</v>
      </c>
      <c r="AC250" s="6" t="str">
        <f>IFERROR(__xludf.DUMMYFUNCTION("""COMPUTED_VALUE"""),"Больше культурных мероприятий, значимых выставок (не реконструкции, а оригиналы произведений)")</f>
        <v>Больше культурных мероприятий, значимых выставок (не реконструкции, а оригиналы произведений)</v>
      </c>
      <c r="AD250" s="6" t="str">
        <f>IFERROR(__xludf.DUMMYFUNCTION("""COMPUTED_VALUE"""),"Помощь в организации проектов")</f>
        <v>Помощь в организации проектов</v>
      </c>
      <c r="AE250" s="6" t="str">
        <f>IFERROR(__xludf.DUMMYFUNCTION("""COMPUTED_VALUE"""),"Женский")</f>
        <v>Женский</v>
      </c>
      <c r="AF250" s="6" t="str">
        <f>IFERROR(__xludf.DUMMYFUNCTION("""COMPUTED_VALUE"""),"18-29")</f>
        <v>18-29</v>
      </c>
      <c r="AG250" s="6"/>
      <c r="AH250" s="6"/>
      <c r="AI250" s="6"/>
      <c r="AJ250" s="6"/>
      <c r="AK250" s="6"/>
      <c r="AL250" s="6"/>
      <c r="AM250" s="6"/>
    </row>
    <row r="251">
      <c r="A251" s="4">
        <v>250.0</v>
      </c>
      <c r="B251" s="6" t="str">
        <f>IFERROR(__xludf.DUMMYFUNCTION("""COMPUTED_VALUE"""),"Преподаватель")</f>
        <v>Преподаватель</v>
      </c>
      <c r="C251" s="6" t="str">
        <f>IFERROR(__xludf.DUMMYFUNCTION("""COMPUTED_VALUE"""),"Фотография, живопись, кулинария, путешествия ")</f>
        <v>Фотография, живопись, кулинария, путешествия </v>
      </c>
      <c r="D251" s="6" t="str">
        <f>IFERROR(__xludf.DUMMYFUNCTION("""COMPUTED_VALUE"""),"Ленинский район")</f>
        <v>Ленинский район</v>
      </c>
      <c r="E251" s="6" t="str">
        <f>IFERROR(__xludf.DUMMYFUNCTION("""COMPUTED_VALUE"""),"Обновленный бульвар Строителей, Кузбасский парк")</f>
        <v>Обновленный бульвар Строителей, Кузбасский парк</v>
      </c>
      <c r="F251" s="6" t="str">
        <f>IFERROR(__xludf.DUMMYFUNCTION("""COMPUTED_VALUE"""),"Переехал сюда из другого места (откуда? укажите в графе другое), приехала учится в университет из г. Полысаево , после окончания учебы осталась жить в Кемерово")</f>
        <v>Переехал сюда из другого места (откуда? укажите в графе другое), приехала учится в университет из г. Полысаево , после окончания учебы осталась жить в Кемерово</v>
      </c>
      <c r="G251" s="6" t="str">
        <f>IFERROR(__xludf.DUMMYFUNCTION("""COMPUTED_VALUE"""),"Рудничный бор, Кузбасский парк, Комсомольский парк, городская набережная")</f>
        <v>Рудничный бор, Кузбасский парк, Комсомольский парк, городская набережная</v>
      </c>
      <c r="H251" s="6" t="str">
        <f>IFERROR(__xludf.DUMMYFUNCTION("""COMPUTED_VALUE"""),"Бор, уют, уголь, шахтер, комфорт")</f>
        <v>Бор, уют, уголь, шахтер, комфорт</v>
      </c>
      <c r="I251" s="6" t="str">
        <f>IFERROR(__xludf.DUMMYFUNCTION("""COMPUTED_VALUE"""),"Михайло Волков, Аман Тулеев, Себальд Юстинус Рутгерс")</f>
        <v>Михайло Волков, Аман Тулеев, Себальд Юстинус Рутгерс</v>
      </c>
      <c r="J251" s="6" t="str">
        <f>IFERROR(__xludf.DUMMYFUNCTION("""COMPUTED_VALUE"""),"Девушка ведет свой блог в инстаграм о городе , к сожалению не знаю как зовут(( Оставляю название блога @vnutri_i_snarugi")</f>
        <v>Девушка ведет свой блог в инстаграм о городе , к сожалению не знаю как зовут(( Оставляю название блога @vnutri_i_snarugi</v>
      </c>
      <c r="K251" s="6" t="str">
        <f>IFERROR(__xludf.DUMMYFUNCTION("""COMPUTED_VALUE"""),"Красная горка, старый мост, набережная, лесная поляна, площадь советов, рудничный бор")</f>
        <v>Красная горка, старый мост, набережная, лесная поляна, площадь советов, рудничный бор</v>
      </c>
      <c r="L251" s="6" t="str">
        <f>IFERROR(__xludf.DUMMYFUNCTION("""COMPUTED_VALUE"""),"Кто Родину любит, тому она в долгу не будет.")</f>
        <v>Кто Родину любит, тому она в долгу не будет.</v>
      </c>
      <c r="M251" s="6" t="str">
        <f>IFERROR(__xludf.DUMMYFUNCTION("""COMPUTED_VALUE"""),"не знаю")</f>
        <v>не знаю</v>
      </c>
      <c r="N251" s="6" t="str">
        <f>IFERROR(__xludf.DUMMYFUNCTION("""COMPUTED_VALUE"""),"чистота, нормализация работы общественного транспорта, дружелюбные горожане, цены в магазинах, разнообразие и доступность мест для отдыха и развлечений ")</f>
        <v>чистота, нормализация работы общественного транспорта, дружелюбные горожане, цены в магазинах, разнообразие и доступность мест для отдыха и развлечений </v>
      </c>
      <c r="O251" s="6" t="str">
        <f>IFERROR(__xludf.DUMMYFUNCTION("""COMPUTED_VALUE"""),"Ремонт фасадов не только в центе города, ремонт дорог, облагораживание дворов ")</f>
        <v>Ремонт фасадов не только в центе города, ремонт дорог, облагораживание дворов </v>
      </c>
      <c r="P251" s="6" t="str">
        <f>IFERROR(__xludf.DUMMYFUNCTION("""COMPUTED_VALUE"""),"инстаграм , яндекс , афиши в городе")</f>
        <v>инстаграм , яндекс , афиши в городе</v>
      </c>
      <c r="Q25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бизн"&amp;"ес-новости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251" s="6" t="str">
        <f>IFERROR(__xludf.DUMMYFUNCTION("""COMPUTED_VALUE"""),"Для меня - масленица, новый год, день победы. У каждого свои важные праздники ")</f>
        <v>Для меня - масленица, новый год, день победы. У каждого свои важные праздники </v>
      </c>
      <c r="S251" s="6" t="str">
        <f>IFERROR(__xludf.DUMMYFUNCTION("""COMPUTED_VALUE"""),"Нет, не приходилось")</f>
        <v>Нет, не приходилось</v>
      </c>
      <c r="T251" s="6" t="str">
        <f>IFERROR(__xludf.DUMMYFUNCTION("""COMPUTED_VALUE"""),"Уникальность Рудничного бора. ")</f>
        <v>Уникальность Рудничного бора. </v>
      </c>
      <c r="U251" s="6" t="str">
        <f>IFERROR(__xludf.DUMMYFUNCTION("""COMPUTED_VALUE"""),"Площадь советов ")</f>
        <v>Площадь советов </v>
      </c>
      <c r="V251" s="6" t="str">
        <f>IFERROR(__xludf.DUMMYFUNCTION("""COMPUTED_VALUE"""),"строительство и создание парков, новых районов, театров ")</f>
        <v>строительство и создание парков, новых районов, театров </v>
      </c>
      <c r="W251" s="6" t="str">
        <f>IFERROR(__xludf.DUMMYFUNCTION("""COMPUTED_VALUE"""),"Отзывчивые и закалённые. Разные люди есть во всех городах. По моим наблюдениям есть очень хмурые и обиженные жизнью люди, так и наоборот жизнерадостные, позитивные , добродушные ")</f>
        <v>Отзывчивые и закалённые. Разные люди есть во всех городах. По моим наблюдениям есть очень хмурые и обиженные жизнью люди, так и наоборот жизнерадостные, позитивные , добродушные </v>
      </c>
      <c r="X251" s="6" t="str">
        <f>IFERROR(__xludf.DUMMYFUNCTION("""COMPUTED_VALUE"""),"Набережная, площадь советов, филармония ")</f>
        <v>Набережная, площадь советов, филармония </v>
      </c>
      <c r="Y251" s="6" t="str">
        <f>IFERROR(__xludf.DUMMYFUNCTION("""COMPUTED_VALUE"""),"26 июня создана особо охраняемая природная территория Рудничный бор")</f>
        <v>26 июня создана особо охраняемая природная территория Рудничный бор</v>
      </c>
      <c r="Z251" s="6" t="str">
        <f>IFERROR(__xludf.DUMMYFUNCTION("""COMPUTED_VALUE"""),"Радуюсь что город развивается")</f>
        <v>Радуюсь что город развивается</v>
      </c>
      <c r="AA251" s="6" t="str">
        <f>IFERROR(__xludf.DUMMYFUNCTION("""COMPUTED_VALUE"""),"пожар в Зимней Вишни")</f>
        <v>пожар в Зимней Вишни</v>
      </c>
      <c r="AB251" s="6" t="str">
        <f>IFERROR(__xludf.DUMMYFUNCTION("""COMPUTED_VALUE"""),"Сообщества по семейным ценностям ")</f>
        <v>Сообщества по семейным ценностям </v>
      </c>
      <c r="AC251" s="6" t="str">
        <f>IFERROR(__xludf.DUMMYFUNCTION("""COMPUTED_VALUE"""),"Те которые будут направлены на умение быть доброжелательными друг с другом")</f>
        <v>Те которые будут направлены на умение быть доброжелательными друг с другом</v>
      </c>
      <c r="AD251" s="6" t="str">
        <f>IFERROR(__xludf.DUMMYFUNCTION("""COMPUTED_VALUE"""),"С удовольствием приму участие , на счет роли - я творческий человек. В чем пригодятся мои навыки и способности в той роли и хотела бы поучаствовать")</f>
        <v>С удовольствием приму участие , на счет роли - я творческий человек. В чем пригодятся мои навыки и способности в той роли и хотела бы поучаствовать</v>
      </c>
      <c r="AE251" s="6" t="str">
        <f>IFERROR(__xludf.DUMMYFUNCTION("""COMPUTED_VALUE"""),"Женский")</f>
        <v>Женский</v>
      </c>
      <c r="AF251" s="6" t="str">
        <f>IFERROR(__xludf.DUMMYFUNCTION("""COMPUTED_VALUE"""),"18-29")</f>
        <v>18-29</v>
      </c>
      <c r="AG251" s="6"/>
      <c r="AH251" s="6"/>
      <c r="AI251" s="6"/>
      <c r="AJ251" s="6"/>
      <c r="AK251" s="6"/>
      <c r="AL251" s="6"/>
      <c r="AM251" s="6"/>
    </row>
    <row r="252">
      <c r="A252" s="4">
        <v>251.0</v>
      </c>
      <c r="B252" s="6" t="str">
        <f>IFERROR(__xludf.DUMMYFUNCTION("""COMPUTED_VALUE"""),"Музей заповедник Томская Писаница")</f>
        <v>Музей заповедник Томская Писаница</v>
      </c>
      <c r="C252" s="6" t="str">
        <f>IFERROR(__xludf.DUMMYFUNCTION("""COMPUTED_VALUE"""),"Художник")</f>
        <v>Художник</v>
      </c>
      <c r="D252" s="6" t="str">
        <f>IFERROR(__xludf.DUMMYFUNCTION("""COMPUTED_VALUE"""),"Рудничный")</f>
        <v>Рудничный</v>
      </c>
      <c r="E252" s="6" t="str">
        <f>IFERROR(__xludf.DUMMYFUNCTION("""COMPUTED_VALUE"""),"Сосновый бор")</f>
        <v>Сосновый бор</v>
      </c>
      <c r="F252" s="6" t="str">
        <f>IFERROR(__xludf.DUMMYFUNCTION("""COMPUTED_VALUE"""),"Переехал сюда из другого места (откуда? укажите в графе другое), Колмогорово Яшкинский район")</f>
        <v>Переехал сюда из другого места (откуда? укажите в графе другое), Колмогорово Яшкинский район</v>
      </c>
      <c r="G252" s="6" t="str">
        <f>IFERROR(__xludf.DUMMYFUNCTION("""COMPUTED_VALUE"""),"В сосновый бор")</f>
        <v>В сосновый бор</v>
      </c>
      <c r="H252" s="6" t="str">
        <f>IFERROR(__xludf.DUMMYFUNCTION("""COMPUTED_VALUE"""),"Заводы, театр, плохой воздух, уголь, река")</f>
        <v>Заводы, театр, плохой воздух, уголь, река</v>
      </c>
      <c r="I252" s="6" t="str">
        <f>IFERROR(__xludf.DUMMYFUNCTION("""COMPUTED_VALUE"""),"Леоновгришковец")</f>
        <v>Леоновгришковец</v>
      </c>
      <c r="J252" s="6" t="str">
        <f>IFERROR(__xludf.DUMMYFUNCTION("""COMPUTED_VALUE"""),"Гришковец")</f>
        <v>Гришковец</v>
      </c>
      <c r="K252" s="6" t="str">
        <f>IFERROR(__xludf.DUMMYFUNCTION("""COMPUTED_VALUE"""),"Набережная")</f>
        <v>Набережная</v>
      </c>
      <c r="L252" s="6" t="str">
        <f>IFERROR(__xludf.DUMMYFUNCTION("""COMPUTED_VALUE"""),"Набережнаябольше скорость - меньше ям")</f>
        <v>Набережнаябольше скорость - меньше ям</v>
      </c>
      <c r="M252" s="6" t="str">
        <f>IFERROR(__xludf.DUMMYFUNCTION("""COMPUTED_VALUE"""),"Нет")</f>
        <v>Нет</v>
      </c>
      <c r="N252" s="6" t="str">
        <f>IFERROR(__xludf.DUMMYFUNCTION("""COMPUTED_VALUE"""),"Воздух, инфраструктура (школы, сады),хорошие дороги, парки, доступное жилье")</f>
        <v>Воздух, инфраструктура (школы, сады),хорошие дороги, парки, доступное жилье</v>
      </c>
      <c r="O252" s="6" t="str">
        <f>IFERROR(__xludf.DUMMYFUNCTION("""COMPUTED_VALUE"""),"Тротуары добавить")</f>
        <v>Тротуары добавить</v>
      </c>
      <c r="P252" s="6" t="str">
        <f>IFERROR(__xludf.DUMMYFUNCTION("""COMPUTED_VALUE"""),"Инстаграм")</f>
        <v>Инстаграм</v>
      </c>
      <c r="Q252"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252" s="6" t="str">
        <f>IFERROR(__xludf.DUMMYFUNCTION("""COMPUTED_VALUE"""),"9 мая")</f>
        <v>9 мая</v>
      </c>
      <c r="S252" s="6" t="str">
        <f>IFERROR(__xludf.DUMMYFUNCTION("""COMPUTED_VALUE"""),"Нет, не приходилось")</f>
        <v>Нет, не приходилось</v>
      </c>
      <c r="T252" s="6" t="str">
        <f>IFERROR(__xludf.DUMMYFUNCTION("""COMPUTED_VALUE"""),"Не знаю")</f>
        <v>Не знаю</v>
      </c>
      <c r="U252" s="6" t="str">
        <f>IFERROR(__xludf.DUMMYFUNCTION("""COMPUTED_VALUE"""),"Театр драмы")</f>
        <v>Театр драмы</v>
      </c>
      <c r="V252" s="6" t="str">
        <f>IFERROR(__xludf.DUMMYFUNCTION("""COMPUTED_VALUE"""),"Построили музеи")</f>
        <v>Построили музеи</v>
      </c>
      <c r="W252" s="6" t="str">
        <f>IFERROR(__xludf.DUMMYFUNCTION("""COMPUTED_VALUE"""),"Модные, терпеливые, талантливые")</f>
        <v>Модные, терпеливые, талантливые</v>
      </c>
      <c r="X252" s="6" t="str">
        <f>IFERROR(__xludf.DUMMYFUNCTION("""COMPUTED_VALUE"""),"Набережная, весенняя")</f>
        <v>Набережная, весенняя</v>
      </c>
      <c r="Y252" s="6" t="str">
        <f>IFERROR(__xludf.DUMMYFUNCTION("""COMPUTED_VALUE"""),"Какой-то нибудь концерт")</f>
        <v>Какой-то нибудь концерт</v>
      </c>
      <c r="Z252" s="6" t="str">
        <f>IFERROR(__xludf.DUMMYFUNCTION("""COMPUTED_VALUE"""),"Нет таких")</f>
        <v>Нет таких</v>
      </c>
      <c r="AA252" s="6" t="str">
        <f>IFERROR(__xludf.DUMMYFUNCTION("""COMPUTED_VALUE"""),"Нету")</f>
        <v>Нету</v>
      </c>
      <c r="AB252" s="6" t="str">
        <f>IFERROR(__xludf.DUMMYFUNCTION("""COMPUTED_VALUE"""),"Любителей читать")</f>
        <v>Любителей читать</v>
      </c>
      <c r="AC252" s="6" t="str">
        <f>IFERROR(__xludf.DUMMYFUNCTION("""COMPUTED_VALUE"""),"Всего хватает")</f>
        <v>Всего хватает</v>
      </c>
      <c r="AD252" s="6" t="str">
        <f>IFERROR(__xludf.DUMMYFUNCTION("""COMPUTED_VALUE"""),"Наблюдателя")</f>
        <v>Наблюдателя</v>
      </c>
      <c r="AE252" s="6" t="str">
        <f>IFERROR(__xludf.DUMMYFUNCTION("""COMPUTED_VALUE"""),"Женский")</f>
        <v>Женский</v>
      </c>
      <c r="AF252" s="6" t="str">
        <f>IFERROR(__xludf.DUMMYFUNCTION("""COMPUTED_VALUE"""),"30-44")</f>
        <v>30-44</v>
      </c>
      <c r="AG252" s="6"/>
      <c r="AH252" s="6"/>
      <c r="AI252" s="6"/>
      <c r="AJ252" s="6"/>
      <c r="AK252" s="6"/>
      <c r="AL252" s="6"/>
      <c r="AM252" s="6"/>
    </row>
    <row r="253">
      <c r="A253" s="4">
        <v>252.0</v>
      </c>
      <c r="B253" s="6" t="str">
        <f>IFERROR(__xludf.DUMMYFUNCTION("""COMPUTED_VALUE"""),"Обучаюсь в вузе")</f>
        <v>Обучаюсь в вузе</v>
      </c>
      <c r="C253" s="6" t="str">
        <f>IFERROR(__xludf.DUMMYFUNCTION("""COMPUTED_VALUE"""),"Танцы")</f>
        <v>Танцы</v>
      </c>
      <c r="D253" s="6" t="str">
        <f>IFERROR(__xludf.DUMMYFUNCTION("""COMPUTED_VALUE"""),"Металлплощадка")</f>
        <v>Металлплощадка</v>
      </c>
      <c r="E253" s="6" t="str">
        <f>IFERROR(__xludf.DUMMYFUNCTION("""COMPUTED_VALUE"""),"Теплица и парк")</f>
        <v>Теплица и парк</v>
      </c>
      <c r="F253" s="6" t="str">
        <f>IFERROR(__xludf.DUMMYFUNCTION("""COMPUTED_VALUE"""),"Живу здесь с рождения")</f>
        <v>Живу здесь с рождения</v>
      </c>
      <c r="G253" s="6" t="str">
        <f>IFERROR(__xludf.DUMMYFUNCTION("""COMPUTED_VALUE"""),"Набережная и парк ""ангелов """)</f>
        <v>Набережная и парк "ангелов "</v>
      </c>
      <c r="H253" s="6" t="str">
        <f>IFERROR(__xludf.DUMMYFUNCTION("""COMPUTED_VALUE"""),"Маленький, Уютный, но загрязненный")</f>
        <v>Маленький, Уютный, но загрязненный</v>
      </c>
      <c r="I253" s="6" t="str">
        <f>IFERROR(__xludf.DUMMYFUNCTION("""COMPUTED_VALUE"""),"Вера Волошина, Алексей Леонов, Подгорбунский Михаил")</f>
        <v>Вера Волошина, Алексей Леонов, Подгорбунский Михаил</v>
      </c>
      <c r="J253" s="6" t="str">
        <f>IFERROR(__xludf.DUMMYFUNCTION("""COMPUTED_VALUE"""),"-")</f>
        <v>-</v>
      </c>
      <c r="K253" s="6" t="str">
        <f>IFERROR(__xludf.DUMMYFUNCTION("""COMPUTED_VALUE"""),"Парк ""Ангелов""")</f>
        <v>Парк "Ангелов"</v>
      </c>
      <c r="L253" s="6" t="str">
        <f>IFERROR(__xludf.DUMMYFUNCTION("""COMPUTED_VALUE"""),"-")</f>
        <v>-</v>
      </c>
      <c r="M253" s="6" t="str">
        <f>IFERROR(__xludf.DUMMYFUNCTION("""COMPUTED_VALUE"""),"-")</f>
        <v>-</v>
      </c>
      <c r="N253" s="6" t="str">
        <f>IFERROR(__xludf.DUMMYFUNCTION("""COMPUTED_VALUE"""),"Маленький, не шумный, чистый, с местами, где можно прогуляться")</f>
        <v>Маленький, не шумный, чистый, с местами, где можно прогуляться</v>
      </c>
      <c r="O253" s="6" t="str">
        <f>IFERROR(__xludf.DUMMYFUNCTION("""COMPUTED_VALUE"""),"Добавить места для прогулок; Отремонтировать большую часть города")</f>
        <v>Добавить места для прогулок; Отремонтировать большую часть города</v>
      </c>
      <c r="P253" s="6" t="str">
        <f>IFERROR(__xludf.DUMMYFUNCTION("""COMPUTED_VALUE"""),"Вк или инстаграмм")</f>
        <v>Вк или инстаграмм</v>
      </c>
      <c r="Q253" s="6" t="str">
        <f>IFERROR(__xludf.DUMMYFUNCTION("""COMPUTED_VALUE"""),"куда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f>
        <v>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v>
      </c>
      <c r="R253" s="6" t="str">
        <f>IFERROR(__xludf.DUMMYFUNCTION("""COMPUTED_VALUE"""),"День города и день победы")</f>
        <v>День города и день победы</v>
      </c>
      <c r="S253" s="6" t="str">
        <f>IFERROR(__xludf.DUMMYFUNCTION("""COMPUTED_VALUE"""),"Нет, не приходилось")</f>
        <v>Нет, не приходилось</v>
      </c>
      <c r="T253" s="6" t="str">
        <f>IFERROR(__xludf.DUMMYFUNCTION("""COMPUTED_VALUE"""),"-")</f>
        <v>-</v>
      </c>
      <c r="U253" s="6" t="str">
        <f>IFERROR(__xludf.DUMMYFUNCTION("""COMPUTED_VALUE"""),"Набережную")</f>
        <v>Набережную</v>
      </c>
      <c r="V253" s="6" t="str">
        <f>IFERROR(__xludf.DUMMYFUNCTION("""COMPUTED_VALUE"""),"-")</f>
        <v>-</v>
      </c>
      <c r="W253" s="6" t="str">
        <f>IFERROR(__xludf.DUMMYFUNCTION("""COMPUTED_VALUE"""),"Хмурые, ворчливые, но добрые ")</f>
        <v>Хмурые, ворчливые, но добрые </v>
      </c>
      <c r="X253" s="6" t="str">
        <f>IFERROR(__xludf.DUMMYFUNCTION("""COMPUTED_VALUE"""),"По центру города")</f>
        <v>По центру города</v>
      </c>
      <c r="Y253" s="6" t="str">
        <f>IFERROR(__xludf.DUMMYFUNCTION("""COMPUTED_VALUE"""),"-")</f>
        <v>-</v>
      </c>
      <c r="Z253" s="6" t="str">
        <f>IFERROR(__xludf.DUMMYFUNCTION("""COMPUTED_VALUE"""),"Никакие")</f>
        <v>Никакие</v>
      </c>
      <c r="AA253" s="6" t="str">
        <f>IFERROR(__xludf.DUMMYFUNCTION("""COMPUTED_VALUE"""),"Трогические происшествия")</f>
        <v>Трогические происшествия</v>
      </c>
      <c r="AB253" s="6" t="str">
        <f>IFERROR(__xludf.DUMMYFUNCTION("""COMPUTED_VALUE"""),"Танцевальных и ветеринарной медицины")</f>
        <v>Танцевальных и ветеринарной медицины</v>
      </c>
      <c r="AC253" s="6" t="str">
        <f>IFERROR(__xludf.DUMMYFUNCTION("""COMPUTED_VALUE"""),"Не знаю")</f>
        <v>Не знаю</v>
      </c>
      <c r="AD253" s="6" t="str">
        <f>IFERROR(__xludf.DUMMYFUNCTION("""COMPUTED_VALUE"""),"-")</f>
        <v>-</v>
      </c>
      <c r="AE253" s="6" t="str">
        <f>IFERROR(__xludf.DUMMYFUNCTION("""COMPUTED_VALUE"""),"Женский")</f>
        <v>Женский</v>
      </c>
      <c r="AF253" s="6" t="str">
        <f>IFERROR(__xludf.DUMMYFUNCTION("""COMPUTED_VALUE"""),"18-29")</f>
        <v>18-29</v>
      </c>
      <c r="AG253" s="6"/>
      <c r="AH253" s="6"/>
      <c r="AI253" s="6"/>
      <c r="AJ253" s="6"/>
      <c r="AK253" s="6"/>
      <c r="AL253" s="6"/>
      <c r="AM253" s="6"/>
    </row>
    <row r="254">
      <c r="A254" s="4">
        <v>253.0</v>
      </c>
      <c r="B254" s="6" t="str">
        <f>IFERROR(__xludf.DUMMYFUNCTION("""COMPUTED_VALUE"""),"Маркетолог ")</f>
        <v>Маркетолог </v>
      </c>
      <c r="C254" s="6" t="str">
        <f>IFERROR(__xludf.DUMMYFUNCTION("""COMPUTED_VALUE"""),"Нет ")</f>
        <v>Нет </v>
      </c>
      <c r="D254" s="6" t="str">
        <f>IFERROR(__xludf.DUMMYFUNCTION("""COMPUTED_VALUE"""),"Центр")</f>
        <v>Центр</v>
      </c>
      <c r="E254" s="6" t="str">
        <f>IFERROR(__xludf.DUMMYFUNCTION("""COMPUTED_VALUE"""),"Фонтан, Весенька, набережная ")</f>
        <v>Фонтан, Весенька, набережная </v>
      </c>
      <c r="F254" s="6" t="str">
        <f>IFERROR(__xludf.DUMMYFUNCTION("""COMPUTED_VALUE"""),"Переехал сюда из другого места (откуда? укажите в графе другое), Топки, из-за учебы ")</f>
        <v>Переехал сюда из другого места (откуда? укажите в графе другое), Топки, из-за учебы </v>
      </c>
      <c r="G254" s="6" t="str">
        <f>IFERROR(__xludf.DUMMYFUNCTION("""COMPUTED_VALUE"""),"Гуляем до кофейни , в Ленту ")</f>
        <v>Гуляем до кофейни , в Ленту </v>
      </c>
      <c r="H254" s="6" t="str">
        <f>IFERROR(__xludf.DUMMYFUNCTION("""COMPUTED_VALUE"""),"Шахтеры, грязь, онкология, Тулеев, цивилев, зимняя вишня")</f>
        <v>Шахтеры, грязь, онкология, Тулеев, цивилев, зимняя вишня</v>
      </c>
      <c r="I254" s="6" t="str">
        <f>IFERROR(__xludf.DUMMYFUNCTION("""COMPUTED_VALUE"""),"Волков михайло")</f>
        <v>Волков михайло</v>
      </c>
      <c r="J254" s="6" t="str">
        <f>IFERROR(__xludf.DUMMYFUNCTION("""COMPUTED_VALUE"""),"Бывший мэр Михайлов")</f>
        <v>Бывший мэр Михайлов</v>
      </c>
      <c r="K254" s="6" t="str">
        <f>IFERROR(__xludf.DUMMYFUNCTION("""COMPUTED_VALUE"""),"Театр для детей и Молодежи, памятник шахтеру ")</f>
        <v>Театр для детей и Молодежи, памятник шахтеру </v>
      </c>
      <c r="L254" s="6" t="str">
        <f>IFERROR(__xludf.DUMMYFUNCTION("""COMPUTED_VALUE"""),"Не знаю ")</f>
        <v>Не знаю </v>
      </c>
      <c r="M254" s="6" t="str">
        <f>IFERROR(__xludf.DUMMYFUNCTION("""COMPUTED_VALUE"""),"Не знаю ")</f>
        <v>Не знаю </v>
      </c>
      <c r="N254" s="6" t="str">
        <f>IFERROR(__xludf.DUMMYFUNCTION("""COMPUTED_VALUE"""),"Чистый воздух, низкая смертность, высокая рождаемость; вуз , входящий в топ3 рейтинговых вузов страны; большой тц типа Планеты в нвкз")</f>
        <v>Чистый воздух, низкая смертность, высокая рождаемость; вуз , входящий в топ3 рейтинговых вузов страны; большой тц типа Планеты в нвкз</v>
      </c>
      <c r="O254" s="6" t="str">
        <f>IFERROR(__xludf.DUMMYFUNCTION("""COMPUTED_VALUE"""),"Пл Советов сделать неформальной , тусовочным местом для детей и Молодежи, убрать памятник Ленину, убрать платный батут и прокат велосипедов там")</f>
        <v>Пл Советов сделать неформальной , тусовочным местом для детей и Молодежи, убрать памятник Ленину, убрать платный батут и прокат велосипедов там</v>
      </c>
      <c r="P254" s="6" t="str">
        <f>IFERROR(__xludf.DUMMYFUNCTION("""COMPUTED_VALUE"""),"Инцидент Кузбасс в Инстаграм ")</f>
        <v>Инцидент Кузбасс в Инстаграм </v>
      </c>
      <c r="Q25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254" s="6" t="str">
        <f>IFERROR(__xludf.DUMMYFUNCTION("""COMPUTED_VALUE"""),"День Победы , День города ,  Кинопоказ от Гудлайн ")</f>
        <v>День Победы , День города ,  Кинопоказ от Гудлайн </v>
      </c>
      <c r="S254" s="6" t="str">
        <f>IFERROR(__xludf.DUMMYFUNCTION("""COMPUTED_VALUE"""),"Писал и расклеивал объявления/афиши, Обращался в редакции электронных городских СМИ, Обращался в редакции городских газет, телевидения, радио")</f>
        <v>Писал и расклеивал объявления/афиши, Обращался в редакции электронных городских СМИ, Обращался в редакции городских газет, телевидения, радио</v>
      </c>
      <c r="T254" s="6" t="str">
        <f>IFERROR(__xludf.DUMMYFUNCTION("""COMPUTED_VALUE"""),"Зимняя вишня(")</f>
        <v>Зимняя вишня(</v>
      </c>
      <c r="U254" s="6" t="str">
        <f>IFERROR(__xludf.DUMMYFUNCTION("""COMPUTED_VALUE"""),"Фонтан, пл.Советов ")</f>
        <v>Фонтан, пл.Советов </v>
      </c>
      <c r="V254" s="6" t="str">
        <f>IFERROR(__xludf.DUMMYFUNCTION("""COMPUTED_VALUE"""),"Не знаю ")</f>
        <v>Не знаю </v>
      </c>
      <c r="W254" s="6" t="str">
        <f>IFERROR(__xludf.DUMMYFUNCTION("""COMPUTED_VALUE"""),"Суровые, терпеливые, боязливые , подчиняемые ")</f>
        <v>Суровые, терпеливые, боязливые , подчиняемые </v>
      </c>
      <c r="X254" s="6" t="str">
        <f>IFERROR(__xludf.DUMMYFUNCTION("""COMPUTED_VALUE"""),"Набережная в центре ")</f>
        <v>Набережная в центре </v>
      </c>
      <c r="Y254" s="6" t="str">
        <f>IFERROR(__xludf.DUMMYFUNCTION("""COMPUTED_VALUE"""),"Зимняя вишня ")</f>
        <v>Зимняя вишня </v>
      </c>
      <c r="Z254" s="6" t="str">
        <f>IFERROR(__xludf.DUMMYFUNCTION("""COMPUTED_VALUE"""),"Что-то строится на Притомском")</f>
        <v>Что-то строится на Притомском</v>
      </c>
      <c r="AA254" s="6" t="str">
        <f>IFERROR(__xludf.DUMMYFUNCTION("""COMPUTED_VALUE"""),"Зимняя вишня , назначение безучастного мэра ")</f>
        <v>Зимняя вишня , назначение безучастного мэра </v>
      </c>
      <c r="AB254" s="6" t="str">
        <f>IFERROR(__xludf.DUMMYFUNCTION("""COMPUTED_VALUE"""),"Которые бы разгоняли идеи за досуг детей ")</f>
        <v>Которые бы разгоняли идеи за досуг детей </v>
      </c>
      <c r="AC254" s="6" t="str">
        <f>IFERROR(__xludf.DUMMYFUNCTION("""COMPUTED_VALUE"""),"Фестивали молодежные типа ВК фэста")</f>
        <v>Фестивали молодежные типа ВК фэста</v>
      </c>
      <c r="AD254" s="6" t="str">
        <f>IFERROR(__xludf.DUMMYFUNCTION("""COMPUTED_VALUE"""),"Генератор идей ")</f>
        <v>Генератор идей </v>
      </c>
      <c r="AE254" s="6" t="str">
        <f>IFERROR(__xludf.DUMMYFUNCTION("""COMPUTED_VALUE"""),"Женский")</f>
        <v>Женский</v>
      </c>
      <c r="AF254" s="6" t="str">
        <f>IFERROR(__xludf.DUMMYFUNCTION("""COMPUTED_VALUE"""),"30-44")</f>
        <v>30-44</v>
      </c>
      <c r="AG254" s="6"/>
      <c r="AH254" s="6"/>
      <c r="AI254" s="6"/>
      <c r="AJ254" s="6"/>
      <c r="AK254" s="6"/>
      <c r="AL254" s="6"/>
      <c r="AM254" s="6"/>
    </row>
    <row r="255">
      <c r="A255" s="4">
        <v>254.0</v>
      </c>
      <c r="B255" s="6" t="str">
        <f>IFERROR(__xludf.DUMMYFUNCTION("""COMPUTED_VALUE"""),"Преподаватель вуза")</f>
        <v>Преподаватель вуза</v>
      </c>
      <c r="C255" s="6" t="str">
        <f>IFERROR(__xludf.DUMMYFUNCTION("""COMPUTED_VALUE"""),"Научная работа")</f>
        <v>Научная работа</v>
      </c>
      <c r="D255" s="6" t="str">
        <f>IFERROR(__xludf.DUMMYFUNCTION("""COMPUTED_VALUE"""),"Лесная поляна")</f>
        <v>Лесная поляна</v>
      </c>
      <c r="E255" s="6" t="str">
        <f>IFERROR(__xludf.DUMMYFUNCTION("""COMPUTED_VALUE"""),"Весенний и Осенний бульвары, парк")</f>
        <v>Весенний и Осенний бульвары, парк</v>
      </c>
      <c r="F255" s="6" t="str">
        <f>IFERROR(__xludf.DUMMYFUNCTION("""COMPUTED_VALUE"""),"Переехал сюда из другого места (откуда? укажите в графе другое), Новокузнецк")</f>
        <v>Переехал сюда из другого места (откуда? укажите в графе другое), Новокузнецк</v>
      </c>
      <c r="G255" s="6" t="str">
        <f>IFERROR(__xludf.DUMMYFUNCTION("""COMPUTED_VALUE"""),"Набережные")</f>
        <v>Набережные</v>
      </c>
      <c r="H255" s="6" t="str">
        <f>IFERROR(__xludf.DUMMYFUNCTION("""COMPUTED_VALUE"""),"Дом, химия, мороженое Забава, грязь, областной центр")</f>
        <v>Дом, химия, мороженое Забава, грязь, областной центр</v>
      </c>
      <c r="I255" s="6" t="str">
        <f>IFERROR(__xludf.DUMMYFUNCTION("""COMPUTED_VALUE"""),"Волков")</f>
        <v>Волков</v>
      </c>
      <c r="J255" s="6" t="str">
        <f>IFERROR(__xludf.DUMMYFUNCTION("""COMPUTED_VALUE"""),"бывший мэр Михайлов")</f>
        <v>бывший мэр Михайлов</v>
      </c>
      <c r="K255" s="6" t="str">
        <f>IFERROR(__xludf.DUMMYFUNCTION("""COMPUTED_VALUE"""),"Томская писаница, Лесная поляна, Красная горка, центр города (Весенняя, Советский, площадь Советов, площадь Пушкина, набережная), Кировская набережная")</f>
        <v>Томская писаница, Лесная поляна, Красная горка, центр города (Весенняя, Советский, площадь Советов, площадь Пушкина, набережная), Кировская набережная</v>
      </c>
      <c r="L255" s="6" t="str">
        <f>IFERROR(__xludf.DUMMYFUNCTION("""COMPUTED_VALUE"""),"не знаю")</f>
        <v>не знаю</v>
      </c>
      <c r="M255" s="6" t="str">
        <f>IFERROR(__xludf.DUMMYFUNCTION("""COMPUTED_VALUE"""),"нет")</f>
        <v>нет</v>
      </c>
      <c r="N255" s="6" t="str">
        <f>IFERROR(__xludf.DUMMYFUNCTION("""COMPUTED_VALUE"""),"1) Продуманная транспортная инфраструктура, особенно общественного транспорта; 2) Стильная современная архитектура; 3) Продуманное озеленение; 4) Меньше торговых центров, больше зон для отдыха, парков; 5) Больше культурных объектов")</f>
        <v>1) Продуманная транспортная инфраструктура, особенно общественного транспорта; 2) Стильная современная архитектура; 3) Продуманное озеленение; 4) Меньше торговых центров, больше зон для отдыха, парков; 5) Больше культурных объектов</v>
      </c>
      <c r="O255" s="6" t="str">
        <f>IFERROR(__xludf.DUMMYFUNCTION("""COMPUTED_VALUE"""),"Прекратить раскрашивать новостройки разными цветами, от которых больно глазам; в целом навести порядок с управлением архитектурой и единым планированием застройки. У нас такое впечатление, что каждый застройщик строит как он хочет. Одно исключение - Лесна"&amp;"я поляна, здесь хорошо. ")</f>
        <v>Прекратить раскрашивать новостройки разными цветами, от которых больно глазам; в целом навести порядок с управлением архитектурой и единым планированием застройки. У нас такое впечатление, что каждый застройщик строит как он хочет. Одно исключение - Лесная поляна, здесь хорошо. </v>
      </c>
      <c r="P255" s="6" t="str">
        <f>IFERROR(__xludf.DUMMYFUNCTION("""COMPUTED_VALUE"""),"От знакомых")</f>
        <v>От знакомых</v>
      </c>
      <c r="Q255" s="6" t="str">
        <f>IFERROR(__xludf.DUMMYFUNCTION("""COMPUTED_VALUE"""),"городская афиша (кино/театр/концерты), бизнес-новости (средний чек/рекламные акции/запуск новых предприятий), честные отчеты о том, что власти делают для народа")</f>
        <v>городская афиша (кино/театр/концерты), бизнес-новости (средний чек/рекламные акции/запуск новых предприятий), честные отчеты о том, что власти делают для народа</v>
      </c>
      <c r="R255" s="6" t="str">
        <f>IFERROR(__xludf.DUMMYFUNCTION("""COMPUTED_VALUE"""),"День города")</f>
        <v>День города</v>
      </c>
      <c r="S255" s="6" t="str">
        <f>IFERROR(__xludf.DUMMYFUNCTION("""COMPUTED_VALUE"""),"Нет, не приходилось")</f>
        <v>Нет, не приходилось</v>
      </c>
      <c r="T255" s="6" t="str">
        <f>IFERROR(__xludf.DUMMYFUNCTION("""COMPUTED_VALUE"""),"из серьезных достопримечательностей только Томская писаница. И Лесная поляна")</f>
        <v>из серьезных достопримечательностей только Томская писаница. И Лесная поляна</v>
      </c>
      <c r="U255" s="6" t="str">
        <f>IFERROR(__xludf.DUMMYFUNCTION("""COMPUTED_VALUE"""),"Площадь советов")</f>
        <v>Площадь советов</v>
      </c>
      <c r="V255" s="6" t="str">
        <f>IFERROR(__xludf.DUMMYFUNCTION("""COMPUTED_VALUE"""),"построили Лесную поляну")</f>
        <v>построили Лесную поляну</v>
      </c>
      <c r="W255" s="6" t="str">
        <f>IFERROR(__xludf.DUMMYFUNCTION("""COMPUTED_VALUE"""),"образовательный и культурный уровень здесь выше, чем в других городах Кузбасса")</f>
        <v>образовательный и культурный уровень здесь выше, чем в других городах Кузбасса</v>
      </c>
      <c r="X255" s="6" t="str">
        <f>IFERROR(__xludf.DUMMYFUNCTION("""COMPUTED_VALUE"""),"Центр - Весенняя, Советский, Набережная")</f>
        <v>Центр - Весенняя, Советский, Набережная</v>
      </c>
      <c r="Y255" s="6" t="str">
        <f>IFERROR(__xludf.DUMMYFUNCTION("""COMPUTED_VALUE"""),"К сожалению Кемерово наиболее известно трагическим событием - пожар в Зимней вишне")</f>
        <v>К сожалению Кемерово наиболее известно трагическим событием - пожар в Зимней вишне</v>
      </c>
      <c r="Z255" s="6" t="str">
        <f>IFERROR(__xludf.DUMMYFUNCTION("""COMPUTED_VALUE"""),"Концерт Легенды рока летом 2019г.")</f>
        <v>Концерт Легенды рока летом 2019г.</v>
      </c>
      <c r="AA255" s="6" t="str">
        <f>IFERROR(__xludf.DUMMYFUNCTION("""COMPUTED_VALUE"""),"нет таких")</f>
        <v>нет таких</v>
      </c>
      <c r="AB255" s="6" t="str">
        <f>IFERROR(__xludf.DUMMYFUNCTION("""COMPUTED_VALUE"""),"Нет таких")</f>
        <v>Нет таких</v>
      </c>
      <c r="AC255" s="6" t="str">
        <f>IFERROR(__xludf.DUMMYFUNCTION("""COMPUTED_VALUE"""),"Создайте рекреационную и транспортную инфраструктуру, приведите в порядок архитектуру, чтобы в городе стало комфортно. И мероприятия сами придут.")</f>
        <v>Создайте рекреационную и транспортную инфраструктуру, приведите в порядок архитектуру, чтобы в городе стало комфортно. И мероприятия сами придут.</v>
      </c>
      <c r="AD255" s="6" t="str">
        <f>IFERROR(__xludf.DUMMYFUNCTION("""COMPUTED_VALUE"""),"Психолог-аналитик")</f>
        <v>Психолог-аналитик</v>
      </c>
      <c r="AE255" s="6" t="str">
        <f>IFERROR(__xludf.DUMMYFUNCTION("""COMPUTED_VALUE"""),"Мужской")</f>
        <v>Мужской</v>
      </c>
      <c r="AF255" s="6" t="str">
        <f>IFERROR(__xludf.DUMMYFUNCTION("""COMPUTED_VALUE"""),"30-44")</f>
        <v>30-44</v>
      </c>
      <c r="AG255" s="6"/>
      <c r="AH255" s="6"/>
      <c r="AI255" s="6"/>
      <c r="AJ255" s="6"/>
      <c r="AK255" s="6"/>
      <c r="AL255" s="6"/>
      <c r="AM255" s="6"/>
    </row>
    <row r="256">
      <c r="A256" s="4">
        <v>255.0</v>
      </c>
      <c r="B256" s="6" t="str">
        <f>IFERROR(__xludf.DUMMYFUNCTION("""COMPUTED_VALUE"""),"Смм ")</f>
        <v>Смм </v>
      </c>
      <c r="C256" s="6" t="str">
        <f>IFERROR(__xludf.DUMMYFUNCTION("""COMPUTED_VALUE"""),"Спорт, вкусная еда")</f>
        <v>Спорт, вкусная еда</v>
      </c>
      <c r="D256" s="6" t="str">
        <f>IFERROR(__xludf.DUMMYFUNCTION("""COMPUTED_VALUE"""),"Ленинский")</f>
        <v>Ленинский</v>
      </c>
      <c r="E256" s="6" t="str">
        <f>IFERROR(__xludf.DUMMYFUNCTION("""COMPUTED_VALUE"""),"Бульвар строителей, кузбасский парк, зона отдыха рядом с кадетским училищем")</f>
        <v>Бульвар строителей, кузбасский парк, зона отдыха рядом с кадетским училищем</v>
      </c>
      <c r="F256" s="6" t="str">
        <f>IFERROR(__xludf.DUMMYFUNCTION("""COMPUTED_VALUE"""),"Живу здесь с рождения")</f>
        <v>Живу здесь с рождения</v>
      </c>
      <c r="G256" s="6" t="str">
        <f>IFERROR(__xludf.DUMMYFUNCTION("""COMPUTED_VALUE"""),"Гуляю по центру")</f>
        <v>Гуляю по центру</v>
      </c>
      <c r="H256" s="6" t="str">
        <f>IFERROR(__xludf.DUMMYFUNCTION("""COMPUTED_VALUE"""),"Уголь, провинция, зимняя вишня, родина")</f>
        <v>Уголь, провинция, зимняя вишня, родина</v>
      </c>
      <c r="I256" s="6" t="str">
        <f>IFERROR(__xludf.DUMMYFUNCTION("""COMPUTED_VALUE"""),"Панин (который умер), михайло Волков. Тулеев — выдающийся бузотёр.")</f>
        <v>Панин (который умер), михайло Волков. Тулеев — выдающийся бузотёр.</v>
      </c>
      <c r="J256" s="6" t="str">
        <f>IFERROR(__xludf.DUMMYFUNCTION("""COMPUTED_VALUE"""),"Просто выдающиеся — гришковец, актриса алена бабенко, панин. Но они не сделали особенно много и люди на них не ровняются. Просто они известные на россию")</f>
        <v>Просто выдающиеся — гришковец, актриса алена бабенко, панин. Но они не сделали особенно много и люди на них не ровняются. Просто они известные на россию</v>
      </c>
      <c r="K256" s="6" t="str">
        <f>IFERROR(__xludf.DUMMYFUNCTION("""COMPUTED_VALUE"""),"Не хочу рассказывать, чтобы туда набежали толпы")</f>
        <v>Не хочу рассказывать, чтобы туда набежали толпы</v>
      </c>
      <c r="L256" s="6" t="str">
        <f>IFERROR(__xludf.DUMMYFUNCTION("""COMPUTED_VALUE"""),"Человек из Кемерово, бузотёры. У нашей искитимки золотое дно — по нашей искитимке плавает говно")</f>
        <v>Человек из Кемерово, бузотёры. У нашей искитимки золотое дно — по нашей искитимке плавает говно</v>
      </c>
      <c r="M256" s="6" t="str">
        <f>IFERROR(__xludf.DUMMYFUNCTION("""COMPUTED_VALUE"""),"Бузотерит ")</f>
        <v>Бузотерит </v>
      </c>
      <c r="N256" s="6" t="str">
        <f>IFERROR(__xludf.DUMMYFUNCTION("""COMPUTED_VALUE"""),"Есть мировые бренды (икея, hm и тд), хорошо работает общественный транспорт, есть врачи всех специальносте и их несколько на выбор, есть какой-то общий стиль")</f>
        <v>Есть мировые бренды (икея, hm и тд), хорошо работает общественный транспорт, есть врачи всех специальносте и их несколько на выбор, есть какой-то общий стиль</v>
      </c>
      <c r="O256" s="6" t="str">
        <f>IFERROR(__xludf.DUMMYFUNCTION("""COMPUTED_VALUE"""),"Убрать и запретить уродливые здания, обделанные сайдингом и всем в этом духе. Типа как мария на на универмаге, магнит на октябрьском,типа как заброшенный тц на энергосбыте и все вот такое.  Сделать требования к вывескам на улицах у магазинов.")</f>
        <v>Убрать и запретить уродливые здания, обделанные сайдингом и всем в этом духе. Типа как мария на на универмаге, магнит на октябрьском,типа как заброшенный тц на энергосбыте и все вот такое.  Сделать требования к вывескам на улицах у магазинов.</v>
      </c>
      <c r="P256" s="6" t="str">
        <f>IFERROR(__xludf.DUMMYFUNCTION("""COMPUTED_VALUE"""),"Инста, работа, знакомые, ")</f>
        <v>Инста, работа, знакомые, </v>
      </c>
      <c r="Q256" s="6" t="str">
        <f>IFERROR(__xludf.DUMMYFUNCTION("""COMPUTED_VALUE"""),"городская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256" s="6" t="str">
        <f>IFERROR(__xludf.DUMMYFUNCTION("""COMPUTED_VALUE"""),"Наверное 9 мая, но по факту я живу чудесно без городских праздников")</f>
        <v>Наверное 9 мая, но по факту я живу чудесно без городских праздников</v>
      </c>
      <c r="S256" s="6" t="str">
        <f>IFERROR(__xludf.DUMMYFUNCTION("""COMPUTED_VALUE"""),"Через социальные сети (Какие? Укажите в графе другое), Вк, инста")</f>
        <v>Через социальные сети (Какие? Укажите в графе другое), Вк, инста</v>
      </c>
      <c r="T256" s="6" t="str">
        <f>IFERROR(__xludf.DUMMYFUNCTION("""COMPUTED_VALUE"""),"Зимняя вишня, чёрный снег")</f>
        <v>Зимняя вишня, чёрный снег</v>
      </c>
      <c r="U256" s="6" t="str">
        <f>IFERROR(__xludf.DUMMYFUNCTION("""COMPUTED_VALUE"""),"Драмтеатр")</f>
        <v>Драмтеатр</v>
      </c>
      <c r="V256" s="6" t="str">
        <f>IFERROR(__xludf.DUMMYFUNCTION("""COMPUTED_VALUE"""),"Не знаю")</f>
        <v>Не знаю</v>
      </c>
      <c r="W256" s="6" t="str">
        <f>IFERROR(__xludf.DUMMYFUNCTION("""COMPUTED_VALUE"""),"Разные ")</f>
        <v>Разные </v>
      </c>
      <c r="X256" s="6" t="str">
        <f>IFERROR(__xludf.DUMMYFUNCTION("""COMPUTED_VALUE"""),"Центр конечно")</f>
        <v>Центр конечно</v>
      </c>
      <c r="Y256" s="6" t="str">
        <f>IFERROR(__xludf.DUMMYFUNCTION("""COMPUTED_VALUE"""),"Зимняя вишня, чемпионат по хоккею с мячом. ")</f>
        <v>Зимняя вишня, чемпионат по хоккею с мячом. </v>
      </c>
      <c r="Z256" s="6" t="str">
        <f>IFERROR(__xludf.DUMMYFUNCTION("""COMPUTED_VALUE"""),"Нравится новая зона у кадетского училища. Парк ангелов нравится, если так можно сказать")</f>
        <v>Нравится новая зона у кадетского училища. Парк ангелов нравится, если так можно сказать</v>
      </c>
      <c r="AA256" s="6" t="str">
        <f>IFERROR(__xludf.DUMMYFUNCTION("""COMPUTED_VALUE"""),"Хоть прошло больше 2 лет, это зимняя вишня. ")</f>
        <v>Хоть прошло больше 2 лет, это зимняя вишня. </v>
      </c>
      <c r="AB256" s="6" t="str">
        <f>IFERROR(__xludf.DUMMYFUNCTION("""COMPUTED_VALUE"""),"Никаких")</f>
        <v>Никаких</v>
      </c>
      <c r="AC256" s="6" t="str">
        <f>IFERROR(__xludf.DUMMYFUNCTION("""COMPUTED_VALUE"""),"Спортивные. Что-то модное молодежное для молодежи")</f>
        <v>Спортивные. Что-то модное молодежное для молодежи</v>
      </c>
      <c r="AD256" s="6" t="str">
        <f>IFERROR(__xludf.DUMMYFUNCTION("""COMPUTED_VALUE"""),"Наблюдатель ")</f>
        <v>Наблюдатель </v>
      </c>
      <c r="AE256" s="6" t="str">
        <f>IFERROR(__xludf.DUMMYFUNCTION("""COMPUTED_VALUE"""),"Женский")</f>
        <v>Женский</v>
      </c>
      <c r="AF256" s="6" t="str">
        <f>IFERROR(__xludf.DUMMYFUNCTION("""COMPUTED_VALUE"""),"18-29")</f>
        <v>18-29</v>
      </c>
      <c r="AG256" s="6"/>
      <c r="AH256" s="6"/>
      <c r="AI256" s="6"/>
      <c r="AJ256" s="6"/>
      <c r="AK256" s="6"/>
      <c r="AL256" s="6"/>
      <c r="AM256" s="6"/>
    </row>
    <row r="257">
      <c r="A257" s="4">
        <v>256.0</v>
      </c>
      <c r="B257" s="6" t="str">
        <f>IFERROR(__xludf.DUMMYFUNCTION("""COMPUTED_VALUE"""),"Безработный, фрилансер")</f>
        <v>Безработный, фрилансер</v>
      </c>
      <c r="C257" s="6" t="str">
        <f>IFERROR(__xludf.DUMMYFUNCTION("""COMPUTED_VALUE"""),"Компьютеры, it технологии ")</f>
        <v>Компьютеры, it технологии </v>
      </c>
      <c r="D257" s="6" t="str">
        <f>IFERROR(__xludf.DUMMYFUNCTION("""COMPUTED_VALUE"""),"Рудничный")</f>
        <v>Рудничный</v>
      </c>
      <c r="E257" s="6" t="str">
        <f>IFERROR(__xludf.DUMMYFUNCTION("""COMPUTED_VALUE"""),"Магазины где продают качественную еду")</f>
        <v>Магазины где продают качественную еду</v>
      </c>
      <c r="F257" s="6" t="str">
        <f>IFERROR(__xludf.DUMMYFUNCTION("""COMPUTED_VALUE"""),"С 3х лет")</f>
        <v>С 3х лет</v>
      </c>
      <c r="G257" s="6" t="str">
        <f>IFERROR(__xludf.DUMMYFUNCTION("""COMPUTED_VALUE"""),"Не хожу. Не куда и денег нет")</f>
        <v>Не хожу. Не куда и денег нет</v>
      </c>
      <c r="H257" s="6" t="str">
        <f>IFERROR(__xludf.DUMMYFUNCTION("""COMPUTED_VALUE"""),"Чёрный и дорогой город")</f>
        <v>Чёрный и дорогой город</v>
      </c>
      <c r="I257" s="6" t="str">
        <f>IFERROR(__xludf.DUMMYFUNCTION("""COMPUTED_VALUE"""),"Мизайло Волков, А. Г. Приставка")</f>
        <v>Мизайло Волков, А. Г. Приставка</v>
      </c>
      <c r="J257" s="6" t="str">
        <f>IFERROR(__xludf.DUMMYFUNCTION("""COMPUTED_VALUE"""),"А. Г. Приставка")</f>
        <v>А. Г. Приставка</v>
      </c>
      <c r="K257" s="6" t="str">
        <f>IFERROR(__xludf.DUMMYFUNCTION("""COMPUTED_VALUE"""),"Ни какие, что тут показывать. Разбитую дорогу возле офиса Гудлайна")</f>
        <v>Ни какие, что тут показывать. Разбитую дорогу возле офиса Гудлайна</v>
      </c>
      <c r="L257" s="6" t="str">
        <f>IFERROR(__xludf.DUMMYFUNCTION("""COMPUTED_VALUE"""),"Нет таковых")</f>
        <v>Нет таковых</v>
      </c>
      <c r="M257" s="6" t="str">
        <f>IFERROR(__xludf.DUMMYFUNCTION("""COMPUTED_VALUE"""),"Нет. ")</f>
        <v>Нет. </v>
      </c>
      <c r="N257" s="6" t="str">
        <f>IFERROR(__xludf.DUMMYFUNCTION("""COMPUTED_VALUE"""),"Идеальные дороги, низкие тарифы ЖКХ, высокий уровень коммунальщиков, чистота и экология, нет коррупции и мигрантов. ")</f>
        <v>Идеальные дороги, низкие тарифы ЖКХ, высокий уровень коммунальщиков, чистота и экология, нет коррупции и мигрантов. </v>
      </c>
      <c r="O257" s="6" t="str">
        <f>IFERROR(__xludf.DUMMYFUNCTION("""COMPUTED_VALUE"""),"Работу жкх и коммунальщиков, дороги")</f>
        <v>Работу жкх и коммунальщиков, дороги</v>
      </c>
      <c r="P257" s="6" t="str">
        <f>IFERROR(__xludf.DUMMYFUNCTION("""COMPUTED_VALUE"""),"Страница Цивелева в ВК")</f>
        <v>Страница Цивелева в ВК</v>
      </c>
      <c r="Q257" s="6" t="str">
        <f>IFERROR(__xludf.DUMMYFUNCTION("""COMPUTED_VALUE"""),"интервью с местными политиками, новости про новые профессии/куда поступать/вакансии, результаты местных исследований (рейтинги/аналитика/тенденции)")</f>
        <v>интервью с местными политиками, новости про новые профессии/куда поступать/вакансии, результаты местных исследований (рейтинги/аналитика/тенденции)</v>
      </c>
      <c r="R257" s="6" t="str">
        <f>IFERROR(__xludf.DUMMYFUNCTION("""COMPUTED_VALUE"""),"День шахтёра и 13я зарплата")</f>
        <v>День шахтёра и 13я зарплата</v>
      </c>
      <c r="S257" s="6" t="str">
        <f>IFERROR(__xludf.DUMMYFUNCTION("""COMPUTED_VALUE"""),"Нет, не приходилось")</f>
        <v>Нет, не приходилось</v>
      </c>
      <c r="T257" s="6" t="str">
        <f>IFERROR(__xludf.DUMMYFUNCTION("""COMPUTED_VALUE"""),"Угольной промышленностью. Дорогим интнрнетом")</f>
        <v>Угольной промышленностью. Дорогим интнрнетом</v>
      </c>
      <c r="U257" s="6" t="str">
        <f>IFERROR(__xludf.DUMMYFUNCTION("""COMPUTED_VALUE"""),"Площадь Советов и В. И. Ленин")</f>
        <v>Площадь Советов и В. И. Ленин</v>
      </c>
      <c r="V257" s="6" t="str">
        <f>IFERROR(__xludf.DUMMYFUNCTION("""COMPUTED_VALUE"""),"Закрыты почти все ПТУ, большая часть заводов. ")</f>
        <v>Закрыты почти все ПТУ, большая часть заводов. </v>
      </c>
      <c r="W257" s="6" t="str">
        <f>IFERROR(__xludf.DUMMYFUNCTION("""COMPUTED_VALUE""")," Терпеливые, неулыбчивые, народ злой ")</f>
        <v> Терпеливые, неулыбчивые, народ злой </v>
      </c>
      <c r="X257" s="6" t="str">
        <f>IFERROR(__xludf.DUMMYFUNCTION("""COMPUTED_VALUE"""),"??? ")</f>
        <v>??? </v>
      </c>
      <c r="Y257" s="6" t="str">
        <f>IFERROR(__xludf.DUMMYFUNCTION("""COMPUTED_VALUE"""),"Построили мост Кузнецкий. ")</f>
        <v>Построили мост Кузнецкий. </v>
      </c>
      <c r="Z257" s="6" t="str">
        <f>IFERROR(__xludf.DUMMYFUNCTION("""COMPUTED_VALUE"""),"Работа Цивелева С. Е. ")</f>
        <v>Работа Цивелева С. Е. </v>
      </c>
      <c r="AA257" s="6" t="str">
        <f>IFERROR(__xludf.DUMMYFUNCTION("""COMPUTED_VALUE"""),"Зимняя вишня. ")</f>
        <v>Зимняя вишня. </v>
      </c>
      <c r="AB257" s="6" t="str">
        <f>IFERROR(__xludf.DUMMYFUNCTION("""COMPUTED_VALUE"""),"Левой оппозиции. Оппозиционных партий и движений")</f>
        <v>Левой оппозиции. Оппозиционных партий и движений</v>
      </c>
      <c r="AC257" s="6" t="str">
        <f>IFERROR(__xludf.DUMMYFUNCTION("""COMPUTED_VALUE"""),"Закрыть в жилых домах пивные точки, бесплатный спорт для детей")</f>
        <v>Закрыть в жилых домах пивные точки, бесплатный спорт для детей</v>
      </c>
      <c r="AD257" s="6" t="str">
        <f>IFERROR(__xludf.DUMMYFUNCTION("""COMPUTED_VALUE"""),"Не в какой. ")</f>
        <v>Не в какой. </v>
      </c>
      <c r="AE257" s="6" t="str">
        <f>IFERROR(__xludf.DUMMYFUNCTION("""COMPUTED_VALUE"""),"Мужской")</f>
        <v>Мужской</v>
      </c>
      <c r="AF257" s="6" t="str">
        <f>IFERROR(__xludf.DUMMYFUNCTION("""COMPUTED_VALUE"""),"45-55")</f>
        <v>45-55</v>
      </c>
      <c r="AG257" s="6"/>
      <c r="AH257" s="6"/>
      <c r="AI257" s="6"/>
      <c r="AJ257" s="6"/>
      <c r="AK257" s="6"/>
      <c r="AL257" s="6"/>
      <c r="AM257" s="6"/>
    </row>
    <row r="258">
      <c r="A258" s="4">
        <v>257.0</v>
      </c>
      <c r="B258" s="6" t="str">
        <f>IFERROR(__xludf.DUMMYFUNCTION("""COMPUTED_VALUE"""),"Дизайнер")</f>
        <v>Дизайнер</v>
      </c>
      <c r="C258" s="6" t="str">
        <f>IFERROR(__xludf.DUMMYFUNCTION("""COMPUTED_VALUE"""),"Оригами ")</f>
        <v>Оригами </v>
      </c>
      <c r="D258" s="6" t="str">
        <f>IFERROR(__xludf.DUMMYFUNCTION("""COMPUTED_VALUE"""),"Ленинский ")</f>
        <v>Ленинский </v>
      </c>
      <c r="E258" s="6" t="str">
        <f>IFERROR(__xludf.DUMMYFUNCTION("""COMPUTED_VALUE"""),"Второй универсам, телевышка, бульвар Строителей")</f>
        <v>Второй универсам, телевышка, бульвар Строителей</v>
      </c>
      <c r="F258" s="6" t="str">
        <f>IFERROR(__xludf.DUMMYFUNCTION("""COMPUTED_VALUE"""),"Живу здесь с рождения")</f>
        <v>Живу здесь с рождения</v>
      </c>
      <c r="G258" s="6" t="str">
        <f>IFERROR(__xludf.DUMMYFUNCTION("""COMPUTED_VALUE"""),"Центр")</f>
        <v>Центр</v>
      </c>
      <c r="H258" s="6" t="str">
        <f>IFERROR(__xludf.DUMMYFUNCTION("""COMPUTED_VALUE"""),"Чистый, лучше чем другие, уютный, развивающийся, родной")</f>
        <v>Чистый, лучше чем другие, уютный, развивающийся, родной</v>
      </c>
      <c r="I258" s="6" t="str">
        <f>IFERROR(__xludf.DUMMYFUNCTION("""COMPUTED_VALUE"""),"Волков михайло")</f>
        <v>Волков михайло</v>
      </c>
      <c r="J258" s="6" t="str">
        <f>IFERROR(__xludf.DUMMYFUNCTION("""COMPUTED_VALUE"""),"Кока-кола мэн")</f>
        <v>Кока-кола мэн</v>
      </c>
      <c r="K258" s="6" t="str">
        <f>IFERROR(__xludf.DUMMYFUNCTION("""COMPUTED_VALUE"""),"Старая пристань")</f>
        <v>Старая пристань</v>
      </c>
      <c r="L258" s="6" t="str">
        <f>IFERROR(__xludf.DUMMYFUNCTION("""COMPUTED_VALUE"""),"Не знаю")</f>
        <v>Не знаю</v>
      </c>
      <c r="M258" s="6" t="str">
        <f>IFERROR(__xludf.DUMMYFUNCTION("""COMPUTED_VALUE"""),"Я из Кузбасса")</f>
        <v>Я из Кузбасса</v>
      </c>
      <c r="N258" s="6" t="str">
        <f>IFERROR(__xludf.DUMMYFUNCTION("""COMPUTED_VALUE"""),"Чистота, наличие парков и скверов, целые бордюры, нет ям на дорогах, нет зарослей (ухоженные кусты/деревья и все что вокруг них)")</f>
        <v>Чистота, наличие парков и скверов, целые бордюры, нет ям на дорогах, нет зарослей (ухоженные кусты/деревья и все что вокруг них)</v>
      </c>
      <c r="O258" s="6" t="str">
        <f>IFERROR(__xludf.DUMMYFUNCTION("""COMPUTED_VALUE"""),"Вывески")</f>
        <v>Вывески</v>
      </c>
      <c r="P258" s="6" t="str">
        <f>IFERROR(__xludf.DUMMYFUNCTION("""COMPUTED_VALUE"""),"Реклама в ТРЦ")</f>
        <v>Реклама в ТРЦ</v>
      </c>
      <c r="Q258" s="6" t="str">
        <f>IFERROR(__xludf.DUMMYFUNCTION("""COMPUTED_VALUE"""),"куда пойти в свободное время, культурные новинки (что почитать/что послушать), бизнес-новости (средний чек/рекламные акции/запуск новых предприятий), интервью с экспертами на разные темы (напишите в разделе Другое свои предложения)")</f>
        <v>куда пойти в свободное время, культурные новинки (что почитать/что послушать),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258" s="6" t="str">
        <f>IFERROR(__xludf.DUMMYFUNCTION("""COMPUTED_VALUE"""),"9 мая, день города, день шахтера, 1 мая, день молодежи, крещение (ныряние в прорубь)")</f>
        <v>9 мая, день города, день шахтера, 1 мая, день молодежи, крещение (ныряние в прорубь)</v>
      </c>
      <c r="S258" s="6" t="str">
        <f>IFERROR(__xludf.DUMMYFUNCTION("""COMPUTED_VALUE"""),"Через социальные сети (Какие? Укажите в графе другое), Организатор Behance Portfolio Review,")</f>
        <v>Через социальные сети (Какие? Укажите в графе другое), Организатор Behance Portfolio Review,</v>
      </c>
      <c r="T258" s="6" t="str">
        <f>IFERROR(__xludf.DUMMYFUNCTION("""COMPUTED_VALUE"""),"Архитектура центра, красная горка, Бор сосновый ")</f>
        <v>Архитектура центра, красная горка, Бор сосновый </v>
      </c>
      <c r="U258" s="6" t="str">
        <f>IFERROR(__xludf.DUMMYFUNCTION("""COMPUTED_VALUE"""),"Районы")</f>
        <v>Районы</v>
      </c>
      <c r="V258" s="6" t="str">
        <f>IFERROR(__xludf.DUMMYFUNCTION("""COMPUTED_VALUE"""),"Помогали городским инициативам, сами являлись организаторами чего-либо ")</f>
        <v>Помогали городским инициативам, сами являлись организаторами чего-либо </v>
      </c>
      <c r="W258" s="6" t="str">
        <f>IFERROR(__xludf.DUMMYFUNCTION("""COMPUTED_VALUE"""),"Суровые, но с душой")</f>
        <v>Суровые, но с душой</v>
      </c>
      <c r="X258" s="6" t="str">
        <f>IFERROR(__xludf.DUMMYFUNCTION("""COMPUTED_VALUE"""),"Советский проспект ")</f>
        <v>Советский проспект </v>
      </c>
      <c r="Y258" s="6" t="str">
        <f>IFERROR(__xludf.DUMMYFUNCTION("""COMPUTED_VALUE"""),"Чемпионат мира по хоккею с мячом и олимпиада ")</f>
        <v>Чемпионат мира по хоккею с мячом и олимпиада </v>
      </c>
      <c r="Z258" s="6" t="str">
        <f>IFERROR(__xludf.DUMMYFUNCTION("""COMPUTED_VALUE"""),"Постройка комплекса на Терешковой и ремонт моего двора :)")</f>
        <v>Постройка комплекса на Терешковой и ремонт моего двора :)</v>
      </c>
      <c r="AA258" s="6" t="str">
        <f>IFERROR(__xludf.DUMMYFUNCTION("""COMPUTED_VALUE"""),"Зимняя вишня ")</f>
        <v>Зимняя вишня </v>
      </c>
      <c r="AB258" s="6" t="str">
        <f>IFERROR(__xludf.DUMMYFUNCTION("""COMPUTED_VALUE"""),"Дизайнерских")</f>
        <v>Дизайнерских</v>
      </c>
      <c r="AC258" s="6" t="str">
        <f>IFERROR(__xludf.DUMMYFUNCTION("""COMPUTED_VALUE"""),"Катание на воздушном шаре :)")</f>
        <v>Катание на воздушном шаре :)</v>
      </c>
      <c r="AD258" s="6" t="str">
        <f>IFERROR(__xludf.DUMMYFUNCTION("""COMPUTED_VALUE"""),"Генератор идей :)")</f>
        <v>Генератор идей :)</v>
      </c>
      <c r="AE258" s="6" t="str">
        <f>IFERROR(__xludf.DUMMYFUNCTION("""COMPUTED_VALUE"""),"Мужской")</f>
        <v>Мужской</v>
      </c>
      <c r="AF258" s="6" t="str">
        <f>IFERROR(__xludf.DUMMYFUNCTION("""COMPUTED_VALUE"""),"30-44")</f>
        <v>30-44</v>
      </c>
      <c r="AG258" s="6"/>
      <c r="AH258" s="6"/>
      <c r="AI258" s="6"/>
      <c r="AJ258" s="6"/>
      <c r="AK258" s="6"/>
      <c r="AL258" s="6"/>
      <c r="AM258" s="6"/>
    </row>
    <row r="259">
      <c r="A259" s="4">
        <v>258.0</v>
      </c>
      <c r="B259" s="6" t="str">
        <f>IFERROR(__xludf.DUMMYFUNCTION("""COMPUTED_VALUE"""),"Продавец-консультант")</f>
        <v>Продавец-консультант</v>
      </c>
      <c r="C259" s="6" t="str">
        <f>IFERROR(__xludf.DUMMYFUNCTION("""COMPUTED_VALUE"""),"Рыбалка")</f>
        <v>Рыбалка</v>
      </c>
      <c r="D259" s="6" t="str">
        <f>IFERROR(__xludf.DUMMYFUNCTION("""COMPUTED_VALUE"""),"Рудничный")</f>
        <v>Рудничный</v>
      </c>
      <c r="E259" s="6" t="str">
        <f>IFERROR(__xludf.DUMMYFUNCTION("""COMPUTED_VALUE"""),"Парк Чудес Парк Ангелов")</f>
        <v>Парк Чудес Парк Ангелов</v>
      </c>
      <c r="F259" s="6" t="str">
        <f>IFERROR(__xludf.DUMMYFUNCTION("""COMPUTED_VALUE"""),"Переехал сюда из другого места (откуда? укажите в графе другое), Красноярский край г Шарыпово")</f>
        <v>Переехал сюда из другого места (откуда? укажите в графе другое), Красноярский край г Шарыпово</v>
      </c>
      <c r="G259" s="6" t="str">
        <f>IFERROR(__xludf.DUMMYFUNCTION("""COMPUTED_VALUE"""),"Парк Ангелов Парк Чудес")</f>
        <v>Парк Ангелов Парк Чудес</v>
      </c>
      <c r="H259" s="6" t="str">
        <f>IFERROR(__xludf.DUMMYFUNCTION("""COMPUTED_VALUE"""),"Кузбасс Родина Уголь Тулеев Грэс")</f>
        <v>Кузбасс Родина Уголь Тулеев Грэс</v>
      </c>
      <c r="I259" s="6" t="str">
        <f>IFERROR(__xludf.DUMMYFUNCTION("""COMPUTED_VALUE"""),"Аман Тулеев Вера Волошина")</f>
        <v>Аман Тулеев Вера Волошина</v>
      </c>
      <c r="J259" s="6" t="str">
        <f>IFERROR(__xludf.DUMMYFUNCTION("""COMPUTED_VALUE"""),"Вера Волошина")</f>
        <v>Вера Волошина</v>
      </c>
      <c r="K259" s="6" t="str">
        <f>IFERROR(__xludf.DUMMYFUNCTION("""COMPUTED_VALUE"""),"Парк Ангелов Цирк")</f>
        <v>Парк Ангелов Цирк</v>
      </c>
      <c r="L259" s="6" t="str">
        <f>IFERROR(__xludf.DUMMYFUNCTION("""COMPUTED_VALUE"""),"Кузбасс Шахтерская Край")</f>
        <v>Кузбасс Шахтерская Край</v>
      </c>
      <c r="M259" s="6" t="str">
        <f>IFERROR(__xludf.DUMMYFUNCTION("""COMPUTED_VALUE"""),"Ты где живешь я на Радуге")</f>
        <v>Ты где живешь я на Радуге</v>
      </c>
      <c r="N259" s="6" t="str">
        <f>IFERROR(__xludf.DUMMYFUNCTION("""COMPUTED_VALUE"""),"Ты Радуга КФС Новэкс Стабильность")</f>
        <v>Ты Радуга КФС Новэкс Стабильность</v>
      </c>
      <c r="O259" s="6" t="str">
        <f>IFERROR(__xludf.DUMMYFUNCTION("""COMPUTED_VALUE"""),"Почистить реку Томь")</f>
        <v>Почистить реку Томь</v>
      </c>
      <c r="P259" s="6" t="str">
        <f>IFERROR(__xludf.DUMMYFUNCTION("""COMPUTED_VALUE"""),"Ютуб ВКонтакте Одноклассники")</f>
        <v>Ютуб ВКонтакте Одноклассники</v>
      </c>
      <c r="Q259" s="6" t="str">
        <f>IFERROR(__xludf.DUMMYFUNCTION("""COMPUTED_VALUE"""),"куда пойти в свободное время, интервью с местными политиками, криминальные новости (происшествия/преступления)")</f>
        <v>куда пойти в свободное время, интервью с местными политиками, криминальные новости (происшествия/преступления)</v>
      </c>
      <c r="R259" s="6" t="str">
        <f>IFERROR(__xludf.DUMMYFUNCTION("""COMPUTED_VALUE"""),"День Шахтеров")</f>
        <v>День Шахтеров</v>
      </c>
      <c r="S259" s="6" t="str">
        <f>IFERROR(__xludf.DUMMYFUNCTION("""COMPUTED_VALUE"""),"Нет, не приходилось")</f>
        <v>Нет, не приходилось</v>
      </c>
      <c r="T259" s="6" t="str">
        <f>IFERROR(__xludf.DUMMYFUNCTION("""COMPUTED_VALUE"""),"Кузбасс знают все")</f>
        <v>Кузбасс знают все</v>
      </c>
      <c r="U259" s="6" t="str">
        <f>IFERROR(__xludf.DUMMYFUNCTION("""COMPUTED_VALUE"""),"Парк Ангелов")</f>
        <v>Парк Ангелов</v>
      </c>
      <c r="V259" s="6" t="str">
        <f>IFERROR(__xludf.DUMMYFUNCTION("""COMPUTED_VALUE"""),"Добыча угля ")</f>
        <v>Добыча угля </v>
      </c>
      <c r="W259" s="6" t="str">
        <f>IFERROR(__xludf.DUMMYFUNCTION("""COMPUTED_VALUE"""),"Терпеливые добрые гостеприимные")</f>
        <v>Терпеливые добрые гостеприимные</v>
      </c>
      <c r="X259" s="6" t="str">
        <f>IFERROR(__xludf.DUMMYFUNCTION("""COMPUTED_VALUE"""),"Парк Чудес")</f>
        <v>Парк Чудес</v>
      </c>
      <c r="Y259" s="6" t="str">
        <f>IFERROR(__xludf.DUMMYFUNCTION("""COMPUTED_VALUE"""),"Парк Ангелов")</f>
        <v>Парк Ангелов</v>
      </c>
      <c r="Z259" s="6" t="str">
        <f>IFERROR(__xludf.DUMMYFUNCTION("""COMPUTED_VALUE"""),"Работа в Новеске")</f>
        <v>Работа в Новеске</v>
      </c>
      <c r="AA259" s="6" t="str">
        <f>IFERROR(__xludf.DUMMYFUNCTION("""COMPUTED_VALUE"""),"Пожар в зимней вишне")</f>
        <v>Пожар в зимней вишне</v>
      </c>
      <c r="AB259" s="6" t="str">
        <f>IFERROR(__xludf.DUMMYFUNCTION("""COMPUTED_VALUE"""),"Дюшс")</f>
        <v>Дюшс</v>
      </c>
      <c r="AC259" s="6" t="str">
        <f>IFERROR(__xludf.DUMMYFUNCTION("""COMPUTED_VALUE"""),"Отмена масочного режима")</f>
        <v>Отмена масочного режима</v>
      </c>
      <c r="AD259" s="6" t="str">
        <f>IFERROR(__xludf.DUMMYFUNCTION("""COMPUTED_VALUE"""),"Незнаю")</f>
        <v>Незнаю</v>
      </c>
      <c r="AE259" s="6" t="str">
        <f>IFERROR(__xludf.DUMMYFUNCTION("""COMPUTED_VALUE"""),"Мужской")</f>
        <v>Мужской</v>
      </c>
      <c r="AF259" s="6" t="str">
        <f>IFERROR(__xludf.DUMMYFUNCTION("""COMPUTED_VALUE"""),"30-44")</f>
        <v>30-44</v>
      </c>
      <c r="AG259" s="6"/>
      <c r="AH259" s="6"/>
      <c r="AI259" s="6"/>
      <c r="AJ259" s="6"/>
      <c r="AK259" s="6"/>
      <c r="AL259" s="6"/>
      <c r="AM259" s="6"/>
    </row>
    <row r="260">
      <c r="A260" s="4">
        <v>259.0</v>
      </c>
      <c r="B260" s="6" t="str">
        <f>IFERROR(__xludf.DUMMYFUNCTION("""COMPUTED_VALUE"""),"Экономист в угольном холдинге")</f>
        <v>Экономист в угольном холдинге</v>
      </c>
      <c r="C260" s="6" t="str">
        <f>IFERROR(__xludf.DUMMYFUNCTION("""COMPUTED_VALUE"""),"Чтение, путешествия, рыбалка")</f>
        <v>Чтение, путешествия, рыбалка</v>
      </c>
      <c r="D260" s="6" t="str">
        <f>IFERROR(__xludf.DUMMYFUNCTION("""COMPUTED_VALUE"""),"В районе училища связи, уже бывшего. Раньше называли Пентагон. ")</f>
        <v>В районе училища связи, уже бывшего. Раньше называли Пентагон. </v>
      </c>
      <c r="E260" s="6" t="str">
        <f>IFERROR(__xludf.DUMMYFUNCTION("""COMPUTED_VALUE"""),"Старое трамвайное кольцо, Солдатское озеро")</f>
        <v>Старое трамвайное кольцо, Солдатское озеро</v>
      </c>
      <c r="F260" s="6" t="str">
        <f>IFERROR(__xludf.DUMMYFUNCTION("""COMPUTED_VALUE"""),"Переехал сюда из другого места (откуда? укажите в графе другое), Родилась в Анжеро-Судженске, в Кемерово приехала в институт из Донецкой обл. ")</f>
        <v>Переехал сюда из другого места (откуда? укажите в графе другое), Родилась в Анжеро-Судженске, в Кемерово приехала в институт из Донецкой обл. </v>
      </c>
      <c r="G260" s="6" t="str">
        <f>IFERROR(__xludf.DUMMYFUNCTION("""COMPUTED_VALUE"""),"СпортZall, набережная, Авиатор, Парк Жукова, сосновый бор ")</f>
        <v>СпортZall, набережная, Авиатор, Парк Жукова, сосновый бор </v>
      </c>
      <c r="H260" s="6" t="str">
        <f>IFERROR(__xludf.DUMMYFUNCTION("""COMPUTED_VALUE"""),"Азот, Радуга, Томь, Сосновый Бор, Томская писаница, Зимняя вишня ")</f>
        <v>Азот, Радуга, Томь, Сосновый Бор, Томская писаница, Зимняя вишня </v>
      </c>
      <c r="I260" s="6" t="str">
        <f>IFERROR(__xludf.DUMMYFUNCTION("""COMPUTED_VALUE"""),"Рутгерс, Михайлов В.В, Тулеев А.Г., Подгорбунский, В. Волошина, Ю. Двужильный")</f>
        <v>Рутгерс, Михайлов В.В, Тулеев А.Г., Подгорбунский, В. Волошина, Ю. Двужильный</v>
      </c>
      <c r="J260" s="6" t="str">
        <f>IFERROR(__xludf.DUMMYFUNCTION("""COMPUTED_VALUE"""),"Митрофанова Е.Ю., Гришковец Е., ")</f>
        <v>Митрофанова Е.Ю., Гришковец Е., </v>
      </c>
      <c r="K260" s="6" t="str">
        <f>IFERROR(__xludf.DUMMYFUNCTION("""COMPUTED_VALUE"""),"Набережная, красная горка, Томская писаница, Бор, лесная поляна, бар Бельгия, кондитерская Винервальд, бульвар строителей, район кадетского училища")</f>
        <v>Набережная, красная горка, Томская писаница, Бор, лесная поляна, бар Бельгия, кондитерская Винервальд, бульвар строителей, район кадетского училища</v>
      </c>
      <c r="L260" s="6" t="str">
        <f>IFERROR(__xludf.DUMMYFUNCTION("""COMPUTED_VALUE"""),"Только в Кемерово улица Свободы заканчивается в зоне")</f>
        <v>Только в Кемерово улица Свободы заканчивается в зоне</v>
      </c>
      <c r="M260" s="6" t="str">
        <f>IFERROR(__xludf.DUMMYFUNCTION("""COMPUTED_VALUE"""),"Вехотка (она же мочалка)")</f>
        <v>Вехотка (она же мочалка)</v>
      </c>
      <c r="N260" s="6" t="str">
        <f>IFERROR(__xludf.DUMMYFUNCTION("""COMPUTED_VALUE"""),"Чистота улиц, возможность припарковаться, наличие тротуаров, современный общественный транспорт, инфраструктура, отсутствие больших пробок на дорогах, возможность прямых перелетов и поездок в другие города")</f>
        <v>Чистота улиц, возможность припарковаться, наличие тротуаров, современный общественный транспорт, инфраструктура, отсутствие больших пробок на дорогах, возможность прямых перелетов и поездок в другие города</v>
      </c>
      <c r="O260" s="6" t="str">
        <f>IFERROR(__xludf.DUMMYFUNCTION("""COMPUTED_VALUE"""),"Неубираемые годами тротуары , мусор, обшарпанные дома, разбитые дворовые территории, отсутствие деревьев, грязь и лужи")</f>
        <v>Неубираемые годами тротуары , мусор, обшарпанные дома, разбитые дворовые территории, отсутствие деревьев, грязь и лужи</v>
      </c>
      <c r="P260" s="6" t="str">
        <f>IFERROR(__xludf.DUMMYFUNCTION("""COMPUTED_VALUE"""),"Фейсбук, Инстаграм ")</f>
        <v>Фейсбук, Инстаграм </v>
      </c>
      <c r="Q260" s="6" t="str">
        <f>IFERROR(__xludf.DUMMYFUNCTION("""COMPUTED_VALUE"""),"культурные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260" s="6" t="str">
        <f>IFERROR(__xludf.DUMMYFUNCTION("""COMPUTED_VALUE"""),"День шахтера, День Победы ")</f>
        <v>День шахтера, День Победы </v>
      </c>
      <c r="S260" s="6" t="str">
        <f>IFERROR(__xludf.DUMMYFUNCTION("""COMPUTED_VALUE"""),"Нет, не приходилось")</f>
        <v>Нет, не приходилось</v>
      </c>
      <c r="T260" s="6" t="str">
        <f>IFERROR(__xludf.DUMMYFUNCTION("""COMPUTED_VALUE"""),"Печально известен после Зимней вишни")</f>
        <v>Печально известен после Зимней вишни</v>
      </c>
      <c r="U260" s="6" t="str">
        <f>IFERROR(__xludf.DUMMYFUNCTION("""COMPUTED_VALUE"""),"Площадь советов, ЦУМ")</f>
        <v>Площадь советов, ЦУМ</v>
      </c>
      <c r="V260" s="6" t="str">
        <f>IFERROR(__xludf.DUMMYFUNCTION("""COMPUTED_VALUE"""),"Нет ответа")</f>
        <v>Нет ответа</v>
      </c>
      <c r="W260" s="6" t="str">
        <f>IFERROR(__xludf.DUMMYFUNCTION("""COMPUTED_VALUE"""),"Нормальные люди, не снобы, других не унижают. Трудолюбивые")</f>
        <v>Нормальные люди, не снобы, других не унижают. Трудолюбивые</v>
      </c>
      <c r="X260" s="6" t="str">
        <f>IFERROR(__xludf.DUMMYFUNCTION("""COMPUTED_VALUE"""),"Через площадь Советов и Пушкина идём на набережную, потом до Кирова, по Кирова до ЦУМа, далее до библиотеки, идём на площадь Волкова, политех, Космос, парк ангелов")</f>
        <v>Через площадь Советов и Пушкина идём на набережную, потом до Кирова, по Кирова до ЦУМа, далее до библиотеки, идём на площадь Волкова, политех, Космос, парк ангелов</v>
      </c>
      <c r="Y260" s="6" t="str">
        <f>IFERROR(__xludf.DUMMYFUNCTION("""COMPUTED_VALUE"""),"Рок фестиваль в 2019 организованный Стройсервисом")</f>
        <v>Рок фестиваль в 2019 организованный Стройсервисом</v>
      </c>
      <c r="Z260" s="6" t="str">
        <f>IFERROR(__xludf.DUMMYFUNCTION("""COMPUTED_VALUE"""),"Вырублено большинство деревьев в городе, застройка территории училища связи жилыми домами")</f>
        <v>Вырублено большинство деревьев в городе, застройка территории училища связи жилыми домами</v>
      </c>
      <c r="AA260" s="6" t="str">
        <f>IFERROR(__xludf.DUMMYFUNCTION("""COMPUTED_VALUE"""),"Невозможность пройти-проехать при демонстрациях и приездах гостей из власти")</f>
        <v>Невозможность пройти-проехать при демонстрациях и приездах гостей из власти</v>
      </c>
      <c r="AB260" s="6" t="str">
        <f>IFERROR(__xludf.DUMMYFUNCTION("""COMPUTED_VALUE"""),"Мне это не интересно ")</f>
        <v>Мне это не интересно </v>
      </c>
      <c r="AC260" s="6" t="str">
        <f>IFERROR(__xludf.DUMMYFUNCTION("""COMPUTED_VALUE"""),"Фестивали, спортивные соревнования высокого уровня")</f>
        <v>Фестивали, спортивные соревнования высокого уровня</v>
      </c>
      <c r="AD260" s="6" t="str">
        <f>IFERROR(__xludf.DUMMYFUNCTION("""COMPUTED_VALUE"""),"Народный эксперт ")</f>
        <v>Народный эксперт </v>
      </c>
      <c r="AE260" s="6" t="str">
        <f>IFERROR(__xludf.DUMMYFUNCTION("""COMPUTED_VALUE"""),"Женский")</f>
        <v>Женский</v>
      </c>
      <c r="AF260" s="6" t="str">
        <f>IFERROR(__xludf.DUMMYFUNCTION("""COMPUTED_VALUE"""),"45-55")</f>
        <v>45-55</v>
      </c>
      <c r="AG260" s="6"/>
      <c r="AH260" s="6"/>
      <c r="AI260" s="6"/>
      <c r="AJ260" s="6"/>
      <c r="AK260" s="6"/>
      <c r="AL260" s="6"/>
      <c r="AM260" s="6"/>
    </row>
    <row r="261">
      <c r="A261" s="4">
        <v>260.0</v>
      </c>
      <c r="B261" s="6" t="str">
        <f>IFERROR(__xludf.DUMMYFUNCTION("""COMPUTED_VALUE"""),"Собственники бизнеса. У нас фабрика поп производству мягкой тары. Трудится 40 чел.")</f>
        <v>Собственники бизнеса. У нас фабрика поп производству мягкой тары. Трудится 40 чел.</v>
      </c>
      <c r="C261" s="6" t="str">
        <f>IFERROR(__xludf.DUMMYFUNCTION("""COMPUTED_VALUE"""),"Зимой: Катания на лыжах. Летом на велосипеде. Межсезонье: спортзал +/-  ")</f>
        <v>Зимой: Катания на лыжах. Летом на велосипеде. Межсезонье: спортзал +/-  </v>
      </c>
      <c r="D261" s="6" t="str">
        <f>IFERROR(__xludf.DUMMYFUNCTION("""COMPUTED_VALUE"""),"Южный/Ленинский")</f>
        <v>Южный/Ленинский</v>
      </c>
      <c r="E261" s="6" t="str">
        <f>IFERROR(__xludf.DUMMYFUNCTION("""COMPUTED_VALUE"""),"Лента/Московский ТРЦ/ТРЦ ЛЕто/ Красное озеро")</f>
        <v>Лента/Московский ТРЦ/ТРЦ ЛЕто/ Красное озеро</v>
      </c>
      <c r="F261" s="6" t="str">
        <f>IFERROR(__xludf.DUMMYFUNCTION("""COMPUTED_VALUE"""),"Переехал сюда из другого места (откуда? укажите в графе другое), Из г. Белово в 1999 году. Приехал на учебу в КузГТУ")</f>
        <v>Переехал сюда из другого места (откуда? укажите в графе другое), Из г. Белово в 1999 году. Приехал на учебу в КузГТУ</v>
      </c>
      <c r="G261" s="6" t="str">
        <f>IFERROR(__xludf.DUMMYFUNCTION("""COMPUTED_VALUE"""),"Бор на лыжи, гуляем по району, на красное озеро")</f>
        <v>Бор на лыжи, гуляем по району, на красное озеро</v>
      </c>
      <c r="H261" s="6" t="str">
        <f>IFERROR(__xludf.DUMMYFUNCTION("""COMPUTED_VALUE"""),"Родной, весной грязный, пробки, хорошие дороги, промышленность, ебучие чиновники")</f>
        <v>Родной, весной грязный, пробки, хорошие дороги, промышленность, ебучие чиновники</v>
      </c>
      <c r="I261" s="6" t="str">
        <f>IFERROR(__xludf.DUMMYFUNCTION("""COMPUTED_VALUE"""),"Волков, Тулеев, Кислюк, Приставка,  ")</f>
        <v>Волков, Тулеев, Кислюк, Приставка,  </v>
      </c>
      <c r="J261" s="6" t="str">
        <f>IFERROR(__xludf.DUMMYFUNCTION("""COMPUTED_VALUE"""),"Представители малого бизнеса, которые выжывают под бременем налогов и административной машиной")</f>
        <v>Представители малого бизнеса, которые выжывают под бременем налогов и административной машиной</v>
      </c>
      <c r="K261" s="6" t="str">
        <f>IFERROR(__xludf.DUMMYFUNCTION("""COMPUTED_VALUE"""),"Лесная поляна/ Новый район на Южном - МЕРА/Прогулки на лошадях в Елыкаево/ ")</f>
        <v>Лесная поляна/ Новый район на Южном - МЕРА/Прогулки на лошадях в Елыкаево/ </v>
      </c>
      <c r="L261" s="6" t="str">
        <f>IFERROR(__xludf.DUMMYFUNCTION("""COMPUTED_VALUE"""),"Нас е..ут, а мы крепчаем")</f>
        <v>Нас е..ут, а мы крепчаем</v>
      </c>
      <c r="M261" s="6" t="str">
        <f>IFERROR(__xludf.DUMMYFUNCTION("""COMPUTED_VALUE"""),"не знаю")</f>
        <v>не знаю</v>
      </c>
      <c r="N261" s="6" t="str">
        <f>IFERROR(__xludf.DUMMYFUNCTION("""COMPUTED_VALUE"""),"1. Наличие общественного транспорта там где нужно бизнесу 2. Велодорожки везде! 3. чистые тротуары в пром зоне заводского района 4. Дорожные развязки уменьшающие пробки 5. Электротранспорт")</f>
        <v>1. Наличие общественного транспорта там где нужно бизнесу 2. Велодорожки везде! 3. чистые тротуары в пром зоне заводского района 4. Дорожные развязки уменьшающие пробки 5. Электротранспорт</v>
      </c>
      <c r="O261" s="6" t="str">
        <f>IFERROR(__xludf.DUMMYFUNCTION("""COMPUTED_VALUE"""),"1. Не допускать точечную не имеющую к стилю города высотную застройку 2. Внедрить Раздельный сбор мусора в придомовых территориях 3. Создать открытый площадки (типа TED Talks)  для обсуждения идей развития 4. Перестать кошмарить бизнес налогами. ")</f>
        <v>1. Не допускать точечную не имеющую к стилю города высотную застройку 2. Внедрить Раздельный сбор мусора в придомовых территориях 3. Создать открытый площадки (типа TED Talks)  для обсуждения идей развития 4. Перестать кошмарить бизнес налогами. </v>
      </c>
      <c r="P261" s="6" t="str">
        <f>IFERROR(__xludf.DUMMYFUNCTION("""COMPUTED_VALUE"""),"а42/телеграм каналы мэра, губернатора/ инстрагармм")</f>
        <v>а42/телеграм каналы мэра, губернатора/ инстрагармм</v>
      </c>
      <c r="Q261" s="6" t="str">
        <f>IFERROR(__xludf.DUMMYFUNCTION("""COMPUTED_VALUE"""),"интервью с местными политиками, интервью с местными предпринимателями, бизнес-новости (средний чек/рекламные акции/запуск новых предприятий)")</f>
        <v>интервью с местными политиками, интервью с местными предпринимателями, бизнес-новости (средний чек/рекламные акции/запуск новых предприятий)</v>
      </c>
      <c r="R261" s="6" t="str">
        <f>IFERROR(__xludf.DUMMYFUNCTION("""COMPUTED_VALUE"""),"День города, Новый год, ")</f>
        <v>День города, Новый год, </v>
      </c>
      <c r="S261" s="6" t="str">
        <f>IFERROR(__xludf.DUMMYFUNCTION("""COMPUTED_VALUE"""),"Нет, не приходилось")</f>
        <v>Нет, не приходилось</v>
      </c>
      <c r="T261" s="6" t="str">
        <f>IFERROR(__xludf.DUMMYFUNCTION("""COMPUTED_VALUE"""),"Европейская часть гостей приезжают к нам за орехом. Угольная пыль. Хорошие дороги (относительно других городов).")</f>
        <v>Европейская часть гостей приезжают к нам за орехом. Угольная пыль. Хорошие дороги (относительно других городов).</v>
      </c>
      <c r="U261" s="6" t="str">
        <f>IFERROR(__xludf.DUMMYFUNCTION("""COMPUTED_VALUE"""),"Весенняя улица, ")</f>
        <v>Весенняя улица, </v>
      </c>
      <c r="V261" s="6" t="str">
        <f>IFERROR(__xludf.DUMMYFUNCTION("""COMPUTED_VALUE"""),"Сохранили архитектуру центра и некоторых районов")</f>
        <v>Сохранили архитектуру центра и некоторых районов</v>
      </c>
      <c r="W261" s="6" t="str">
        <f>IFERROR(__xludf.DUMMYFUNCTION("""COMPUTED_VALUE"""),"НЕ разговаривают между собой в маршрутках, в лифте. Закрытые, напуганные. ")</f>
        <v>НЕ разговаривают между собой в маршрутках, в лифте. Закрытые, напуганные. </v>
      </c>
      <c r="X261" s="6" t="str">
        <f>IFERROR(__xludf.DUMMYFUNCTION("""COMPUTED_VALUE"""),"На водном самолете по реке Томь со стороны центра в сторону Елыкаево")</f>
        <v>На водном самолете по реке Томь со стороны центра в сторону Елыкаево</v>
      </c>
      <c r="Y261" s="6" t="str">
        <f>IFERROR(__xludf.DUMMYFUNCTION("""COMPUTED_VALUE"""),"Для меня: день города когда приехали московские звезды (2-3 года назад)")</f>
        <v>Для меня: день города когда приехали московские звезды (2-3 года назад)</v>
      </c>
      <c r="Z261" s="6" t="str">
        <f>IFERROR(__xludf.DUMMYFUNCTION("""COMPUTED_VALUE"""),"Строительство новых объектов")</f>
        <v>Строительство новых объектов</v>
      </c>
      <c r="AA261" s="6" t="str">
        <f>IFERROR(__xludf.DUMMYFUNCTION("""COMPUTED_VALUE"""),"УЕЗТУ отказывается помогать формировать новые маршруты общественного транспорта для предпринимателей")</f>
        <v>УЕЗТУ отказывается помогать формировать новые маршруты общественного транспорта для предпринимателей</v>
      </c>
      <c r="AB261" s="6" t="str">
        <f>IFERROR(__xludf.DUMMYFUNCTION("""COMPUTED_VALUE"""),"Сообщества предпринимателей с возможностью общаться с представителями власти (с теми кто действительно что-то решает, а не чинушами нижнего ранга)")</f>
        <v>Сообщества предпринимателей с возможностью общаться с представителями власти (с теми кто действительно что-то решает, а не чинушами нижнего ранга)</v>
      </c>
      <c r="AC261" s="6" t="str">
        <f>IFERROR(__xludf.DUMMYFUNCTION("""COMPUTED_VALUE"""),"Открытия новых машиностроительных заводов")</f>
        <v>Открытия новых машиностроительных заводов</v>
      </c>
      <c r="AD261" s="6" t="str">
        <f>IFERROR(__xludf.DUMMYFUNCTION("""COMPUTED_VALUE"""),"Эксперт/предприниматель")</f>
        <v>Эксперт/предприниматель</v>
      </c>
      <c r="AE261" s="6" t="str">
        <f>IFERROR(__xludf.DUMMYFUNCTION("""COMPUTED_VALUE"""),"Мужской")</f>
        <v>Мужской</v>
      </c>
      <c r="AF261" s="6" t="str">
        <f>IFERROR(__xludf.DUMMYFUNCTION("""COMPUTED_VALUE"""),"30-44")</f>
        <v>30-44</v>
      </c>
      <c r="AG261" s="6"/>
      <c r="AH261" s="6"/>
      <c r="AI261" s="6"/>
      <c r="AJ261" s="6"/>
      <c r="AK261" s="6"/>
      <c r="AL261" s="6"/>
      <c r="AM261" s="6"/>
    </row>
    <row r="262">
      <c r="A262" s="4">
        <v>261.0</v>
      </c>
      <c r="B262" s="6" t="str">
        <f>IFERROR(__xludf.DUMMYFUNCTION("""COMPUTED_VALUE"""),"пенсионер")</f>
        <v>пенсионер</v>
      </c>
      <c r="C262" s="6" t="str">
        <f>IFERROR(__xludf.DUMMYFUNCTION("""COMPUTED_VALUE"""),"йога")</f>
        <v>йога</v>
      </c>
      <c r="D262" s="6" t="str">
        <f>IFERROR(__xludf.DUMMYFUNCTION("""COMPUTED_VALUE"""),"центральный")</f>
        <v>центральный</v>
      </c>
      <c r="E262" s="6" t="str">
        <f>IFERROR(__xludf.DUMMYFUNCTION("""COMPUTED_VALUE"""),"парк молодежный")</f>
        <v>парк молодежный</v>
      </c>
      <c r="F262" s="6" t="str">
        <f>IFERROR(__xludf.DUMMYFUNCTION("""COMPUTED_VALUE"""),"переехала к детям")</f>
        <v>переехала к детям</v>
      </c>
      <c r="G262" s="6" t="str">
        <f>IFERROR(__xludf.DUMMYFUNCTION("""COMPUTED_VALUE"""),"тринити")</f>
        <v>тринити</v>
      </c>
      <c r="H262" s="6" t="str">
        <f>IFERROR(__xludf.DUMMYFUNCTION("""COMPUTED_VALUE"""),"сосновый бор. набережная, кузбассэнерго, драмтеатр, стадион химик, филармония")</f>
        <v>сосновый бор. набережная, кузбассэнерго, драмтеатр, стадион химик, филармония</v>
      </c>
      <c r="I262" s="6" t="str">
        <f>IFERROR(__xludf.DUMMYFUNCTION("""COMPUTED_VALUE"""),"леонов, волошина, чивилихин, подгорбунский")</f>
        <v>леонов, волошина, чивилихин, подгорбунский</v>
      </c>
      <c r="J262" s="6" t="str">
        <f>IFERROR(__xludf.DUMMYFUNCTION("""COMPUTED_VALUE"""),"тулеев, гришковец, малышева. машков")</f>
        <v>тулеев, гришковец, малышева. машков</v>
      </c>
      <c r="K262" s="6" t="str">
        <f>IFERROR(__xludf.DUMMYFUNCTION("""COMPUTED_VALUE"""),"томская писаница")</f>
        <v>томская писаница</v>
      </c>
      <c r="L262" s="6" t="str">
        <f>IFERROR(__xludf.DUMMYFUNCTION("""COMPUTED_VALUE"""),"нет")</f>
        <v>нет</v>
      </c>
      <c r="M262" s="6" t="str">
        <f>IFERROR(__xludf.DUMMYFUNCTION("""COMPUTED_VALUE"""),"нет")</f>
        <v>нет</v>
      </c>
      <c r="N262" s="6" t="str">
        <f>IFERROR(__xludf.DUMMYFUNCTION("""COMPUTED_VALUE"""),"нет")</f>
        <v>нет</v>
      </c>
      <c r="O262" s="6" t="str">
        <f>IFERROR(__xludf.DUMMYFUNCTION("""COMPUTED_VALUE"""),"очистка города от грязи и снега, асфальт тротуаров и парковых зон")</f>
        <v>очистка города от грязи и снега, асфальт тротуаров и парковых зон</v>
      </c>
      <c r="P262" s="6" t="str">
        <f>IFERROR(__xludf.DUMMYFUNCTION("""COMPUTED_VALUE"""),"тв, интернет( дром) ")</f>
        <v>тв, интернет( дром) </v>
      </c>
      <c r="Q262" s="6" t="str">
        <f>IFERROR(__xludf.DUMMYFUNCTION("""COMPUTED_VALUE"""),"где вкусно поесть/открытие новых кафе/ресторанов, городская афиша (кино/театр/концерты), интервью с экспертами на разные темы (напишите в разделе Другое свои предложения)")</f>
        <v>где вкусно поесть/открытие новых кафе/ресторанов, городская афиша (кино/театр/концерты), интервью с экспертами на разные темы (напишите в разделе Другое свои предложения)</v>
      </c>
      <c r="R262" s="6" t="str">
        <f>IFERROR(__xludf.DUMMYFUNCTION("""COMPUTED_VALUE"""),"день города, день победы")</f>
        <v>день города, день победы</v>
      </c>
      <c r="S262" s="6" t="str">
        <f>IFERROR(__xludf.DUMMYFUNCTION("""COMPUTED_VALUE"""),"Нет, не приходилось")</f>
        <v>Нет, не приходилось</v>
      </c>
      <c r="T262" s="6" t="str">
        <f>IFERROR(__xludf.DUMMYFUNCTION("""COMPUTED_VALUE"""),"нет")</f>
        <v>нет</v>
      </c>
      <c r="U262" s="6" t="str">
        <f>IFERROR(__xludf.DUMMYFUNCTION("""COMPUTED_VALUE"""),"площадь советов")</f>
        <v>площадь советов</v>
      </c>
      <c r="V262" s="6" t="str">
        <f>IFERROR(__xludf.DUMMYFUNCTION("""COMPUTED_VALUE"""),"были смелыми")</f>
        <v>были смелыми</v>
      </c>
      <c r="W262" s="6" t="str">
        <f>IFERROR(__xludf.DUMMYFUNCTION("""COMPUTED_VALUE"""),"открытые, добрые")</f>
        <v>открытые, добрые</v>
      </c>
      <c r="X262" s="6" t="str">
        <f>IFERROR(__xludf.DUMMYFUNCTION("""COMPUTED_VALUE"""),"набережная - филармония ")</f>
        <v>набережная - филармония </v>
      </c>
      <c r="Y262" s="6" t="str">
        <f>IFERROR(__xludf.DUMMYFUNCTION("""COMPUTED_VALUE"""),"не знаю")</f>
        <v>не знаю</v>
      </c>
      <c r="Z262" s="6" t="str">
        <f>IFERROR(__xludf.DUMMYFUNCTION("""COMPUTED_VALUE"""),"нет")</f>
        <v>нет</v>
      </c>
      <c r="AA262" s="6" t="str">
        <f>IFERROR(__xludf.DUMMYFUNCTION("""COMPUTED_VALUE"""),"грязный город зимой, нечищенные тротуары")</f>
        <v>грязный город зимой, нечищенные тротуары</v>
      </c>
      <c r="AB262" s="6" t="str">
        <f>IFERROR(__xludf.DUMMYFUNCTION("""COMPUTED_VALUE"""),"всего достаточно")</f>
        <v>всего достаточно</v>
      </c>
      <c r="AC262" s="6" t="str">
        <f>IFERROR(__xludf.DUMMYFUNCTION("""COMPUTED_VALUE"""),"спортирно-развлекательных")</f>
        <v>спортирно-развлекательных</v>
      </c>
      <c r="AD262" s="6" t="str">
        <f>IFERROR(__xludf.DUMMYFUNCTION("""COMPUTED_VALUE"""),"в роли жителя")</f>
        <v>в роли жителя</v>
      </c>
      <c r="AE262" s="6" t="str">
        <f>IFERROR(__xludf.DUMMYFUNCTION("""COMPUTED_VALUE"""),"Женский")</f>
        <v>Женский</v>
      </c>
      <c r="AF262" s="6" t="str">
        <f>IFERROR(__xludf.DUMMYFUNCTION("""COMPUTED_VALUE"""),"старше 55")</f>
        <v>старше 55</v>
      </c>
      <c r="AG262" s="6"/>
      <c r="AH262" s="6"/>
      <c r="AI262" s="6"/>
      <c r="AJ262" s="6"/>
      <c r="AK262" s="6"/>
      <c r="AL262" s="6"/>
      <c r="AM262" s="6"/>
    </row>
    <row r="263">
      <c r="A263" s="4">
        <v>262.0</v>
      </c>
      <c r="B263" s="6" t="str">
        <f>IFERROR(__xludf.DUMMYFUNCTION("""COMPUTED_VALUE"""),"Торговля финансовыми активами")</f>
        <v>Торговля финансовыми активами</v>
      </c>
      <c r="C263" s="6" t="str">
        <f>IFERROR(__xludf.DUMMYFUNCTION("""COMPUTED_VALUE"""),"Профессиональная фотография и музыка")</f>
        <v>Профессиональная фотография и музыка</v>
      </c>
      <c r="D263" s="6" t="str">
        <f>IFERROR(__xludf.DUMMYFUNCTION("""COMPUTED_VALUE"""),"На границе Ленинского и Центрального")</f>
        <v>На границе Ленинского и Центрального</v>
      </c>
      <c r="E263" s="6" t="str">
        <f>IFERROR(__xludf.DUMMYFUNCTION("""COMPUTED_VALUE"""),"Красное озеро, река Томь со скалистым противоположным берегом")</f>
        <v>Красное озеро, река Томь со скалистым противоположным берегом</v>
      </c>
      <c r="F263" s="6" t="str">
        <f>IFERROR(__xludf.DUMMYFUNCTION("""COMPUTED_VALUE"""),"Живу здесь с рождения")</f>
        <v>Живу здесь с рождения</v>
      </c>
      <c r="G263" s="6" t="str">
        <f>IFERROR(__xludf.DUMMYFUNCTION("""COMPUTED_VALUE"""),"Езжу на УАЗЕ по забытым таёжным тропам")</f>
        <v>Езжу на УАЗЕ по забытым таёжным тропам</v>
      </c>
      <c r="H263" s="6" t="str">
        <f>IFERROR(__xludf.DUMMYFUNCTION("""COMPUTED_VALUE"""),"Химический, шахтёрский, культурный, сибирский, грязный.")</f>
        <v>Химический, шахтёрский, культурный, сибирский, грязный.</v>
      </c>
      <c r="I263" s="6" t="str">
        <f>IFERROR(__xludf.DUMMYFUNCTION("""COMPUTED_VALUE"""),"Леонов")</f>
        <v>Леонов</v>
      </c>
      <c r="J263" s="6" t="str">
        <f>IFERROR(__xludf.DUMMYFUNCTION("""COMPUTED_VALUE"""),"Молодые предприниматели: Алексей Поляков, Михаил Беляев, Антон Овчинников, Татьяна Чештанова и другие")</f>
        <v>Молодые предприниматели: Алексей Поляков, Михаил Беляев, Антон Овчинников, Татьяна Чештанова и другие</v>
      </c>
      <c r="K263" s="6" t="str">
        <f>IFERROR(__xludf.DUMMYFUNCTION("""COMPUTED_VALUE"""),"Красная горка, Рудничный Бор, Харатс на Ноградской, арт-пространство Клумба.")</f>
        <v>Красная горка, Рудничный Бор, Харатс на Ноградской, арт-пространство Клумба.</v>
      </c>
      <c r="L263" s="6" t="str">
        <f>IFERROR(__xludf.DUMMYFUNCTION("""COMPUTED_VALUE"""),"Знаю только фразу «человек из Кемерова»")</f>
        <v>Знаю только фразу «человек из Кемерова»</v>
      </c>
      <c r="M263" s="6" t="str">
        <f>IFERROR(__xludf.DUMMYFUNCTION("""COMPUTED_VALUE"""),"Нет, не знаю :(")</f>
        <v>Нет, не знаю :(</v>
      </c>
      <c r="N263" s="6" t="str">
        <f>IFERROR(__xludf.DUMMYFUNCTION("""COMPUTED_VALUE"""),"Возможность комфортно пройти город вдоль и поперёк в белых кроссовках и с детской коляской, возможность проехать на мотоцикле и остаться чистым, возможность доехать на общественном транспорте быстро из нового района в другой новый район, возможность лежат"&amp;"ь на зелёном газоне и работать в ноутбуке.")</f>
        <v>Возможность комфортно пройти город вдоль и поперёк в белых кроссовках и с детской коляской, возможность проехать на мотоцикле и остаться чистым, возможность доехать на общественном транспорте быстро из нового района в другой новый район, возможность лежать на зелёном газоне и работать в ноутбуке.</v>
      </c>
      <c r="O263" s="6" t="str">
        <f>IFERROR(__xludf.DUMMYFUNCTION("""COMPUTED_VALUE"""),"Убрать фальш-фасады из керамогранита, кондиционеры и неопрятные вывески с исторических зданий")</f>
        <v>Убрать фальш-фасады из керамогранита, кондиционеры и неопрятные вывески с исторических зданий</v>
      </c>
      <c r="P263" s="6" t="str">
        <f>IFERROR(__xludf.DUMMYFUNCTION("""COMPUTED_VALUE"""),"Инстаграм")</f>
        <v>Инстаграм</v>
      </c>
      <c r="Q263" s="6" t="str">
        <f>IFERROR(__xludf.DUMMYFUNCTION("""COMPUTED_VALUE"""),"интервью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263" s="6" t="str">
        <f>IFERROR(__xludf.DUMMYFUNCTION("""COMPUTED_VALUE"""),"Затрудняюсь :(")</f>
        <v>Затрудняюсь :(</v>
      </c>
      <c r="S263" s="6" t="str">
        <f>IFERROR(__xludf.DUMMYFUNCTION("""COMPUTED_VALUE"""),"Через социальные сети (Какие? Укажите в графе другое), Организовывали автокультурное событие «HellLow Picnic 2015»")</f>
        <v>Через социальные сети (Какие? Укажите в графе другое), Организовывали автокультурное событие «HellLow Picnic 2015»</v>
      </c>
      <c r="T263" s="6" t="str">
        <f>IFERROR(__xludf.DUMMYFUNCTION("""COMPUTED_VALUE"""),"Прекрасный Бор на правом берегу Томи.")</f>
        <v>Прекрасный Бор на правом берегу Томи.</v>
      </c>
      <c r="U263" s="6" t="str">
        <f>IFERROR(__xludf.DUMMYFUNCTION("""COMPUTED_VALUE"""),"Красная горка")</f>
        <v>Красная горка</v>
      </c>
      <c r="V263" s="6" t="str">
        <f>IFERROR(__xludf.DUMMYFUNCTION("""COMPUTED_VALUE"""),"Если честно, почти никто не чувствует свою ответственность и возможность менять городскую среду в лучшую сторону. Все заняты зарабатыванием денег. Зона комфорта ограничена порогом своего жилья.")</f>
        <v>Если честно, почти никто не чувствует свою ответственность и возможность менять городскую среду в лучшую сторону. Все заняты зарабатыванием денег. Зона комфорта ограничена порогом своего жилья.</v>
      </c>
      <c r="W263" s="6" t="str">
        <f>IFERROR(__xludf.DUMMYFUNCTION("""COMPUTED_VALUE"""),"Если честно, то какие-то угрюмые :( Мало жизнерадостных и целеустремлённых людей.")</f>
        <v>Если честно, то какие-то угрюмые :( Мало жизнерадостных и целеустремлённых людей.</v>
      </c>
      <c r="X263" s="6" t="str">
        <f>IFERROR(__xludf.DUMMYFUNCTION("""COMPUTED_VALUE"""),"От пересечения Притомского/Октябрьского до Набережной с заходом на площадь Пушкина, по Набережной до Кирова/Советского, далее на Ноградскую, Весеннюю.")</f>
        <v>От пересечения Притомского/Октябрьского до Набережной с заходом на площадь Пушкина, по Набережной до Кирова/Советского, далее на Ноградскую, Весеннюю.</v>
      </c>
      <c r="Y263" s="6" t="str">
        <f>IFERROR(__xludf.DUMMYFUNCTION("""COMPUTED_VALUE"""),"Рок-концерт напротив Лапландии в 2019 году")</f>
        <v>Рок-концерт напротив Лапландии в 2019 году</v>
      </c>
      <c r="Z263" s="6" t="str">
        <f>IFERROR(__xludf.DUMMYFUNCTION("""COMPUTED_VALUE"""),"Может быть, что связано со строительством: реконструкция бульвара Строителей, продление проспекта Московского, начало строительства большого культурного кластера и продление набережной.")</f>
        <v>Может быть, что связано со строительством: реконструкция бульвара Строителей, продление проспекта Московского, начало строительства большого культурного кластера и продление набережной.</v>
      </c>
      <c r="AA263" s="6" t="str">
        <f>IFERROR(__xludf.DUMMYFUNCTION("""COMPUTED_VALUE"""),"Частые пожары на объектах малого и среднего бизнеса :(")</f>
        <v>Частые пожары на объектах малого и среднего бизнеса :(</v>
      </c>
      <c r="AB263" s="6" t="str">
        <f>IFERROR(__xludf.DUMMYFUNCTION("""COMPUTED_VALUE"""),"Побольше профсоюзов хотелось бы. И авторитетных интересных научных сообществ.")</f>
        <v>Побольше профсоюзов хотелось бы. И авторитетных интересных научных сообществ.</v>
      </c>
      <c r="AC263" s="6" t="str">
        <f>IFERROR(__xludf.DUMMYFUNCTION("""COMPUTED_VALUE"""),"Концерты мировых исполнителей")</f>
        <v>Концерты мировых исполнителей</v>
      </c>
      <c r="AD263" s="6" t="str">
        <f>IFERROR(__xludf.DUMMYFUNCTION("""COMPUTED_VALUE"""),"В роли консультанта по приведению городской среды в порядок")</f>
        <v>В роли консультанта по приведению городской среды в порядок</v>
      </c>
      <c r="AE263" s="6" t="str">
        <f>IFERROR(__xludf.DUMMYFUNCTION("""COMPUTED_VALUE"""),"Мужской")</f>
        <v>Мужской</v>
      </c>
      <c r="AF263" s="6" t="str">
        <f>IFERROR(__xludf.DUMMYFUNCTION("""COMPUTED_VALUE"""),"30-44")</f>
        <v>30-44</v>
      </c>
      <c r="AG263" s="6"/>
      <c r="AH263" s="6"/>
      <c r="AI263" s="6"/>
      <c r="AJ263" s="6"/>
      <c r="AK263" s="6"/>
      <c r="AL263" s="6"/>
      <c r="AM263" s="6"/>
    </row>
    <row r="264">
      <c r="A264" s="4">
        <v>263.0</v>
      </c>
      <c r="B264" s="6" t="str">
        <f>IFERROR(__xludf.DUMMYFUNCTION("""COMPUTED_VALUE"""),"Энергетика")</f>
        <v>Энергетика</v>
      </c>
      <c r="C264" s="6" t="str">
        <f>IFERROR(__xludf.DUMMYFUNCTION("""COMPUTED_VALUE"""),"Программирование")</f>
        <v>Программирование</v>
      </c>
      <c r="D264" s="6" t="str">
        <f>IFERROR(__xludf.DUMMYFUNCTION("""COMPUTED_VALUE"""),"Заводской")</f>
        <v>Заводской</v>
      </c>
      <c r="E264" s="6" t="str">
        <f>IFERROR(__xludf.DUMMYFUNCTION("""COMPUTED_VALUE"""),"Пока никаких")</f>
        <v>Пока никаких</v>
      </c>
      <c r="F264" s="6" t="str">
        <f>IFERROR(__xludf.DUMMYFUNCTION("""COMPUTED_VALUE"""),"Живу здесь с рождения")</f>
        <v>Живу здесь с рождения</v>
      </c>
      <c r="G264" s="6" t="str">
        <f>IFERROR(__xludf.DUMMYFUNCTION("""COMPUTED_VALUE"""),"Центр, Парк Ангелов, Лесная поляна, Бор")</f>
        <v>Центр, Парк Ангелов, Лесная поляна, Бор</v>
      </c>
      <c r="H264" s="6" t="str">
        <f>IFERROR(__xludf.DUMMYFUNCTION("""COMPUTED_VALUE"""),"Уют, уголь, утки, Сибирь")</f>
        <v>Уют, уголь, утки, Сибирь</v>
      </c>
      <c r="I264" s="6" t="str">
        <f>IFERROR(__xludf.DUMMYFUNCTION("""COMPUTED_VALUE"""),"Волков")</f>
        <v>Волков</v>
      </c>
      <c r="J264" s="6" t="str">
        <f>IFERROR(__xludf.DUMMYFUNCTION("""COMPUTED_VALUE"""),"Гришковец")</f>
        <v>Гришковец</v>
      </c>
      <c r="K264" s="6" t="str">
        <f>IFERROR(__xludf.DUMMYFUNCTION("""COMPUTED_VALUE"""),"Парк Ангелов, Набережная, Лесная поляна, Бульвар строителей, проспект Советский, Весенняя")</f>
        <v>Парк Ангелов, Набережная, Лесная поляна, Бульвар строителей, проспект Советский, Весенняя</v>
      </c>
      <c r="L264" s="6" t="str">
        <f>IFERROR(__xludf.DUMMYFUNCTION("""COMPUTED_VALUE"""),"-")</f>
        <v>-</v>
      </c>
      <c r="M264" s="6" t="str">
        <f>IFERROR(__xludf.DUMMYFUNCTION("""COMPUTED_VALUE"""),"-")</f>
        <v>-</v>
      </c>
      <c r="N264" s="6" t="str">
        <f>IFERROR(__xludf.DUMMYFUNCTION("""COMPUTED_VALUE"""),"Транспортное Удобство, чистота, среднегодовая температура")</f>
        <v>Транспортное Удобство, чистота, среднегодовая температура</v>
      </c>
      <c r="O264" s="6" t="str">
        <f>IFERROR(__xludf.DUMMYFUNCTION("""COMPUTED_VALUE"""),"Сделать реновацию - капитальный ремонт старых зданий с перестройкой фасадов, чтобы придать домам индивидуальность. Подземный паркинг в центре.")</f>
        <v>Сделать реновацию - капитальный ремонт старых зданий с перестройкой фасадов, чтобы придать домам индивидуальность. Подземный паркинг в центре.</v>
      </c>
      <c r="P264" s="6" t="str">
        <f>IFERROR(__xludf.DUMMYFUNCTION("""COMPUTED_VALUE"""),"ВКонтакте, Гугл новости, а42")</f>
        <v>ВКонтакте, Гугл новости, а42</v>
      </c>
      <c r="Q264"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f>
        <v>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v>
      </c>
      <c r="R264" s="6" t="str">
        <f>IFERROR(__xludf.DUMMYFUNCTION("""COMPUTED_VALUE"""),"-")</f>
        <v>-</v>
      </c>
      <c r="S264" s="6" t="str">
        <f>IFERROR(__xludf.DUMMYFUNCTION("""COMPUTED_VALUE"""),"Писал и расклеивал объявления/афиши, Через социальные сети (Какие? Укажите в графе другое), ВКонтакте")</f>
        <v>Писал и расклеивал объявления/афиши, Через социальные сети (Какие? Укажите в графе другое), ВКонтакте</v>
      </c>
      <c r="T264" s="6" t="str">
        <f>IFERROR(__xludf.DUMMYFUNCTION("""COMPUTED_VALUE"""),"Сейчас только Зимнюю вишню все вспоминают, да шахты")</f>
        <v>Сейчас только Зимнюю вишню все вспоминают, да шахты</v>
      </c>
      <c r="U264" s="6" t="str">
        <f>IFERROR(__xludf.DUMMYFUNCTION("""COMPUTED_VALUE"""),"Советский,  Строителей")</f>
        <v>Советский,  Строителей</v>
      </c>
      <c r="V264" s="6" t="str">
        <f>IFERROR(__xludf.DUMMYFUNCTION("""COMPUTED_VALUE"""),"Придумали песню Человек из Кемерова")</f>
        <v>Придумали песню Человек из Кемерова</v>
      </c>
      <c r="W264" s="6" t="str">
        <f>IFERROR(__xludf.DUMMYFUNCTION("""COMPUTED_VALUE"""),"Такие же люди, как везде")</f>
        <v>Такие же люди, как везде</v>
      </c>
      <c r="X264" s="6" t="str">
        <f>IFERROR(__xludf.DUMMYFUNCTION("""COMPUTED_VALUE"""),"Набережная - Советский - Весенняя - Парк Ангелов")</f>
        <v>Набережная - Советский - Весенняя - Парк Ангелов</v>
      </c>
      <c r="Y264" s="6" t="str">
        <f>IFERROR(__xludf.DUMMYFUNCTION("""COMPUTED_VALUE"""),"Нашли уголь, и участие иностранцев в строительстве коммуны")</f>
        <v>Нашли уголь, и участие иностранцев в строительстве коммуны</v>
      </c>
      <c r="Z264" s="6" t="str">
        <f>IFERROR(__xludf.DUMMYFUNCTION("""COMPUTED_VALUE"""),"Начало строительства культурного квартала, перестройка Бульвара Строителей. Строительство военной академии")</f>
        <v>Начало строительства культурного квартала, перестройка Бульвара Строителей. Строительство военной академии</v>
      </c>
      <c r="AA264" s="6" t="str">
        <f>IFERROR(__xludf.DUMMYFUNCTION("""COMPUTED_VALUE"""),"Закрытие Лазурного")</f>
        <v>Закрытие Лазурного</v>
      </c>
      <c r="AB264" s="6" t="str">
        <f>IFERROR(__xludf.DUMMYFUNCTION("""COMPUTED_VALUE"""),"-")</f>
        <v>-</v>
      </c>
      <c r="AC264" s="6" t="str">
        <f>IFERROR(__xludf.DUMMYFUNCTION("""COMPUTED_VALUE"""),"Больше концертов и тематических фестивалей")</f>
        <v>Больше концертов и тематических фестивалей</v>
      </c>
      <c r="AD264" s="6" t="str">
        <f>IFERROR(__xludf.DUMMYFUNCTION("""COMPUTED_VALUE"""),"Пассивного зрителя :(")</f>
        <v>Пассивного зрителя :(</v>
      </c>
      <c r="AE264" s="6" t="str">
        <f>IFERROR(__xludf.DUMMYFUNCTION("""COMPUTED_VALUE"""),"Мужской")</f>
        <v>Мужской</v>
      </c>
      <c r="AF264" s="6" t="str">
        <f>IFERROR(__xludf.DUMMYFUNCTION("""COMPUTED_VALUE"""),"30-44")</f>
        <v>30-44</v>
      </c>
      <c r="AG264" s="6"/>
      <c r="AH264" s="6"/>
      <c r="AI264" s="6"/>
      <c r="AJ264" s="6"/>
      <c r="AK264" s="6"/>
      <c r="AL264" s="6"/>
      <c r="AM264" s="6"/>
    </row>
    <row r="265">
      <c r="A265" s="4">
        <v>264.0</v>
      </c>
      <c r="B265" s="6" t="str">
        <f>IFERROR(__xludf.DUMMYFUNCTION("""COMPUTED_VALUE"""),"Программист ")</f>
        <v>Программист </v>
      </c>
      <c r="C265" s="6" t="str">
        <f>IFERROR(__xludf.DUMMYFUNCTION("""COMPUTED_VALUE"""),"Рисовать, готовить")</f>
        <v>Рисовать, готовить</v>
      </c>
      <c r="D265" s="6" t="str">
        <f>IFERROR(__xludf.DUMMYFUNCTION("""COMPUTED_VALUE"""),"Радуга")</f>
        <v>Радуга</v>
      </c>
      <c r="E265" s="6" t="str">
        <f>IFERROR(__xludf.DUMMYFUNCTION("""COMPUTED_VALUE"""),"Поля с туманами и пшеницей, Бор. ")</f>
        <v>Поля с туманами и пшеницей, Бор. </v>
      </c>
      <c r="F265" s="6" t="str">
        <f>IFERROR(__xludf.DUMMYFUNCTION("""COMPUTED_VALUE"""),"Переехал сюда из другого места (откуда? укажите в графе другое), Санкт Петербург ")</f>
        <v>Переехал сюда из другого места (откуда? укажите в графе другое), Санкт Петербург </v>
      </c>
      <c r="G265" s="6" t="str">
        <f>IFERROR(__xludf.DUMMYFUNCTION("""COMPUTED_VALUE"""),"К реке на набережную, в лесную поляну, Бор. Ещё красивый бульвар в Ленинском")</f>
        <v>К реке на набережную, в лесную поляну, Бор. Ещё красивый бульвар в Ленинском</v>
      </c>
      <c r="H265" s="6" t="str">
        <f>IFERROR(__xludf.DUMMYFUNCTION("""COMPUTED_VALUE"""),"Томь, 40ковая маршрутка, Кировский, набережная, сосны")</f>
        <v>Томь, 40ковая маршрутка, Кировский, набережная, сосны</v>
      </c>
      <c r="I265" s="6" t="str">
        <f>IFERROR(__xludf.DUMMYFUNCTION("""COMPUTED_VALUE"""),":) Вера Волошина и Леонов")</f>
        <v>:) Вера Волошина и Леонов</v>
      </c>
      <c r="J265" s="6" t="str">
        <f>IFERROR(__xludf.DUMMYFUNCTION("""COMPUTED_VALUE"""),"Не слежу за ситуацией :)")</f>
        <v>Не слежу за ситуацией :)</v>
      </c>
      <c r="K265" s="6" t="str">
        <f>IFERROR(__xludf.DUMMYFUNCTION("""COMPUTED_VALUE"""),"Прокатила бы на 40ковой маршрутке;)")</f>
        <v>Прокатила бы на 40ковой маршрутке;)</v>
      </c>
      <c r="L265" s="6" t="str">
        <f>IFERROR(__xludf.DUMMYFUNCTION("""COMPUTED_VALUE"""),"-")</f>
        <v>-</v>
      </c>
      <c r="M265" s="6" t="str">
        <f>IFERROR(__xludf.DUMMYFUNCTION("""COMPUTED_VALUE"""),"Повешать! Тут так все говорят")</f>
        <v>Повешать! Тут так все говорят</v>
      </c>
      <c r="N265" s="6" t="str">
        <f>IFERROR(__xludf.DUMMYFUNCTION("""COMPUTED_VALUE"""),"Чистые дорожки от дома до остановки, транспорт по расписанию, экология, магазины с качественными продуктами у дома")</f>
        <v>Чистые дорожки от дома до остановки, транспорт по расписанию, экология, магазины с качественными продуктами у дома</v>
      </c>
      <c r="O265" s="6" t="str">
        <f>IFERROR(__xludf.DUMMYFUNCTION("""COMPUTED_VALUE"""),"Тротуары, сливы у дорог (чтобы меньше меньше луж и грязи),  больше «взрослых» детских площадок (как в Москве яма), меньше  глупых и цветных вывесок на фасадах, меньше соцрекламы на дорогах ")</f>
        <v>Тротуары, сливы у дорог (чтобы меньше меньше луж и грязи),  больше «взрослых» детских площадок (как в Москве яма), меньше  глупых и цветных вывесок на фасадах, меньше соцрекламы на дорогах </v>
      </c>
      <c r="P265" s="6" t="str">
        <f>IFERROR(__xludf.DUMMYFUNCTION("""COMPUTED_VALUE"""),"От друзей")</f>
        <v>От друзей</v>
      </c>
      <c r="Q265" s="6" t="str">
        <f>IFERROR(__xludf.DUMMYFUNCTION("""COMPUTED_VALUE"""),"куда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f>
        <v>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v>
      </c>
      <c r="R265" s="6" t="str">
        <f>IFERROR(__xludf.DUMMYFUNCTION("""COMPUTED_VALUE"""),"Не была ни на одном, наверное другим важны фейерверки на день города и девятое мая, но лучше эти деньги на зелень и тротуары пустить")</f>
        <v>Не была ни на одном, наверное другим важны фейерверки на день города и девятое мая, но лучше эти деньги на зелень и тротуары пустить</v>
      </c>
      <c r="S265" s="6" t="str">
        <f>IFERROR(__xludf.DUMMYFUNCTION("""COMPUTED_VALUE"""),"Нет, не приходилось")</f>
        <v>Нет, не приходилось</v>
      </c>
      <c r="T265" s="6" t="str">
        <f>IFERROR(__xludf.DUMMYFUNCTION("""COMPUTED_VALUE"""),"Уголь, шахты, и Тулеев ")</f>
        <v>Уголь, шахты, и Тулеев </v>
      </c>
      <c r="U265" s="6" t="str">
        <f>IFERROR(__xludf.DUMMYFUNCTION("""COMPUTED_VALUE"""),"Весенняя/советский. ")</f>
        <v>Весенняя/советский. </v>
      </c>
      <c r="V265" s="6" t="str">
        <f>IFERROR(__xludf.DUMMYFUNCTION("""COMPUTED_VALUE"""),"Не думала об этом")</f>
        <v>Не думала об этом</v>
      </c>
      <c r="W265" s="6" t="str">
        <f>IFERROR(__xludf.DUMMYFUNCTION("""COMPUTED_VALUE"""),"Простые, не спешные люди, с большой семьей и наверное мало зарабатывающиеся")</f>
        <v>Простые, не спешные люди, с большой семьей и наверное мало зарабатывающиеся</v>
      </c>
      <c r="X265" s="6" t="str">
        <f>IFERROR(__xludf.DUMMYFUNCTION("""COMPUTED_VALUE"""),"Набережная-Советский- студмост - Ленина-терешкова до лапландии")</f>
        <v>Набережная-Советский- студмост - Ленина-терешкова до лапландии</v>
      </c>
      <c r="Y265" s="6" t="str">
        <f>IFERROR(__xludf.DUMMYFUNCTION("""COMPUTED_VALUE"""),"Вишня :( ")</f>
        <v>Вишня :( </v>
      </c>
      <c r="Z265" s="6" t="str">
        <f>IFERROR(__xludf.DUMMYFUNCTION("""COMPUTED_VALUE"""),"Спилили кусты и деревья у студ моста. Стало больше пространства, хотя раньше казалось что деревья жалко ")</f>
        <v>Спилили кусты и деревья у студ моста. Стало больше пространства, хотя раньше казалось что деревья жалко </v>
      </c>
      <c r="AA265" s="6" t="str">
        <f>IFERROR(__xludf.DUMMYFUNCTION("""COMPUTED_VALUE"""),"Пожар наверное самое страшное.")</f>
        <v>Пожар наверное самое страшное.</v>
      </c>
      <c r="AB265" s="6" t="str">
        <f>IFERROR(__xludf.DUMMYFUNCTION("""COMPUTED_VALUE"""),"Пекарских кружков, мастерклассов. ")</f>
        <v>Пекарских кружков, мастерклассов. </v>
      </c>
      <c r="AC265" s="6" t="str">
        <f>IFERROR(__xludf.DUMMYFUNCTION("""COMPUTED_VALUE"""),"Возможно в городе не хватает лектория, летом бы пространство под лекторий, а зимой тоже. Причём на обоих берегах, так как с одного на другой без машины долго добираться после работы ")</f>
        <v>Возможно в городе не хватает лектория, летом бы пространство под лекторий, а зимой тоже. Причём на обоих берегах, так как с одного на другой без машины долго добираться после работы </v>
      </c>
      <c r="AD265" s="6" t="str">
        <f>IFERROR(__xludf.DUMMYFUNCTION("""COMPUTED_VALUE"""),"Не знаю какая деятельность меня бы зацепила ")</f>
        <v>Не знаю какая деятельность меня бы зацепила </v>
      </c>
      <c r="AE265" s="6" t="str">
        <f>IFERROR(__xludf.DUMMYFUNCTION("""COMPUTED_VALUE"""),"Женский")</f>
        <v>Женский</v>
      </c>
      <c r="AF265" s="6" t="str">
        <f>IFERROR(__xludf.DUMMYFUNCTION("""COMPUTED_VALUE"""),"18-29")</f>
        <v>18-29</v>
      </c>
      <c r="AG265" s="6"/>
      <c r="AH265" s="6"/>
      <c r="AI265" s="6"/>
      <c r="AJ265" s="6"/>
      <c r="AK265" s="6"/>
      <c r="AL265" s="6"/>
      <c r="AM265" s="6"/>
    </row>
    <row r="266">
      <c r="A266" s="4">
        <v>265.0</v>
      </c>
      <c r="B266" s="6" t="str">
        <f>IFERROR(__xludf.DUMMYFUNCTION("""COMPUTED_VALUE"""),"Банк")</f>
        <v>Банк</v>
      </c>
      <c r="C266" s="6" t="str">
        <f>IFERROR(__xludf.DUMMYFUNCTION("""COMPUTED_VALUE"""),"Сноуборд, дача")</f>
        <v>Сноуборд, дача</v>
      </c>
      <c r="D266" s="6" t="str">
        <f>IFERROR(__xludf.DUMMYFUNCTION("""COMPUTED_VALUE"""),"Лесная поляна. Называю «поляна»")</f>
        <v>Лесная поляна. Называю «поляна»</v>
      </c>
      <c r="E266" s="6" t="str">
        <f>IFERROR(__xludf.DUMMYFUNCTION("""COMPUTED_VALUE"""),"Парк лесной поляны, таежная заимка, открытый доступный стадион и много тренажеров на улице")</f>
        <v>Парк лесной поляны, таежная заимка, открытый доступный стадион и много тренажеров на улице</v>
      </c>
      <c r="F266" s="6" t="str">
        <f>IFERROR(__xludf.DUMMYFUNCTION("""COMPUTED_VALUE"""),"Живу здесь с рождения")</f>
        <v>Живу здесь с рождения</v>
      </c>
      <c r="G266" s="6" t="str">
        <f>IFERROR(__xludf.DUMMYFUNCTION("""COMPUTED_VALUE"""),"Гуляем по Лесной поляне, ездим в центр города, на страусиное ранчо, на озера поблизости, картинг центр адреналин, бор.")</f>
        <v>Гуляем по Лесной поляне, ездим в центр города, на страусиное ранчо, на озера поблизости, картинг центр адреналин, бор.</v>
      </c>
      <c r="H266" s="6" t="str">
        <f>IFERROR(__xludf.DUMMYFUNCTION("""COMPUTED_VALUE"""),"Уголь, шахтер, кедр, сибирь, шерегеш")</f>
        <v>Уголь, шахтер, кедр, сибирь, шерегеш</v>
      </c>
      <c r="I266" s="6" t="str">
        <f>IFERROR(__xludf.DUMMYFUNCTION("""COMPUTED_VALUE"""),"Волков")</f>
        <v>Волков</v>
      </c>
      <c r="J266" s="6" t="str">
        <f>IFERROR(__xludf.DUMMYFUNCTION("""COMPUTED_VALUE"""),"Тулеев, михайлов, федяев, цивилев")</f>
        <v>Тулеев, михайлов, федяев, цивилев</v>
      </c>
      <c r="K266" s="6" t="str">
        <f>IFERROR(__xludf.DUMMYFUNCTION("""COMPUTED_VALUE"""),"Лесную поляну, обрыв в бору в журавлях, памятник шахтерам, набережную, томскую писаницу.")</f>
        <v>Лесную поляну, обрыв в бору в журавлях, памятник шахтерам, набережную, томскую писаницу.</v>
      </c>
      <c r="L266" s="6" t="str">
        <f>IFERROR(__xludf.DUMMYFUNCTION("""COMPUTED_VALUE"""),"-")</f>
        <v>-</v>
      </c>
      <c r="M266" s="6" t="str">
        <f>IFERROR(__xludf.DUMMYFUNCTION("""COMPUTED_VALUE"""),"-")</f>
        <v>-</v>
      </c>
      <c r="N266" s="6" t="str">
        <f>IFERROR(__xludf.DUMMYFUNCTION("""COMPUTED_VALUE"""),"Свежий воздух, возможность найти высокооплачиваемую работу, условия для воспитания детей( сады, школы, занятия для детей), развлечения (аквапарк, зоопарк, парк аттракционов), досуг для взрослых (рестораны, бары, пивоварни)")</f>
        <v>Свежий воздух, возможность найти высокооплачиваемую работу, условия для воспитания детей( сады, школы, занятия для детей), развлечения (аквапарк, зоопарк, парк аттракционов), досуг для взрослых (рестораны, бары, пивоварни)</v>
      </c>
      <c r="O266" s="6" t="str">
        <f>IFERROR(__xludf.DUMMYFUNCTION("""COMPUTED_VALUE"""),"Добавить современного стиля в жилые дома, засадить по возможности новыми красивыми деревьями, а не подпиливать старые толстенные тополя, ")</f>
        <v>Добавить современного стиля в жилые дома, засадить по возможности новыми красивыми деревьями, а не подпиливать старые толстенные тополя, </v>
      </c>
      <c r="P266" s="6" t="str">
        <f>IFERROR(__xludf.DUMMYFUNCTION("""COMPUTED_VALUE"""),"А 42 афиша 42")</f>
        <v>А 42 афиша 42</v>
      </c>
      <c r="Q266" s="6" t="str">
        <f>IFERROR(__xludf.DUMMYFUNCTION("""COMPUTED_VALUE"""),"где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266" s="6" t="str">
        <f>IFERROR(__xludf.DUMMYFUNCTION("""COMPUTED_VALUE"""),"День шахтера, день города")</f>
        <v>День шахтера, день города</v>
      </c>
      <c r="S266" s="6" t="str">
        <f>IFERROR(__xludf.DUMMYFUNCTION("""COMPUTED_VALUE"""),"Нет, не приходилось")</f>
        <v>Нет, не приходилось</v>
      </c>
      <c r="T266" s="6" t="str">
        <f>IFERROR(__xludf.DUMMYFUNCTION("""COMPUTED_VALUE"""),"Углем")</f>
        <v>Углем</v>
      </c>
      <c r="U266" s="6" t="str">
        <f>IFERROR(__xludf.DUMMYFUNCTION("""COMPUTED_VALUE"""),"Набережная и весенняя")</f>
        <v>Набережная и весенняя</v>
      </c>
      <c r="V266" s="6" t="str">
        <f>IFERROR(__xludf.DUMMYFUNCTION("""COMPUTED_VALUE"""),"Да")</f>
        <v>Да</v>
      </c>
      <c r="W266" s="6" t="str">
        <f>IFERROR(__xludf.DUMMYFUNCTION("""COMPUTED_VALUE"""),"Отзывчивые")</f>
        <v>Отзывчивые</v>
      </c>
      <c r="X266" s="6" t="str">
        <f>IFERROR(__xludf.DUMMYFUNCTION("""COMPUTED_VALUE"""),"По набережной через мост на крест и памятник шахтеров")</f>
        <v>По набережной через мост на крест и памятник шахтеров</v>
      </c>
      <c r="Y266" s="6" t="str">
        <f>IFERROR(__xludf.DUMMYFUNCTION("""COMPUTED_VALUE"""),"Да")</f>
        <v>Да</v>
      </c>
      <c r="Z266" s="6" t="str">
        <f>IFERROR(__xludf.DUMMYFUNCTION("""COMPUTED_VALUE"""),"Начали строить спортивные объекты и аквапарк")</f>
        <v>Начали строить спортивные объекты и аквапарк</v>
      </c>
      <c r="AA266" s="6" t="str">
        <f>IFERROR(__xludf.DUMMYFUNCTION("""COMPUTED_VALUE"""),"Не")</f>
        <v>Не</v>
      </c>
      <c r="AB266" s="6" t="str">
        <f>IFERROR(__xludf.DUMMYFUNCTION("""COMPUTED_VALUE"""),"Не")</f>
        <v>Не</v>
      </c>
      <c r="AC266" s="6" t="str">
        <f>IFERROR(__xludf.DUMMYFUNCTION("""COMPUTED_VALUE"""),"Концерты как на день рождения Стройсервиса")</f>
        <v>Концерты как на день рождения Стройсервиса</v>
      </c>
      <c r="AD266" s="6" t="str">
        <f>IFERROR(__xludf.DUMMYFUNCTION("""COMPUTED_VALUE"""),"Да в какой удобно")</f>
        <v>Да в какой удобно</v>
      </c>
      <c r="AE266" s="6" t="str">
        <f>IFERROR(__xludf.DUMMYFUNCTION("""COMPUTED_VALUE"""),"Мужской")</f>
        <v>Мужской</v>
      </c>
      <c r="AF266" s="6" t="str">
        <f>IFERROR(__xludf.DUMMYFUNCTION("""COMPUTED_VALUE"""),"30-44")</f>
        <v>30-44</v>
      </c>
      <c r="AG266" s="6"/>
      <c r="AH266" s="6"/>
      <c r="AI266" s="6"/>
      <c r="AJ266" s="6"/>
      <c r="AK266" s="6"/>
      <c r="AL266" s="6"/>
      <c r="AM266" s="6"/>
    </row>
    <row r="267">
      <c r="A267" s="4">
        <v>266.0</v>
      </c>
      <c r="B267" s="6" t="str">
        <f>IFERROR(__xludf.DUMMYFUNCTION("""COMPUTED_VALUE"""),"Домохозяйка ")</f>
        <v>Домохозяйка </v>
      </c>
      <c r="C267" s="6" t="str">
        <f>IFERROR(__xludf.DUMMYFUNCTION("""COMPUTED_VALUE"""),"Вязание крючком")</f>
        <v>Вязание крючком</v>
      </c>
      <c r="D267" s="6" t="str">
        <f>IFERROR(__xludf.DUMMYFUNCTION("""COMPUTED_VALUE"""),"Центр")</f>
        <v>Центр</v>
      </c>
      <c r="E267" s="6" t="str">
        <f>IFERROR(__xludf.DUMMYFUNCTION("""COMPUTED_VALUE"""),"Парк Антошка")</f>
        <v>Парк Антошка</v>
      </c>
      <c r="F267" s="6" t="str">
        <f>IFERROR(__xludf.DUMMYFUNCTION("""COMPUTED_VALUE"""),"Переехал сюда из другого места (откуда? укажите в графе другое), Переехали с родителями из г. Белово в 1986 году")</f>
        <v>Переехал сюда из другого места (откуда? укажите в графе другое), Переехали с родителями из г. Белово в 1986 году</v>
      </c>
      <c r="G267" s="6" t="str">
        <f>IFERROR(__xludf.DUMMYFUNCTION("""COMPUTED_VALUE"""),"Бор, Набережная")</f>
        <v>Бор, Набережная</v>
      </c>
      <c r="H267" s="6" t="str">
        <f>IFERROR(__xludf.DUMMYFUNCTION("""COMPUTED_VALUE"""),"Холодный, грязный, пыльный")</f>
        <v>Холодный, грязный, пыльный</v>
      </c>
      <c r="I267" s="6" t="str">
        <f>IFERROR(__xludf.DUMMYFUNCTION("""COMPUTED_VALUE"""),"Алексей Леонов")</f>
        <v>Алексей Леонов</v>
      </c>
      <c r="J267" s="6" t="str">
        <f>IFERROR(__xludf.DUMMYFUNCTION("""COMPUTED_VALUE"""),"Кампания Промстрой - стараются строить приличное (нестыдное) жильё;
Кампания Гудлайн - хорошая связь;
Владимир Сухацкий, историк
")</f>
        <v>Кампания Промстрой - стараются строить приличное (нестыдное) жильё;
Кампания Гудлайн - хорошая связь;
Владимир Сухацкий, историк
</v>
      </c>
      <c r="K267" s="6" t="str">
        <f>IFERROR(__xludf.DUMMYFUNCTION("""COMPUTED_VALUE"""),"Сосновый Бор и собственную дачу - там хоть есть чем дышать")</f>
        <v>Сосновый Бор и собственную дачу - там хоть есть чем дышать</v>
      </c>
      <c r="L267" s="6" t="str">
        <f>IFERROR(__xludf.DUMMYFUNCTION("""COMPUTED_VALUE"""),"Тайга и медведи по улицам ходят")</f>
        <v>Тайга и медведи по улицам ходят</v>
      </c>
      <c r="M267" s="6" t="str">
        <f>IFERROR(__xludf.DUMMYFUNCTION("""COMPUTED_VALUE"""),"—")</f>
        <v>—</v>
      </c>
      <c r="N267" s="6" t="str">
        <f>IFERROR(__xludf.DUMMYFUNCTION("""COMPUTED_VALUE"""),"Экология!!!! 
Возможность хорошо зарабатывать
Возможность путешествовать")</f>
        <v>Экология!!!! 
Возможность хорошо зарабатывать
Возможность путешествовать</v>
      </c>
      <c r="O267" s="6" t="str">
        <f>IFERROR(__xludf.DUMMYFUNCTION("""COMPUTED_VALUE"""),"Отмыть его от этой пыли, которая тоннами лежит на наших дворах и улицах и мы этим дышим")</f>
        <v>Отмыть его от этой пыли, которая тоннами лежит на наших дворах и улицах и мы этим дышим</v>
      </c>
      <c r="P267" s="6" t="str">
        <f>IFERROR(__xludf.DUMMYFUNCTION("""COMPUTED_VALUE"""),"Афиша 42")</f>
        <v>Афиша 42</v>
      </c>
      <c r="Q267" s="6" t="str">
        <f>IFERROR(__xludf.DUMMYFUNCTION("""COMPUTED_VALUE"""),"Всё интересно, главное, чтобы искренне, правдиво и без «преукрас ")</f>
        <v>Всё интересно, главное, чтобы искренне, правдиво и без «преукрас </v>
      </c>
      <c r="R267" s="6" t="str">
        <f>IFERROR(__xludf.DUMMYFUNCTION("""COMPUTED_VALUE"""),"—")</f>
        <v>—</v>
      </c>
      <c r="S267" s="6" t="str">
        <f>IFERROR(__xludf.DUMMYFUNCTION("""COMPUTED_VALUE"""),"Нет, не приходилось")</f>
        <v>Нет, не приходилось</v>
      </c>
      <c r="T267" s="6" t="str">
        <f>IFERROR(__xludf.DUMMYFUNCTION("""COMPUTED_VALUE"""),"Угледобыча")</f>
        <v>Угледобыча</v>
      </c>
      <c r="U267" s="6" t="str">
        <f>IFERROR(__xludf.DUMMYFUNCTION("""COMPUTED_VALUE"""),"Площадь Советов")</f>
        <v>Площадь Советов</v>
      </c>
      <c r="V267" s="6" t="str">
        <f>IFERROR(__xludf.DUMMYFUNCTION("""COMPUTED_VALUE"""),"Работали, работали и, ещё раз работали, чтоб расцветал лучший город земли (жаль только, что не наш)")</f>
        <v>Работали, работали и, ещё раз работали, чтоб расцветал лучший город земли (жаль только, что не наш)</v>
      </c>
      <c r="W267" s="6" t="str">
        <f>IFERROR(__xludf.DUMMYFUNCTION("""COMPUTED_VALUE"""),"Замкнутые, сдержанные")</f>
        <v>Замкнутые, сдержанные</v>
      </c>
      <c r="X267" s="6" t="str">
        <f>IFERROR(__xludf.DUMMYFUNCTION("""COMPUTED_VALUE"""),"А у нас много таких маршрутов? По-моему он неизменный: Парк Антошка - Парк Жукова- Филармония - Набережная- Весенняя - вот круг и замкнулся")</f>
        <v>А у нас много таких маршрутов? По-моему он неизменный: Парк Антошка - Парк Жукова- Филармония - Набережная- Весенняя - вот круг и замкнулся</v>
      </c>
      <c r="Y267" s="6" t="str">
        <f>IFERROR(__xludf.DUMMYFUNCTION("""COMPUTED_VALUE"""),"—")</f>
        <v>—</v>
      </c>
      <c r="Z267" s="6" t="str">
        <f>IFERROR(__xludf.DUMMYFUNCTION("""COMPUTED_VALUE"""),"Капитальный ремонт школы номер 7, но ещё куча таких же аварийно-запущенных школ стояло-стоят-и будут ещё долго стоять в таком виде")</f>
        <v>Капитальный ремонт школы номер 7, но ещё куча таких же аварийно-запущенных школ стояло-стоят-и будут ещё долго стоять в таком виде</v>
      </c>
      <c r="AA267" s="6" t="str">
        <f>IFERROR(__xludf.DUMMYFUNCTION("""COMPUTED_VALUE"""),"—")</f>
        <v>—</v>
      </c>
      <c r="AB267" s="6" t="str">
        <f>IFERROR(__xludf.DUMMYFUNCTION("""COMPUTED_VALUE"""),"Общественной организации в делах управления городом 
")</f>
        <v>Общественной организации в делах управления городом 
</v>
      </c>
      <c r="AC267" s="6" t="str">
        <f>IFERROR(__xludf.DUMMYFUNCTION("""COMPUTED_VALUE"""),"—")</f>
        <v>—</v>
      </c>
      <c r="AD267" s="6" t="str">
        <f>IFERROR(__xludf.DUMMYFUNCTION("""COMPUTED_VALUE"""),"Хотелось бы «громко» задать острые (а не отобранные модераторами удобные) вопросы органам власти и управления и получить на них конкретные ответы ")</f>
        <v>Хотелось бы «громко» задать острые (а не отобранные модераторами удобные) вопросы органам власти и управления и получить на них конкретные ответы </v>
      </c>
      <c r="AE267" s="6" t="str">
        <f>IFERROR(__xludf.DUMMYFUNCTION("""COMPUTED_VALUE"""),"Женский")</f>
        <v>Женский</v>
      </c>
      <c r="AF267" s="6" t="str">
        <f>IFERROR(__xludf.DUMMYFUNCTION("""COMPUTED_VALUE"""),"30-44")</f>
        <v>30-44</v>
      </c>
      <c r="AG267" s="6"/>
      <c r="AH267" s="6"/>
      <c r="AI267" s="6"/>
      <c r="AJ267" s="6"/>
      <c r="AK267" s="6"/>
      <c r="AL267" s="6"/>
      <c r="AM267" s="6"/>
    </row>
    <row r="268">
      <c r="A268" s="4">
        <v>267.0</v>
      </c>
      <c r="B268" s="6" t="str">
        <f>IFERROR(__xludf.DUMMYFUNCTION("""COMPUTED_VALUE"""),"Учитель")</f>
        <v>Учитель</v>
      </c>
      <c r="C268" s="6" t="str">
        <f>IFERROR(__xludf.DUMMYFUNCTION("""COMPUTED_VALUE"""),"Изучение языков и психологии, чтение детективов, рисование картин по номерам, алмазная живопись, лепка изделий из солёного теста.")</f>
        <v>Изучение языков и психологии, чтение детективов, рисование картин по номерам, алмазная живопись, лепка изделий из солёного теста.</v>
      </c>
      <c r="D268" s="6" t="str">
        <f>IFERROR(__xludf.DUMMYFUNCTION("""COMPUTED_VALUE"""),"Ленинский, спальный")</f>
        <v>Ленинский, спальный</v>
      </c>
      <c r="E268" s="6" t="str">
        <f>IFERROR(__xludf.DUMMYFUNCTION("""COMPUTED_VALUE"""),"Бульвар Строителей, ГЦС ""Кузбасс"", Президентское Кадетское Училище, Парк ""Кузбасский"", Опорный Вуз и СТРОИТСЯ КУЛЬТУРНО-ОБРАЗОВАТЕЛЬНЫЙ КОМПЛЕКС.")</f>
        <v>Бульвар Строителей, ГЦС "Кузбасс", Президентское Кадетское Училище, Парк "Кузбасский", Опорный Вуз и СТРОИТСЯ КУЛЬТУРНО-ОБРАЗОВАТЕЛЬНЫЙ КОМПЛЕКС.</v>
      </c>
      <c r="F268" s="6" t="str">
        <f>IFERROR(__xludf.DUMMYFUNCTION("""COMPUTED_VALUE"""),"Живу здесь с рождения")</f>
        <v>Живу здесь с рождения</v>
      </c>
      <c r="G268" s="6" t="str">
        <f>IFERROR(__xludf.DUMMYFUNCTION("""COMPUTED_VALUE"""),"Бульвар Строителей, Парк ""Кузбасский"", Сосновый Бор, Комсомольский парк имени Веры Волошиной, Улица Весенняя, набережная.")</f>
        <v>Бульвар Строителей, Парк "Кузбасский", Сосновый Бор, Комсомольский парк имени Веры Волошиной, Улица Весенняя, набережная.</v>
      </c>
      <c r="H268" s="6" t="str">
        <f>IFERROR(__xludf.DUMMYFUNCTION("""COMPUTED_VALUE"""),"СТОЛИЦА Кузбасса, родной, любимый, дорогой, меняющийся.")</f>
        <v>СТОЛИЦА Кузбасса, родной, любимый, дорогой, меняющийся.</v>
      </c>
      <c r="I268" s="6" t="str">
        <f>IFERROR(__xludf.DUMMYFUNCTION("""COMPUTED_VALUE"""),"Михайло Волков, Алексей Архипович Леонов.")</f>
        <v>Михайло Волков, Алексей Архипович Леонов.</v>
      </c>
      <c r="J268" s="6" t="str">
        <f>IFERROR(__xludf.DUMMYFUNCTION("""COMPUTED_VALUE"""),"Всех не перечислить! У нас много одаренных и перспективных людей современности.")</f>
        <v>Всех не перечислить! У нас много одаренных и перспективных людей современности.</v>
      </c>
      <c r="K268" s="6" t="str">
        <f>IFERROR(__xludf.DUMMYFUNCTION("""COMPUTED_VALUE"""),"Лесная Поляна, Ботанический Сад, Сосновый Бор, Бульвар Строителей, Театральная площадь с композициями, Набережная, Красная Горка, Монумент Память шахтерам Кузбасса, Фонтан ""Сила Шахтерских традиций"".")</f>
        <v>Лесная Поляна, Ботанический Сад, Сосновый Бор, Бульвар Строителей, Театральная площадь с композициями, Набережная, Красная Горка, Монумент Память шахтерам Кузбасса, Фонтан "Сила Шахтерских традиций".</v>
      </c>
      <c r="L268" s="6" t="str">
        <f>IFERROR(__xludf.DUMMYFUNCTION("""COMPUTED_VALUE"""),"Сибиряк, не тот кто морозов не боится, а тот кто умеет тепло одеваться, Без огонька не добыть уголька. ")</f>
        <v>Сибиряк, не тот кто морозов не боится, а тот кто умеет тепло одеваться, Без огонька не добыть уголька. </v>
      </c>
      <c r="M268" s="6" t="str">
        <f>IFERROR(__xludf.DUMMYFUNCTION("""COMPUTED_VALUE"""),"погода")</f>
        <v>погода</v>
      </c>
      <c r="N268" s="6" t="str">
        <f>IFERROR(__xludf.DUMMYFUNCTION("""COMPUTED_VALUE"""),"Высокая средняя заработная плата и пенсии, низкие ставки по ипотеке, доступность жилья, уборки дворов от мусора, большие штрафы хозяевам собак за игнорирование уборки продуктов жизнедеятельности их питомцев и выговор за выгул собак без поводков в обществе"&amp;"нных местах.")</f>
        <v>Высокая средняя заработная плата и пенсии, низкие ставки по ипотеке, доступность жилья, уборки дворов от мусора, большие штрафы хозяевам собак за игнорирование уборки продуктов жизнедеятельности их питомцев и выговор за выгул собак без поводков в общественных местах.</v>
      </c>
      <c r="O268" s="6" t="str">
        <f>IFERROR(__xludf.DUMMYFUNCTION("""COMPUTED_VALUE"""),"Субботники по уборке снега, грязи, повсеместно, и не только учителями и школьниками, как это обычно и бывает, но и администрацией города, офисными работниками, всеми горожанами, по максимуму. И штрафы тем, кто ссорит. Чисто там, где не сорят, а не где уби"&amp;"рают! ")</f>
        <v>Субботники по уборке снега, грязи, повсеместно, и не только учителями и школьниками, как это обычно и бывает, но и администрацией города, офисными работниками, всеми горожанами, по максимуму. И штрафы тем, кто ссорит. Чисто там, где не сорят, а не где убирают! </v>
      </c>
      <c r="P268" s="6" t="str">
        <f>IFERROR(__xludf.DUMMYFUNCTION("""COMPUTED_VALUE"""),"Вконтакте, Яндекс новости.")</f>
        <v>Вконтакте, Яндекс новости.</v>
      </c>
      <c r="Q268" s="6" t="str">
        <f>IFERROR(__xludf.DUMMYFUNCTION("""COMPUTED_VALUE"""),"куда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бизнес-новости (средний чек/реклам"&amp;"ные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268" s="6" t="str">
        <f>IFERROR(__xludf.DUMMYFUNCTION("""COMPUTED_VALUE"""),"День Города. ")</f>
        <v>День Города. </v>
      </c>
      <c r="S268" s="6" t="str">
        <f>IFERROR(__xludf.DUMMYFUNCTION("""COMPUTED_VALUE"""),"Нет, не приходилось")</f>
        <v>Нет, не приходилось</v>
      </c>
      <c r="T268" s="6" t="str">
        <f>IFERROR(__xludf.DUMMYFUNCTION("""COMPUTED_VALUE"""),"Столица Кузбасса, областной центр, где с каждый днём что-то новое происходит и за 30 лет город не только увеличился в плане новых застроек и микрорайонов, но и стал гораздо интереснее для гостей.")</f>
        <v>Столица Кузбасса, областной центр, где с каждый днём что-то новое происходит и за 30 лет город не только увеличился в плане новых застроек и микрорайонов, но и стал гораздо интереснее для гостей.</v>
      </c>
      <c r="U268" s="6" t="str">
        <f>IFERROR(__xludf.DUMMYFUNCTION("""COMPUTED_VALUE"""),"Площадь Советов.")</f>
        <v>Площадь Советов.</v>
      </c>
      <c r="V268" s="6" t="str">
        <f>IFERROR(__xludf.DUMMYFUNCTION("""COMPUTED_VALUE"""),"Всё, что могли! Начиная с тяжелой работы в шахтах и заканчивая заводами, многие из которых были закрыты, хотя и приносили замечательные результаты, например, ""Химволокно"" во времена своего расцвета производило отличного качества вещи, из-за превосходног"&amp;"о качества волокна.")</f>
        <v>Всё, что могли! Начиная с тяжелой работы в шахтах и заканчивая заводами, многие из которых были закрыты, хотя и приносили замечательные результаты, например, "Химволокно" во времена своего расцвета производило отличного качества вещи, из-за превосходного качества волокна.</v>
      </c>
      <c r="W268" s="6" t="str">
        <f>IFERROR(__xludf.DUMMYFUNCTION("""COMPUTED_VALUE"""),"Разные, как и в других городах. Могу за себя сказать, что я трудолюбивая, ответственная, пунктуальная, отзывчивая и творческая натура. ")</f>
        <v>Разные, как и в других городах. Могу за себя сказать, что я трудолюбивая, ответственная, пунктуальная, отзывчивая и творческая натура. </v>
      </c>
      <c r="X268" s="6" t="str">
        <f>IFERROR(__xludf.DUMMYFUNCTION("""COMPUTED_VALUE"""),"Думаю, надо начать с набережной, пройти до театральной площади, дойти до цирка, доехать до Президентского кадетского училища, пройти по линейному бульвару до Кузбасса, сходить в парк ""Кузбасский"", доехать до Комсомольского парка имени Веры Волошиной, съ"&amp;"ездить на Красную Горку, Сосновый Бор, Лесная Поляна, Ботанический Сад.")</f>
        <v>Думаю, надо начать с набережной, пройти до театральной площади, дойти до цирка, доехать до Президентского кадетского училища, пройти по линейному бульвару до Кузбасса, сходить в парк "Кузбасский", доехать до Комсомольского парка имени Веры Волошиной, съездить на Красную Горку, Сосновый Бор, Лесная Поляна, Ботанический Сад.</v>
      </c>
      <c r="Y268" s="6" t="str">
        <f>IFERROR(__xludf.DUMMYFUNCTION("""COMPUTED_VALUE"""),"Построены Президентское кадетское училище, разбит Парк Ангелов, Отреставрированы Бульвар Строителей, набережная в Кировском районе, строится Культурн0-образовательный Кластер.")</f>
        <v>Построены Президентское кадетское училище, разбит Парк Ангелов, Отреставрированы Бульвар Строителей, набережная в Кировском районе, строится Культурн0-образовательный Кластер.</v>
      </c>
      <c r="Z268" s="6" t="str">
        <f>IFERROR(__xludf.DUMMYFUNCTION("""COMPUTED_VALUE"""),"Новые проекты застройки новых учреждений Культуры. ")</f>
        <v>Новые проекты застройки новых учреждений Культуры. </v>
      </c>
      <c r="AA268" s="6" t="str">
        <f>IFERROR(__xludf.DUMMYFUNCTION("""COMPUTED_VALUE"""),"Негативное отношение некоторых граждан к ношению масок в период пандемии. ")</f>
        <v>Негативное отношение некоторых граждан к ношению масок в период пандемии. </v>
      </c>
      <c r="AB268" s="6" t="str">
        <f>IFERROR(__xludf.DUMMYFUNCTION("""COMPUTED_VALUE"""),"Образовательных и воспитательных для подрастающего поколения гаджетов.")</f>
        <v>Образовательных и воспитательных для подрастающего поколения гаджетов.</v>
      </c>
      <c r="AC268" s="6" t="str">
        <f>IFERROR(__xludf.DUMMYFUNCTION("""COMPUTED_VALUE"""),"Общегородские праздники типа Масленицы, Нового Года, Ярмарки Кемеровский Арбат на улице Весенней, открытые выставки на театральной площади, бесплатные мастер-классы на Бульваре Строителей по любым тематикам для детей и взрослых.")</f>
        <v>Общегородские праздники типа Масленицы, Нового Года, Ярмарки Кемеровский Арбат на улице Весенней, открытые выставки на театральной площади, бесплатные мастер-классы на Бульваре Строителей по любым тематикам для детей и взрослых.</v>
      </c>
      <c r="AD268" s="6" t="str">
        <f>IFERROR(__xludf.DUMMYFUNCTION("""COMPUTED_VALUE"""),"Создатель креативных идей и альтернативных предложений.")</f>
        <v>Создатель креативных идей и альтернативных предложений.</v>
      </c>
      <c r="AE268" s="6" t="str">
        <f>IFERROR(__xludf.DUMMYFUNCTION("""COMPUTED_VALUE"""),"Женский")</f>
        <v>Женский</v>
      </c>
      <c r="AF268" s="6" t="str">
        <f>IFERROR(__xludf.DUMMYFUNCTION("""COMPUTED_VALUE"""),"30-44")</f>
        <v>30-44</v>
      </c>
      <c r="AG268" s="6"/>
      <c r="AH268" s="6"/>
      <c r="AI268" s="6"/>
      <c r="AJ268" s="6"/>
      <c r="AK268" s="6"/>
      <c r="AL268" s="6"/>
      <c r="AM268" s="6"/>
    </row>
    <row r="269">
      <c r="A269" s="4">
        <v>268.0</v>
      </c>
      <c r="B269" s="6" t="str">
        <f>IFERROR(__xludf.DUMMYFUNCTION("""COMPUTED_VALUE"""),"Закупки")</f>
        <v>Закупки</v>
      </c>
      <c r="C269" s="6" t="str">
        <f>IFERROR(__xludf.DUMMYFUNCTION("""COMPUTED_VALUE"""),"Шью")</f>
        <v>Шью</v>
      </c>
      <c r="D269" s="6" t="str">
        <f>IFERROR(__xludf.DUMMYFUNCTION("""COMPUTED_VALUE"""),"Центральном")</f>
        <v>Центральном</v>
      </c>
      <c r="E269" s="6" t="str">
        <f>IFERROR(__xludf.DUMMYFUNCTION("""COMPUTED_VALUE"""),"Парк")</f>
        <v>Парк</v>
      </c>
      <c r="F26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269" s="6" t="str">
        <f>IFERROR(__xludf.DUMMYFUNCTION("""COMPUTED_VALUE"""),"Гулять (конкретных мест нет)")</f>
        <v>Гулять (конкретных мест нет)</v>
      </c>
      <c r="H269" s="6" t="str">
        <f>IFERROR(__xludf.DUMMYFUNCTION("""COMPUTED_VALUE"""),"Лапа, елка,река,Кузбасс ")</f>
        <v>Лапа, елка,река,Кузбасс </v>
      </c>
      <c r="I269" s="6" t="str">
        <f>IFERROR(__xludf.DUMMYFUNCTION("""COMPUTED_VALUE"""),"Не знаю")</f>
        <v>Не знаю</v>
      </c>
      <c r="J269" s="6" t="str">
        <f>IFERROR(__xludf.DUMMYFUNCTION("""COMPUTED_VALUE"""),"Не знаю ")</f>
        <v>Не знаю </v>
      </c>
      <c r="K269" s="6" t="str">
        <f>IFERROR(__xludf.DUMMYFUNCTION("""COMPUTED_VALUE"""),"Поляна,набережная ")</f>
        <v>Поляна,набережная </v>
      </c>
      <c r="L269" s="6" t="str">
        <f>IFERROR(__xludf.DUMMYFUNCTION("""COMPUTED_VALUE"""),"Не знаю")</f>
        <v>Не знаю</v>
      </c>
      <c r="M269" s="6" t="str">
        <f>IFERROR(__xludf.DUMMYFUNCTION("""COMPUTED_VALUE"""),"Нет")</f>
        <v>Нет</v>
      </c>
      <c r="N269" s="6" t="str">
        <f>IFERROR(__xludf.DUMMYFUNCTION("""COMPUTED_VALUE"""),"Чистота,уют, минимум пробок")</f>
        <v>Чистота,уют, минимум пробок</v>
      </c>
      <c r="O269" s="6" t="str">
        <f>IFERROR(__xludf.DUMMYFUNCTION("""COMPUTED_VALUE"""),"Город грязный")</f>
        <v>Город грязный</v>
      </c>
      <c r="P269" s="6" t="str">
        <f>IFERROR(__xludf.DUMMYFUNCTION("""COMPUTED_VALUE"""),"Соцсети")</f>
        <v>Соцсети</v>
      </c>
      <c r="Q269" s="6" t="str">
        <f>IFERROR(__xludf.DUMMYFUNCTION("""COMPUTED_VALUE"""),"Не смотрю ")</f>
        <v>Не смотрю </v>
      </c>
      <c r="R269" s="6" t="str">
        <f>IFERROR(__xludf.DUMMYFUNCTION("""COMPUTED_VALUE"""),"Не хожу ")</f>
        <v>Не хожу </v>
      </c>
      <c r="S269" s="6" t="str">
        <f>IFERROR(__xludf.DUMMYFUNCTION("""COMPUTED_VALUE"""),"Нет, не приходилось")</f>
        <v>Нет, не приходилось</v>
      </c>
      <c r="T269" s="6" t="str">
        <f>IFERROR(__xludf.DUMMYFUNCTION("""COMPUTED_VALUE"""),"Обычный город")</f>
        <v>Обычный город</v>
      </c>
      <c r="U269" s="6" t="str">
        <f>IFERROR(__xludf.DUMMYFUNCTION("""COMPUTED_VALUE"""),"Площадь советов")</f>
        <v>Площадь советов</v>
      </c>
      <c r="V269" s="6" t="str">
        <f>IFERROR(__xludf.DUMMYFUNCTION("""COMPUTED_VALUE"""),"Построили его")</f>
        <v>Построили его</v>
      </c>
      <c r="W269" s="6" t="str">
        <f>IFERROR(__xludf.DUMMYFUNCTION("""COMPUTED_VALUE"""),"Разные! ")</f>
        <v>Разные! </v>
      </c>
      <c r="X269" s="6" t="str">
        <f>IFERROR(__xludf.DUMMYFUNCTION("""COMPUTED_VALUE"""),"На поляну")</f>
        <v>На поляну</v>
      </c>
      <c r="Y269" s="6" t="str">
        <f>IFERROR(__xludf.DUMMYFUNCTION("""COMPUTED_VALUE"""),"Не знаб")</f>
        <v>Не знаб</v>
      </c>
      <c r="Z269" s="6" t="str">
        <f>IFERROR(__xludf.DUMMYFUNCTION("""COMPUTED_VALUE"""),"Строительство бульвара")</f>
        <v>Строительство бульвара</v>
      </c>
      <c r="AA269" s="6" t="str">
        <f>IFERROR(__xludf.DUMMYFUNCTION("""COMPUTED_VALUE"""),"Нечищеный дворы и дороги зимой")</f>
        <v>Нечищеный дворы и дороги зимой</v>
      </c>
      <c r="AB269" s="6" t="str">
        <f>IFERROR(__xludf.DUMMYFUNCTION("""COMPUTED_VALUE"""),"Мне все хватает")</f>
        <v>Мне все хватает</v>
      </c>
      <c r="AC269" s="6" t="str">
        <f>IFERROR(__xludf.DUMMYFUNCTION("""COMPUTED_VALUE"""),"Концерты")</f>
        <v>Концерты</v>
      </c>
      <c r="AD269" s="6" t="str">
        <f>IFERROR(__xludf.DUMMYFUNCTION("""COMPUTED_VALUE"""),"Наблюдатель")</f>
        <v>Наблюдатель</v>
      </c>
      <c r="AE269" s="6" t="str">
        <f>IFERROR(__xludf.DUMMYFUNCTION("""COMPUTED_VALUE"""),"Женский")</f>
        <v>Женский</v>
      </c>
      <c r="AF269" s="6" t="str">
        <f>IFERROR(__xludf.DUMMYFUNCTION("""COMPUTED_VALUE"""),"30-44")</f>
        <v>30-44</v>
      </c>
      <c r="AG269" s="6"/>
      <c r="AH269" s="6"/>
      <c r="AI269" s="6"/>
      <c r="AJ269" s="6"/>
      <c r="AK269" s="6"/>
      <c r="AL269" s="6"/>
      <c r="AM269" s="6"/>
    </row>
    <row r="270">
      <c r="A270" s="4">
        <v>269.0</v>
      </c>
      <c r="B270" s="6" t="str">
        <f>IFERROR(__xludf.DUMMYFUNCTION("""COMPUTED_VALUE"""),"Дизайнер, маркетолог")</f>
        <v>Дизайнер, маркетолог</v>
      </c>
      <c r="C270" s="6" t="str">
        <f>IFERROR(__xludf.DUMMYFUNCTION("""COMPUTED_VALUE"""),"Роспись стен, шитьё игрушек")</f>
        <v>Роспись стен, шитьё игрушек</v>
      </c>
      <c r="D270" s="6" t="str">
        <f>IFERROR(__xludf.DUMMYFUNCTION("""COMPUTED_VALUE"""),"эФПэКа")</f>
        <v>эФПэКа</v>
      </c>
      <c r="E270" s="6" t="str">
        <f>IFERROR(__xludf.DUMMYFUNCTION("""COMPUTED_VALUE"""),"Озеро с выдрой и утками в березовой роще, стадион 99 школы, детская автозона около 97 школы, котик с горшком около Гринвича, сквер новорождённых - беседка и тропинка по скверу")</f>
        <v>Озеро с выдрой и утками в березовой роще, стадион 99 школы, детская автозона около 97 школы, котик с горшком около Гринвича, сквер новорождённых - беседка и тропинка по скверу</v>
      </c>
      <c r="F270" s="6" t="str">
        <f>IFERROR(__xludf.DUMMYFUNCTION("""COMPUTED_VALUE"""),"Переехал сюда из другого места (откуда? укажите в графе другое), С 2003 года, приехала учиться из Иркутской области")</f>
        <v>Переехал сюда из другого места (откуда? укажите в графе другое), С 2003 года, приехала учиться из Иркутской области</v>
      </c>
      <c r="G270" s="6" t="str">
        <f>IFERROR(__xludf.DUMMYFUNCTION("""COMPUTED_VALUE"""),"Везде, хоть куда. Больше всего нравится Бор, Берёзовая роща, набережная, парк Кузбасский, Красное озеро, с бульвара Строителей до аллей около Президентского кадетского училища.")</f>
        <v>Везде, хоть куда. Больше всего нравится Бор, Берёзовая роща, набережная, парк Кузбасский, Красное озеро, с бульвара Строителей до аллей около Президентского кадетского училища.</v>
      </c>
      <c r="H270" s="6" t="str">
        <f>IFERROR(__xludf.DUMMYFUNCTION("""COMPUTED_VALUE"""),"Сильный, Яркий, мужчина, энергоёмкий, туманный")</f>
        <v>Сильный, Яркий, мужчина, энергоёмкий, туманный</v>
      </c>
      <c r="I270" s="6" t="str">
        <f>IFERROR(__xludf.DUMMYFUNCTION("""COMPUTED_VALUE"""),"Леонов, Волков")</f>
        <v>Леонов, Волков</v>
      </c>
      <c r="J270" s="6" t="str">
        <f>IFERROR(__xludf.DUMMYFUNCTION("""COMPUTED_VALUE"""),"Понятия не имею. ")</f>
        <v>Понятия не имею. </v>
      </c>
      <c r="K270" s="6" t="str">
        <f>IFERROR(__xludf.DUMMYFUNCTION("""COMPUTED_VALUE"""),"Под мост набережной сводила бы обязательно. Там хоть и мусорно, но стена классная и вид под мостом")</f>
        <v>Под мост набережной сводила бы обязательно. Там хоть и мусорно, но стена классная и вид под мостом</v>
      </c>
      <c r="L270" s="6" t="str">
        <f>IFERROR(__xludf.DUMMYFUNCTION("""COMPUTED_VALUE"""),"Пока не пнешь - не полетит. Муж кемеровчанин, он и его мама так себя и свою семью характеризуют. ")</f>
        <v>Пока не пнешь - не полетит. Муж кемеровчанин, он и его мама так себя и свою семью характеризуют. </v>
      </c>
      <c r="M270" s="6" t="str">
        <f>IFERROR(__xludf.DUMMYFUNCTION("""COMPUTED_VALUE"""),"Колба. Это я здесь услышала. У нас черемша) ")</f>
        <v>Колба. Это я здесь услышала. У нас черемша) </v>
      </c>
      <c r="N270" s="6" t="str">
        <f>IFERROR(__xludf.DUMMYFUNCTION("""COMPUTED_VALUE"""),"Приходится на работу на такси ездить либо с пересадками, хотелось бы чтобы появилось больше рейсовых автобусов, допустим с фпк до Федоровского уехать невозможно, 47 маршруты ведут себя очень нагло, могут стоять на морозе по полчаса, закрывать двери перед "&amp;"носом и уезжать или проезжать мимо. Заходит мама с ребёнком на руках - водила тут же на газ и полетел, они даже не ждут, когда она ребёнка хотя бы с рук спустит, она там зубами практически держится, чтобы не упасть. Чтобы водителей маршруток контролировал"&amp;"и! Чистки дороги - для машин проезжую часть чистят, для пешеходов - нет, приходилось зимой с ребёнком идти прямо по проезжей части, так как всю кучу снега прямо на пешеходную дорожку трактор загреб и всё. Делали чтобы спортивные площадки с умом, для приме"&amp;"ра - около 99 школы сделали коробку для футбола и баскетбола - не огородили сеткой, мячи улетают за невысокий забор, вместо тренировки постоянная беготня за мячом. Всё-таки чтобы все пешеходные переходы снабдили ночными подсветками, светофорами и стоп-лин"&amp;"ией - очень много неадекватных водителей, надо чтобы заставляли водителей пересдавать на права раз в 10 лет хотя бы, и не просто теорию и именно экзамен езды в городе! А то по старым правилам много кто сдал и ездит, а правил новых нарушает много, пешеходо"&amp;"в-детей не пропускают. Нет взаимовежливости абсолютно. ")</f>
        <v>Приходится на работу на такси ездить либо с пересадками, хотелось бы чтобы появилось больше рейсовых автобусов, допустим с фпк до Федоровского уехать невозможно, 47 маршруты ведут себя очень нагло, могут стоять на морозе по полчаса, закрывать двери перед носом и уезжать или проезжать мимо. Заходит мама с ребёнком на руках - водила тут же на газ и полетел, они даже не ждут, когда она ребёнка хотя бы с рук спустит, она там зубами практически держится, чтобы не упасть. Чтобы водителей маршруток контролировали! Чистки дороги - для машин проезжую часть чистят, для пешеходов - нет, приходилось зимой с ребёнком идти прямо по проезжей части, так как всю кучу снега прямо на пешеходную дорожку трактор загреб и всё. Делали чтобы спортивные площадки с умом, для примера - около 99 школы сделали коробку для футбола и баскетбола - не огородили сеткой, мячи улетают за невысокий забор, вместо тренировки постоянная беготня за мячом. Всё-таки чтобы все пешеходные переходы снабдили ночными подсветками, светофорами и стоп-линией - очень много неадекватных водителей, надо чтобы заставляли водителей пересдавать на права раз в 10 лет хотя бы, и не просто теорию и именно экзамен езды в городе! А то по старым правилам много кто сдал и ездит, а правил новых нарушает много, пешеходов-детей не пропускают. Нет взаимовежливости абсолютно. </v>
      </c>
      <c r="O270" s="6" t="str">
        <f>IFERROR(__xludf.DUMMYFUNCTION("""COMPUTED_VALUE"""),"Больше зелёных насаждений! Город-сад хочется) и цветов")</f>
        <v>Больше зелёных насаждений! Город-сад хочется) и цветов</v>
      </c>
      <c r="P270" s="6" t="str">
        <f>IFERROR(__xludf.DUMMYFUNCTION("""COMPUTED_VALUE"""),"Отовсюду. Соцсетях-Инстаграм, ВКонтакте")</f>
        <v>Отовсюду. Соцсетях-Инстаграм, ВКонтакте</v>
      </c>
      <c r="Q270"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 Почему про спорт и медицину нет в перечисленных? Спорт и мнение врачей, здоровье важны в жизни человека.")</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Почему про спорт и медицину нет в перечисленных? Спорт и мнение врачей, здоровье важны в жизни человека.</v>
      </c>
      <c r="R270" s="6" t="str">
        <f>IFERROR(__xludf.DUMMYFUNCTION("""COMPUTED_VALUE"""),"День шахтера, день молодёжи, 9 мая. По сути все праздники, какие проводятся в городе очень значимы!")</f>
        <v>День шахтера, день молодёжи, 9 мая. По сути все праздники, какие проводятся в городе очень значимы!</v>
      </c>
      <c r="S270"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Работа у меня такая."&amp;" ")</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Работа у меня такая. </v>
      </c>
      <c r="T270" s="6" t="str">
        <f>IFERROR(__xludf.DUMMYFUNCTION("""COMPUTED_VALUE"""),"Уникальные цены на продукты. Светофоры везде. Чистота (хоть и ругаются, что грязно, но пусть в тот же Иркутск сгоняют - почувствуют разницу). Печально известен Зимней Вишней, теперь Кемерово известен на весь мир из-за этой трагедии.")</f>
        <v>Уникальные цены на продукты. Светофоры везде. Чистота (хоть и ругаются, что грязно, но пусть в тот же Иркутск сгоняют - почувствуют разницу). Печально известен Зимней Вишней, теперь Кемерово известен на весь мир из-за этой трагедии.</v>
      </c>
      <c r="U270" s="6" t="str">
        <f>IFERROR(__xludf.DUMMYFUNCTION("""COMPUTED_VALUE"""),"Берег Томи. «Труженицу Томь». Крест и надпись «Кузбасс»")</f>
        <v>Берег Томи. «Труженицу Томь». Крест и надпись «Кузбасс»</v>
      </c>
      <c r="V270" s="6" t="str">
        <f>IFERROR(__xludf.DUMMYFUNCTION("""COMPUTED_VALUE"""),"Много чего. Это один из самых чистых городов с низкими ценами на продукты, которые я видела. Это дорогого стоит.")</f>
        <v>Много чего. Это один из самых чистых городов с низкими ценами на продукты, которые я видела. Это дорогого стоит.</v>
      </c>
      <c r="W270" s="6" t="str">
        <f>IFERROR(__xludf.DUMMYFUNCTION("""COMPUTED_VALUE"""),"К сожалению, не могу написать, хотя хотелось бы, что это город светлых, лёгких людей...Не люблю врать, а говорить как есть... Тяжеловатые, по большей части очень много депрессивно настроенных, но скорее всего, это из-за ситуации в мире везде так. Я лично "&amp;"по пальцам могу пересчитать оптимистичных, спокойных, жизнерадостных людей. Вымотанные, загруженные, наглые, неадекватные, очень, очень мало людей, которые верят во что-то хорошее, они не ощущают, не видят поддержку, устали все.")</f>
        <v>К сожалению, не могу написать, хотя хотелось бы, что это город светлых, лёгких людей...Не люблю врать, а говорить как есть... Тяжеловатые, по большей части очень много депрессивно настроенных, но скорее всего, это из-за ситуации в мире везде так. Я лично по пальцам могу пересчитать оптимистичных, спокойных, жизнерадостных людей. Вымотанные, загруженные, наглые, неадекватные, очень, очень мало людей, которые верят во что-то хорошее, они не ощущают, не видят поддержку, устали все.</v>
      </c>
      <c r="X270" s="6" t="str">
        <f>IFERROR(__xludf.DUMMYFUNCTION("""COMPUTED_VALUE"""),"По центру погулять-затем набережную пройти до филармонии-поехать на бульвар Строителей пройтись-до аллей Президентского кадетского училища-доехать до парка Кузбасский- снова доехать до ботанического сада около Лесной поляны-вернуться до бора и пешком до к"&amp;"реста подняться, только кофе с булочками захватить с собой, чтобы на город смотреть и радоваться жизни.")</f>
        <v>По центру погулять-затем набережную пройти до филармонии-поехать на бульвар Строителей пройтись-до аллей Президентского кадетского училища-доехать до парка Кузбасский- снова доехать до ботанического сада около Лесной поляны-вернуться до бора и пешком до креста подняться, только кофе с булочками захватить с собой, чтобы на город смотреть и радоваться жизни.</v>
      </c>
      <c r="Y270" s="6" t="str">
        <f>IFERROR(__xludf.DUMMYFUNCTION("""COMPUTED_VALUE"""),"Город развивается, это главное, а событий много.")</f>
        <v>Город развивается, это главное, а событий много.</v>
      </c>
      <c r="Z270" s="6" t="str">
        <f>IFERROR(__xludf.DUMMYFUNCTION("""COMPUTED_VALUE"""),"Не было их. Даже если и были попытки создать эти события, но они на фоне пандемии только раздражали людей, т.к.это пир во время чумы. Если только создание площади кузбасских историй укладывается в два года, то да, очень хорошее событие.")</f>
        <v>Не было их. Даже если и были попытки создать эти события, но они на фоне пандемии только раздражали людей, т.к.это пир во время чумы. Если только создание площади кузбасских историй укладывается в два года, то да, очень хорошее событие.</v>
      </c>
      <c r="AA270" s="6" t="str">
        <f>IFERROR(__xludf.DUMMYFUNCTION("""COMPUTED_VALUE"""),"Зимняя вишня. Не два года, конечно, но это тянется до сих пор. Вырубка деревьев около моста. Отношение людей к мерам безопасности во время пандемии.")</f>
        <v>Зимняя вишня. Не два года, конечно, но это тянется до сих пор. Вырубка деревьев около моста. Отношение людей к мерам безопасности во время пандемии.</v>
      </c>
      <c r="AB270" s="6" t="str">
        <f>IFERROR(__xludf.DUMMYFUNCTION("""COMPUTED_VALUE"""),"Творческих это точно. Детских - не платных игровых комнат, а именно сообществ, куда можно прийти с ребёнком и не только поиграть, но и получить бесплатно разовую консультацию специалиста (психолога, невролога, педагога, логопеда) и не одного). Спортивных "&amp;"- одно место или зал или площадка, куда бы тренера разных сфер могли приходить и проводить бесплатно разовые тренировки, может выступать с показательными выступлениями, чтобы Родители не мотались по городу то в один клуб то в другой, а знали, что вот есть"&amp;" такой-то адрес, там есть афиша кто когда придёт проводить бесплатную тренировку, и там на месте уже могли определиться подходит, нравится ли им такой вид спорта и уже сами договорятся с тренером. Такого вот типа сообществ не хватает. Кузбасские истории п"&amp;"онравились в этом плане.")</f>
        <v>Творческих это точно. Детских - не платных игровых комнат, а именно сообществ, куда можно прийти с ребёнком и не только поиграть, но и получить бесплатно разовую консультацию специалиста (психолога, невролога, педагога, логопеда) и не одного). Спортивных - одно место или зал или площадка, куда бы тренера разных сфер могли приходить и проводить бесплатно разовые тренировки, может выступать с показательными выступлениями, чтобы Родители не мотались по городу то в один клуб то в другой, а знали, что вот есть такой-то адрес, там есть афиша кто когда придёт проводить бесплатную тренировку, и там на месте уже могли определиться подходит, нравится ли им такой вид спорта и уже сами договорятся с тренером. Такого вот типа сообществ не хватает. Кузбасские истории понравились в этом плане.</v>
      </c>
      <c r="AC270" s="6" t="str">
        <f>IFERROR(__xludf.DUMMYFUNCTION("""COMPUTED_VALUE"""),"Арбат нужен. ")</f>
        <v>Арбат нужен. </v>
      </c>
      <c r="AD270" s="6" t="str">
        <f>IFERROR(__xludf.DUMMYFUNCTION("""COMPUTED_VALUE"""),"В любой. Чем смогу, помогу с удовольствием. ")</f>
        <v>В любой. Чем смогу, помогу с удовольствием. </v>
      </c>
      <c r="AE270" s="6" t="str">
        <f>IFERROR(__xludf.DUMMYFUNCTION("""COMPUTED_VALUE"""),"Женский")</f>
        <v>Женский</v>
      </c>
      <c r="AF270" s="6" t="str">
        <f>IFERROR(__xludf.DUMMYFUNCTION("""COMPUTED_VALUE"""),"30-44")</f>
        <v>30-44</v>
      </c>
      <c r="AG270" s="6"/>
      <c r="AH270" s="6"/>
      <c r="AI270" s="6"/>
      <c r="AJ270" s="6"/>
      <c r="AK270" s="6"/>
      <c r="AL270" s="6"/>
      <c r="AM270" s="6"/>
    </row>
    <row r="271">
      <c r="A271" s="4">
        <v>270.0</v>
      </c>
      <c r="B271" s="6" t="str">
        <f>IFERROR(__xludf.DUMMYFUNCTION("""COMPUTED_VALUE"""),"Руководитель")</f>
        <v>Руководитель</v>
      </c>
      <c r="C271" s="6" t="str">
        <f>IFERROR(__xludf.DUMMYFUNCTION("""COMPUTED_VALUE"""),"Музыка, чтение , прогулки по поляне")</f>
        <v>Музыка, чтение , прогулки по поляне</v>
      </c>
      <c r="D271" s="6" t="str">
        <f>IFERROR(__xludf.DUMMYFUNCTION("""COMPUTED_VALUE"""),"Лесная Поляна. Единственное достойное место для жизни в этой дыре")</f>
        <v>Лесная Поляна. Единственное достойное место для жизни в этой дыре</v>
      </c>
      <c r="E271" s="6" t="str">
        <f>IFERROR(__xludf.DUMMYFUNCTION("""COMPUTED_VALUE"""),"Он весь уникален и хорош. Смотровая площадка с оленем. Парк Лесная сказка ")</f>
        <v>Он весь уникален и хорош. Смотровая площадка с оленем. Парк Лесная сказка </v>
      </c>
      <c r="F271" s="6" t="str">
        <f>IFERROR(__xludf.DUMMYFUNCTION("""COMPUTED_VALUE"""),"Переехал сюда из другого места (откуда? укажите в графе другое), Барнаул,  релокация, 4 года")</f>
        <v>Переехал сюда из другого места (откуда? укажите в графе другое), Барнаул,  релокация, 4 года</v>
      </c>
      <c r="G271" s="6" t="str">
        <f>IFERROR(__xludf.DUMMYFUNCTION("""COMPUTED_VALUE"""),"Кедровый бор, Томская писанница, Рудничный бор, бр Строителей ")</f>
        <v>Кедровый бор, Томская писанница, Рудничный бор, бр Строителей </v>
      </c>
      <c r="H271" s="6" t="str">
        <f>IFERROR(__xludf.DUMMYFUNCTION("""COMPUTED_VALUE"""),"Депрессия. Деревня. Дыра. Убожество . Наркомания. ВИЧ. Преступность. Экология. Бедность. Быдло. Пивнушки  Зоны")</f>
        <v>Депрессия. Деревня. Дыра. Убожество . Наркомания. ВИЧ. Преступность. Экология. Бедность. Быдло. Пивнушки  Зоны</v>
      </c>
      <c r="I271" s="6" t="str">
        <f>IFERROR(__xludf.DUMMYFUNCTION("""COMPUTED_VALUE"""),"Не знаю таковых")</f>
        <v>Не знаю таковых</v>
      </c>
      <c r="J271" s="6" t="str">
        <f>IFERROR(__xludf.DUMMYFUNCTION("""COMPUTED_VALUE"""),"Горобцов Борис Семенович. Бывший мэр Михайлов")</f>
        <v>Горобцов Борис Семенович. Бывший мэр Михайлов</v>
      </c>
      <c r="K271" s="6" t="str">
        <f>IFERROR(__xludf.DUMMYFUNCTION("""COMPUTED_VALUE"""),"Лесная поляна. Красная горка. Бр Строителей. Томская писанница. Больше показывать нечего, убожество ")</f>
        <v>Лесная поляна. Красная горка. Бр Строителей. Томская писанница. Больше показывать нечего, убожество </v>
      </c>
      <c r="L271" s="6" t="str">
        <f>IFERROR(__xludf.DUMMYFUNCTION("""COMPUTED_VALUE"""),"Флегматичные тормоза, быдло, гопота, нытики")</f>
        <v>Флегматичные тормоза, быдло, гопота, нытики</v>
      </c>
      <c r="M271" s="6" t="str">
        <f>IFERROR(__xludf.DUMMYFUNCTION("""COMPUTED_VALUE"""),"Нет")</f>
        <v>Нет</v>
      </c>
      <c r="N271" s="6" t="str">
        <f>IFERROR(__xludf.DUMMYFUNCTION("""COMPUTED_VALUE"""),"Комфортная городская среда (качество дорог, транспортная доступность, состояние и доступность городского транспорта, качество и цена услуг ЖКХ, состояние жилфонда, современные и качественные места досуга (рекреационные зоны, ТЦ, аквапарк, кинотеатры, конц"&amp;"ертные залы, современная архитектурно и качественно жилищное строительство, а все вот это убожество в Кемерове. Высокий уровень качества сервиса и доступности аварийных службы ( полиция, скорая, мчс). Комфортная социальная среда (доступность, качество и ц"&amp;"ена медицины, образования всех уровней, кульурного развития). Менталитет. Архитектура.  Хорошая экология. Высокий уровень развития бизнеса, достойный уровень дохода, высокий уровень экономического развития, инвестиции в город. Честная, открытая,  професси"&amp;"ональная, болеющая за город власть.")</f>
        <v>Комфортная городская среда (качество дорог, транспортная доступность, состояние и доступность городского транспорта, качество и цена услуг ЖКХ, состояние жилфонда, современные и качественные места досуга (рекреационные зоны, ТЦ, аквапарк, кинотеатры, концертные залы, современная архитектурно и качественно жилищное строительство, а все вот это убожество в Кемерове. Высокий уровень качества сервиса и доступности аварийных службы ( полиция, скорая, мчс). Комфортная социальная среда (доступность, качество и цена медицины, образования всех уровней, кульурного развития). Менталитет. Архитектура.  Хорошая экология. Высокий уровень развития бизнеса, достойный уровень дохода, высокий уровень экономического развития, инвестиции в город. Честная, открытая,  профессиональная, болеющая за город власть.</v>
      </c>
      <c r="O271" s="6" t="str">
        <f>IFERROR(__xludf.DUMMYFUNCTION("""COMPUTED_VALUE"""),"Архитектурный облик. Учитесь на примере как минимум Барнаула. Снести частник и убогие хрущи и запретить строить в городе СДСу. Современная бизнес застройка перед Вокзалом вместо убогого соцгородка. Реновация хрущей. Современные ТЦ, бизнес-центры, жилое ст"&amp;"роительство. Нормальная организация дорожного движения,  а не эти светофоры по 2 минуты, убрать убогие пазики и зоны из города. Дизайн код (примитивные, аляпистые вывески, входные зоны магазинов, сервисных мест). Реновация старых детсадов и школ. Современ"&amp;"ные остановки общественного транспорта, их чистота.")</f>
        <v>Архитектурный облик. Учитесь на примере как минимум Барнаула. Снести частник и убогие хрущи и запретить строить в городе СДСу. Современная бизнес застройка перед Вокзалом вместо убогого соцгородка. Реновация хрущей. Современные ТЦ, бизнес-центры, жилое строительство. Нормальная организация дорожного движения,  а не эти светофоры по 2 минуты, убрать убогие пазики и зоны из города. Дизайн код (примитивные, аляпистые вывески, входные зоны магазинов, сервисных мест). Реновация старых детсадов и школ. Современные остановки общественного транспорта, их чистота.</v>
      </c>
      <c r="P271" s="6" t="str">
        <f>IFERROR(__xludf.DUMMYFUNCTION("""COMPUTED_VALUE"""),"Сибдепо. VSE42")</f>
        <v>Сибдепо. VSE42</v>
      </c>
      <c r="Q271" s="6" t="str">
        <f>IFERROR(__xludf.DUMMYFUNCTION("""COMPUTED_VALUE"""),"городская афиша (кино/театр/концерты),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f>
        <v>городская афиша (кино/театр/концерты),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v>
      </c>
      <c r="R271" s="6" t="str">
        <f>IFERROR(__xludf.DUMMYFUNCTION("""COMPUTED_VALUE"""),"Новый год, день защиты детей и день города ")</f>
        <v>Новый год, день защиты детей и день города </v>
      </c>
      <c r="S271" s="6" t="str">
        <f>IFERROR(__xludf.DUMMYFUNCTION("""COMPUTED_VALUE"""),"Нет, не приходилось")</f>
        <v>Нет, не приходилось</v>
      </c>
      <c r="T271" s="6" t="str">
        <f>IFERROR(__xludf.DUMMYFUNCTION("""COMPUTED_VALUE"""),"Знаменит своей негативной репутацией, миграцией населения, плохой экологией, низкими социальными рейтингами , криминалом")</f>
        <v>Знаменит своей негативной репутацией, миграцией населения, плохой экологией, низкими социальными рейтингами , криминалом</v>
      </c>
      <c r="U271" s="6" t="str">
        <f>IFERROR(__xludf.DUMMYFUNCTION("""COMPUTED_VALUE"""),"Почтамт ")</f>
        <v>Почтамт </v>
      </c>
      <c r="V271" s="6" t="str">
        <f>IFERROR(__xludf.DUMMYFUNCTION("""COMPUTED_VALUE"""),"Ничего ")</f>
        <v>Ничего </v>
      </c>
      <c r="W271" s="6" t="str">
        <f>IFERROR(__xludf.DUMMYFUNCTION("""COMPUTED_VALUE"""),"Флегматичные, неамбициозные, не проактивные, не стремящиеся к развитию, делают все как попало, но хитрые и продуманные на свой карман, нытики, быдловатые , матерщинники")</f>
        <v>Флегматичные, неамбициозные, не проактивные, не стремящиеся к развитию, делают все как попало, но хитрые и продуманные на свой карман, нытики, быдловатые , матерщинники</v>
      </c>
      <c r="X271" s="6" t="str">
        <f>IFERROR(__xludf.DUMMYFUNCTION("""COMPUTED_VALUE"""),"Сразу обратно из города")</f>
        <v>Сразу обратно из города</v>
      </c>
      <c r="Y271" s="6" t="str">
        <f>IFERROR(__xludf.DUMMYFUNCTION("""COMPUTED_VALUE"""),"Концерт Звезды мирового рока")</f>
        <v>Концерт Звезды мирового рока</v>
      </c>
      <c r="Z271" s="6" t="str">
        <f>IFERROR(__xludf.DUMMYFUNCTION("""COMPUTED_VALUE"""),"Организованный Стройсервисом рок -концерт ")</f>
        <v>Организованный Стройсервисом рок -концерт </v>
      </c>
      <c r="AA271" s="6" t="str">
        <f>IFERROR(__xludf.DUMMYFUNCTION("""COMPUTED_VALUE"""),"Пожар в зимней вишне. Засилье коррупционеров и амеб на всех уровнях власти. Шкалящая заболеваемость вич, туберкулёзом, онтологией. Исправительные учреждения в городе. Высокий уровень преступности и все ранее описанное убожество  ")</f>
        <v>Пожар в зимней вишне. Засилье коррупционеров и амеб на всех уровнях власти. Шкалящая заболеваемость вич, туберкулёзом, онтологией. Исправительные учреждения в городе. Высокий уровень преступности и все ранее описанное убожество  </v>
      </c>
      <c r="AB271" s="6" t="str">
        <f>IFERROR(__xludf.DUMMYFUNCTION("""COMPUTED_VALUE"""),"Не надо никаких")</f>
        <v>Не надо никаких</v>
      </c>
      <c r="AC271" s="6" t="str">
        <f>IFERROR(__xludf.DUMMYFUNCTION("""COMPUTED_VALUE"""),"Чаще концерты исполнителей качественной музыки (классика, рок). Бесплатных интересных мероприятий для семей с детьми.  ")</f>
        <v>Чаще концерты исполнителей качественной музыки (классика, рок). Бесплатных интересных мероприятий для семей с детьми.  </v>
      </c>
      <c r="AD271" s="6" t="str">
        <f>IFERROR(__xludf.DUMMYFUNCTION("""COMPUTED_VALUE"""),"Эксперт, критик, участник")</f>
        <v>Эксперт, критик, участник</v>
      </c>
      <c r="AE271" s="6" t="str">
        <f>IFERROR(__xludf.DUMMYFUNCTION("""COMPUTED_VALUE"""),"Мужской")</f>
        <v>Мужской</v>
      </c>
      <c r="AF271" s="6" t="str">
        <f>IFERROR(__xludf.DUMMYFUNCTION("""COMPUTED_VALUE"""),"30-44")</f>
        <v>30-44</v>
      </c>
      <c r="AG271" s="6"/>
      <c r="AH271" s="6"/>
      <c r="AI271" s="6"/>
      <c r="AJ271" s="6"/>
      <c r="AK271" s="6"/>
      <c r="AL271" s="6"/>
      <c r="AM271" s="6"/>
    </row>
    <row r="272">
      <c r="A272" s="4">
        <v>271.0</v>
      </c>
      <c r="B272" s="6" t="str">
        <f>IFERROR(__xludf.DUMMYFUNCTION("""COMPUTED_VALUE"""),"Пенсионер, самозанятый - репетитор по информатике")</f>
        <v>Пенсионер, самозанятый - репетитор по информатике</v>
      </c>
      <c r="C272" s="6" t="str">
        <f>IFERROR(__xludf.DUMMYFUNCTION("""COMPUTED_VALUE"""),"Путешествия, наполнение собственного сайта для школьников")</f>
        <v>Путешествия, наполнение собственного сайта для школьников</v>
      </c>
      <c r="D272" s="6" t="str">
        <f>IFERROR(__xludf.DUMMYFUNCTION("""COMPUTED_VALUE"""),"Центральный (заискитимский)")</f>
        <v>Центральный (заискитимский)</v>
      </c>
      <c r="E272" s="6" t="str">
        <f>IFERROR(__xludf.DUMMYFUNCTION("""COMPUTED_VALUE"""),"Весенняя, Набережная, Пионерский бульвар, Знаменский Собор")</f>
        <v>Весенняя, Набережная, Пионерский бульвар, Знаменский Собор</v>
      </c>
      <c r="F272" s="6" t="str">
        <f>IFERROR(__xludf.DUMMYFUNCTION("""COMPUTED_VALUE"""),"Переехал сюда из другого места (откуда? укажите в графе другое), Кемеровский район, переехал с родителями в 8 лет")</f>
        <v>Переехал сюда из другого места (откуда? укажите в графе другое), Кемеровский район, переехал с родителями в 8 лет</v>
      </c>
      <c r="G272" s="6" t="str">
        <f>IFERROR(__xludf.DUMMYFUNCTION("""COMPUTED_VALUE"""),"Комсомольский парк, Пионерский бульвар, Парк Жукова")</f>
        <v>Комсомольский парк, Пионерский бульвар, Парк Жукова</v>
      </c>
      <c r="H272" s="6" t="str">
        <f>IFERROR(__xludf.DUMMYFUNCTION("""COMPUTED_VALUE"""),"Трудовой, компактный, зеленый, чистый, сибирский")</f>
        <v>Трудовой, компактный, зеленый, чистый, сибирский</v>
      </c>
      <c r="I272" s="6" t="str">
        <f>IFERROR(__xludf.DUMMYFUNCTION("""COMPUTED_VALUE"""),"Михайло Волков, Владимир Мартемьянов,  Михаил Подгорбунский, Вера Волошина, Юрий Бабанский")</f>
        <v>Михайло Волков, Владимир Мартемьянов,  Михаил Подгорбунский, Вера Волошина, Юрий Бабанский</v>
      </c>
      <c r="J272" s="6" t="str">
        <f>IFERROR(__xludf.DUMMYFUNCTION("""COMPUTED_VALUE"""),"Владимир Михайлов, братья Раздаевы, Алексей Леонов.")</f>
        <v>Владимир Михайлов, братья Раздаевы, Алексей Леонов.</v>
      </c>
      <c r="K272" s="6" t="str">
        <f>IFERROR(__xludf.DUMMYFUNCTION("""COMPUTED_VALUE"""),"Площади Волкова, Советов, Пушкина, Драмтеатр, Набережная Томи, Бульвар Строителей, Лесная Поляна, Красная Горка, Сосновый бор, Проспект Шахтеров")</f>
        <v>Площади Волкова, Советов, Пушкина, Драмтеатр, Набережная Томи, Бульвар Строителей, Лесная Поляна, Красная Горка, Сосновый бор, Проспект Шахтеров</v>
      </c>
      <c r="L272" s="6" t="str">
        <f>IFERROR(__xludf.DUMMYFUNCTION("""COMPUTED_VALUE"""),"У железнодорожника спросили, из какого он города. Он ответил загадкой: - мой город центральный. Отсюда в разные стороны можно уехать - хоть в Барнаул, хоть в Боготол, хоть на станцию Болотное. Ему говорят: А поточнее? Он: Хоть в Тяжин, хоть в  Тогучин, хо"&amp;"ть на станцию Тягун.")</f>
        <v>У железнодорожника спросили, из какого он города. Он ответил загадкой: - мой город центральный. Отсюда в разные стороны можно уехать - хоть в Барнаул, хоть в Боготол, хоть на станцию Болотное. Ему говорят: А поточнее? Он: Хоть в Тяжин, хоть в  Тогучин, хоть на станцию Тягун.</v>
      </c>
      <c r="M272" s="6" t="str">
        <f>IFERROR(__xludf.DUMMYFUNCTION("""COMPUTED_VALUE"""),"Цветы огоньки (то, что везде жаркИ), колбА (черемша), раньше говорили ""еслиф"", особенно дети, но это всё вообще характерно для Кузбасса.")</f>
        <v>Цветы огоньки (то, что везде жаркИ), колбА (черемша), раньше говорили "еслиф", особенно дети, но это всё вообще характерно для Кузбасса.</v>
      </c>
      <c r="N272" s="6" t="str">
        <f>IFERROR(__xludf.DUMMYFUNCTION("""COMPUTED_VALUE"""),"Компактность, транспортная доступность, чистота, шаговая доступность магазинов и культурных учреждений, озеленение.")</f>
        <v>Компактность, транспортная доступность, чистота, шаговая доступность магазинов и культурных учреждений, озеленение.</v>
      </c>
      <c r="O272" s="6" t="str">
        <f>IFERROR(__xludf.DUMMYFUNCTION("""COMPUTED_VALUE"""),"Подновить фасады некоторых зданий, Объездная дорога и мост!")</f>
        <v>Подновить фасады некоторых зданий, Объездная дорога и мост!</v>
      </c>
      <c r="P272" s="6" t="str">
        <f>IFERROR(__xludf.DUMMYFUNCTION("""COMPUTED_VALUE"""),"Телевидение, газета a42.ru")</f>
        <v>Телевидение, газета a42.ru</v>
      </c>
      <c r="Q272"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272" s="6" t="str">
        <f>IFERROR(__xludf.DUMMYFUNCTION("""COMPUTED_VALUE"""),"День города, 9 мая, Новый год")</f>
        <v>День города, 9 мая, Новый год</v>
      </c>
      <c r="S272" s="6" t="str">
        <f>IFERROR(__xludf.DUMMYFUNCTION("""COMPUTED_VALUE"""),"Нет, не приходилось")</f>
        <v>Нет, не приходилось</v>
      </c>
      <c r="T272" s="6" t="str">
        <f>IFERROR(__xludf.DUMMYFUNCTION("""COMPUTED_VALUE"""),"Уникальный Сосновый бор, Знаменский Собор")</f>
        <v>Уникальный Сосновый бор, Знаменский Собор</v>
      </c>
      <c r="U272" s="6" t="str">
        <f>IFERROR(__xludf.DUMMYFUNCTION("""COMPUTED_VALUE"""),"Площадь у драмтеатра, Площадь Советов, Цирк")</f>
        <v>Площадь у драмтеатра, Площадь Советов, Цирк</v>
      </c>
      <c r="V272" s="6" t="str">
        <f>IFERROR(__xludf.DUMMYFUNCTION("""COMPUTED_VALUE"""),"Заводы 30-х годов, эвакуированные предприятия во время войны, новые заводы, вузы, особенно политехнический и медицинский, театры")</f>
        <v>Заводы 30-х годов, эвакуированные предприятия во время войны, новые заводы, вузы, особенно политехнический и медицинский, театры</v>
      </c>
      <c r="W272" s="6" t="str">
        <f>IFERROR(__xludf.DUMMYFUNCTION("""COMPUTED_VALUE"""),"Немногословные, держащие слово, женщины самые красивые.")</f>
        <v>Немногословные, держащие слово, женщины самые красивые.</v>
      </c>
      <c r="X272" s="6" t="str">
        <f>IFERROR(__xludf.DUMMYFUNCTION("""COMPUTED_VALUE"""),"Площадь Волкова - Весенняя - Набережная до Орбиты - Площадь Пушкина - Площадь Советов - Парк Жукова - Красноармейский мост - цирк - Пионерский бульвар от Ленина до памятника воинам - интернационалистам (или после цирка к Собору)")</f>
        <v>Площадь Волкова - Весенняя - Набережная до Орбиты - Площадь Пушкина - Площадь Советов - Парк Жукова - Красноармейский мост - цирк - Пионерский бульвар от Ленина до памятника воинам - интернационалистам (или после цирка к Собору)</v>
      </c>
      <c r="Y272" s="6" t="str">
        <f>IFERROR(__xludf.DUMMYFUNCTION("""COMPUTED_VALUE"""),"Чемпионат мира по хоккею с мячом 2007 и много других")</f>
        <v>Чемпионат мира по хоккею с мячом 2007 и много других</v>
      </c>
      <c r="Z272" s="6" t="str">
        <f>IFERROR(__xludf.DUMMYFUNCTION("""COMPUTED_VALUE"""),"Начало строительства культурного кластера и Московской площади")</f>
        <v>Начало строительства культурного кластера и Московской площади</v>
      </c>
      <c r="AA272" s="6" t="str">
        <f>IFERROR(__xludf.DUMMYFUNCTION("""COMPUTED_VALUE"""),"Пожар в ""Зимней Вишне"", хотя уже больше двух лет.")</f>
        <v>Пожар в "Зимней Вишне", хотя уже больше двух лет.</v>
      </c>
      <c r="AB272" s="6" t="str">
        <f>IFERROR(__xludf.DUMMYFUNCTION("""COMPUTED_VALUE"""),"Объединённой организации защиты животных, активного краеведческого сообщества")</f>
        <v>Объединённой организации защиты животных, активного краеведческого сообщества</v>
      </c>
      <c r="AC272" s="6" t="str">
        <f>IFERROR(__xludf.DUMMYFUNCTION("""COMPUTED_VALUE"""),"После карантина возобновить ярмарки, фестивали, уличные выставки")</f>
        <v>После карантина возобновить ярмарки, фестивали, уличные выставки</v>
      </c>
      <c r="AD272" s="6" t="str">
        <f>IFERROR(__xludf.DUMMYFUNCTION("""COMPUTED_VALUE"""),"Активного зрителя")</f>
        <v>Активного зрителя</v>
      </c>
      <c r="AE272" s="6" t="str">
        <f>IFERROR(__xludf.DUMMYFUNCTION("""COMPUTED_VALUE"""),"Мужской")</f>
        <v>Мужской</v>
      </c>
      <c r="AF272" s="6" t="str">
        <f>IFERROR(__xludf.DUMMYFUNCTION("""COMPUTED_VALUE"""),"старше 55")</f>
        <v>старше 55</v>
      </c>
      <c r="AG272" s="6"/>
      <c r="AH272" s="6"/>
      <c r="AI272" s="6"/>
      <c r="AJ272" s="6"/>
      <c r="AK272" s="6"/>
      <c r="AL272" s="6"/>
      <c r="AM272" s="6"/>
    </row>
    <row r="273">
      <c r="A273" s="4">
        <v>272.0</v>
      </c>
      <c r="B273" s="6" t="str">
        <f>IFERROR(__xludf.DUMMYFUNCTION("""COMPUTED_VALUE"""),"Педагог,Социальная служба")</f>
        <v>Педагог,Социальная служба</v>
      </c>
      <c r="C273" s="6" t="str">
        <f>IFERROR(__xludf.DUMMYFUNCTION("""COMPUTED_VALUE"""),"Да, Вязание")</f>
        <v>Да, Вязание</v>
      </c>
      <c r="D273" s="6" t="str">
        <f>IFERROR(__xludf.DUMMYFUNCTION("""COMPUTED_VALUE"""),"В Ленинском,Ленинский")</f>
        <v>В Ленинском,Ленинский</v>
      </c>
      <c r="E273" s="6" t="str">
        <f>IFERROR(__xludf.DUMMYFUNCTION("""COMPUTED_VALUE"""),"Бульвар,кадетский корпус")</f>
        <v>Бульвар,кадетский корпус</v>
      </c>
      <c r="F273" s="6" t="str">
        <f>IFERROR(__xludf.DUMMYFUNCTION("""COMPUTED_VALUE"""),"Переехал сюда из другого места (откуда? укажите в графе другое), С г.Анжеро-Судженске")</f>
        <v>Переехал сюда из другого места (откуда? укажите в графе другое), С г.Анжеро-Судженске</v>
      </c>
      <c r="G273" s="6" t="str">
        <f>IFERROR(__xludf.DUMMYFUNCTION("""COMPUTED_VALUE"""),"На набережную")</f>
        <v>На набережную</v>
      </c>
      <c r="H273" s="6" t="str">
        <f>IFERROR(__xludf.DUMMYFUNCTION("""COMPUTED_VALUE"""),"Памятник Шахтерам,бульвар Строителей,парк Ангелов,Парк Чудес,набережная")</f>
        <v>Памятник Шахтерам,бульвар Строителей,парк Ангелов,Парк Чудес,набережная</v>
      </c>
      <c r="I273" s="6" t="str">
        <f>IFERROR(__xludf.DUMMYFUNCTION("""COMPUTED_VALUE"""),"Михайло Волков")</f>
        <v>Михайло Волков</v>
      </c>
      <c r="J273" s="6" t="str">
        <f>IFERROR(__xludf.DUMMYFUNCTION("""COMPUTED_VALUE"""),"Не знаю")</f>
        <v>Не знаю</v>
      </c>
      <c r="K273" s="6" t="str">
        <f>IFERROR(__xludf.DUMMYFUNCTION("""COMPUTED_VALUE"""),"Даже не знаю")</f>
        <v>Даже не знаю</v>
      </c>
      <c r="L273" s="6" t="str">
        <f>IFERROR(__xludf.DUMMYFUNCTION("""COMPUTED_VALUE"""),"Не знаю ")</f>
        <v>Не знаю </v>
      </c>
      <c r="M273" s="6" t="str">
        <f>IFERROR(__xludf.DUMMYFUNCTION("""COMPUTED_VALUE"""),"Нет")</f>
        <v>Нет</v>
      </c>
      <c r="N273" s="6" t="str">
        <f>IFERROR(__xludf.DUMMYFUNCTION("""COMPUTED_VALUE"""),"Комфортности мало,особенно тем кто на общественном транспорте-ужас")</f>
        <v>Комфортности мало,особенно тем кто на общественном транспорте-ужас</v>
      </c>
      <c r="O273" s="6" t="str">
        <f>IFERROR(__xludf.DUMMYFUNCTION("""COMPUTED_VALUE"""),"Ужасные здание на Ленина и Кузнецком около вокзалов")</f>
        <v>Ужасные здание на Ленина и Кузнецком около вокзалов</v>
      </c>
      <c r="P273" s="6" t="str">
        <f>IFERROR(__xludf.DUMMYFUNCTION("""COMPUTED_VALUE"""),"Группы в Инстограмм")</f>
        <v>Группы в Инстограмм</v>
      </c>
      <c r="Q273" s="6" t="str">
        <f>IFERROR(__xludf.DUMMYFUNCTION("""COMPUTED_VALUE"""),"где вкусно поесть/открытие новых кафе/ресторанов, городская афиша (кино/театр/концерты), бизнес-новости (средний чек/рекламные акции/запуск новых предприятий)")</f>
        <v>где вкусно поесть/открытие новых кафе/ресторанов, городская афиша (кино/театр/концерты), бизнес-новости (средний чек/рекламные акции/запуск новых предприятий)</v>
      </c>
      <c r="R273" s="6" t="str">
        <f>IFERROR(__xludf.DUMMYFUNCTION("""COMPUTED_VALUE"""),"День шахтера")</f>
        <v>День шахтера</v>
      </c>
      <c r="S273" s="6" t="str">
        <f>IFERROR(__xludf.DUMMYFUNCTION("""COMPUTED_VALUE"""),"Нет, не приходилось")</f>
        <v>Нет, не приходилось</v>
      </c>
      <c r="T273" s="6" t="str">
        <f>IFERROR(__xludf.DUMMYFUNCTION("""COMPUTED_VALUE"""),"Пожаром в Зимней вишни!")</f>
        <v>Пожаром в Зимней вишни!</v>
      </c>
      <c r="U273" s="6" t="str">
        <f>IFERROR(__xludf.DUMMYFUNCTION("""COMPUTED_VALUE"""),"Не знаю ")</f>
        <v>Не знаю </v>
      </c>
      <c r="V273" s="6" t="str">
        <f>IFERROR(__xludf.DUMMYFUNCTION("""COMPUTED_VALUE"""),"Сделали все возможное")</f>
        <v>Сделали все возможное</v>
      </c>
      <c r="W273" s="6" t="str">
        <f>IFERROR(__xludf.DUMMYFUNCTION("""COMPUTED_VALUE"""),"Очень злые люди,грубые")</f>
        <v>Очень злые люди,грубые</v>
      </c>
      <c r="X273" s="6" t="str">
        <f>IFERROR(__xludf.DUMMYFUNCTION("""COMPUTED_VALUE"""),"Не знаю ")</f>
        <v>Не знаю </v>
      </c>
      <c r="Y273" s="6" t="str">
        <f>IFERROR(__xludf.DUMMYFUNCTION("""COMPUTED_VALUE"""),"Не знаю ")</f>
        <v>Не знаю </v>
      </c>
      <c r="Z273" s="6" t="str">
        <f>IFERROR(__xludf.DUMMYFUNCTION("""COMPUTED_VALUE"""),"Ремонт бульвара Строителей")</f>
        <v>Ремонт бульвара Строителей</v>
      </c>
      <c r="AA273" s="6" t="str">
        <f>IFERROR(__xludf.DUMMYFUNCTION("""COMPUTED_VALUE"""),"Режим чёрного неба")</f>
        <v>Режим чёрного неба</v>
      </c>
      <c r="AB273" s="6" t="str">
        <f>IFERROR(__xludf.DUMMYFUNCTION("""COMPUTED_VALUE"""),"Не знаю ")</f>
        <v>Не знаю </v>
      </c>
      <c r="AC273" s="6" t="str">
        <f>IFERROR(__xludf.DUMMYFUNCTION("""COMPUTED_VALUE"""),"События,которые бы сплотили бы жителей и была гордость за Кузбасс")</f>
        <v>События,которые бы сплотили бы жителей и была гордость за Кузбасс</v>
      </c>
      <c r="AD273" s="6" t="str">
        <f>IFERROR(__xludf.DUMMYFUNCTION("""COMPUTED_VALUE"""),"Хотелось бы просвещать в интернете")</f>
        <v>Хотелось бы просвещать в интернете</v>
      </c>
      <c r="AE273" s="6" t="str">
        <f>IFERROR(__xludf.DUMMYFUNCTION("""COMPUTED_VALUE"""),"Женский")</f>
        <v>Женский</v>
      </c>
      <c r="AF273" s="6" t="str">
        <f>IFERROR(__xludf.DUMMYFUNCTION("""COMPUTED_VALUE"""),"30-44")</f>
        <v>30-44</v>
      </c>
      <c r="AG273" s="6"/>
      <c r="AH273" s="6"/>
      <c r="AI273" s="6"/>
      <c r="AJ273" s="6"/>
      <c r="AK273" s="6"/>
      <c r="AL273" s="6"/>
      <c r="AM273" s="6"/>
    </row>
    <row r="274">
      <c r="A274" s="4">
        <v>273.0</v>
      </c>
      <c r="B274" s="6" t="str">
        <f>IFERROR(__xludf.DUMMYFUNCTION("""COMPUTED_VALUE"""),"образование")</f>
        <v>образование</v>
      </c>
      <c r="C274" s="6" t="str">
        <f>IFERROR(__xludf.DUMMYFUNCTION("""COMPUTED_VALUE"""),"чтение")</f>
        <v>чтение</v>
      </c>
      <c r="D274" s="6" t="str">
        <f>IFERROR(__xludf.DUMMYFUNCTION("""COMPUTED_VALUE"""),"Центральный")</f>
        <v>Центральный</v>
      </c>
      <c r="E274" s="6" t="str">
        <f>IFERROR(__xludf.DUMMYFUNCTION("""COMPUTED_VALUE"""),"нет")</f>
        <v>нет</v>
      </c>
      <c r="F274" s="6" t="str">
        <f>IFERROR(__xludf.DUMMYFUNCTION("""COMPUTED_VALUE"""),"Живу здесь с рождения")</f>
        <v>Живу здесь с рождения</v>
      </c>
      <c r="G274" s="6" t="str">
        <f>IFERROR(__xludf.DUMMYFUNCTION("""COMPUTED_VALUE"""),"выезжаю за город")</f>
        <v>выезжаю за город</v>
      </c>
      <c r="H274" s="6" t="str">
        <f>IFERROR(__xludf.DUMMYFUNCTION("""COMPUTED_VALUE"""),"дом")</f>
        <v>дом</v>
      </c>
      <c r="I274" s="6" t="str">
        <f>IFERROR(__xludf.DUMMYFUNCTION("""COMPUTED_VALUE"""),"Волошина Вера")</f>
        <v>Волошина Вера</v>
      </c>
      <c r="J274" s="6" t="str">
        <f>IFERROR(__xludf.DUMMYFUNCTION("""COMPUTED_VALUE"""),"Терехов Анатолий Михайлович")</f>
        <v>Терехов Анатолий Михайлович</v>
      </c>
      <c r="K274" s="6" t="str">
        <f>IFERROR(__xludf.DUMMYFUNCTION("""COMPUTED_VALUE"""),"Парк ангелов")</f>
        <v>Парк ангелов</v>
      </c>
      <c r="L274" s="6" t="str">
        <f>IFERROR(__xludf.DUMMYFUNCTION("""COMPUTED_VALUE"""),"гостеприимность ")</f>
        <v>гостеприимность </v>
      </c>
      <c r="M274" s="6" t="str">
        <f>IFERROR(__xludf.DUMMYFUNCTION("""COMPUTED_VALUE"""),"нет")</f>
        <v>нет</v>
      </c>
      <c r="N274" s="6" t="str">
        <f>IFERROR(__xludf.DUMMYFUNCTION("""COMPUTED_VALUE"""),"чистота, озеленение , места отдыха, дороги")</f>
        <v>чистота, озеленение , места отдыха, дороги</v>
      </c>
      <c r="O274" s="6" t="str">
        <f>IFERROR(__xludf.DUMMYFUNCTION("""COMPUTED_VALUE"""),"отремонтировать дороги")</f>
        <v>отремонтировать дороги</v>
      </c>
      <c r="P274" s="6" t="str">
        <f>IFERROR(__xludf.DUMMYFUNCTION("""COMPUTED_VALUE"""),"Инстаграм, VK")</f>
        <v>Инстаграм, VK</v>
      </c>
      <c r="Q274"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f>
        <v>где вкусно поесть/открытие новых кафе/ресторанов, городская афиша (кино/театр/концерты), культурные новинки (что почитать/что послушать)</v>
      </c>
      <c r="R274" s="6" t="str">
        <f>IFERROR(__xludf.DUMMYFUNCTION("""COMPUTED_VALUE"""),"День города, 9 мая")</f>
        <v>День города, 9 мая</v>
      </c>
      <c r="S274" s="6" t="str">
        <f>IFERROR(__xludf.DUMMYFUNCTION("""COMPUTED_VALUE"""),"Нет, не приходилось")</f>
        <v>Нет, не приходилось</v>
      </c>
      <c r="T274" s="6" t="str">
        <f>IFERROR(__xludf.DUMMYFUNCTION("""COMPUTED_VALUE"""),"Трагедия в Зимней вишни")</f>
        <v>Трагедия в Зимней вишни</v>
      </c>
      <c r="U274" s="6" t="str">
        <f>IFERROR(__xludf.DUMMYFUNCTION("""COMPUTED_VALUE"""),"площадь Советов")</f>
        <v>площадь Советов</v>
      </c>
      <c r="V274" s="6" t="str">
        <f>IFERROR(__xludf.DUMMYFUNCTION("""COMPUTED_VALUE"""),"расширяли, благоустраивали")</f>
        <v>расширяли, благоустраивали</v>
      </c>
      <c r="W274" s="6" t="str">
        <f>IFERROR(__xludf.DUMMYFUNCTION("""COMPUTED_VALUE"""),"гостеприимные")</f>
        <v>гостеприимные</v>
      </c>
      <c r="X274" s="6" t="str">
        <f>IFERROR(__xludf.DUMMYFUNCTION("""COMPUTED_VALUE"""),"Лесная поляна")</f>
        <v>Лесная поляна</v>
      </c>
      <c r="Y274" s="6" t="str">
        <f>IFERROR(__xludf.DUMMYFUNCTION("""COMPUTED_VALUE"""),"рок фестиваль")</f>
        <v>рок фестиваль</v>
      </c>
      <c r="Z274" s="6" t="str">
        <f>IFERROR(__xludf.DUMMYFUNCTION("""COMPUTED_VALUE"""),"нет таких")</f>
        <v>нет таких</v>
      </c>
      <c r="AA274" s="6" t="str">
        <f>IFERROR(__xludf.DUMMYFUNCTION("""COMPUTED_VALUE"""),"дороги")</f>
        <v>дороги</v>
      </c>
      <c r="AB274" s="6" t="str">
        <f>IFERROR(__xludf.DUMMYFUNCTION("""COMPUTED_VALUE"""),"все хватает")</f>
        <v>все хватает</v>
      </c>
      <c r="AC274" s="6" t="str">
        <f>IFERROR(__xludf.DUMMYFUNCTION("""COMPUTED_VALUE"""),"организация досуга ")</f>
        <v>организация досуга </v>
      </c>
      <c r="AD274" s="6" t="str">
        <f>IFERROR(__xludf.DUMMYFUNCTION("""COMPUTED_VALUE"""),"не хотела")</f>
        <v>не хотела</v>
      </c>
      <c r="AE274" s="6" t="str">
        <f>IFERROR(__xludf.DUMMYFUNCTION("""COMPUTED_VALUE"""),"Женский")</f>
        <v>Женский</v>
      </c>
      <c r="AF274" s="6" t="str">
        <f>IFERROR(__xludf.DUMMYFUNCTION("""COMPUTED_VALUE"""),"30-44")</f>
        <v>30-44</v>
      </c>
      <c r="AG274" s="6"/>
      <c r="AH274" s="6"/>
      <c r="AI274" s="6"/>
      <c r="AJ274" s="6"/>
      <c r="AK274" s="6"/>
      <c r="AL274" s="6"/>
      <c r="AM274" s="6"/>
    </row>
    <row r="275">
      <c r="A275" s="4">
        <v>274.0</v>
      </c>
      <c r="B275" s="6" t="str">
        <f>IFERROR(__xludf.DUMMYFUNCTION("""COMPUTED_VALUE"""),"Работаю преподавателем в ВУЗе")</f>
        <v>Работаю преподавателем в ВУЗе</v>
      </c>
      <c r="C275" s="6" t="str">
        <f>IFERROR(__xludf.DUMMYFUNCTION("""COMPUTED_VALUE"""),"Нет")</f>
        <v>Нет</v>
      </c>
      <c r="D275" s="6" t="str">
        <f>IFERROR(__xludf.DUMMYFUNCTION("""COMPUTED_VALUE"""),"Кемерово-Сити")</f>
        <v>Кемерово-Сити</v>
      </c>
      <c r="E275" s="6" t="str">
        <f>IFERROR(__xludf.DUMMYFUNCTION("""COMPUTED_VALUE"""),"Сквер имени Резникова")</f>
        <v>Сквер имени Резникова</v>
      </c>
      <c r="F275" s="6" t="str">
        <f>IFERROR(__xludf.DUMMYFUNCTION("""COMPUTED_VALUE"""),"Живу здесь с рождения")</f>
        <v>Живу здесь с рождения</v>
      </c>
      <c r="G275" s="6" t="str">
        <f>IFERROR(__xludf.DUMMYFUNCTION("""COMPUTED_VALUE"""),"На  Набережную")</f>
        <v>На  Набережную</v>
      </c>
      <c r="H275" s="6" t="str">
        <f>IFERROR(__xludf.DUMMYFUNCTION("""COMPUTED_VALUE"""),"Грусть, теснота, снег, грязь, мусор")</f>
        <v>Грусть, теснота, снег, грязь, мусор</v>
      </c>
      <c r="I275" s="6" t="str">
        <f>IFERROR(__xludf.DUMMYFUNCTION("""COMPUTED_VALUE"""),"Волков, Тулеев")</f>
        <v>Волков, Тулеев</v>
      </c>
      <c r="J275" s="6" t="str">
        <f>IFERROR(__xludf.DUMMYFUNCTION("""COMPUTED_VALUE"""),"Тулеев")</f>
        <v>Тулеев</v>
      </c>
      <c r="K275" s="6" t="str">
        <f>IFERROR(__xludf.DUMMYFUNCTION("""COMPUTED_VALUE"""),"Памятник шахтерам")</f>
        <v>Памятник шахтерам</v>
      </c>
      <c r="L275" s="6" t="str">
        <f>IFERROR(__xludf.DUMMYFUNCTION("""COMPUTED_VALUE"""),"Пойди туда, принеси то")</f>
        <v>Пойди туда, принеси то</v>
      </c>
      <c r="M275" s="6" t="str">
        <f>IFERROR(__xludf.DUMMYFUNCTION("""COMPUTED_VALUE"""),"Нет")</f>
        <v>Нет</v>
      </c>
      <c r="N275" s="6" t="str">
        <f>IFERROR(__xludf.DUMMYFUNCTION("""COMPUTED_VALUE"""),"Чистота, воздух, свежесть, покой, свет.")</f>
        <v>Чистота, воздух, свежесть, покой, свет.</v>
      </c>
      <c r="O275" s="6" t="str">
        <f>IFERROR(__xludf.DUMMYFUNCTION("""COMPUTED_VALUE"""),"Стоянки для автомобилей.")</f>
        <v>Стоянки для автомобилей.</v>
      </c>
      <c r="P275" s="6" t="str">
        <f>IFERROR(__xludf.DUMMYFUNCTION("""COMPUTED_VALUE"""),"Интернет")</f>
        <v>Интернет</v>
      </c>
      <c r="Q275"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f>
        <v>где вкусно поесть/открытие новых кафе/ресторанов, городская афиша (кино/театр/концерты), культурные новинки (что почитать/что послушать)</v>
      </c>
      <c r="R275" s="6" t="str">
        <f>IFERROR(__xludf.DUMMYFUNCTION("""COMPUTED_VALUE"""),"День города")</f>
        <v>День города</v>
      </c>
      <c r="S275" s="6" t="str">
        <f>IFERROR(__xludf.DUMMYFUNCTION("""COMPUTED_VALUE"""),"Нет, не приходилось")</f>
        <v>Нет, не приходилось</v>
      </c>
      <c r="T275" s="6" t="str">
        <f>IFERROR(__xludf.DUMMYFUNCTION("""COMPUTED_VALUE"""),"Ничего")</f>
        <v>Ничего</v>
      </c>
      <c r="U275" s="6" t="str">
        <f>IFERROR(__xludf.DUMMYFUNCTION("""COMPUTED_VALUE"""),"Площадь Советов")</f>
        <v>Площадь Советов</v>
      </c>
      <c r="V275" s="6" t="str">
        <f>IFERROR(__xludf.DUMMYFUNCTION("""COMPUTED_VALUE"""),"Не знаю")</f>
        <v>Не знаю</v>
      </c>
      <c r="W275" s="6" t="str">
        <f>IFERROR(__xludf.DUMMYFUNCTION("""COMPUTED_VALUE"""),"Грустные, бедные, уставшие.")</f>
        <v>Грустные, бедные, уставшие.</v>
      </c>
      <c r="X275" s="6" t="str">
        <f>IFERROR(__xludf.DUMMYFUNCTION("""COMPUTED_VALUE"""),"Томская Писаница")</f>
        <v>Томская Писаница</v>
      </c>
      <c r="Y275" s="6" t="str">
        <f>IFERROR(__xludf.DUMMYFUNCTION("""COMPUTED_VALUE"""),"Не знаю")</f>
        <v>Не знаю</v>
      </c>
      <c r="Z275" s="6" t="str">
        <f>IFERROR(__xludf.DUMMYFUNCTION("""COMPUTED_VALUE"""),"Никакие")</f>
        <v>Никакие</v>
      </c>
      <c r="AA275" s="6" t="str">
        <f>IFERROR(__xludf.DUMMYFUNCTION("""COMPUTED_VALUE"""),"ВСе")</f>
        <v>ВСе</v>
      </c>
      <c r="AB275" s="6" t="str">
        <f>IFERROR(__xludf.DUMMYFUNCTION("""COMPUTED_VALUE"""),"Мне все равно")</f>
        <v>Мне все равно</v>
      </c>
      <c r="AC275" s="6" t="str">
        <f>IFERROR(__xludf.DUMMYFUNCTION("""COMPUTED_VALUE"""),"Н знаю")</f>
        <v>Н знаю</v>
      </c>
      <c r="AD275" s="6" t="str">
        <f>IFERROR(__xludf.DUMMYFUNCTION("""COMPUTED_VALUE"""),"Ни в какой")</f>
        <v>Ни в какой</v>
      </c>
      <c r="AE275" s="6" t="str">
        <f>IFERROR(__xludf.DUMMYFUNCTION("""COMPUTED_VALUE"""),"Женский")</f>
        <v>Женский</v>
      </c>
      <c r="AF275" s="6" t="str">
        <f>IFERROR(__xludf.DUMMYFUNCTION("""COMPUTED_VALUE"""),"18-29")</f>
        <v>18-29</v>
      </c>
      <c r="AG275" s="6"/>
      <c r="AH275" s="6"/>
      <c r="AI275" s="6"/>
      <c r="AJ275" s="6"/>
      <c r="AK275" s="6"/>
      <c r="AL275" s="6"/>
      <c r="AM275" s="6"/>
    </row>
    <row r="276">
      <c r="A276" s="4">
        <v>275.0</v>
      </c>
      <c r="B276" s="6" t="str">
        <f>IFERROR(__xludf.DUMMYFUNCTION("""COMPUTED_VALUE"""),"Маркетолог")</f>
        <v>Маркетолог</v>
      </c>
      <c r="C276" s="6" t="str">
        <f>IFERROR(__xludf.DUMMYFUNCTION("""COMPUTED_VALUE"""),"Страйкбол ")</f>
        <v>Страйкбол </v>
      </c>
      <c r="D276" s="6" t="str">
        <f>IFERROR(__xludf.DUMMYFUNCTION("""COMPUTED_VALUE"""),"Фпк")</f>
        <v>Фпк</v>
      </c>
      <c r="E276" s="6" t="str">
        <f>IFERROR(__xludf.DUMMYFUNCTION("""COMPUTED_VALUE"""),"ТЦ Гринвич")</f>
        <v>ТЦ Гринвич</v>
      </c>
      <c r="F276" s="6" t="str">
        <f>IFERROR(__xludf.DUMMYFUNCTION("""COMPUTED_VALUE"""),"Живу здесь с рождения")</f>
        <v>Живу здесь с рождения</v>
      </c>
      <c r="G276" s="6" t="str">
        <f>IFERROR(__xludf.DUMMYFUNCTION("""COMPUTED_VALUE"""),"Центр")</f>
        <v>Центр</v>
      </c>
      <c r="H276" s="6" t="str">
        <f>IFERROR(__xludf.DUMMYFUNCTION("""COMPUTED_VALUE"""),"Уютный, красивый, тихий, холодный, спайсы")</f>
        <v>Уютный, красивый, тихий, холодный, спайсы</v>
      </c>
      <c r="I276" s="6" t="str">
        <f>IFERROR(__xludf.DUMMYFUNCTION("""COMPUTED_VALUE"""),"Леонов")</f>
        <v>Леонов</v>
      </c>
      <c r="J276" s="6" t="str">
        <f>IFERROR(__xludf.DUMMYFUNCTION("""COMPUTED_VALUE"""),"Не знаю")</f>
        <v>Не знаю</v>
      </c>
      <c r="K276" s="6" t="str">
        <f>IFERROR(__xludf.DUMMYFUNCTION("""COMPUTED_VALUE"""),"Площадь Советов")</f>
        <v>Площадь Советов</v>
      </c>
      <c r="L276" s="6" t="str">
        <f>IFERROR(__xludf.DUMMYFUNCTION("""COMPUTED_VALUE"""),"Кокакола мен")</f>
        <v>Кокакола мен</v>
      </c>
      <c r="M276" s="6" t="str">
        <f>IFERROR(__xludf.DUMMYFUNCTION("""COMPUTED_VALUE"""),"Спайсовая столица")</f>
        <v>Спайсовая столица</v>
      </c>
      <c r="N276" s="6" t="str">
        <f>IFERROR(__xludf.DUMMYFUNCTION("""COMPUTED_VALUE"""),"Население до миллиона, большой выбор рабочих мест, адекватные водители, красивый центр, уютные спальные районв")</f>
        <v>Население до миллиона, большой выбор рабочих мест, адекватные водители, красивый центр, уютные спальные районв</v>
      </c>
      <c r="O276" s="6" t="str">
        <f>IFERROR(__xludf.DUMMYFUNCTION("""COMPUTED_VALUE"""),"Реставрация домов")</f>
        <v>Реставрация домов</v>
      </c>
      <c r="P276" s="6" t="str">
        <f>IFERROR(__xludf.DUMMYFUNCTION("""COMPUTED_VALUE"""),"Типичный Кемерово, Инцидент Кемерово, А42")</f>
        <v>Типичный Кемерово, Инцидент Кемерово, А42</v>
      </c>
      <c r="Q276" s="6" t="str">
        <f>IFERROR(__xludf.DUMMYFUNCTION("""COMPUTED_VALUE"""),"куда пойти в свободное время, где вкусно поесть/открытие новых кафе/ресторанов,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(рейтинги/аналитика"&amp;"/тенденции),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276" s="6" t="str">
        <f>IFERROR(__xludf.DUMMYFUNCTION("""COMPUTED_VALUE"""),"День города")</f>
        <v>День города</v>
      </c>
      <c r="S276" s="6" t="str">
        <f>IFERROR(__xludf.DUMMYFUNCTION("""COMPUTED_VALUE"""),"Нет, не приходилось")</f>
        <v>Нет, не приходилось</v>
      </c>
      <c r="T276" s="6" t="str">
        <f>IFERROR(__xludf.DUMMYFUNCTION("""COMPUTED_VALUE"""),"Не примечателен")</f>
        <v>Не примечателен</v>
      </c>
      <c r="U276" s="6" t="str">
        <f>IFERROR(__xludf.DUMMYFUNCTION("""COMPUTED_VALUE"""),"Площадь Советов")</f>
        <v>Площадь Советов</v>
      </c>
      <c r="V276" s="6" t="str">
        <f>IFERROR(__xludf.DUMMYFUNCTION("""COMPUTED_VALUE"""),"Развивали промышленность СССР")</f>
        <v>Развивали промышленность СССР</v>
      </c>
      <c r="W276" s="6" t="str">
        <f>IFERROR(__xludf.DUMMYFUNCTION("""COMPUTED_VALUE"""),"Угрюмые")</f>
        <v>Угрюмые</v>
      </c>
      <c r="X276" s="6" t="str">
        <f>IFERROR(__xludf.DUMMYFUNCTION("""COMPUTED_VALUE"""),"Весь проспект Советский")</f>
        <v>Весь проспект Советский</v>
      </c>
      <c r="Y276" s="6" t="str">
        <f>IFERROR(__xludf.DUMMYFUNCTION("""COMPUTED_VALUE"""),"Зимняя вишня")</f>
        <v>Зимняя вишня</v>
      </c>
      <c r="Z276" s="6" t="str">
        <f>IFERROR(__xludf.DUMMYFUNCTION("""COMPUTED_VALUE"""),"Гулял в сосновом бору")</f>
        <v>Гулял в сосновом бору</v>
      </c>
      <c r="AA276" s="6" t="str">
        <f>IFERROR(__xludf.DUMMYFUNCTION("""COMPUTED_VALUE"""),"Не помню")</f>
        <v>Не помню</v>
      </c>
      <c r="AB276" s="6" t="str">
        <f>IFERROR(__xludf.DUMMYFUNCTION("""COMPUTED_VALUE"""),"Всего хватает")</f>
        <v>Всего хватает</v>
      </c>
      <c r="AC276" s="6" t="str">
        <f>IFERROR(__xludf.DUMMYFUNCTION("""COMPUTED_VALUE"""),"Концерты")</f>
        <v>Концерты</v>
      </c>
      <c r="AD276" s="6" t="str">
        <f>IFERROR(__xludf.DUMMYFUNCTION("""COMPUTED_VALUE"""),"Не хочу учавствовать")</f>
        <v>Не хочу учавствовать</v>
      </c>
      <c r="AE276" s="6" t="str">
        <f>IFERROR(__xludf.DUMMYFUNCTION("""COMPUTED_VALUE"""),"Мужской")</f>
        <v>Мужской</v>
      </c>
      <c r="AF276" s="6" t="str">
        <f>IFERROR(__xludf.DUMMYFUNCTION("""COMPUTED_VALUE"""),"18-29")</f>
        <v>18-29</v>
      </c>
      <c r="AG276" s="6"/>
      <c r="AH276" s="6"/>
      <c r="AI276" s="6"/>
      <c r="AJ276" s="6"/>
      <c r="AK276" s="6"/>
      <c r="AL276" s="6"/>
      <c r="AM276" s="6"/>
    </row>
    <row r="277">
      <c r="A277" s="4">
        <v>276.0</v>
      </c>
      <c r="B277" s="6" t="str">
        <f>IFERROR(__xludf.DUMMYFUNCTION("""COMPUTED_VALUE"""),"Менеджер")</f>
        <v>Менеджер</v>
      </c>
      <c r="C277" s="6" t="str">
        <f>IFERROR(__xludf.DUMMYFUNCTION("""COMPUTED_VALUE"""),"Спорт, музыка")</f>
        <v>Спорт, музыка</v>
      </c>
      <c r="D277" s="6" t="str">
        <f>IFERROR(__xludf.DUMMYFUNCTION("""COMPUTED_VALUE"""),"Санкт-Петербург")</f>
        <v>Санкт-Петербург</v>
      </c>
      <c r="E277" s="6" t="str">
        <f>IFERROR(__xludf.DUMMYFUNCTION("""COMPUTED_VALUE"""),"Балтийская Жемчужина")</f>
        <v>Балтийская Жемчужина</v>
      </c>
      <c r="F277" s="6" t="str">
        <f>IFERROR(__xludf.DUMMYFUNCTION("""COMPUTED_VALUE"""),"Не живу,но приезжаю сюда (к родственникам/друзьям)")</f>
        <v>Не живу,но приезжаю сюда (к родственникам/друзьям)</v>
      </c>
      <c r="G277" s="6" t="str">
        <f>IFERROR(__xludf.DUMMYFUNCTION("""COMPUTED_VALUE"""),"Никуда")</f>
        <v>Никуда</v>
      </c>
      <c r="H277" s="6" t="str">
        <f>IFERROR(__xludf.DUMMYFUNCTION("""COMPUTED_VALUE"""),"Депрессивный город, не приспособленный к нормальному функционированию")</f>
        <v>Депрессивный город, не приспособленный к нормальному функционированию</v>
      </c>
      <c r="I277" s="6" t="str">
        <f>IFERROR(__xludf.DUMMYFUNCTION("""COMPUTED_VALUE"""),"Михайло Волков")</f>
        <v>Михайло Волков</v>
      </c>
      <c r="J277" s="6" t="str">
        <f>IFERROR(__xludf.DUMMYFUNCTION("""COMPUTED_VALUE"""),"Нет таких")</f>
        <v>Нет таких</v>
      </c>
      <c r="K277" s="6" t="str">
        <f>IFERROR(__xludf.DUMMYFUNCTION("""COMPUTED_VALUE"""),"Район за вокзалом")</f>
        <v>Район за вокзалом</v>
      </c>
      <c r="L277" s="6" t="str">
        <f>IFERROR(__xludf.DUMMYFUNCTION("""COMPUTED_VALUE"""),"Человееееееееек из Кееееееееемерова!!!!!!!")</f>
        <v>Человееееееееек из Кееееееееемерова!!!!!!!</v>
      </c>
      <c r="M277" s="6" t="str">
        <f>IFERROR(__xludf.DUMMYFUNCTION("""COMPUTED_VALUE"""),"Только нецензурные")</f>
        <v>Только нецензурные</v>
      </c>
      <c r="N277" s="6" t="str">
        <f>IFERROR(__xludf.DUMMYFUNCTION("""COMPUTED_VALUE"""),"Доступное жилье, развитая инфраструктура, общественный транспорт, разнообразие досуга, высокооплачиваемая работа")</f>
        <v>Доступное жилье, развитая инфраструктура, общественный транспорт, разнообразие досуга, высокооплачиваемая работа</v>
      </c>
      <c r="O277" s="6" t="str">
        <f>IFERROR(__xludf.DUMMYFUNCTION("""COMPUTED_VALUE"""),"Уже поздно что-то менять")</f>
        <v>Уже поздно что-то менять</v>
      </c>
      <c r="P277" s="6" t="str">
        <f>IFERROR(__xludf.DUMMYFUNCTION("""COMPUTED_VALUE"""),"Интернет")</f>
        <v>Интернет</v>
      </c>
      <c r="Q277" s="6" t="str">
        <f>IFERROR(__xludf.DUMMYFUNCTION("""COMPUTED_VALUE"""),"интервью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v>
      </c>
      <c r="R277" s="6" t="str">
        <f>IFERROR(__xludf.DUMMYFUNCTION("""COMPUTED_VALUE"""),"Мне все равно")</f>
        <v>Мне все равно</v>
      </c>
      <c r="S277" s="6" t="str">
        <f>IFERROR(__xludf.DUMMYFUNCTION("""COMPUTED_VALUE"""),"Нет, не приходилось")</f>
        <v>Нет, не приходилось</v>
      </c>
      <c r="T277" s="6" t="str">
        <f>IFERROR(__xludf.DUMMYFUNCTION("""COMPUTED_VALUE"""),"Песней БГ")</f>
        <v>Песней БГ</v>
      </c>
      <c r="U277" s="6" t="str">
        <f>IFERROR(__xludf.DUMMYFUNCTION("""COMPUTED_VALUE"""),"Орбита")</f>
        <v>Орбита</v>
      </c>
      <c r="V277" s="6" t="str">
        <f>IFERROR(__xludf.DUMMYFUNCTION("""COMPUTED_VALUE"""),"Собственно построили город")</f>
        <v>Собственно построили город</v>
      </c>
      <c r="W277" s="6" t="str">
        <f>IFERROR(__xludf.DUMMYFUNCTION("""COMPUTED_VALUE"""),"Хмурые как утро китайского пчеловода")</f>
        <v>Хмурые как утро китайского пчеловода</v>
      </c>
      <c r="X277" s="6" t="str">
        <f>IFERROR(__xludf.DUMMYFUNCTION("""COMPUTED_VALUE"""),"Их много")</f>
        <v>Их много</v>
      </c>
      <c r="Y277" s="6" t="str">
        <f>IFERROR(__xludf.DUMMYFUNCTION("""COMPUTED_VALUE"""),"Переименование из Щегловки")</f>
        <v>Переименование из Щегловки</v>
      </c>
      <c r="Z277" s="6" t="str">
        <f>IFERROR(__xludf.DUMMYFUNCTION("""COMPUTED_VALUE"""),"Я здесь не был лет 5")</f>
        <v>Я здесь не был лет 5</v>
      </c>
      <c r="AA277" s="6" t="str">
        <f>IFERROR(__xludf.DUMMYFUNCTION("""COMPUTED_VALUE"""),"См. п. 25")</f>
        <v>См. п. 25</v>
      </c>
      <c r="AB277" s="6" t="str">
        <f>IFERROR(__xludf.DUMMYFUNCTION("""COMPUTED_VALUE"""),"Да кому они нужны?")</f>
        <v>Да кому они нужны?</v>
      </c>
      <c r="AC277" s="6" t="str">
        <f>IFERROR(__xludf.DUMMYFUNCTION("""COMPUTED_VALUE"""),"Это уже не поможет")</f>
        <v>Это уже не поможет</v>
      </c>
      <c r="AD277" s="6" t="str">
        <f>IFERROR(__xludf.DUMMYFUNCTION("""COMPUTED_VALUE"""),"Ни в какой")</f>
        <v>Ни в какой</v>
      </c>
      <c r="AE277" s="6" t="str">
        <f>IFERROR(__xludf.DUMMYFUNCTION("""COMPUTED_VALUE"""),"Мужской")</f>
        <v>Мужской</v>
      </c>
      <c r="AF277" s="6" t="str">
        <f>IFERROR(__xludf.DUMMYFUNCTION("""COMPUTED_VALUE"""),"45-55")</f>
        <v>45-55</v>
      </c>
      <c r="AG277" s="6"/>
      <c r="AH277" s="6"/>
      <c r="AI277" s="6"/>
      <c r="AJ277" s="6"/>
      <c r="AK277" s="6"/>
      <c r="AL277" s="6"/>
      <c r="AM277" s="6"/>
    </row>
    <row r="278">
      <c r="A278" s="4">
        <v>277.0</v>
      </c>
      <c r="B278" s="6" t="str">
        <f>IFERROR(__xludf.DUMMYFUNCTION("""COMPUTED_VALUE"""),"Домохозяйка")</f>
        <v>Домохозяйка</v>
      </c>
      <c r="C278" s="6" t="str">
        <f>IFERROR(__xludf.DUMMYFUNCTION("""COMPUTED_VALUE"""),"Пазлы,книги")</f>
        <v>Пазлы,книги</v>
      </c>
      <c r="D278" s="6" t="str">
        <f>IFERROR(__xludf.DUMMYFUNCTION("""COMPUTED_VALUE"""),"Кировский")</f>
        <v>Кировский</v>
      </c>
      <c r="E278" s="6" t="str">
        <f>IFERROR(__xludf.DUMMYFUNCTION("""COMPUTED_VALUE"""),"Набережная Томи")</f>
        <v>Набережная Томи</v>
      </c>
      <c r="F278" s="6" t="str">
        <f>IFERROR(__xludf.DUMMYFUNCTION("""COMPUTED_VALUE"""),"Родилась здесь,но жила в Иркутской области, в Кемерово живу последние 14 лет")</f>
        <v>Родилась здесь,но жила в Иркутской области, в Кемерово живу последние 14 лет</v>
      </c>
      <c r="G278" s="6" t="str">
        <f>IFERROR(__xludf.DUMMYFUNCTION("""COMPUTED_VALUE"""),"Центр.набережная,Парк чудес")</f>
        <v>Центр.набережная,Парк чудес</v>
      </c>
      <c r="H278" s="6" t="str">
        <f>IFERROR(__xludf.DUMMYFUNCTION("""COMPUTED_VALUE"""),"Не знаю")</f>
        <v>Не знаю</v>
      </c>
      <c r="I278" s="6" t="str">
        <f>IFERROR(__xludf.DUMMYFUNCTION("""COMPUTED_VALUE"""),"Волков, Леонов, Волошина")</f>
        <v>Волков, Леонов, Волошина</v>
      </c>
      <c r="J278" s="6" t="str">
        <f>IFERROR(__xludf.DUMMYFUNCTION("""COMPUTED_VALUE"""),"Не знаю")</f>
        <v>Не знаю</v>
      </c>
      <c r="K278" s="6" t="str">
        <f>IFERROR(__xludf.DUMMYFUNCTION("""COMPUTED_VALUE"""),"Памятник Шахтёрам, все парки, музей Красная горка, ")</f>
        <v>Памятник Шахтёрам, все парки, музей Красная горка, </v>
      </c>
      <c r="L278" s="6" t="str">
        <f>IFERROR(__xludf.DUMMYFUNCTION("""COMPUTED_VALUE"""),"Не знаю")</f>
        <v>Не знаю</v>
      </c>
      <c r="M278" s="6" t="str">
        <f>IFERROR(__xludf.DUMMYFUNCTION("""COMPUTED_VALUE"""),"Не знаю")</f>
        <v>Не знаю</v>
      </c>
      <c r="N278" s="6" t="str">
        <f>IFERROR(__xludf.DUMMYFUNCTION("""COMPUTED_VALUE"""),"Отсутствие бездомных собак, чистота на улицах, наличие асфальтированных тротуаров везде где ходят люди, наличие системы ливневой канализации на дорогах, наличие аквапарка, планетария.")</f>
        <v>Отсутствие бездомных собак, чистота на улицах, наличие асфальтированных тротуаров везде где ходят люди, наличие системы ливневой канализации на дорогах, наличие аквапарка, планетария.</v>
      </c>
      <c r="O278" s="6" t="str">
        <f>IFERROR(__xludf.DUMMYFUNCTION("""COMPUTED_VALUE"""),"В Кировском районе заасфальтировать все тротуары")</f>
        <v>В Кировском районе заасфальтировать все тротуары</v>
      </c>
      <c r="P278" s="6" t="str">
        <f>IFERROR(__xludf.DUMMYFUNCTION("""COMPUTED_VALUE"""),"Телеканал Кузбасс")</f>
        <v>Телеканал Кузбасс</v>
      </c>
      <c r="Q278"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интервью с экспертами на разные т"&amp;"емы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v>
      </c>
      <c r="R278" s="6" t="str">
        <f>IFERROR(__xludf.DUMMYFUNCTION("""COMPUTED_VALUE"""),"Не знаю")</f>
        <v>Не знаю</v>
      </c>
      <c r="S278" s="6" t="str">
        <f>IFERROR(__xludf.DUMMYFUNCTION("""COMPUTED_VALUE"""),"Нет, не приходилось")</f>
        <v>Нет, не приходилось</v>
      </c>
      <c r="T278" s="6" t="str">
        <f>IFERROR(__xludf.DUMMYFUNCTION("""COMPUTED_VALUE"""),"Ничем")</f>
        <v>Ничем</v>
      </c>
      <c r="U278" s="6" t="str">
        <f>IFERROR(__xludf.DUMMYFUNCTION("""COMPUTED_VALUE"""),"Площадь администрации")</f>
        <v>Площадь администрации</v>
      </c>
      <c r="V278" s="6" t="str">
        <f>IFERROR(__xludf.DUMMYFUNCTION("""COMPUTED_VALUE"""),"Не знаю")</f>
        <v>Не знаю</v>
      </c>
      <c r="W278" s="6" t="str">
        <f>IFERROR(__xludf.DUMMYFUNCTION("""COMPUTED_VALUE"""),"Не знаю")</f>
        <v>Не знаю</v>
      </c>
      <c r="X278" s="6" t="str">
        <f>IFERROR(__xludf.DUMMYFUNCTION("""COMPUTED_VALUE"""),"Не знаю")</f>
        <v>Не знаю</v>
      </c>
      <c r="Y278" s="6" t="str">
        <f>IFERROR(__xludf.DUMMYFUNCTION("""COMPUTED_VALUE"""),"Не знаю")</f>
        <v>Не знаю</v>
      </c>
      <c r="Z278" s="6" t="str">
        <f>IFERROR(__xludf.DUMMYFUNCTION("""COMPUTED_VALUE"""),"Строительство парка Ангелов")</f>
        <v>Строительство парка Ангелов</v>
      </c>
      <c r="AA278" s="6" t="str">
        <f>IFERROR(__xludf.DUMMYFUNCTION("""COMPUTED_VALUE"""),"Зимняя вишня")</f>
        <v>Зимняя вишня</v>
      </c>
      <c r="AB278" s="6" t="str">
        <f>IFERROR(__xludf.DUMMYFUNCTION("""COMPUTED_VALUE"""),"Не знаю")</f>
        <v>Не знаю</v>
      </c>
      <c r="AC278" s="6" t="str">
        <f>IFERROR(__xludf.DUMMYFUNCTION("""COMPUTED_VALUE"""),"Бесплатные массовые спортивные мероприятия, например в парках")</f>
        <v>Бесплатные массовые спортивные мероприятия, например в парках</v>
      </c>
      <c r="AD278" s="6" t="str">
        <f>IFERROR(__xludf.DUMMYFUNCTION("""COMPUTED_VALUE"""),"Ни в какой")</f>
        <v>Ни в какой</v>
      </c>
      <c r="AE278" s="6" t="str">
        <f>IFERROR(__xludf.DUMMYFUNCTION("""COMPUTED_VALUE"""),"Женский")</f>
        <v>Женский</v>
      </c>
      <c r="AF278" s="6" t="str">
        <f>IFERROR(__xludf.DUMMYFUNCTION("""COMPUTED_VALUE"""),"30-44")</f>
        <v>30-44</v>
      </c>
      <c r="AG278" s="6"/>
      <c r="AH278" s="6"/>
      <c r="AI278" s="6"/>
      <c r="AJ278" s="6"/>
      <c r="AK278" s="6"/>
      <c r="AL278" s="6"/>
      <c r="AM278" s="6"/>
    </row>
    <row r="279">
      <c r="A279" s="4">
        <v>278.0</v>
      </c>
      <c r="B279" s="6" t="str">
        <f>IFERROR(__xludf.DUMMYFUNCTION("""COMPUTED_VALUE"""),"Машинист автокрана. ")</f>
        <v>Машинист автокрана. </v>
      </c>
      <c r="C279" s="6" t="str">
        <f>IFERROR(__xludf.DUMMYFUNCTION("""COMPUTED_VALUE"""),"Ремонт авто")</f>
        <v>Ремонт авто</v>
      </c>
      <c r="D279" s="6" t="str">
        <f>IFERROR(__xludf.DUMMYFUNCTION("""COMPUTED_VALUE"""),"Южный")</f>
        <v>Южный</v>
      </c>
      <c r="E279" s="6" t="str">
        <f>IFERROR(__xludf.DUMMYFUNCTION("""COMPUTED_VALUE"""),"Ул. Патриотов (бульвар) ")</f>
        <v>Ул. Патриотов (бульвар) </v>
      </c>
      <c r="F279" s="6" t="str">
        <f>IFERROR(__xludf.DUMMYFUNCTION("""COMPUTED_VALUE"""),"Переехал сюда из другого места (откуда? укажите в графе другое), Г. Гурьевск")</f>
        <v>Переехал сюда из другого места (откуда? укажите в графе другое), Г. Гурьевск</v>
      </c>
      <c r="G279" s="6" t="str">
        <f>IFERROR(__xludf.DUMMYFUNCTION("""COMPUTED_VALUE"""),"В гараж")</f>
        <v>В гараж</v>
      </c>
      <c r="H279" s="6" t="str">
        <f>IFERROR(__xludf.DUMMYFUNCTION("""COMPUTED_VALUE"""),"Уют, родина, семья, друзья, молодость. ")</f>
        <v>Уют, родина, семья, друзья, молодость. </v>
      </c>
      <c r="I279" s="6" t="str">
        <f>IFERROR(__xludf.DUMMYFUNCTION("""COMPUTED_VALUE"""),"Михайло Волков. ")</f>
        <v>Михайло Волков. </v>
      </c>
      <c r="J279" s="6" t="str">
        <f>IFERROR(__xludf.DUMMYFUNCTION("""COMPUTED_VALUE"""),"Тулеев")</f>
        <v>Тулеев</v>
      </c>
      <c r="K279" s="6" t="str">
        <f>IFERROR(__xludf.DUMMYFUNCTION("""COMPUTED_VALUE"""),"Памятник шахтерам")</f>
        <v>Памятник шахтерам</v>
      </c>
      <c r="L279" s="6" t="str">
        <f>IFERROR(__xludf.DUMMYFUNCTION("""COMPUTED_VALUE"""),"Кузбасс это класс!!! ")</f>
        <v>Кузбасс это класс!!! </v>
      </c>
      <c r="M279" s="6" t="str">
        <f>IFERROR(__xludf.DUMMYFUNCTION("""COMPUTED_VALUE"""),"Колба, в место черемши. Ч")</f>
        <v>Колба, в место черемши. Ч</v>
      </c>
      <c r="N279" s="6" t="str">
        <f>IFERROR(__xludf.DUMMYFUNCTION("""COMPUTED_VALUE"""),"Чистота, геометрия, урны, туалеты, трамвай. ")</f>
        <v>Чистота, геометрия, урны, туалеты, трамвай. </v>
      </c>
      <c r="O279" s="6" t="str">
        <f>IFERROR(__xludf.DUMMYFUNCTION("""COMPUTED_VALUE"""),"Покрасить фасады старых домов. ")</f>
        <v>Покрасить фасады старых домов. </v>
      </c>
      <c r="P279" s="6" t="str">
        <f>IFERROR(__xludf.DUMMYFUNCTION("""COMPUTED_VALUE"""),"Одноклассники")</f>
        <v>Одноклассники</v>
      </c>
      <c r="Q279" s="6" t="str">
        <f>IFERROR(__xludf.DUMMYFUNCTION("""COMPUTED_VALUE"""),"где вкусно поесть/открытие новых кафе/ресторанов, интервью с местными политиками, интервью с экспертами на разные темы (напишите в разделе Другое свои предложения)")</f>
        <v>где вкусно поесть/открытие новых кафе/ресторанов, интервью с местными политиками, интервью с экспертами на разные темы (напишите в разделе Другое свои предложения)</v>
      </c>
      <c r="R279" s="6" t="str">
        <f>IFERROR(__xludf.DUMMYFUNCTION("""COMPUTED_VALUE"""),"День шахтера")</f>
        <v>День шахтера</v>
      </c>
      <c r="S279" s="6" t="str">
        <f>IFERROR(__xludf.DUMMYFUNCTION("""COMPUTED_VALUE"""),"Нет, не приходилось")</f>
        <v>Нет, не приходилось</v>
      </c>
      <c r="T279" s="6" t="str">
        <f>IFERROR(__xludf.DUMMYFUNCTION("""COMPUTED_VALUE"""),"Сильные люди")</f>
        <v>Сильные люди</v>
      </c>
      <c r="U279" s="6" t="str">
        <f>IFERROR(__xludf.DUMMYFUNCTION("""COMPUTED_VALUE"""),"Набережная, ул. Весенняя")</f>
        <v>Набережная, ул. Весенняя</v>
      </c>
      <c r="V279" s="6" t="str">
        <f>IFERROR(__xludf.DUMMYFUNCTION("""COMPUTED_VALUE"""),"Строили и любили. ")</f>
        <v>Строили и любили. </v>
      </c>
      <c r="W279" s="6" t="str">
        <f>IFERROR(__xludf.DUMMYFUNCTION("""COMPUTED_VALUE"""),"Гордые, но добрые. ")</f>
        <v>Гордые, но добрые. </v>
      </c>
      <c r="X279" s="6" t="str">
        <f>IFERROR(__xludf.DUMMYFUNCTION("""COMPUTED_VALUE"""),"Набережная, правый берег Крест. ")</f>
        <v>Набережная, правый берег Крест. </v>
      </c>
      <c r="Y279" s="6" t="str">
        <f>IFERROR(__xludf.DUMMYFUNCTION("""COMPUTED_VALUE"""),"Чемпионат мира по хоккею с мячом")</f>
        <v>Чемпионат мира по хоккею с мячом</v>
      </c>
      <c r="Z279" s="6" t="str">
        <f>IFERROR(__xludf.DUMMYFUNCTION("""COMPUTED_VALUE"""),"Открытие кадетского училища. ")</f>
        <v>Открытие кадетского училища. </v>
      </c>
      <c r="AA279" s="6" t="str">
        <f>IFERROR(__xludf.DUMMYFUNCTION("""COMPUTED_VALUE"""),"Зимняя вишня")</f>
        <v>Зимняя вишня</v>
      </c>
      <c r="AB279" s="6" t="str">
        <f>IFERROR(__xludf.DUMMYFUNCTION("""COMPUTED_VALUE"""),"Кому за 50.")</f>
        <v>Кому за 50.</v>
      </c>
      <c r="AC279" s="6" t="str">
        <f>IFERROR(__xludf.DUMMYFUNCTION("""COMPUTED_VALUE"""),"Прямые встречи с губернатором. ")</f>
        <v>Прямые встречи с губернатором. </v>
      </c>
      <c r="AD279" s="6" t="str">
        <f>IFERROR(__xludf.DUMMYFUNCTION("""COMPUTED_VALUE"""),"Надо подумать")</f>
        <v>Надо подумать</v>
      </c>
      <c r="AE279" s="6" t="str">
        <f>IFERROR(__xludf.DUMMYFUNCTION("""COMPUTED_VALUE"""),"Мужской")</f>
        <v>Мужской</v>
      </c>
      <c r="AF279" s="6" t="str">
        <f>IFERROR(__xludf.DUMMYFUNCTION("""COMPUTED_VALUE"""),"старше 55")</f>
        <v>старше 55</v>
      </c>
      <c r="AG279" s="6"/>
      <c r="AH279" s="6"/>
      <c r="AI279" s="6"/>
      <c r="AJ279" s="6"/>
      <c r="AK279" s="6"/>
      <c r="AL279" s="6"/>
      <c r="AM279" s="6"/>
    </row>
    <row r="280">
      <c r="A280" s="4">
        <v>279.0</v>
      </c>
      <c r="B280" s="6" t="str">
        <f>IFERROR(__xludf.DUMMYFUNCTION("""COMPUTED_VALUE"""),"Экономист в угольном холдинге")</f>
        <v>Экономист в угольном холдинге</v>
      </c>
      <c r="C280" s="6" t="str">
        <f>IFERROR(__xludf.DUMMYFUNCTION("""COMPUTED_VALUE"""),"Чтение, путешествия, рыбалка")</f>
        <v>Чтение, путешествия, рыбалка</v>
      </c>
      <c r="D280" s="6" t="str">
        <f>IFERROR(__xludf.DUMMYFUNCTION("""COMPUTED_VALUE"""),"В районе училища связи, уже бывшего. Раньше называли Пентагон. ")</f>
        <v>В районе училища связи, уже бывшего. Раньше называли Пентагон. </v>
      </c>
      <c r="E280" s="6" t="str">
        <f>IFERROR(__xludf.DUMMYFUNCTION("""COMPUTED_VALUE"""),"Старое трамвайное кольцо, Солдатское озеро")</f>
        <v>Старое трамвайное кольцо, Солдатское озеро</v>
      </c>
      <c r="F280" s="6" t="str">
        <f>IFERROR(__xludf.DUMMYFUNCTION("""COMPUTED_VALUE"""),"Переехал сюда из другого места (откуда? укажите в графе другое), Родилась в Анжеро-Судженске, в Кемерово приехала в институт из Донецкой обл. ")</f>
        <v>Переехал сюда из другого места (откуда? укажите в графе другое), Родилась в Анжеро-Судженске, в Кемерово приехала в институт из Донецкой обл. </v>
      </c>
      <c r="G280" s="6" t="str">
        <f>IFERROR(__xludf.DUMMYFUNCTION("""COMPUTED_VALUE"""),"СпортZall, набережная, Авиатор, Парк Жукова, сосновый бор ")</f>
        <v>СпортZall, набережная, Авиатор, Парк Жукова, сосновый бор </v>
      </c>
      <c r="H280" s="6" t="str">
        <f>IFERROR(__xludf.DUMMYFUNCTION("""COMPUTED_VALUE"""),"Азот, Радуга, Томь, Сосновый Бор, Томская писаница, Зимняя вишня ")</f>
        <v>Азот, Радуга, Томь, Сосновый Бор, Томская писаница, Зимняя вишня </v>
      </c>
      <c r="I280" s="6" t="str">
        <f>IFERROR(__xludf.DUMMYFUNCTION("""COMPUTED_VALUE"""),"Рутгерс, Михайлов В.В, Тулеев А.Г., Подгорбунский, В. Волошина, Ю. Двужильный")</f>
        <v>Рутгерс, Михайлов В.В, Тулеев А.Г., Подгорбунский, В. Волошина, Ю. Двужильный</v>
      </c>
      <c r="J280" s="6" t="str">
        <f>IFERROR(__xludf.DUMMYFUNCTION("""COMPUTED_VALUE"""),"Митрофанова Е.Ю., Гришковец Е., ")</f>
        <v>Митрофанова Е.Ю., Гришковец Е., </v>
      </c>
      <c r="K280" s="6" t="str">
        <f>IFERROR(__xludf.DUMMYFUNCTION("""COMPUTED_VALUE"""),"Набережная, красная горка, Томская писаница, Бор, лесная поляна, бар Бельгия, кондитерская Винервальд, бульвар строителей, район кадетского училища")</f>
        <v>Набережная, красная горка, Томская писаница, Бор, лесная поляна, бар Бельгия, кондитерская Винервальд, бульвар строителей, район кадетского училища</v>
      </c>
      <c r="L280" s="6" t="str">
        <f>IFERROR(__xludf.DUMMYFUNCTION("""COMPUTED_VALUE"""),"Только в Кемерово улица Свободы заканчивается в зоне")</f>
        <v>Только в Кемерово улица Свободы заканчивается в зоне</v>
      </c>
      <c r="M280" s="6" t="str">
        <f>IFERROR(__xludf.DUMMYFUNCTION("""COMPUTED_VALUE"""),"Вехотка (она же мочалка)")</f>
        <v>Вехотка (она же мочалка)</v>
      </c>
      <c r="N280" s="6" t="str">
        <f>IFERROR(__xludf.DUMMYFUNCTION("""COMPUTED_VALUE"""),"Чистота улиц, возможность припарковаться, наличие тротуаров, современный общественный транспорт, инфраструктура, отсутствие больших пробок на дорогах, возможность прямых перелетов и поездок в другие города")</f>
        <v>Чистота улиц, возможность припарковаться, наличие тротуаров, современный общественный транспорт, инфраструктура, отсутствие больших пробок на дорогах, возможность прямых перелетов и поездок в другие города</v>
      </c>
      <c r="O280" s="6" t="str">
        <f>IFERROR(__xludf.DUMMYFUNCTION("""COMPUTED_VALUE"""),"Неубираемые годами тротуары , мусор, обшарпанные дома, разбитые дворовые территории, отсутствие деревьев, грязь и лужи")</f>
        <v>Неубираемые годами тротуары , мусор, обшарпанные дома, разбитые дворовые территории, отсутствие деревьев, грязь и лужи</v>
      </c>
      <c r="P280" s="6" t="str">
        <f>IFERROR(__xludf.DUMMYFUNCTION("""COMPUTED_VALUE"""),"Фейсбук, Инстаграм ")</f>
        <v>Фейсбук, Инстаграм </v>
      </c>
      <c r="Q280" s="6" t="str">
        <f>IFERROR(__xludf.DUMMYFUNCTION("""COMPUTED_VALUE"""),"культурные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280" s="6" t="str">
        <f>IFERROR(__xludf.DUMMYFUNCTION("""COMPUTED_VALUE"""),"День шахтера, День Победы ")</f>
        <v>День шахтера, День Победы </v>
      </c>
      <c r="S280" s="6" t="str">
        <f>IFERROR(__xludf.DUMMYFUNCTION("""COMPUTED_VALUE"""),"Нет, не приходилось")</f>
        <v>Нет, не приходилось</v>
      </c>
      <c r="T280" s="6" t="str">
        <f>IFERROR(__xludf.DUMMYFUNCTION("""COMPUTED_VALUE"""),"Печально известен после Зимней вишни")</f>
        <v>Печально известен после Зимней вишни</v>
      </c>
      <c r="U280" s="6" t="str">
        <f>IFERROR(__xludf.DUMMYFUNCTION("""COMPUTED_VALUE"""),"Площадь советов, ЦУМ")</f>
        <v>Площадь советов, ЦУМ</v>
      </c>
      <c r="V280" s="6" t="str">
        <f>IFERROR(__xludf.DUMMYFUNCTION("""COMPUTED_VALUE"""),"Нет ответа")</f>
        <v>Нет ответа</v>
      </c>
      <c r="W280" s="6" t="str">
        <f>IFERROR(__xludf.DUMMYFUNCTION("""COMPUTED_VALUE"""),"Нормальные люди, не снобы, других не унижают. Трудолюбивые")</f>
        <v>Нормальные люди, не снобы, других не унижают. Трудолюбивые</v>
      </c>
      <c r="X280" s="6" t="str">
        <f>IFERROR(__xludf.DUMMYFUNCTION("""COMPUTED_VALUE"""),"Через площадь Советов и Пушкина идём на набережную, потом до Кирова, по Кирова до ЦУМа, далее до библиотеки, идём на площадь Волкова, политех, Космос, парк ангелов")</f>
        <v>Через площадь Советов и Пушкина идём на набережную, потом до Кирова, по Кирова до ЦУМа, далее до библиотеки, идём на площадь Волкова, политех, Космос, парк ангелов</v>
      </c>
      <c r="Y280" s="6" t="str">
        <f>IFERROR(__xludf.DUMMYFUNCTION("""COMPUTED_VALUE"""),"Рок фестиваль в 2019 организованный Стройсервисом")</f>
        <v>Рок фестиваль в 2019 организованный Стройсервисом</v>
      </c>
      <c r="Z280" s="6" t="str">
        <f>IFERROR(__xludf.DUMMYFUNCTION("""COMPUTED_VALUE"""),"Вырублено большинство деревьев в городе, застройка территории училища связи жилыми домами")</f>
        <v>Вырублено большинство деревьев в городе, застройка территории училища связи жилыми домами</v>
      </c>
      <c r="AA280" s="6" t="str">
        <f>IFERROR(__xludf.DUMMYFUNCTION("""COMPUTED_VALUE"""),"Невозможность пройти-проехать при демонстрациях и приездах гостей из власти")</f>
        <v>Невозможность пройти-проехать при демонстрациях и приездах гостей из власти</v>
      </c>
      <c r="AB280" s="6" t="str">
        <f>IFERROR(__xludf.DUMMYFUNCTION("""COMPUTED_VALUE"""),"Мне это не интересно ")</f>
        <v>Мне это не интересно </v>
      </c>
      <c r="AC280" s="6" t="str">
        <f>IFERROR(__xludf.DUMMYFUNCTION("""COMPUTED_VALUE"""),"Фестивали, спортивные соревнования высокого уровня")</f>
        <v>Фестивали, спортивные соревнования высокого уровня</v>
      </c>
      <c r="AD280" s="6" t="str">
        <f>IFERROR(__xludf.DUMMYFUNCTION("""COMPUTED_VALUE"""),"Народный эксперт ")</f>
        <v>Народный эксперт </v>
      </c>
      <c r="AE280" s="6" t="str">
        <f>IFERROR(__xludf.DUMMYFUNCTION("""COMPUTED_VALUE"""),"Женский")</f>
        <v>Женский</v>
      </c>
      <c r="AF280" s="6" t="str">
        <f>IFERROR(__xludf.DUMMYFUNCTION("""COMPUTED_VALUE"""),"45-55")</f>
        <v>45-55</v>
      </c>
      <c r="AG280" s="6"/>
      <c r="AH280" s="6"/>
      <c r="AI280" s="6"/>
      <c r="AJ280" s="6"/>
      <c r="AK280" s="6"/>
      <c r="AL280" s="6"/>
      <c r="AM280" s="6"/>
    </row>
    <row r="281">
      <c r="A281" s="4">
        <v>280.0</v>
      </c>
      <c r="B281" s="6" t="str">
        <f>IFERROR(__xludf.DUMMYFUNCTION("""COMPUTED_VALUE"""),"Юрист, арбитражный управляющий")</f>
        <v>Юрист, арбитражный управляющий</v>
      </c>
      <c r="C281" s="6" t="str">
        <f>IFERROR(__xludf.DUMMYFUNCTION("""COMPUTED_VALUE"""),"активный образ жизни во всех проявлениях")</f>
        <v>активный образ жизни во всех проявлениях</v>
      </c>
      <c r="D281" s="6" t="str">
        <f>IFERROR(__xludf.DUMMYFUNCTION("""COMPUTED_VALUE"""),"на Поляне")</f>
        <v>на Поляне</v>
      </c>
      <c r="E281" s="6" t="str">
        <f>IFERROR(__xludf.DUMMYFUNCTION("""COMPUTED_VALUE"""),"Весенний проспект,  спортплощадка возле моего дома")</f>
        <v>Весенний проспект,  спортплощадка возле моего дома</v>
      </c>
      <c r="F281" s="6" t="str">
        <f>IFERROR(__xludf.DUMMYFUNCTION("""COMPUTED_VALUE"""),"Переехал сюда из другого места (откуда? укажите в графе другое), 8 лет назад переехал из Прокопьевска")</f>
        <v>Переехал сюда из другого места (откуда? укажите в графе другое), 8 лет назад переехал из Прокопьевска</v>
      </c>
      <c r="G281" s="6" t="str">
        <f>IFERROR(__xludf.DUMMYFUNCTION("""COMPUTED_VALUE"""),"все театры, Прованс, Порт, Боярская усадьба")</f>
        <v>все театры, Прованс, Порт, Боярская усадьба</v>
      </c>
      <c r="H281" s="6" t="str">
        <f>IFERROR(__xludf.DUMMYFUNCTION("""COMPUTED_VALUE"""),"КУЗБАСС, друзья, центр сибири, дом, дело")</f>
        <v>КУЗБАСС, друзья, центр сибири, дом, дело</v>
      </c>
      <c r="I281" s="6" t="str">
        <f>IFERROR(__xludf.DUMMYFUNCTION("""COMPUTED_VALUE"""),"не знаю")</f>
        <v>не знаю</v>
      </c>
      <c r="J281" s="6" t="str">
        <f>IFERROR(__xludf.DUMMYFUNCTION("""COMPUTED_VALUE"""),"знаю много хороших людей,  Женя Гришковец (хоть и открещивается от Кемерово)")</f>
        <v>знаю много хороших людей,  Женя Гришковец (хоть и открещивается от Кемерово)</v>
      </c>
      <c r="K281" s="6" t="str">
        <f>IFERROR(__xludf.DUMMYFUNCTION("""COMPUTED_VALUE"""),"Весеньку и Поляну")</f>
        <v>Весеньку и Поляну</v>
      </c>
      <c r="L281" s="6" t="str">
        <f>IFERROR(__xludf.DUMMYFUNCTION("""COMPUTED_VALUE"""),"песня-человек из Кемерово")</f>
        <v>песня-человек из Кемерово</v>
      </c>
      <c r="M281" s="6" t="str">
        <f>IFERROR(__xludf.DUMMYFUNCTION("""COMPUTED_VALUE"""),"нет")</f>
        <v>нет</v>
      </c>
      <c r="N281" s="6" t="str">
        <f>IFERROR(__xludf.DUMMYFUNCTION("""COMPUTED_VALUE"""),"позитивные люди вокруг, чистота и порядок,  хорошие дороги без пробок, парковки для авто, много зелени")</f>
        <v>позитивные люди вокруг, чистота и порядок,  хорошие дороги без пробок, парковки для авто, много зелени</v>
      </c>
      <c r="O281" s="6" t="str">
        <f>IFERROR(__xludf.DUMMYFUNCTION("""COMPUTED_VALUE"""),"больше зелени и чистоты, хочется чтобы входя в офис я  не думал как бы не запачкать пол, чтобы можно было присесть на лавку и не запачкаться...")</f>
        <v>больше зелени и чистоты, хочется чтобы входя в офис я  не думал как бы не запачкать пол, чтобы можно было присесть на лавку и не запачкаться...</v>
      </c>
      <c r="P281" s="6" t="str">
        <f>IFERROR(__xludf.DUMMYFUNCTION("""COMPUTED_VALUE"""),"люди, медиа (все ресурсы)")</f>
        <v>люди, медиа (все ресурсы)</v>
      </c>
      <c r="Q28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281" s="6" t="str">
        <f>IFERROR(__xludf.DUMMYFUNCTION("""COMPUTED_VALUE"""),"общегородские праздники считаю не важными")</f>
        <v>общегородские праздники считаю не важными</v>
      </c>
      <c r="S281" s="6" t="str">
        <f>IFERROR(__xludf.DUMMYFUNCTION("""COMPUTED_VALUE"""),"Нет, не приходилось")</f>
        <v>Нет, не приходилось</v>
      </c>
      <c r="T281" s="6" t="str">
        <f>IFERROR(__xludf.DUMMYFUNCTION("""COMPUTED_VALUE"""),"устал")</f>
        <v>устал</v>
      </c>
      <c r="U281" s="6" t="str">
        <f>IFERROR(__xludf.DUMMYFUNCTION("""COMPUTED_VALUE"""),"некогда писать")</f>
        <v>некогда писать</v>
      </c>
      <c r="V281" s="6" t="str">
        <f>IFERROR(__xludf.DUMMYFUNCTION("""COMPUTED_VALUE"""),"некогда писать")</f>
        <v>некогда писать</v>
      </c>
      <c r="W281" s="6" t="str">
        <f>IFERROR(__xludf.DUMMYFUNCTION("""COMPUTED_VALUE"""),"некогда писать")</f>
        <v>некогда писать</v>
      </c>
      <c r="X281" s="6" t="str">
        <f>IFERROR(__xludf.DUMMYFUNCTION("""COMPUTED_VALUE"""),"некогда писать")</f>
        <v>некогда писать</v>
      </c>
      <c r="Y281" s="6" t="str">
        <f>IFERROR(__xludf.DUMMYFUNCTION("""COMPUTED_VALUE"""),"некогда писать")</f>
        <v>некогда писать</v>
      </c>
      <c r="Z281" s="6" t="str">
        <f>IFERROR(__xludf.DUMMYFUNCTION("""COMPUTED_VALUE"""),"некогда писать")</f>
        <v>некогда писать</v>
      </c>
      <c r="AA281" s="6" t="str">
        <f>IFERROR(__xludf.DUMMYFUNCTION("""COMPUTED_VALUE"""),"некогда писать")</f>
        <v>некогда писать</v>
      </c>
      <c r="AB281" s="6" t="str">
        <f>IFERROR(__xludf.DUMMYFUNCTION("""COMPUTED_VALUE"""),"некогда писать")</f>
        <v>некогда писать</v>
      </c>
      <c r="AC281" s="6" t="str">
        <f>IFERROR(__xludf.DUMMYFUNCTION("""COMPUTED_VALUE"""),"некогда писать")</f>
        <v>некогда писать</v>
      </c>
      <c r="AD281" s="6" t="str">
        <f>IFERROR(__xludf.DUMMYFUNCTION("""COMPUTED_VALUE"""),"некогда писать")</f>
        <v>некогда писать</v>
      </c>
      <c r="AE281" s="6" t="str">
        <f>IFERROR(__xludf.DUMMYFUNCTION("""COMPUTED_VALUE"""),"Мужской")</f>
        <v>Мужской</v>
      </c>
      <c r="AF281" s="6" t="str">
        <f>IFERROR(__xludf.DUMMYFUNCTION("""COMPUTED_VALUE"""),"45-55")</f>
        <v>45-55</v>
      </c>
      <c r="AG281" s="6"/>
      <c r="AH281" s="6"/>
      <c r="AI281" s="6"/>
      <c r="AJ281" s="6"/>
      <c r="AK281" s="6"/>
      <c r="AL281" s="6"/>
      <c r="AM281" s="6"/>
    </row>
    <row r="282">
      <c r="A282" s="4">
        <v>281.0</v>
      </c>
      <c r="B282" s="6" t="str">
        <f>IFERROR(__xludf.DUMMYFUNCTION("""COMPUTED_VALUE"""),"Строительство ")</f>
        <v>Строительство </v>
      </c>
      <c r="C282" s="6" t="str">
        <f>IFERROR(__xludf.DUMMYFUNCTION("""COMPUTED_VALUE"""),"Путешествия ")</f>
        <v>Путешествия </v>
      </c>
      <c r="D282" s="6" t="str">
        <f>IFERROR(__xludf.DUMMYFUNCTION("""COMPUTED_VALUE"""),"Кировский ")</f>
        <v>Кировский </v>
      </c>
      <c r="E282" s="6" t="str">
        <f>IFERROR(__xludf.DUMMYFUNCTION("""COMPUTED_VALUE"""),"Их нет ")</f>
        <v>Их нет </v>
      </c>
      <c r="F282" s="6" t="str">
        <f>IFERROR(__xludf.DUMMYFUNCTION("""COMPUTED_VALUE"""),"Живу здесь с рождения")</f>
        <v>Живу здесь с рождения</v>
      </c>
      <c r="G282" s="6" t="str">
        <f>IFERROR(__xludf.DUMMYFUNCTION("""COMPUTED_VALUE"""),"Просто гуляю ")</f>
        <v>Просто гуляю </v>
      </c>
      <c r="H282" s="6" t="str">
        <f>IFERROR(__xludf.DUMMYFUNCTION("""COMPUTED_VALUE"""),"Шахтёр, родина, дом, семья, друзья ")</f>
        <v>Шахтёр, родина, дом, семья, друзья </v>
      </c>
      <c r="I282" s="6" t="str">
        <f>IFERROR(__xludf.DUMMYFUNCTION("""COMPUTED_VALUE"""),"Леонов ")</f>
        <v>Леонов </v>
      </c>
      <c r="J282" s="6" t="str">
        <f>IFERROR(__xludf.DUMMYFUNCTION("""COMPUTED_VALUE"""),"Михайлов ")</f>
        <v>Михайлов </v>
      </c>
      <c r="K282" s="6" t="str">
        <f>IFERROR(__xludf.DUMMYFUNCTION("""COMPUTED_VALUE"""),"Память шахтёром Кузбасса ")</f>
        <v>Память шахтёром Кузбасса </v>
      </c>
      <c r="L282" s="6" t="str">
        <f>IFERROR(__xludf.DUMMYFUNCTION("""COMPUTED_VALUE"""),"Их нет ")</f>
        <v>Их нет </v>
      </c>
      <c r="M282" s="6" t="str">
        <f>IFERROR(__xludf.DUMMYFUNCTION("""COMPUTED_VALUE"""),"Файлик ")</f>
        <v>Файлик </v>
      </c>
      <c r="N282" s="6" t="str">
        <f>IFERROR(__xludf.DUMMYFUNCTION("""COMPUTED_VALUE"""),"Экология, медицина, транспорт, образование, рабочие места ")</f>
        <v>Экология, медицина, транспорт, образование, рабочие места </v>
      </c>
      <c r="O282" s="6" t="str">
        <f>IFERROR(__xludf.DUMMYFUNCTION("""COMPUTED_VALUE"""),"Сделать его ярче ")</f>
        <v>Сделать его ярче </v>
      </c>
      <c r="P282" s="6" t="str">
        <f>IFERROR(__xludf.DUMMYFUNCTION("""COMPUTED_VALUE"""),"Вконтакте, СМИ ")</f>
        <v>Вконтакте, СМИ </v>
      </c>
      <c r="Q282" s="6" t="str">
        <f>IFERROR(__xludf.DUMMYFUNCTION("""COMPUTED_VALUE"""),"городская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282" s="6" t="str">
        <f>IFERROR(__xludf.DUMMYFUNCTION("""COMPUTED_VALUE"""),"День города,  День шахтёра ")</f>
        <v>День города,  День шахтёра </v>
      </c>
      <c r="S282" s="6" t="str">
        <f>IFERROR(__xludf.DUMMYFUNCTION("""COMPUTED_VALUE"""),"Нет, не приходилось")</f>
        <v>Нет, не приходилось</v>
      </c>
      <c r="T282" s="6" t="str">
        <f>IFERROR(__xludf.DUMMYFUNCTION("""COMPUTED_VALUE"""),"Ничего ")</f>
        <v>Ничего </v>
      </c>
      <c r="U282" s="6" t="str">
        <f>IFERROR(__xludf.DUMMYFUNCTION("""COMPUTED_VALUE"""),"Улица Весенняя ")</f>
        <v>Улица Весенняя </v>
      </c>
      <c r="V282" s="6" t="str">
        <f>IFERROR(__xludf.DUMMYFUNCTION("""COMPUTED_VALUE"""),"Создали сам город ")</f>
        <v>Создали сам город </v>
      </c>
      <c r="W282" s="6" t="str">
        <f>IFERROR(__xludf.DUMMYFUNCTION("""COMPUTED_VALUE"""),"Мрачные, жесткие, не приветливые ")</f>
        <v>Мрачные, жесткие, не приветливые </v>
      </c>
      <c r="X282" s="6" t="str">
        <f>IFERROR(__xludf.DUMMYFUNCTION("""COMPUTED_VALUE"""),"Набережная-улица Весенняя ")</f>
        <v>Набережная-улица Весенняя </v>
      </c>
      <c r="Y282" s="6" t="str">
        <f>IFERROR(__xludf.DUMMYFUNCTION("""COMPUTED_VALUE"""),"Чемпионат мира по хоккею с мячом ")</f>
        <v>Чемпионат мира по хоккею с мячом </v>
      </c>
      <c r="Z282" s="6" t="str">
        <f>IFERROR(__xludf.DUMMYFUNCTION("""COMPUTED_VALUE"""),"Таких нет ")</f>
        <v>Таких нет </v>
      </c>
      <c r="AA282" s="6" t="str">
        <f>IFERROR(__xludf.DUMMYFUNCTION("""COMPUTED_VALUE"""),"Экология ")</f>
        <v>Экология </v>
      </c>
      <c r="AB282" s="6" t="str">
        <f>IFERROR(__xludf.DUMMYFUNCTION("""COMPUTED_VALUE"""),"Нет таких ")</f>
        <v>Нет таких </v>
      </c>
      <c r="AC282" s="6" t="str">
        <f>IFERROR(__xludf.DUMMYFUNCTION("""COMPUTED_VALUE"""),"Таких нет ")</f>
        <v>Таких нет </v>
      </c>
      <c r="AD282" s="6" t="str">
        <f>IFERROR(__xludf.DUMMYFUNCTION("""COMPUTED_VALUE"""),"Участник ")</f>
        <v>Участник </v>
      </c>
      <c r="AE282" s="6" t="str">
        <f>IFERROR(__xludf.DUMMYFUNCTION("""COMPUTED_VALUE"""),"Мужской")</f>
        <v>Мужской</v>
      </c>
      <c r="AF282" s="6" t="str">
        <f>IFERROR(__xludf.DUMMYFUNCTION("""COMPUTED_VALUE"""),"30-44")</f>
        <v>30-44</v>
      </c>
      <c r="AG282" s="6"/>
      <c r="AH282" s="6"/>
      <c r="AI282" s="6"/>
      <c r="AJ282" s="6"/>
      <c r="AK282" s="6"/>
      <c r="AL282" s="6"/>
      <c r="AM282" s="6"/>
    </row>
    <row r="283">
      <c r="A283" s="4">
        <v>282.0</v>
      </c>
      <c r="B283" s="6" t="str">
        <f>IFERROR(__xludf.DUMMYFUNCTION("""COMPUTED_VALUE"""),"Пожарная безопасность")</f>
        <v>Пожарная безопасность</v>
      </c>
      <c r="C283" s="6" t="str">
        <f>IFERROR(__xludf.DUMMYFUNCTION("""COMPUTED_VALUE"""),"Книги")</f>
        <v>Книги</v>
      </c>
      <c r="D283" s="6" t="str">
        <f>IFERROR(__xludf.DUMMYFUNCTION("""COMPUTED_VALUE"""),"Ленинский")</f>
        <v>Ленинский</v>
      </c>
      <c r="E283" s="6" t="str">
        <f>IFERROR(__xludf.DUMMYFUNCTION("""COMPUTED_VALUE"""),"Бульвар Строителей")</f>
        <v>Бульвар Строителей</v>
      </c>
      <c r="F283" s="6" t="str">
        <f>IFERROR(__xludf.DUMMYFUNCTION("""COMPUTED_VALUE"""),"Переехал сюда из другого места (откуда? укажите в графе другое), Казахстан")</f>
        <v>Переехал сюда из другого места (откуда? укажите в графе другое), Казахстан</v>
      </c>
      <c r="G283" s="6" t="str">
        <f>IFERROR(__xludf.DUMMYFUNCTION("""COMPUTED_VALUE"""),"Надбережная,горсад")</f>
        <v>Надбережная,горсад</v>
      </c>
      <c r="H283" s="6" t="str">
        <f>IFERROR(__xludf.DUMMYFUNCTION("""COMPUTED_VALUE"""),"Уголь, взятки,коррупция,бедность,надежда")</f>
        <v>Уголь, взятки,коррупция,бедность,надежда</v>
      </c>
      <c r="I283" s="6" t="str">
        <f>IFERROR(__xludf.DUMMYFUNCTION("""COMPUTED_VALUE"""),"Леонов")</f>
        <v>Леонов</v>
      </c>
      <c r="J283" s="6" t="str">
        <f>IFERROR(__xludf.DUMMYFUNCTION("""COMPUTED_VALUE"""),"Тулеев")</f>
        <v>Тулеев</v>
      </c>
      <c r="K283" s="6" t="str">
        <f>IFERROR(__xludf.DUMMYFUNCTION("""COMPUTED_VALUE"""),"Нет")</f>
        <v>Нет</v>
      </c>
      <c r="L283" s="6" t="str">
        <f>IFERROR(__xludf.DUMMYFUNCTION("""COMPUTED_VALUE"""),"Нет")</f>
        <v>Нет</v>
      </c>
      <c r="M283" s="6" t="str">
        <f>IFERROR(__xludf.DUMMYFUNCTION("""COMPUTED_VALUE"""),"Нет")</f>
        <v>Нет</v>
      </c>
      <c r="N283" s="6" t="str">
        <f>IFERROR(__xludf.DUMMYFUNCTION("""COMPUTED_VALUE"""),"Нет")</f>
        <v>Нет</v>
      </c>
      <c r="O283" s="6" t="str">
        <f>IFERROR(__xludf.DUMMYFUNCTION("""COMPUTED_VALUE"""),"Дороги")</f>
        <v>Дороги</v>
      </c>
      <c r="P283" s="6" t="str">
        <f>IFERROR(__xludf.DUMMYFUNCTION("""COMPUTED_VALUE"""),"Яндекс")</f>
        <v>Яндекс</v>
      </c>
      <c r="Q283" s="6" t="str">
        <f>IFERROR(__xludf.DUMMYFUNCTION("""COMPUTED_VALUE"""),"городская афиша (кино/театр/концерты)")</f>
        <v>городская афиша (кино/театр/концерты)</v>
      </c>
      <c r="R283" s="6" t="str">
        <f>IFERROR(__xludf.DUMMYFUNCTION("""COMPUTED_VALUE"""),"День России")</f>
        <v>День России</v>
      </c>
      <c r="S283" s="6" t="str">
        <f>IFERROR(__xludf.DUMMYFUNCTION("""COMPUTED_VALUE"""),"Нет, не приходилось")</f>
        <v>Нет, не приходилось</v>
      </c>
      <c r="T283" s="6" t="str">
        <f>IFERROR(__xludf.DUMMYFUNCTION("""COMPUTED_VALUE"""),"Ничем")</f>
        <v>Ничем</v>
      </c>
      <c r="U283" s="6" t="str">
        <f>IFERROR(__xludf.DUMMYFUNCTION("""COMPUTED_VALUE"""),"Пл.Советов")</f>
        <v>Пл.Советов</v>
      </c>
      <c r="V283" s="6" t="str">
        <f>IFERROR(__xludf.DUMMYFUNCTION("""COMPUTED_VALUE"""),"Уголь добывали")</f>
        <v>Уголь добывали</v>
      </c>
      <c r="W283" s="6" t="str">
        <f>IFERROR(__xludf.DUMMYFUNCTION("""COMPUTED_VALUE"""),"Доверчивые")</f>
        <v>Доверчивые</v>
      </c>
      <c r="X283" s="6" t="str">
        <f>IFERROR(__xludf.DUMMYFUNCTION("""COMPUTED_VALUE"""),"Пл.Советов,пр.Советский,аллея к Вечному огню,надбережная,горсад")</f>
        <v>Пл.Советов,пр.Советский,аллея к Вечному огню,надбережная,горсад</v>
      </c>
      <c r="Y283" s="6" t="str">
        <f>IFERROR(__xludf.DUMMYFUNCTION("""COMPUTED_VALUE"""),"Стал городом")</f>
        <v>Стал городом</v>
      </c>
      <c r="Z283" s="6" t="str">
        <f>IFERROR(__xludf.DUMMYFUNCTION("""COMPUTED_VALUE"""),"Ничего")</f>
        <v>Ничего</v>
      </c>
      <c r="AA283" s="6" t="str">
        <f>IFERROR(__xludf.DUMMYFUNCTION("""COMPUTED_VALUE"""),"Зимняя вишня, ухудшение дорог,")</f>
        <v>Зимняя вишня, ухудшение дорог,</v>
      </c>
      <c r="AB283" s="6" t="str">
        <f>IFERROR(__xludf.DUMMYFUNCTION("""COMPUTED_VALUE"""),"Нет")</f>
        <v>Нет</v>
      </c>
      <c r="AC283" s="6" t="str">
        <f>IFERROR(__xludf.DUMMYFUNCTION("""COMPUTED_VALUE"""),"Создание производств,а не уголь")</f>
        <v>Создание производств,а не уголь</v>
      </c>
      <c r="AD283" s="6" t="str">
        <f>IFERROR(__xludf.DUMMYFUNCTION("""COMPUTED_VALUE"""),"Уже участвую")</f>
        <v>Уже участвую</v>
      </c>
      <c r="AE283" s="6" t="str">
        <f>IFERROR(__xludf.DUMMYFUNCTION("""COMPUTED_VALUE"""),"Мужской")</f>
        <v>Мужской</v>
      </c>
      <c r="AF283" s="6" t="str">
        <f>IFERROR(__xludf.DUMMYFUNCTION("""COMPUTED_VALUE"""),"старше 55")</f>
        <v>старше 55</v>
      </c>
      <c r="AG283" s="6"/>
      <c r="AH283" s="6"/>
      <c r="AI283" s="6"/>
      <c r="AJ283" s="6"/>
      <c r="AK283" s="6"/>
      <c r="AL283" s="6"/>
      <c r="AM283" s="6"/>
    </row>
    <row r="284">
      <c r="A284" s="4">
        <v>283.0</v>
      </c>
      <c r="B284" s="6" t="str">
        <f>IFERROR(__xludf.DUMMYFUNCTION("""COMPUTED_VALUE"""),"Работаю в мтс")</f>
        <v>Работаю в мтс</v>
      </c>
      <c r="C284" s="6" t="str">
        <f>IFERROR(__xludf.DUMMYFUNCTION("""COMPUTED_VALUE"""),"Рисование, музыка")</f>
        <v>Рисование, музыка</v>
      </c>
      <c r="D284" s="6" t="str">
        <f>IFERROR(__xludf.DUMMYFUNCTION("""COMPUTED_VALUE"""),"Ленинский")</f>
        <v>Ленинский</v>
      </c>
      <c r="E284" s="6" t="str">
        <f>IFERROR(__xludf.DUMMYFUNCTION("""COMPUTED_VALUE"""),"Бульвар, президентское кадетское училище")</f>
        <v>Бульвар, президентское кадетское училище</v>
      </c>
      <c r="F284" s="6" t="str">
        <f>IFERROR(__xludf.DUMMYFUNCTION("""COMPUTED_VALUE"""),"Переехал сюда из другого места (откуда? укажите в графе другое), Из Ярославля")</f>
        <v>Переехал сюда из другого места (откуда? укажите в графе другое), Из Ярославля</v>
      </c>
      <c r="G284" s="6" t="str">
        <f>IFERROR(__xludf.DUMMYFUNCTION("""COMPUTED_VALUE"""),"Гуляю по своему району либо езжу в центр или на фпк")</f>
        <v>Гуляю по своему району либо езжу в центр или на фпк</v>
      </c>
      <c r="H284" s="6" t="str">
        <f>IFERROR(__xludf.DUMMYFUNCTION("""COMPUTED_VALUE"""),"Космос, промысел, искусство, деревня, дом")</f>
        <v>Космос, промысел, искусство, деревня, дом</v>
      </c>
      <c r="I284" s="6" t="str">
        <f>IFERROR(__xludf.DUMMYFUNCTION("""COMPUTED_VALUE"""),"Михайло Волков, Алексей Леонов")</f>
        <v>Михайло Волков, Алексей Леонов</v>
      </c>
      <c r="J284" s="6" t="str">
        <f>IFERROR(__xludf.DUMMYFUNCTION("""COMPUTED_VALUE"""),"Не знаю")</f>
        <v>Не знаю</v>
      </c>
      <c r="K284" s="6" t="str">
        <f>IFERROR(__xludf.DUMMYFUNCTION("""COMPUTED_VALUE"""),"Стрит арт, разбросаный, в основном, по центральному району города")</f>
        <v>Стрит арт, разбросаный, в основном, по центральному району города</v>
      </c>
      <c r="L284" s="6" t="str">
        <f>IFERROR(__xludf.DUMMYFUNCTION("""COMPUTED_VALUE"""),"Не силен в этом, но самая популярная фраза, по-моему, - ""кемерово - это большая деревня, здесь все друг друга знают""")</f>
        <v>Не силен в этом, но самая популярная фраза, по-моему, - "кемерово - это большая деревня, здесь все друг друга знают"</v>
      </c>
      <c r="M284" s="6" t="str">
        <f>IFERROR(__xludf.DUMMYFUNCTION("""COMPUTED_VALUE"""),"Предыдущий ответ подошел бы, но я думаю, что есть определенный сленг и манера речи, которую я теперь не могу уже отличить")</f>
        <v>Предыдущий ответ подошел бы, но я думаю, что есть определенный сленг и манера речи, которую я теперь не могу уже отличить</v>
      </c>
      <c r="N284" s="6" t="str">
        <f>IFERROR(__xludf.DUMMYFUNCTION("""COMPUTED_VALUE"""),"Тишина, чистота, приятные глазу здания, налаженная работа структур, свобода самовыражения")</f>
        <v>Тишина, чистота, приятные глазу здания, налаженная работа структур, свобода самовыражения</v>
      </c>
      <c r="O284" s="6" t="str">
        <f>IFERROR(__xludf.DUMMYFUNCTION("""COMPUTED_VALUE"""),"Было бы неплохо, хотя бы покрасить, общаги, как сделали на московском проспекте, намного лучше выглядит и чувствуешь себя куда комфортнее")</f>
        <v>Было бы неплохо, хотя бы покрасить, общаги, как сделали на московском проспекте, намного лучше выглядит и чувствуешь себя куда комфортнее</v>
      </c>
      <c r="P284" s="6" t="str">
        <f>IFERROR(__xludf.DUMMYFUNCTION("""COMPUTED_VALUE"""),"Инцидент кемерово")</f>
        <v>Инцидент кемерово</v>
      </c>
      <c r="Q284"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284" s="6" t="str">
        <f>IFERROR(__xludf.DUMMYFUNCTION("""COMPUTED_VALUE"""),"День города, крупные музыкальные фестивали, день шахтера")</f>
        <v>День города, крупные музыкальные фестивали, день шахтера</v>
      </c>
      <c r="S284" s="6" t="str">
        <f>IFERROR(__xludf.DUMMYFUNCTION("""COMPUTED_VALUE"""),"Нет, не приходилось")</f>
        <v>Нет, не приходилось</v>
      </c>
      <c r="T284" s="6" t="str">
        <f>IFERROR(__xludf.DUMMYFUNCTION("""COMPUTED_VALUE"""),"В основном, печально известен, к сожалению.
Одним из первых мест, по загрязненности, пожаром в зимней вишне, мемом про елку за 18м")</f>
        <v>В основном, печально известен, к сожалению.
Одним из первых мест, по загрязненности, пожаром в зимней вишне, мемом про елку за 18м</v>
      </c>
      <c r="U284" s="6" t="str">
        <f>IFERROR(__xludf.DUMMYFUNCTION("""COMPUTED_VALUE"""),"Советский проспект, драммтеатр")</f>
        <v>Советский проспект, драммтеатр</v>
      </c>
      <c r="V284" s="6" t="str">
        <f>IFERROR(__xludf.DUMMYFUNCTION("""COMPUTED_VALUE"""),"Достигли чего то, что принесло пользу человечеству. Недавно слышал, что в кемерово хотят построить перерабатывающий завод и это вызывает гордость, главное, чтобы он все таки появился")</f>
        <v>Достигли чего то, что принесло пользу человечеству. Недавно слышал, что в кемерово хотят построить перерабатывающий завод и это вызывает гордость, главное, чтобы он все таки появился</v>
      </c>
      <c r="W284" s="6" t="str">
        <f>IFERROR(__xludf.DUMMYFUNCTION("""COMPUTED_VALUE"""),"Душевные. Очень неприветливые снаружи, но на деле дружные и отличные ребята, само собой не без исключений")</f>
        <v>Душевные. Очень неприветливые снаружи, но на деле дружные и отличные ребята, само собой не без исключений</v>
      </c>
      <c r="X284" s="6" t="str">
        <f>IFERROR(__xludf.DUMMYFUNCTION("""COMPUTED_VALUE"""),"Даже не знаю, я обычно просто гуляю")</f>
        <v>Даже не знаю, я обычно просто гуляю</v>
      </c>
      <c r="Y284" s="6" t="str">
        <f>IFERROR(__xludf.DUMMYFUNCTION("""COMPUTED_VALUE"""),"Полет в космос Алексея Леонова")</f>
        <v>Полет в космос Алексея Леонова</v>
      </c>
      <c r="Z284" s="6" t="str">
        <f>IFERROR(__xludf.DUMMYFUNCTION("""COMPUTED_VALUE"""),"Преображение города, музыкальный фестиваль")</f>
        <v>Преображение города, музыкальный фестиваль</v>
      </c>
      <c r="AA284" s="6" t="str">
        <f>IFERROR(__xludf.DUMMYFUNCTION("""COMPUTED_VALUE"""),"Пожар и открытие парка на месте тц")</f>
        <v>Пожар и открытие парка на месте тц</v>
      </c>
      <c r="AB284" s="6" t="str">
        <f>IFERROR(__xludf.DUMMYFUNCTION("""COMPUTED_VALUE"""),"Нет ответа")</f>
        <v>Нет ответа</v>
      </c>
      <c r="AC284" s="6" t="str">
        <f>IFERROR(__xludf.DUMMYFUNCTION("""COMPUTED_VALUE"""),"Не хватает крупных музыкальных и художественных событий")</f>
        <v>Не хватает крупных музыкальных и художественных событий</v>
      </c>
      <c r="AD284" s="6" t="str">
        <f>IFERROR(__xludf.DUMMYFUNCTION("""COMPUTED_VALUE"""),"Хотел бы участвовать в разработке дизайнов")</f>
        <v>Хотел бы участвовать в разработке дизайнов</v>
      </c>
      <c r="AE284" s="6" t="str">
        <f>IFERROR(__xludf.DUMMYFUNCTION("""COMPUTED_VALUE"""),"Мужской")</f>
        <v>Мужской</v>
      </c>
      <c r="AF284" s="6" t="str">
        <f>IFERROR(__xludf.DUMMYFUNCTION("""COMPUTED_VALUE"""),"18-29")</f>
        <v>18-29</v>
      </c>
      <c r="AG284" s="6"/>
      <c r="AH284" s="6"/>
      <c r="AI284" s="6"/>
      <c r="AJ284" s="6"/>
      <c r="AK284" s="6"/>
      <c r="AL284" s="6"/>
      <c r="AM284" s="6"/>
    </row>
    <row r="285">
      <c r="A285" s="4">
        <v>284.0</v>
      </c>
      <c r="B285" s="6" t="str">
        <f>IFERROR(__xludf.DUMMYFUNCTION("""COMPUTED_VALUE"""),"Занимаюсь организацией фестивалей.")</f>
        <v>Занимаюсь организацией фестивалей.</v>
      </c>
      <c r="C285" s="6" t="str">
        <f>IFERROR(__xludf.DUMMYFUNCTION("""COMPUTED_VALUE"""),"Мыловарение ")</f>
        <v>Мыловарение </v>
      </c>
      <c r="D285" s="6" t="str">
        <f>IFERROR(__xludf.DUMMYFUNCTION("""COMPUTED_VALUE"""),"Центральный ")</f>
        <v>Центральный </v>
      </c>
      <c r="E285" s="6" t="str">
        <f>IFERROR(__xludf.DUMMYFUNCTION("""COMPUTED_VALUE"""),"Сквер на Притомском ")</f>
        <v>Сквер на Притомском </v>
      </c>
      <c r="F285" s="6" t="str">
        <f>IFERROR(__xludf.DUMMYFUNCTION("""COMPUTED_VALUE"""),"Живу здесь с рождения")</f>
        <v>Живу здесь с рождения</v>
      </c>
      <c r="G285" s="6" t="str">
        <f>IFERROR(__xludf.DUMMYFUNCTION("""COMPUTED_VALUE"""),"Набережная, весенняя улица, ")</f>
        <v>Набережная, весенняя улица, </v>
      </c>
      <c r="H285" s="6" t="str">
        <f>IFERROR(__xludf.DUMMYFUNCTION("""COMPUTED_VALUE"""),"Томь, драмтеатр")</f>
        <v>Томь, драмтеатр</v>
      </c>
      <c r="I285" s="6" t="str">
        <f>IFERROR(__xludf.DUMMYFUNCTION("""COMPUTED_VALUE"""),"Не знаю")</f>
        <v>Не знаю</v>
      </c>
      <c r="J285" s="6" t="str">
        <f>IFERROR(__xludf.DUMMYFUNCTION("""COMPUTED_VALUE"""),"Не знаю на кого у нас равняются горожане")</f>
        <v>Не знаю на кого у нас равняются горожане</v>
      </c>
      <c r="K285" s="6" t="str">
        <f>IFERROR(__xludf.DUMMYFUNCTION("""COMPUTED_VALUE"""),"Набережная , памятник шахтерам ( вид на город). Бургерная Ребро ( лучшие бургеры в Кемерово ), Харатс паб( отличное место с живой музыкой)")</f>
        <v>Набережная , памятник шахтерам ( вид на город). Бургерная Ребро ( лучшие бургеры в Кемерово ), Харатс паб( отличное место с живой музыкой)</v>
      </c>
      <c r="L285" s="6" t="str">
        <f>IFERROR(__xludf.DUMMYFUNCTION("""COMPUTED_VALUE"""),"Не знаю")</f>
        <v>Не знаю</v>
      </c>
      <c r="M285" s="6" t="str">
        <f>IFERROR(__xludf.DUMMYFUNCTION("""COMPUTED_VALUE"""),"Нет")</f>
        <v>Нет</v>
      </c>
      <c r="N285" s="6" t="str">
        <f>IFERROR(__xludf.DUMMYFUNCTION("""COMPUTED_VALUE"""),"Чистота, много зелени( которую у нас активно вырубают🤷‍♀️), безопасность, активность городская( городские фестивали, интересные мероприятия в масштабах города, как например в своё время Честфест ( от теле2), детализация, небофест и прочие подобные, важен"&amp;" масштаб!), больше общественных туалетов( может тогда люди перестанут делать свои дела в кустах и в других «укромных» местах .")</f>
        <v>Чистота, много зелени( которую у нас активно вырубают🤷‍♀️), безопасность, активность городская( городские фестивали, интересные мероприятия в масштабах города, как например в своё время Честфест ( от теле2), детализация, небофест и прочие подобные, важен масштаб!), больше общественных туалетов( может тогда люди перестанут делать свои дела в кустах и в других «укромных» местах .</v>
      </c>
      <c r="O285" s="6" t="str">
        <f>IFERROR(__xludf.DUMMYFUNCTION("""COMPUTED_VALUE"""),"Посадить деревья , клумбы, следить за чистотой , отремонтировать дороги ( особенно это касается дворов!) , навести порядок в зелёных скверах, чтобы было где прогуляться. ")</f>
        <v>Посадить деревья , клумбы, следить за чистотой , отремонтировать дороги ( особенно это касается дворов!) , навести порядок в зелёных скверах, чтобы было где прогуляться. </v>
      </c>
      <c r="P285" s="6" t="str">
        <f>IFERROR(__xludf.DUMMYFUNCTION("""COMPUTED_VALUE"""),"Инстаграм, ВК. ")</f>
        <v>Инстаграм, ВК. </v>
      </c>
      <c r="Q285" s="6" t="str">
        <f>IFERROR(__xludf.DUMMYFUNCTION("""COMPUTED_VALUE"""),"СМИ не интересует, больше дела интересуют, а не писанина и разговоры.")</f>
        <v>СМИ не интересует, больше дела интересуют, а не писанина и разговоры.</v>
      </c>
      <c r="R285" s="6" t="str">
        <f>IFERROR(__xludf.DUMMYFUNCTION("""COMPUTED_VALUE"""),"День города, день молодёжи , день шахтёров. ")</f>
        <v>День города, день молодёжи , день шахтёров. </v>
      </c>
      <c r="S285" s="6" t="str">
        <f>IFERROR(__xludf.DUMMYFUNCTION("""COMPUTED_VALUE"""),"Через социальные сети (Какие? Укажите в графе другое), Инстаграм , ВК")</f>
        <v>Через социальные сети (Какие? Укажите в графе другое), Инстаграм , ВК</v>
      </c>
      <c r="T285" s="6" t="str">
        <f>IFERROR(__xludf.DUMMYFUNCTION("""COMPUTED_VALUE"""),"Кемерово столица Кузбасса, грязь, пыль, отсутствие культуры в целом, уникальная особенность. ")</f>
        <v>Кемерово столица Кузбасса, грязь, пыль, отсутствие культуры в целом, уникальная особенность. </v>
      </c>
      <c r="U285" s="6" t="str">
        <f>IFERROR(__xludf.DUMMYFUNCTION("""COMPUTED_VALUE"""),"Площадь Советов. ")</f>
        <v>Площадь Советов. </v>
      </c>
      <c r="V285" s="6" t="str">
        <f>IFERROR(__xludf.DUMMYFUNCTION("""COMPUTED_VALUE"""),"Озеленили город( хотя одни озеленяют , другие вырубают), построили новые дороги объездные , застрочили новые районы ( которые уже засрали так как никто не следит за порядком) ")</f>
        <v>Озеленили город( хотя одни озеленяют , другие вырубают), построили новые дороги объездные , застрочили новые районы ( которые уже засрали так как никто не следит за порядком) </v>
      </c>
      <c r="W285" s="6" t="str">
        <f>IFERROR(__xludf.DUMMYFUNCTION("""COMPUTED_VALUE"""),"Разные, как и везде. ")</f>
        <v>Разные, как и везде. </v>
      </c>
      <c r="X285" s="6" t="str">
        <f>IFERROR(__xludf.DUMMYFUNCTION("""COMPUTED_VALUE"""),"У нас не так много маршрутов. Кроме набережной и бульвара строителей гулять особо негде.")</f>
        <v>У нас не так много маршрутов. Кроме набережной и бульвара строителей гулять особо негде.</v>
      </c>
      <c r="Y285" s="6" t="str">
        <f>IFERROR(__xludf.DUMMYFUNCTION("""COMPUTED_VALUE"""),"Как то в хоккей у нас играли. Чемпионат мира по хоккею с мячом. 2007 год вроде.")</f>
        <v>Как то в хоккей у нас играли. Чемпионат мира по хоккею с мячом. 2007 год вроде.</v>
      </c>
      <c r="Z285" s="6" t="str">
        <f>IFERROR(__xludf.DUMMYFUNCTION("""COMPUTED_VALUE"""),"Два года назад Небофест. А вот ранее событий было больше .")</f>
        <v>Два года назад Небофест. А вот ранее событий было больше .</v>
      </c>
      <c r="AA285" s="6" t="str">
        <f>IFERROR(__xludf.DUMMYFUNCTION("""COMPUTED_VALUE"""),"Вырубка деревьев ")</f>
        <v>Вырубка деревьев </v>
      </c>
      <c r="AB285" s="6" t="str">
        <f>IFERROR(__xludf.DUMMYFUNCTION("""COMPUTED_VALUE"""),".")</f>
        <v>.</v>
      </c>
      <c r="AC285" s="6" t="str">
        <f>IFERROR(__xludf.DUMMYFUNCTION("""COMPUTED_VALUE"""),"Городские масштабные события")</f>
        <v>Городские масштабные события</v>
      </c>
      <c r="AD285" s="6" t="str">
        <f>IFERROR(__xludf.DUMMYFUNCTION("""COMPUTED_VALUE"""),"Если это действительно интересные проекты - готова помогать во всем организаторам. ")</f>
        <v>Если это действительно интересные проекты - готова помогать во всем организаторам. </v>
      </c>
      <c r="AE285" s="6" t="str">
        <f>IFERROR(__xludf.DUMMYFUNCTION("""COMPUTED_VALUE"""),"Женский")</f>
        <v>Женский</v>
      </c>
      <c r="AF285" s="6" t="str">
        <f>IFERROR(__xludf.DUMMYFUNCTION("""COMPUTED_VALUE"""),"30-44")</f>
        <v>30-44</v>
      </c>
      <c r="AG285" s="6"/>
      <c r="AH285" s="6"/>
      <c r="AI285" s="6"/>
      <c r="AJ285" s="6"/>
      <c r="AK285" s="6"/>
      <c r="AL285" s="6"/>
      <c r="AM285" s="6"/>
    </row>
    <row r="286">
      <c r="A286" s="4">
        <v>285.0</v>
      </c>
      <c r="B286" s="6" t="str">
        <f>IFERROR(__xludf.DUMMYFUNCTION("""COMPUTED_VALUE"""),"Архитектор ")</f>
        <v>Архитектор </v>
      </c>
      <c r="C286" s="6" t="str">
        <f>IFERROR(__xludf.DUMMYFUNCTION("""COMPUTED_VALUE"""),"Пробежки, турник, брусья")</f>
        <v>Пробежки, турник, брусья</v>
      </c>
      <c r="D286" s="6" t="str">
        <f>IFERROR(__xludf.DUMMYFUNCTION("""COMPUTED_VALUE"""),"Ленинский")</f>
        <v>Ленинский</v>
      </c>
      <c r="E286" s="6" t="str">
        <f>IFERROR(__xludf.DUMMYFUNCTION("""COMPUTED_VALUE"""),"Бульвар Строителей, озеро Красное")</f>
        <v>Бульвар Строителей, озеро Красное</v>
      </c>
      <c r="F286" s="6" t="str">
        <f>IFERROR(__xludf.DUMMYFUNCTION("""COMPUTED_VALUE"""),"Живу здесь с рождения")</f>
        <v>Живу здесь с рождения</v>
      </c>
      <c r="G286" s="6" t="str">
        <f>IFERROR(__xludf.DUMMYFUNCTION("""COMPUTED_VALUE"""),"Сосновый Бор, набережная")</f>
        <v>Сосновый Бор, набережная</v>
      </c>
      <c r="H286" s="6" t="str">
        <f>IFERROR(__xludf.DUMMYFUNCTION("""COMPUTED_VALUE"""),"Компактный, удобный, консервативный, однотипный, неряшлевый")</f>
        <v>Компактный, удобный, консервативный, однотипный, неряшлевый</v>
      </c>
      <c r="I286" s="6" t="str">
        <f>IFERROR(__xludf.DUMMYFUNCTION("""COMPUTED_VALUE"""),"Волков Михайло, Ван Лохем, Вера Волошина")</f>
        <v>Волков Михайло, Ван Лохем, Вера Волошина</v>
      </c>
      <c r="J286" s="6" t="str">
        <f>IFERROR(__xludf.DUMMYFUNCTION("""COMPUTED_VALUE"""),"Известные есть, но не очень понятно что они для города сделали. Ну разве, что пропиарили город своим рождением в нём.")</f>
        <v>Известные есть, но не очень понятно что они для города сделали. Ну разве, что пропиарили город своим рождением в нём.</v>
      </c>
      <c r="K286" s="6" t="str">
        <f>IFERROR(__xludf.DUMMYFUNCTION("""COMPUTED_VALUE"""),"Объект 1200, красная горка, бор (вид с надписи Кузбасс)")</f>
        <v>Объект 1200, красная горка, бор (вид с надписи Кузбасс)</v>
      </c>
      <c r="L286" s="6" t="str">
        <f>IFERROR(__xludf.DUMMYFUNCTION("""COMPUTED_VALUE"""),"Заставь дурака богу молиться, он весь лоб расшибёт. ")</f>
        <v>Заставь дурака богу молиться, он весь лоб расшибёт. </v>
      </c>
      <c r="M286" s="6" t="str">
        <f>IFERROR(__xludf.DUMMYFUNCTION("""COMPUTED_VALUE"""),"КемеровО, другие буквы на конце вызывают недоумение")</f>
        <v>КемеровО, другие буквы на конце вызывают недоумение</v>
      </c>
      <c r="N286" s="6" t="str">
        <f>IFERROR(__xludf.DUMMYFUNCTION("""COMPUTED_VALUE"""),"Чистота, благоустройство, архитектура, разнообразие, гармония")</f>
        <v>Чистота, благоустройство, архитектура, разнообразие, гармония</v>
      </c>
      <c r="O286" s="6" t="str">
        <f>IFERROR(__xludf.DUMMYFUNCTION("""COMPUTED_VALUE"""),"Фасады, благоустройство, мировоззрение")</f>
        <v>Фасады, благоустройство, мировоззрение</v>
      </c>
      <c r="P286" s="6" t="str">
        <f>IFERROR(__xludf.DUMMYFUNCTION("""COMPUTED_VALUE"""),"Интернет: Яндекс, Гугл, Инстаграм ")</f>
        <v>Интернет: Яндекс, Гугл, Инстаграм </v>
      </c>
      <c r="Q28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(н"&amp;"апишите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286" s="6" t="str">
        <f>IFERROR(__xludf.DUMMYFUNCTION("""COMPUTED_VALUE"""),"День города, 9 мая, Новый год")</f>
        <v>День города, 9 мая, Новый год</v>
      </c>
      <c r="S286" s="6" t="str">
        <f>IFERROR(__xludf.DUMMYFUNCTION("""COMPUTED_VALUE"""),"Через социальные сети (Какие? Укажите в графе другое), Инстаграм")</f>
        <v>Через социальные сети (Какие? Укажите в графе другое), Инстаграм</v>
      </c>
      <c r="T286" s="6" t="str">
        <f>IFERROR(__xludf.DUMMYFUNCTION("""COMPUTED_VALUE"""),"АИК ")</f>
        <v>АИК </v>
      </c>
      <c r="U286" s="6" t="str">
        <f>IFERROR(__xludf.DUMMYFUNCTION("""COMPUTED_VALUE"""),"Набережная, Весенняя, Советский")</f>
        <v>Набережная, Весенняя, Советский</v>
      </c>
      <c r="V286" s="6" t="str">
        <f>IFERROR(__xludf.DUMMYFUNCTION("""COMPUTED_VALUE"""),"Глобально ни чего ")</f>
        <v>Глобально ни чего </v>
      </c>
      <c r="W286" s="6" t="str">
        <f>IFERROR(__xludf.DUMMYFUNCTION("""COMPUTED_VALUE"""),"Люди как люди, деньги любят, а кто же их не любит... ")</f>
        <v>Люди как люди, деньги любят, а кто же их не любит... </v>
      </c>
      <c r="X286" s="6" t="str">
        <f>IFERROR(__xludf.DUMMYFUNCTION("""COMPUTED_VALUE"""),"Набережная, весенняя, бор")</f>
        <v>Набережная, весенняя, бор</v>
      </c>
      <c r="Y286" s="6" t="str">
        <f>IFERROR(__xludf.DUMMYFUNCTION("""COMPUTED_VALUE"""),"Как не крути, открытие угля и создание АИК")</f>
        <v>Как не крути, открытие угля и создание АИК</v>
      </c>
      <c r="Z286" s="6" t="str">
        <f>IFERROR(__xludf.DUMMYFUNCTION("""COMPUTED_VALUE"""),"Все стандартно: концерты, шашлыки, салют...")</f>
        <v>Все стандартно: концерты, шашлыки, салют...</v>
      </c>
      <c r="AA286" s="6" t="str">
        <f>IFERROR(__xludf.DUMMYFUNCTION("""COMPUTED_VALUE"""),"Всё более менее ровно")</f>
        <v>Всё более менее ровно</v>
      </c>
      <c r="AB286" s="6" t="str">
        <f>IFERROR(__xludf.DUMMYFUNCTION("""COMPUTED_VALUE"""),"Джазовой музыки, да в принципе музыкантов, театральных, жизнеспособного архитектурного")</f>
        <v>Джазовой музыки, да в принципе музыкантов, театральных, жизнеспособного архитектурного</v>
      </c>
      <c r="AC286" s="6" t="str">
        <f>IFERROR(__xludf.DUMMYFUNCTION("""COMPUTED_VALUE"""),"Гастроли театров, концерты, переодически ребрендинг кафе и ресторанов, массовые народные спортивные мероприятия Всероссийского масштаба.")</f>
        <v>Гастроли театров, концерты, переодически ребрендинг кафе и ресторанов, массовые народные спортивные мероприятия Всероссийского масштаба.</v>
      </c>
      <c r="AD286" s="6" t="str">
        <f>IFERROR(__xludf.DUMMYFUNCTION("""COMPUTED_VALUE"""),"Наверное больше как идеолог и консультант")</f>
        <v>Наверное больше как идеолог и консультант</v>
      </c>
      <c r="AE286" s="6" t="str">
        <f>IFERROR(__xludf.DUMMYFUNCTION("""COMPUTED_VALUE"""),"Мужской")</f>
        <v>Мужской</v>
      </c>
      <c r="AF286" s="6" t="str">
        <f>IFERROR(__xludf.DUMMYFUNCTION("""COMPUTED_VALUE"""),"30-44")</f>
        <v>30-44</v>
      </c>
      <c r="AG286" s="6"/>
      <c r="AH286" s="6"/>
      <c r="AI286" s="6"/>
      <c r="AJ286" s="6"/>
      <c r="AK286" s="6"/>
      <c r="AL286" s="6"/>
      <c r="AM286" s="6"/>
    </row>
    <row r="287">
      <c r="A287" s="4">
        <v>286.0</v>
      </c>
      <c r="B287" s="6" t="str">
        <f>IFERROR(__xludf.DUMMYFUNCTION("""COMPUTED_VALUE"""),"Менеджер")</f>
        <v>Менеджер</v>
      </c>
      <c r="C287" s="6" t="str">
        <f>IFERROR(__xludf.DUMMYFUNCTION("""COMPUTED_VALUE"""),"Бег, ходьба")</f>
        <v>Бег, ходьба</v>
      </c>
      <c r="D287" s="6" t="str">
        <f>IFERROR(__xludf.DUMMYFUNCTION("""COMPUTED_VALUE"""),"Фпк")</f>
        <v>Фпк</v>
      </c>
      <c r="E287" s="6" t="str">
        <f>IFERROR(__xludf.DUMMYFUNCTION("""COMPUTED_VALUE"""),"Комсомольский парк")</f>
        <v>Комсомольский парк</v>
      </c>
      <c r="F287" s="6" t="str">
        <f>IFERROR(__xludf.DUMMYFUNCTION("""COMPUTED_VALUE"""),"Переехал сюда из другого места (откуда? укажите в графе другое), Из области")</f>
        <v>Переехал сюда из другого места (откуда? укажите в графе другое), Из области</v>
      </c>
      <c r="G287" s="6" t="str">
        <f>IFERROR(__xludf.DUMMYFUNCTION("""COMPUTED_VALUE"""),"Б-р Строителей, Комсомольский парк")</f>
        <v>Б-р Строителей, Комсомольский парк</v>
      </c>
      <c r="H287" s="6" t="str">
        <f>IFERROR(__xludf.DUMMYFUNCTION("""COMPUTED_VALUE"""),"Смог, компактность, тулеевщина, зимняя вишня")</f>
        <v>Смог, компактность, тулеевщина, зимняя вишня</v>
      </c>
      <c r="I287" s="6" t="str">
        <f>IFERROR(__xludf.DUMMYFUNCTION("""COMPUTED_VALUE"""),"Леонов, Михайло Волков, Гришковец, Андрей Панин")</f>
        <v>Леонов, Михайло Волков, Гришковец, Андрей Панин</v>
      </c>
      <c r="J287" s="6" t="str">
        <f>IFERROR(__xludf.DUMMYFUNCTION("""COMPUTED_VALUE"""),"Не знаю")</f>
        <v>Не знаю</v>
      </c>
      <c r="K287" s="6" t="str">
        <f>IFERROR(__xludf.DUMMYFUNCTION("""COMPUTED_VALUE"""),"Красная горка, Томская писаница")</f>
        <v>Красная горка, Томская писаница</v>
      </c>
      <c r="L287" s="6" t="str">
        <f>IFERROR(__xludf.DUMMYFUNCTION("""COMPUTED_VALUE"""),"Не так страшен Кемерово (черт), как его малюют 😀")</f>
        <v>Не так страшен Кемерово (черт), как его малюют 😀</v>
      </c>
      <c r="M287" s="6" t="str">
        <f>IFERROR(__xludf.DUMMYFUNCTION("""COMPUTED_VALUE"""),"Нет")</f>
        <v>Нет</v>
      </c>
      <c r="N287" s="6" t="str">
        <f>IFERROR(__xludf.DUMMYFUNCTION("""COMPUTED_VALUE"""),"Наличие прогулочных зон, беговых и  велодорожек, парков")</f>
        <v>Наличие прогулочных зон, беговых и  велодорожек, парков</v>
      </c>
      <c r="O287" s="6" t="str">
        <f>IFERROR(__xludf.DUMMYFUNCTION("""COMPUTED_VALUE"""),"Озеленить, перестать сажать однолетники, вместо них лучше пооевые цветы многолетники. Останрвить варварский спил деревьев и постоянный  кос под корень травы летом. Экологический контроль выбросов заводов. ")</f>
        <v>Озеленить, перестать сажать однолетники, вместо них лучше пооевые цветы многолетники. Останрвить варварский спил деревьев и постоянный  кос под корень травы летом. Экологический контроль выбросов заводов. </v>
      </c>
      <c r="P287" s="6" t="str">
        <f>IFERROR(__xludf.DUMMYFUNCTION("""COMPUTED_VALUE"""),"Фейсбук")</f>
        <v>Фейсбук</v>
      </c>
      <c r="Q287"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поступать/"&amp;"вакансии")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v>
      </c>
      <c r="R287" s="6" t="str">
        <f>IFERROR(__xludf.DUMMYFUNCTION("""COMPUTED_VALUE"""),"День города в июне")</f>
        <v>День города в июне</v>
      </c>
      <c r="S287" s="6" t="str">
        <f>IFERROR(__xludf.DUMMYFUNCTION("""COMPUTED_VALUE"""),"Нет, не приходилось")</f>
        <v>Нет, не приходилось</v>
      </c>
      <c r="T287" s="6" t="str">
        <f>IFERROR(__xludf.DUMMYFUNCTION("""COMPUTED_VALUE"""),"Знаменит забастовками угольщиков в 1989 г, длительным правлением Тулеева, Зимней вишней и плохой экологией.")</f>
        <v>Знаменит забастовками угольщиков в 1989 г, длительным правлением Тулеева, Зимней вишней и плохой экологией.</v>
      </c>
      <c r="U287" s="6" t="str">
        <f>IFERROR(__xludf.DUMMYFUNCTION("""COMPUTED_VALUE"""),"Ул. Весенняя, парк Чудес")</f>
        <v>Ул. Весенняя, парк Чудес</v>
      </c>
      <c r="V287" s="6" t="str">
        <f>IFERROR(__xludf.DUMMYFUNCTION("""COMPUTED_VALUE"""),"Михайлов - чистота в городе. Еще сейчас очень продуманная дорожная разметка, наличие остановочных карманов. Достаточное количество урн для мусора.")</f>
        <v>Михайлов - чистота в городе. Еще сейчас очень продуманная дорожная разметка, наличие остановочных карманов. Достаточное количество урн для мусора.</v>
      </c>
      <c r="W287" s="6" t="str">
        <f>IFERROR(__xludf.DUMMYFUNCTION("""COMPUTED_VALUE"""),"В целом спокойные, немного погруженные в себя, но отзывчивые.")</f>
        <v>В целом спокойные, немного погруженные в себя, но отзывчивые.</v>
      </c>
      <c r="X287" s="6" t="str">
        <f>IFERROR(__xludf.DUMMYFUNCTION("""COMPUTED_VALUE"""),"Пл.Советов - набережная")</f>
        <v>Пл.Советов - набережная</v>
      </c>
      <c r="Y287" s="6" t="str">
        <f>IFERROR(__xludf.DUMMYFUNCTION("""COMPUTED_VALUE"""),"Затрудняюсь ")</f>
        <v>Затрудняюсь </v>
      </c>
      <c r="Z287" s="6" t="str">
        <f>IFERROR(__xludf.DUMMYFUNCTION("""COMPUTED_VALUE"""),"Угольное мороженое")</f>
        <v>Угольное мороженое</v>
      </c>
      <c r="AA287" s="6" t="str">
        <f>IFERROR(__xludf.DUMMYFUNCTION("""COMPUTED_VALUE"""),"Ухудшение экологическоц ситуации. Режим черного неба проживаю на таблетках")</f>
        <v>Ухудшение экологическоц ситуации. Режим черного неба проживаю на таблетках</v>
      </c>
      <c r="AB287" s="6" t="str">
        <f>IFERROR(__xludf.DUMMYFUNCTION("""COMPUTED_VALUE"""),"Вообще ничего нету, не из чего выбрать")</f>
        <v>Вообще ничего нету, не из чего выбрать</v>
      </c>
      <c r="AC287" s="6" t="str">
        <f>IFERROR(__xludf.DUMMYFUNCTION("""COMPUTED_VALUE"""),"Фестивали, спорт.соревнования")</f>
        <v>Фестивали, спорт.соревнования</v>
      </c>
      <c r="AD287" s="6" t="str">
        <f>IFERROR(__xludf.DUMMYFUNCTION("""COMPUTED_VALUE"""),"Волонтер")</f>
        <v>Волонтер</v>
      </c>
      <c r="AE287" s="6" t="str">
        <f>IFERROR(__xludf.DUMMYFUNCTION("""COMPUTED_VALUE"""),"Женский")</f>
        <v>Женский</v>
      </c>
      <c r="AF287" s="6" t="str">
        <f>IFERROR(__xludf.DUMMYFUNCTION("""COMPUTED_VALUE"""),"45-55")</f>
        <v>45-55</v>
      </c>
      <c r="AG287" s="6"/>
      <c r="AH287" s="6"/>
      <c r="AI287" s="6"/>
      <c r="AJ287" s="6"/>
      <c r="AK287" s="6"/>
      <c r="AL287" s="6"/>
      <c r="AM287" s="6"/>
    </row>
    <row r="288">
      <c r="A288" s="4">
        <v>287.0</v>
      </c>
      <c r="B288" s="6" t="str">
        <f>IFERROR(__xludf.DUMMYFUNCTION("""COMPUTED_VALUE"""),"Тружусь, во имя Гудлайна 🙏🏻")</f>
        <v>Тружусь, во имя Гудлайна 🙏🏻</v>
      </c>
      <c r="C288" s="6" t="str">
        <f>IFERROR(__xludf.DUMMYFUNCTION("""COMPUTED_VALUE"""),"Люблю читать книги")</f>
        <v>Люблю читать книги</v>
      </c>
      <c r="D288" s="6" t="str">
        <f>IFERROR(__xludf.DUMMYFUNCTION("""COMPUTED_VALUE"""),"Ленинский, на Бульваре ")</f>
        <v>Ленинский, на Бульваре </v>
      </c>
      <c r="E288" s="6" t="str">
        <f>IFERROR(__xludf.DUMMYFUNCTION("""COMPUTED_VALUE"""),"Аллея бульвара)) ")</f>
        <v>Аллея бульвара)) </v>
      </c>
      <c r="F288" s="6" t="str">
        <f>IFERROR(__xludf.DUMMYFUNCTION("""COMPUTED_VALUE"""),"Переехал сюда из другого места (откуда? укажите в графе другое), Приехала сюда учиться, решила остаться, после окончания института. 10 лет уже ")</f>
        <v>Переехал сюда из другого места (откуда? укажите в графе другое), Приехала сюда учиться, решила остаться, после окончания института. 10 лет уже </v>
      </c>
      <c r="G288" s="6" t="str">
        <f>IFERROR(__xludf.DUMMYFUNCTION("""COMPUTED_VALUE"""),"Люблю все парки, скверы, Бор. ")</f>
        <v>Люблю все парки, скверы, Бор. </v>
      </c>
      <c r="H288" s="6" t="str">
        <f>IFERROR(__xludf.DUMMYFUNCTION("""COMPUTED_VALUE"""),"-")</f>
        <v>-</v>
      </c>
      <c r="I288" s="6" t="str">
        <f>IFERROR(__xludf.DUMMYFUNCTION("""COMPUTED_VALUE"""),"Вера Волошина? ")</f>
        <v>Вера Волошина? </v>
      </c>
      <c r="J288" s="6" t="str">
        <f>IFERROR(__xludf.DUMMYFUNCTION("""COMPUTED_VALUE"""),"Роман Владимирович Жаворонков")</f>
        <v>Роман Владимирович Жаворонков</v>
      </c>
      <c r="K288" s="6" t="str">
        <f>IFERROR(__xludf.DUMMYFUNCTION("""COMPUTED_VALUE"""),"Парк Ангелов ")</f>
        <v>Парк Ангелов </v>
      </c>
      <c r="L288" s="6" t="str">
        <f>IFERROR(__xludf.DUMMYFUNCTION("""COMPUTED_VALUE"""),"-")</f>
        <v>-</v>
      </c>
      <c r="M288" s="6" t="str">
        <f>IFERROR(__xludf.DUMMYFUNCTION("""COMPUTED_VALUE"""),"-")</f>
        <v>-</v>
      </c>
      <c r="N288" s="6" t="str">
        <f>IFERROR(__xludf.DUMMYFUNCTION("""COMPUTED_VALUE"""),"Чисто, зелено, хорошие дороги, развитая инфраструктура")</f>
        <v>Чисто, зелено, хорошие дороги, развитая инфраструктура</v>
      </c>
      <c r="O288" s="6" t="str">
        <f>IFERROR(__xludf.DUMMYFUNCTION("""COMPUTED_VALUE"""),"Озеленить, мыть дороги, чистить улицы, установить очистительные фильтры на заводах ")</f>
        <v>Озеленить, мыть дороги, чистить улицы, установить очистительные фильтры на заводах </v>
      </c>
      <c r="P288" s="6" t="str">
        <f>IFERROR(__xludf.DUMMYFUNCTION("""COMPUTED_VALUE"""),"Паблики в Инстаграме городские ")</f>
        <v>Паблики в Инстаграме городские </v>
      </c>
      <c r="Q288"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288" s="6" t="str">
        <f>IFERROR(__xludf.DUMMYFUNCTION("""COMPUTED_VALUE"""),"День города ")</f>
        <v>День города </v>
      </c>
      <c r="S288" s="6" t="str">
        <f>IFERROR(__xludf.DUMMYFUNCTION("""COMPUTED_VALUE"""),"Нет, не приходилось")</f>
        <v>Нет, не приходилось</v>
      </c>
      <c r="T288" s="6" t="str">
        <f>IFERROR(__xludf.DUMMYFUNCTION("""COMPUTED_VALUE"""),"-")</f>
        <v>-</v>
      </c>
      <c r="U288" s="6" t="str">
        <f>IFERROR(__xludf.DUMMYFUNCTION("""COMPUTED_VALUE"""),"Весенька")</f>
        <v>Весенька</v>
      </c>
      <c r="V288" s="6" t="str">
        <f>IFERROR(__xludf.DUMMYFUNCTION("""COMPUTED_VALUE"""),"-")</f>
        <v>-</v>
      </c>
      <c r="W288" s="6" t="str">
        <f>IFERROR(__xludf.DUMMYFUNCTION("""COMPUTED_VALUE"""),"Разные люди. Злые, добрые, отзывчивые, хамоватые, невоспитанные. Невоспитанных большинство. Бич общества. ")</f>
        <v>Разные люди. Злые, добрые, отзывчивые, хамоватые, невоспитанные. Невоспитанных большинство. Бич общества. </v>
      </c>
      <c r="X288" s="6" t="str">
        <f>IFERROR(__xludf.DUMMYFUNCTION("""COMPUTED_VALUE"""),"Парк ангелов, весенька, набережная, потом домой ")</f>
        <v>Парк ангелов, весенька, набережная, потом домой </v>
      </c>
      <c r="Y288" s="6" t="str">
        <f>IFERROR(__xludf.DUMMYFUNCTION("""COMPUTED_VALUE"""),"Не знаю ")</f>
        <v>Не знаю </v>
      </c>
      <c r="Z288" s="6" t="str">
        <f>IFERROR(__xludf.DUMMYFUNCTION("""COMPUTED_VALUE"""),"Рок концерт под открытым небом ")</f>
        <v>Рок концерт под открытым небом </v>
      </c>
      <c r="AA288" s="6" t="str">
        <f>IFERROR(__xludf.DUMMYFUNCTION("""COMPUTED_VALUE"""),"-")</f>
        <v>-</v>
      </c>
      <c r="AB288" s="6" t="str">
        <f>IFERROR(__xludf.DUMMYFUNCTION("""COMPUTED_VALUE"""),"-")</f>
        <v>-</v>
      </c>
      <c r="AC288" s="6" t="str">
        <f>IFERROR(__xludf.DUMMYFUNCTION("""COMPUTED_VALUE"""),"Концерты ")</f>
        <v>Концерты </v>
      </c>
      <c r="AD288" s="6" t="str">
        <f>IFERROR(__xludf.DUMMYFUNCTION("""COMPUTED_VALUE"""),"В главной ")</f>
        <v>В главной </v>
      </c>
      <c r="AE288" s="6" t="str">
        <f>IFERROR(__xludf.DUMMYFUNCTION("""COMPUTED_VALUE"""),"Женский")</f>
        <v>Женский</v>
      </c>
      <c r="AF288" s="6" t="str">
        <f>IFERROR(__xludf.DUMMYFUNCTION("""COMPUTED_VALUE"""),"18-29")</f>
        <v>18-29</v>
      </c>
      <c r="AG288" s="6"/>
      <c r="AH288" s="6"/>
      <c r="AI288" s="6"/>
      <c r="AJ288" s="6"/>
      <c r="AK288" s="6"/>
      <c r="AL288" s="6"/>
      <c r="AM288" s="6"/>
    </row>
    <row r="289">
      <c r="A289" s="4">
        <v>288.0</v>
      </c>
      <c r="B289" s="6" t="str">
        <f>IFERROR(__xludf.DUMMYFUNCTION("""COMPUTED_VALUE"""),"Логистика")</f>
        <v>Логистика</v>
      </c>
      <c r="C289" s="6" t="str">
        <f>IFERROR(__xludf.DUMMYFUNCTION("""COMPUTED_VALUE"""),"Рыбалка")</f>
        <v>Рыбалка</v>
      </c>
      <c r="D289" s="6" t="str">
        <f>IFERROR(__xludf.DUMMYFUNCTION("""COMPUTED_VALUE"""),"Заводский, п. Южный")</f>
        <v>Заводский, п. Южный</v>
      </c>
      <c r="E289" s="6" t="str">
        <f>IFERROR(__xludf.DUMMYFUNCTION("""COMPUTED_VALUE"""),"Аллея")</f>
        <v>Аллея</v>
      </c>
      <c r="F289" s="6" t="str">
        <f>IFERROR(__xludf.DUMMYFUNCTION("""COMPUTED_VALUE"""),"Живу здесь с рождения")</f>
        <v>Живу здесь с рождения</v>
      </c>
      <c r="G289" s="6" t="str">
        <f>IFERROR(__xludf.DUMMYFUNCTION("""COMPUTED_VALUE"""),"Парк Ангелов, Набережная,  парк Антошка")</f>
        <v>Парк Ангелов, Набережная,  парк Антошка</v>
      </c>
      <c r="H289" s="6" t="str">
        <f>IFERROR(__xludf.DUMMYFUNCTION("""COMPUTED_VALUE"""),"Азот, Черниговец, Химпром, Уголь, Плохая экология")</f>
        <v>Азот, Черниговец, Химпром, Уголь, Плохая экология</v>
      </c>
      <c r="I289" s="6" t="str">
        <f>IFERROR(__xludf.DUMMYFUNCTION("""COMPUTED_VALUE"""),"Михайло Волков, Евгений Грищковец")</f>
        <v>Михайло Волков, Евгений Грищковец</v>
      </c>
      <c r="J289" s="6" t="str">
        <f>IFERROR(__xludf.DUMMYFUNCTION("""COMPUTED_VALUE"""),"незнаю")</f>
        <v>незнаю</v>
      </c>
      <c r="K289" s="6" t="str">
        <f>IFERROR(__xludf.DUMMYFUNCTION("""COMPUTED_VALUE"""),"Крест на горе и вид на город, памятник шахтерам, сосновый бор")</f>
        <v>Крест на горе и вид на город, памятник шахтерам, сосновый бор</v>
      </c>
      <c r="L289" s="6" t="str">
        <f>IFERROR(__xludf.DUMMYFUNCTION("""COMPUTED_VALUE"""),"незнаю")</f>
        <v>незнаю</v>
      </c>
      <c r="M289" s="6" t="str">
        <f>IFERROR(__xludf.DUMMYFUNCTION("""COMPUTED_VALUE"""),"нет")</f>
        <v>нет</v>
      </c>
      <c r="N289" s="6" t="str">
        <f>IFERROR(__xludf.DUMMYFUNCTION("""COMPUTED_VALUE"""),"Экология, Инфраструктура, Зелень, Близость к реке, Солнечный")</f>
        <v>Экология, Инфраструктура, Зелень, Близость к реке, Солнечный</v>
      </c>
      <c r="O289" s="6" t="str">
        <f>IFERROR(__xludf.DUMMYFUNCTION("""COMPUTED_VALUE"""),"Дороги, Дворы, Фасады зданий, Больше зелени")</f>
        <v>Дороги, Дворы, Фасады зданий, Больше зелени</v>
      </c>
      <c r="P289" s="6" t="str">
        <f>IFERROR(__xludf.DUMMYFUNCTION("""COMPUTED_VALUE"""),"интернет")</f>
        <v>интернет</v>
      </c>
      <c r="Q289"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289" s="6" t="str">
        <f>IFERROR(__xludf.DUMMYFUNCTION("""COMPUTED_VALUE"""),"День города, ")</f>
        <v>День города, </v>
      </c>
      <c r="S289" s="6" t="str">
        <f>IFERROR(__xludf.DUMMYFUNCTION("""COMPUTED_VALUE"""),"Обращался в редакции городских газет, телевидения, радио")</f>
        <v>Обращался в редакции городских газет, телевидения, радио</v>
      </c>
      <c r="T289" s="6" t="str">
        <f>IFERROR(__xludf.DUMMYFUNCTION("""COMPUTED_VALUE"""),"Да нет ничего особенного")</f>
        <v>Да нет ничего особенного</v>
      </c>
      <c r="U289" s="6" t="str">
        <f>IFERROR(__xludf.DUMMYFUNCTION("""COMPUTED_VALUE"""),"Парк")</f>
        <v>Парк</v>
      </c>
      <c r="V289" s="6" t="str">
        <f>IFERROR(__xludf.DUMMYFUNCTION("""COMPUTED_VALUE"""),"Навели порядок в городе, чистоту и безопасность")</f>
        <v>Навели порядок в городе, чистоту и безопасность</v>
      </c>
      <c r="W289" s="6" t="str">
        <f>IFERROR(__xludf.DUMMYFUNCTION("""COMPUTED_VALUE"""),"незнаю")</f>
        <v>незнаю</v>
      </c>
      <c r="X289" s="6" t="str">
        <f>IFERROR(__xludf.DUMMYFUNCTION("""COMPUTED_VALUE"""),"Площадь Пушкина, Набережная, Весенняя, Драмтеатр, Парк ангелов")</f>
        <v>Площадь Пушкина, Набережная, Весенняя, Драмтеатр, Парк ангелов</v>
      </c>
      <c r="Y289" s="6" t="str">
        <f>IFERROR(__xludf.DUMMYFUNCTION("""COMPUTED_VALUE"""),"Чемпионат мира по Бэнди")</f>
        <v>Чемпионат мира по Бэнди</v>
      </c>
      <c r="Z289" s="6" t="str">
        <f>IFERROR(__xludf.DUMMYFUNCTION("""COMPUTED_VALUE"""),"Позитивных не было, ")</f>
        <v>Позитивных не было, </v>
      </c>
      <c r="AA289" s="6" t="str">
        <f>IFERROR(__xludf.DUMMYFUNCTION("""COMPUTED_VALUE"""),"Зимняя Вишня")</f>
        <v>Зимняя Вишня</v>
      </c>
      <c r="AB289" s="6" t="str">
        <f>IFERROR(__xludf.DUMMYFUNCTION("""COMPUTED_VALUE"""),"-")</f>
        <v>-</v>
      </c>
      <c r="AC289" s="6" t="str">
        <f>IFERROR(__xludf.DUMMYFUNCTION("""COMPUTED_VALUE"""),"комфортная среда и работа")</f>
        <v>комфортная среда и работа</v>
      </c>
      <c r="AD289" s="6" t="str">
        <f>IFERROR(__xludf.DUMMYFUNCTION("""COMPUTED_VALUE"""),"-")</f>
        <v>-</v>
      </c>
      <c r="AE289" s="6" t="str">
        <f>IFERROR(__xludf.DUMMYFUNCTION("""COMPUTED_VALUE"""),"Мужской")</f>
        <v>Мужской</v>
      </c>
      <c r="AF289" s="6" t="str">
        <f>IFERROR(__xludf.DUMMYFUNCTION("""COMPUTED_VALUE"""),"30-44")</f>
        <v>30-44</v>
      </c>
      <c r="AG289" s="6"/>
      <c r="AH289" s="6"/>
      <c r="AI289" s="6"/>
      <c r="AJ289" s="6"/>
      <c r="AK289" s="6"/>
      <c r="AL289" s="6"/>
      <c r="AM289" s="6"/>
    </row>
    <row r="290">
      <c r="A290" s="4">
        <v>289.0</v>
      </c>
      <c r="B290" s="6" t="str">
        <f>IFERROR(__xludf.DUMMYFUNCTION("""COMPUTED_VALUE"""),"Я пенсионер ")</f>
        <v>Я пенсионер </v>
      </c>
      <c r="C290" s="6" t="str">
        <f>IFERROR(__xludf.DUMMYFUNCTION("""COMPUTED_VALUE"""),"Я люблю своих детей и внуков и много времени провожу с ними. А ещё люблю гулять.  Много гуляю.")</f>
        <v>Я люблю своих детей и внуков и много времени провожу с ними. А ещё люблю гулять.  Много гуляю.</v>
      </c>
      <c r="D290" s="6" t="str">
        <f>IFERROR(__xludf.DUMMYFUNCTION("""COMPUTED_VALUE"""),"Ленинский район. Самый замечательный лучший и красивый!")</f>
        <v>Ленинский район. Самый замечательный лучший и красивый!</v>
      </c>
      <c r="E290" s="6" t="str">
        <f>IFERROR(__xludf.DUMMYFUNCTION("""COMPUTED_VALUE"""),"Кузбасский парк.")</f>
        <v>Кузбасский парк.</v>
      </c>
      <c r="F290" s="6" t="str">
        <f>IFERROR(__xludf.DUMMYFUNCTION("""COMPUTED_VALUE"""),"Переехал сюда из другого места (откуда? укажите в графе другое), Живу здесь с 1972 года")</f>
        <v>Переехал сюда из другого места (откуда? укажите в графе другое), Живу здесь с 1972 года</v>
      </c>
      <c r="G290" s="6" t="str">
        <f>IFERROR(__xludf.DUMMYFUNCTION("""COMPUTED_VALUE"""),"Парк Кузбасский. Проспект Комсомольский. Я живу в новом районе ЖК Восточный. А ")</f>
        <v>Парк Кузбасский. Проспект Комсомольский. Я живу в новом районе ЖК Восточный. А </v>
      </c>
      <c r="H290" s="6" t="str">
        <f>IFERROR(__xludf.DUMMYFUNCTION("""COMPUTED_VALUE"""),"Я всегда дома и рядом со мной мои близкие и родные люди!!! Я всё люблю в моем районе и моём городе.")</f>
        <v>Я всегда дома и рядом со мной мои близкие и родные люди!!! Я всё люблю в моем районе и моём городе.</v>
      </c>
      <c r="I290" s="6" t="str">
        <f>IFERROR(__xludf.DUMMYFUNCTION("""COMPUTED_VALUE"""),"Михайло Волков. Космонавт Леонов.")</f>
        <v>Михайло Волков. Космонавт Леонов.</v>
      </c>
      <c r="J290" s="6" t="str">
        <f>IFERROR(__xludf.DUMMYFUNCTION("""COMPUTED_VALUE"""),"Мэр Кемерово Владимир  Михайлов, предприниматель Волков.")</f>
        <v>Мэр Кемерово Владимир  Михайлов, предприниматель Волков.</v>
      </c>
      <c r="K290" s="6" t="str">
        <f>IFERROR(__xludf.DUMMYFUNCTION("""COMPUTED_VALUE"""),"Красная горка, сосновый бор, набережную и ресторан Лазурный.")</f>
        <v>Красная горка, сосновый бор, набережную и ресторан Лазурный.</v>
      </c>
      <c r="L290" s="6" t="str">
        <f>IFERROR(__xludf.DUMMYFUNCTION("""COMPUTED_VALUE"""),"Где родился, там и пригодился.")</f>
        <v>Где родился, там и пригодился.</v>
      </c>
      <c r="M290" s="6" t="str">
        <f>IFERROR(__xludf.DUMMYFUNCTION("""COMPUTED_VALUE"""),"Живём по»кемеровски!")</f>
        <v>Живём по»кемеровски!</v>
      </c>
      <c r="N290" s="6" t="str">
        <f>IFERROR(__xludf.DUMMYFUNCTION("""COMPUTED_VALUE"""),"Стабильное расписание городских автобусов,  хорошие места для прогулок, новые районы Кемерово. ")</f>
        <v>Стабильное расписание городских автобусов,  хорошие места для прогулок, новые районы Кемерово. </v>
      </c>
      <c r="O290" s="6" t="str">
        <f>IFERROR(__xludf.DUMMYFUNCTION("""COMPUTED_VALUE"""),"Движение вперёд. Сегодня всё хорошо в моем городе. ")</f>
        <v>Движение вперёд. Сегодня всё хорошо в моем городе. </v>
      </c>
      <c r="P290" s="6" t="str">
        <f>IFERROR(__xludf.DUMMYFUNCTION("""COMPUTED_VALUE"""),"Гудлайн ")</f>
        <v>Гудлайн </v>
      </c>
      <c r="Q290" s="6" t="str">
        <f>IFERROR(__xludf.DUMMYFUNCTION("""COMPUTED_VALUE"""),"куда пойти в свободное время, бизнес-новости (средний чек/рекламные акции/запуск новых предприятий), интервью с экспертами на разные темы (напишите в разделе Другое свои предложения)")</f>
        <v>куда пойти в свободное время,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290" s="6" t="str">
        <f>IFERROR(__xludf.DUMMYFUNCTION("""COMPUTED_VALUE"""),"День города!")</f>
        <v>День города!</v>
      </c>
      <c r="S290" s="6" t="str">
        <f>IFERROR(__xludf.DUMMYFUNCTION("""COMPUTED_VALUE"""),"Нет, не приходилось")</f>
        <v>Нет, не приходилось</v>
      </c>
      <c r="T290" s="6" t="str">
        <f>IFERROR(__xludf.DUMMYFUNCTION("""COMPUTED_VALUE"""),"Это столица Кузбасса. И прекрасно с этим справляется!")</f>
        <v>Это столица Кузбасса. И прекрасно с этим справляется!</v>
      </c>
      <c r="U290" s="6" t="str">
        <f>IFERROR(__xludf.DUMMYFUNCTION("""COMPUTED_VALUE"""),"Площадь Советов!!!")</f>
        <v>Площадь Советов!!!</v>
      </c>
      <c r="V290" s="6" t="str">
        <f>IFERROR(__xludf.DUMMYFUNCTION("""COMPUTED_VALUE"""),"Просто работали и все старались по своему!")</f>
        <v>Просто работали и все старались по своему!</v>
      </c>
      <c r="W290" s="6" t="str">
        <f>IFERROR(__xludf.DUMMYFUNCTION("""COMPUTED_VALUE"""),"Доброжелательные. Заинтересованные! Иногда неряхи( выбрасывают из окон окурки и бросают мусор)")</f>
        <v>Доброжелательные. Заинтересованные! Иногда неряхи( выбрасывают из окон окурки и бросают мусор)</v>
      </c>
      <c r="X290" s="6" t="str">
        <f>IFERROR(__xludf.DUMMYFUNCTION("""COMPUTED_VALUE"""),"Новый район Сити.")</f>
        <v>Новый район Сити.</v>
      </c>
      <c r="Y290" s="6" t="str">
        <f>IFERROR(__xludf.DUMMYFUNCTION("""COMPUTED_VALUE"""),"Наверное я не все знаю. ")</f>
        <v>Наверное я не все знаю. </v>
      </c>
      <c r="Z290" s="6" t="str">
        <f>IFERROR(__xludf.DUMMYFUNCTION("""COMPUTED_VALUE"""),"Огромная стройка и благоустройство все и всего!")</f>
        <v>Огромная стройка и благоустройство все и всего!</v>
      </c>
      <c r="AA290" s="6" t="str">
        <f>IFERROR(__xludf.DUMMYFUNCTION("""COMPUTED_VALUE"""),"Не сталкивалась с плохим!")</f>
        <v>Не сталкивалась с плохим!</v>
      </c>
      <c r="AB290" s="6" t="str">
        <f>IFERROR(__xludf.DUMMYFUNCTION("""COMPUTED_VALUE"""),"Мне хорошо в моем городе!")</f>
        <v>Мне хорошо в моем городе!</v>
      </c>
      <c r="AC290" s="6" t="str">
        <f>IFERROR(__xludf.DUMMYFUNCTION("""COMPUTED_VALUE"""),"Для молодых должна быть работа! И тогда они сами все сделают!")</f>
        <v>Для молодых должна быть работа! И тогда они сами все сделают!</v>
      </c>
      <c r="AD290" s="6" t="str">
        <f>IFERROR(__xludf.DUMMYFUNCTION("""COMPUTED_VALUE"""),"Как наблюдатель!")</f>
        <v>Как наблюдатель!</v>
      </c>
      <c r="AE290" s="6" t="str">
        <f>IFERROR(__xludf.DUMMYFUNCTION("""COMPUTED_VALUE"""),"Женский")</f>
        <v>Женский</v>
      </c>
      <c r="AF290" s="6" t="str">
        <f>IFERROR(__xludf.DUMMYFUNCTION("""COMPUTED_VALUE"""),"старше 55")</f>
        <v>старше 55</v>
      </c>
      <c r="AG290" s="6"/>
      <c r="AH290" s="6"/>
      <c r="AI290" s="6"/>
      <c r="AJ290" s="6"/>
      <c r="AK290" s="6"/>
      <c r="AL290" s="6"/>
      <c r="AM290" s="6"/>
    </row>
    <row r="291">
      <c r="A291" s="4">
        <v>290.0</v>
      </c>
      <c r="B291" s="6" t="str">
        <f>IFERROR(__xludf.DUMMYFUNCTION("""COMPUTED_VALUE"""),"Руководитель в сфере ИТ")</f>
        <v>Руководитель в сфере ИТ</v>
      </c>
      <c r="C291" s="6" t="str">
        <f>IFERROR(__xludf.DUMMYFUNCTION("""COMPUTED_VALUE"""),"Дача")</f>
        <v>Дача</v>
      </c>
      <c r="D291" s="6" t="str">
        <f>IFERROR(__xludf.DUMMYFUNCTION("""COMPUTED_VALUE"""),"Южный ")</f>
        <v>Южный </v>
      </c>
      <c r="E291" s="6" t="str">
        <f>IFERROR(__xludf.DUMMYFUNCTION("""COMPUTED_VALUE"""),"Нету")</f>
        <v>Нету</v>
      </c>
      <c r="F291" s="6" t="str">
        <f>IFERROR(__xludf.DUMMYFUNCTION("""COMPUTED_VALUE"""),"Живу здесь с рождения")</f>
        <v>Живу здесь с рождения</v>
      </c>
      <c r="G291" s="6" t="str">
        <f>IFERROR(__xludf.DUMMYFUNCTION("""COMPUTED_VALUE"""),"На дачу езжу ")</f>
        <v>На дачу езжу </v>
      </c>
      <c r="H291" s="6" t="str">
        <f>IFERROR(__xludf.DUMMYFUNCTION("""COMPUTED_VALUE"""),"Плохая экология, серость, показуха, город не для людей ")</f>
        <v>Плохая экология, серость, показуха, город не для людей </v>
      </c>
      <c r="I291" s="6" t="str">
        <f>IFERROR(__xludf.DUMMYFUNCTION("""COMPUTED_VALUE"""),"Выдающихся нет")</f>
        <v>Выдающихся нет</v>
      </c>
      <c r="J291" s="6" t="str">
        <f>IFERROR(__xludf.DUMMYFUNCTION("""COMPUTED_VALUE"""),"Таких нет")</f>
        <v>Таких нет</v>
      </c>
      <c r="K291" s="6" t="str">
        <f>IFERROR(__xludf.DUMMYFUNCTION("""COMPUTED_VALUE"""),"Лесная поляна, да и больше нечего смотреть то")</f>
        <v>Лесная поляна, да и больше нечего смотреть то</v>
      </c>
      <c r="L291" s="6" t="str">
        <f>IFERROR(__xludf.DUMMYFUNCTION("""COMPUTED_VALUE"""),"Не знаю таких")</f>
        <v>Не знаю таких</v>
      </c>
      <c r="M291" s="6" t="str">
        <f>IFERROR(__xludf.DUMMYFUNCTION("""COMPUTED_VALUE"""),"Нет")</f>
        <v>Нет</v>
      </c>
      <c r="N291" s="6" t="str">
        <f>IFERROR(__xludf.DUMMYFUNCTION("""COMPUTED_VALUE"""),"Пешеходные и вело дорожки, нормальный общественный транспорт, чистый воздух, культурно-спортивные учреждения, фонтаны ")</f>
        <v>Пешеходные и вело дорожки, нормальный общественный транспорт, чистый воздух, культурно-спортивные учреждения, фонтаны </v>
      </c>
      <c r="O291" s="6" t="str">
        <f>IFERROR(__xludf.DUMMYFUNCTION("""COMPUTED_VALUE"""),"Пешеходные и вело дорожки, больше культурно-спортивных учреждений, больше фонтанов ")</f>
        <v>Пешеходные и вело дорожки, больше культурно-спортивных учреждений, больше фонтанов </v>
      </c>
      <c r="P291" s="6" t="str">
        <f>IFERROR(__xludf.DUMMYFUNCTION("""COMPUTED_VALUE"""),"Телеграм каналы ")</f>
        <v>Телеграм каналы </v>
      </c>
      <c r="Q291" s="6" t="str">
        <f>IFERROR(__xludf.DUMMYFUNCTION("""COMPUTED_VALUE"""),"где вкусно поесть/открытие новых кафе/ресторанов, культурные новинки (что почитать/что послушать), интервью с местными предпринимателями")</f>
        <v>где вкусно поесть/открытие новых кафе/ресторанов, культурные новинки (что почитать/что послушать), интервью с местными предпринимателями</v>
      </c>
      <c r="R291" s="6" t="str">
        <f>IFERROR(__xludf.DUMMYFUNCTION("""COMPUTED_VALUE"""),"День города, новый год, день шахтера")</f>
        <v>День города, новый год, день шахтера</v>
      </c>
      <c r="S291" s="6" t="str">
        <f>IFERROR(__xludf.DUMMYFUNCTION("""COMPUTED_VALUE"""),"Нет, не приходилось")</f>
        <v>Нет, не приходилось</v>
      </c>
      <c r="T291" s="6" t="str">
        <f>IFERROR(__xludf.DUMMYFUNCTION("""COMPUTED_VALUE"""),"Уникального ничего нет, и не нужно. Люди хотят, чтоб было хотя-бы нормально и комфортно, но даже этого нет. Что вы все за уникальность пытаетесь угнаться. ")</f>
        <v>Уникального ничего нет, и не нужно. Люди хотят, чтоб было хотя-бы нормально и комфортно, но даже этого нет. Что вы все за уникальность пытаетесь угнаться. </v>
      </c>
      <c r="U291" s="6" t="str">
        <f>IFERROR(__xludf.DUMMYFUNCTION("""COMPUTED_VALUE"""),"Площадь советов ")</f>
        <v>Площадь советов </v>
      </c>
      <c r="V291" s="6" t="str">
        <f>IFERROR(__xludf.DUMMYFUNCTION("""COMPUTED_VALUE"""),"Нет ответа")</f>
        <v>Нет ответа</v>
      </c>
      <c r="W291" s="6" t="str">
        <f>IFERROR(__xludf.DUMMYFUNCTION("""COMPUTED_VALUE"""),"Нет ответа")</f>
        <v>Нет ответа</v>
      </c>
      <c r="X291" s="6" t="str">
        <f>IFERROR(__xludf.DUMMYFUNCTION("""COMPUTED_VALUE"""),"Прогулка по лесной поляне ")</f>
        <v>Прогулка по лесной поляне </v>
      </c>
      <c r="Y291" s="6" t="str">
        <f>IFERROR(__xludf.DUMMYFUNCTION("""COMPUTED_VALUE"""),"Уход тулеева с должности губернатора ")</f>
        <v>Уход тулеева с должности губернатора </v>
      </c>
      <c r="Z291" s="6" t="str">
        <f>IFERROR(__xludf.DUMMYFUNCTION("""COMPUTED_VALUE"""),"Сдали долгострой на южном, судят виновных в происшествии в зимней вишне ")</f>
        <v>Сдали долгострой на южном, судят виновных в происшествии в зимней вишне </v>
      </c>
      <c r="AA291" s="6" t="str">
        <f>IFERROR(__xludf.DUMMYFUNCTION("""COMPUTED_VALUE"""),"Каждую весну смывает дороги, ухудшилась экология, особенно последние 2 года ")</f>
        <v>Каждую весну смывает дороги, ухудшилась экология, особенно последние 2 года </v>
      </c>
      <c r="AB291" s="6" t="str">
        <f>IFERROR(__xludf.DUMMYFUNCTION("""COMPUTED_VALUE"""),"Нормально думающих властей, которые просчитывают свои действия ")</f>
        <v>Нормально думающих властей, которые просчитывают свои действия </v>
      </c>
      <c r="AC291" s="6" t="str">
        <f>IFERROR(__xludf.DUMMYFUNCTION("""COMPUTED_VALUE"""),"Жесткого контроля производств с вредными выбросами с публичным освещением. ")</f>
        <v>Жесткого контроля производств с вредными выбросами с публичным освещением. </v>
      </c>
      <c r="AD291" s="6" t="str">
        <f>IFERROR(__xludf.DUMMYFUNCTION("""COMPUTED_VALUE"""),"Помогать проектировать улучшения. ")</f>
        <v>Помогать проектировать улучшения. </v>
      </c>
      <c r="AE291" s="6" t="str">
        <f>IFERROR(__xludf.DUMMYFUNCTION("""COMPUTED_VALUE"""),"Мужской")</f>
        <v>Мужской</v>
      </c>
      <c r="AF291" s="6" t="str">
        <f>IFERROR(__xludf.DUMMYFUNCTION("""COMPUTED_VALUE"""),"30-44")</f>
        <v>30-44</v>
      </c>
      <c r="AG291" s="6"/>
      <c r="AH291" s="6"/>
      <c r="AI291" s="6"/>
      <c r="AJ291" s="6"/>
      <c r="AK291" s="6"/>
      <c r="AL291" s="6"/>
      <c r="AM291" s="6"/>
    </row>
    <row r="292">
      <c r="A292" s="4">
        <v>291.0</v>
      </c>
      <c r="B292" s="6" t="str">
        <f>IFERROR(__xludf.DUMMYFUNCTION("""COMPUTED_VALUE"""),"Индивидуальный предпринимател ")</f>
        <v>Индивидуальный предпринимател </v>
      </c>
      <c r="C292" s="6" t="str">
        <f>IFERROR(__xludf.DUMMYFUNCTION("""COMPUTED_VALUE"""),"Фотография, прогулки по городу")</f>
        <v>Фотография, прогулки по городу</v>
      </c>
      <c r="D292" s="6" t="str">
        <f>IFERROR(__xludf.DUMMYFUNCTION("""COMPUTED_VALUE"""),"Ленинский")</f>
        <v>Ленинский</v>
      </c>
      <c r="E292" s="6" t="str">
        <f>IFERROR(__xludf.DUMMYFUNCTION("""COMPUTED_VALUE"""),"Бульвар Строителей, Кузбасский парк")</f>
        <v>Бульвар Строителей, Кузбасский парк</v>
      </c>
      <c r="F292" s="6" t="str">
        <f>IFERROR(__xludf.DUMMYFUNCTION("""COMPUTED_VALUE"""),"Живу с 2010 года. Приехала учиться из посёлка, осталась после учебы работать. ")</f>
        <v>Живу с 2010 года. Приехала учиться из посёлка, осталась после учебы работать. </v>
      </c>
      <c r="G292" s="6" t="str">
        <f>IFERROR(__xludf.DUMMYFUNCTION("""COMPUTED_VALUE"""),"Набережная, Рудничный Бор, Парки, Весенняя и Советский проспект, бульвары Пионерский и Строителей")</f>
        <v>Набережная, Рудничный Бор, Парки, Весенняя и Советский проспект, бульвары Пионерский и Строителей</v>
      </c>
      <c r="H292" s="6" t="str">
        <f>IFERROR(__xludf.DUMMYFUNCTION("""COMPUTED_VALUE"""),"Шахтёр, река Томь, Красная горка, Зелень (много растительности в городе, хорошо), трамвай, Кузбасс")</f>
        <v>Шахтёр, река Томь, Красная горка, Зелень (много растительности в городе, хорошо), трамвай, Кузбасс</v>
      </c>
      <c r="I292" s="6" t="str">
        <f>IFERROR(__xludf.DUMMYFUNCTION("""COMPUTED_VALUE"""),"Терешкова, Вера Волошина, Михайло Волков ")</f>
        <v>Терешкова, Вера Волошина, Михайло Волков </v>
      </c>
      <c r="J292" s="6" t="str">
        <f>IFERROR(__xludf.DUMMYFUNCTION("""COMPUTED_VALUE"""),"Кроме Тулеева сложно вспомнить чьи-либо имена на момент заполнения анкеты. Они явно есть. ")</f>
        <v>Кроме Тулеева сложно вспомнить чьи-либо имена на момент заполнения анкеты. Они явно есть. </v>
      </c>
      <c r="K292" s="6" t="str">
        <f>IFERROR(__xludf.DUMMYFUNCTION("""COMPUTED_VALUE"""),"Старый мост, Набережная, Филармония, КемГУ, Главпочтамп и Площадь Советов, Парк Ангелов, Собор на Соборной, Сосновый Бор и Красную горку, Лесная поляна и Ботанический сад")</f>
        <v>Старый мост, Набережная, Филармония, КемГУ, Главпочтамп и Площадь Советов, Парк Ангелов, Собор на Соборной, Сосновый Бор и Красную горку, Лесная поляна и Ботанический сад</v>
      </c>
      <c r="L292" s="6" t="str">
        <f>IFERROR(__xludf.DUMMYFUNCTION("""COMPUTED_VALUE"""),"Такие есть?")</f>
        <v>Такие есть?</v>
      </c>
      <c r="M292" s="6" t="str">
        <f>IFERROR(__xludf.DUMMYFUNCTION("""COMPUTED_VALUE"""),"Только привязки к местоположению. Например, «Швейка», «Фабричка»... Кемеровчане больше любят говорить, как в других местах. Типа, а вот в Питере это «шаверма», «греча» и «парадная»...")</f>
        <v>Только привязки к местоположению. Например, «Швейка», «Фабричка»... Кемеровчане больше любят говорить, как в других местах. Типа, а вот в Питере это «шаверма», «греча» и «парадная»...</v>
      </c>
      <c r="N292" s="6" t="str">
        <f>IFERROR(__xludf.DUMMYFUNCTION("""COMPUTED_VALUE"""),"Много зелени; небольшой масштаб (мало времени на дорогу уходит); доступность магазинов (если что, Сиб рядом, а интернет 24/7), есть, куда сходить (театр, парки, кафе и рестораны, кино, квесты, ботанический сад); люди хотят сплочаться в сообщества по интер"&amp;"есам (есть место каждому фрику)")</f>
        <v>Много зелени; небольшой масштаб (мало времени на дорогу уходит); доступность магазинов (если что, Сиб рядом, а интернет 24/7), есть, куда сходить (театр, парки, кафе и рестораны, кино, квесты, ботанический сад); люди хотят сплочаться в сообщества по интересам (есть место каждому фрику)</v>
      </c>
      <c r="O292" s="6" t="str">
        <f>IFERROR(__xludf.DUMMYFUNCTION("""COMPUTED_VALUE"""),"Отремонтировать то, что сломано")</f>
        <v>Отремонтировать то, что сломано</v>
      </c>
      <c r="P292" s="6" t="str">
        <f>IFERROR(__xludf.DUMMYFUNCTION("""COMPUTED_VALUE"""),"Знакомые, местные паблики, таргет догоняет, приложение Кавёр, пока гуляешь, видишь афиши")</f>
        <v>Знакомые, местные паблики, таргет догоняет, приложение Кавёр, пока гуляешь, видишь афиши</v>
      </c>
      <c r="Q29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 результаты местных исследов"&amp;"аний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292" s="6" t="str">
        <f>IFERROR(__xludf.DUMMYFUNCTION("""COMPUTED_VALUE"""),"Любые мероприятия, организованные на главной площади, там вкусный фудкорт)) и волшебно оформлен. Атмосферненько. А так праздники мало привлекают, не люблю людей")</f>
        <v>Любые мероприятия, организованные на главной площади, там вкусный фудкорт)) и волшебно оформлен. Атмосферненько. А так праздники мало привлекают, не люблю людей</v>
      </c>
      <c r="S292" s="6" t="str">
        <f>IFERROR(__xludf.DUMMYFUNCTION("""COMPUTED_VALUE"""),"Нет, не приходилось")</f>
        <v>Нет, не приходилось</v>
      </c>
      <c r="T292" s="6" t="str">
        <f>IFERROR(__xludf.DUMMYFUNCTION("""COMPUTED_VALUE"""),"Только углём, но это устаревшие знания. Слышала от приезжих знакомых или друзей, живущих в других городах, что Кемерово зелёный и спокойный. Ещё у нас Граффити шикарные.")</f>
        <v>Только углём, но это устаревшие знания. Слышала от приезжих знакомых или друзей, живущих в других городах, что Кемерово зелёный и спокойный. Ещё у нас Граффити шикарные.</v>
      </c>
      <c r="U292" s="6" t="str">
        <f>IFERROR(__xludf.DUMMYFUNCTION("""COMPUTED_VALUE"""),"Вот все, что в центре города есть")</f>
        <v>Вот все, что в центре города есть</v>
      </c>
      <c r="V292" s="6" t="str">
        <f>IFERROR(__xludf.DUMMYFUNCTION("""COMPUTED_VALUE"""),"Пытались создать максимально комфортное место для проживания. Чтобы для каждого горожанина любого возраста нашлось место")</f>
        <v>Пытались создать максимально комфортное место для проживания. Чтобы для каждого горожанина любого возраста нашлось место</v>
      </c>
      <c r="W292" s="6" t="str">
        <f>IFERROR(__xludf.DUMMYFUNCTION("""COMPUTED_VALUE"""),"Недовольство своим городом, но упорное желание в нем жить. Это смесь городского и деревенского жителя с намеком на шик. Излишняя универсальность и потеря идентичности. Как такового образа кемеровчанина в моей голове нет. Мы даже толком истории своей не зн"&amp;"аем. ")</f>
        <v>Недовольство своим городом, но упорное желание в нем жить. Это смесь городского и деревенского жителя с намеком на шик. Излишняя универсальность и потеря идентичности. Как такового образа кемеровчанина в моей голове нет. Мы даже толком истории своей не знаем. </v>
      </c>
      <c r="X292" s="6" t="str">
        <f>IFERROR(__xludf.DUMMYFUNCTION("""COMPUTED_VALUE"""),"Бульвар Строителей, по объездной до Филармонии, там через площадь до набережной, по мосту на Красную горку, и до букв Кузбасс. По пути есть, где посидеть и поесть.")</f>
        <v>Бульвар Строителей, по объездной до Филармонии, там через площадь до набережной, по мосту на Красную горку, и до букв Кузбасс. По пути есть, где посидеть и поесть.</v>
      </c>
      <c r="Y292" s="6" t="str">
        <f>IFERROR(__xludf.DUMMYFUNCTION("""COMPUTED_VALUE"""),"Создание города, пришествие Тулеева, смена власти на Цивилёва")</f>
        <v>Создание города, пришествие Тулеева, смена власти на Цивилёва</v>
      </c>
      <c r="Z292" s="6" t="str">
        <f>IFERROR(__xludf.DUMMYFUNCTION("""COMPUTED_VALUE"""),"Постройка новых городских пространств и удачные попытки Гудлайна собрать неравнодушных горожан для движух. ")</f>
        <v>Постройка новых городских пространств и удачные попытки Гудлайна собрать неравнодушных горожан для движух. </v>
      </c>
      <c r="AA292" s="6" t="str">
        <f>IFERROR(__xludf.DUMMYFUNCTION("""COMPUTED_VALUE"""),"Только пожар в Зимней вишне и хайп вокруг этого события")</f>
        <v>Только пожар в Зимней вишне и хайп вокруг этого события</v>
      </c>
      <c r="AB292" s="6" t="str">
        <f>IFERROR(__xludf.DUMMYFUNCTION("""COMPUTED_VALUE"""),"Нет времени на сообщества. Или желания")</f>
        <v>Нет времени на сообщества. Или желания</v>
      </c>
      <c r="AC292" s="6" t="str">
        <f>IFERROR(__xludf.DUMMYFUNCTION("""COMPUTED_VALUE"""),"Уже интересно в нем жить. Те, кто говорит, что нечем в городе заняться, либо не знают, где искать, либо ленивы ниже пояса")</f>
        <v>Уже интересно в нем жить. Те, кто говорит, что нечем в городе заняться, либо не знают, где искать, либо ленивы ниже пояса</v>
      </c>
      <c r="AD292" s="6" t="str">
        <f>IFERROR(__xludf.DUMMYFUNCTION("""COMPUTED_VALUE"""),"Ближайшие полгода в качестве наблюдателя со стороны")</f>
        <v>Ближайшие полгода в качестве наблюдателя со стороны</v>
      </c>
      <c r="AE292" s="6" t="str">
        <f>IFERROR(__xludf.DUMMYFUNCTION("""COMPUTED_VALUE"""),"Женский")</f>
        <v>Женский</v>
      </c>
      <c r="AF292" s="6" t="str">
        <f>IFERROR(__xludf.DUMMYFUNCTION("""COMPUTED_VALUE"""),"18-29")</f>
        <v>18-29</v>
      </c>
      <c r="AG292" s="6"/>
      <c r="AH292" s="6"/>
      <c r="AI292" s="6"/>
      <c r="AJ292" s="6"/>
      <c r="AK292" s="6"/>
      <c r="AL292" s="6"/>
      <c r="AM292" s="6"/>
    </row>
    <row r="293">
      <c r="A293" s="4">
        <v>292.0</v>
      </c>
      <c r="B293" s="6" t="str">
        <f>IFERROR(__xludf.DUMMYFUNCTION("""COMPUTED_VALUE"""),"Маркетинг")</f>
        <v>Маркетинг</v>
      </c>
      <c r="C293" s="6" t="str">
        <f>IFERROR(__xludf.DUMMYFUNCTION("""COMPUTED_VALUE"""),"Музыка, прогулки, ")</f>
        <v>Музыка, прогулки, </v>
      </c>
      <c r="D293" s="6" t="str">
        <f>IFERROR(__xludf.DUMMYFUNCTION("""COMPUTED_VALUE"""),"Центральный, район Московского называю")</f>
        <v>Центральный, район Московского называю</v>
      </c>
      <c r="E293" s="6" t="str">
        <f>IFERROR(__xludf.DUMMYFUNCTION("""COMPUTED_VALUE"""),"Лапландия, Лето, прогулочные дорожки, бульвар Строителей")</f>
        <v>Лапландия, Лето, прогулочные дорожки, бульвар Строителей</v>
      </c>
      <c r="F293" s="6" t="str">
        <f>IFERROR(__xludf.DUMMYFUNCTION("""COMPUTED_VALUE"""),"Переехал сюда из другого места (откуда? укажите в графе другое), Из Киселевска")</f>
        <v>Переехал сюда из другого места (откуда? укажите в графе другое), Из Киселевска</v>
      </c>
      <c r="G293" s="6" t="str">
        <f>IFERROR(__xludf.DUMMYFUNCTION("""COMPUTED_VALUE"""),"Парки: набережная, ангелов, строителей, Веры Волошиной. Лесная поляна. За городом берег Томи в районе Новостройки или Журавли. ")</f>
        <v>Парки: набережная, ангелов, строителей, Веры Волошиной. Лесная поляна. За городом берег Томи в районе Новостройки или Журавли. </v>
      </c>
      <c r="H293" s="6" t="str">
        <f>IFERROR(__xludf.DUMMYFUNCTION("""COMPUTED_VALUE"""),"Затрудняюсь")</f>
        <v>Затрудняюсь</v>
      </c>
      <c r="I293" s="6" t="str">
        <f>IFERROR(__xludf.DUMMYFUNCTION("""COMPUTED_VALUE"""),"Леонов, Волков. ")</f>
        <v>Леонов, Волков. </v>
      </c>
      <c r="J293" s="6" t="str">
        <f>IFERROR(__xludf.DUMMYFUNCTION("""COMPUTED_VALUE"""),"Затрудняюсь")</f>
        <v>Затрудняюсь</v>
      </c>
      <c r="K293" s="6" t="str">
        <f>IFERROR(__xludf.DUMMYFUNCTION("""COMPUTED_VALUE"""),"Парк Ангелов, президентское училище, театр молодежи.")</f>
        <v>Парк Ангелов, президентское училище, театр молодежи.</v>
      </c>
      <c r="L293" s="6" t="str">
        <f>IFERROR(__xludf.DUMMYFUNCTION("""COMPUTED_VALUE"""),"Затрудняюсь")</f>
        <v>Затрудняюсь</v>
      </c>
      <c r="M293" s="6" t="str">
        <f>IFERROR(__xludf.DUMMYFUNCTION("""COMPUTED_VALUE"""),"Нет")</f>
        <v>Нет</v>
      </c>
      <c r="N293" s="6" t="str">
        <f>IFERROR(__xludf.DUMMYFUNCTION("""COMPUTED_VALUE"""),"Пешеходные зоны, чистота, транспорт, доступные цены, дороги. ")</f>
        <v>Пешеходные зоны, чистота, транспорт, доступные цены, дороги. </v>
      </c>
      <c r="O293" s="6" t="str">
        <f>IFERROR(__xludf.DUMMYFUNCTION("""COMPUTED_VALUE"""),"Дворы и детские площадки. ")</f>
        <v>Дворы и детские площадки. </v>
      </c>
      <c r="P293" s="6" t="str">
        <f>IFERROR(__xludf.DUMMYFUNCTION("""COMPUTED_VALUE"""),"Инстаграм")</f>
        <v>Инстаграм</v>
      </c>
      <c r="Q293" s="6" t="str">
        <f>IFERROR(__xludf.DUMMYFUNCTION("""COMPUTED_VALUE"""),"куда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v>
      </c>
      <c r="R293" s="6" t="str">
        <f>IFERROR(__xludf.DUMMYFUNCTION("""COMPUTED_VALUE"""),"День города, 9 мая, Масленицы")</f>
        <v>День города, 9 мая, Масленицы</v>
      </c>
      <c r="S293" s="6" t="str">
        <f>IFERROR(__xludf.DUMMYFUNCTION("""COMPUTED_VALUE"""),"Организовывали мероприятия для предпринимателей")</f>
        <v>Организовывали мероприятия для предпринимателей</v>
      </c>
      <c r="T293" s="6" t="str">
        <f>IFERROR(__xludf.DUMMYFUNCTION("""COMPUTED_VALUE"""),"Затрудняюсь")</f>
        <v>Затрудняюсь</v>
      </c>
      <c r="U293" s="6" t="str">
        <f>IFERROR(__xludf.DUMMYFUNCTION("""COMPUTED_VALUE"""),"Площадь советов")</f>
        <v>Площадь советов</v>
      </c>
      <c r="V293" s="6" t="str">
        <f>IFERROR(__xludf.DUMMYFUNCTION("""COMPUTED_VALUE"""),"Затрудняюсь")</f>
        <v>Затрудняюсь</v>
      </c>
      <c r="W293" s="6" t="str">
        <f>IFERROR(__xludf.DUMMYFUNCTION("""COMPUTED_VALUE"""),"Отзывчивые, дружелюбные")</f>
        <v>Отзывчивые, дружелюбные</v>
      </c>
      <c r="X293" s="6" t="str">
        <f>IFERROR(__xludf.DUMMYFUNCTION("""COMPUTED_VALUE"""),"Набережная")</f>
        <v>Набережная</v>
      </c>
      <c r="Y293" s="6" t="str">
        <f>IFERROR(__xludf.DUMMYFUNCTION("""COMPUTED_VALUE"""),"Затрудняюсь")</f>
        <v>Затрудняюсь</v>
      </c>
      <c r="Z293" s="6" t="str">
        <f>IFERROR(__xludf.DUMMYFUNCTION("""COMPUTED_VALUE"""),"Затрудняюсь")</f>
        <v>Затрудняюсь</v>
      </c>
      <c r="AA293" s="6" t="str">
        <f>IFERROR(__xludf.DUMMYFUNCTION("""COMPUTED_VALUE"""),"Зимняя вишня")</f>
        <v>Зимняя вишня</v>
      </c>
      <c r="AB293" s="6" t="str">
        <f>IFERROR(__xludf.DUMMYFUNCTION("""COMPUTED_VALUE"""),"Культурных, ")</f>
        <v>Культурных, </v>
      </c>
      <c r="AC293" s="6" t="str">
        <f>IFERROR(__xludf.DUMMYFUNCTION("""COMPUTED_VALUE"""),"Больше концертов, больше мест для отдыха семьёй")</f>
        <v>Больше концертов, больше мест для отдыха семьёй</v>
      </c>
      <c r="AD293" s="6" t="str">
        <f>IFERROR(__xludf.DUMMYFUNCTION("""COMPUTED_VALUE"""),"Создание идей")</f>
        <v>Создание идей</v>
      </c>
      <c r="AE293" s="6" t="str">
        <f>IFERROR(__xludf.DUMMYFUNCTION("""COMPUTED_VALUE"""),"Женский")</f>
        <v>Женский</v>
      </c>
      <c r="AF293" s="6" t="str">
        <f>IFERROR(__xludf.DUMMYFUNCTION("""COMPUTED_VALUE"""),"18-29")</f>
        <v>18-29</v>
      </c>
      <c r="AG293" s="6"/>
      <c r="AH293" s="6"/>
      <c r="AI293" s="6"/>
      <c r="AJ293" s="6"/>
      <c r="AK293" s="6"/>
      <c r="AL293" s="6"/>
      <c r="AM293" s="6"/>
    </row>
    <row r="294">
      <c r="A294" s="4">
        <v>293.0</v>
      </c>
      <c r="B294" s="6" t="str">
        <f>IFERROR(__xludf.DUMMYFUNCTION("""COMPUTED_VALUE"""),"Охранна ")</f>
        <v>Охранна </v>
      </c>
      <c r="C294" s="6" t="str">
        <f>IFERROR(__xludf.DUMMYFUNCTION("""COMPUTED_VALUE"""),"Ремонт ПК Рыбалка Грибы")</f>
        <v>Ремонт ПК Рыбалка Грибы</v>
      </c>
      <c r="D294" s="6" t="str">
        <f>IFERROR(__xludf.DUMMYFUNCTION("""COMPUTED_VALUE"""),"В Ленинском")</f>
        <v>В Ленинском</v>
      </c>
      <c r="E294" s="6" t="str">
        <f>IFERROR(__xludf.DUMMYFUNCTION("""COMPUTED_VALUE"""),"Парк Кузбасский Сквер Памяти блокадного Ленинграда Бульвар с прощадками")</f>
        <v>Парк Кузбасский Сквер Памяти блокадного Ленинграда Бульвар с прощадками</v>
      </c>
      <c r="F294" s="6" t="str">
        <f>IFERROR(__xludf.DUMMYFUNCTION("""COMPUTED_VALUE"""),"Живу здесь с рождения")</f>
        <v>Живу здесь с рождения</v>
      </c>
      <c r="G294" s="6" t="str">
        <f>IFERROR(__xludf.DUMMYFUNCTION("""COMPUTED_VALUE"""),"Парк Кузбасский Набережная Парк победы им. Жукова")</f>
        <v>Парк Кузбасский Набережная Парк победы им. Жукова</v>
      </c>
      <c r="H294" s="6" t="str">
        <f>IFERROR(__xludf.DUMMYFUNCTION("""COMPUTED_VALUE"""),"Чистота Растительность Отдых Благоустройство Жители")</f>
        <v>Чистота Растительность Отдых Благоустройство Жители</v>
      </c>
      <c r="I294" s="6" t="str">
        <f>IFERROR(__xludf.DUMMYFUNCTION("""COMPUTED_VALUE"""),"А.Г. Тулеев И.В Середюк")</f>
        <v>А.Г. Тулеев И.В Середюк</v>
      </c>
      <c r="J294" s="6" t="str">
        <f>IFERROR(__xludf.DUMMYFUNCTION("""COMPUTED_VALUE"""),"А.Г. Тулеев И.В Середюк")</f>
        <v>А.Г. Тулеев И.В Середюк</v>
      </c>
      <c r="K294" s="6" t="str">
        <f>IFERROR(__xludf.DUMMYFUNCTION("""COMPUTED_VALUE"""),"Красная горка Томская Писаница Кемеровский областной театр драмы им. А. В. Луначарского Знаменский собор Храм Непорочного Сердца Пресвятой Девы Марии Кемеровский Областной Краеведческий Музей Антошка Памятник А.С. Пушкину Памятник Погибшим Шахтерам Парк п"&amp;"обеды Площадь Советов")</f>
        <v>Красная горка Томская Писаница Кемеровский областной театр драмы им. А. В. Луначарского Знаменский собор Храм Непорочного Сердца Пресвятой Девы Марии Кемеровский Областной Краеведческий Музей Антошка Памятник А.С. Пушкину Памятник Погибшим Шахтерам Парк победы Площадь Советов</v>
      </c>
      <c r="L294" s="6" t="str">
        <f>IFERROR(__xludf.DUMMYFUNCTION("""COMPUTED_VALUE"""),"Медведи Гармонь и Лвсось")</f>
        <v>Медведи Гармонь и Лвсось</v>
      </c>
      <c r="M294" s="6" t="str">
        <f>IFERROR(__xludf.DUMMYFUNCTION("""COMPUTED_VALUE"""),"Кемерово Сердце Сибири")</f>
        <v>Кемерово Сердце Сибири</v>
      </c>
      <c r="N294" s="6" t="str">
        <f>IFERROR(__xludf.DUMMYFUNCTION("""COMPUTED_VALUE"""),"Свежий воздух Тайга Транспорт Инфроструктура ")</f>
        <v>Свежий воздух Тайга Транспорт Инфроструктура </v>
      </c>
      <c r="O294" s="6" t="str">
        <f>IFERROR(__xludf.DUMMYFUNCTION("""COMPUTED_VALUE"""),"Посадить бальше деревьев")</f>
        <v>Посадить бальше деревьев</v>
      </c>
      <c r="P294" s="6" t="str">
        <f>IFERROR(__xludf.DUMMYFUNCTION("""COMPUTED_VALUE"""),"A42")</f>
        <v>A42</v>
      </c>
      <c r="Q294" s="6" t="str">
        <f>IFERROR(__xludf.DUMMYFUNCTION("""COMPUTED_VALUE"""),"криминальные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f>
        <v>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v>
      </c>
      <c r="R294" s="6" t="str">
        <f>IFERROR(__xludf.DUMMYFUNCTION("""COMPUTED_VALUE"""),"День Города 9 Мая День Шахтеров")</f>
        <v>День Города 9 Мая День Шахтеров</v>
      </c>
      <c r="S294"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294" s="6" t="str">
        <f>IFERROR(__xludf.DUMMYFUNCTION("""COMPUTED_VALUE"""),"Лидер в добыче природных ископаемых В красоте ")</f>
        <v>Лидер в добыче природных ископаемых В красоте </v>
      </c>
      <c r="U294" s="6" t="str">
        <f>IFERROR(__xludf.DUMMYFUNCTION("""COMPUTED_VALUE"""),"Площадь советов")</f>
        <v>Площадь советов</v>
      </c>
      <c r="V294" s="6" t="str">
        <f>IFERROR(__xludf.DUMMYFUNCTION("""COMPUTED_VALUE"""),"Многое")</f>
        <v>Многое</v>
      </c>
      <c r="W294" s="6" t="str">
        <f>IFERROR(__xludf.DUMMYFUNCTION("""COMPUTED_VALUE"""),"Отзывчевость Добрадушие ")</f>
        <v>Отзывчевость Добрадушие </v>
      </c>
      <c r="X294" s="6" t="str">
        <f>IFERROR(__xludf.DUMMYFUNCTION("""COMPUTED_VALUE"""),"Набережная Алея славы ")</f>
        <v>Набережная Алея славы </v>
      </c>
      <c r="Y294" s="6" t="str">
        <f>IFERROR(__xludf.DUMMYFUNCTION("""COMPUTED_VALUE"""),"Затрудняюсь ответить")</f>
        <v>Затрудняюсь ответить</v>
      </c>
      <c r="Z294" s="6" t="str">
        <f>IFERROR(__xludf.DUMMYFUNCTION("""COMPUTED_VALUE"""),"Развитие Города и Инфраструктуры")</f>
        <v>Развитие Города и Инфраструктуры</v>
      </c>
      <c r="AA294" s="6" t="str">
        <f>IFERROR(__xludf.DUMMYFUNCTION("""COMPUTED_VALUE"""),"Плохая проверка пожарных Плохая реакция полиции ")</f>
        <v>Плохая проверка пожарных Плохая реакция полиции </v>
      </c>
      <c r="AB294" s="6" t="str">
        <f>IFERROR(__xludf.DUMMYFUNCTION("""COMPUTED_VALUE"""),"Народное сообщество г. Кемерово")</f>
        <v>Народное сообщество г. Кемерово</v>
      </c>
      <c r="AC294" s="6" t="str">
        <f>IFERROR(__xludf.DUMMYFUNCTION("""COMPUTED_VALUE"""),"Канцерты Салюты Праздничные мероприятия")</f>
        <v>Канцерты Салюты Праздничные мероприятия</v>
      </c>
      <c r="AD294" s="6" t="str">
        <f>IFERROR(__xludf.DUMMYFUNCTION("""COMPUTED_VALUE"""),"В праве голоса")</f>
        <v>В праве голоса</v>
      </c>
      <c r="AE294" s="6" t="str">
        <f>IFERROR(__xludf.DUMMYFUNCTION("""COMPUTED_VALUE"""),"Мужской")</f>
        <v>Мужской</v>
      </c>
      <c r="AF294" s="6" t="str">
        <f>IFERROR(__xludf.DUMMYFUNCTION("""COMPUTED_VALUE"""),"30-44")</f>
        <v>30-44</v>
      </c>
      <c r="AG294" s="6"/>
      <c r="AH294" s="6"/>
      <c r="AI294" s="6"/>
      <c r="AJ294" s="6"/>
      <c r="AK294" s="6"/>
      <c r="AL294" s="6"/>
      <c r="AM294" s="6"/>
    </row>
    <row r="295">
      <c r="A295" s="4">
        <v>294.0</v>
      </c>
      <c r="B295" s="6" t="str">
        <f>IFERROR(__xludf.DUMMYFUNCTION("""COMPUTED_VALUE"""),"Веб разработчик ")</f>
        <v>Веб разработчик </v>
      </c>
      <c r="C295" s="6" t="str">
        <f>IFERROR(__xludf.DUMMYFUNCTION("""COMPUTED_VALUE"""),"Чтение книг ")</f>
        <v>Чтение книг </v>
      </c>
      <c r="D295" s="6" t="str">
        <f>IFERROR(__xludf.DUMMYFUNCTION("""COMPUTED_VALUE"""),"Кировский ")</f>
        <v>Кировский </v>
      </c>
      <c r="E295" s="6" t="str">
        <f>IFERROR(__xludf.DUMMYFUNCTION("""COMPUTED_VALUE"""),"Теперь это набережная! ")</f>
        <v>Теперь это набережная! </v>
      </c>
      <c r="F295" s="6" t="str">
        <f>IFERROR(__xludf.DUMMYFUNCTION("""COMPUTED_VALUE"""),"Переехал сюда из другого места (откуда? укажите в графе другое), Березовский ")</f>
        <v>Переехал сюда из другого места (откуда? укажите в графе другое), Березовский </v>
      </c>
      <c r="G295" s="6" t="str">
        <f>IFERROR(__xludf.DUMMYFUNCTION("""COMPUTED_VALUE"""),"Катаемся везде ")</f>
        <v>Катаемся везде </v>
      </c>
      <c r="H295" s="6" t="str">
        <f>IFERROR(__xludf.DUMMYFUNCTION("""COMPUTED_VALUE"""),"Чистый (в плане улиц), свободный(в плане ширины дорог) ")</f>
        <v>Чистый (в плане улиц), свободный(в плане ширины дорог) </v>
      </c>
      <c r="I295" s="6" t="str">
        <f>IFERROR(__xludf.DUMMYFUNCTION("""COMPUTED_VALUE"""),"Тулеев")</f>
        <v>Тулеев</v>
      </c>
      <c r="J295" s="6" t="str">
        <f>IFERROR(__xludf.DUMMYFUNCTION("""COMPUTED_VALUE"""),"Тулеев")</f>
        <v>Тулеев</v>
      </c>
      <c r="K295" s="6" t="str">
        <f>IFERROR(__xludf.DUMMYFUNCTION("""COMPUTED_VALUE"""),"Красная горка, набережные ")</f>
        <v>Красная горка, набережные </v>
      </c>
      <c r="L295" s="6" t="str">
        <f>IFERROR(__xludf.DUMMYFUNCTION("""COMPUTED_VALUE"""),"Кто рано встаёт, тот в кировском живёт ")</f>
        <v>Кто рано встаёт, тот в кировском живёт </v>
      </c>
      <c r="M295" s="6" t="str">
        <f>IFERROR(__xludf.DUMMYFUNCTION("""COMPUTED_VALUE"""),"Нет")</f>
        <v>Нет</v>
      </c>
      <c r="N295" s="6" t="str">
        <f>IFERROR(__xludf.DUMMYFUNCTION("""COMPUTED_VALUE"""),"Относительно нормальные дороги и небольшие пробки ")</f>
        <v>Относительно нормальные дороги и небольшие пробки </v>
      </c>
      <c r="O295" s="6" t="str">
        <f>IFERROR(__xludf.DUMMYFUNCTION("""COMPUTED_VALUE"""),"Сделать доступную смотровую площадку, даже в гурьевске она есть ")</f>
        <v>Сделать доступную смотровую площадку, даже в гурьевске она есть </v>
      </c>
      <c r="P295" s="6" t="str">
        <f>IFERROR(__xludf.DUMMYFUNCTION("""COMPUTED_VALUE"""),"Соц сети")</f>
        <v>Соц сети</v>
      </c>
      <c r="Q295" s="6" t="str">
        <f>IFERROR(__xludf.DUMMYFUNCTION("""COMPUTED_VALUE"""),"Ничего ")</f>
        <v>Ничего </v>
      </c>
      <c r="R295" s="6" t="str">
        <f>IFERROR(__xludf.DUMMYFUNCTION("""COMPUTED_VALUE"""),"День города ")</f>
        <v>День города </v>
      </c>
      <c r="S295" s="6" t="str">
        <f>IFERROR(__xludf.DUMMYFUNCTION("""COMPUTED_VALUE"""),"Нет, не приходилось")</f>
        <v>Нет, не приходилось</v>
      </c>
      <c r="T295" s="6" t="str">
        <f>IFERROR(__xludf.DUMMYFUNCTION("""COMPUTED_VALUE"""),"Уголь? А вокруг Кемерово руины отвалов, вот это искусственные достопримечательности ")</f>
        <v>Уголь? А вокруг Кемерово руины отвалов, вот это искусственные достопримечательности </v>
      </c>
      <c r="U295" s="6" t="str">
        <f>IFERROR(__xludf.DUMMYFUNCTION("""COMPUTED_VALUE"""),"Площадь Центральная ")</f>
        <v>Площадь Центральная </v>
      </c>
      <c r="V295" s="6" t="str">
        <f>IFERROR(__xludf.DUMMYFUNCTION("""COMPUTED_VALUE"""),"Были добрыми сами")</f>
        <v>Были добрыми сами</v>
      </c>
      <c r="W295" s="6" t="str">
        <f>IFERROR(__xludf.DUMMYFUNCTION("""COMPUTED_VALUE"""),"Хорошие ")</f>
        <v>Хорошие </v>
      </c>
      <c r="X295" s="6" t="str">
        <f>IFERROR(__xludf.DUMMYFUNCTION("""COMPUTED_VALUE"""),"Такого нет")</f>
        <v>Такого нет</v>
      </c>
      <c r="Y295" s="6" t="str">
        <f>IFERROR(__xludf.DUMMYFUNCTION("""COMPUTED_VALUE"""),"Нет такого, кроме как трагического")</f>
        <v>Нет такого, кроме как трагического</v>
      </c>
      <c r="Z295" s="6" t="str">
        <f>IFERROR(__xludf.DUMMYFUNCTION("""COMPUTED_VALUE"""),"Обновление кировской набережной ")</f>
        <v>Обновление кировской набережной </v>
      </c>
      <c r="AA295" s="6" t="str">
        <f>IFERROR(__xludf.DUMMYFUNCTION("""COMPUTED_VALUE"""),"Зимняя вишня")</f>
        <v>Зимняя вишня</v>
      </c>
      <c r="AB295" s="6" t="str">
        <f>IFERROR(__xludf.DUMMYFUNCTION("""COMPUTED_VALUE"""),"Всех хватает")</f>
        <v>Всех хватает</v>
      </c>
      <c r="AC295" s="6" t="str">
        <f>IFERROR(__xludf.DUMMYFUNCTION("""COMPUTED_VALUE"""),"Перестать затягивать гайки людям! ")</f>
        <v>Перестать затягивать гайки людям! </v>
      </c>
      <c r="AD295" s="6" t="str">
        <f>IFERROR(__xludf.DUMMYFUNCTION("""COMPUTED_VALUE"""),"Ит")</f>
        <v>Ит</v>
      </c>
      <c r="AE295" s="6" t="str">
        <f>IFERROR(__xludf.DUMMYFUNCTION("""COMPUTED_VALUE"""),"Мужской")</f>
        <v>Мужской</v>
      </c>
      <c r="AF295" s="6" t="str">
        <f>IFERROR(__xludf.DUMMYFUNCTION("""COMPUTED_VALUE"""),"30-44")</f>
        <v>30-44</v>
      </c>
      <c r="AG295" s="6"/>
      <c r="AH295" s="6"/>
      <c r="AI295" s="6"/>
      <c r="AJ295" s="6"/>
      <c r="AK295" s="6"/>
      <c r="AL295" s="6"/>
      <c r="AM295" s="6"/>
    </row>
    <row r="296">
      <c r="A296" s="4">
        <v>295.0</v>
      </c>
      <c r="B296" s="6" t="str">
        <f>IFERROR(__xludf.DUMMYFUNCTION("""COMPUTED_VALUE"""),"Работаю")</f>
        <v>Работаю</v>
      </c>
      <c r="C296" s="6" t="str">
        <f>IFERROR(__xludf.DUMMYFUNCTION("""COMPUTED_VALUE"""),"Нет")</f>
        <v>Нет</v>
      </c>
      <c r="D296" s="6" t="str">
        <f>IFERROR(__xludf.DUMMYFUNCTION("""COMPUTED_VALUE"""),"Центральный ")</f>
        <v>Центральный </v>
      </c>
      <c r="E296" s="6" t="str">
        <f>IFERROR(__xludf.DUMMYFUNCTION("""COMPUTED_VALUE"""),"Швейка ")</f>
        <v>Швейка </v>
      </c>
      <c r="F296"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296" s="6" t="str">
        <f>IFERROR(__xludf.DUMMYFUNCTION("""COMPUTED_VALUE"""),"На работу ")</f>
        <v>На работу </v>
      </c>
      <c r="H296" s="6" t="str">
        <f>IFERROR(__xludf.DUMMYFUNCTION("""COMPUTED_VALUE"""),"Слов нет")</f>
        <v>Слов нет</v>
      </c>
      <c r="I296" s="6" t="str">
        <f>IFERROR(__xludf.DUMMYFUNCTION("""COMPUTED_VALUE"""),"Без понятия ")</f>
        <v>Без понятия </v>
      </c>
      <c r="J296" s="6" t="str">
        <f>IFERROR(__xludf.DUMMYFUNCTION("""COMPUTED_VALUE"""),"Нет таких наверное ")</f>
        <v>Нет таких наверное </v>
      </c>
      <c r="K296" s="6" t="str">
        <f>IFERROR(__xludf.DUMMYFUNCTION("""COMPUTED_VALUE"""),"Все только уезжают")</f>
        <v>Все только уезжают</v>
      </c>
      <c r="L296" s="6" t="str">
        <f>IFERROR(__xludf.DUMMYFUNCTION("""COMPUTED_VALUE"""),"Капец как холодно ")</f>
        <v>Капец как холодно </v>
      </c>
      <c r="M296" s="6" t="str">
        <f>IFERROR(__xludf.DUMMYFUNCTION("""COMPUTED_VALUE"""),"Нет")</f>
        <v>Нет</v>
      </c>
      <c r="N296" s="6" t="str">
        <f>IFERROR(__xludf.DUMMYFUNCTION("""COMPUTED_VALUE"""),"Думаю")</f>
        <v>Думаю</v>
      </c>
      <c r="O296" s="6" t="str">
        <f>IFERROR(__xludf.DUMMYFUNCTION("""COMPUTED_VALUE"""),"Зарплату ")</f>
        <v>Зарплату </v>
      </c>
      <c r="P296" s="6" t="str">
        <f>IFERROR(__xludf.DUMMYFUNCTION("""COMPUTED_VALUE"""),"Тик ток ютуб ")</f>
        <v>Тик ток ютуб </v>
      </c>
      <c r="Q296" s="6" t="str">
        <f>IFERROR(__xludf.DUMMYFUNCTION("""COMPUTED_VALUE"""),"криминальные новости (происшествия/преступления)")</f>
        <v>криминальные новости (происшествия/преступления)</v>
      </c>
      <c r="R296" s="6" t="str">
        <f>IFERROR(__xludf.DUMMYFUNCTION("""COMPUTED_VALUE"""),"Нет таких ")</f>
        <v>Нет таких </v>
      </c>
      <c r="S296" s="6" t="str">
        <f>IFERROR(__xludf.DUMMYFUNCTION("""COMPUTED_VALUE"""),"Нет, не приходилось")</f>
        <v>Нет, не приходилось</v>
      </c>
      <c r="T296" s="6" t="str">
        <f>IFERROR(__xludf.DUMMYFUNCTION("""COMPUTED_VALUE"""),"Знаменит??????? ")</f>
        <v>Знаменит??????? </v>
      </c>
      <c r="U296" s="6" t="str">
        <f>IFERROR(__xludf.DUMMYFUNCTION("""COMPUTED_VALUE"""),"Швейка ")</f>
        <v>Швейка </v>
      </c>
      <c r="V296" s="6" t="str">
        <f>IFERROR(__xludf.DUMMYFUNCTION("""COMPUTED_VALUE"""),"Не знаю ")</f>
        <v>Не знаю </v>
      </c>
      <c r="W296" s="6" t="str">
        <f>IFERROR(__xludf.DUMMYFUNCTION("""COMPUTED_VALUE"""),"Разные ")</f>
        <v>Разные </v>
      </c>
      <c r="X296" s="6" t="str">
        <f>IFERROR(__xludf.DUMMYFUNCTION("""COMPUTED_VALUE"""),"А где гулять в минус сорок ")</f>
        <v>А где гулять в минус сорок </v>
      </c>
      <c r="Y296" s="6" t="str">
        <f>IFERROR(__xludf.DUMMYFUNCTION("""COMPUTED_VALUE"""),"Нет")</f>
        <v>Нет</v>
      </c>
      <c r="Z296" s="6" t="str">
        <f>IFERROR(__xludf.DUMMYFUNCTION("""COMPUTED_VALUE"""),"Нет")</f>
        <v>Нет</v>
      </c>
      <c r="AA296" s="6" t="str">
        <f>IFERROR(__xludf.DUMMYFUNCTION("""COMPUTED_VALUE"""),"Не понял ")</f>
        <v>Не понял </v>
      </c>
      <c r="AB296" s="6" t="str">
        <f>IFERROR(__xludf.DUMMYFUNCTION("""COMPUTED_VALUE"""),"Нет")</f>
        <v>Нет</v>
      </c>
      <c r="AC296" s="6" t="str">
        <f>IFERROR(__xludf.DUMMYFUNCTION("""COMPUTED_VALUE"""),"Рост зарплаты ")</f>
        <v>Рост зарплаты </v>
      </c>
      <c r="AD296" s="6" t="str">
        <f>IFERROR(__xludf.DUMMYFUNCTION("""COMPUTED_VALUE"""),"Нет")</f>
        <v>Нет</v>
      </c>
      <c r="AE296" s="6" t="str">
        <f>IFERROR(__xludf.DUMMYFUNCTION("""COMPUTED_VALUE"""),"Мужской")</f>
        <v>Мужской</v>
      </c>
      <c r="AF296" s="6" t="str">
        <f>IFERROR(__xludf.DUMMYFUNCTION("""COMPUTED_VALUE"""),"30-44")</f>
        <v>30-44</v>
      </c>
      <c r="AG296" s="6"/>
      <c r="AH296" s="6"/>
      <c r="AI296" s="6"/>
      <c r="AJ296" s="6"/>
      <c r="AK296" s="6"/>
      <c r="AL296" s="6"/>
      <c r="AM296" s="6"/>
    </row>
    <row r="297">
      <c r="A297" s="4">
        <v>296.0</v>
      </c>
      <c r="B297" s="6" t="str">
        <f>IFERROR(__xludf.DUMMYFUNCTION("""COMPUTED_VALUE"""),"Экономист в угольном холдинге")</f>
        <v>Экономист в угольном холдинге</v>
      </c>
      <c r="C297" s="6" t="str">
        <f>IFERROR(__xludf.DUMMYFUNCTION("""COMPUTED_VALUE"""),"Чтение, путешествия, рыбалка")</f>
        <v>Чтение, путешествия, рыбалка</v>
      </c>
      <c r="D297" s="6" t="str">
        <f>IFERROR(__xludf.DUMMYFUNCTION("""COMPUTED_VALUE"""),"В районе училища связи, уже бывшего. Раньше называли Пентагон. ")</f>
        <v>В районе училища связи, уже бывшего. Раньше называли Пентагон. </v>
      </c>
      <c r="E297" s="6" t="str">
        <f>IFERROR(__xludf.DUMMYFUNCTION("""COMPUTED_VALUE"""),"Старое трамвайное кольцо, Солдатское озеро")</f>
        <v>Старое трамвайное кольцо, Солдатское озеро</v>
      </c>
      <c r="F297" s="6" t="str">
        <f>IFERROR(__xludf.DUMMYFUNCTION("""COMPUTED_VALUE"""),"Переехал сюда из другого места (откуда? укажите в графе другое), Родилась в Анжеро-Судженске, в Кемерово приехала в институт из Донецкой обл. ")</f>
        <v>Переехал сюда из другого места (откуда? укажите в графе другое), Родилась в Анжеро-Судженске, в Кемерово приехала в институт из Донецкой обл. </v>
      </c>
      <c r="G297" s="6" t="str">
        <f>IFERROR(__xludf.DUMMYFUNCTION("""COMPUTED_VALUE"""),"СпортZall, набережная, Авиатор, Парк Жукова, сосновый бор ")</f>
        <v>СпортZall, набережная, Авиатор, Парк Жукова, сосновый бор </v>
      </c>
      <c r="H297" s="6" t="str">
        <f>IFERROR(__xludf.DUMMYFUNCTION("""COMPUTED_VALUE"""),"Азот, Радуга, Томь, Сосновый Бор, Томская писаница, Зимняя вишня ")</f>
        <v>Азот, Радуга, Томь, Сосновый Бор, Томская писаница, Зимняя вишня </v>
      </c>
      <c r="I297" s="6" t="str">
        <f>IFERROR(__xludf.DUMMYFUNCTION("""COMPUTED_VALUE"""),"Рутгерс, Михайлов В.В, Тулеев А.Г., Подгорбунский, В. Волошина, Ю. Двужильный")</f>
        <v>Рутгерс, Михайлов В.В, Тулеев А.Г., Подгорбунский, В. Волошина, Ю. Двужильный</v>
      </c>
      <c r="J297" s="6" t="str">
        <f>IFERROR(__xludf.DUMMYFUNCTION("""COMPUTED_VALUE"""),"Митрофанова Е.Ю., Гришковец Е., ")</f>
        <v>Митрофанова Е.Ю., Гришковец Е., </v>
      </c>
      <c r="K297" s="6" t="str">
        <f>IFERROR(__xludf.DUMMYFUNCTION("""COMPUTED_VALUE"""),"Набережная, красная горка, Томская писаница, Бор, лесная поляна, бар Бельгия, кондитерская Винервальд, бульвар строителей, район кадетского училища")</f>
        <v>Набережная, красная горка, Томская писаница, Бор, лесная поляна, бар Бельгия, кондитерская Винервальд, бульвар строителей, район кадетского училища</v>
      </c>
      <c r="L297" s="6" t="str">
        <f>IFERROR(__xludf.DUMMYFUNCTION("""COMPUTED_VALUE"""),"Только в Кемерово улица Свободы заканчивается в зоне")</f>
        <v>Только в Кемерово улица Свободы заканчивается в зоне</v>
      </c>
      <c r="M297" s="6" t="str">
        <f>IFERROR(__xludf.DUMMYFUNCTION("""COMPUTED_VALUE"""),"Вехотка (она же мочалка)")</f>
        <v>Вехотка (она же мочалка)</v>
      </c>
      <c r="N297" s="6" t="str">
        <f>IFERROR(__xludf.DUMMYFUNCTION("""COMPUTED_VALUE"""),"Чистота улиц, возможность припарковаться, наличие тротуаров, современный общественный транспорт, инфраструктура, отсутствие больших пробок на дорогах, возможность прямых перелетов и поездок в другие города")</f>
        <v>Чистота улиц, возможность припарковаться, наличие тротуаров, современный общественный транспорт, инфраструктура, отсутствие больших пробок на дорогах, возможность прямых перелетов и поездок в другие города</v>
      </c>
      <c r="O297" s="6" t="str">
        <f>IFERROR(__xludf.DUMMYFUNCTION("""COMPUTED_VALUE"""),"Неубираемые годами тротуары , мусор, обшарпанные дома, разбитые дворовые территории, отсутствие деревьев, грязь и лужи")</f>
        <v>Неубираемые годами тротуары , мусор, обшарпанные дома, разбитые дворовые территории, отсутствие деревьев, грязь и лужи</v>
      </c>
      <c r="P297" s="6" t="str">
        <f>IFERROR(__xludf.DUMMYFUNCTION("""COMPUTED_VALUE"""),"Фейсбук, Инстаграм ")</f>
        <v>Фейсбук, Инстаграм </v>
      </c>
      <c r="Q297" s="6" t="str">
        <f>IFERROR(__xludf.DUMMYFUNCTION("""COMPUTED_VALUE"""),"культурные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297" s="6" t="str">
        <f>IFERROR(__xludf.DUMMYFUNCTION("""COMPUTED_VALUE"""),"День шахтера, День Победы ")</f>
        <v>День шахтера, День Победы </v>
      </c>
      <c r="S297" s="6" t="str">
        <f>IFERROR(__xludf.DUMMYFUNCTION("""COMPUTED_VALUE"""),"Нет, не приходилось")</f>
        <v>Нет, не приходилось</v>
      </c>
      <c r="T297" s="6" t="str">
        <f>IFERROR(__xludf.DUMMYFUNCTION("""COMPUTED_VALUE"""),"Печально известен после Зимней вишни")</f>
        <v>Печально известен после Зимней вишни</v>
      </c>
      <c r="U297" s="6" t="str">
        <f>IFERROR(__xludf.DUMMYFUNCTION("""COMPUTED_VALUE"""),"Площадь советов, ЦУМ")</f>
        <v>Площадь советов, ЦУМ</v>
      </c>
      <c r="V297" s="6" t="str">
        <f>IFERROR(__xludf.DUMMYFUNCTION("""COMPUTED_VALUE"""),"Нет ответа")</f>
        <v>Нет ответа</v>
      </c>
      <c r="W297" s="6" t="str">
        <f>IFERROR(__xludf.DUMMYFUNCTION("""COMPUTED_VALUE"""),"Нормальные люди, не снобы, других не унижают. Трудолюбивые")</f>
        <v>Нормальные люди, не снобы, других не унижают. Трудолюбивые</v>
      </c>
      <c r="X297" s="6" t="str">
        <f>IFERROR(__xludf.DUMMYFUNCTION("""COMPUTED_VALUE"""),"Через площадь Советов и Пушкина идём на набережную, потом до Кирова, по Кирова до ЦУМа, далее до библиотеки, идём на площадь Волкова, политех, Космос, парк ангелов")</f>
        <v>Через площадь Советов и Пушкина идём на набережную, потом до Кирова, по Кирова до ЦУМа, далее до библиотеки, идём на площадь Волкова, политех, Космос, парк ангелов</v>
      </c>
      <c r="Y297" s="6" t="str">
        <f>IFERROR(__xludf.DUMMYFUNCTION("""COMPUTED_VALUE"""),"Рок фестиваль в 2019 организованный Стройсервисом")</f>
        <v>Рок фестиваль в 2019 организованный Стройсервисом</v>
      </c>
      <c r="Z297" s="6" t="str">
        <f>IFERROR(__xludf.DUMMYFUNCTION("""COMPUTED_VALUE"""),"Вырублено большинство деревьев в городе, застройка территории училища связи жилыми домами")</f>
        <v>Вырублено большинство деревьев в городе, застройка территории училища связи жилыми домами</v>
      </c>
      <c r="AA297" s="6" t="str">
        <f>IFERROR(__xludf.DUMMYFUNCTION("""COMPUTED_VALUE"""),"Невозможность пройти-проехать при демонстрациях и приездах гостей из власти")</f>
        <v>Невозможность пройти-проехать при демонстрациях и приездах гостей из власти</v>
      </c>
      <c r="AB297" s="6" t="str">
        <f>IFERROR(__xludf.DUMMYFUNCTION("""COMPUTED_VALUE"""),"Мне это не интересно ")</f>
        <v>Мне это не интересно </v>
      </c>
      <c r="AC297" s="6" t="str">
        <f>IFERROR(__xludf.DUMMYFUNCTION("""COMPUTED_VALUE"""),"Фестивали, спортивные соревнования высокого уровня")</f>
        <v>Фестивали, спортивные соревнования высокого уровня</v>
      </c>
      <c r="AD297" s="6" t="str">
        <f>IFERROR(__xludf.DUMMYFUNCTION("""COMPUTED_VALUE"""),"Народный эксперт ")</f>
        <v>Народный эксперт </v>
      </c>
      <c r="AE297" s="6" t="str">
        <f>IFERROR(__xludf.DUMMYFUNCTION("""COMPUTED_VALUE"""),"Женский")</f>
        <v>Женский</v>
      </c>
      <c r="AF297" s="6" t="str">
        <f>IFERROR(__xludf.DUMMYFUNCTION("""COMPUTED_VALUE"""),"45-55")</f>
        <v>45-55</v>
      </c>
      <c r="AG297" s="6"/>
      <c r="AH297" s="6"/>
      <c r="AI297" s="6"/>
      <c r="AJ297" s="6"/>
      <c r="AK297" s="6"/>
      <c r="AL297" s="6"/>
      <c r="AM297" s="6"/>
    </row>
    <row r="298">
      <c r="A298" s="4">
        <v>297.0</v>
      </c>
      <c r="B298" s="6" t="str">
        <f>IFERROR(__xludf.DUMMYFUNCTION("""COMPUTED_VALUE"""),"Работник склада и внештатный журналист ")</f>
        <v>Работник склада и внештатный журналист </v>
      </c>
      <c r="C298" s="6" t="str">
        <f>IFERROR(__xludf.DUMMYFUNCTION("""COMPUTED_VALUE"""),"Журналистику сейчас считаю своим хобби")</f>
        <v>Журналистику сейчас считаю своим хобби</v>
      </c>
      <c r="D298" s="6" t="str">
        <f>IFERROR(__xludf.DUMMYFUNCTION("""COMPUTED_VALUE"""),"Микрорайон ""Кемерово-Сити"", центральный район")</f>
        <v>Микрорайон "Кемерово-Сити", центральный район</v>
      </c>
      <c r="E298" s="6" t="str">
        <f>IFERROR(__xludf.DUMMYFUNCTION("""COMPUTED_VALUE"""),"Сам микрорайон:)) В нем первом появились ""небоскребы"", он один из первых стал строить дома цветными. В нем соседствует старый Кемерово со своими частными домиками на Заречных и новый молодой, перспективный, развивающийся район, рядом с которым строят """&amp;"Арену"" и Московскую площадь.")</f>
        <v>Сам микрорайон:)) В нем первом появились "небоскребы", он один из первых стал строить дома цветными. В нем соседствует старый Кемерово со своими частными домиками на Заречных и новый молодой, перспективный, развивающийся район, рядом с которым строят "Арену" и Московскую площадь.</v>
      </c>
      <c r="F298" s="6" t="str">
        <f>IFERROR(__xludf.DUMMYFUNCTION("""COMPUTED_VALUE"""),"Переехал сюда из другого места (откуда? укажите в графе другое), приехала учиться в Кем 11 лет назад")</f>
        <v>Переехал сюда из другого места (откуда? укажите в графе другое), приехала учиться в Кем 11 лет назад</v>
      </c>
      <c r="G298" s="6" t="str">
        <f>IFERROR(__xludf.DUMMYFUNCTION("""COMPUTED_VALUE"""),"С друзьями встречаюсь в парках и на главных проспектах, сама по себе иногда брожу пешком по странным маршрутам (типа прогулок до Сухово через ""Восточный"" или до Металлки через бульвар Строителей). Мне интересно заглядывать в те углы Кемерова, которые не"&amp;" все еще даже видели. За город почти не выезжаю (именно в район), так как нет своей машины, а на автобусах и пешком неудобно и боязно. ")</f>
        <v>С друзьями встречаюсь в парках и на главных проспектах, сама по себе иногда брожу пешком по странным маршрутам (типа прогулок до Сухово через "Восточный" или до Металлки через бульвар Строителей). Мне интересно заглядывать в те углы Кемерова, которые не все еще даже видели. За город почти не выезжаю (именно в район), так как нет своей машины, а на автобусах и пешком неудобно и боязно. </v>
      </c>
      <c r="H298" s="6" t="str">
        <f>IFERROR(__xludf.DUMMYFUNCTION("""COMPUTED_VALUE"""),"Горелая гора, памятник шахтер с горящим сердцем, набережная Томи, музей ""Красная горка"", площадь Советов")</f>
        <v>Горелая гора, памятник шахтер с горящим сердцем, набережная Томи, музей "Красная горка", площадь Советов</v>
      </c>
      <c r="I298" s="6" t="str">
        <f>IFERROR(__xludf.DUMMYFUNCTION("""COMPUTED_VALUE"""),"С этим большой пробел) Назову, пожалуй, только геолога Чихачева, благодаря которому Кузбасс вообще начал развиваться, поэта Василия Федорова и экс-губернатора Амана Тулеева. Этих людей гораздо больше. ")</f>
        <v>С этим большой пробел) Назову, пожалуй, только геолога Чихачева, благодаря которому Кузбасс вообще начал развиваться, поэта Василия Федорова и экс-губернатора Амана Тулеева. Этих людей гораздо больше. </v>
      </c>
      <c r="J298" s="6" t="str">
        <f>IFERROR(__xludf.DUMMYFUNCTION("""COMPUTED_VALUE"""),"У нас почему-то любят хвалить и вспоминать Гришковца, Малышеву и ""Аквариум"" в связи с упоминаниями Кемерова:) Я считаю, что выдающихся современников много, и они повсюду. Может быть, не очень признаны, не очень известны. Но все те, что ежедневно убирает"&amp;" город, хорошо лечит и учит горожан, хорошо строит дома и т.д. - уже лучшие люди. Все те, что не бросает мусор на улицах, помогает не только себе и своим близким, интересуется жизнью Кемерова и пытается ее улучшить, как может. ")</f>
        <v>У нас почему-то любят хвалить и вспоминать Гришковца, Малышеву и "Аквариум" в связи с упоминаниями Кемерова:) Я считаю, что выдающихся современников много, и они повсюду. Может быть, не очень признаны, не очень известны. Но все те, что ежедневно убирает город, хорошо лечит и учит горожан, хорошо строит дома и т.д. - уже лучшие люди. Все те, что не бросает мусор на улицах, помогает не только себе и своим близким, интересуется жизнью Кемерова и пытается ее улучшить, как может. </v>
      </c>
      <c r="K298" s="6" t="str">
        <f>IFERROR(__xludf.DUMMYFUNCTION("""COMPUTED_VALUE"""),"Я бы показала или хотела показать наш Сосновый бор, Кузбасский парк, основную набережную и набережную Кировского района (с обязательным проходкам по старым улочкам вроде Севастопольской), наш ботанический сад и, главное, наш парк Ангелов. Кемеровские музе"&amp;"и считаю крайне унылыми и неинтересными (имхо).")</f>
        <v>Я бы показала или хотела показать наш Сосновый бор, Кузбасский парк, основную набережную и набережную Кировского района (с обязательным проходкам по старым улочкам вроде Севастопольской), наш ботанический сад и, главное, наш парк Ангелов. Кемеровские музеи считаю крайне унылыми и неинтересными (имхо).</v>
      </c>
      <c r="L298" s="6" t="str">
        <f>IFERROR(__xludf.DUMMYFUNCTION("""COMPUTED_VALUE"""),"Увы, мне кажется, любая пословица и поговорка так или иначе охарактеризует любого человека планеты Земля. ")</f>
        <v>Увы, мне кажется, любая пословица и поговорка так или иначе охарактеризует любого человека планеты Земля. </v>
      </c>
      <c r="M298" s="6" t="str">
        <f>IFERROR(__xludf.DUMMYFUNCTION("""COMPUTED_VALUE"""),"Именно по-кемеровски нет, скорее, по-сибирски. Типа ""мультифора"" вместо ""файлика"". ""Гречка"" вместо ""греча"". Подъезд вместо ""парадная"". ""Толченка"" вместо ""картофельное пюре"".")</f>
        <v>Именно по-кемеровски нет, скорее, по-сибирски. Типа "мультифора" вместо "файлика". "Гречка" вместо "греча". Подъезд вместо "парадная". "Толченка" вместо "картофельное пюре".</v>
      </c>
      <c r="N298" s="6" t="str">
        <f>IFERROR(__xludf.DUMMYFUNCTION("""COMPUTED_VALUE"""),"Общее благоустройство (нет разломанному асфальту, громадным выбоинам на дорогах, опшарпанным стенам зданий, мусору на улицах и т.д.), зелень (ее должно быть много), медицина (не с космическими ценами и хорошими специалистами), досуг и образование (наличие"&amp;" у дома детских садов, нормальных ТЦ), транспортная доступность (чтобы маршрутки не ходили раз в триста лет после 21 часа). ")</f>
        <v>Общее благоустройство (нет разломанному асфальту, громадным выбоинам на дорогах, опшарпанным стенам зданий, мусору на улицах и т.д.), зелень (ее должно быть много), медицина (не с космическими ценами и хорошими специалистами), досуг и образование (наличие у дома детских садов, нормальных ТЦ), транспортная доступность (чтобы маршрутки не ходили раз в триста лет после 21 часа). </v>
      </c>
      <c r="O298" s="6" t="str">
        <f>IFERROR(__xludf.DUMMYFUNCTION("""COMPUTED_VALUE"""),"""Починить"" Кировский (и не только набережную, но и сами старинные дома, которые можно показывать людям даже в рамках экскурсий). Выезд по Инициативной - кровь из глаз. В идеале снести все общаги в Ленинском и Шалго, но так как это нереально, хотя бы при"&amp;"вести их всех в божеский вид (хоть покрасить все или обшить, установить единые стильные магазинчики на их крылечки или убрать их вообще), поставить нормальные остановки (как по мне стеклянные - современно, но плохо, очень маркие). ")</f>
        <v>"Починить" Кировский (и не только набережную, но и сами старинные дома, которые можно показывать людям даже в рамках экскурсий). Выезд по Инициативной - кровь из глаз. В идеале снести все общаги в Ленинском и Шалго, но так как это нереально, хотя бы привести их всех в божеский вид (хоть покрасить все или обшить, установить единые стильные магазинчики на их крылечки или убрать их вообще), поставить нормальные остановки (как по мне стеклянные - современно, но плохо, очень маркие). </v>
      </c>
      <c r="P298" s="6" t="str">
        <f>IFERROR(__xludf.DUMMYFUNCTION("""COMPUTED_VALUE"""),"АКО, городские порталы в ВК (Сибдепо, А42, Все42), ""Вести-Кузбасс"" в инсте.")</f>
        <v>АКО, городские порталы в ВК (Сибдепо, А42, Все42), "Вести-Кузбасс" в инсте.</v>
      </c>
      <c r="Q298" s="6" t="str">
        <f>IFERROR(__xludf.DUMMYFUNCTION("""COMPUTED_VALUE"""),"куда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v>
      </c>
      <c r="R298" s="6" t="str">
        <f>IFERROR(__xludf.DUMMYFUNCTION("""COMPUTED_VALUE"""),"Для меня важен любой праздник, если он толково устроен и направлен на сближение людей и обеспечение интересного досуга, но именно городских специфичных праздников у нас мало. Алтайский новый год и шорские праздники проходят преимущественно на юге,  ""Дета"&amp;"лизацию"" в Кеме ""задушили"" бюрократизмом, день шахтера - общекузбасский. ")</f>
        <v>Для меня важен любой праздник, если он толково устроен и направлен на сближение людей и обеспечение интересного досуга, но именно городских специфичных праздников у нас мало. Алтайский новый год и шорские праздники проходят преимущественно на юге,  "Детализацию" в Кеме "задушили" бюрократизмом, день шахтера - общекузбасский. </v>
      </c>
      <c r="S298" s="6" t="str">
        <f>IFERROR(__xludf.DUMMYFUNCTION("""COMPUTED_VALUE"""),"так как я журналист много лет, то да, мне случалось самой создавать новости:)")</f>
        <v>так как я журналист много лет, то да, мне случалось самой создавать новости:)</v>
      </c>
      <c r="T298" s="6" t="str">
        <f>IFERROR(__xludf.DUMMYFUNCTION("""COMPUTED_VALUE"""),"Раньше однозначно был уникален Аман Тулеев. От многих людей вне региона слышала: ""О, у вас же Тулеев, класс!"". Позже Тулеев сменился на ""Зимнюю вишню"", о которой заговорили повсеместно. А если злободневно и всегда, то знаменит, конечно, углем. Скорее,"&amp;" не сам Кемерово, а Кузбасс. Еще некоторые узнают Тяжинскую сгущенку и Яшкинские вафли. ")</f>
        <v>Раньше однозначно был уникален Аман Тулеев. От многих людей вне региона слышала: "О, у вас же Тулеев, класс!". Позже Тулеев сменился на "Зимнюю вишню", о которой заговорили повсеместно. А если злободневно и всегда, то знаменит, конечно, углем. Скорее, не сам Кемерово, а Кузбасс. Еще некоторые узнают Тяжинскую сгущенку и Яшкинские вафли. </v>
      </c>
      <c r="U298" s="6" t="str">
        <f>IFERROR(__xludf.DUMMYFUNCTION("""COMPUTED_VALUE"""),"Весь центр, начиная от университетского моста и заканчивая ТЦ ""Я"". ")</f>
        <v>Весь центр, начиная от университетского моста и заканчивая ТЦ "Я". </v>
      </c>
      <c r="V298" s="6" t="str">
        <f>IFERROR(__xludf.DUMMYFUNCTION("""COMPUTED_VALUE"""),"Строили красивые и добротные дома (""трех поросят"" , шалго и Ленинского это не касатеся, хаха), создавали культуру, развивали медицину, добывали уголь. ")</f>
        <v>Строили красивые и добротные дома ("трех поросят" , шалго и Ленинского это не касатеся, хаха), создавали культуру, развивали медицину, добывали уголь. </v>
      </c>
      <c r="W298" s="6" t="str">
        <f>IFERROR(__xludf.DUMMYFUNCTION("""COMPUTED_VALUE"""),"Не считаю, что именно кемеровчане  качественно отличаются от всех остальных людей Сибири или России. Скорее, у нас свой опыт, своя среда. Кемеровчане, однозначно, крепкие и работящие (как иначе добывать полезные ископаемые и работать на заводах), сопережи"&amp;"вающие (""Зимняя вишня"" до сих пор собирает скорбящих), несколько закостенелые, комформные и не привыкшие к новому. Мне кажется, новое до нас доходит гораздо дольше, чем до томичей или новосибирцев. Мы живем в своем микро-мирке и не особенно хотим приним"&amp;"ать что-то из вне. ТЦ у нас один и тот же сто лет с одними и теми же магазинами (молодежь воет, что одеваться негде). Современных выставок, куда хочется сходить именно молодежи, у нас нет. Досуг скудный. Много где совок и бюрократия. Отсюда и консерватизм"&amp;", думаю. ")</f>
        <v>Не считаю, что именно кемеровчане  качественно отличаются от всех остальных людей Сибири или России. Скорее, у нас свой опыт, своя среда. Кемеровчане, однозначно, крепкие и работящие (как иначе добывать полезные ископаемые и работать на заводах), сопереживающие ("Зимняя вишня" до сих пор собирает скорбящих), несколько закостенелые, комформные и не привыкшие к новому. Мне кажется, новое до нас доходит гораздо дольше, чем до томичей или новосибирцев. Мы живем в своем микро-мирке и не особенно хотим принимать что-то из вне. ТЦ у нас один и тот же сто лет с одними и теми же магазинами (молодежь воет, что одеваться негде). Современных выставок, куда хочется сходить именно молодежи, у нас нет. Досуг скудный. Много где совок и бюрократия. Отсюда и консерватизм, думаю. </v>
      </c>
      <c r="X298" s="6" t="str">
        <f>IFERROR(__xludf.DUMMYFUNCTION("""COMPUTED_VALUE"""),"Самый банальный  - набережная, пр. Советский:) Это лицо города, его центр. Набережная у нас классная, для меня сильно лучше томской, например, и сравнима с новосибирской. А уже потом можно показать и бульвар Строителей от начала до конца, и Лесную поляну,"&amp;" и Кировский. ")</f>
        <v>Самый банальный  - набережная, пр. Советский:) Это лицо города, его центр. Набережная у нас классная, для меня сильно лучше томской, например, и сравнима с новосибирской. А уже потом можно показать и бульвар Строителей от начала до конца, и Лесную поляну, и Кировский. </v>
      </c>
      <c r="Y298" s="6" t="str">
        <f>IFERROR(__xludf.DUMMYFUNCTION("""COMPUTED_VALUE"""),"Когда Михайло Волков нашел горелую гору:) Но тогда Кема еще не существовало. Если честно, я плохо знаю историю и судить не могу. По ощущениям, одно из самых значимых событий за мои личные 11 лет пребывания тут - пожар в ""Вишне"", громкая отставка Тулеева"&amp;" и ""Детализация"". ")</f>
        <v>Когда Михайло Волков нашел горелую гору:) Но тогда Кема еще не существовало. Если честно, я плохо знаю историю и судить не могу. По ощущениям, одно из самых значимых событий за мои личные 11 лет пребывания тут - пожар в "Вишне", громкая отставка Тулеева и "Детализация". </v>
      </c>
      <c r="Z298" s="6" t="str">
        <f>IFERROR(__xludf.DUMMYFUNCTION("""COMPUTED_VALUE"""),"Открытие котокафе, куда можно прийти выбрать себе домашнего питомца и просто помочь приюту для бездомных животных, открытие нового классного светлого ботанического сада на поляне, начало крупных строек (президентское кадетское училище, ""Арена"", преображ"&amp;"ение Искитимки). ")</f>
        <v>Открытие котокафе, куда можно прийти выбрать себе домашнего питомца и просто помочь приюту для бездомных животных, открытие нового классного светлого ботанического сада на поляне, начало крупных строек (президентское кадетское училище, "Арена", преображение Искитимки). </v>
      </c>
      <c r="AA298" s="6" t="str">
        <f>IFERROR(__xludf.DUMMYFUNCTION("""COMPUTED_VALUE"""),"Увы, мы не самый благополучный регион, и вечное дорожание цен в магазинах, вечно грязный воздух или вода из кранов вызывает негатив. Огромные долги по зарплатам, первое место по вич и туберкулезу тоже не радуют. ")</f>
        <v>Увы, мы не самый благополучный регион, и вечное дорожание цен в магазинах, вечно грязный воздух или вода из кранов вызывает негатив. Огромные долги по зарплатам, первое место по вич и туберкулезу тоже не радуют. </v>
      </c>
      <c r="AB298" s="6" t="str">
        <f>IFERROR(__xludf.DUMMYFUNCTION("""COMPUTED_VALUE"""),"Неформальных, но адекватных. Типа ""Кота да винчи"". Я туда не ходила, но он был нужен городу, он был нужен людям. Всяческих зоокафе, куда можно прийти и сбросить негатив, нет. Местячковых тусовок у нас нет. Например, какого-нибудь взрослого клуба по игре"&amp;" в волейбол/теннис/шахматы - что угодно. ")</f>
        <v>Неформальных, но адекватных. Типа "Кота да винчи". Я туда не ходила, но он был нужен городу, он был нужен людям. Всяческих зоокафе, куда можно прийти и сбросить негатив, нет. Местячковых тусовок у нас нет. Например, какого-нибудь взрослого клуба по игре в волейбол/теннис/шахматы - что угодно. </v>
      </c>
      <c r="AC298" s="6" t="str">
        <f>IFERROR(__xludf.DUMMYFUNCTION("""COMPUTED_VALUE"""),"Молодежные культурные вовлекающие мероприятия типа ""Детализации"", интересные современные выставки, а не выставка камней в Доме художников (камон, серьезно?). Места, куда можно зайти и потрогать все своими руками (типа мастер-классов, но не по 800 рублей"&amp;", чтобы сделать зефир, как в ""Арт-Гречке""). Стены, которые можно художественно порисовать. Уж страшных стен у нас много. ")</f>
        <v>Молодежные культурные вовлекающие мероприятия типа "Детализации", интересные современные выставки, а не выставка камней в Доме художников (камон, серьезно?). Места, куда можно зайти и потрогать все своими руками (типа мастер-классов, но не по 800 рублей, чтобы сделать зефир, как в "Арт-Гречке"). Стены, которые можно художественно порисовать. Уж страшных стен у нас много. </v>
      </c>
      <c r="AD298" s="6" t="str">
        <f>IFERROR(__xludf.DUMMYFUNCTION("""COMPUTED_VALUE"""),"Наблюдателя, слушателя и освещателя:) Возможно. подсказателя:) ")</f>
        <v>Наблюдателя, слушателя и освещателя:) Возможно. подсказателя:) </v>
      </c>
      <c r="AE298" s="6" t="str">
        <f>IFERROR(__xludf.DUMMYFUNCTION("""COMPUTED_VALUE"""),"Женский")</f>
        <v>Женский</v>
      </c>
      <c r="AF298" s="6" t="str">
        <f>IFERROR(__xludf.DUMMYFUNCTION("""COMPUTED_VALUE"""),"18-29")</f>
        <v>18-29</v>
      </c>
      <c r="AG298" s="6"/>
      <c r="AH298" s="6"/>
      <c r="AI298" s="6"/>
      <c r="AJ298" s="6"/>
      <c r="AK298" s="6"/>
      <c r="AL298" s="6"/>
      <c r="AM298" s="6"/>
    </row>
    <row r="299">
      <c r="A299" s="4">
        <v>298.0</v>
      </c>
      <c r="B299" s="6" t="str">
        <f>IFERROR(__xludf.DUMMYFUNCTION("""COMPUTED_VALUE"""),"Преподаватель")</f>
        <v>Преподаватель</v>
      </c>
      <c r="C299" s="6" t="str">
        <f>IFERROR(__xludf.DUMMYFUNCTION("""COMPUTED_VALUE"""),"Чтение, прогулки, театр.")</f>
        <v>Чтение, прогулки, театр.</v>
      </c>
      <c r="D299" s="6" t="str">
        <f>IFERROR(__xludf.DUMMYFUNCTION("""COMPUTED_VALUE"""),"Рудничный")</f>
        <v>Рудничный</v>
      </c>
      <c r="E299" s="6" t="str">
        <f>IFERROR(__xludf.DUMMYFUNCTION("""COMPUTED_VALUE"""),"Красная горка, Бор, памятник Шахтерам, набережная. ")</f>
        <v>Красная горка, Бор, памятник Шахтерам, набережная. </v>
      </c>
      <c r="F299" s="6" t="str">
        <f>IFERROR(__xludf.DUMMYFUNCTION("""COMPUTED_VALUE"""),"Живу здесь с рождения")</f>
        <v>Живу здесь с рождения</v>
      </c>
      <c r="G299" s="6" t="str">
        <f>IFERROR(__xludf.DUMMYFUNCTION("""COMPUTED_VALUE"""),"Зависит от настроения")</f>
        <v>Зависит от настроения</v>
      </c>
      <c r="H299" s="6" t="str">
        <f>IFERROR(__xludf.DUMMYFUNCTION("""COMPUTED_VALUE"""),"Заводы, смог, огромное количество снега, бедность, онкология.")</f>
        <v>Заводы, смог, огромное количество снега, бедность, онкология.</v>
      </c>
      <c r="I299" s="6" t="str">
        <f>IFERROR(__xludf.DUMMYFUNCTION("""COMPUTED_VALUE"""),"Михайло Волков")</f>
        <v>Михайло Волков</v>
      </c>
      <c r="J299" s="6" t="str">
        <f>IFERROR(__xludf.DUMMYFUNCTION("""COMPUTED_VALUE"""),"Алексей Леонов, Владимир Машков")</f>
        <v>Алексей Леонов, Владимир Машков</v>
      </c>
      <c r="K299" s="6" t="str">
        <f>IFERROR(__xludf.DUMMYFUNCTION("""COMPUTED_VALUE"""),"Бор, Набережная")</f>
        <v>Бор, Набережная</v>
      </c>
      <c r="L299" s="6" t="str">
        <f>IFERROR(__xludf.DUMMYFUNCTION("""COMPUTED_VALUE"""),"Противостояние Новокузнецк-Кемерово")</f>
        <v>Противостояние Новокузнецк-Кемерово</v>
      </c>
      <c r="M299" s="6" t="str">
        <f>IFERROR(__xludf.DUMMYFUNCTION("""COMPUTED_VALUE"""),"Булка хлеба, район ""Радуга"", Фабричка")</f>
        <v>Булка хлеба, район "Радуга", Фабричка</v>
      </c>
      <c r="N299" s="6" t="str">
        <f>IFERROR(__xludf.DUMMYFUNCTION("""COMPUTED_VALUE"""),"Компактность")</f>
        <v>Компактность</v>
      </c>
      <c r="O299" s="6" t="str">
        <f>IFERROR(__xludf.DUMMYFUNCTION("""COMPUTED_VALUE"""),"Привести в единую архитектурную композицию, убирать снег зимой, больше трамваев. ")</f>
        <v>Привести в единую архитектурную композицию, убирать снег зимой, больше трамваев. </v>
      </c>
      <c r="P299" s="6" t="str">
        <f>IFERROR(__xludf.DUMMYFUNCTION("""COMPUTED_VALUE"""),"А42, Типичный Кемерово, Открытый город, Абажур, Твиттер. ")</f>
        <v>А42, Типичный Кемерово, Открытый город, Абажур, Твиттер. </v>
      </c>
      <c r="Q299" s="6" t="str">
        <f>IFERROR(__xludf.DUMMYFUNCTION("""COMPUTED_VALUE"""),"городская афиша (кино/театр/концерты), культурные новинки (что почитать/что послушать), криминальные новости (происшествия/преступления)")</f>
        <v>городская афиша (кино/театр/концерты), культурные новинки (что почитать/что послушать), криминальные новости (происшествия/преступления)</v>
      </c>
      <c r="R299" s="6" t="str">
        <f>IFERROR(__xludf.DUMMYFUNCTION("""COMPUTED_VALUE"""),"День города, 9 Мая")</f>
        <v>День города, 9 Мая</v>
      </c>
      <c r="S299" s="6" t="str">
        <f>IFERROR(__xludf.DUMMYFUNCTION("""COMPUTED_VALUE"""),"Через социальные сети (Какие? Укажите в графе другое), Писал о состоянии дорог, уборке, состоянии памятников архитектуры . ")</f>
        <v>Через социальные сети (Какие? Укажите в графе другое), Писал о состоянии дорог, уборке, состоянии памятников архитектуры . </v>
      </c>
      <c r="T299" s="6" t="str">
        <f>IFERROR(__xludf.DUMMYFUNCTION("""COMPUTED_VALUE"""),"Компактность, Зимняя Вишня, шахты, экология (негативная) ")</f>
        <v>Компактность, Зимняя Вишня, шахты, экология (негативная) </v>
      </c>
      <c r="U299" s="6" t="str">
        <f>IFERROR(__xludf.DUMMYFUNCTION("""COMPUTED_VALUE"""),"Площадь Советов")</f>
        <v>Площадь Советов</v>
      </c>
      <c r="V299" s="6" t="str">
        <f>IFERROR(__xludf.DUMMYFUNCTION("""COMPUTED_VALUE"""),"К жителям практически не прислушиваются. ")</f>
        <v>К жителям практически не прислушиваются. </v>
      </c>
      <c r="W299" s="6" t="str">
        <f>IFERROR(__xludf.DUMMYFUNCTION("""COMPUTED_VALUE"""),"Простые, закрытые, бедные. ")</f>
        <v>Простые, закрытые, бедные. </v>
      </c>
      <c r="X299" s="6" t="str">
        <f>IFERROR(__xludf.DUMMYFUNCTION("""COMPUTED_VALUE"""),"Площадь Советов - набережная -Сосновый Бор. Томская Писаница. ")</f>
        <v>Площадь Советов - набережная -Сосновый Бор. Томская Писаница. </v>
      </c>
      <c r="Y299" s="6" t="str">
        <f>IFERROR(__xludf.DUMMYFUNCTION("""COMPUTED_VALUE"""),"К сожалению, зимняя вишня. ")</f>
        <v>К сожалению, зимняя вишня. </v>
      </c>
      <c r="Z299" s="6" t="str">
        <f>IFERROR(__xludf.DUMMYFUNCTION("""COMPUTED_VALUE"""),"Открытие (предполагаемое) объездной дороги. ")</f>
        <v>Открытие (предполагаемое) объездной дороги. </v>
      </c>
      <c r="AA299" s="6" t="str">
        <f>IFERROR(__xludf.DUMMYFUNCTION("""COMPUTED_VALUE"""),"Зимняя вишня, назначение Цивилёва, состояние дорог , ЖКХ, уровень жизни (мы нищие). ")</f>
        <v>Зимняя вишня, назначение Цивилёва, состояние дорог , ЖКХ, уровень жизни (мы нищие). </v>
      </c>
      <c r="AB299" s="6" t="str">
        <f>IFERROR(__xludf.DUMMYFUNCTION("""COMPUTED_VALUE"""),"Оппозиции власти")</f>
        <v>Оппозиции власти</v>
      </c>
      <c r="AC299" s="6" t="str">
        <f>IFERROR(__xludf.DUMMYFUNCTION("""COMPUTED_VALUE"""),"Аквапарк, торговый центр , по типу Мега в Новокузнецке.")</f>
        <v>Аквапарк, торговый центр , по типу Мега в Новокузнецке.</v>
      </c>
      <c r="AD299" s="6" t="str">
        <f>IFERROR(__xludf.DUMMYFUNCTION("""COMPUTED_VALUE"""),"Хочется, что бы власти прислушивались к жителям, а не делали то, что им экономически выгодно. Забивают на экологию, на дороги, на уборку снега, уровень жизни близок к нищенскому. ")</f>
        <v>Хочется, что бы власти прислушивались к жителям, а не делали то, что им экономически выгодно. Забивают на экологию, на дороги, на уборку снега, уровень жизни близок к нищенскому. </v>
      </c>
      <c r="AE299" s="6" t="str">
        <f>IFERROR(__xludf.DUMMYFUNCTION("""COMPUTED_VALUE"""),"Мужской")</f>
        <v>Мужской</v>
      </c>
      <c r="AF299" s="6" t="str">
        <f>IFERROR(__xludf.DUMMYFUNCTION("""COMPUTED_VALUE"""),"30-44")</f>
        <v>30-44</v>
      </c>
      <c r="AG299" s="6"/>
      <c r="AH299" s="6"/>
      <c r="AI299" s="6"/>
      <c r="AJ299" s="6"/>
      <c r="AK299" s="6"/>
      <c r="AL299" s="6"/>
      <c r="AM299" s="6"/>
    </row>
    <row r="300">
      <c r="A300" s="4">
        <v>299.0</v>
      </c>
      <c r="B300" s="6" t="str">
        <f>IFERROR(__xludf.DUMMYFUNCTION("""COMPUTED_VALUE"""),"пенсионер")</f>
        <v>пенсионер</v>
      </c>
      <c r="C300" s="6" t="str">
        <f>IFERROR(__xludf.DUMMYFUNCTION("""COMPUTED_VALUE"""),"рыбалка")</f>
        <v>рыбалка</v>
      </c>
      <c r="D300" s="6" t="str">
        <f>IFERROR(__xludf.DUMMYFUNCTION("""COMPUTED_VALUE"""),"рудничный")</f>
        <v>рудничный</v>
      </c>
      <c r="E300" s="6" t="str">
        <f>IFERROR(__xludf.DUMMYFUNCTION("""COMPUTED_VALUE"""),"сосновый бор")</f>
        <v>сосновый бор</v>
      </c>
      <c r="F300" s="6" t="str">
        <f>IFERROR(__xludf.DUMMYFUNCTION("""COMPUTED_VALUE"""),"Живу здесь с рождения")</f>
        <v>Живу здесь с рождения</v>
      </c>
      <c r="G300" s="6" t="str">
        <f>IFERROR(__xludf.DUMMYFUNCTION("""COMPUTED_VALUE"""),"гуляю у памятника шахтерам")</f>
        <v>гуляю у памятника шахтерам</v>
      </c>
      <c r="H300" s="6" t="str">
        <f>IFERROR(__xludf.DUMMYFUNCTION("""COMPUTED_VALUE"""),"шахта, уголь,химия,чистый,красивый")</f>
        <v>шахта, уголь,химия,чистый,красивый</v>
      </c>
      <c r="I300" s="6" t="str">
        <f>IFERROR(__xludf.DUMMYFUNCTION("""COMPUTED_VALUE"""),"Ракитянский,Подгорбунский,Волков")</f>
        <v>Ракитянский,Подгорбунский,Волков</v>
      </c>
      <c r="J300" s="6" t="str">
        <f>IFERROR(__xludf.DUMMYFUNCTION("""COMPUTED_VALUE"""),"Тулеев")</f>
        <v>Тулеев</v>
      </c>
      <c r="K300" s="6" t="str">
        <f>IFERROR(__xludf.DUMMYFUNCTION("""COMPUTED_VALUE"""),"Сосновый бор")</f>
        <v>Сосновый бор</v>
      </c>
      <c r="L300" s="6" t="str">
        <f>IFERROR(__xludf.DUMMYFUNCTION("""COMPUTED_VALUE"""),"сибиряк не тот кто не мерзнет, а тот кто хорошо одевается")</f>
        <v>сибиряк не тот кто не мерзнет, а тот кто хорошо одевается</v>
      </c>
      <c r="M300" s="6" t="str">
        <f>IFERROR(__xludf.DUMMYFUNCTION("""COMPUTED_VALUE"""),"нет")</f>
        <v>нет</v>
      </c>
      <c r="N300" s="6" t="str">
        <f>IFERROR(__xludf.DUMMYFUNCTION("""COMPUTED_VALUE"""),"работа транспорта, медицинское обслуживание, чистота, летом красиво везде цветы.")</f>
        <v>работа транспорта, медицинское обслуживание, чистота, летом красиво везде цветы.</v>
      </c>
      <c r="O300" s="6" t="str">
        <f>IFERROR(__xludf.DUMMYFUNCTION("""COMPUTED_VALUE"""),"Поменять губернатора")</f>
        <v>Поменять губернатора</v>
      </c>
      <c r="P300" s="6" t="str">
        <f>IFERROR(__xludf.DUMMYFUNCTION("""COMPUTED_VALUE"""),"интернет")</f>
        <v>интернет</v>
      </c>
      <c r="Q300"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300" s="6" t="str">
        <f>IFERROR(__xludf.DUMMYFUNCTION("""COMPUTED_VALUE"""),"день города")</f>
        <v>день города</v>
      </c>
      <c r="S300" s="6" t="str">
        <f>IFERROR(__xludf.DUMMYFUNCTION("""COMPUTED_VALUE"""),"Нет, не приходилось")</f>
        <v>Нет, не приходилось</v>
      </c>
      <c r="T300" s="6" t="str">
        <f>IFERROR(__xludf.DUMMYFUNCTION("""COMPUTED_VALUE"""),"Шахтерский край")</f>
        <v>Шахтерский край</v>
      </c>
      <c r="U300" s="6" t="str">
        <f>IFERROR(__xludf.DUMMYFUNCTION("""COMPUTED_VALUE"""),"Площадь советов")</f>
        <v>Площадь советов</v>
      </c>
      <c r="V300" s="6" t="str">
        <f>IFERROR(__xludf.DUMMYFUNCTION("""COMPUTED_VALUE"""),"Построили город, создали химическую промышленность")</f>
        <v>Построили город, создали химическую промышленность</v>
      </c>
      <c r="W300" s="6" t="str">
        <f>IFERROR(__xludf.DUMMYFUNCTION("""COMPUTED_VALUE"""),"Добрые отзывчивые люди")</f>
        <v>Добрые отзывчивые люди</v>
      </c>
      <c r="X300" s="6" t="str">
        <f>IFERROR(__xludf.DUMMYFUNCTION("""COMPUTED_VALUE"""),"Набережная")</f>
        <v>Набережная</v>
      </c>
      <c r="Y300" s="6" t="str">
        <f>IFERROR(__xludf.DUMMYFUNCTION("""COMPUTED_VALUE"""),"нет")</f>
        <v>нет</v>
      </c>
      <c r="Z300" s="6" t="str">
        <f>IFERROR(__xludf.DUMMYFUNCTION("""COMPUTED_VALUE"""),"нет")</f>
        <v>нет</v>
      </c>
      <c r="AA300" s="6" t="str">
        <f>IFERROR(__xludf.DUMMYFUNCTION("""COMPUTED_VALUE"""),"Отношение власти к своим обязанностям")</f>
        <v>Отношение власти к своим обязанностям</v>
      </c>
      <c r="AB300" s="6" t="str">
        <f>IFERROR(__xludf.DUMMYFUNCTION("""COMPUTED_VALUE"""),"контроля за работой исполнительной власти")</f>
        <v>контроля за работой исполнительной власти</v>
      </c>
      <c r="AC300" s="6" t="str">
        <f>IFERROR(__xludf.DUMMYFUNCTION("""COMPUTED_VALUE"""),"чествование рабочих людей")</f>
        <v>чествование рабочих людей</v>
      </c>
      <c r="AD300" s="6" t="str">
        <f>IFERROR(__xludf.DUMMYFUNCTION("""COMPUTED_VALUE"""),"наблюдателя, я свое уже отработал")</f>
        <v>наблюдателя, я свое уже отработал</v>
      </c>
      <c r="AE300" s="6" t="str">
        <f>IFERROR(__xludf.DUMMYFUNCTION("""COMPUTED_VALUE"""),"Мужской")</f>
        <v>Мужской</v>
      </c>
      <c r="AF300" s="6" t="str">
        <f>IFERROR(__xludf.DUMMYFUNCTION("""COMPUTED_VALUE"""),"старше 55")</f>
        <v>старше 55</v>
      </c>
      <c r="AG300" s="6"/>
      <c r="AH300" s="6"/>
      <c r="AI300" s="6"/>
      <c r="AJ300" s="6"/>
      <c r="AK300" s="6"/>
      <c r="AL300" s="6"/>
      <c r="AM300" s="6"/>
    </row>
    <row r="301">
      <c r="A301" s="4">
        <v>300.0</v>
      </c>
      <c r="B301" s="6" t="str">
        <f>IFERROR(__xludf.DUMMYFUNCTION("""COMPUTED_VALUE"""),"Преподаватель русского и английского языков")</f>
        <v>Преподаватель русского и английского языков</v>
      </c>
      <c r="C301" s="6" t="str">
        <f>IFERROR(__xludf.DUMMYFUNCTION("""COMPUTED_VALUE"""),"Музыка, кино, настольные игры, участие в квизах, изучение иностранных языков")</f>
        <v>Музыка, кино, настольные игры, участие в квизах, изучение иностранных языков</v>
      </c>
      <c r="D301" s="6" t="str">
        <f>IFERROR(__xludf.DUMMYFUNCTION("""COMPUTED_VALUE"""),"Ленинский")</f>
        <v>Ленинский</v>
      </c>
      <c r="E301" s="6" t="str">
        <f>IFERROR(__xludf.DUMMYFUNCTION("""COMPUTED_VALUE"""),"Бульвар и прогулочные зоны на Московском проспекте. ")</f>
        <v>Бульвар и прогулочные зоны на Московском проспекте. </v>
      </c>
      <c r="F301" s="6" t="str">
        <f>IFERROR(__xludf.DUMMYFUNCTION("""COMPUTED_VALUE"""),"Живу здесь с рождения")</f>
        <v>Живу здесь с рождения</v>
      </c>
      <c r="G301" s="6" t="str">
        <f>IFERROR(__xludf.DUMMYFUNCTION("""COMPUTED_VALUE"""),"Кинотеатры, филармония, ТЦ Лето, ТЦ Лапландия, бульвар, Парк чудес")</f>
        <v>Кинотеатры, филармония, ТЦ Лето, ТЦ Лапландия, бульвар, Парк чудес</v>
      </c>
      <c r="H301" s="6" t="str">
        <f>IFERROR(__xludf.DUMMYFUNCTION("""COMPUTED_VALUE"""),"Перспективный, спокойный, комфортный, развивающийся, домашний.")</f>
        <v>Перспективный, спокойный, комфортный, развивающийся, домашний.</v>
      </c>
      <c r="I301" s="6" t="str">
        <f>IFERROR(__xludf.DUMMYFUNCTION("""COMPUTED_VALUE"""),"Михайло Волков, Алексей Леонов")</f>
        <v>Михайло Волков, Алексей Леонов</v>
      </c>
      <c r="J301" s="6" t="str">
        <f>IFERROR(__xludf.DUMMYFUNCTION("""COMPUTED_VALUE"""),"Не могу ответить")</f>
        <v>Не могу ответить</v>
      </c>
      <c r="K301" s="6" t="str">
        <f>IFERROR(__xludf.DUMMYFUNCTION("""COMPUTED_VALUE"""),"Центральную часть города: пр-т Советский, ул. Весенняя, Парк чудес. Также бульвар и прогулочную зону пр-та Московский.")</f>
        <v>Центральную часть города: пр-т Советский, ул. Весенняя, Парк чудес. Также бульвар и прогулочную зону пр-та Московский.</v>
      </c>
      <c r="L301" s="6" t="str">
        <f>IFERROR(__xludf.DUMMYFUNCTION("""COMPUTED_VALUE"""),"Не знаю")</f>
        <v>Не знаю</v>
      </c>
      <c r="M301" s="6" t="str">
        <f>IFERROR(__xludf.DUMMYFUNCTION("""COMPUTED_VALUE"""),"Нет")</f>
        <v>Нет</v>
      </c>
      <c r="N301" s="6" t="str">
        <f>IFERROR(__xludf.DUMMYFUNCTION("""COMPUTED_VALUE"""),"Наличие большого кол-ва парков, прогулочных территорий, мест для досуга (кинотеатры, театры, концертные залы) и обучения (кружки, секции, семинары). ")</f>
        <v>Наличие большого кол-ва парков, прогулочных территорий, мест для досуга (кинотеатры, театры, концертные залы) и обучения (кружки, секции, семинары). </v>
      </c>
      <c r="O301" s="6" t="str">
        <f>IFERROR(__xludf.DUMMYFUNCTION("""COMPUTED_VALUE"""),"Сделать качественные дороги как на главных улицах, так и во дворах, чтобы было комфортно гулять и передвигаться на машине. А также организовать дорожное покрытие так, чтобы на него не попадала земля и не было грязно.
Отреставрировать внешний вид старых по"&amp;"строек в Центральной части города.")</f>
        <v>Сделать качественные дороги как на главных улицах, так и во дворах, чтобы было комфортно гулять и передвигаться на машине. А также организовать дорожное покрытие так, чтобы на него не попадала земля и не было грязно.
Отреставрировать внешний вид старых построек в Центральной части города.</v>
      </c>
      <c r="P301" s="6" t="str">
        <f>IFERROR(__xludf.DUMMYFUNCTION("""COMPUTED_VALUE"""),"Большую часть мероприятий нахожу на сайте Афиша")</f>
        <v>Большую часть мероприятий нахожу на сайте Афиша</v>
      </c>
      <c r="Q301" s="6" t="str">
        <f>IFERROR(__xludf.DUMMYFUNCTION("""COMPUTED_VALUE"""),"куда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v>
      </c>
      <c r="R301" s="6" t="str">
        <f>IFERROR(__xludf.DUMMYFUNCTION("""COMPUTED_VALUE"""),"День города, Парад Победы на 9 мая")</f>
        <v>День города, Парад Победы на 9 мая</v>
      </c>
      <c r="S301" s="6" t="str">
        <f>IFERROR(__xludf.DUMMYFUNCTION("""COMPUTED_VALUE"""),"Нет, не приходилось")</f>
        <v>Нет, не приходилось</v>
      </c>
      <c r="T301" s="6" t="str">
        <f>IFERROR(__xludf.DUMMYFUNCTION("""COMPUTED_VALUE"""),"В первую очередь угольной промышленностью. ")</f>
        <v>В первую очередь угольной промышленностью. </v>
      </c>
      <c r="U301" s="6" t="str">
        <f>IFERROR(__xludf.DUMMYFUNCTION("""COMPUTED_VALUE"""),"Площадь Советов")</f>
        <v>Площадь Советов</v>
      </c>
      <c r="V301" s="6" t="str">
        <f>IFERROR(__xludf.DUMMYFUNCTION("""COMPUTED_VALUE"""),"Строили заводы и фабрики, чтобы поддерживать местное производство (продукты питания, текстильная пром-ть)")</f>
        <v>Строили заводы и фабрики, чтобы поддерживать местное производство (продукты питания, текстильная пром-ть)</v>
      </c>
      <c r="W301" s="6" t="str">
        <f>IFERROR(__xludf.DUMMYFUNCTION("""COMPUTED_VALUE"""),"Равнодушие, страх за будущее, наивность")</f>
        <v>Равнодушие, страх за будущее, наивность</v>
      </c>
      <c r="X301" s="6" t="str">
        <f>IFERROR(__xludf.DUMMYFUNCTION("""COMPUTED_VALUE"""),"Практически вся часть Центрального района, бульвар в Ленинском районе")</f>
        <v>Практически вся часть Центрального района, бульвар в Ленинском районе</v>
      </c>
      <c r="Y301" s="6" t="str">
        <f>IFERROR(__xludf.DUMMYFUNCTION("""COMPUTED_VALUE"""),"Бесплатный масштабный рок-концерт с приглашением зарубежных звёзд в 2019г.
Чемпионат мира по хоккею (вроде в 2007г.)")</f>
        <v>Бесплатный масштабный рок-концерт с приглашением зарубежных звёзд в 2019г.
Чемпионат мира по хоккею (вроде в 2007г.)</v>
      </c>
      <c r="Z301" s="6" t="str">
        <f>IFERROR(__xludf.DUMMYFUNCTION("""COMPUTED_VALUE"""),"Рок-концерт в 2019 г.")</f>
        <v>Рок-концерт в 2019 г.</v>
      </c>
      <c r="AA301" s="6" t="str">
        <f>IFERROR(__xludf.DUMMYFUNCTION("""COMPUTED_VALUE"""),"Пожар в Зимней вишне.
Новости о домашнем насилии.")</f>
        <v>Пожар в Зимней вишне.
Новости о домашнем насилии.</v>
      </c>
      <c r="AB301" s="6" t="str">
        <f>IFERROR(__xludf.DUMMYFUNCTION("""COMPUTED_VALUE"""),"Кино-клубов")</f>
        <v>Кино-клубов</v>
      </c>
      <c r="AC301" s="6" t="str">
        <f>IFERROR(__xludf.DUMMYFUNCTION("""COMPUTED_VALUE"""),"Больше музыкальных мероприятий(фестивали, концерты, выступления известных артистов), тематические праздники или фестивали.")</f>
        <v>Больше музыкальных мероприятий(фестивали, концерты, выступления известных артистов), тематические праздники или фестивали.</v>
      </c>
      <c r="AD301" s="6" t="str">
        <f>IFERROR(__xludf.DUMMYFUNCTION("""COMPUTED_VALUE"""),"Приглашать людей на мероприятия и рассказывать о них.")</f>
        <v>Приглашать людей на мероприятия и рассказывать о них.</v>
      </c>
      <c r="AE301" s="6" t="str">
        <f>IFERROR(__xludf.DUMMYFUNCTION("""COMPUTED_VALUE"""),"Женский")</f>
        <v>Женский</v>
      </c>
      <c r="AF301" s="6" t="str">
        <f>IFERROR(__xludf.DUMMYFUNCTION("""COMPUTED_VALUE"""),"18-29")</f>
        <v>18-29</v>
      </c>
      <c r="AG301" s="6"/>
      <c r="AH301" s="6"/>
      <c r="AI301" s="6"/>
      <c r="AJ301" s="6"/>
      <c r="AK301" s="6"/>
      <c r="AL301" s="6"/>
      <c r="AM301" s="6"/>
    </row>
    <row r="302">
      <c r="A302" s="4">
        <v>301.0</v>
      </c>
      <c r="B302" s="6" t="str">
        <f>IFERROR(__xludf.DUMMYFUNCTION("""COMPUTED_VALUE"""),"Перподаватель.")</f>
        <v>Перподаватель.</v>
      </c>
      <c r="C302" s="6" t="str">
        <f>IFERROR(__xludf.DUMMYFUNCTION("""COMPUTED_VALUE"""),"Шахматы. ")</f>
        <v>Шахматы. </v>
      </c>
      <c r="D302" s="6" t="str">
        <f>IFERROR(__xludf.DUMMYFUNCTION("""COMPUTED_VALUE"""),"Рудничный.")</f>
        <v>Рудничный.</v>
      </c>
      <c r="E302" s="6" t="str">
        <f>IFERROR(__xludf.DUMMYFUNCTION("""COMPUTED_VALUE"""),"Серебряный Бор, проспект Шахтёров")</f>
        <v>Серебряный Бор, проспект Шахтёров</v>
      </c>
      <c r="F302" s="6" t="str">
        <f>IFERROR(__xludf.DUMMYFUNCTION("""COMPUTED_VALUE"""),"Живу здесь с рождения")</f>
        <v>Живу здесь с рождения</v>
      </c>
      <c r="G302" s="6" t="str">
        <f>IFERROR(__xludf.DUMMYFUNCTION("""COMPUTED_VALUE"""),"Лес (Серебряный Бор).")</f>
        <v>Лес (Серебряный Бор).</v>
      </c>
      <c r="H302" s="6" t="str">
        <f>IFERROR(__xludf.DUMMYFUNCTION("""COMPUTED_VALUE"""),"Уголь, промышленность, химия, КемГУ, ""Шахтёр"" ")</f>
        <v>Уголь, промышленность, химия, КемГУ, "Шахтёр" </v>
      </c>
      <c r="I302" s="6" t="str">
        <f>IFERROR(__xludf.DUMMYFUNCTION("""COMPUTED_VALUE"""),"Подгорбунский, Вера Волошинова, З. С. Хардина (учительница математики), Н. Д. Тамарченко, В. Н. Данков - это первые, кто пришёл на ум. Но их очень-очень много. ")</f>
        <v>Подгорбунский, Вера Волошинова, З. С. Хардина (учительница математики), Н. Д. Тамарченко, В. Н. Данков - это первые, кто пришёл на ум. Но их очень-очень много. </v>
      </c>
      <c r="J302" s="6" t="str">
        <f>IFERROR(__xludf.DUMMYFUNCTION("""COMPUTED_VALUE"""),"Экс-мэр Михайлов, врач В. Я. Фарбирович, М. Найдов, гроссмейстер Пигусов и другие. ")</f>
        <v>Экс-мэр Михайлов, врач В. Я. Фарбирович, М. Найдов, гроссмейстер Пигусов и другие. </v>
      </c>
      <c r="K302" s="6" t="str">
        <f>IFERROR(__xludf.DUMMYFUNCTION("""COMPUTED_VALUE"""),"""Шахтёр"" Э. Неизвестного, площадь Пушкина, набережная р. Томь, ДК Шахтёров...")</f>
        <v>"Шахтёр" Э. Неизвестного, площадь Пушкина, набережная р. Томь, ДК Шахтёров...</v>
      </c>
      <c r="L302" s="6" t="str">
        <f>IFERROR(__xludf.DUMMYFUNCTION("""COMPUTED_VALUE"""),"?")</f>
        <v>?</v>
      </c>
      <c r="M302" s="6" t="str">
        <f>IFERROR(__xludf.DUMMYFUNCTION("""COMPUTED_VALUE"""),"?")</f>
        <v>?</v>
      </c>
      <c r="N302" s="6" t="str">
        <f>IFERROR(__xludf.DUMMYFUNCTION("""COMPUTED_VALUE"""),"Наличие промышленных объектов (работы), вузы, школы, хорошие дороги, чистая река. ")</f>
        <v>Наличие промышленных объектов (работы), вузы, школы, хорошие дороги, чистая река. </v>
      </c>
      <c r="O302" s="6" t="str">
        <f>IFERROR(__xludf.DUMMYFUNCTION("""COMPUTED_VALUE"""),"1) Экология; 2) упрятать под землю теплотрассы; 3) сохранить и приумножить лесонасаждения. ")</f>
        <v>1) Экология; 2) упрятать под землю теплотрассы; 3) сохранить и приумножить лесонасаждения. </v>
      </c>
      <c r="P302" s="6" t="str">
        <f>IFERROR(__xludf.DUMMYFUNCTION("""COMPUTED_VALUE"""),"Good Line")</f>
        <v>Good Line</v>
      </c>
      <c r="Q302"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302" s="6" t="str">
        <f>IFERROR(__xludf.DUMMYFUNCTION("""COMPUTED_VALUE"""),"Новый год, День Победы, День Шахтёра")</f>
        <v>Новый год, День Победы, День Шахтёра</v>
      </c>
      <c r="S302" s="6" t="str">
        <f>IFERROR(__xludf.DUMMYFUNCTION("""COMPUTED_VALUE"""),"Нет, не приходилось")</f>
        <v>Нет, не приходилось</v>
      </c>
      <c r="T302" s="6" t="str">
        <f>IFERROR(__xludf.DUMMYFUNCTION("""COMPUTED_VALUE"""),"Он уникален для меня - как моя родина. А так - город как город - не хуже других. ")</f>
        <v>Он уникален для меня - как моя родина. А так - город как город - не хуже других. </v>
      </c>
      <c r="U302" s="6" t="str">
        <f>IFERROR(__xludf.DUMMYFUNCTION("""COMPUTED_VALUE"""),"Площадь Советов. ")</f>
        <v>Площадь Советов. </v>
      </c>
      <c r="V302" s="6" t="str">
        <f>IFERROR(__xludf.DUMMYFUNCTION("""COMPUTED_VALUE"""),"Они участвовали в великой истории СССР, живя в центре одного из главных промышленных комплексов страны. Трудились, воевали, рожали и воспитывали детей.")</f>
        <v>Они участвовали в великой истории СССР, живя в центре одного из главных промышленных комплексов страны. Трудились, воевали, рожали и воспитывали детей.</v>
      </c>
      <c r="W302" s="6" t="str">
        <f>IFERROR(__xludf.DUMMYFUNCTION("""COMPUTED_VALUE"""),"Сильные, весёлые, любящие свой город. ")</f>
        <v>Сильные, весёлые, любящие свой город. </v>
      </c>
      <c r="X302" s="6" t="str">
        <f>IFERROR(__xludf.DUMMYFUNCTION("""COMPUTED_VALUE"""),"Троллейбус № 10. ")</f>
        <v>Троллейбус № 10. </v>
      </c>
      <c r="Y302" s="6" t="str">
        <f>IFERROR(__xludf.DUMMYFUNCTION("""COMPUTED_VALUE"""),"Для меня это научные конференции памяти М. М. Бахтина. ")</f>
        <v>Для меня это научные конференции памяти М. М. Бахтина. </v>
      </c>
      <c r="Z302" s="6" t="str">
        <f>IFERROR(__xludf.DUMMYFUNCTION("""COMPUTED_VALUE"""),"Трудно что-то выделить. ")</f>
        <v>Трудно что-то выделить. </v>
      </c>
      <c r="AA302" s="6" t="str">
        <f>IFERROR(__xludf.DUMMYFUNCTION("""COMPUTED_VALUE"""),"Воздвижение помпезной искусственной новогодней ёлки на площади Советов. ")</f>
        <v>Воздвижение помпезной искусственной новогодней ёлки на площади Советов. </v>
      </c>
      <c r="AB302" s="6" t="str">
        <f>IFERROR(__xludf.DUMMYFUNCTION("""COMPUTED_VALUE"""),"Мало интеллектуальных площадок. Кроме того, хотелось бы больше музыки в городе. ")</f>
        <v>Мало интеллектуальных площадок. Кроме того, хотелось бы больше музыки в городе. </v>
      </c>
      <c r="AC302" s="6" t="str">
        <f>IFERROR(__xludf.DUMMYFUNCTION("""COMPUTED_VALUE"""),"Организация субботников с посадкой деревьев, но в сочетании с культурной программой, скажем - с музыкой оркестра. ")</f>
        <v>Организация субботников с посадкой деревьев, но в сочетании с культурной программой, скажем - с музыкой оркестра. </v>
      </c>
      <c r="AD302" s="6" t="str">
        <f>IFERROR(__xludf.DUMMYFUNCTION("""COMPUTED_VALUE"""),"Я бы мог редактировать любого рода тексты. ")</f>
        <v>Я бы мог редактировать любого рода тексты. </v>
      </c>
      <c r="AE302" s="6" t="str">
        <f>IFERROR(__xludf.DUMMYFUNCTION("""COMPUTED_VALUE"""),"Мужской")</f>
        <v>Мужской</v>
      </c>
      <c r="AF302" s="6" t="str">
        <f>IFERROR(__xludf.DUMMYFUNCTION("""COMPUTED_VALUE"""),"старше 55")</f>
        <v>старше 55</v>
      </c>
      <c r="AG302" s="6"/>
      <c r="AH302" s="6"/>
      <c r="AI302" s="6"/>
      <c r="AJ302" s="6"/>
      <c r="AK302" s="6"/>
      <c r="AL302" s="6"/>
      <c r="AM302" s="6"/>
    </row>
    <row r="303">
      <c r="A303" s="4">
        <v>302.0</v>
      </c>
      <c r="B303" s="6" t="str">
        <f>IFERROR(__xludf.DUMMYFUNCTION("""COMPUTED_VALUE"""),"художник")</f>
        <v>художник</v>
      </c>
      <c r="C303" s="6" t="str">
        <f>IFERROR(__xludf.DUMMYFUNCTION("""COMPUTED_VALUE"""),"рисую, выращиваю цветы")</f>
        <v>рисую, выращиваю цветы</v>
      </c>
      <c r="D303" s="6" t="str">
        <f>IFERROR(__xludf.DUMMYFUNCTION("""COMPUTED_VALUE"""),"Ленинский р-н")</f>
        <v>Ленинский р-н</v>
      </c>
      <c r="E303" s="6" t="str">
        <f>IFERROR(__xludf.DUMMYFUNCTION("""COMPUTED_VALUE"""),"б-р Стрителей")</f>
        <v>б-р Стрителей</v>
      </c>
      <c r="F303" s="6" t="str">
        <f>IFERROR(__xludf.DUMMYFUNCTION("""COMPUTED_VALUE"""),"Живу здесь с рождения")</f>
        <v>Живу здесь с рождения</v>
      </c>
      <c r="G303" s="6" t="str">
        <f>IFERROR(__xludf.DUMMYFUNCTION("""COMPUTED_VALUE"""),"КЦИ, Музей ИЗО ")</f>
        <v>КЦИ, Музей ИЗО </v>
      </c>
      <c r="H303" s="6" t="str">
        <f>IFERROR(__xludf.DUMMYFUNCTION("""COMPUTED_VALUE"""),"провинция, рабочий город, постсоветское пространство, ""хрущевки"" ,спальный район.")</f>
        <v>провинция, рабочий город, постсоветское пространство, "хрущевки" ,спальный район.</v>
      </c>
      <c r="I303" s="6" t="str">
        <f>IFERROR(__xludf.DUMMYFUNCTION("""COMPUTED_VALUE"""),"В.Мартемьянов, В Селиванов, М.Стрижнев, А.Тулеев")</f>
        <v>В.Мартемьянов, В Селиванов, М.Стрижнев, А.Тулеев</v>
      </c>
      <c r="J303" s="6" t="str">
        <f>IFERROR(__xludf.DUMMYFUNCTION("""COMPUTED_VALUE"""),"Л.К. Моисеенко,  В.В. Михайлов")</f>
        <v>Л.К. Моисеенко,  В.В. Михайлов</v>
      </c>
      <c r="K303" s="6" t="str">
        <f>IFERROR(__xludf.DUMMYFUNCTION("""COMPUTED_VALUE"""),"Музей ""Красная горка"" , Кедровый бор, Главпочтамт , набережная Томи, Парк Ангелов")</f>
        <v>Музей "Красная горка" , Кедровый бор, Главпочтамт , набережная Томи, Парк Ангелов</v>
      </c>
      <c r="L303" s="6" t="str">
        <f>IFERROR(__xludf.DUMMYFUNCTION("""COMPUTED_VALUE"""),"Город деревней кормится.  Бог терпел, да и нам велел.  Терпенье и труд все перетрут.")</f>
        <v>Город деревней кормится.  Бог терпел, да и нам велел.  Терпенье и труд все перетрут.</v>
      </c>
      <c r="M303" s="6" t="str">
        <f>IFERROR(__xludf.DUMMYFUNCTION("""COMPUTED_VALUE"""),"Кемерово(а), ")</f>
        <v>Кемерово(а), </v>
      </c>
      <c r="N303" s="6" t="str">
        <f>IFERROR(__xludf.DUMMYFUNCTION("""COMPUTED_VALUE"""),"чистый воздух и вода, зелень, благоустроенный город.")</f>
        <v>чистый воздух и вода, зелень, благоустроенный город.</v>
      </c>
      <c r="O303" s="6" t="str">
        <f>IFERROR(__xludf.DUMMYFUNCTION("""COMPUTED_VALUE"""),"вовремя организовывать вывоз снега, весной очень грязно!")</f>
        <v>вовремя организовывать вывоз снега, весной очень грязно!</v>
      </c>
      <c r="P303" s="6" t="str">
        <f>IFERROR(__xludf.DUMMYFUNCTION("""COMPUTED_VALUE"""),"Фейсбук, Одноклассники")</f>
        <v>Фейсбук, Одноклассники</v>
      </c>
      <c r="Q303"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303" s="6" t="str">
        <f>IFERROR(__xludf.DUMMYFUNCTION("""COMPUTED_VALUE"""),"День города, Новый год, Масленица")</f>
        <v>День города, Новый год, Масленица</v>
      </c>
      <c r="S303"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303" s="6" t="str">
        <f>IFERROR(__xludf.DUMMYFUNCTION("""COMPUTED_VALUE"""),"знаменит своими Индустриальными пейзажами")</f>
        <v>знаменит своими Индустриальными пейзажами</v>
      </c>
      <c r="U303" s="6" t="str">
        <f>IFERROR(__xludf.DUMMYFUNCTION("""COMPUTED_VALUE"""),"главпочтамт")</f>
        <v>главпочтамт</v>
      </c>
      <c r="V303" s="6" t="str">
        <f>IFERROR(__xludf.DUMMYFUNCTION("""COMPUTED_VALUE"""),"озеленяем территорию...")</f>
        <v>озеленяем территорию...</v>
      </c>
      <c r="W303" s="6" t="str">
        <f>IFERROR(__xludf.DUMMYFUNCTION("""COMPUTED_VALUE"""),"скромные, простые, бесхитростные")</f>
        <v>скромные, простые, бесхитростные</v>
      </c>
      <c r="X303" s="6" t="str">
        <f>IFERROR(__xludf.DUMMYFUNCTION("""COMPUTED_VALUE"""),"по ул.Весенней")</f>
        <v>по ул.Весенней</v>
      </c>
      <c r="Y303" s="6" t="str">
        <f>IFERROR(__xludf.DUMMYFUNCTION("""COMPUTED_VALUE"""),"открыт парк Ангелов")</f>
        <v>открыт парк Ангелов</v>
      </c>
      <c r="Z303" s="6" t="str">
        <f>IFERROR(__xludf.DUMMYFUNCTION("""COMPUTED_VALUE"""),"день Города, Салют 9 мая.")</f>
        <v>день Города, Салют 9 мая.</v>
      </c>
      <c r="AA303" s="6" t="str">
        <f>IFERROR(__xludf.DUMMYFUNCTION("""COMPUTED_VALUE"""),"пожар в Зимней вишне")</f>
        <v>пожар в Зимней вишне</v>
      </c>
      <c r="AB303" s="6" t="str">
        <f>IFERROR(__xludf.DUMMYFUNCTION("""COMPUTED_VALUE"""),"общество  эзотериков")</f>
        <v>общество  эзотериков</v>
      </c>
      <c r="AC303" s="6" t="str">
        <f>IFERROR(__xludf.DUMMYFUNCTION("""COMPUTED_VALUE"""),"открыть галерею Современного искусства")</f>
        <v>открыть галерею Современного искусства</v>
      </c>
      <c r="AD303" s="6" t="str">
        <f>IFERROR(__xludf.DUMMYFUNCTION("""COMPUTED_VALUE"""),"разрисовать скамейку в парке, провести МК , провести массовый пленэр для желающих ,например в парке Ангелов.")</f>
        <v>разрисовать скамейку в парке, провести МК , провести массовый пленэр для желающих ,например в парке Ангелов.</v>
      </c>
      <c r="AE303" s="6" t="str">
        <f>IFERROR(__xludf.DUMMYFUNCTION("""COMPUTED_VALUE"""),"Женский")</f>
        <v>Женский</v>
      </c>
      <c r="AF303" s="6" t="str">
        <f>IFERROR(__xludf.DUMMYFUNCTION("""COMPUTED_VALUE"""),"старше 55")</f>
        <v>старше 55</v>
      </c>
      <c r="AG303" s="6"/>
      <c r="AH303" s="6"/>
      <c r="AI303" s="6"/>
      <c r="AJ303" s="6"/>
      <c r="AK303" s="6"/>
      <c r="AL303" s="6"/>
      <c r="AM303" s="6"/>
    </row>
    <row r="304">
      <c r="A304" s="4">
        <v>303.0</v>
      </c>
      <c r="B304" s="6" t="str">
        <f>IFERROR(__xludf.DUMMYFUNCTION("""COMPUTED_VALUE"""),"Менеджер ")</f>
        <v>Менеджер </v>
      </c>
      <c r="C304" s="6" t="str">
        <f>IFERROR(__xludf.DUMMYFUNCTION("""COMPUTED_VALUE"""),"Прогулки по городу ")</f>
        <v>Прогулки по городу </v>
      </c>
      <c r="D304" s="6" t="str">
        <f>IFERROR(__xludf.DUMMYFUNCTION("""COMPUTED_VALUE"""),"Центральный, у юбилейного ")</f>
        <v>Центральный, у юбилейного </v>
      </c>
      <c r="E304" s="6" t="str">
        <f>IFERROR(__xludf.DUMMYFUNCTION("""COMPUTED_VALUE"""),"Парк Веры Волошеной ")</f>
        <v>Парк Веры Волошеной </v>
      </c>
      <c r="F304" s="6" t="str">
        <f>IFERROR(__xludf.DUMMYFUNCTION("""COMPUTED_VALUE"""),"Переехал сюда из другого места (откуда? укажите в графе другое), Из Ленинск-Кузнецкого")</f>
        <v>Переехал сюда из другого места (откуда? укажите в графе другое), Из Ленинск-Кузнецкого</v>
      </c>
      <c r="G304" s="6" t="str">
        <f>IFERROR(__xludf.DUMMYFUNCTION("""COMPUTED_VALUE"""),"Тц, парки, скверы, театр, кафе ")</f>
        <v>Тц, парки, скверы, театр, кафе </v>
      </c>
      <c r="H304" s="6" t="str">
        <f>IFERROR(__xludf.DUMMYFUNCTION("""COMPUTED_VALUE"""),"Будущее, развитие, хорошие люди, к сожалению: грязный воздух и тротуары ")</f>
        <v>Будущее, развитие, хорошие люди, к сожалению: грязный воздух и тротуары </v>
      </c>
      <c r="I304" s="6" t="str">
        <f>IFERROR(__xludf.DUMMYFUNCTION("""COMPUTED_VALUE"""),". ")</f>
        <v>. </v>
      </c>
      <c r="J304" s="6" t="str">
        <f>IFERROR(__xludf.DUMMYFUNCTION("""COMPUTED_VALUE"""),". ")</f>
        <v>. </v>
      </c>
      <c r="K304" s="6" t="str">
        <f>IFERROR(__xludf.DUMMYFUNCTION("""COMPUTED_VALUE"""),"Набережная, Весенюю")</f>
        <v>Набережная, Весенюю</v>
      </c>
      <c r="L304" s="6" t="str">
        <f>IFERROR(__xludf.DUMMYFUNCTION("""COMPUTED_VALUE"""),". ")</f>
        <v>. </v>
      </c>
      <c r="M304" s="6" t="str">
        <f>IFERROR(__xludf.DUMMYFUNCTION("""COMPUTED_VALUE"""),". ")</f>
        <v>. </v>
      </c>
      <c r="N304" s="6" t="str">
        <f>IFERROR(__xludf.DUMMYFUNCTION("""COMPUTED_VALUE"""),"Безопасность, комфорт, доступность, быстрота")</f>
        <v>Безопасность, комфорт, доступность, быстрота</v>
      </c>
      <c r="O304" s="6" t="str">
        <f>IFERROR(__xludf.DUMMYFUNCTION("""COMPUTED_VALUE"""),"Почистить улицы все, асфальтировать дворы и проезжие части, освещение, освежить все фасады зданий и сооружений, вообщем навести порядок в городе, ")</f>
        <v>Почистить улицы все, асфальтировать дворы и проезжие части, освещение, освежить все фасады зданий и сооружений, вообщем навести порядок в городе, </v>
      </c>
      <c r="P304" s="6" t="str">
        <f>IFERROR(__xludf.DUMMYFUNCTION("""COMPUTED_VALUE"""),"Инстограмм ")</f>
        <v>Инстограмм </v>
      </c>
      <c r="Q30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304" s="6" t="str">
        <f>IFERROR(__xludf.DUMMYFUNCTION("""COMPUTED_VALUE"""),"Все ")</f>
        <v>Все </v>
      </c>
      <c r="S304" s="6" t="str">
        <f>IFERROR(__xludf.DUMMYFUNCTION("""COMPUTED_VALUE"""),"Нет, не приходилось")</f>
        <v>Нет, не приходилось</v>
      </c>
      <c r="T304" s="6" t="str">
        <f>IFERROR(__xludf.DUMMYFUNCTION("""COMPUTED_VALUE"""),". ")</f>
        <v>. </v>
      </c>
      <c r="U304" s="6" t="str">
        <f>IFERROR(__xludf.DUMMYFUNCTION("""COMPUTED_VALUE"""),". ")</f>
        <v>. </v>
      </c>
      <c r="V304" s="6" t="str">
        <f>IFERROR(__xludf.DUMMYFUNCTION("""COMPUTED_VALUE"""),". ")</f>
        <v>. </v>
      </c>
      <c r="W304" s="6" t="str">
        <f>IFERROR(__xludf.DUMMYFUNCTION("""COMPUTED_VALUE"""),"Смурные, но в тоже время и готовы помочь ")</f>
        <v>Смурные, но в тоже время и готовы помочь </v>
      </c>
      <c r="X304" s="6" t="str">
        <f>IFERROR(__xludf.DUMMYFUNCTION("""COMPUTED_VALUE"""),"По улице весенней и набережной ")</f>
        <v>По улице весенней и набережной </v>
      </c>
      <c r="Y304" s="6" t="str">
        <f>IFERROR(__xludf.DUMMYFUNCTION("""COMPUTED_VALUE"""),". ")</f>
        <v>. </v>
      </c>
      <c r="Z304" s="6" t="str">
        <f>IFERROR(__xludf.DUMMYFUNCTION("""COMPUTED_VALUE"""),". ")</f>
        <v>. </v>
      </c>
      <c r="AA304" s="6" t="str">
        <f>IFERROR(__xludf.DUMMYFUNCTION("""COMPUTED_VALUE"""),". ")</f>
        <v>. </v>
      </c>
      <c r="AB304" s="6" t="str">
        <f>IFERROR(__xludf.DUMMYFUNCTION("""COMPUTED_VALUE"""),". ")</f>
        <v>. </v>
      </c>
      <c r="AC304" s="6" t="str">
        <f>IFERROR(__xludf.DUMMYFUNCTION("""COMPUTED_VALUE"""),". ")</f>
        <v>. </v>
      </c>
      <c r="AD304" s="6" t="str">
        <f>IFERROR(__xludf.DUMMYFUNCTION("""COMPUTED_VALUE"""),". ")</f>
        <v>. </v>
      </c>
      <c r="AE304" s="6" t="str">
        <f>IFERROR(__xludf.DUMMYFUNCTION("""COMPUTED_VALUE"""),"Женский")</f>
        <v>Женский</v>
      </c>
      <c r="AF304" s="6" t="str">
        <f>IFERROR(__xludf.DUMMYFUNCTION("""COMPUTED_VALUE"""),"18-29")</f>
        <v>18-29</v>
      </c>
      <c r="AG304" s="6"/>
      <c r="AH304" s="6"/>
      <c r="AI304" s="6"/>
      <c r="AJ304" s="6"/>
      <c r="AK304" s="6"/>
      <c r="AL304" s="6"/>
      <c r="AM304" s="6"/>
    </row>
    <row r="305">
      <c r="A305" s="4">
        <v>304.0</v>
      </c>
      <c r="B305" s="6" t="str">
        <f>IFERROR(__xludf.DUMMYFUNCTION("""COMPUTED_VALUE"""),"Студент ")</f>
        <v>Студент </v>
      </c>
      <c r="C305" s="6" t="str">
        <f>IFERROR(__xludf.DUMMYFUNCTION("""COMPUTED_VALUE"""),"Нет")</f>
        <v>Нет</v>
      </c>
      <c r="D305" s="6" t="str">
        <f>IFERROR(__xludf.DUMMYFUNCTION("""COMPUTED_VALUE"""),"Центральный район.")</f>
        <v>Центральный район.</v>
      </c>
      <c r="E305" s="6" t="str">
        <f>IFERROR(__xludf.DUMMYFUNCTION("""COMPUTED_VALUE"""),"Площадь советов, набережная и театр ")</f>
        <v>Площадь советов, набережная и театр </v>
      </c>
      <c r="F305" s="6" t="str">
        <f>IFERROR(__xludf.DUMMYFUNCTION("""COMPUTED_VALUE"""),"Живу здесь с рождения")</f>
        <v>Живу здесь с рождения</v>
      </c>
      <c r="G305" s="6" t="str">
        <f>IFERROR(__xludf.DUMMYFUNCTION("""COMPUTED_VALUE"""),"На набережную ")</f>
        <v>На набережную </v>
      </c>
      <c r="H305" s="6" t="str">
        <f>IFERROR(__xludf.DUMMYFUNCTION("""COMPUTED_VALUE"""),"стройка ухабы Бор  уют спокойствие ")</f>
        <v>стройка ухабы Бор  уют спокойствие </v>
      </c>
      <c r="I305" s="6" t="str">
        <f>IFERROR(__xludf.DUMMYFUNCTION("""COMPUTED_VALUE"""),"Бобров
Волошина Волков двужильный шестаков ")</f>
        <v>Бобров
Волошина Волков двужильный шестаков </v>
      </c>
      <c r="J305" s="6" t="str">
        <f>IFERROR(__xludf.DUMMYFUNCTION("""COMPUTED_VALUE"""),"Гришковец ")</f>
        <v>Гришковец </v>
      </c>
      <c r="K305" s="6" t="str">
        <f>IFERROR(__xludf.DUMMYFUNCTION("""COMPUTED_VALUE"""),"Бор, парк ангелов набережная ")</f>
        <v>Бор, парк ангелов набережная </v>
      </c>
      <c r="L305" s="6" t="str">
        <f>IFERROR(__xludf.DUMMYFUNCTION("""COMPUTED_VALUE"""),"Не могу ответить. Но народ у нас злой и пассивный, не здоровается друг с другом. Это очень грустно, надо что-то делать ")</f>
        <v>Не могу ответить. Но народ у нас злой и пассивный, не здоровается друг с другом. Это очень грустно, надо что-то делать </v>
      </c>
      <c r="M305" s="6" t="str">
        <f>IFERROR(__xludf.DUMMYFUNCTION("""COMPUTED_VALUE"""),"Нет, не думала что такое есть ")</f>
        <v>Нет, не думала что такое есть </v>
      </c>
      <c r="N305" s="6" t="str">
        <f>IFERROR(__xludf.DUMMYFUNCTION("""COMPUTED_VALUE"""),"Маленький уютный и спокойный город, большая озелененная территория. Ухабы и горы выровнять в городе, по возможности ")</f>
        <v>Маленький уютный и спокойный город, большая озелененная территория. Ухабы и горы выровнять в городе, по возможности </v>
      </c>
      <c r="O305" s="6" t="str">
        <f>IFERROR(__xludf.DUMMYFUNCTION("""COMPUTED_VALUE"""),"Больше зелени посадить, постараться соблюдать экологические меры безопасности на предприятиях, выровнять дорожки по возможности, больше парков открытых ")</f>
        <v>Больше зелени посадить, постараться соблюдать экологические меры безопасности на предприятиях, выровнять дорожки по возможности, больше парков открытых </v>
      </c>
      <c r="P305" s="6" t="str">
        <f>IFERROR(__xludf.DUMMYFUNCTION("""COMPUTED_VALUE"""),"От друзей и знакомых ")</f>
        <v>От друзей и знакомых </v>
      </c>
      <c r="Q305" s="6" t="str">
        <f>IFERROR(__xludf.DUMMYFUNCTION("""COMPUTED_VALUE"""),"куда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v>
      </c>
      <c r="R305" s="6" t="str">
        <f>IFERROR(__xludf.DUMMYFUNCTION("""COMPUTED_VALUE"""),"Новый год ")</f>
        <v>Новый год </v>
      </c>
      <c r="S305" s="6" t="str">
        <f>IFERROR(__xludf.DUMMYFUNCTION("""COMPUTED_VALUE"""),"Нет, не приходилось")</f>
        <v>Нет, не приходилось</v>
      </c>
      <c r="T305" s="6" t="str">
        <f>IFERROR(__xludf.DUMMYFUNCTION("""COMPUTED_VALUE"""),"Пожаром ")</f>
        <v>Пожаром </v>
      </c>
      <c r="U305" s="6" t="str">
        <f>IFERROR(__xludf.DUMMYFUNCTION("""COMPUTED_VALUE"""),"Прощать советов ")</f>
        <v>Прощать советов </v>
      </c>
      <c r="V305" s="6" t="str">
        <f>IFERROR(__xludf.DUMMYFUNCTION("""COMPUTED_VALUE"""),"Ничего не сделали и не делают ")</f>
        <v>Ничего не сделали и не делают </v>
      </c>
      <c r="W305" s="6" t="str">
        <f>IFERROR(__xludf.DUMMYFUNCTION("""COMPUTED_VALUE"""),"Хмурые, злые, не здороваются, редко улыбаются. ")</f>
        <v>Хмурые, злые, не здороваются, редко улыбаются. </v>
      </c>
      <c r="X305" s="6" t="str">
        <f>IFERROR(__xludf.DUMMYFUNCTION("""COMPUTED_VALUE"""),"Парк Жукова - филармония- набережная- площадь советов- советский проспект- театр ")</f>
        <v>Парк Жукова - филармония- набережная- площадь советов- советский проспект- театр </v>
      </c>
      <c r="Y305" s="6" t="str">
        <f>IFERROR(__xludf.DUMMYFUNCTION("""COMPUTED_VALUE"""),"Пожар ")</f>
        <v>Пожар </v>
      </c>
      <c r="Z305" s="6" t="str">
        <f>IFERROR(__xludf.DUMMYFUNCTION("""COMPUTED_VALUE"""),"Активное благоустройство территории, позитивная активность ")</f>
        <v>Активное благоустройство территории, позитивная активность </v>
      </c>
      <c r="AA305" s="6" t="str">
        <f>IFERROR(__xludf.DUMMYFUNCTION("""COMPUTED_VALUE"""),"Абсурдные меры карантина")</f>
        <v>Абсурдные меры карантина</v>
      </c>
      <c r="AB305" s="6" t="str">
        <f>IFERROR(__xludf.DUMMYFUNCTION("""COMPUTED_VALUE"""),"Думаю, что сообществ много - Пользы мало ")</f>
        <v>Думаю, что сообществ много - Пользы мало </v>
      </c>
      <c r="AC305" s="6" t="str">
        <f>IFERROR(__xludf.DUMMYFUNCTION("""COMPUTED_VALUE"""),"Мероприятия по позитивному мышлению, обучению даже взрослых этикету и правильному поведению, чтобы не мусорили себе под ноги ")</f>
        <v>Мероприятия по позитивному мышлению, обучению даже взрослых этикету и правильному поведению, чтобы не мусорили себе под ноги </v>
      </c>
      <c r="AD305" s="6" t="str">
        <f>IFERROR(__xludf.DUMMYFUNCTION("""COMPUTED_VALUE"""),"Активного наблюдателя. На самом деле если каждый подойдёт с умом к проблемам и осознанию того, что может начать менять себя в лучшую сторону, наш город сразу станет намного лучше")</f>
        <v>Активного наблюдателя. На самом деле если каждый подойдёт с умом к проблемам и осознанию того, что может начать менять себя в лучшую сторону, наш город сразу станет намного лучше</v>
      </c>
      <c r="AE305" s="6" t="str">
        <f>IFERROR(__xludf.DUMMYFUNCTION("""COMPUTED_VALUE"""),"Женский")</f>
        <v>Женский</v>
      </c>
      <c r="AF305" s="6" t="str">
        <f>IFERROR(__xludf.DUMMYFUNCTION("""COMPUTED_VALUE"""),"18-29")</f>
        <v>18-29</v>
      </c>
      <c r="AG305" s="6"/>
      <c r="AH305" s="6"/>
      <c r="AI305" s="6"/>
      <c r="AJ305" s="6"/>
      <c r="AK305" s="6"/>
      <c r="AL305" s="6"/>
      <c r="AM305" s="6"/>
    </row>
    <row r="306">
      <c r="A306" s="4">
        <v>305.0</v>
      </c>
      <c r="B306" s="6" t="str">
        <f>IFERROR(__xludf.DUMMYFUNCTION("""COMPUTED_VALUE"""),"учитель")</f>
        <v>учитель</v>
      </c>
      <c r="C306" s="6" t="str">
        <f>IFERROR(__xludf.DUMMYFUNCTION("""COMPUTED_VALUE"""),"компьютерные игры")</f>
        <v>компьютерные игры</v>
      </c>
      <c r="D306" s="6" t="str">
        <f>IFERROR(__xludf.DUMMYFUNCTION("""COMPUTED_VALUE"""),"Московский")</f>
        <v>Московский</v>
      </c>
      <c r="E306" s="6" t="str">
        <f>IFERROR(__xludf.DUMMYFUNCTION("""COMPUTED_VALUE"""),"президентское кадетское училище")</f>
        <v>президентское кадетское училище</v>
      </c>
      <c r="F306" s="6" t="str">
        <f>IFERROR(__xludf.DUMMYFUNCTION("""COMPUTED_VALUE"""),"Переехал сюда из другого места (откуда? укажите в графе другое), г. Тайга")</f>
        <v>Переехал сюда из другого места (откуда? укажите в графе другое), г. Тайга</v>
      </c>
      <c r="G306" s="6" t="str">
        <f>IFERROR(__xludf.DUMMYFUNCTION("""COMPUTED_VALUE"""),"нет свободного времени")</f>
        <v>нет свободного времени</v>
      </c>
      <c r="H306" s="6" t="str">
        <f>IFERROR(__xludf.DUMMYFUNCTION("""COMPUTED_VALUE"""),"парк ангелов, часовня, драмтеатр, филармония, библиотека им. Федорова")</f>
        <v>парк ангелов, часовня, драмтеатр, филармония, библиотека им. Федорова</v>
      </c>
      <c r="I306" s="6" t="str">
        <f>IFERROR(__xludf.DUMMYFUNCTION("""COMPUTED_VALUE"""),"М. Волков, С. Рутгерс, В. Волошина, Ю. Двужильный")</f>
        <v>М. Волков, С. Рутгерс, В. Волошина, Ю. Двужильный</v>
      </c>
      <c r="J306" s="6" t="str">
        <f>IFERROR(__xludf.DUMMYFUNCTION("""COMPUTED_VALUE"""),"Гришковец, Жмурко, Леонов, Подгорбунский")</f>
        <v>Гришковец, Жмурко, Леонов, Подгорбунский</v>
      </c>
      <c r="K306" s="6" t="str">
        <f>IFERROR(__xludf.DUMMYFUNCTION("""COMPUTED_VALUE"""),"Парк чудес, парк Ангелов")</f>
        <v>Парк чудес, парк Ангелов</v>
      </c>
      <c r="L306" s="6" t="str">
        <f>IFERROR(__xludf.DUMMYFUNCTION("""COMPUTED_VALUE"""),"затрудняюсь")</f>
        <v>затрудняюсь</v>
      </c>
      <c r="M306" s="6" t="str">
        <f>IFERROR(__xludf.DUMMYFUNCTION("""COMPUTED_VALUE"""),"затрудняюсь")</f>
        <v>затрудняюсь</v>
      </c>
      <c r="N306" s="6" t="str">
        <f>IFERROR(__xludf.DUMMYFUNCTION("""COMPUTED_VALUE"""),"1) Развитая инфраструктура; 2) В шаговой доступности зоны отдыха, торговые центры; 3) Удобное расположение детского сада и школы; 4) Высокая заработная плата; 5) доступное жилье; 6) Возможность развития для ребенка (секции, кружки и т.д) 7) Возможность ра"&amp;"звития для взрослых (клубы по интересам, мастер классы и т.д.)")</f>
        <v>1) Развитая инфраструктура; 2) В шаговой доступности зоны отдыха, торговые центры; 3) Удобное расположение детского сада и школы; 4) Высокая заработная плата; 5) доступное жилье; 6) Возможность развития для ребенка (секции, кружки и т.д) 7) Возможность развития для взрослых (клубы по интересам, мастер классы и т.д.)</v>
      </c>
      <c r="O306" s="6" t="str">
        <f>IFERROR(__xludf.DUMMYFUNCTION("""COMPUTED_VALUE"""),"дороги, облагородить территории школ (освещение, дорожки, площадки и т.д.). Благоустройство дворов ")</f>
        <v>дороги, облагородить территории школ (освещение, дорожки, площадки и т.д.). Благоустройство дворов </v>
      </c>
      <c r="P306" s="6" t="str">
        <f>IFERROR(__xludf.DUMMYFUNCTION("""COMPUTED_VALUE"""),"Instagram")</f>
        <v>Instagram</v>
      </c>
      <c r="Q306" s="6" t="str">
        <f>IFERROR(__xludf.DUMMYFUNCTION("""COMPUTED_VALUE"""),"куда пойти в свободное время, городская афиша (кино/театр/концерты), культурные новинки (что почитать/что послушать),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результаты местных исследований (рейтинги/аналитика/тенденции)</v>
      </c>
      <c r="R306" s="6" t="str">
        <f>IFERROR(__xludf.DUMMYFUNCTION("""COMPUTED_VALUE"""),"день города, 9 мая")</f>
        <v>день города, 9 мая</v>
      </c>
      <c r="S306" s="6" t="str">
        <f>IFERROR(__xludf.DUMMYFUNCTION("""COMPUTED_VALUE"""),"Нет, не приходилось")</f>
        <v>Нет, не приходилось</v>
      </c>
      <c r="T306" s="6" t="str">
        <f>IFERROR(__xludf.DUMMYFUNCTION("""COMPUTED_VALUE"""),"Известен: АИК Кузбасс. Уникален:  томская писаница, красная горка (внимание к главной отрасли - угледобывающей промышленности). ")</f>
        <v>Известен: АИК Кузбасс. Уникален:  томская писаница, красная горка (внимание к главной отрасли - угледобывающей промышленности). </v>
      </c>
      <c r="U306" s="6" t="str">
        <f>IFERROR(__xludf.DUMMYFUNCTION("""COMPUTED_VALUE"""),"Проспект Советский")</f>
        <v>Проспект Советский</v>
      </c>
      <c r="V306" s="6" t="str">
        <f>IFERROR(__xludf.DUMMYFUNCTION("""COMPUTED_VALUE"""),"внесли вклад в победу над Германией, вклад в развитие угледобывающей промышленности, в медицине")</f>
        <v>внесли вклад в победу над Германией, вклад в развитие угледобывающей промышленности, в медицине</v>
      </c>
      <c r="W306" s="6" t="str">
        <f>IFERROR(__xludf.DUMMYFUNCTION("""COMPUTED_VALUE"""),"надежные")</f>
        <v>надежные</v>
      </c>
      <c r="X306" s="6" t="str">
        <f>IFERROR(__xludf.DUMMYFUNCTION("""COMPUTED_VALUE"""),"Советский, ул. Весенняя")</f>
        <v>Советский, ул. Весенняя</v>
      </c>
      <c r="Y306" s="6" t="str">
        <f>IFERROR(__xludf.DUMMYFUNCTION("""COMPUTED_VALUE"""),"рок-концерт ""Звезды мирового рока""")</f>
        <v>рок-концерт "Звезды мирового рока"</v>
      </c>
      <c r="Z306" s="6" t="str">
        <f>IFERROR(__xludf.DUMMYFUNCTION("""COMPUTED_VALUE"""),"рок-концерт ""Звезды мирового рока""")</f>
        <v>рок-концерт "Звезды мирового рока"</v>
      </c>
      <c r="AA306" s="6" t="str">
        <f>IFERROR(__xludf.DUMMYFUNCTION("""COMPUTED_VALUE"""),"Зимняя Вишня")</f>
        <v>Зимняя Вишня</v>
      </c>
      <c r="AB306" s="6" t="str">
        <f>IFERROR(__xludf.DUMMYFUNCTION("""COMPUTED_VALUE"""),"затрудняюсь")</f>
        <v>затрудняюсь</v>
      </c>
      <c r="AC306" s="6" t="str">
        <f>IFERROR(__xludf.DUMMYFUNCTION("""COMPUTED_VALUE"""),"больше рок концертов, фестивалей на открытом воздухе")</f>
        <v>больше рок концертов, фестивалей на открытом воздухе</v>
      </c>
      <c r="AD306" s="6" t="str">
        <f>IFERROR(__xludf.DUMMYFUNCTION("""COMPUTED_VALUE"""),"затрудняюсь")</f>
        <v>затрудняюсь</v>
      </c>
      <c r="AE306" s="6" t="str">
        <f>IFERROR(__xludf.DUMMYFUNCTION("""COMPUTED_VALUE"""),"Женский")</f>
        <v>Женский</v>
      </c>
      <c r="AF306" s="6" t="str">
        <f>IFERROR(__xludf.DUMMYFUNCTION("""COMPUTED_VALUE"""),"18-29")</f>
        <v>18-29</v>
      </c>
      <c r="AG306" s="6"/>
      <c r="AH306" s="6"/>
      <c r="AI306" s="6"/>
      <c r="AJ306" s="6"/>
      <c r="AK306" s="6"/>
      <c r="AL306" s="6"/>
      <c r="AM306" s="6"/>
    </row>
    <row r="307">
      <c r="A307" s="4">
        <v>306.0</v>
      </c>
      <c r="B307" s="6" t="str">
        <f>IFERROR(__xludf.DUMMYFUNCTION("""COMPUTED_VALUE"""),"Клининговые услуги")</f>
        <v>Клининговые услуги</v>
      </c>
      <c r="C307" s="6" t="str">
        <f>IFERROR(__xludf.DUMMYFUNCTION("""COMPUTED_VALUE"""),"Нет")</f>
        <v>Нет</v>
      </c>
      <c r="D307" s="6" t="str">
        <f>IFERROR(__xludf.DUMMYFUNCTION("""COMPUTED_VALUE"""),"Южный")</f>
        <v>Южный</v>
      </c>
      <c r="E307" s="6" t="str">
        <f>IFERROR(__xludf.DUMMYFUNCTION("""COMPUTED_VALUE"""),"Никаких")</f>
        <v>Никаких</v>
      </c>
      <c r="F307" s="6" t="str">
        <f>IFERROR(__xludf.DUMMYFUNCTION("""COMPUTED_VALUE"""),"Переехал сюда из другого места (откуда? укажите в графе другое), Тяжинский")</f>
        <v>Переехал сюда из другого места (откуда? укажите в графе другое), Тяжинский</v>
      </c>
      <c r="G307" s="6" t="str">
        <f>IFERROR(__xludf.DUMMYFUNCTION("""COMPUTED_VALUE"""),"СРК Арена на волейбол")</f>
        <v>СРК Арена на волейбол</v>
      </c>
      <c r="H307" s="6" t="str">
        <f>IFERROR(__xludf.DUMMYFUNCTION("""COMPUTED_VALUE"""),"Уголь,  загрязненность, Тулеев, Зимняя вишня, Лапландия")</f>
        <v>Уголь,  загрязненность, Тулеев, Зимняя вишня, Лапландия</v>
      </c>
      <c r="I307" s="6" t="str">
        <f>IFERROR(__xludf.DUMMYFUNCTION("""COMPUTED_VALUE"""),"Тулеев, Леонов, Масалов")</f>
        <v>Тулеев, Леонов, Масалов</v>
      </c>
      <c r="J307" s="6" t="str">
        <f>IFERROR(__xludf.DUMMYFUNCTION("""COMPUTED_VALUE"""),"Тулеев, Василий Бочкарев, Федяев")</f>
        <v>Тулеев, Василий Бочкарев, Федяев</v>
      </c>
      <c r="K307" s="6" t="str">
        <f>IFERROR(__xludf.DUMMYFUNCTION("""COMPUTED_VALUE"""),"Красная горка")</f>
        <v>Красная горка</v>
      </c>
      <c r="L307" s="6" t="str">
        <f>IFERROR(__xludf.DUMMYFUNCTION("""COMPUTED_VALUE"""),"Мал клоп, да вонюч")</f>
        <v>Мал клоп, да вонюч</v>
      </c>
      <c r="M307" s="6" t="str">
        <f>IFERROR(__xludf.DUMMYFUNCTION("""COMPUTED_VALUE"""),"Нет")</f>
        <v>Нет</v>
      </c>
      <c r="N307" s="6" t="str">
        <f>IFERROR(__xludf.DUMMYFUNCTION("""COMPUTED_VALUE"""),"Озеленение, хорошие дороги, чистый воздух, доступная медицина, работа с достойной зарплатой")</f>
        <v>Озеленение, хорошие дороги, чистый воздух, доступная медицина, работа с достойной зарплатой</v>
      </c>
      <c r="O307" s="6" t="str">
        <f>IFERROR(__xludf.DUMMYFUNCTION("""COMPUTED_VALUE"""),"Дороги и тротуары")</f>
        <v>Дороги и тротуары</v>
      </c>
      <c r="P307" s="6" t="str">
        <f>IFERROR(__xludf.DUMMYFUNCTION("""COMPUTED_VALUE"""),"Инстаграмм")</f>
        <v>Инстаграмм</v>
      </c>
      <c r="Q307" s="6" t="str">
        <f>IFERROR(__xludf.DUMMYFUNCTION("""COMPUTED_VALUE"""),"куда пойти в свободное время, культурные новинки (что почитать/что послушать), бизнес-новости (средний чек/рекламные акции/запуск новых предприятий)")</f>
        <v>куда пойти в свободное время, культурные новинки (что почитать/что послушать), бизнес-новости (средний чек/рекламные акции/запуск новых предприятий)</v>
      </c>
      <c r="R307" s="6" t="str">
        <f>IFERROR(__xludf.DUMMYFUNCTION("""COMPUTED_VALUE"""),"Нет")</f>
        <v>Нет</v>
      </c>
      <c r="S307" s="6" t="str">
        <f>IFERROR(__xludf.DUMMYFUNCTION("""COMPUTED_VALUE"""),"Нет, не приходилось")</f>
        <v>Нет, не приходилось</v>
      </c>
      <c r="T307" s="6" t="str">
        <f>IFERROR(__xludf.DUMMYFUNCTION("""COMPUTED_VALUE"""),"Уголь и Зимняя вишня")</f>
        <v>Уголь и Зимняя вишня</v>
      </c>
      <c r="U307" s="6" t="str">
        <f>IFERROR(__xludf.DUMMYFUNCTION("""COMPUTED_VALUE"""),"Набережная")</f>
        <v>Набережная</v>
      </c>
      <c r="V307" s="6" t="str">
        <f>IFERROR(__xludf.DUMMYFUNCTION("""COMPUTED_VALUE"""),"Не могу ответить")</f>
        <v>Не могу ответить</v>
      </c>
      <c r="W307" s="6" t="str">
        <f>IFERROR(__xludf.DUMMYFUNCTION("""COMPUTED_VALUE"""),"Суровые сибиряки)")</f>
        <v>Суровые сибиряки)</v>
      </c>
      <c r="X307" s="6" t="str">
        <f>IFERROR(__xludf.DUMMYFUNCTION("""COMPUTED_VALUE"""),"Нет такого..")</f>
        <v>Нет такого..</v>
      </c>
      <c r="Y307" s="6" t="str">
        <f>IFERROR(__xludf.DUMMYFUNCTION("""COMPUTED_VALUE"""),"Не знаю")</f>
        <v>Не знаю</v>
      </c>
      <c r="Z307" s="6" t="str">
        <f>IFERROR(__xludf.DUMMYFUNCTION("""COMPUTED_VALUE"""),"Строительство новых объектов")</f>
        <v>Строительство новых объектов</v>
      </c>
      <c r="AA307" s="6" t="str">
        <f>IFERROR(__xludf.DUMMYFUNCTION("""COMPUTED_VALUE"""),"Зимняя вишня")</f>
        <v>Зимняя вишня</v>
      </c>
      <c r="AB307" s="6" t="str">
        <f>IFERROR(__xludf.DUMMYFUNCTION("""COMPUTED_VALUE"""),"Сложно сказать")</f>
        <v>Сложно сказать</v>
      </c>
      <c r="AC307" s="6" t="str">
        <f>IFERROR(__xludf.DUMMYFUNCTION("""COMPUTED_VALUE"""),"Спортивные мероприятия, открытые концерты ")</f>
        <v>Спортивные мероприятия, открытые концерты </v>
      </c>
      <c r="AD307" s="6" t="str">
        <f>IFERROR(__xludf.DUMMYFUNCTION("""COMPUTED_VALUE"""),"Не знаю")</f>
        <v>Не знаю</v>
      </c>
      <c r="AE307" s="6" t="str">
        <f>IFERROR(__xludf.DUMMYFUNCTION("""COMPUTED_VALUE"""),"Мужской")</f>
        <v>Мужской</v>
      </c>
      <c r="AF307" s="6" t="str">
        <f>IFERROR(__xludf.DUMMYFUNCTION("""COMPUTED_VALUE"""),"30-44")</f>
        <v>30-44</v>
      </c>
      <c r="AG307" s="6"/>
      <c r="AH307" s="6"/>
      <c r="AI307" s="6"/>
      <c r="AJ307" s="6"/>
      <c r="AK307" s="6"/>
      <c r="AL307" s="6"/>
      <c r="AM307" s="6"/>
    </row>
    <row r="308">
      <c r="A308" s="4">
        <v>307.0</v>
      </c>
      <c r="B308" s="6" t="str">
        <f>IFERROR(__xludf.DUMMYFUNCTION("""COMPUTED_VALUE"""),"Безопасность")</f>
        <v>Безопасность</v>
      </c>
      <c r="C308" s="6" t="str">
        <f>IFERROR(__xludf.DUMMYFUNCTION("""COMPUTED_VALUE"""),"Аналитика, Кибер Спорт.")</f>
        <v>Аналитика, Кибер Спорт.</v>
      </c>
      <c r="D308" s="6" t="str">
        <f>IFERROR(__xludf.DUMMYFUNCTION("""COMPUTED_VALUE"""),"Центральный")</f>
        <v>Центральный</v>
      </c>
      <c r="E308" s="6" t="str">
        <f>IFERROR(__xludf.DUMMYFUNCTION("""COMPUTED_VALUE"""),"Ул. Весенняя, от ул. Наградская до ул. Красноармейская")</f>
        <v>Ул. Весенняя, от ул. Наградская до ул. Красноармейская</v>
      </c>
      <c r="F308" s="6" t="str">
        <f>IFERROR(__xludf.DUMMYFUNCTION("""COMPUTED_VALUE"""),"Живу здесь с рождения")</f>
        <v>Живу здесь с рождения</v>
      </c>
      <c r="G308" s="6" t="str">
        <f>IFERROR(__xludf.DUMMYFUNCTION("""COMPUTED_VALUE"""),"Дальше соседней лавочки, ходить некуда...")</f>
        <v>Дальше соседней лавочки, ходить некуда...</v>
      </c>
      <c r="H308" s="6" t="str">
        <f>IFERROR(__xludf.DUMMYFUNCTION("""COMPUTED_VALUE"""),"Помойка, Быдло, Показуха, Маленькая родина.")</f>
        <v>Помойка, Быдло, Показуха, Маленькая родина.</v>
      </c>
      <c r="I308" s="6" t="str">
        <f>IFERROR(__xludf.DUMMYFUNCTION("""COMPUTED_VALUE"""),"Волков Михаил и Витухин Юрий Александрович")</f>
        <v>Волков Михаил и Витухин Юрий Александрович</v>
      </c>
      <c r="J308" s="6" t="str">
        <f>IFERROR(__xludf.DUMMYFUNCTION("""COMPUTED_VALUE"""),"Нет таких")</f>
        <v>Нет таких</v>
      </c>
      <c r="K308" s="6" t="str">
        <f>IFERROR(__xludf.DUMMYFUNCTION("""COMPUTED_VALUE"""),"Лучше за город свозил бы на природу...")</f>
        <v>Лучше за город свозил бы на природу...</v>
      </c>
      <c r="L308" s="6" t="str">
        <f>IFERROR(__xludf.DUMMYFUNCTION("""COMPUTED_VALUE"""),"Своя земля и в горсти мила. Аквариум - человек из Кемерово, песня.")</f>
        <v>Своя земля и в горсти мила. Аквариум - человек из Кемерово, песня.</v>
      </c>
      <c r="M308" s="6" t="str">
        <f>IFERROR(__xludf.DUMMYFUNCTION("""COMPUTED_VALUE"""),"2 листа - 200 рублей, старое выражение, возможно мало кому известно.")</f>
        <v>2 листа - 200 рублей, старое выражение, возможно мало кому известно.</v>
      </c>
      <c r="N308" s="6" t="str">
        <f>IFERROR(__xludf.DUMMYFUNCTION("""COMPUTED_VALUE"""),"Мечтаю выплатить ипотеку и свалить с семьёй от сюда.")</f>
        <v>Мечтаю выплатить ипотеку и свалить с семьёй от сюда.</v>
      </c>
      <c r="O308" s="6" t="str">
        <f>IFERROR(__xludf.DUMMYFUNCTION("""COMPUTED_VALUE"""),"Мнение людей всегда расходятся с техническими требованиями, сдравым смысло, да и вообще с чем то осмысленным или обдуманным. Фактически вы собираете информацию у самого настоящего быдла...")</f>
        <v>Мнение людей всегда расходятся с техническими требованиями, сдравым смысло, да и вообще с чем то осмысленным или обдуманным. Фактически вы собираете информацию у самого настоящего быдла...</v>
      </c>
      <c r="P308" s="6" t="str">
        <f>IFERROR(__xludf.DUMMYFUNCTION("""COMPUTED_VALUE"""),"Не мониторю, ничего интересного город не предлагает.")</f>
        <v>Не мониторю, ничего интересного город не предлагает.</v>
      </c>
      <c r="Q308" s="6" t="str">
        <f>IFERROR(__xludf.DUMMYFUNCTION("""COMPUTED_VALUE"""),"интервью с местными политиками, криминальные новости (происшествия/преступления), результаты местных исследований (рейтинги/аналитика/тенденции)")</f>
        <v>интервью с местными политиками, криминальные новости (происшествия/преступления), результаты местных исследований (рейтинги/аналитика/тенденции)</v>
      </c>
      <c r="R308" s="6" t="str">
        <f>IFERROR(__xludf.DUMMYFUNCTION("""COMPUTED_VALUE"""),"Очень давно, на день молодежи и день города проводили мероприятия в парке Жукова, связанные с самыми популярными суб движениями, такими как граффити, современные танцы, концерт с современной молодёжной музыкой, скейты, бмикс, ролики и пр.. Ещё помню време"&amp;"на, когда проводили концерты в ночных клубах, куда приглошали местных реп, Хип хоп, рнб исполнителей и пр.")</f>
        <v>Очень давно, на день молодежи и день города проводили мероприятия в парке Жукова, связанные с самыми популярными суб движениями, такими как граффити, современные танцы, концерт с современной молодёжной музыкой, скейты, бмикс, ролики и пр.. Ещё помню времена, когда проводили концерты в ночных клубах, куда приглошали местных реп, Хип хоп, рнб исполнителей и пр.</v>
      </c>
      <c r="S308" s="6" t="str">
        <f>IFERROR(__xludf.DUMMYFUNCTION("""COMPUTED_VALUE"""),"Нет, не приходилось")</f>
        <v>Нет, не приходилось</v>
      </c>
      <c r="T308" s="6" t="str">
        <f>IFERROR(__xludf.DUMMYFUNCTION("""COMPUTED_VALUE"""),"Когда я знакомлюсь с новыми людьми, многие или не знают ничего о Кемерово или говорят, что наш город через чур криминальный.")</f>
        <v>Когда я знакомлюсь с новыми людьми, многие или не знают ничего о Кемерово или говорят, что наш город через чур криминальный.</v>
      </c>
      <c r="U308" s="6" t="str">
        <f>IFERROR(__xludf.DUMMYFUNCTION("""COMPUTED_VALUE"""),"Раньше центром города была швейная фабрика.  Когда я был молодой, все говорили, - Весенька и понимали друг друга.")</f>
        <v>Раньше центром города была швейная фабрика.  Когда я был молодой, все говорили, - Весенька и понимали друг друга.</v>
      </c>
      <c r="V308" s="6" t="str">
        <f>IFERROR(__xludf.DUMMYFUNCTION("""COMPUTED_VALUE"""),"Добыли уголь, Родили Бэнди.")</f>
        <v>Добыли уголь, Родили Бэнди.</v>
      </c>
      <c r="W308" s="6" t="str">
        <f>IFERROR(__xludf.DUMMYFUNCTION("""COMPUTED_VALUE"""),"Стадо, быдло. Мало очень разумных людей.")</f>
        <v>Стадо, быдло. Мало очень разумных людей.</v>
      </c>
      <c r="X308" s="6" t="str">
        <f>IFERROR(__xludf.DUMMYFUNCTION("""COMPUTED_VALUE"""),"Рудничный бор, показать человеку, как выглядит город со стороны...")</f>
        <v>Рудничный бор, показать человеку, как выглядит город со стороны...</v>
      </c>
      <c r="Y308" s="6" t="str">
        <f>IFERROR(__xludf.DUMMYFUNCTION("""COMPUTED_VALUE"""),"2008 году вроде, большое мероприятие было на день молодежи, самый большой пулл молодежных суб культур, без всяких хоров и пр дерьма.")</f>
        <v>2008 году вроде, большое мероприятие было на день молодежи, самый большой пулл молодежных суб культур, без всяких хоров и пр дерьма.</v>
      </c>
      <c r="Z308" s="6" t="str">
        <f>IFERROR(__xludf.DUMMYFUNCTION("""COMPUTED_VALUE"""),"Никакие")</f>
        <v>Никакие</v>
      </c>
      <c r="AA308" s="6" t="str">
        <f>IFERROR(__xludf.DUMMYFUNCTION("""COMPUTED_VALUE"""),"Ничего не обычного не происходило, все как всегда...")</f>
        <v>Ничего не обычного не происходило, все как всегда...</v>
      </c>
      <c r="AB308" s="6" t="str">
        <f>IFERROR(__xludf.DUMMYFUNCTION("""COMPUTED_VALUE"""),"Не понятный вопрос")</f>
        <v>Не понятный вопрос</v>
      </c>
      <c r="AC308" s="6" t="str">
        <f>IFERROR(__xludf.DUMMYFUNCTION("""COMPUTED_VALUE"""),"Все выше уже озвучил")</f>
        <v>Все выше уже озвучил</v>
      </c>
      <c r="AD308" s="6" t="str">
        <f>IFERROR(__xludf.DUMMYFUNCTION("""COMPUTED_VALUE"""),"Аналитика")</f>
        <v>Аналитика</v>
      </c>
      <c r="AE308" s="6" t="str">
        <f>IFERROR(__xludf.DUMMYFUNCTION("""COMPUTED_VALUE"""),"Мужской")</f>
        <v>Мужской</v>
      </c>
      <c r="AF308" s="6" t="str">
        <f>IFERROR(__xludf.DUMMYFUNCTION("""COMPUTED_VALUE"""),"30-44")</f>
        <v>30-44</v>
      </c>
      <c r="AG308" s="6"/>
      <c r="AH308" s="6"/>
      <c r="AI308" s="6"/>
      <c r="AJ308" s="6"/>
      <c r="AK308" s="6"/>
      <c r="AL308" s="6"/>
      <c r="AM308" s="6"/>
    </row>
    <row r="309">
      <c r="A309" s="4">
        <v>308.0</v>
      </c>
      <c r="B309" s="6" t="str">
        <f>IFERROR(__xludf.DUMMYFUNCTION("""COMPUTED_VALUE"""),"Дизайном интерьеров ")</f>
        <v>Дизайном интерьеров </v>
      </c>
      <c r="C309" s="6" t="str">
        <f>IFERROR(__xludf.DUMMYFUNCTION("""COMPUTED_VALUE"""),"Работа")</f>
        <v>Работа</v>
      </c>
      <c r="D309" s="6" t="str">
        <f>IFERROR(__xludf.DUMMYFUNCTION("""COMPUTED_VALUE"""),"Центральный")</f>
        <v>Центральный</v>
      </c>
      <c r="E309" s="6" t="str">
        <f>IFERROR(__xludf.DUMMYFUNCTION("""COMPUTED_VALUE"""),"Комсомольский парк")</f>
        <v>Комсомольский парк</v>
      </c>
      <c r="F309" s="6" t="str">
        <f>IFERROR(__xludf.DUMMYFUNCTION("""COMPUTED_VALUE"""),"Живу здесь с рождения")</f>
        <v>Живу здесь с рождения</v>
      </c>
      <c r="G309" s="6" t="str">
        <f>IFERROR(__xludf.DUMMYFUNCTION("""COMPUTED_VALUE"""),"На работу")</f>
        <v>На работу</v>
      </c>
      <c r="H309" s="6" t="str">
        <f>IFERROR(__xludf.DUMMYFUNCTION("""COMPUTED_VALUE"""),"Красная Горка, улица Весенняя, Комсомольский парк, Набережная")</f>
        <v>Красная Горка, улица Весенняя, Комсомольский парк, Набережная</v>
      </c>
      <c r="I309" s="6" t="str">
        <f>IFERROR(__xludf.DUMMYFUNCTION("""COMPUTED_VALUE"""),"Подгорбунский.  Волошина.  Леонов.")</f>
        <v>Подгорбунский.  Волошина.  Леонов.</v>
      </c>
      <c r="J309" s="6" t="str">
        <f>IFERROR(__xludf.DUMMYFUNCTION("""COMPUTED_VALUE"""),"См. П.8")</f>
        <v>См. П.8</v>
      </c>
      <c r="K309" s="6" t="str">
        <f>IFERROR(__xludf.DUMMYFUNCTION("""COMPUTED_VALUE"""),"См. П 7")</f>
        <v>См. П 7</v>
      </c>
      <c r="L309" s="6" t="str">
        <f>IFERROR(__xludf.DUMMYFUNCTION("""COMPUTED_VALUE"""),"Нет")</f>
        <v>Нет</v>
      </c>
      <c r="M309" s="6" t="str">
        <f>IFERROR(__xludf.DUMMYFUNCTION("""COMPUTED_VALUE"""),"Знаю только, что раньше отличались горожане правильным «дикторским» произношением.")</f>
        <v>Знаю только, что раньше отличались горожане правильным «дикторским» произношением.</v>
      </c>
      <c r="N309" s="6" t="str">
        <f>IFERROR(__xludf.DUMMYFUNCTION("""COMPUTED_VALUE"""),"Компактность, провинциальность, чистота, воспитанность и дружелюбие горожан")</f>
        <v>Компактность, провинциальность, чистота, воспитанность и дружелюбие горожан</v>
      </c>
      <c r="O309" s="6" t="str">
        <f>IFERROR(__xludf.DUMMYFUNCTION("""COMPUTED_VALUE"""),"Чистоту воздуха. Сменить на прозрачный.")</f>
        <v>Чистоту воздуха. Сменить на прозрачный.</v>
      </c>
      <c r="P309" s="6" t="str">
        <f>IFERROR(__xludf.DUMMYFUNCTION("""COMPUTED_VALUE"""),"Интернет")</f>
        <v>Интернет</v>
      </c>
      <c r="Q309" s="6" t="str">
        <f>IFERROR(__xludf.DUMMYFUNCTION("""COMPUTED_VALUE"""),"интервью с местными творческими личностями")</f>
        <v>интервью с местными творческими личностями</v>
      </c>
      <c r="R309" s="6" t="str">
        <f>IFERROR(__xludf.DUMMYFUNCTION("""COMPUTED_VALUE"""),"9 мая")</f>
        <v>9 мая</v>
      </c>
      <c r="S309" s="6" t="str">
        <f>IFERROR(__xludf.DUMMYFUNCTION("""COMPUTED_VALUE"""),"Нет, не приходилось")</f>
        <v>Нет, не приходилось</v>
      </c>
      <c r="T309" s="6" t="str">
        <f>IFERROR(__xludf.DUMMYFUNCTION("""COMPUTED_VALUE"""),"История коммуны ")</f>
        <v>История коммуны </v>
      </c>
      <c r="U309" s="6" t="str">
        <f>IFERROR(__xludf.DUMMYFUNCTION("""COMPUTED_VALUE"""),"Весенняя")</f>
        <v>Весенняя</v>
      </c>
      <c r="V309" s="6" t="str">
        <f>IFERROR(__xludf.DUMMYFUNCTION("""COMPUTED_VALUE"""),"Любили Родину большую и малую")</f>
        <v>Любили Родину большую и малую</v>
      </c>
      <c r="W309" s="6" t="str">
        <f>IFERROR(__xludf.DUMMYFUNCTION("""COMPUTED_VALUE"""),"Добрые, коммуникабельные, отзывчивые")</f>
        <v>Добрые, коммуникабельные, отзывчивые</v>
      </c>
      <c r="X309" s="6" t="str">
        <f>IFERROR(__xludf.DUMMYFUNCTION("""COMPUTED_VALUE"""),"Любой")</f>
        <v>Любой</v>
      </c>
      <c r="Y309" s="6" t="str">
        <f>IFERROR(__xludf.DUMMYFUNCTION("""COMPUTED_VALUE"""),"ВОВ, изменившая наш Город")</f>
        <v>ВОВ, изменившая наш Город</v>
      </c>
      <c r="Z309" s="6" t="str">
        <f>IFERROR(__xludf.DUMMYFUNCTION("""COMPUTED_VALUE"""),"-")</f>
        <v>-</v>
      </c>
      <c r="AA309" s="6" t="str">
        <f>IFERROR(__xludf.DUMMYFUNCTION("""COMPUTED_VALUE"""),"Плохого не запоминаю")</f>
        <v>Плохого не запоминаю</v>
      </c>
      <c r="AB309" s="6" t="str">
        <f>IFERROR(__xludf.DUMMYFUNCTION("""COMPUTED_VALUE"""),"Всего хватает")</f>
        <v>Всего хватает</v>
      </c>
      <c r="AC309" s="6" t="str">
        <f>IFERROR(__xludf.DUMMYFUNCTION("""COMPUTED_VALUE"""),"Не шумные")</f>
        <v>Не шумные</v>
      </c>
      <c r="AD309" s="6" t="str">
        <f>IFERROR(__xludf.DUMMYFUNCTION("""COMPUTED_VALUE"""),"В любой, полезной моему Городу")</f>
        <v>В любой, полезной моему Городу</v>
      </c>
      <c r="AE309" s="6" t="str">
        <f>IFERROR(__xludf.DUMMYFUNCTION("""COMPUTED_VALUE"""),"Женский")</f>
        <v>Женский</v>
      </c>
      <c r="AF309" s="6" t="str">
        <f>IFERROR(__xludf.DUMMYFUNCTION("""COMPUTED_VALUE"""),"45-55")</f>
        <v>45-55</v>
      </c>
      <c r="AG309" s="6"/>
      <c r="AH309" s="6"/>
      <c r="AI309" s="6"/>
      <c r="AJ309" s="6"/>
      <c r="AK309" s="6"/>
      <c r="AL309" s="6"/>
      <c r="AM309" s="6"/>
    </row>
    <row r="310">
      <c r="A310" s="4">
        <v>309.0</v>
      </c>
      <c r="B310" s="6" t="str">
        <f>IFERROR(__xludf.DUMMYFUNCTION("""COMPUTED_VALUE"""),"инвалид")</f>
        <v>инвалид</v>
      </c>
      <c r="C310" s="6" t="str">
        <f>IFERROR(__xludf.DUMMYFUNCTION("""COMPUTED_VALUE"""),"нет")</f>
        <v>нет</v>
      </c>
      <c r="D310" s="6" t="str">
        <f>IFERROR(__xludf.DUMMYFUNCTION("""COMPUTED_VALUE"""),"центральный")</f>
        <v>центральный</v>
      </c>
      <c r="E310" s="6" t="str">
        <f>IFERROR(__xludf.DUMMYFUNCTION("""COMPUTED_VALUE"""),"нравится многое")</f>
        <v>нравится многое</v>
      </c>
      <c r="F310" s="6" t="str">
        <f>IFERROR(__xludf.DUMMYFUNCTION("""COMPUTED_VALUE"""),"Живу здесь с рождения")</f>
        <v>Живу здесь с рождения</v>
      </c>
      <c r="G310" s="6" t="str">
        <f>IFERROR(__xludf.DUMMYFUNCTION("""COMPUTED_VALUE"""),"лежачий")</f>
        <v>лежачий</v>
      </c>
      <c r="H310" s="6" t="str">
        <f>IFERROR(__xludf.DUMMYFUNCTION("""COMPUTED_VALUE"""),"благодарю людей, которые помогают жить в нём")</f>
        <v>благодарю людей, которые помогают жить в нём</v>
      </c>
      <c r="I310" s="6" t="str">
        <f>IFERROR(__xludf.DUMMYFUNCTION("""COMPUTED_VALUE"""),"Волков ( фамилия, имен не знаю (к моему стыду)  )")</f>
        <v>Волков ( фамилия, имен не знаю (к моему стыду)  )</v>
      </c>
      <c r="J310" s="6" t="str">
        <f>IFERROR(__xludf.DUMMYFUNCTION("""COMPUTED_VALUE"""),"честные труженики")</f>
        <v>честные труженики</v>
      </c>
      <c r="K310" s="6" t="str">
        <f>IFERROR(__xludf.DUMMYFUNCTION("""COMPUTED_VALUE"""),"не знаю")</f>
        <v>не знаю</v>
      </c>
      <c r="L310" s="6" t="str">
        <f>IFERROR(__xludf.DUMMYFUNCTION("""COMPUTED_VALUE"""),"-")</f>
        <v>-</v>
      </c>
      <c r="M310" s="6" t="str">
        <f>IFERROR(__xludf.DUMMYFUNCTION("""COMPUTED_VALUE"""),"-")</f>
        <v>-</v>
      </c>
      <c r="N310" s="6" t="str">
        <f>IFERROR(__xludf.DUMMYFUNCTION("""COMPUTED_VALUE"""),"добрые люди, радующий вид для глаз, забота всех о местах своего пребывания (чистота, возможное участие в устранении недостатков, внимательность и к людям), удобство для пожилых, инвалидов, для всех (чтобы каждый, если способен, чувствовал заботу и имел от"&amp;"ветное желание помочь, чувствовал, что это его город)")</f>
        <v>добрые люди, радующий вид для глаз, забота всех о местах своего пребывания (чистота, возможное участие в устранении недостатков, внимательность и к людям), удобство для пожилых, инвалидов, для всех (чтобы каждый, если способен, чувствовал заботу и имел ответное желание помочь, чувствовал, что это его город)</v>
      </c>
      <c r="O310" s="6" t="str">
        <f>IFERROR(__xludf.DUMMYFUNCTION("""COMPUTED_VALUE"""),"не знаю")</f>
        <v>не знаю</v>
      </c>
      <c r="P310" s="6" t="str">
        <f>IFERROR(__xludf.DUMMYFUNCTION("""COMPUTED_VALUE"""),"тв новости кузбасса")</f>
        <v>тв новости кузбасса</v>
      </c>
      <c r="Q310" s="6" t="str">
        <f>IFERROR(__xludf.DUMMYFUNCTION("""COMPUTED_VALUE"""),"культурные новинки (что почитать/что послушать), новости про новые профессии/куда поступать/вакансии, новые достижения в местной медицине, промышленности, в жизни")</f>
        <v>культурные новинки (что почитать/что послушать), новости про новые профессии/куда поступать/вакансии, новые достижения в местной медицине, промышленности, в жизни</v>
      </c>
      <c r="R310" s="6" t="str">
        <f>IFERROR(__xludf.DUMMYFUNCTION("""COMPUTED_VALUE"""),"не знаю")</f>
        <v>не знаю</v>
      </c>
      <c r="S310" s="6" t="str">
        <f>IFERROR(__xludf.DUMMYFUNCTION("""COMPUTED_VALUE"""),"Нет, не приходилось")</f>
        <v>Нет, не приходилось</v>
      </c>
      <c r="T310" s="6" t="str">
        <f>IFERROR(__xludf.DUMMYFUNCTION("""COMPUTED_VALUE"""),"не знаю")</f>
        <v>не знаю</v>
      </c>
      <c r="U310" s="6" t="str">
        <f>IFERROR(__xludf.DUMMYFUNCTION("""COMPUTED_VALUE"""),"не знаю")</f>
        <v>не знаю</v>
      </c>
      <c r="V310" s="6" t="str">
        <f>IFERROR(__xludf.DUMMYFUNCTION("""COMPUTED_VALUE"""),"строили и обустраивали, жили")</f>
        <v>строили и обустраивали, жили</v>
      </c>
      <c r="W310" s="6" t="str">
        <f>IFERROR(__xludf.DUMMYFUNCTION("""COMPUTED_VALUE"""),"(хочется: приветливости и доброты)")</f>
        <v>(хочется: приветливости и доброты)</v>
      </c>
      <c r="X310" s="6" t="str">
        <f>IFERROR(__xludf.DUMMYFUNCTION("""COMPUTED_VALUE"""),"не знаю")</f>
        <v>не знаю</v>
      </c>
      <c r="Y310" s="6" t="str">
        <f>IFERROR(__xludf.DUMMYFUNCTION("""COMPUTED_VALUE"""),"не знаю")</f>
        <v>не знаю</v>
      </c>
      <c r="Z310" s="6" t="str">
        <f>IFERROR(__xludf.DUMMYFUNCTION("""COMPUTED_VALUE"""),"думаю, что стало чище")</f>
        <v>думаю, что стало чище</v>
      </c>
      <c r="AA310" s="6" t="str">
        <f>IFERROR(__xludf.DUMMYFUNCTION("""COMPUTED_VALUE"""),"не знаю")</f>
        <v>не знаю</v>
      </c>
      <c r="AB310" s="6" t="str">
        <f>IFERROR(__xludf.DUMMYFUNCTION("""COMPUTED_VALUE"""),"не знаю")</f>
        <v>не знаю</v>
      </c>
      <c r="AC310" s="6" t="str">
        <f>IFERROR(__xludf.DUMMYFUNCTION("""COMPUTED_VALUE"""),"не знаю")</f>
        <v>не знаю</v>
      </c>
      <c r="AD310" s="6" t="str">
        <f>IFERROR(__xludf.DUMMYFUNCTION("""COMPUTED_VALUE"""),"не знаю")</f>
        <v>не знаю</v>
      </c>
      <c r="AE310" s="6" t="str">
        <f>IFERROR(__xludf.DUMMYFUNCTION("""COMPUTED_VALUE"""),"Мужской")</f>
        <v>Мужской</v>
      </c>
      <c r="AF310" s="6" t="str">
        <f>IFERROR(__xludf.DUMMYFUNCTION("""COMPUTED_VALUE"""),"45-55")</f>
        <v>45-55</v>
      </c>
      <c r="AG310" s="6"/>
      <c r="AH310" s="6"/>
      <c r="AI310" s="6"/>
      <c r="AJ310" s="6"/>
      <c r="AK310" s="6"/>
      <c r="AL310" s="6"/>
      <c r="AM310" s="6"/>
    </row>
    <row r="311">
      <c r="A311" s="4">
        <v>310.0</v>
      </c>
      <c r="B311" s="6" t="str">
        <f>IFERROR(__xludf.DUMMYFUNCTION("""COMPUTED_VALUE"""),"Химик ")</f>
        <v>Химик </v>
      </c>
      <c r="C311" s="6" t="str">
        <f>IFERROR(__xludf.DUMMYFUNCTION("""COMPUTED_VALUE"""),"Рукоделие ")</f>
        <v>Рукоделие </v>
      </c>
      <c r="D311" s="6" t="str">
        <f>IFERROR(__xludf.DUMMYFUNCTION("""COMPUTED_VALUE"""),"Ленинский")</f>
        <v>Ленинский</v>
      </c>
      <c r="E311" s="6" t="str">
        <f>IFERROR(__xludf.DUMMYFUNCTION("""COMPUTED_VALUE"""),"Бульвар")</f>
        <v>Бульвар</v>
      </c>
      <c r="F311" s="6" t="str">
        <f>IFERROR(__xludf.DUMMYFUNCTION("""COMPUTED_VALUE"""),"Живу здесь с рождения")</f>
        <v>Живу здесь с рождения</v>
      </c>
      <c r="G311" s="6" t="str">
        <f>IFERROR(__xludf.DUMMYFUNCTION("""COMPUTED_VALUE"""),"Кино, набережная")</f>
        <v>Кино, набережная</v>
      </c>
      <c r="H311" s="6" t="str">
        <f>IFERROR(__xludf.DUMMYFUNCTION("""COMPUTED_VALUE"""),"Уголь, скучный, но красивый, ")</f>
        <v>Уголь, скучный, но красивый, </v>
      </c>
      <c r="I311" s="6" t="str">
        <f>IFERROR(__xludf.DUMMYFUNCTION("""COMPUTED_VALUE"""),"Леонов")</f>
        <v>Леонов</v>
      </c>
      <c r="J311" s="6" t="str">
        <f>IFERROR(__xludf.DUMMYFUNCTION("""COMPUTED_VALUE"""),"Руководители крупных предприятий ")</f>
        <v>Руководители крупных предприятий </v>
      </c>
      <c r="K311" s="6" t="str">
        <f>IFERROR(__xludf.DUMMYFUNCTION("""COMPUTED_VALUE"""),"Памятник шахтёру. ")</f>
        <v>Памятник шахтёру. </v>
      </c>
      <c r="L311" s="6" t="str">
        <f>IFERROR(__xludf.DUMMYFUNCTION("""COMPUTED_VALUE"""),"-")</f>
        <v>-</v>
      </c>
      <c r="M311" s="6" t="str">
        <f>IFERROR(__xludf.DUMMYFUNCTION("""COMPUTED_VALUE"""),"-")</f>
        <v>-</v>
      </c>
      <c r="N311" s="6" t="str">
        <f>IFERROR(__xludf.DUMMYFUNCTION("""COMPUTED_VALUE"""),"Доступность транспорта, детского досуга (в том числе и для подростков) вблизи места жительства, наличие парков, наличие хороших школ и вузов, наличие рабочих мест с достойной зп")</f>
        <v>Доступность транспорта, детского досуга (в том числе и для подростков) вблизи места жительства, наличие парков, наличие хороших школ и вузов, наличие рабочих мест с достойной зп</v>
      </c>
      <c r="O311" s="6" t="str">
        <f>IFERROR(__xludf.DUMMYFUNCTION("""COMPUTED_VALUE"""),"Город сейчас меняется в лучшую сторону ")</f>
        <v>Город сейчас меняется в лучшую сторону </v>
      </c>
      <c r="P311" s="6" t="str">
        <f>IFERROR(__xludf.DUMMYFUNCTION("""COMPUTED_VALUE"""),"Вконтакте, инстаграмм, друзья")</f>
        <v>Вконтакте, инстаграмм, друзья</v>
      </c>
      <c r="Q311"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311" s="6" t="str">
        <f>IFERROR(__xludf.DUMMYFUNCTION("""COMPUTED_VALUE"""),"День города и 9 мая ")</f>
        <v>День города и 9 мая </v>
      </c>
      <c r="S311" s="6" t="str">
        <f>IFERROR(__xludf.DUMMYFUNCTION("""COMPUTED_VALUE"""),"Нет, не приходилось")</f>
        <v>Нет, не приходилось</v>
      </c>
      <c r="T311" s="6" t="str">
        <f>IFERROR(__xludf.DUMMYFUNCTION("""COMPUTED_VALUE"""),"Раньше был известен как угольный город. Сейчас, увы, многие знакомые  из других городов при названии нашего города вспоминают тут же Зимнюю вишню")</f>
        <v>Раньше был известен как угольный город. Сейчас, увы, многие знакомые  из других городов при названии нашего города вспоминают тут же Зимнюю вишню</v>
      </c>
      <c r="U311" s="6" t="str">
        <f>IFERROR(__xludf.DUMMYFUNCTION("""COMPUTED_VALUE"""),"Фонтан и набережная")</f>
        <v>Фонтан и набережная</v>
      </c>
      <c r="V311" s="6" t="str">
        <f>IFERROR(__xludf.DUMMYFUNCTION("""COMPUTED_VALUE"""),"Раньше были заводы, известные всему миру и угольный предприятия. Сейчас я таких не могу назвать. Гордиться нечем. Мелкий бизнес, работать негде. В больниах не лечат. Люди уезжают в другие регионы")</f>
        <v>Раньше были заводы, известные всему миру и угольный предприятия. Сейчас я таких не могу назвать. Гордиться нечем. Мелкий бизнес, работать негде. В больниах не лечат. Люди уезжают в другие регионы</v>
      </c>
      <c r="W311" s="6" t="str">
        <f>IFERROR(__xludf.DUMMYFUNCTION("""COMPUTED_VALUE"""),"В целом город не плохой. Люди стали отзывчевее, внимательнее. Если власти поддерживают порядок, то и жители стали следить за чистотой на улице. Добрые и инициативные. ")</f>
        <v>В целом город не плохой. Люди стали отзывчевее, внимательнее. Если власти поддерживают порядок, то и жители стали следить за чистотой на улице. Добрые и инициативные. </v>
      </c>
      <c r="X311" s="6" t="str">
        <f>IFERROR(__xludf.DUMMYFUNCTION("""COMPUTED_VALUE"""),"Конечно памятн ки города, его центр, прогуляться по набережной (можно теперь и набережной Кировского), по прогулочный зоне у Кадетского корпуса, парк Жукова (впечатляет ребятишек) ")</f>
        <v>Конечно памятн ки города, его центр, прогуляться по набережной (можно теперь и набережной Кировского), по прогулочный зоне у Кадетского корпуса, парк Жукова (впечатляет ребятишек) </v>
      </c>
      <c r="Y311" s="6" t="str">
        <f>IFERROR(__xludf.DUMMYFUNCTION("""COMPUTED_VALUE"""),"Каждый объект культуры выделить не возможно. Открылись театры-было здорово. Потом открывались спортивные сооружения-это тоже важно и здорово. Из каждого события складывается наша жизнь, жизнь города. ")</f>
        <v>Каждый объект культуры выделить не возможно. Открылись театры-было здорово. Потом открывались спортивные сооружения-это тоже важно и здорово. Из каждого события складывается наша жизнь, жизнь города. </v>
      </c>
      <c r="Z311" s="6" t="str">
        <f>IFERROR(__xludf.DUMMYFUNCTION("""COMPUTED_VALUE"""),"Открытие Кадетского корпуса")</f>
        <v>Открытие Кадетского корпуса</v>
      </c>
      <c r="AA311" s="6" t="str">
        <f>IFERROR(__xludf.DUMMYFUNCTION("""COMPUTED_VALUE"""),"Нет таких ")</f>
        <v>Нет таких </v>
      </c>
      <c r="AB311" s="6" t="str">
        <f>IFERROR(__xludf.DUMMYFUNCTION("""COMPUTED_VALUE"""),"Бассейнов")</f>
        <v>Бассейнов</v>
      </c>
      <c r="AC311" s="6" t="str">
        <f>IFERROR(__xludf.DUMMYFUNCTION("""COMPUTED_VALUE"""),"Мероприятия по районам города (как в праздники, только и, например, раз в месяц). На площади Советов, на дк Кировского, Бульвар строителей, ул. Патриотов и подобные места. Небольшие концерты клубов города. А мы-зрители лишний раз гуляли бы всей семьёй и с"&amp;"мотрели бесплатные выступления. Город в такие дни становится красивее и радостнее")</f>
        <v>Мероприятия по районам города (как в праздники, только и, например, раз в месяц). На площади Советов, на дк Кировского, Бульвар строителей, ул. Патриотов и подобные места. Небольшие концерты клубов города. А мы-зрители лишний раз гуляли бы всей семьёй и смотрели бесплатные выступления. Город в такие дни становится красивее и радостнее</v>
      </c>
      <c r="AD311" s="6" t="str">
        <f>IFERROR(__xludf.DUMMYFUNCTION("""COMPUTED_VALUE"""),"Идейгыи человеком меня назвать нельзя, но поэкспериментировать с чьей-то идеей вполне могу. ")</f>
        <v>Идейгыи человеком меня назвать нельзя, но поэкспериментировать с чьей-то идеей вполне могу. </v>
      </c>
      <c r="AE311" s="6" t="str">
        <f>IFERROR(__xludf.DUMMYFUNCTION("""COMPUTED_VALUE"""),"Женский")</f>
        <v>Женский</v>
      </c>
      <c r="AF311" s="6" t="str">
        <f>IFERROR(__xludf.DUMMYFUNCTION("""COMPUTED_VALUE"""),"30-44")</f>
        <v>30-44</v>
      </c>
      <c r="AG311" s="6"/>
      <c r="AH311" s="6"/>
      <c r="AI311" s="6"/>
      <c r="AJ311" s="6"/>
      <c r="AK311" s="6"/>
      <c r="AL311" s="6"/>
      <c r="AM311" s="6"/>
    </row>
    <row r="312">
      <c r="A312" s="4">
        <v>311.0</v>
      </c>
      <c r="B312" s="6" t="str">
        <f>IFERROR(__xludf.DUMMYFUNCTION("""COMPUTED_VALUE"""),"Руководитель колл центра жкх компании")</f>
        <v>Руководитель колл центра жкх компании</v>
      </c>
      <c r="C312" s="6" t="str">
        <f>IFERROR(__xludf.DUMMYFUNCTION("""COMPUTED_VALUE"""),"Спорт: вейбординг, сноубординг, хенд-мейд , шитье")</f>
        <v>Спорт: вейбординг, сноубординг, хенд-мейд , шитье</v>
      </c>
      <c r="D312" s="6" t="str">
        <f>IFERROR(__xludf.DUMMYFUNCTION("""COMPUTED_VALUE"""),"В ленинском. Называю спальный или отшиб)")</f>
        <v>В ленинском. Называю спальный или отшиб)</v>
      </c>
      <c r="E312" s="6" t="str">
        <f>IFERROR(__xludf.DUMMYFUNCTION("""COMPUTED_VALUE"""),"Парк напротив променада 2, красное озеро, кадетка")</f>
        <v>Парк напротив променада 2, красное озеро, кадетка</v>
      </c>
      <c r="F312" s="6" t="str">
        <f>IFERROR(__xludf.DUMMYFUNCTION("""COMPUTED_VALUE"""),"Переехал сюда из другого места (откуда? укажите в графе другое), Из за развода родителей из лениска")</f>
        <v>Переехал сюда из другого места (откуда? укажите в графе другое), Из за развода родителей из лениска</v>
      </c>
      <c r="G312" s="6" t="str">
        <f>IFERROR(__xludf.DUMMYFUNCTION("""COMPUTED_VALUE"""),"В кафе, гуляем.")</f>
        <v>В кафе, гуляем.</v>
      </c>
      <c r="H312" s="6" t="str">
        <f>IFERROR(__xludf.DUMMYFUNCTION("""COMPUTED_VALUE"""),"Только не очень слова")</f>
        <v>Только не очень слова</v>
      </c>
      <c r="I312" s="6" t="str">
        <f>IFERROR(__xludf.DUMMYFUNCTION("""COMPUTED_VALUE"""),"Леонов")</f>
        <v>Леонов</v>
      </c>
      <c r="J312" s="6" t="str">
        <f>IFERROR(__xludf.DUMMYFUNCTION("""COMPUTED_VALUE"""),"Кто сделал много, себя не называет")</f>
        <v>Кто сделал много, себя не называет</v>
      </c>
      <c r="K312" s="6" t="str">
        <f>IFERROR(__xludf.DUMMYFUNCTION("""COMPUTED_VALUE"""),"Нет таких, некрасивые. Может неразобранный мост на кузнецком")</f>
        <v>Нет таких, некрасивые. Может неразобранный мост на кузнецком</v>
      </c>
      <c r="L312" s="6" t="str">
        <f>IFERROR(__xludf.DUMMYFUNCTION("""COMPUTED_VALUE"""),"-")</f>
        <v>-</v>
      </c>
      <c r="M312" s="6" t="str">
        <f>IFERROR(__xludf.DUMMYFUNCTION("""COMPUTED_VALUE"""),"Это можно спросить только у приезжих из других регионов")</f>
        <v>Это можно спросить только у приезжих из других регионов</v>
      </c>
      <c r="N312" s="6" t="str">
        <f>IFERROR(__xludf.DUMMYFUNCTION("""COMPUTED_VALUE"""),"Много парков, чтобы можно было просто лежать на пледах( не загорать, не пиво пить, ни шашлыки жарить) а просто лежать, болтать, читать, пикниковать кофе и круасанами как в европе")</f>
        <v>Много парков, чтобы можно было просто лежать на пледах( не загорать, не пиво пить, ни шашлыки жарить) а просто лежать, болтать, читать, пикниковать кофе и круасанами как в европе</v>
      </c>
      <c r="O312" s="6" t="str">
        <f>IFERROR(__xludf.DUMMYFUNCTION("""COMPUTED_VALUE"""),"Прекратить делать безвкусные фасады новых домов и новых административных зданий, таких как ,например ,проспект притомский, новый тенисный корт, новый спорт комплекс на притомском. Яркие цвета- синий , красный, оранжевый, зеленый колхозят город, делают его"&amp;" безвскусным. Хотя видимо власти думают , что это ярко и веселенько")</f>
        <v>Прекратить делать безвкусные фасады новых домов и новых административных зданий, таких как ,например ,проспект притомский, новый тенисный корт, новый спорт комплекс на притомском. Яркие цвета- синий , красный, оранжевый, зеленый колхозят город, делают его безвскусным. Хотя видимо власти думают , что это ярко и веселенько</v>
      </c>
      <c r="P312" s="6" t="str">
        <f>IFERROR(__xludf.DUMMYFUNCTION("""COMPUTED_VALUE"""),"Толко из инстаграм.  Общих аккаунтов нет, только аккаунты компаний")</f>
        <v>Толко из инстаграм.  Общих аккаунтов нет, только аккаунты компаний</v>
      </c>
      <c r="Q312" s="6" t="str">
        <f>IFERROR(__xludf.DUMMYFUNCTION("""COMPUTED_VALUE"""),"куда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v>
      </c>
      <c r="R312" s="6" t="str">
        <f>IFERROR(__xludf.DUMMYFUNCTION("""COMPUTED_VALUE"""),"День города")</f>
        <v>День города</v>
      </c>
      <c r="S312" s="6" t="str">
        <f>IFERROR(__xludf.DUMMYFUNCTION("""COMPUTED_VALUE"""),"Нет, не приходилось")</f>
        <v>Нет, не приходилось</v>
      </c>
      <c r="T312" s="6" t="str">
        <f>IFERROR(__xludf.DUMMYFUNCTION("""COMPUTED_VALUE"""),"Уголь")</f>
        <v>Уголь</v>
      </c>
      <c r="U312" s="6" t="str">
        <f>IFERROR(__xludf.DUMMYFUNCTION("""COMPUTED_VALUE"""),"Старый центр, лесная поляна")</f>
        <v>Старый центр, лесная поляна</v>
      </c>
      <c r="V312" s="6" t="str">
        <f>IFERROR(__xludf.DUMMYFUNCTION("""COMPUTED_VALUE"""),"-")</f>
        <v>-</v>
      </c>
      <c r="W312" s="6" t="str">
        <f>IFERROR(__xludf.DUMMYFUNCTION("""COMPUTED_VALUE"""),"Серые( вдумчивые")</f>
        <v>Серые( вдумчивые</v>
      </c>
      <c r="X312" s="6" t="str">
        <f>IFERROR(__xludf.DUMMYFUNCTION("""COMPUTED_VALUE"""),"Зимняя вишня старый центр ")</f>
        <v>Зимняя вишня старый центр </v>
      </c>
      <c r="Y312" s="6" t="str">
        <f>IFERROR(__xludf.DUMMYFUNCTION("""COMPUTED_VALUE"""),"Не припомню")</f>
        <v>Не припомню</v>
      </c>
      <c r="Z312" s="6" t="str">
        <f>IFERROR(__xludf.DUMMYFUNCTION("""COMPUTED_VALUE"""),"Активное развитие строительства  жилых и административных объектов ")</f>
        <v>Активное развитие строительства  жилых и административных объектов </v>
      </c>
      <c r="AA312" s="6" t="str">
        <f>IFERROR(__xludf.DUMMYFUNCTION("""COMPUTED_VALUE"""),"Пожар в зимней вишне")</f>
        <v>Пожар в зимней вишне</v>
      </c>
      <c r="AB312" s="6" t="str">
        <f>IFERROR(__xludf.DUMMYFUNCTION("""COMPUTED_VALUE"""),"-")</f>
        <v>-</v>
      </c>
      <c r="AC312" s="6" t="str">
        <f>IFERROR(__xludf.DUMMYFUNCTION("""COMPUTED_VALUE"""),"-")</f>
        <v>-</v>
      </c>
      <c r="AD312" s="6" t="str">
        <f>IFERROR(__xludf.DUMMYFUNCTION("""COMPUTED_VALUE"""),"-")</f>
        <v>-</v>
      </c>
      <c r="AE312" s="6" t="str">
        <f>IFERROR(__xludf.DUMMYFUNCTION("""COMPUTED_VALUE"""),"Женский")</f>
        <v>Женский</v>
      </c>
      <c r="AF312" s="6" t="str">
        <f>IFERROR(__xludf.DUMMYFUNCTION("""COMPUTED_VALUE"""),"30-44")</f>
        <v>30-44</v>
      </c>
      <c r="AG312" s="6"/>
      <c r="AH312" s="6"/>
      <c r="AI312" s="6"/>
      <c r="AJ312" s="6"/>
      <c r="AK312" s="6"/>
      <c r="AL312" s="6"/>
      <c r="AM312" s="6"/>
    </row>
    <row r="313">
      <c r="A313" s="4">
        <v>312.0</v>
      </c>
      <c r="B313" s="6" t="str">
        <f>IFERROR(__xludf.DUMMYFUNCTION("""COMPUTED_VALUE"""),"Пенсионер")</f>
        <v>Пенсионер</v>
      </c>
      <c r="C313" s="6" t="str">
        <f>IFERROR(__xludf.DUMMYFUNCTION("""COMPUTED_VALUE"""),"Вязание")</f>
        <v>Вязание</v>
      </c>
      <c r="D313" s="6" t="str">
        <f>IFERROR(__xludf.DUMMYFUNCTION("""COMPUTED_VALUE"""),"Ленинский район, бульвар Строителей")</f>
        <v>Ленинский район, бульвар Строителей</v>
      </c>
      <c r="E313" s="6" t="str">
        <f>IFERROR(__xludf.DUMMYFUNCTION("""COMPUTED_VALUE"""),"Бульвар Строителей, парк рядом с Президентский кадетском училищем.")</f>
        <v>Бульвар Строителей, парк рядом с Президентский кадетском училищем.</v>
      </c>
      <c r="F313" s="6" t="str">
        <f>IFERROR(__xludf.DUMMYFUNCTION("""COMPUTED_VALUE"""),"Переехал сюда из другого места (откуда? укажите в графе другое), После окончания ВУЗа")</f>
        <v>Переехал сюда из другого места (откуда? укажите в графе другое), После окончания ВУЗа</v>
      </c>
      <c r="G313" s="6" t="str">
        <f>IFERROR(__xludf.DUMMYFUNCTION("""COMPUTED_VALUE"""),"Парк около Президентского кадетского училища, бульвар Строителей, озеро Красное")</f>
        <v>Парк около Президентского кадетского училища, бульвар Строителей, озеро Красное</v>
      </c>
      <c r="H313" s="6" t="str">
        <f>IFERROR(__xludf.DUMMYFUNCTION("""COMPUTED_VALUE"""),"Родной, любимый, спортивный, просторный, грязный")</f>
        <v>Родной, любимый, спортивный, просторный, грязный</v>
      </c>
      <c r="I313" s="6" t="str">
        <f>IFERROR(__xludf.DUMMYFUNCTION("""COMPUTED_VALUE"""),"Волошина, Мартемьянов")</f>
        <v>Волошина, Мартемьянов</v>
      </c>
      <c r="J313" s="6" t="str">
        <f>IFERROR(__xludf.DUMMYFUNCTION("""COMPUTED_VALUE"""),"Аман Тулеев")</f>
        <v>Аман Тулеев</v>
      </c>
      <c r="K313" s="6" t="str">
        <f>IFERROR(__xludf.DUMMYFUNCTION("""COMPUTED_VALUE"""),"Центр города, улица Весенняя, набережная реки Томь, парки рядом с рекой Искитимка, бульвар Строителей ")</f>
        <v>Центр города, улица Весенняя, набережная реки Томь, парки рядом с рекой Искитимка, бульвар Строителей </v>
      </c>
      <c r="L313" s="6" t="str">
        <f>IFERROR(__xludf.DUMMYFUNCTION("""COMPUTED_VALUE"""),"Не знаю")</f>
        <v>Не знаю</v>
      </c>
      <c r="M313" s="6" t="str">
        <f>IFERROR(__xludf.DUMMYFUNCTION("""COMPUTED_VALUE"""),"Не знаю")</f>
        <v>Не знаю</v>
      </c>
      <c r="N313" s="6" t="str">
        <f>IFERROR(__xludf.DUMMYFUNCTION("""COMPUTED_VALUE"""),"Удобный для пешеходов, чистые улицы, много зелёных насаждений, много общественного транспорта, отремонтированные дворы с детскими площадками.")</f>
        <v>Удобный для пешеходов, чистые улицы, много зелёных насаждений, много общественного транспорта, отремонтированные дворы с детскими площадками.</v>
      </c>
      <c r="O313" s="6" t="str">
        <f>IFERROR(__xludf.DUMMYFUNCTION("""COMPUTED_VALUE"""),"Тротуары и внутренние дворы")</f>
        <v>Тротуары и внутренние дворы</v>
      </c>
      <c r="P313" s="6" t="str">
        <f>IFERROR(__xludf.DUMMYFUNCTION("""COMPUTED_VALUE"""),"ВКонтакте: ""Все 42"", "" город Кемерово"", ""Сергей Цивилев"". Платформа Кузбасс-Онлайн.")</f>
        <v>ВКонтакте: "Все 42", " город Кемерово", "Сергей Цивилев". Платформа Кузбасс-Онлайн.</v>
      </c>
      <c r="Q313" s="6" t="str">
        <f>IFERROR(__xludf.DUMMYFUNCTION("""COMPUTED_VALUE"""),"культурные новинки (что почитать/что послушать), интервью с местными творческими личностями, результаты местных исследований (рейтинги/аналитика/тенденции)")</f>
        <v>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313" s="6" t="str">
        <f>IFERROR(__xludf.DUMMYFUNCTION("""COMPUTED_VALUE"""),"9 Мая, День города, день Шахтера")</f>
        <v>9 Мая, День города, день Шахтера</v>
      </c>
      <c r="S313" s="6" t="str">
        <f>IFERROR(__xludf.DUMMYFUNCTION("""COMPUTED_VALUE"""),"Нет, не приходилось")</f>
        <v>Нет, не приходилось</v>
      </c>
      <c r="T313" s="6" t="str">
        <f>IFERROR(__xludf.DUMMYFUNCTION("""COMPUTED_VALUE"""),"Не знаю")</f>
        <v>Не знаю</v>
      </c>
      <c r="U313" s="6" t="str">
        <f>IFERROR(__xludf.DUMMYFUNCTION("""COMPUTED_VALUE"""),"Драмтеатр")</f>
        <v>Драмтеатр</v>
      </c>
      <c r="V313" s="6" t="str">
        <f>IFERROR(__xludf.DUMMYFUNCTION("""COMPUTED_VALUE"""),"Не знаю")</f>
        <v>Не знаю</v>
      </c>
      <c r="W313" s="6" t="str">
        <f>IFERROR(__xludf.DUMMYFUNCTION("""COMPUTED_VALUE"""),"Очень разные: есть активные, спортивные, берегущие город, и есть пассивные, равнодушные, разбрасывающие мусор и ломающие деревья и скамейки.")</f>
        <v>Очень разные: есть активные, спортивные, берегущие город, и есть пассивные, равнодушные, разбрасывающие мусор и ломающие деревья и скамейки.</v>
      </c>
      <c r="X313" s="6" t="str">
        <f>IFERROR(__xludf.DUMMYFUNCTION("""COMPUTED_VALUE"""),"Проспект Советский, набережная реки Томь, улица Весенняя, парки около реки Искитимка.")</f>
        <v>Проспект Советский, набережная реки Томь, улица Весенняя, парки около реки Искитимка.</v>
      </c>
      <c r="Y313" s="6" t="str">
        <f>IFERROR(__xludf.DUMMYFUNCTION("""COMPUTED_VALUE"""),"Не знаю")</f>
        <v>Не знаю</v>
      </c>
      <c r="Z313" s="6" t="str">
        <f>IFERROR(__xludf.DUMMYFUNCTION("""COMPUTED_VALUE"""),"Строительство Президентского кадетского училища. Благодаря этому событию облагородили значительную территорию.")</f>
        <v>Строительство Президентского кадетского училища. Благодаря этому событию облагородили значительную территорию.</v>
      </c>
      <c r="AA313" s="6" t="str">
        <f>IFERROR(__xludf.DUMMYFUNCTION("""COMPUTED_VALUE"""),"Пожар в ТРЦ""Зимняя вишня"".")</f>
        <v>Пожар в ТРЦ"Зимняя вишня".</v>
      </c>
      <c r="AB313" s="6" t="str">
        <f>IFERROR(__xludf.DUMMYFUNCTION("""COMPUTED_VALUE"""),"Не знаю")</f>
        <v>Не знаю</v>
      </c>
      <c r="AC313" s="6" t="str">
        <f>IFERROR(__xludf.DUMMYFUNCTION("""COMPUTED_VALUE"""),"Ярмарки любителей рукоделия.")</f>
        <v>Ярмарки любителей рукоделия.</v>
      </c>
      <c r="AD313" s="6" t="str">
        <f>IFERROR(__xludf.DUMMYFUNCTION("""COMPUTED_VALUE"""),"Пока не знаю")</f>
        <v>Пока не знаю</v>
      </c>
      <c r="AE313" s="6" t="str">
        <f>IFERROR(__xludf.DUMMYFUNCTION("""COMPUTED_VALUE"""),"Женский")</f>
        <v>Женский</v>
      </c>
      <c r="AF313" s="6" t="str">
        <f>IFERROR(__xludf.DUMMYFUNCTION("""COMPUTED_VALUE"""),"старше 55")</f>
        <v>старше 55</v>
      </c>
      <c r="AG313" s="6"/>
      <c r="AH313" s="6"/>
      <c r="AI313" s="6"/>
      <c r="AJ313" s="6"/>
      <c r="AK313" s="6"/>
      <c r="AL313" s="6"/>
      <c r="AM313" s="6"/>
    </row>
    <row r="314">
      <c r="A314" s="4">
        <v>313.0</v>
      </c>
      <c r="B314" s="6" t="str">
        <f>IFERROR(__xludf.DUMMYFUNCTION("""COMPUTED_VALUE"""),"Бухгалтер")</f>
        <v>Бухгалтер</v>
      </c>
      <c r="C314" s="6" t="str">
        <f>IFERROR(__xludf.DUMMYFUNCTION("""COMPUTED_VALUE"""),"Общение на иностранных языках, путешествия, интернетсерфинг")</f>
        <v>Общение на иностранных языках, путешествия, интернетсерфинг</v>
      </c>
      <c r="D314" s="6" t="str">
        <f>IFERROR(__xludf.DUMMYFUNCTION("""COMPUTED_VALUE"""),"Центр")</f>
        <v>Центр</v>
      </c>
      <c r="E314" s="6" t="str">
        <f>IFERROR(__xludf.DUMMYFUNCTION("""COMPUTED_VALUE"""),"Весенняя, Набережная, горсад, парк Жукова, парк Антошка, театр Драмы, музыкальный театр, фонтан, филармония, театр молодёжи, кукольный театр")</f>
        <v>Весенняя, Набережная, горсад, парк Жукова, парк Антошка, театр Драмы, музыкальный театр, фонтан, филармония, театр молодёжи, кукольный театр</v>
      </c>
      <c r="F314" s="6" t="str">
        <f>IFERROR(__xludf.DUMMYFUNCTION("""COMPUTED_VALUE"""),"Живу здесь с рождения")</f>
        <v>Живу здесь с рождения</v>
      </c>
      <c r="G314" s="6" t="str">
        <f>IFERROR(__xludf.DUMMYFUNCTION("""COMPUTED_VALUE"""),"Набережная, парки, торговые центры")</f>
        <v>Набережная, парки, торговые центры</v>
      </c>
      <c r="H314" s="6" t="str">
        <f>IFERROR(__xludf.DUMMYFUNCTION("""COMPUTED_VALUE"""),"Весенняя, Набережная, Красная Горка, Шалготарьян, ФПК")</f>
        <v>Весенняя, Набережная, Красная Горка, Шалготарьян, ФПК</v>
      </c>
      <c r="I314" s="6" t="str">
        <f>IFERROR(__xludf.DUMMYFUNCTION("""COMPUTED_VALUE"""),"И. А. Балибалов, М. А. Подгорбунский, В. Волошина, Ю. Двужильный, А. К. Бобров, Г.Красильников, А. А. Леонов, В. Д. Мартертемьянов, Рутгерс Себальд Юстинус, А. В. Сарыгин")</f>
        <v>И. А. Балибалов, М. А. Подгорбунский, В. Волошина, Ю. Двужильный, А. К. Бобров, Г.Красильников, А. А. Леонов, В. Д. Мартертемьянов, Рутгерс Себальд Юстинус, А. В. Сарыгин</v>
      </c>
      <c r="J314" s="6" t="str">
        <f>IFERROR(__xludf.DUMMYFUNCTION("""COMPUTED_VALUE"""),"А. Г. Тулеев,  А. А. Леонов, Е. Гришковец, А. Бабенко(в девичестве Лена Баранова учились вместе в школе) ")</f>
        <v>А. Г. Тулеев,  А. А. Леонов, Е. Гришковец, А. Бабенко(в девичестве Лена Баранова учились вместе в школе) </v>
      </c>
      <c r="K314" s="6" t="str">
        <f>IFERROR(__xludf.DUMMYFUNCTION("""COMPUTED_VALUE"""),"Шашлычную ""У Петровича"", сосновый бор")</f>
        <v>Шашлычную "У Петровича", сосновый бор</v>
      </c>
      <c r="L314" s="6" t="str">
        <f>IFERROR(__xludf.DUMMYFUNCTION("""COMPUTED_VALUE"""),"Анекдот с бородой: Фашисты в газовой камере стали травить людей- а двоим хоть бы хны. Все задохнулись, а эти двое в карты режутся. Фашисты спрашивают:""Почему вы не умерли? "" Они отвечают: "" А мы из Кемерово! "" 
Из плохих поговорок , что нет и не может"&amp;" быть здоровых кемеровчан в третьем поколении")</f>
        <v>Анекдот с бородой: Фашисты в газовой камере стали травить людей- а двоим хоть бы хны. Все задохнулись, а эти двое в карты режутся. Фашисты спрашивают:"Почему вы не умерли? " Они отвечают: " А мы из Кемерово! " 
Из плохих поговорок , что нет и не может быть здоровых кемеровчан в третьем поколении</v>
      </c>
      <c r="M314" s="6" t="str">
        <f>IFERROR(__xludf.DUMMYFUNCTION("""COMPUTED_VALUE"""),"Это зависит от сезона, моды, постоянно меняется")</f>
        <v>Это зависит от сезона, моды, постоянно меняется</v>
      </c>
      <c r="N314" s="6" t="str">
        <f>IFERROR(__xludf.DUMMYFUNCTION("""COMPUTED_VALUE"""),"Компактность, хорошая инфраструктура")</f>
        <v>Компактность, хорошая инфраструктура</v>
      </c>
      <c r="O314" s="6" t="str">
        <f>IFERROR(__xludf.DUMMYFUNCTION("""COMPUTED_VALUE"""),"Чистить улицы, ремонтировать дома")</f>
        <v>Чистить улицы, ремонтировать дома</v>
      </c>
      <c r="P314" s="6" t="str">
        <f>IFERROR(__xludf.DUMMYFUNCTION("""COMPUTED_VALUE"""),"А42, ngs42, новостные ленты")</f>
        <v>А42, ngs42, новостные ленты</v>
      </c>
      <c r="Q314"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314" s="6" t="str">
        <f>IFERROR(__xludf.DUMMYFUNCTION("""COMPUTED_VALUE"""),"День города, день шахтера, новый год, 9 мая")</f>
        <v>День города, день шахтера, новый год, 9 мая</v>
      </c>
      <c r="S314" s="6" t="str">
        <f>IFERROR(__xludf.DUMMYFUNCTION("""COMPUTED_VALUE"""),"Нет, не приходилось")</f>
        <v>Нет, не приходилось</v>
      </c>
      <c r="T314" s="6" t="str">
        <f>IFERROR(__xludf.DUMMYFUNCTION("""COMPUTED_VALUE"""),"Был когда-то бунтарский дух сибиряков, но походу сдулись. ")</f>
        <v>Был когда-то бунтарский дух сибиряков, но походу сдулись. </v>
      </c>
      <c r="U314" s="6" t="str">
        <f>IFERROR(__xludf.DUMMYFUNCTION("""COMPUTED_VALUE"""),"Площадь Советов")</f>
        <v>Площадь Советов</v>
      </c>
      <c r="V314" s="6" t="str">
        <f>IFERROR(__xludf.DUMMYFUNCTION("""COMPUTED_VALUE"""),"Многое что сделали, город построили и облагородили, а сейчас промышленность загубили поэтому, если не изменить ситуацию -загнется город. ")</f>
        <v>Многое что сделали, город построили и облагородили, а сейчас промышленность загубили поэтому, если не изменить ситуацию -загнется город. </v>
      </c>
      <c r="W314" s="6" t="str">
        <f>IFERROR(__xludf.DUMMYFUNCTION("""COMPUTED_VALUE"""),"Как везде -разные люди")</f>
        <v>Как везде -разные люди</v>
      </c>
      <c r="X314" s="6" t="str">
        <f>IFERROR(__xludf.DUMMYFUNCTION("""COMPUTED_VALUE"""),"Весенняя-Набережная-горсад, возможно дойти до филармонии с фонтаном шахтерам и далее в парк Жукова и Антошка")</f>
        <v>Весенняя-Набережная-горсад, возможно дойти до филармонии с фонтаном шахтерам и далее в парк Жукова и Антошка</v>
      </c>
      <c r="Y314" s="6" t="str">
        <f>IFERROR(__xludf.DUMMYFUNCTION("""COMPUTED_VALUE"""),"Трудно сказать")</f>
        <v>Трудно сказать</v>
      </c>
      <c r="Z314" s="6" t="str">
        <f>IFERROR(__xludf.DUMMYFUNCTION("""COMPUTED_VALUE"""),"Один негатив - пожар в ""зимней вишне"", открытие парка ангелов, если это можно назвать позитивом")</f>
        <v>Один негатив - пожар в "зимней вишне", открытие парка ангелов, если это можно назвать позитивом</v>
      </c>
      <c r="AA314" s="6" t="str">
        <f>IFERROR(__xludf.DUMMYFUNCTION("""COMPUTED_VALUE"""),"Пожар в ""Зимней вишне"", разгон мирных митингов в январе")</f>
        <v>Пожар в "Зимней вишне", разгон мирных митингов в январе</v>
      </c>
      <c r="AB314" s="6" t="str">
        <f>IFERROR(__xludf.DUMMYFUNCTION("""COMPUTED_VALUE"""),"Лично мне всего хватает")</f>
        <v>Лично мне всего хватает</v>
      </c>
      <c r="AC314" s="6" t="str">
        <f>IFERROR(__xludf.DUMMYFUNCTION("""COMPUTED_VALUE"""),"Не знаю")</f>
        <v>Не знаю</v>
      </c>
      <c r="AD314" s="6" t="str">
        <f>IFERROR(__xludf.DUMMYFUNCTION("""COMPUTED_VALUE"""),"Отвечаю на анкету и пока достаточно")</f>
        <v>Отвечаю на анкету и пока достаточно</v>
      </c>
      <c r="AE314" s="6" t="str">
        <f>IFERROR(__xludf.DUMMYFUNCTION("""COMPUTED_VALUE"""),"Женский")</f>
        <v>Женский</v>
      </c>
      <c r="AF314" s="6" t="str">
        <f>IFERROR(__xludf.DUMMYFUNCTION("""COMPUTED_VALUE"""),"старше 55")</f>
        <v>старше 55</v>
      </c>
      <c r="AG314" s="6"/>
      <c r="AH314" s="6"/>
      <c r="AI314" s="6"/>
      <c r="AJ314" s="6"/>
      <c r="AK314" s="6"/>
      <c r="AL314" s="6"/>
      <c r="AM314" s="6"/>
    </row>
    <row r="315">
      <c r="A315" s="4">
        <v>314.0</v>
      </c>
      <c r="B315" s="5" t="str">
        <f>IFERROR(__xludf.DUMMYFUNCTION("""COMPUTED_VALUE"""),"Пенсионер")</f>
        <v>Пенсионер</v>
      </c>
      <c r="C315" s="6" t="str">
        <f>IFERROR(__xludf.DUMMYFUNCTION("""COMPUTED_VALUE"""),"Дача")</f>
        <v>Дача</v>
      </c>
      <c r="D315" s="6" t="str">
        <f>IFERROR(__xludf.DUMMYFUNCTION("""COMPUTED_VALUE"""),"Центральный.Фабричка")</f>
        <v>Центральный.Фабричка</v>
      </c>
      <c r="E315" s="6" t="str">
        <f>IFERROR(__xludf.DUMMYFUNCTION("""COMPUTED_VALUE"""),"Магазины")</f>
        <v>Магазины</v>
      </c>
      <c r="F315" s="6" t="str">
        <f>IFERROR(__xludf.DUMMYFUNCTION("""COMPUTED_VALUE"""),"Живу здесь с рождения")</f>
        <v>Живу здесь с рождения</v>
      </c>
      <c r="G315" s="6" t="str">
        <f>IFERROR(__xludf.DUMMYFUNCTION("""COMPUTED_VALUE"""),"Гуляю по проспекту Ленина недалеко от дома,но присесть практически негде")</f>
        <v>Гуляю по проспекту Ленина недалеко от дома,но присесть практически негде</v>
      </c>
      <c r="H315" s="6" t="str">
        <f>IFERROR(__xludf.DUMMYFUNCTION("""COMPUTED_VALUE"""),"Мусор,загазованность,площадь советов,Зимняя вишня,грязный снег")</f>
        <v>Мусор,загазованность,площадь советов,Зимняя вишня,грязный снег</v>
      </c>
      <c r="I315" s="6" t="str">
        <f>IFERROR(__xludf.DUMMYFUNCTION("""COMPUTED_VALUE"""),"Михайлов,Барбараш,Плотников")</f>
        <v>Михайлов,Барбараш,Плотников</v>
      </c>
      <c r="J315" s="6" t="str">
        <f>IFERROR(__xludf.DUMMYFUNCTION("""COMPUTED_VALUE"""),"Михайлов Владимир -глава города")</f>
        <v>Михайлов Владимир -глава города</v>
      </c>
      <c r="K315" s="6" t="str">
        <f>IFERROR(__xludf.DUMMYFUNCTION("""COMPUTED_VALUE"""),"Гора,на которой написано ""Кузбасс"", скульптуру ребенка в капусте на пр.Химиков,новый район на Комсомольском.")</f>
        <v>Гора,на которой написано "Кузбасс", скульптуру ребенка в капусте на пр.Химиков,новый район на Комсомольском.</v>
      </c>
      <c r="L315" s="6" t="str">
        <f>IFERROR(__xludf.DUMMYFUNCTION("""COMPUTED_VALUE"""),"Щегловка она и есть Щегловка")</f>
        <v>Щегловка она и есть Щегловка</v>
      </c>
      <c r="M315" s="6" t="str">
        <f>IFERROR(__xludf.DUMMYFUNCTION("""COMPUTED_VALUE"""),"Нет")</f>
        <v>Нет</v>
      </c>
      <c r="N315" s="6" t="str">
        <f>IFERROR(__xludf.DUMMYFUNCTION("""COMPUTED_VALUE"""),"Чистота и экологичность в норме")</f>
        <v>Чистота и экологичность в норме</v>
      </c>
      <c r="O315" s="6" t="str">
        <f>IFERROR(__xludf.DUMMYFUNCTION("""COMPUTED_VALUE"""),"Поставить побольше урн и скамеек для отдыха пожилым.")</f>
        <v>Поставить побольше урн и скамеек для отдыха пожилым.</v>
      </c>
      <c r="P315" s="6" t="str">
        <f>IFERROR(__xludf.DUMMYFUNCTION("""COMPUTED_VALUE"""),"Вести Кузбасс,яндекс новости")</f>
        <v>Вести Кузбасс,яндекс новости</v>
      </c>
      <c r="Q315" s="6" t="str">
        <f>IFERROR(__xludf.DUMMYFUNCTION("""COMPUTED_VALUE"""),"криминальные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f>
        <v>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315" s="6" t="str">
        <f>IFERROR(__xludf.DUMMYFUNCTION("""COMPUTED_VALUE"""),"Нет таких праздников")</f>
        <v>Нет таких праздников</v>
      </c>
      <c r="S315" s="6" t="str">
        <f>IFERROR(__xludf.DUMMYFUNCTION("""COMPUTED_VALUE"""),"Обращалась на портал ""Мэру на заметку"",но мер не было принято")</f>
        <v>Обращалась на портал "Мэру на заметку",но мер не было принято</v>
      </c>
      <c r="T315" s="6" t="str">
        <f>IFERROR(__xludf.DUMMYFUNCTION("""COMPUTED_VALUE"""),"Зимняя вишня надолго")</f>
        <v>Зимняя вишня надолго</v>
      </c>
      <c r="U315" s="6" t="str">
        <f>IFERROR(__xludf.DUMMYFUNCTION("""COMPUTED_VALUE"""),"Площадь Советов")</f>
        <v>Площадь Советов</v>
      </c>
      <c r="V315" s="6" t="str">
        <f>IFERROR(__xludf.DUMMYFUNCTION("""COMPUTED_VALUE"""),"Честно трудились")</f>
        <v>Честно трудились</v>
      </c>
      <c r="W315" s="6" t="str">
        <f>IFERROR(__xludf.DUMMYFUNCTION("""COMPUTED_VALUE"""),"Как и везде:всякие.Есть добрые,активные,а есть злые и пас ивные,ждущие манну небесную но саии ничего хорошего не сделали,а только гадят")</f>
        <v>Как и везде:всякие.Есть добрые,активные,а есть злые и пас ивные,ждущие манну небесную но саии ничего хорошего не сделали,а только гадят</v>
      </c>
      <c r="X315" s="6" t="str">
        <f>IFERROR(__xludf.DUMMYFUNCTION("""COMPUTED_VALUE"""),"Центр,набережная,красная горка,новые районы новостроек")</f>
        <v>Центр,набережная,красная горка,новые районы новостроек</v>
      </c>
      <c r="Y315" s="6" t="str">
        <f>IFERROR(__xludf.DUMMYFUNCTION("""COMPUTED_VALUE"""),"Чемпионат по хоккею с мячом")</f>
        <v>Чемпионат по хоккею с мячом</v>
      </c>
      <c r="Z315" s="6" t="str">
        <f>IFERROR(__xludf.DUMMYFUNCTION("""COMPUTED_VALUE"""),"Ничего не запомнилось.")</f>
        <v>Ничего не запомнилось.</v>
      </c>
      <c r="AA315" s="6" t="str">
        <f>IFERROR(__xludf.DUMMYFUNCTION("""COMPUTED_VALUE"""),"Некачественная уборка дворов и дорог")</f>
        <v>Некачественная уборка дворов и дорог</v>
      </c>
      <c r="AB315" s="6" t="str">
        <f>IFERROR(__xludf.DUMMYFUNCTION("""COMPUTED_VALUE"""),"Их и так много,но толку мало:только друг другу и жалуются,а толку нет")</f>
        <v>Их и так много,но толку мало:только друг другу и жалуются,а толку нет</v>
      </c>
      <c r="AC315" s="6" t="str">
        <f>IFERROR(__xludf.DUMMYFUNCTION("""COMPUTED_VALUE"""),"Хотя бы в теплое время устраивать мини концерты молодежи,оркестров и т.п  возле ТЦ,кинотеатров и на свободных площадках.")</f>
        <v>Хотя бы в теплое время устраивать мини концерты молодежи,оркестров и т.п  возле ТЦ,кинотеатров и на свободных площадках.</v>
      </c>
      <c r="AD315" s="6" t="str">
        <f>IFERROR(__xludf.DUMMYFUNCTION("""COMPUTED_VALUE"""),"Несколько раз пыталась подсказать идеи по наведению чистоты и порядка,но поняла,что это никому ее нужно.")</f>
        <v>Несколько раз пыталась подсказать идеи по наведению чистоты и порядка,но поняла,что это никому ее нужно.</v>
      </c>
      <c r="AE315" s="6" t="str">
        <f>IFERROR(__xludf.DUMMYFUNCTION("""COMPUTED_VALUE"""),"Женский")</f>
        <v>Женский</v>
      </c>
      <c r="AF315" s="6" t="str">
        <f>IFERROR(__xludf.DUMMYFUNCTION("""COMPUTED_VALUE"""),"старше 55")</f>
        <v>старше 55</v>
      </c>
      <c r="AG315" s="6"/>
      <c r="AH315" s="6"/>
      <c r="AI315" s="6"/>
      <c r="AJ315" s="6"/>
      <c r="AK315" s="6"/>
      <c r="AL315" s="6"/>
      <c r="AM315" s="6"/>
    </row>
    <row r="316">
      <c r="A316" s="4">
        <v>315.0</v>
      </c>
      <c r="B316" s="6" t="str">
        <f>IFERROR(__xludf.DUMMYFUNCTION("""COMPUTED_VALUE"""),"ИТ")</f>
        <v>ИТ</v>
      </c>
      <c r="C316" s="6" t="str">
        <f>IFERROR(__xludf.DUMMYFUNCTION("""COMPUTED_VALUE"""),"Нет")</f>
        <v>Нет</v>
      </c>
      <c r="D316" s="6" t="str">
        <f>IFERROR(__xludf.DUMMYFUNCTION("""COMPUTED_VALUE"""),"Центр")</f>
        <v>Центр</v>
      </c>
      <c r="E316" s="6" t="str">
        <f>IFERROR(__xludf.DUMMYFUNCTION("""COMPUTED_VALUE"""),"Набережная")</f>
        <v>Набережная</v>
      </c>
      <c r="F316" s="6" t="str">
        <f>IFERROR(__xludf.DUMMYFUNCTION("""COMPUTED_VALUE"""),"Живу здесь с рождения")</f>
        <v>Живу здесь с рождения</v>
      </c>
      <c r="G316" s="6" t="str">
        <f>IFERROR(__xludf.DUMMYFUNCTION("""COMPUTED_VALUE"""),"Набережная, улица Весенняя, Сосновый бор")</f>
        <v>Набережная, улица Весенняя, Сосновый бор</v>
      </c>
      <c r="H316" s="6" t="str">
        <f>IFERROR(__xludf.DUMMYFUNCTION("""COMPUTED_VALUE"""),"Деревня, экология, уголь, зимняя вишня, бюрократия")</f>
        <v>Деревня, экология, уголь, зимняя вишня, бюрократия</v>
      </c>
      <c r="I316" s="6" t="str">
        <f>IFERROR(__xludf.DUMMYFUNCTION("""COMPUTED_VALUE"""),"Нет")</f>
        <v>Нет</v>
      </c>
      <c r="J316" s="6" t="str">
        <f>IFERROR(__xludf.DUMMYFUNCTION("""COMPUTED_VALUE"""),"Е.Гришковец")</f>
        <v>Е.Гришковец</v>
      </c>
      <c r="K316" s="6" t="str">
        <f>IFERROR(__xludf.DUMMYFUNCTION("""COMPUTED_VALUE"""),"Красная горка, улица Весенняя")</f>
        <v>Красная горка, улица Весенняя</v>
      </c>
      <c r="L316" s="6" t="str">
        <f>IFERROR(__xludf.DUMMYFUNCTION("""COMPUTED_VALUE"""),"18 млн, это вам не 30 млн")</f>
        <v>18 млн, это вам не 30 млн</v>
      </c>
      <c r="M316" s="6" t="str">
        <f>IFERROR(__xludf.DUMMYFUNCTION("""COMPUTED_VALUE"""),"Нет")</f>
        <v>Нет</v>
      </c>
      <c r="N316" s="6" t="str">
        <f>IFERROR(__xludf.DUMMYFUNCTION("""COMPUTED_VALUE"""),"Пешеходная проходимость с детской коляской, чистота улиц, удалённость заводов, наличие магазинов федеральных сетей, участие властей в жизни города")</f>
        <v>Пешеходная проходимость с детской коляской, чистота улиц, удалённость заводов, наличие магазинов федеральных сетей, участие властей в жизни города</v>
      </c>
      <c r="O316" s="6" t="str">
        <f>IFERROR(__xludf.DUMMYFUNCTION("""COMPUTED_VALUE"""),"Отремонтировать нижний уровень набережной, уложить бетонные плиты в Сосновом бору для удобного прохода от входа до «букв», сделать велосипедные дорожки в городе")</f>
        <v>Отремонтировать нижний уровень набережной, уложить бетонные плиты в Сосновом бору для удобного прохода от входа до «букв», сделать велосипедные дорожки в городе</v>
      </c>
      <c r="P316" s="6" t="str">
        <f>IFERROR(__xludf.DUMMYFUNCTION("""COMPUTED_VALUE"""),"Афиша.ру")</f>
        <v>Афиша.ру</v>
      </c>
      <c r="Q316" s="6" t="str">
        <f>IFERROR(__xludf.DUMMYFUNCTION("""COMPUTED_VALUE"""),"где вкусно поесть/открытие новых кафе/ресторанов, городская афиша (кино/театр/концерты), новости про новые профессии/куда поступать/вакансии")</f>
        <v>где вкусно поесть/открытие новых кафе/ресторанов, городская афиша (кино/театр/концерты), новости про новые профессии/куда поступать/вакансии</v>
      </c>
      <c r="R316" s="6" t="str">
        <f>IFERROR(__xludf.DUMMYFUNCTION("""COMPUTED_VALUE"""),"День города")</f>
        <v>День города</v>
      </c>
      <c r="S316" s="6" t="str">
        <f>IFERROR(__xludf.DUMMYFUNCTION("""COMPUTED_VALUE"""),"Нет, не приходилось")</f>
        <v>Нет, не приходилось</v>
      </c>
      <c r="T316" s="6" t="str">
        <f>IFERROR(__xludf.DUMMYFUNCTION("""COMPUTED_VALUE"""),"Уголь")</f>
        <v>Уголь</v>
      </c>
      <c r="U316" s="6" t="str">
        <f>IFERROR(__xludf.DUMMYFUNCTION("""COMPUTED_VALUE"""),"Площадь советов, драм-театр")</f>
        <v>Площадь советов, драм-театр</v>
      </c>
      <c r="V316" s="6" t="str">
        <f>IFERROR(__xludf.DUMMYFUNCTION("""COMPUTED_VALUE"""),"Магистраль до Ленинск-Кузнецкого")</f>
        <v>Магистраль до Ленинск-Кузнецкого</v>
      </c>
      <c r="W316" s="6" t="str">
        <f>IFERROR(__xludf.DUMMYFUNCTION("""COMPUTED_VALUE"""),"Работяги")</f>
        <v>Работяги</v>
      </c>
      <c r="X316" s="6" t="str">
        <f>IFERROR(__xludf.DUMMYFUNCTION("""COMPUTED_VALUE"""),"Притомская Набережная, Парк Чудес, Улица Кирова, Советский проспект, драм-театр, улица Весенняя, площадь Волкова")</f>
        <v>Притомская Набережная, Парк Чудес, Улица Кирова, Советский проспект, драм-театр, улица Весенняя, площадь Волкова</v>
      </c>
      <c r="Y316" s="6" t="str">
        <f>IFERROR(__xludf.DUMMYFUNCTION("""COMPUTED_VALUE"""),"Нет")</f>
        <v>Нет</v>
      </c>
      <c r="Z316" s="6" t="str">
        <f>IFERROR(__xludf.DUMMYFUNCTION("""COMPUTED_VALUE"""),"Рок-концерт на юбилей Стройсервиса")</f>
        <v>Рок-концерт на юбилей Стройсервиса</v>
      </c>
      <c r="AA316" s="6" t="str">
        <f>IFERROR(__xludf.DUMMYFUNCTION("""COMPUTED_VALUE"""),"Ничего не происходит")</f>
        <v>Ничего не происходит</v>
      </c>
      <c r="AB316" s="6" t="str">
        <f>IFERROR(__xludf.DUMMYFUNCTION("""COMPUTED_VALUE"""),"Школ современных профессий ")</f>
        <v>Школ современных профессий </v>
      </c>
      <c r="AC316" s="6" t="str">
        <f>IFERROR(__xludf.DUMMYFUNCTION("""COMPUTED_VALUE"""),"Приглашение с лекциями успешных людей")</f>
        <v>Приглашение с лекциями успешных людей</v>
      </c>
      <c r="AD316" s="6" t="str">
        <f>IFERROR(__xludf.DUMMYFUNCTION("""COMPUTED_VALUE"""),"Эксперт")</f>
        <v>Эксперт</v>
      </c>
      <c r="AE316" s="6" t="str">
        <f>IFERROR(__xludf.DUMMYFUNCTION("""COMPUTED_VALUE"""),"Мужской")</f>
        <v>Мужской</v>
      </c>
      <c r="AF316" s="6" t="str">
        <f>IFERROR(__xludf.DUMMYFUNCTION("""COMPUTED_VALUE"""),"30-44")</f>
        <v>30-44</v>
      </c>
      <c r="AG316" s="6"/>
      <c r="AH316" s="6"/>
      <c r="AI316" s="6"/>
      <c r="AJ316" s="6"/>
      <c r="AK316" s="6"/>
      <c r="AL316" s="6"/>
      <c r="AM316" s="6"/>
    </row>
    <row r="317">
      <c r="A317" s="4">
        <v>316.0</v>
      </c>
      <c r="B317" s="6" t="str">
        <f>IFERROR(__xludf.DUMMYFUNCTION("""COMPUTED_VALUE"""),"Госслужащий")</f>
        <v>Госслужащий</v>
      </c>
      <c r="C317" s="6" t="str">
        <f>IFERROR(__xludf.DUMMYFUNCTION("""COMPUTED_VALUE"""),"Люблю кататься на велосипеде по бору")</f>
        <v>Люблю кататься на велосипеде по бору</v>
      </c>
      <c r="D317" s="6" t="str">
        <f>IFERROR(__xludf.DUMMYFUNCTION("""COMPUTED_VALUE"""),"Рудничный (радуга) ")</f>
        <v>Рудничный (радуга) </v>
      </c>
      <c r="E317" s="6" t="str">
        <f>IFERROR(__xludf.DUMMYFUNCTION("""COMPUTED_VALUE"""),"Сосновой бор, музей красная горка, памятник шахтёрам ")</f>
        <v>Сосновой бор, музей красная горка, памятник шахтёрам </v>
      </c>
      <c r="F317" s="6" t="str">
        <f>IFERROR(__xludf.DUMMYFUNCTION("""COMPUTED_VALUE"""),"Живу здесь с рождения")</f>
        <v>Живу здесь с рождения</v>
      </c>
      <c r="G317" s="6" t="str">
        <f>IFERROR(__xludf.DUMMYFUNCTION("""COMPUTED_VALUE"""),"Очень нравится сосновый бор, набережная, горсад, ")</f>
        <v>Очень нравится сосновый бор, набережная, горсад, </v>
      </c>
      <c r="H317" s="6" t="str">
        <f>IFERROR(__xludf.DUMMYFUNCTION("""COMPUTED_VALUE"""),"Кузбасс, родной, развивающийся, спокойный,  красивый местами) ")</f>
        <v>Кузбасс, родной, развивающийся, спокойный,  красивый местами) </v>
      </c>
      <c r="I317" s="6" t="str">
        <f>IFERROR(__xludf.DUMMYFUNCTION("""COMPUTED_VALUE"""),"Волков, Леонов, ")</f>
        <v>Волков, Леонов, </v>
      </c>
      <c r="J317" s="6" t="str">
        <f>IFERROR(__xludf.DUMMYFUNCTION("""COMPUTED_VALUE"""),"Шахтёры и работники предприятий и обычные рабочие - вот кто лучшие люди ")</f>
        <v>Шахтёры и работники предприятий и обычные рабочие - вот кто лучшие люди </v>
      </c>
      <c r="K317" s="6" t="str">
        <f>IFERROR(__xludf.DUMMYFUNCTION("""COMPUTED_VALUE"""),"Святой Источник в сосновом бору")</f>
        <v>Святой Источник в сосновом бору</v>
      </c>
      <c r="L317" s="6" t="str">
        <f>IFERROR(__xludf.DUMMYFUNCTION("""COMPUTED_VALUE"""),"Не знаю таких ")</f>
        <v>Не знаю таких </v>
      </c>
      <c r="M317" s="6" t="str">
        <f>IFERROR(__xludf.DUMMYFUNCTION("""COMPUTED_VALUE"""),"Не могу вспомнить ")</f>
        <v>Не могу вспомнить </v>
      </c>
      <c r="N317" s="6" t="str">
        <f>IFERROR(__xludf.DUMMYFUNCTION("""COMPUTED_VALUE"""),"Чистый воздух, красивая природа, хорошие дороги, обновлённые старые дома, а лучше как больше всех переселить в новые, а старые уже сносить, низкие цены и тарифы ")</f>
        <v>Чистый воздух, красивая природа, хорошие дороги, обновлённые старые дома, а лучше как больше всех переселить в новые, а старые уже сносить, низкие цены и тарифы </v>
      </c>
      <c r="O317" s="6" t="str">
        <f>IFERROR(__xludf.DUMMYFUNCTION("""COMPUTED_VALUE"""),"Сделать красивый пляж и обустроить берег томи и остров ")</f>
        <v>Сделать красивый пляж и обустроить берег томи и остров </v>
      </c>
      <c r="P317" s="6" t="str">
        <f>IFERROR(__xludf.DUMMYFUNCTION("""COMPUTED_VALUE"""),"Соцсети типичный Кемерово, инцидент Кемерово, все42")</f>
        <v>Соцсети типичный Кемерово, инцидент Кемерово, все42</v>
      </c>
      <c r="Q317"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317" s="6" t="str">
        <f>IFERROR(__xludf.DUMMYFUNCTION("""COMPUTED_VALUE"""),"День шахтёра и день города")</f>
        <v>День шахтёра и день города</v>
      </c>
      <c r="S317" s="6" t="str">
        <f>IFERROR(__xludf.DUMMYFUNCTION("""COMPUTED_VALUE"""),"Нет, не приходилось")</f>
        <v>Нет, не приходилось</v>
      </c>
      <c r="T317" s="6" t="str">
        <f>IFERROR(__xludf.DUMMYFUNCTION("""COMPUTED_VALUE"""),"Из позитивного наличие соснового бора в центре города, лучше всяких парков")</f>
        <v>Из позитивного наличие соснового бора в центре города, лучше всяких парков</v>
      </c>
      <c r="U317" s="6" t="str">
        <f>IFERROR(__xludf.DUMMYFUNCTION("""COMPUTED_VALUE"""),"Красная горка")</f>
        <v>Красная горка</v>
      </c>
      <c r="V317" s="6" t="str">
        <f>IFERROR(__xludf.DUMMYFUNCTION("""COMPUTED_VALUE"""),"Открыли добычу угля, развивали предприятия и строили новое жилье ")</f>
        <v>Открыли добычу угля, развивали предприятия и строили новое жилье </v>
      </c>
      <c r="W317" s="6" t="str">
        <f>IFERROR(__xludf.DUMMYFUNCTION("""COMPUTED_VALUE"""),"Обычные, кто добрый, кто злой, но в общем хорошие люди, которые помогают друг другу в основном ")</f>
        <v>Обычные, кто добрый, кто злой, но в общем хорошие люди, которые помогают друг другу в основном </v>
      </c>
      <c r="X317" s="6" t="str">
        <f>IFERROR(__xludf.DUMMYFUNCTION("""COMPUTED_VALUE"""),"Маршрутка 40 😁")</f>
        <v>Маршрутка 40 😁</v>
      </c>
      <c r="Y317" s="6" t="str">
        <f>IFERROR(__xludf.DUMMYFUNCTION("""COMPUTED_VALUE"""),"К большому сожалению трагедия в зимней вишне, что дало многим переосмыслить свои взгляды и ответственно относиться к обяанностям, не допускать впреть такого, ни дай бог ")</f>
        <v>К большому сожалению трагедия в зимней вишне, что дало многим переосмыслить свои взгляды и ответственно относиться к обяанностям, не допускать впреть такого, ни дай бог </v>
      </c>
      <c r="Z317" s="6" t="str">
        <f>IFERROR(__xludf.DUMMYFUNCTION("""COMPUTED_VALUE"""),"Да особого ничего, кроме личных позитивных событий ")</f>
        <v>Да особого ничего, кроме личных позитивных событий </v>
      </c>
      <c r="AA317" s="6" t="str">
        <f>IFERROR(__xludf.DUMMYFUNCTION("""COMPUTED_VALUE"""),"Трагедия в Зимней вишне")</f>
        <v>Трагедия в Зимней вишне</v>
      </c>
      <c r="AB317" s="6" t="str">
        <f>IFERROR(__xludf.DUMMYFUNCTION("""COMPUTED_VALUE"""),"Профсоюза для госслужащих) ")</f>
        <v>Профсоюза для госслужащих) </v>
      </c>
      <c r="AC317" s="6" t="str">
        <f>IFERROR(__xludf.DUMMYFUNCTION("""COMPUTED_VALUE"""),"Отмена массочного режима ")</f>
        <v>Отмена массочного режима </v>
      </c>
      <c r="AD317" s="6" t="str">
        <f>IFERROR(__xludf.DUMMYFUNCTION("""COMPUTED_VALUE"""),"У всегда есть роль ")</f>
        <v>У всегда есть роль </v>
      </c>
      <c r="AE317" s="6" t="str">
        <f>IFERROR(__xludf.DUMMYFUNCTION("""COMPUTED_VALUE"""),"Мужской")</f>
        <v>Мужской</v>
      </c>
      <c r="AF317" s="6" t="str">
        <f>IFERROR(__xludf.DUMMYFUNCTION("""COMPUTED_VALUE"""),"30-44")</f>
        <v>30-44</v>
      </c>
      <c r="AG317" s="6"/>
      <c r="AH317" s="6"/>
      <c r="AI317" s="6"/>
      <c r="AJ317" s="6"/>
      <c r="AK317" s="6"/>
      <c r="AL317" s="6"/>
      <c r="AM317" s="6"/>
    </row>
    <row r="318">
      <c r="A318" s="4">
        <v>317.0</v>
      </c>
      <c r="B318" s="6" t="str">
        <f>IFERROR(__xludf.DUMMYFUNCTION("""COMPUTED_VALUE"""),"фрилансер")</f>
        <v>фрилансер</v>
      </c>
      <c r="C318" s="6" t="str">
        <f>IFERROR(__xludf.DUMMYFUNCTION("""COMPUTED_VALUE"""),"много")</f>
        <v>много</v>
      </c>
      <c r="D318" s="6" t="str">
        <f>IFERROR(__xludf.DUMMYFUNCTION("""COMPUTED_VALUE"""),"рудничный")</f>
        <v>рудничный</v>
      </c>
      <c r="E318" s="6" t="str">
        <f>IFERROR(__xludf.DUMMYFUNCTION("""COMPUTED_VALUE"""),"ДК Шахтеров")</f>
        <v>ДК Шахтеров</v>
      </c>
      <c r="F318" s="6" t="str">
        <f>IFERROR(__xludf.DUMMYFUNCTION("""COMPUTED_VALUE"""),"Живу здесь с рождения")</f>
        <v>Живу здесь с рождения</v>
      </c>
      <c r="G318" s="6" t="str">
        <f>IFERROR(__xludf.DUMMYFUNCTION("""COMPUTED_VALUE"""),"Бор, центр города")</f>
        <v>Бор, центр города</v>
      </c>
      <c r="H318" s="6" t="str">
        <f>IFERROR(__xludf.DUMMYFUNCTION("""COMPUTED_VALUE"""),"болото, серость, уныние, неухоженность, профанация ")</f>
        <v>болото, серость, уныние, неухоженность, профанация </v>
      </c>
      <c r="I318" s="6" t="str">
        <f>IFERROR(__xludf.DUMMYFUNCTION("""COMPUTED_VALUE"""),"Леонов, Волошина")</f>
        <v>Леонов, Волошина</v>
      </c>
      <c r="J318" s="6" t="str">
        <f>IFERROR(__xludf.DUMMYFUNCTION("""COMPUTED_VALUE"""),"Ольга Васльева, Лариса Лапина, Сергей Сергеев, Александр Зайцев, Эрик Горьковский")</f>
        <v>Ольга Васльева, Лариса Лапина, Сергей Сергеев, Александр Зайцев, Эрик Горьковский</v>
      </c>
      <c r="K318" s="6" t="str">
        <f>IFERROR(__xludf.DUMMYFUNCTION("""COMPUTED_VALUE"""),"Бор, аллея Орбиты, бульвар Строителей, Парк Чудес")</f>
        <v>Бор, аллея Орбиты, бульвар Строителей, Парк Чудес</v>
      </c>
      <c r="L318" s="6" t="str">
        <f>IFERROR(__xludf.DUMMYFUNCTION("""COMPUTED_VALUE"""),"не знаю таких")</f>
        <v>не знаю таких</v>
      </c>
      <c r="M318" s="6" t="str">
        <f>IFERROR(__xludf.DUMMYFUNCTION("""COMPUTED_VALUE"""),"колба, мультифора")</f>
        <v>колба, мультифора</v>
      </c>
      <c r="N318" s="6" t="str">
        <f>IFERROR(__xludf.DUMMYFUNCTION("""COMPUTED_VALUE"""),"доброжелательность, пешие маршруты, арт-объкты, некоммерческие мероприятия, открытая среда")</f>
        <v>доброжелательность, пешие маршруты, арт-объкты, некоммерческие мероприятия, открытая среда</v>
      </c>
      <c r="O318" s="6" t="str">
        <f>IFERROR(__xludf.DUMMYFUNCTION("""COMPUTED_VALUE"""),"ремонт исторических центров каждого района, организация социального бизнеса, небольших кафе, семейные клубы")</f>
        <v>ремонт исторических центров каждого района, организация социального бизнеса, небольших кафе, семейные клубы</v>
      </c>
      <c r="P318" s="6" t="str">
        <f>IFERROR(__xludf.DUMMYFUNCTION("""COMPUTED_VALUE"""),"соцсети: фб, вк")</f>
        <v>соцсети: фб, вк</v>
      </c>
      <c r="Q318" s="6" t="str">
        <f>IFERROR(__xludf.DUMMYFUNCTION("""COMPUTED_VALUE"""),"результаты местных исследований (рейтинги/аналитика/тенденции)")</f>
        <v>результаты местных исследований (рейтинги/аналитика/тенденции)</v>
      </c>
      <c r="R318" s="6" t="str">
        <f>IFERROR(__xludf.DUMMYFUNCTION("""COMPUTED_VALUE"""),"день города")</f>
        <v>день города</v>
      </c>
      <c r="S318" s="6" t="str">
        <f>IFERROR(__xludf.DUMMYFUNCTION("""COMPUTED_VALUE"""),"Через социальные сети (Какие? Укажите в графе другое)")</f>
        <v>Через социальные сети (Какие? Укажите в графе другое)</v>
      </c>
      <c r="T318" s="6" t="str">
        <f>IFERROR(__xludf.DUMMYFUNCTION("""COMPUTED_VALUE"""),"Шахтерами и Гришковцом")</f>
        <v>Шахтерами и Гришковцом</v>
      </c>
      <c r="U318" s="6" t="str">
        <f>IFERROR(__xludf.DUMMYFUNCTION("""COMPUTED_VALUE"""),"площадь Советов, площадь Кирова")</f>
        <v>площадь Советов, площадь Кирова</v>
      </c>
      <c r="V318" s="6" t="str">
        <f>IFERROR(__xludf.DUMMYFUNCTION("""COMPUTED_VALUE"""),"много сделали, толку никакого")</f>
        <v>много сделали, толку никакого</v>
      </c>
      <c r="W318" s="6" t="str">
        <f>IFERROR(__xludf.DUMMYFUNCTION("""COMPUTED_VALUE"""),"Закрытые, агрессивные, напуганные")</f>
        <v>Закрытые, агрессивные, напуганные</v>
      </c>
      <c r="X318" s="6" t="str">
        <f>IFERROR(__xludf.DUMMYFUNCTION("""COMPUTED_VALUE"""),"вокзал- Центр - заводы - шахты - бор")</f>
        <v>вокзал- Центр - заводы - шахты - бор</v>
      </c>
      <c r="Y318" s="6" t="str">
        <f>IFERROR(__xludf.DUMMYFUNCTION("""COMPUTED_VALUE"""),"ВОВ")</f>
        <v>ВОВ</v>
      </c>
      <c r="Z318" s="6" t="str">
        <f>IFERROR(__xludf.DUMMYFUNCTION("""COMPUTED_VALUE"""),"за последние два - ничего не произошло")</f>
        <v>за последние два - ничего не произошло</v>
      </c>
      <c r="AA318" s="6" t="str">
        <f>IFERROR(__xludf.DUMMYFUNCTION("""COMPUTED_VALUE"""),"установка Св.Варвары")</f>
        <v>установка Св.Варвары</v>
      </c>
      <c r="AB318" s="6" t="str">
        <f>IFERROR(__xludf.DUMMYFUNCTION("""COMPUTED_VALUE"""),"нет никаких сообществ, список чего не хватает огромен")</f>
        <v>нет никаких сообществ, список чего не хватает огромен</v>
      </c>
      <c r="AC318" s="6" t="str">
        <f>IFERROR(__xludf.DUMMYFUNCTION("""COMPUTED_VALUE"""),"открытые мероприятия по типу Детализация, арт-фест, Театральный фестиваль")</f>
        <v>открытые мероприятия по типу Детализация, арт-фест, Театральный фестиваль</v>
      </c>
      <c r="AD318" s="6" t="str">
        <f>IFERROR(__xludf.DUMMYFUNCTION("""COMPUTED_VALUE"""),"уже в никакой")</f>
        <v>уже в никакой</v>
      </c>
      <c r="AE318" s="6" t="str">
        <f>IFERROR(__xludf.DUMMYFUNCTION("""COMPUTED_VALUE"""),"Женский")</f>
        <v>Женский</v>
      </c>
      <c r="AF318" s="6" t="str">
        <f>IFERROR(__xludf.DUMMYFUNCTION("""COMPUTED_VALUE"""),"45-55")</f>
        <v>45-55</v>
      </c>
      <c r="AG318" s="6"/>
      <c r="AH318" s="6"/>
      <c r="AI318" s="6"/>
      <c r="AJ318" s="6"/>
      <c r="AK318" s="6"/>
      <c r="AL318" s="6"/>
      <c r="AM318" s="6"/>
    </row>
    <row r="319">
      <c r="A319" s="4">
        <v>318.0</v>
      </c>
      <c r="B319" s="5" t="str">
        <f>IFERROR(__xludf.DUMMYFUNCTION("""COMPUTED_VALUE"""),"преподаватель")</f>
        <v>преподаватель</v>
      </c>
      <c r="C319" s="6" t="str">
        <f>IFERROR(__xludf.DUMMYFUNCTION("""COMPUTED_VALUE"""),"йога")</f>
        <v>йога</v>
      </c>
      <c r="D319" s="6" t="str">
        <f>IFERROR(__xludf.DUMMYFUNCTION("""COMPUTED_VALUE"""),"Ленинский")</f>
        <v>Ленинский</v>
      </c>
      <c r="E319" s="6" t="str">
        <f>IFERROR(__xludf.DUMMYFUNCTION("""COMPUTED_VALUE"""),"Бульвар Строителей, ГЦС Кузбасс, КемТИПП, Кольцо")</f>
        <v>Бульвар Строителей, ГЦС Кузбасс, КемТИПП, Кольцо</v>
      </c>
      <c r="F319" s="6" t="str">
        <f>IFERROR(__xludf.DUMMYFUNCTION("""COMPUTED_VALUE"""),"Живу здесь с рождения")</f>
        <v>Живу здесь с рождения</v>
      </c>
      <c r="G319" s="6" t="str">
        <f>IFERROR(__xludf.DUMMYFUNCTION("""COMPUTED_VALUE"""),"Парк Кузбасский, Филармония, Театр для детей и молодёжи, Дом йоги Мудра, Бассейн Сибирь")</f>
        <v>Парк Кузбасский, Филармония, Театр для детей и молодёжи, Дом йоги Мудра, Бассейн Сибирь</v>
      </c>
      <c r="H319" s="6" t="str">
        <f>IFERROR(__xludf.DUMMYFUNCTION("""COMPUTED_VALUE"""),"шахтёры, промышленность, чистота, провинция, уют")</f>
        <v>шахтёры, промышленность, чистота, провинция, уют</v>
      </c>
      <c r="I319" s="6" t="str">
        <f>IFERROR(__xludf.DUMMYFUNCTION("""COMPUTED_VALUE"""),"Михайло Волков, Алексей Леонов, Вера Волошина, Юрий Двужильный, Игорь Киселёв (поэт)")</f>
        <v>Михайло Волков, Алексей Леонов, Вера Волошина, Юрий Двужильный, Игорь Киселёв (поэт)</v>
      </c>
      <c r="J319" s="6" t="str">
        <f>IFERROR(__xludf.DUMMYFUNCTION("""COMPUTED_VALUE"""),"не знаю")</f>
        <v>не знаю</v>
      </c>
      <c r="K319" s="6" t="str">
        <f>IFERROR(__xludf.DUMMYFUNCTION("""COMPUTED_VALUE"""),"Памятник погибшим шахтёрам, колесо обозрения")</f>
        <v>Памятник погибшим шахтёрам, колесо обозрения</v>
      </c>
      <c r="L319" s="6" t="str">
        <f>IFERROR(__xludf.DUMMYFUNCTION("""COMPUTED_VALUE"""),"Человек из Кемерова")</f>
        <v>Человек из Кемерова</v>
      </c>
      <c r="M319" s="6" t="str">
        <f>IFERROR(__xludf.DUMMYFUNCTION("""COMPUTED_VALUE"""),"не знаю")</f>
        <v>не знаю</v>
      </c>
      <c r="N319" s="6" t="str">
        <f>IFERROR(__xludf.DUMMYFUNCTION("""COMPUTED_VALUE"""),"Чистый воздух, чистые улицы, регулярный общественный транспорт, много магазинов, парков, театров, спортивных площадок")</f>
        <v>Чистый воздух, чистые улицы, регулярный общественный транспорт, много магазинов, парков, театров, спортивных площадок</v>
      </c>
      <c r="O319" s="6" t="str">
        <f>IFERROR(__xludf.DUMMYFUNCTION("""COMPUTED_VALUE"""),"нет предпочтений")</f>
        <v>нет предпочтений</v>
      </c>
      <c r="P319" s="6" t="str">
        <f>IFERROR(__xludf.DUMMYFUNCTION("""COMPUTED_VALUE"""),"Фейсбук")</f>
        <v>Фейсбук</v>
      </c>
      <c r="Q319"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319" s="6" t="str">
        <f>IFERROR(__xludf.DUMMYFUNCTION("""COMPUTED_VALUE"""),"День города, день шахтёра, Детализация ")</f>
        <v>День города, день шахтёра, Детализация </v>
      </c>
      <c r="S319" s="6" t="str">
        <f>IFERROR(__xludf.DUMMYFUNCTION("""COMPUTED_VALUE"""),"Нет, не приходилось")</f>
        <v>Нет, не приходилось</v>
      </c>
      <c r="T319" s="6" t="str">
        <f>IFERROR(__xludf.DUMMYFUNCTION("""COMPUTED_VALUE"""),"Известен в основном печально (забастовки, Зимняя вишня, загазованность)")</f>
        <v>Известен в основном печально (забастовки, Зимняя вишня, загазованность)</v>
      </c>
      <c r="U319" s="6" t="str">
        <f>IFERROR(__xludf.DUMMYFUNCTION("""COMPUTED_VALUE"""),"район Цирка")</f>
        <v>район Цирка</v>
      </c>
      <c r="V319" s="6" t="str">
        <f>IFERROR(__xludf.DUMMYFUNCTION("""COMPUTED_VALUE"""),"-")</f>
        <v>-</v>
      </c>
      <c r="W319" s="6" t="str">
        <f>IFERROR(__xludf.DUMMYFUNCTION("""COMPUTED_VALUE"""),"добрые, жизнерадостные, неравнодушные, энергичные")</f>
        <v>добрые, жизнерадостные, неравнодушные, энергичные</v>
      </c>
      <c r="X319" s="6" t="str">
        <f>IFERROR(__xludf.DUMMYFUNCTION("""COMPUTED_VALUE"""),"Набережная - пр. Советский - Цирк")</f>
        <v>Набережная - пр. Советский - Цирк</v>
      </c>
      <c r="Y319" s="6" t="str">
        <f>IFERROR(__xludf.DUMMYFUNCTION("""COMPUTED_VALUE"""),"Переименование из Щегловска")</f>
        <v>Переименование из Щегловска</v>
      </c>
      <c r="Z319" s="6" t="str">
        <f>IFERROR(__xludf.DUMMYFUNCTION("""COMPUTED_VALUE"""),"-")</f>
        <v>-</v>
      </c>
      <c r="AA319" s="6" t="str">
        <f>IFERROR(__xludf.DUMMYFUNCTION("""COMPUTED_VALUE"""),"-")</f>
        <v>-</v>
      </c>
      <c r="AB319" s="6" t="str">
        <f>IFERROR(__xludf.DUMMYFUNCTION("""COMPUTED_VALUE"""),"литературного клуба")</f>
        <v>литературного клуба</v>
      </c>
      <c r="AC319" s="6" t="str">
        <f>IFERROR(__xludf.DUMMYFUNCTION("""COMPUTED_VALUE"""),"мероприятий по типу Детализации")</f>
        <v>мероприятий по типу Детализации</v>
      </c>
      <c r="AD319" s="6" t="str">
        <f>IFERROR(__xludf.DUMMYFUNCTION("""COMPUTED_VALUE"""),"-")</f>
        <v>-</v>
      </c>
      <c r="AE319" s="6" t="str">
        <f>IFERROR(__xludf.DUMMYFUNCTION("""COMPUTED_VALUE"""),"Женский")</f>
        <v>Женский</v>
      </c>
      <c r="AF319" s="6" t="str">
        <f>IFERROR(__xludf.DUMMYFUNCTION("""COMPUTED_VALUE"""),"45-55")</f>
        <v>45-55</v>
      </c>
      <c r="AG319" s="6"/>
      <c r="AH319" s="6"/>
      <c r="AI319" s="6"/>
      <c r="AJ319" s="6"/>
      <c r="AK319" s="6"/>
      <c r="AL319" s="6"/>
      <c r="AM319" s="6"/>
    </row>
    <row r="320">
      <c r="A320" s="4">
        <v>319.0</v>
      </c>
      <c r="B320" s="6" t="str">
        <f>IFERROR(__xludf.DUMMYFUNCTION("""COMPUTED_VALUE"""),"пенсионер")</f>
        <v>пенсионер</v>
      </c>
      <c r="C320" s="6" t="str">
        <f>IFERROR(__xludf.DUMMYFUNCTION("""COMPUTED_VALUE"""),"сетевые игры")</f>
        <v>сетевые игры</v>
      </c>
      <c r="D320" s="6" t="str">
        <f>IFERROR(__xludf.DUMMYFUNCTION("""COMPUTED_VALUE"""),"центр")</f>
        <v>центр</v>
      </c>
      <c r="E320" s="6" t="str">
        <f>IFERROR(__xludf.DUMMYFUNCTION("""COMPUTED_VALUE"""),"магазины")</f>
        <v>магазины</v>
      </c>
      <c r="F320" s="6" t="str">
        <f>IFERROR(__xludf.DUMMYFUNCTION("""COMPUTED_VALUE"""),"Живу здесь с рождения")</f>
        <v>Живу здесь с рождения</v>
      </c>
      <c r="G320" s="6" t="str">
        <f>IFERROR(__xludf.DUMMYFUNCTION("""COMPUTED_VALUE"""),"никуда")</f>
        <v>никуда</v>
      </c>
      <c r="H320" s="6" t="str">
        <f>IFERROR(__xludf.DUMMYFUNCTION("""COMPUTED_VALUE"""),"сибирь кузбасс томь уголь химия")</f>
        <v>сибирь кузбасс томь уголь химия</v>
      </c>
      <c r="I320" s="6" t="str">
        <f>IFERROR(__xludf.DUMMYFUNCTION("""COMPUTED_VALUE"""),"подгорбунский.михайлов")</f>
        <v>подгорбунский.михайлов</v>
      </c>
      <c r="J320" s="6" t="str">
        <f>IFERROR(__xludf.DUMMYFUNCTION("""COMPUTED_VALUE"""),"good line")</f>
        <v>good line</v>
      </c>
      <c r="K320" s="6" t="str">
        <f>IFERROR(__xludf.DUMMYFUNCTION("""COMPUTED_VALUE"""),"набережная")</f>
        <v>набережная</v>
      </c>
      <c r="L320" s="6" t="str">
        <f>IFERROR(__xludf.DUMMYFUNCTION("""COMPUTED_VALUE"""),"-")</f>
        <v>-</v>
      </c>
      <c r="M320" s="6" t="str">
        <f>IFERROR(__xludf.DUMMYFUNCTION("""COMPUTED_VALUE"""),"тужурка")</f>
        <v>тужурка</v>
      </c>
      <c r="N320" s="6" t="str">
        <f>IFERROR(__xludf.DUMMYFUNCTION("""COMPUTED_VALUE"""),"доступность.приемлеммость. инфраструктура.погода.комфорт")</f>
        <v>доступность.приемлеммость. инфраструктура.погода.комфорт</v>
      </c>
      <c r="O320" s="6" t="str">
        <f>IFERROR(__xludf.DUMMYFUNCTION("""COMPUTED_VALUE"""),"-")</f>
        <v>-</v>
      </c>
      <c r="P320" s="6" t="str">
        <f>IFERROR(__xludf.DUMMYFUNCTION("""COMPUTED_VALUE"""),"fb.ok.vk")</f>
        <v>fb.ok.vk</v>
      </c>
      <c r="Q32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320" s="6" t="str">
        <f>IFERROR(__xludf.DUMMYFUNCTION("""COMPUTED_VALUE"""),"день города")</f>
        <v>день города</v>
      </c>
      <c r="S320" s="6" t="str">
        <f>IFERROR(__xludf.DUMMYFUNCTION("""COMPUTED_VALUE"""),"Нет, не приходилось")</f>
        <v>Нет, не приходилось</v>
      </c>
      <c r="T320" s="6" t="str">
        <f>IFERROR(__xludf.DUMMYFUNCTION("""COMPUTED_VALUE"""),"промышленность")</f>
        <v>промышленность</v>
      </c>
      <c r="U320" s="6" t="str">
        <f>IFERROR(__xludf.DUMMYFUNCTION("""COMPUTED_VALUE"""),"площадь советов")</f>
        <v>площадь советов</v>
      </c>
      <c r="V320" s="6" t="str">
        <f>IFERROR(__xludf.DUMMYFUNCTION("""COMPUTED_VALUE"""),"строительство")</f>
        <v>строительство</v>
      </c>
      <c r="W320" s="6" t="str">
        <f>IFERROR(__xludf.DUMMYFUNCTION("""COMPUTED_VALUE"""),"разные")</f>
        <v>разные</v>
      </c>
      <c r="X320" s="6" t="str">
        <f>IFERROR(__xludf.DUMMYFUNCTION("""COMPUTED_VALUE"""),"центр")</f>
        <v>центр</v>
      </c>
      <c r="Y320" s="6" t="str">
        <f>IFERROR(__xludf.DUMMYFUNCTION("""COMPUTED_VALUE"""),"300 лет кузбассу")</f>
        <v>300 лет кузбассу</v>
      </c>
      <c r="Z320" s="6" t="str">
        <f>IFERROR(__xludf.DUMMYFUNCTION("""COMPUTED_VALUE"""),"новые инфраструктуры")</f>
        <v>новые инфраструктуры</v>
      </c>
      <c r="AA320" s="6" t="str">
        <f>IFERROR(__xludf.DUMMYFUNCTION("""COMPUTED_VALUE"""),"аварии")</f>
        <v>аварии</v>
      </c>
      <c r="AB320" s="6" t="str">
        <f>IFERROR(__xludf.DUMMYFUNCTION("""COMPUTED_VALUE"""),"-")</f>
        <v>-</v>
      </c>
      <c r="AC320" s="6" t="str">
        <f>IFERROR(__xludf.DUMMYFUNCTION("""COMPUTED_VALUE"""),"-")</f>
        <v>-</v>
      </c>
      <c r="AD320" s="6" t="str">
        <f>IFERROR(__xludf.DUMMYFUNCTION("""COMPUTED_VALUE"""),"-")</f>
        <v>-</v>
      </c>
      <c r="AE320" s="6" t="str">
        <f>IFERROR(__xludf.DUMMYFUNCTION("""COMPUTED_VALUE"""),"Мужской")</f>
        <v>Мужской</v>
      </c>
      <c r="AF320" s="6" t="str">
        <f>IFERROR(__xludf.DUMMYFUNCTION("""COMPUTED_VALUE"""),"45-55")</f>
        <v>45-55</v>
      </c>
      <c r="AG320" s="6"/>
      <c r="AH320" s="6"/>
      <c r="AI320" s="6"/>
      <c r="AJ320" s="6"/>
      <c r="AK320" s="6"/>
      <c r="AL320" s="6"/>
      <c r="AM320" s="6"/>
    </row>
    <row r="321">
      <c r="A321" s="4">
        <v>320.0</v>
      </c>
      <c r="B321" s="6" t="str">
        <f>IFERROR(__xludf.DUMMYFUNCTION("""COMPUTED_VALUE"""),"Инженер ")</f>
        <v>Инженер </v>
      </c>
      <c r="C321" s="6" t="str">
        <f>IFERROR(__xludf.DUMMYFUNCTION("""COMPUTED_VALUE"""),"Велосипед")</f>
        <v>Велосипед</v>
      </c>
      <c r="D321" s="6" t="str">
        <f>IFERROR(__xludf.DUMMYFUNCTION("""COMPUTED_VALUE"""),"Кемерово сити")</f>
        <v>Кемерово сити</v>
      </c>
      <c r="E321" s="6" t="str">
        <f>IFERROR(__xludf.DUMMYFUNCTION("""COMPUTED_VALUE"""),"Новые стадионы, площадь, набережная")</f>
        <v>Новые стадионы, площадь, набережная</v>
      </c>
      <c r="F321" s="6" t="str">
        <f>IFERROR(__xludf.DUMMYFUNCTION("""COMPUTED_VALUE"""),"Переехал сюда из другого места (откуда? укажите в графе другое), Мариинск")</f>
        <v>Переехал сюда из другого места (откуда? укажите в графе другое), Мариинск</v>
      </c>
      <c r="G321" s="6" t="str">
        <f>IFERROR(__xludf.DUMMYFUNCTION("""COMPUTED_VALUE"""),"Парк жукова, Антошка, парк чудес. ")</f>
        <v>Парк жукова, Антошка, парк чудес. </v>
      </c>
      <c r="H321" s="6" t="str">
        <f>IFERROR(__xludf.DUMMYFUNCTION("""COMPUTED_VALUE"""),"Стройка, ")</f>
        <v>Стройка, </v>
      </c>
      <c r="I321" s="6" t="str">
        <f>IFERROR(__xludf.DUMMYFUNCTION("""COMPUTED_VALUE"""),"Нет")</f>
        <v>Нет</v>
      </c>
      <c r="J321" s="6" t="str">
        <f>IFERROR(__xludf.DUMMYFUNCTION("""COMPUTED_VALUE"""),"Нет")</f>
        <v>Нет</v>
      </c>
      <c r="K321" s="6" t="str">
        <f>IFERROR(__xludf.DUMMYFUNCTION("""COMPUTED_VALUE"""),"Набережная, бульвар строителей, красная горка")</f>
        <v>Набережная, бульвар строителей, красная горка</v>
      </c>
      <c r="L321" s="6" t="str">
        <f>IFERROR(__xludf.DUMMYFUNCTION("""COMPUTED_VALUE"""),"Нет")</f>
        <v>Нет</v>
      </c>
      <c r="M321" s="6" t="str">
        <f>IFERROR(__xludf.DUMMYFUNCTION("""COMPUTED_VALUE"""),"Человек из Кемерово песня")</f>
        <v>Человек из Кемерово песня</v>
      </c>
      <c r="N321" s="6" t="str">
        <f>IFERROR(__xludf.DUMMYFUNCTION("""COMPUTED_VALUE"""),"Жилье, работа, досуг, безопасность, учеба")</f>
        <v>Жилье, работа, досуг, безопасность, учеба</v>
      </c>
      <c r="O321" s="6" t="str">
        <f>IFERROR(__xludf.DUMMYFUNCTION("""COMPUTED_VALUE"""),"Больше зелени, парков, велодорожки")</f>
        <v>Больше зелени, парков, велодорожки</v>
      </c>
      <c r="P321" s="6" t="str">
        <f>IFERROR(__xludf.DUMMYFUNCTION("""COMPUTED_VALUE"""),"Все 42, ВК, инста мэра и губера")</f>
        <v>Все 42, ВК, инста мэра и губера</v>
      </c>
      <c r="Q321" s="6" t="str">
        <f>IFERROR(__xludf.DUMMYFUNCTION("""COMPUTED_VALUE"""),"куда пойти в свободное время, городская афиша (кино/театр/концерты), интервью с местными политиками")</f>
        <v>куда пойти в свободное время, городская афиша (кино/театр/концерты), интервью с местными политиками</v>
      </c>
      <c r="R321" s="6" t="str">
        <f>IFERROR(__xludf.DUMMYFUNCTION("""COMPUTED_VALUE"""),"Нет")</f>
        <v>Нет</v>
      </c>
      <c r="S321" s="6" t="str">
        <f>IFERROR(__xludf.DUMMYFUNCTION("""COMPUTED_VALUE"""),"Нет, не приходилось")</f>
        <v>Нет, не приходилось</v>
      </c>
      <c r="T321" s="6" t="str">
        <f>IFERROR(__xludf.DUMMYFUNCTION("""COMPUTED_VALUE"""),"Компоновкой улиц, мало кто на это обращает внимание")</f>
        <v>Компоновкой улиц, мало кто на это обращает внимание</v>
      </c>
      <c r="U321" s="6" t="str">
        <f>IFERROR(__xludf.DUMMYFUNCTION("""COMPUTED_VALUE"""),"Набережная. ")</f>
        <v>Набережная. </v>
      </c>
      <c r="V321" s="6" t="str">
        <f>IFERROR(__xludf.DUMMYFUNCTION("""COMPUTED_VALUE"""),"Нет")</f>
        <v>Нет</v>
      </c>
      <c r="W321" s="6" t="str">
        <f>IFERROR(__xludf.DUMMYFUNCTION("""COMPUTED_VALUE"""),"Гундосые")</f>
        <v>Гундосые</v>
      </c>
      <c r="X321" s="6" t="str">
        <f>IFERROR(__xludf.DUMMYFUNCTION("""COMPUTED_VALUE"""),"Набережная, весенняя. Потом бульвар строителец")</f>
        <v>Набережная, весенняя. Потом бульвар строителец</v>
      </c>
      <c r="Y321" s="6" t="str">
        <f>IFERROR(__xludf.DUMMYFUNCTION("""COMPUTED_VALUE"""),"Грандиозное строительство последних лет")</f>
        <v>Грандиозное строительство последних лет</v>
      </c>
      <c r="Z321" s="6" t="str">
        <f>IFERROR(__xludf.DUMMYFUNCTION("""COMPUTED_VALUE"""),"Стройка")</f>
        <v>Стройка</v>
      </c>
      <c r="AA321" s="6" t="str">
        <f>IFERROR(__xludf.DUMMYFUNCTION("""COMPUTED_VALUE"""),"Вишня")</f>
        <v>Вишня</v>
      </c>
      <c r="AB321" s="6" t="str">
        <f>IFERROR(__xludf.DUMMYFUNCTION("""COMPUTED_VALUE"""),"Хз. ")</f>
        <v>Хз. </v>
      </c>
      <c r="AC321" s="6" t="str">
        <f>IFERROR(__xludf.DUMMYFUNCTION("""COMPUTED_VALUE"""),"Для меня велотематика")</f>
        <v>Для меня велотематика</v>
      </c>
      <c r="AD321" s="6" t="str">
        <f>IFERROR(__xludf.DUMMYFUNCTION("""COMPUTED_VALUE"""),"Хз")</f>
        <v>Хз</v>
      </c>
      <c r="AE321" s="6" t="str">
        <f>IFERROR(__xludf.DUMMYFUNCTION("""COMPUTED_VALUE"""),"Мужской")</f>
        <v>Мужской</v>
      </c>
      <c r="AF321" s="6" t="str">
        <f>IFERROR(__xludf.DUMMYFUNCTION("""COMPUTED_VALUE"""),"30-44")</f>
        <v>30-44</v>
      </c>
      <c r="AG321" s="6"/>
      <c r="AH321" s="6"/>
      <c r="AI321" s="6"/>
      <c r="AJ321" s="6"/>
      <c r="AK321" s="6"/>
      <c r="AL321" s="6"/>
      <c r="AM321" s="6"/>
    </row>
    <row r="322">
      <c r="A322" s="4">
        <v>321.0</v>
      </c>
      <c r="B322" s="6" t="str">
        <f>IFERROR(__xludf.DUMMYFUNCTION("""COMPUTED_VALUE"""),"образование")</f>
        <v>образование</v>
      </c>
      <c r="C322" s="6" t="str">
        <f>IFERROR(__xludf.DUMMYFUNCTION("""COMPUTED_VALUE"""),"туризм, фотография")</f>
        <v>туризм, фотография</v>
      </c>
      <c r="D322" s="6" t="str">
        <f>IFERROR(__xludf.DUMMYFUNCTION("""COMPUTED_VALUE"""),"Заводский (Центр)")</f>
        <v>Заводский (Центр)</v>
      </c>
      <c r="E322" s="6" t="str">
        <f>IFERROR(__xludf.DUMMYFUNCTION("""COMPUTED_VALUE"""),"Парк Ангелов")</f>
        <v>Парк Ангелов</v>
      </c>
      <c r="F322" s="6" t="str">
        <f>IFERROR(__xludf.DUMMYFUNCTION("""COMPUTED_VALUE"""),"Живу здесь с рождения")</f>
        <v>Живу здесь с рождения</v>
      </c>
      <c r="G322" s="6" t="str">
        <f>IFERROR(__xludf.DUMMYFUNCTION("""COMPUTED_VALUE"""),"Томская Писаница, Парк Жукова, Набережная")</f>
        <v>Томская Писаница, Парк Жукова, Набережная</v>
      </c>
      <c r="H322" s="6" t="str">
        <f>IFERROR(__xludf.DUMMYFUNCTION("""COMPUTED_VALUE"""),"Родина, непорядок, неухоженность, плохая экология, жалость")</f>
        <v>Родина, непорядок, неухоженность, плохая экология, жалость</v>
      </c>
      <c r="I322" s="6" t="str">
        <f>IFERROR(__xludf.DUMMYFUNCTION("""COMPUTED_VALUE""")," Михайло Волков, Борис Григорьев,Юрий Двужилиный,Петр Багратион")</f>
        <v> Михайло Волков, Борис Григорьев,Юрий Двужилиный,Петр Багратион</v>
      </c>
      <c r="J322" s="6" t="str">
        <f>IFERROR(__xludf.DUMMYFUNCTION("""COMPUTED_VALUE"""),"Алексей Леонов,,Аман Тулеев, Алена Бабенко, Евгений Гришковец ")</f>
        <v>Алексей Леонов,,Аман Тулеев, Алена Бабенко, Евгений Гришковец </v>
      </c>
      <c r="K322" s="6" t="str">
        <f>IFERROR(__xludf.DUMMYFUNCTION("""COMPUTED_VALUE"""),"Краеведческий музей")</f>
        <v>Краеведческий музей</v>
      </c>
      <c r="L322" s="6" t="str">
        <f>IFERROR(__xludf.DUMMYFUNCTION("""COMPUTED_VALUE"""),"Сибиряки идут-врагу смерть несут (военная)")</f>
        <v>Сибиряки идут-врагу смерть несут (военная)</v>
      </c>
      <c r="M322" s="6" t="str">
        <f>IFERROR(__xludf.DUMMYFUNCTION("""COMPUTED_VALUE"""),"нет")</f>
        <v>нет</v>
      </c>
      <c r="N322" s="6" t="str">
        <f>IFERROR(__xludf.DUMMYFUNCTION("""COMPUTED_VALUE"""),"Чистота, ухоженнось, достойная оплата труда, комфортные места отдыха для горожан, продуманная инфраструктура, привекательность для молодежи.")</f>
        <v>Чистота, ухоженнось, достойная оплата труда, комфортные места отдыха для горожан, продуманная инфраструктура, привекательность для молодежи.</v>
      </c>
      <c r="O322" s="6" t="str">
        <f>IFERROR(__xludf.DUMMYFUNCTION("""COMPUTED_VALUE"""),"Отремонтировать и привести в порядок жилой фонд! Заставить обслуживающие кампании выполнять свои обязанности. Озеленение улиц. ")</f>
        <v>Отремонтировать и привести в порядок жилой фонд! Заставить обслуживающие кампании выполнять свои обязанности. Озеленение улиц. </v>
      </c>
      <c r="P322" s="6" t="str">
        <f>IFERROR(__xludf.DUMMYFUNCTION("""COMPUTED_VALUE"""),"Инстаграмм, ВК, КузбассОнлайн")</f>
        <v>Инстаграмм, ВК, КузбассОнлайн</v>
      </c>
      <c r="Q322"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322" s="6" t="str">
        <f>IFERROR(__xludf.DUMMYFUNCTION("""COMPUTED_VALUE"""),"День Победы, Новый год, День Города, Первомай")</f>
        <v>День Победы, Новый год, День Города, Первомай</v>
      </c>
      <c r="S322" s="6" t="str">
        <f>IFERROR(__xludf.DUMMYFUNCTION("""COMPUTED_VALUE"""),"Обращался в редакции электронных городских СМИ")</f>
        <v>Обращался в редакции электронных городских СМИ</v>
      </c>
      <c r="T322" s="6" t="str">
        <f>IFERROR(__xludf.DUMMYFUNCTION("""COMPUTED_VALUE"""),"На данный момент ничего!")</f>
        <v>На данный момент ничего!</v>
      </c>
      <c r="U322" s="6" t="str">
        <f>IFERROR(__xludf.DUMMYFUNCTION("""COMPUTED_VALUE"""),"Площадь Советов, Парк Ангелов")</f>
        <v>Площадь Советов, Парк Ангелов</v>
      </c>
      <c r="V322" s="6" t="str">
        <f>IFERROR(__xludf.DUMMYFUNCTION("""COMPUTED_VALUE"""),"Вклад в победу ВОВ, первый человек вышедший в открытый космос")</f>
        <v>Вклад в победу ВОВ, первый человек вышедший в открытый космос</v>
      </c>
      <c r="W322" s="6" t="str">
        <f>IFERROR(__xludf.DUMMYFUNCTION("""COMPUTED_VALUE"""),"Добрые, отзывчивые, терпеливые, трудолюбивые")</f>
        <v>Добрые, отзывчивые, терпеливые, трудолюбивые</v>
      </c>
      <c r="X322" s="6" t="str">
        <f>IFERROR(__xludf.DUMMYFUNCTION("""COMPUTED_VALUE"""),"От Парка Чудес, по Весенней к театрам, затем до Парка Ангелов, Далее к Юбилейному , через парк Жукова в парк Веры Волошиной")</f>
        <v>От Парка Чудес, по Весенней к театрам, затем до Парка Ангелов, Далее к Юбилейному , через парк Жукова в парк Веры Волошиной</v>
      </c>
      <c r="Y322" s="6" t="str">
        <f>IFERROR(__xludf.DUMMYFUNCTION("""COMPUTED_VALUE"""),"Нашли залежи Каменного угля, практически на поверхности. Наш современник Алексей Леонов, первым вышел в открытый космос.")</f>
        <v>Нашли залежи Каменного угля, практически на поверхности. Наш современник Алексей Леонов, первым вышел в открытый космос.</v>
      </c>
      <c r="Z322" s="6" t="str">
        <f>IFERROR(__xludf.DUMMYFUNCTION("""COMPUTED_VALUE"""),"Ни каких!!!! Для горожан стало значительно хуже и труднее!")</f>
        <v>Ни каких!!!! Для горожан стало значительно хуже и труднее!</v>
      </c>
      <c r="AA322" s="6" t="str">
        <f>IFERROR(__xludf.DUMMYFUNCTION("""COMPUTED_VALUE"""),"Несанкционированные митинги Навального! Совершенное нежелание управляющей кампании выполнять свои обязанности. Неоправданное повышение цен практически на все, отвратительная работа дорожных служб, упадок медицины во всем городе!")</f>
        <v>Несанкционированные митинги Навального! Совершенное нежелание управляющей кампании выполнять свои обязанности. Неоправданное повышение цен практически на все, отвратительная работа дорожных служб, упадок медицины во всем городе!</v>
      </c>
      <c r="AB322" s="6" t="str">
        <f>IFERROR(__xludf.DUMMYFUNCTION("""COMPUTED_VALUE"""),"нет ответа")</f>
        <v>нет ответа</v>
      </c>
      <c r="AC322" s="6" t="str">
        <f>IFERROR(__xludf.DUMMYFUNCTION("""COMPUTED_VALUE"""),"Мероприятия для детей, Турслеты, ")</f>
        <v>Мероприятия для детей, Турслеты, </v>
      </c>
      <c r="AD322" s="6" t="str">
        <f>IFERROR(__xludf.DUMMYFUNCTION("""COMPUTED_VALUE"""),"по ситуации, ")</f>
        <v>по ситуации, </v>
      </c>
      <c r="AE322" s="6" t="str">
        <f>IFERROR(__xludf.DUMMYFUNCTION("""COMPUTED_VALUE"""),"Женский")</f>
        <v>Женский</v>
      </c>
      <c r="AF322" s="6" t="str">
        <f>IFERROR(__xludf.DUMMYFUNCTION("""COMPUTED_VALUE"""),"45-55")</f>
        <v>45-55</v>
      </c>
      <c r="AG322" s="6"/>
      <c r="AH322" s="6"/>
      <c r="AI322" s="6"/>
      <c r="AJ322" s="6"/>
      <c r="AK322" s="6"/>
      <c r="AL322" s="6"/>
      <c r="AM322" s="6"/>
    </row>
    <row r="323">
      <c r="A323" s="4">
        <v>322.0</v>
      </c>
      <c r="B323" s="6" t="str">
        <f>IFERROR(__xludf.DUMMYFUNCTION("""COMPUTED_VALUE"""),"Пенсионер.")</f>
        <v>Пенсионер.</v>
      </c>
      <c r="C323" s="6" t="str">
        <f>IFERROR(__xludf.DUMMYFUNCTION("""COMPUTED_VALUE"""),"Нет.")</f>
        <v>Нет.</v>
      </c>
      <c r="D323" s="6" t="str">
        <f>IFERROR(__xludf.DUMMYFUNCTION("""COMPUTED_VALUE"""),"Верхний Бульвар.")</f>
        <v>Верхний Бульвар.</v>
      </c>
      <c r="E323" s="6" t="str">
        <f>IFERROR(__xludf.DUMMYFUNCTION("""COMPUTED_VALUE"""),"Парк сельхозакадемии.")</f>
        <v>Парк сельхозакадемии.</v>
      </c>
      <c r="F323" s="6" t="str">
        <f>IFERROR(__xludf.DUMMYFUNCTION("""COMPUTED_VALUE"""),"Переехал сюда из другого места (откуда? укажите в графе другое), Алтайский край.")</f>
        <v>Переехал сюда из другого места (откуда? укажите в графе другое), Алтайский край.</v>
      </c>
      <c r="G323" s="6" t="str">
        <f>IFERROR(__xludf.DUMMYFUNCTION("""COMPUTED_VALUE"""),"Гуляю в парке сельхозакадемии и по Бульвару Строителей.")</f>
        <v>Гуляю в парке сельхозакадемии и по Бульвару Строителей.</v>
      </c>
      <c r="H323" s="6" t="str">
        <f>IFERROR(__xludf.DUMMYFUNCTION("""COMPUTED_VALUE"""),"Дом, свет, шум, авто, люди.")</f>
        <v>Дом, свет, шум, авто, люди.</v>
      </c>
      <c r="I323" s="6" t="str">
        <f>IFERROR(__xludf.DUMMYFUNCTION("""COMPUTED_VALUE"""),"Тулеев, Михайлов.")</f>
        <v>Тулеев, Михайлов.</v>
      </c>
      <c r="J323" s="6" t="str">
        <f>IFERROR(__xludf.DUMMYFUNCTION("""COMPUTED_VALUE"""),"Не знаю.")</f>
        <v>Не знаю.</v>
      </c>
      <c r="K323" s="6" t="str">
        <f>IFERROR(__xludf.DUMMYFUNCTION("""COMPUTED_VALUE"""),"Парк Ангелов, парк Жукова.")</f>
        <v>Парк Ангелов, парк Жукова.</v>
      </c>
      <c r="L323" s="6" t="str">
        <f>IFERROR(__xludf.DUMMYFUNCTION("""COMPUTED_VALUE"""),"Не знаю.")</f>
        <v>Не знаю.</v>
      </c>
      <c r="M323" s="6" t="str">
        <f>IFERROR(__xludf.DUMMYFUNCTION("""COMPUTED_VALUE"""),"Не знаю.")</f>
        <v>Не знаю.</v>
      </c>
      <c r="N323" s="6" t="str">
        <f>IFERROR(__xludf.DUMMYFUNCTION("""COMPUTED_VALUE"""),"Шаговая доступность необходимых структур(магазин, аптека, ателье, салоны), транспорт, экология, учебные заведения, наличие рабочих мест.")</f>
        <v>Шаговая доступность необходимых структур(магазин, аптека, ателье, салоны), транспорт, экология, учебные заведения, наличие рабочих мест.</v>
      </c>
      <c r="O323" s="6" t="str">
        <f>IFERROR(__xludf.DUMMYFUNCTION("""COMPUTED_VALUE"""),"Надо что-то делать с архитектурой. Очень много уродливых зданий советской постройки. Особенно вдоль проспекта Ленина.")</f>
        <v>Надо что-то делать с архитектурой. Очень много уродливых зданий советской постройки. Особенно вдоль проспекта Ленина.</v>
      </c>
      <c r="P323" s="6" t="str">
        <f>IFERROR(__xludf.DUMMYFUNCTION("""COMPUTED_VALUE"""),"В основном по ТВ.")</f>
        <v>В основном по ТВ.</v>
      </c>
      <c r="Q323" s="6" t="str">
        <f>IFERROR(__xludf.DUMMYFUNCTION("""COMPUTED_VALUE"""),"городская афиша (кино/театр/концерты), интервью с местными политиками,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п"&amp;"редложения)")</f>
        <v>городская афиша (кино/театр/концерты), интервью с местными политиками,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323" s="6" t="str">
        <f>IFERROR(__xludf.DUMMYFUNCTION("""COMPUTED_VALUE"""),"День шахтера.")</f>
        <v>День шахтера.</v>
      </c>
      <c r="S323" s="6" t="str">
        <f>IFERROR(__xludf.DUMMYFUNCTION("""COMPUTED_VALUE"""),"Нет, не приходилось")</f>
        <v>Нет, не приходилось</v>
      </c>
      <c r="T323" s="6" t="str">
        <f>IFERROR(__xludf.DUMMYFUNCTION("""COMPUTED_VALUE"""),"Ничем.")</f>
        <v>Ничем.</v>
      </c>
      <c r="U323" s="6" t="str">
        <f>IFERROR(__xludf.DUMMYFUNCTION("""COMPUTED_VALUE"""),"Площадь Советов.")</f>
        <v>Площадь Советов.</v>
      </c>
      <c r="V323" s="6" t="str">
        <f>IFERROR(__xludf.DUMMYFUNCTION("""COMPUTED_VALUE"""),"Ничего.")</f>
        <v>Ничего.</v>
      </c>
      <c r="W323" s="6" t="str">
        <f>IFERROR(__xludf.DUMMYFUNCTION("""COMPUTED_VALUE"""),"Рассудительные, здравомыслящие, любящие справедливость.")</f>
        <v>Рассудительные, здравомыслящие, любящие справедливость.</v>
      </c>
      <c r="X323" s="6" t="str">
        <f>IFERROR(__xludf.DUMMYFUNCTION("""COMPUTED_VALUE"""),"Бульвар Строителей - парк Жукова - парк Ангелов.")</f>
        <v>Бульвар Строителей - парк Жукова - парк Ангелов.</v>
      </c>
      <c r="Y323" s="6" t="str">
        <f>IFERROR(__xludf.DUMMYFUNCTION("""COMPUTED_VALUE"""),"Не знаю.")</f>
        <v>Не знаю.</v>
      </c>
      <c r="Z323" s="6" t="str">
        <f>IFERROR(__xludf.DUMMYFUNCTION("""COMPUTED_VALUE"""),"Не помню.")</f>
        <v>Не помню.</v>
      </c>
      <c r="AA323" s="6" t="str">
        <f>IFERROR(__xludf.DUMMYFUNCTION("""COMPUTED_VALUE"""),"Не помню.")</f>
        <v>Не помню.</v>
      </c>
      <c r="AB323" s="6" t="str">
        <f>IFERROR(__xludf.DUMMYFUNCTION("""COMPUTED_VALUE"""),"Никаких.")</f>
        <v>Никаких.</v>
      </c>
      <c r="AC323" s="6" t="str">
        <f>IFERROR(__xludf.DUMMYFUNCTION("""COMPUTED_VALUE"""),"Не знаю.")</f>
        <v>Не знаю.</v>
      </c>
      <c r="AD323" s="6" t="str">
        <f>IFERROR(__xludf.DUMMYFUNCTION("""COMPUTED_VALUE"""),"Ни в какой.")</f>
        <v>Ни в какой.</v>
      </c>
      <c r="AE323" s="6" t="str">
        <f>IFERROR(__xludf.DUMMYFUNCTION("""COMPUTED_VALUE"""),"Мужской")</f>
        <v>Мужской</v>
      </c>
      <c r="AF323" s="6" t="str">
        <f>IFERROR(__xludf.DUMMYFUNCTION("""COMPUTED_VALUE"""),"старше 55")</f>
        <v>старше 55</v>
      </c>
      <c r="AG323" s="6"/>
      <c r="AH323" s="6"/>
      <c r="AI323" s="6"/>
      <c r="AJ323" s="6"/>
      <c r="AK323" s="6"/>
      <c r="AL323" s="6"/>
      <c r="AM323" s="6"/>
    </row>
    <row r="324">
      <c r="A324" s="4">
        <v>323.0</v>
      </c>
      <c r="B324" s="6" t="str">
        <f>IFERROR(__xludf.DUMMYFUNCTION("""COMPUTED_VALUE"""),"Студент")</f>
        <v>Студент</v>
      </c>
      <c r="C324" s="6" t="str">
        <f>IFERROR(__xludf.DUMMYFUNCTION("""COMPUTED_VALUE"""),"Вышиваю крестиком")</f>
        <v>Вышиваю крестиком</v>
      </c>
      <c r="D324" s="6" t="str">
        <f>IFERROR(__xludf.DUMMYFUNCTION("""COMPUTED_VALUE"""),"Центральный, так и называю")</f>
        <v>Центральный, так и называю</v>
      </c>
      <c r="E324" s="6" t="str">
        <f>IFERROR(__xludf.DUMMYFUNCTION("""COMPUTED_VALUE"""),"Центральная площадь, площадь Волкова, Поклонная гора")</f>
        <v>Центральная площадь, площадь Волкова, Поклонная гора</v>
      </c>
      <c r="F324" s="6" t="str">
        <f>IFERROR(__xludf.DUMMYFUNCTION("""COMPUTED_VALUE"""),"Живу здесь с рождения")</f>
        <v>Живу здесь с рождения</v>
      </c>
      <c r="G324" s="6" t="str">
        <f>IFERROR(__xludf.DUMMYFUNCTION("""COMPUTED_VALUE"""),"В парк ангелов, больше некуда ")</f>
        <v>В парк ангелов, больше некуда </v>
      </c>
      <c r="H324" s="6" t="str">
        <f>IFERROR(__xludf.DUMMYFUNCTION("""COMPUTED_VALUE"""),"Шахта, уголь, завод, Политех, СДС")</f>
        <v>Шахта, уголь, завод, Политех, СДС</v>
      </c>
      <c r="I324" s="6" t="str">
        <f>IFERROR(__xludf.DUMMYFUNCTION("""COMPUTED_VALUE"""),"Вера Волошина, Михайло Волков, Алексей Леонов, Рукавишников Степан")</f>
        <v>Вера Волошина, Михайло Волков, Алексей Леонов, Рукавишников Степан</v>
      </c>
      <c r="J324" s="6" t="str">
        <f>IFERROR(__xludf.DUMMYFUNCTION("""COMPUTED_VALUE"""),"А.Г. Тулеев")</f>
        <v>А.Г. Тулеев</v>
      </c>
      <c r="K324" s="6" t="str">
        <f>IFERROR(__xludf.DUMMYFUNCTION("""COMPUTED_VALUE"""),"Поклонная гора, Парк Ангелов, арт-пространство Клумба")</f>
        <v>Поклонная гора, Парк Ангелов, арт-пространство Клумба</v>
      </c>
      <c r="L324" s="6" t="str">
        <f>IFERROR(__xludf.DUMMYFUNCTION("""COMPUTED_VALUE"""),"В России 2 беды: дураки и дороги")</f>
        <v>В России 2 беды: дураки и дороги</v>
      </c>
      <c r="M324" s="6" t="str">
        <f>IFERROR(__xludf.DUMMYFUNCTION("""COMPUTED_VALUE"""),"-")</f>
        <v>-</v>
      </c>
      <c r="N324" s="6" t="str">
        <f>IFERROR(__xludf.DUMMYFUNCTION("""COMPUTED_VALUE"""),"Наличие парков и мест для прогулки и отдыха
Наличие бассейна, пляжа
Наличие красивой набережной, если имеется река
Наличие хорошего парка аттракционов
Множество торговых центров и разнообразие магазинов")</f>
        <v>Наличие парков и мест для прогулки и отдыха
Наличие бассейна, пляжа
Наличие красивой набережной, если имеется река
Наличие хорошего парка аттракционов
Множество торговых центров и разнообразие магазинов</v>
      </c>
      <c r="O324" s="6" t="str">
        <f>IFERROR(__xludf.DUMMYFUNCTION("""COMPUTED_VALUE"""),"Снести малоэтажные дома (район вокзала и швейки), потому что дома уже сыпятся, и построить новые хорошие дома. Построить парки")</f>
        <v>Снести малоэтажные дома (район вокзала и швейки), потому что дома уже сыпятся, и построить новые хорошие дома. Построить парки</v>
      </c>
      <c r="P324" s="6" t="str">
        <f>IFERROR(__xludf.DUMMYFUNCTION("""COMPUTED_VALUE"""),"Университет")</f>
        <v>Университет</v>
      </c>
      <c r="Q32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v>
      </c>
      <c r="R324" s="6" t="str">
        <f>IFERROR(__xludf.DUMMYFUNCTION("""COMPUTED_VALUE"""),"-")</f>
        <v>-</v>
      </c>
      <c r="S324" s="6" t="str">
        <f>IFERROR(__xludf.DUMMYFUNCTION("""COMPUTED_VALUE"""),"Нет, не приходилось")</f>
        <v>Нет, не приходилось</v>
      </c>
      <c r="T324" s="6" t="str">
        <f>IFERROR(__xludf.DUMMYFUNCTION("""COMPUTED_VALUE"""),"Известен СДС, шахтами, углем, космонавтами, трагедией в Зимней Вишне. На данный момент ничего уникального не вижу")</f>
        <v>Известен СДС, шахтами, углем, космонавтами, трагедией в Зимней Вишне. На данный момент ничего уникального не вижу</v>
      </c>
      <c r="U324" s="6" t="str">
        <f>IFERROR(__xludf.DUMMYFUNCTION("""COMPUTED_VALUE"""),"Площадь советов")</f>
        <v>Площадь советов</v>
      </c>
      <c r="V324" s="6" t="str">
        <f>IFERROR(__xludf.DUMMYFUNCTION("""COMPUTED_VALUE"""),"-")</f>
        <v>-</v>
      </c>
      <c r="W324" s="6" t="str">
        <f>IFERROR(__xludf.DUMMYFUNCTION("""COMPUTED_VALUE"""),"Грустные, но добрые, любят выпить")</f>
        <v>Грустные, но добрые, любят выпить</v>
      </c>
      <c r="X324" s="6" t="str">
        <f>IFERROR(__xludf.DUMMYFUNCTION("""COMPUTED_VALUE"""),"Парк ангелов, площадь советов, арт-пространство Клумба, Поклонная гора")</f>
        <v>Парк ангелов, площадь советов, арт-пространство Клумба, Поклонная гора</v>
      </c>
      <c r="Y324" s="6" t="str">
        <f>IFERROR(__xludf.DUMMYFUNCTION("""COMPUTED_VALUE"""),"-")</f>
        <v>-</v>
      </c>
      <c r="Z324" s="6" t="str">
        <f>IFERROR(__xludf.DUMMYFUNCTION("""COMPUTED_VALUE"""),"Поступление в Политех")</f>
        <v>Поступление в Политех</v>
      </c>
      <c r="AA324" s="6" t="str">
        <f>IFERROR(__xludf.DUMMYFUNCTION("""COMPUTED_VALUE"""),"-")</f>
        <v>-</v>
      </c>
      <c r="AB324" s="6" t="str">
        <f>IFERROR(__xludf.DUMMYFUNCTION("""COMPUTED_VALUE"""),"-")</f>
        <v>-</v>
      </c>
      <c r="AC324" s="6" t="str">
        <f>IFERROR(__xludf.DUMMYFUNCTION("""COMPUTED_VALUE"""),"-")</f>
        <v>-</v>
      </c>
      <c r="AD324" s="6" t="str">
        <f>IFERROR(__xludf.DUMMYFUNCTION("""COMPUTED_VALUE"""),"Волонтер")</f>
        <v>Волонтер</v>
      </c>
      <c r="AE324" s="6" t="str">
        <f>IFERROR(__xludf.DUMMYFUNCTION("""COMPUTED_VALUE"""),"Женский")</f>
        <v>Женский</v>
      </c>
      <c r="AF324" s="6" t="str">
        <f>IFERROR(__xludf.DUMMYFUNCTION("""COMPUTED_VALUE"""),"18-29")</f>
        <v>18-29</v>
      </c>
      <c r="AG324" s="6"/>
      <c r="AH324" s="6"/>
      <c r="AI324" s="6"/>
      <c r="AJ324" s="6"/>
      <c r="AK324" s="6"/>
      <c r="AL324" s="6"/>
      <c r="AM324" s="6"/>
    </row>
    <row r="325">
      <c r="A325" s="4">
        <v>324.0</v>
      </c>
      <c r="B325" s="6" t="str">
        <f>IFERROR(__xludf.DUMMYFUNCTION("""COMPUTED_VALUE"""),"Врач-онколог")</f>
        <v>Врач-онколог</v>
      </c>
      <c r="C325" s="6" t="str">
        <f>IFERROR(__xludf.DUMMYFUNCTION("""COMPUTED_VALUE"""),"Прогулки, катание на велосипеде, плавание, люблю ходить в театры и кино. ")</f>
        <v>Прогулки, катание на велосипеде, плавание, люблю ходить в театры и кино. </v>
      </c>
      <c r="D325" s="6" t="str">
        <f>IFERROR(__xludf.DUMMYFUNCTION("""COMPUTED_VALUE"""),"ФПК и Ленинский. Так и называем. ")</f>
        <v>ФПК и Ленинский. Так и называем. </v>
      </c>
      <c r="E325" s="6" t="str">
        <f>IFERROR(__xludf.DUMMYFUNCTION("""COMPUTED_VALUE"""),"На ФПК я недавно, месяц, кроме Гринвича, мне кажется, там ничего и нет. 
А вот там где живу (пересечение Ленина и Волгоградской) - вот там в шаговой доступности реально ничего нет")</f>
        <v>На ФПК я недавно, месяц, кроме Гринвича, мне кажется, там ничего и нет. 
А вот там где живу (пересечение Ленина и Волгоградской) - вот там в шаговой доступности реально ничего нет</v>
      </c>
      <c r="F325" s="6" t="str">
        <f>IFERROR(__xludf.DUMMYFUNCTION("""COMPUTED_VALUE"""),"Переехал сюда из другого места (откуда? укажите в графе другое), Из Мариинска ")</f>
        <v>Переехал сюда из другого места (откуда? укажите в графе другое), Из Мариинска </v>
      </c>
      <c r="G325" s="6" t="str">
        <f>IFERROR(__xludf.DUMMYFUNCTION("""COMPUTED_VALUE"""),"За 7 лет уже никуда особо не хожу. Ничего нового нет, а что есть, то всё грязное ")</f>
        <v>За 7 лет уже никуда особо не хожу. Ничего нового нет, а что есть, то всё грязное </v>
      </c>
      <c r="H325" s="6" t="str">
        <f>IFERROR(__xludf.DUMMYFUNCTION("""COMPUTED_VALUE"""),"Грязь, плохая экология, Стройка, машины, серость")</f>
        <v>Грязь, плохая экология, Стройка, машины, серость</v>
      </c>
      <c r="I325" s="6" t="str">
        <f>IFERROR(__xludf.DUMMYFUNCTION("""COMPUTED_VALUE"""),"Именно прошлого и именно с городом не могу вспомнить навскидку, с региона могу, а именно с города - нет. А, Вера Волошина, вот. ")</f>
        <v>Именно прошлого и именно с городом не могу вспомнить навскидку, с региона могу, а именно с города - нет. А, Вера Волошина, вот. </v>
      </c>
      <c r="J325" s="6" t="str">
        <f>IFERROR(__xludf.DUMMYFUNCTION("""COMPUTED_VALUE"""),"Ну не знаю равняются ли на них, люди разные же. Гришковец, в области искусств. Тиньков Олег, мировое имя в банковской области. Не помню с Кемерово он связан или с городом региона. ")</f>
        <v>Ну не знаю равняются ли на них, люди разные же. Гришковец, в области искусств. Тиньков Олег, мировое имя в банковской области. Не помню с Кемерово он связан или с городом региона. </v>
      </c>
      <c r="K325" s="6" t="str">
        <f>IFERROR(__xludf.DUMMYFUNCTION("""COMPUTED_VALUE"""),"Вот даже не знаю, наверное никуда особо бы их не повёл. Может в юбилейный, в вип зал, но это именно что разовая акция, дорого. В парке рядом есть дом перевёрнутый, не обычный, можно сводить. Уток показать, но не знаю насколько им будет интересно, парк в т"&amp;"ом месте не очень хороший, на мой взгляд. Вообще, нашим паркам не хватает колорита. Может у меня в глазах посерело, но если так, то только после того, как побывал в других городах. 
По набережной можно было бы прогуляться. 
Вспомнил, как мог забыть вообще"&amp;" - парк ангелов. ")</f>
        <v>Вот даже не знаю, наверное никуда особо бы их не повёл. Может в юбилейный, в вип зал, но это именно что разовая акция, дорого. В парке рядом есть дом перевёрнутый, не обычный, можно сводить. Уток показать, но не знаю насколько им будет интересно, парк в том месте не очень хороший, на мой взгляд. Вообще, нашим паркам не хватает колорита. Может у меня в глазах посерело, но если так, то только после того, как побывал в других городах. 
По набережной можно было бы прогуляться. 
Вспомнил, как мог забыть вообще - парк ангелов. </v>
      </c>
      <c r="L325" s="6" t="str">
        <f>IFERROR(__xludf.DUMMYFUNCTION("""COMPUTED_VALUE"""),"Не могу вот так сразу и придумать. ")</f>
        <v>Не могу вот так сразу и придумать. </v>
      </c>
      <c r="M325" s="6" t="str">
        <f>IFERROR(__xludf.DUMMYFUNCTION("""COMPUTED_VALUE"""),"Вряд ли. Раньше какие-то помнил, именно кемеровские, но теперь уже не помню. ")</f>
        <v>Вряд ли. Раньше какие-то помнил, именно кемеровские, но теперь уже не помню. </v>
      </c>
      <c r="N325" s="6" t="str">
        <f>IFERROR(__xludf.DUMMYFUNCTION("""COMPUTED_VALUE"""),"Экология; зелёные места отдыха (парки, леса (которые обустроены для прогулок, а не как в бору у нас), скверы (парк ангелов очень хороший)); инфраструктура; культурные объекты отдыха (музеи, театры (они есть, но в театрах настолько всё однообразно у нас, о"&amp;"дно и то же крутиться каждую неделю), Арт-объекты ( на весенней вроде бы, есть граффити на всю стену дому, там ступеньки изображены, парень с девушкой, окошки, небо. Я, когда впервые увидел, не сразу понял, что это нарисовано. Так же и знакомые многие мои"&amp;". Так вот сейчас он в плохом состоянии. Время наложило свои отпечаток, а реставрация вряд ли будет)); развитая дорога для пешеходов и машин. У нас не везде тротуары есть, приходится переходить дорогу. И очень хотелось бы уже поднять голову наверх и не вид"&amp;"еть небо в клеточку из-за проводов вездесущих. ")</f>
        <v>Экология; зелёные места отдыха (парки, леса (которые обустроены для прогулок, а не как в бору у нас), скверы (парк ангелов очень хороший)); инфраструктура; культурные объекты отдыха (музеи, театры (они есть, но в театрах настолько всё однообразно у нас, одно и то же крутиться каждую неделю), Арт-объекты ( на весенней вроде бы, есть граффити на всю стену дому, там ступеньки изображены, парень с девушкой, окошки, небо. Я, когда впервые увидел, не сразу понял, что это нарисовано. Так же и знакомые многие мои. Так вот сейчас он в плохом состоянии. Время наложило свои отпечаток, а реставрация вряд ли будет)); развитая дорога для пешеходов и машин. У нас не везде тротуары есть, приходится переходить дорогу. И очень хотелось бы уже поднять голову наверх и не видеть небо в клеточку из-за проводов вездесущих. </v>
      </c>
      <c r="O325" s="6" t="str">
        <f>IFERROR(__xludf.DUMMYFUNCTION("""COMPUTED_VALUE"""),"Убрать провода поверх голов под землю. ")</f>
        <v>Убрать провода поверх голов под землю. </v>
      </c>
      <c r="P325" s="6" t="str">
        <f>IFERROR(__xludf.DUMMYFUNCTION("""COMPUTED_VALUE"""),"Целенаправлено ищу сам. На сайтах кинотеатров, театров, музеев. ")</f>
        <v>Целенаправлено ищу сам. На сайтах кинотеатров, театров, музеев. </v>
      </c>
      <c r="Q325" s="6" t="str">
        <f>IFERROR(__xludf.DUMMYFUNCTION("""COMPUTED_VALUE"""),"куда пойти в свободное время, где вкусно поесть/открытие новых кафе/ресторанов, культурные новинки (что почитать/что послушать)")</f>
        <v>куда пойти в свободное время, где вкусно поесть/открытие новых кафе/ресторанов, культурные новинки (что почитать/что послушать)</v>
      </c>
      <c r="R325" s="6" t="str">
        <f>IFERROR(__xludf.DUMMYFUNCTION("""COMPUTED_VALUE"""),"Общегородских, наверное никаких. Для других жителей видимо день шахтёра. Не знаю насколько сильно он важен для других, у меня шахтёров нет даже в знакомых, но празднуют его как день города. ")</f>
        <v>Общегородских, наверное никаких. Для других жителей видимо день шахтёра. Не знаю насколько сильно он важен для других, у меня шахтёров нет даже в знакомых, но празднуют его как день города. </v>
      </c>
      <c r="S325" s="6" t="str">
        <f>IFERROR(__xludf.DUMMYFUNCTION("""COMPUTED_VALUE"""),"Нет, не приходилось")</f>
        <v>Нет, не приходилось</v>
      </c>
      <c r="T325" s="6" t="str">
        <f>IFERROR(__xludf.DUMMYFUNCTION("""COMPUTED_VALUE"""),"Угольная столица. Сейчас все скорее всего знают Кемерово по сгоревшему торговому центру ")</f>
        <v>Угольная столица. Сейчас все скорее всего знают Кемерово по сгоревшему торговому центру </v>
      </c>
      <c r="U325" s="6" t="str">
        <f>IFERROR(__xludf.DUMMYFUNCTION("""COMPUTED_VALUE"""),"Ничего")</f>
        <v>Ничего</v>
      </c>
      <c r="V325" s="6" t="str">
        <f>IFERROR(__xludf.DUMMYFUNCTION("""COMPUTED_VALUE"""),"Не могу ответить ")</f>
        <v>Не могу ответить </v>
      </c>
      <c r="W325" s="6" t="str">
        <f>IFERROR(__xludf.DUMMYFUNCTION("""COMPUTED_VALUE"""),"Обычные, такие же как и везде. Есть хорошие, есть плохие. Есть честные, есть не честные. ")</f>
        <v>Обычные, такие же как и везде. Есть хорошие, есть плохие. Есть честные, есть не честные. </v>
      </c>
      <c r="X325" s="6" t="str">
        <f>IFERROR(__xludf.DUMMYFUNCTION("""COMPUTED_VALUE"""),"Набережная ")</f>
        <v>Набережная </v>
      </c>
      <c r="Y325" s="6" t="str">
        <f>IFERROR(__xludf.DUMMYFUNCTION("""COMPUTED_VALUE"""),"Не могу сказать")</f>
        <v>Не могу сказать</v>
      </c>
      <c r="Z325" s="6" t="str">
        <f>IFERROR(__xludf.DUMMYFUNCTION("""COMPUTED_VALUE"""),"Никаких")</f>
        <v>Никаких</v>
      </c>
      <c r="AA325" s="6" t="str">
        <f>IFERROR(__xludf.DUMMYFUNCTION("""COMPUTED_VALUE"""),"Не могу ответить. ")</f>
        <v>Не могу ответить. </v>
      </c>
      <c r="AB325" s="6" t="str">
        <f>IFERROR(__xludf.DUMMYFUNCTION("""COMPUTED_VALUE"""),"А какие есть у нас?")</f>
        <v>А какие есть у нас?</v>
      </c>
      <c r="AC325" s="6" t="str">
        <f>IFERROR(__xludf.DUMMYFUNCTION("""COMPUTED_VALUE"""),"Разные массовые. Что бы для многих людей. Игры или культурные какие либо. В толпе все стараются быть лучше. Да и сплотиться можно. ")</f>
        <v>Разные массовые. Что бы для многих людей. Игры или культурные какие либо. В толпе все стараются быть лучше. Да и сплотиться можно. </v>
      </c>
      <c r="AD325" s="6" t="str">
        <f>IFERROR(__xludf.DUMMYFUNCTION("""COMPUTED_VALUE""")," .")</f>
        <v> .</v>
      </c>
      <c r="AE325" s="6" t="str">
        <f>IFERROR(__xludf.DUMMYFUNCTION("""COMPUTED_VALUE"""),"Мужской")</f>
        <v>Мужской</v>
      </c>
      <c r="AF325" s="6" t="str">
        <f>IFERROR(__xludf.DUMMYFUNCTION("""COMPUTED_VALUE"""),"18-29")</f>
        <v>18-29</v>
      </c>
      <c r="AG325" s="6"/>
      <c r="AH325" s="6"/>
      <c r="AI325" s="6"/>
      <c r="AJ325" s="6"/>
      <c r="AK325" s="6"/>
      <c r="AL325" s="6"/>
      <c r="AM325" s="6"/>
    </row>
    <row r="326">
      <c r="A326" s="4">
        <v>325.0</v>
      </c>
      <c r="B326" s="6" t="str">
        <f>IFERROR(__xludf.DUMMYFUNCTION("""COMPUTED_VALUE"""),"Коммерческая. Страхование")</f>
        <v>Коммерческая. Страхование</v>
      </c>
      <c r="C326" s="6" t="str">
        <f>IFERROR(__xludf.DUMMYFUNCTION("""COMPUTED_VALUE"""),"пока только работа")</f>
        <v>пока только работа</v>
      </c>
      <c r="D326" s="6" t="str">
        <f>IFERROR(__xludf.DUMMYFUNCTION("""COMPUTED_VALUE"""),"ФПК")</f>
        <v>ФПК</v>
      </c>
      <c r="E326" s="6" t="str">
        <f>IFERROR(__xludf.DUMMYFUNCTION("""COMPUTED_VALUE"""),"Гринвич")</f>
        <v>Гринвич</v>
      </c>
      <c r="F326" s="6" t="str">
        <f>IFERROR(__xludf.DUMMYFUNCTION("""COMPUTED_VALUE"""),"Переехал сюда из другого места (откуда? укажите в графе другое), г. Белово - после службы в ПВ КГБ СССР поступил в медицинский институт")</f>
        <v>Переехал сюда из другого места (откуда? укажите в графе другое), г. Белово - после службы в ПВ КГБ СССР поступил в медицинский институт</v>
      </c>
      <c r="G326" s="6" t="str">
        <f>IFERROR(__xludf.DUMMYFUNCTION("""COMPUTED_VALUE"""),"никуда к сожалению, нет времени")</f>
        <v>никуда к сожалению, нет времени</v>
      </c>
      <c r="H326" s="6" t="str">
        <f>IFERROR(__xludf.DUMMYFUNCTION("""COMPUTED_VALUE"""),"Сибирь / Красная горка / Шахтеры / Кардиоцентр / ""Человек из Кемерово""(БГ Аквариум)")</f>
        <v>Сибирь / Красная горка / Шахтеры / Кардиоцентр / "Человек из Кемерово"(БГ Аквариум)</v>
      </c>
      <c r="I326" s="6" t="str">
        <f>IFERROR(__xludf.DUMMYFUNCTION("""COMPUTED_VALUE"""),"М.Волков, Рутгерс, Подгорбунский")</f>
        <v>М.Волков, Рутгерс, Подгорбунский</v>
      </c>
      <c r="J326" s="6" t="str">
        <f>IFERROR(__xludf.DUMMYFUNCTION("""COMPUTED_VALUE"""),"Глава города Михайлов")</f>
        <v>Глава города Михайлов</v>
      </c>
      <c r="K326" s="6" t="str">
        <f>IFERROR(__xludf.DUMMYFUNCTION("""COMPUTED_VALUE"""),"ул. Весенняя, Лесная поляна, б-р Строителей, отель Парк Грааль, Забой, Парк Ангелов")</f>
        <v>ул. Весенняя, Лесная поляна, б-р Строителей, отель Парк Грааль, Забой, Парк Ангелов</v>
      </c>
      <c r="L326" s="6" t="str">
        <f>IFERROR(__xludf.DUMMYFUNCTION("""COMPUTED_VALUE"""),"""Человек из Кемерово""(БГ Аквариум)")</f>
        <v>"Человек из Кемерово"(БГ Аквариум)</v>
      </c>
      <c r="M326" s="6" t="str">
        <f>IFERROR(__xludf.DUMMYFUNCTION("""COMPUTED_VALUE"""),"""Человек из Кемерово""(БГ Аквариум)")</f>
        <v>"Человек из Кемерово"(БГ Аквариум)</v>
      </c>
      <c r="N326" s="6" t="str">
        <f>IFERROR(__xludf.DUMMYFUNCTION("""COMPUTED_VALUE"""),"Воздух, регулярный общественный транспорт, отсутствие ""пробок"" и ""узких/бутылочных горлышек"" на дорогах, зелень, хорошие дороги, дома и люди")</f>
        <v>Воздух, регулярный общественный транспорт, отсутствие "пробок" и "узких/бутылочных горлышек" на дорогах, зелень, хорошие дороги, дома и люди</v>
      </c>
      <c r="O326" s="6" t="str">
        <f>IFERROR(__xludf.DUMMYFUNCTION("""COMPUTED_VALUE"""),"ДОРОГИ, особенно пре-дворовые территории (на ФПК пр. Молодежный 6 - руины, грязь, ямы...). парковки для ТС")</f>
        <v>ДОРОГИ, особенно пре-дворовые территории (на ФПК пр. Молодежный 6 - руины, грязь, ямы...). парковки для ТС</v>
      </c>
      <c r="P326" s="6" t="str">
        <f>IFERROR(__xludf.DUMMYFUNCTION("""COMPUTED_VALUE"""),"ТВ")</f>
        <v>ТВ</v>
      </c>
      <c r="Q326" s="6" t="str">
        <f>IFERROR(__xludf.DUMMYFUNCTION("""COMPUTED_VALUE"""),"интервью с местными политиками, интервью с местными предпринимателями, новости про новые профессии/куда поступать/вакансии")</f>
        <v>интервью с местными политиками, интервью с местными предпринимателями, новости про новые профессии/куда поступать/вакансии</v>
      </c>
      <c r="R326" s="6" t="str">
        <f>IFERROR(__xludf.DUMMYFUNCTION("""COMPUTED_VALUE"""),"День города. День Шахтера")</f>
        <v>День города. День Шахтера</v>
      </c>
      <c r="S326" s="6" t="str">
        <f>IFERROR(__xludf.DUMMYFUNCTION("""COMPUTED_VALUE"""),"учавствовал в организации выборных компаний на всех уровнях")</f>
        <v>учавствовал в организации выборных компаний на всех уровнях</v>
      </c>
      <c r="T326" s="6" t="str">
        <f>IFERROR(__xludf.DUMMYFUNCTION("""COMPUTED_VALUE"""),"М.Волков, Красная горка")</f>
        <v>М.Волков, Красная горка</v>
      </c>
      <c r="U326" s="6" t="str">
        <f>IFERROR(__xludf.DUMMYFUNCTION("""COMPUTED_VALUE"""),"Площадь Советов")</f>
        <v>Площадь Советов</v>
      </c>
      <c r="V326" s="6" t="str">
        <f>IFERROR(__xludf.DUMMYFUNCTION("""COMPUTED_VALUE"""),"Завоевали победу в ВОВ 1945")</f>
        <v>Завоевали победу в ВОВ 1945</v>
      </c>
      <c r="W326" s="6" t="str">
        <f>IFERROR(__xludf.DUMMYFUNCTION("""COMPUTED_VALUE"""),"Трудолюбивые, спокойные, по сибирски суровые, остроумные, твердые, верные")</f>
        <v>Трудолюбивые, спокойные, по сибирски суровые, остроумные, твердые, верные</v>
      </c>
      <c r="X326" s="6" t="str">
        <f>IFERROR(__xludf.DUMMYFUNCTION("""COMPUTED_VALUE"""),"Лесная поляна")</f>
        <v>Лесная поляна</v>
      </c>
      <c r="Y326" s="6" t="str">
        <f>IFERROR(__xludf.DUMMYFUNCTION("""COMPUTED_VALUE"""),"переименование из п. Щегловка в г. Кемерово")</f>
        <v>переименование из п. Щегловка в г. Кемерово</v>
      </c>
      <c r="Z326" s="6" t="str">
        <f>IFERROR(__xludf.DUMMYFUNCTION("""COMPUTED_VALUE"""),"открытие автомагистрали Кемерово - … Новокузнецк")</f>
        <v>открытие автомагистрали Кемерово - … Новокузнецк</v>
      </c>
      <c r="AA326" s="6" t="str">
        <f>IFERROR(__xludf.DUMMYFUNCTION("""COMPUTED_VALUE"""),"Отвратительное хождение общественного транспорта(особенно до/от ФПК), объединение ВУЗов в один кластер - в КемГУ (сокращение сотрудников, огромный ущерб для родителей и самих студентов, не успевших закончить сокращенные ВУЗы, отток студентов в др. регионы"&amp;"!!!), Выбросы газов в атмосферу, ...")</f>
        <v>Отвратительное хождение общественного транспорта(особенно до/от ФПК), объединение ВУЗов в один кластер - в КемГУ (сокращение сотрудников, огромный ущерб для родителей и самих студентов, не успевших закончить сокращенные ВУЗы, отток студентов в др. регионы!!!), Выбросы газов в атмосферу, ...</v>
      </c>
      <c r="AB326" s="6" t="str">
        <f>IFERROR(__xludf.DUMMYFUNCTION("""COMPUTED_VALUE"""),"благоустройство придворовых территорий")</f>
        <v>благоустройство придворовых территорий</v>
      </c>
      <c r="AC326" s="6" t="str">
        <f>IFERROR(__xludf.DUMMYFUNCTION("""COMPUTED_VALUE"""),"построить пару мостов для м/г трафика ТС в обход города(воздух чище, дороги чище и целее, пробок меньше, организация движения общественного транспорта(особенно до/от ФПК)")</f>
        <v>построить пару мостов для м/г трафика ТС в обход города(воздух чище, дороги чище и целее, пробок меньше, организация движения общественного транспорта(особенно до/от ФПК)</v>
      </c>
      <c r="AD326" s="6" t="str">
        <f>IFERROR(__xludf.DUMMYFUNCTION("""COMPUTED_VALUE"""),"Надо до этого еще дожить")</f>
        <v>Надо до этого еще дожить</v>
      </c>
      <c r="AE326" s="6" t="str">
        <f>IFERROR(__xludf.DUMMYFUNCTION("""COMPUTED_VALUE"""),"Мужской")</f>
        <v>Мужской</v>
      </c>
      <c r="AF326" s="6" t="str">
        <f>IFERROR(__xludf.DUMMYFUNCTION("""COMPUTED_VALUE"""),"45-55")</f>
        <v>45-55</v>
      </c>
      <c r="AG326" s="6"/>
      <c r="AH326" s="6"/>
      <c r="AI326" s="6"/>
      <c r="AJ326" s="6"/>
      <c r="AK326" s="6"/>
      <c r="AL326" s="6"/>
      <c r="AM326" s="6"/>
    </row>
    <row r="327">
      <c r="A327" s="4">
        <v>326.0</v>
      </c>
      <c r="B327" s="6" t="str">
        <f>IFERROR(__xludf.DUMMYFUNCTION("""COMPUTED_VALUE"""),"Информационная безопасность, IT")</f>
        <v>Информационная безопасность, IT</v>
      </c>
      <c r="C327" s="6" t="str">
        <f>IFERROR(__xludf.DUMMYFUNCTION("""COMPUTED_VALUE"""),"Боевые искусства, музыка")</f>
        <v>Боевые искусства, музыка</v>
      </c>
      <c r="D327" s="6" t="str">
        <f>IFERROR(__xludf.DUMMYFUNCTION("""COMPUTED_VALUE"""),"Кировский")</f>
        <v>Кировский</v>
      </c>
      <c r="E327" s="6" t="str">
        <f>IFERROR(__xludf.DUMMYFUNCTION("""COMPUTED_VALUE"""),"Берёзовая роща, площадь ДК Кировского, парк на набережной, стадион Кировец")</f>
        <v>Берёзовая роща, площадь ДК Кировского, парк на набережной, стадион Кировец</v>
      </c>
      <c r="F327" s="6" t="str">
        <f>IFERROR(__xludf.DUMMYFUNCTION("""COMPUTED_VALUE"""),"Живу здесь с рождения, Родился здесь,но сейчас живу в другом городе")</f>
        <v>Живу здесь с рождения, Родился здесь,но сейчас живу в другом городе</v>
      </c>
      <c r="G327" s="6" t="str">
        <f>IFERROR(__xludf.DUMMYFUNCTION("""COMPUTED_VALUE"""),"Парк Ангелов, площадь Советов, парк Жукова, окраины города, гуляю по своему району либо же хожу в места, в которых не был")</f>
        <v>Парк Ангелов, площадь Советов, парк Жукова, окраины города, гуляю по своему району либо же хожу в места, в которых не был</v>
      </c>
      <c r="H327" s="6" t="str">
        <f>IFERROR(__xludf.DUMMYFUNCTION("""COMPUTED_VALUE"""),"Уголь, смог, спокойствие, Волков, Бегемот")</f>
        <v>Уголь, смог, спокойствие, Волков, Бегемот</v>
      </c>
      <c r="I327" s="6" t="str">
        <f>IFERROR(__xludf.DUMMYFUNCTION("""COMPUTED_VALUE"""),"Михайло Волков, Вера Волошина, Юрий Двужильный")</f>
        <v>Михайло Волков, Вера Волошина, Юрий Двужильный</v>
      </c>
      <c r="J327" s="6" t="str">
        <f>IFERROR(__xludf.DUMMYFUNCTION("""COMPUTED_VALUE"""),"Затрудняюсь ответить")</f>
        <v>Затрудняюсь ответить</v>
      </c>
      <c r="K327" s="6" t="str">
        <f>IFERROR(__xludf.DUMMYFUNCTION("""COMPUTED_VALUE"""),"Парк Ангелов, Парк Жукова, городские площади, заброшенный завод ""Прогресс"" и ""Коммунар"", Парк Чудес, парк им. Веры Волошиной, аллея на ул. Патриотов, памятник Шахтёру на холме возле Кузнецкого моста, Сосновый бор и другие места")</f>
        <v>Парк Ангелов, Парк Жукова, городские площади, заброшенный завод "Прогресс" и "Коммунар", Парк Чудес, парк им. Веры Волошиной, аллея на ул. Патриотов, памятник Шахтёру на холме возле Кузнецкого моста, Сосновый бор и другие места</v>
      </c>
      <c r="L327" s="6" t="str">
        <f>IFERROR(__xludf.DUMMYFUNCTION("""COMPUTED_VALUE"""),"Затрудняюсь ответить")</f>
        <v>Затрудняюсь ответить</v>
      </c>
      <c r="M327" s="6" t="str">
        <f>IFERROR(__xludf.DUMMYFUNCTION("""COMPUTED_VALUE"""),"""17 маршрут""")</f>
        <v>"17 маршрут"</v>
      </c>
      <c r="N327" s="6" t="str">
        <f>IFERROR(__xludf.DUMMYFUNCTION("""COMPUTED_VALUE"""),"Развитая инфраструктура, доступность важных объектов, налаженная система транспорта и сообщения, хорошее состояние городских объектов и города в целом (дороги, дома, постройки), хорошее экологическое состояние")</f>
        <v>Развитая инфраструктура, доступность важных объектов, налаженная система транспорта и сообщения, хорошее состояние городских объектов и города в целом (дороги, дома, постройки), хорошее экологическое состояние</v>
      </c>
      <c r="O327" s="6" t="str">
        <f>IFERROR(__xludf.DUMMYFUNCTION("""COMPUTED_VALUE"""),"Облицовки домов на многих некрупных улицах, капитальный ремонт ""хрущёвок""")</f>
        <v>Облицовки домов на многих некрупных улицах, капитальный ремонт "хрущёвок"</v>
      </c>
      <c r="P327" s="6" t="str">
        <f>IFERROR(__xludf.DUMMYFUNCTION("""COMPUTED_VALUE"""),"Паблик ""Типичный Кемерово"" и ""Инцидент Кемерово"", новостные порталы (А42)")</f>
        <v>Паблик "Типичный Кемерово" и "Инцидент Кемерово", новостные порталы (А42)</v>
      </c>
      <c r="Q327" s="6" t="str">
        <f>IFERROR(__xludf.DUMMYFUNCTION("""COMPUTED_VALUE"""),"криминальные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f>
        <v>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327" s="6" t="str">
        <f>IFERROR(__xludf.DUMMYFUNCTION("""COMPUTED_VALUE"""),"День города, День Шахтёра, 9 мая, Новый Год")</f>
        <v>День города, День Шахтёра, 9 мая, Новый Год</v>
      </c>
      <c r="S327" s="6" t="str">
        <f>IFERROR(__xludf.DUMMYFUNCTION("""COMPUTED_VALUE"""),"Нет, не приходилось")</f>
        <v>Нет, не приходилось</v>
      </c>
      <c r="T327" s="6" t="str">
        <f>IFERROR(__xludf.DUMMYFUNCTION("""COMPUTED_VALUE"""),"Мемы про уголь и ёлку за 18 млн, трагедия в Зимней Вишне")</f>
        <v>Мемы про уголь и ёлку за 18 млн, трагедия в Зимней Вишне</v>
      </c>
      <c r="U327" s="6" t="str">
        <f>IFERROR(__xludf.DUMMYFUNCTION("""COMPUTED_VALUE"""),"Нулевой километр на площади Советов")</f>
        <v>Нулевой километр на площади Советов</v>
      </c>
      <c r="V327" s="6" t="str">
        <f>IFERROR(__xludf.DUMMYFUNCTION("""COMPUTED_VALUE"""),"Сделали город таким, каким мы его знаем сейчас")</f>
        <v>Сделали город таким, каким мы его знаем сейчас</v>
      </c>
      <c r="W327" s="6" t="str">
        <f>IFERROR(__xludf.DUMMYFUNCTION("""COMPUTED_VALUE"""),"Суровые, но добрые душой")</f>
        <v>Суровые, но добрые душой</v>
      </c>
      <c r="X327" s="7" t="str">
        <f>IFERROR(__xludf.DUMMYFUNCTION("""COMPUTED_VALUE"""),"https://www.youtube.com/watch?v=5xCo4k7LRP0")</f>
        <v>https://www.youtube.com/watch?v=5xCo4k7LRP0</v>
      </c>
      <c r="Y327" s="6" t="str">
        <f>IFERROR(__xludf.DUMMYFUNCTION("""COMPUTED_VALUE"""),"Чемпионат мира по хоккею с мячом, трагедия в Зимней Вишне")</f>
        <v>Чемпионат мира по хоккею с мячом, трагедия в Зимней Вишне</v>
      </c>
      <c r="Z327" s="6" t="str">
        <f>IFERROR(__xludf.DUMMYFUNCTION("""COMPUTED_VALUE"""),"Реставрация Кировской набережной, постройка Парка Ангелов")</f>
        <v>Реставрация Кировской набережной, постройка Парка Ангелов</v>
      </c>
      <c r="AA327" s="6" t="str">
        <f>IFERROR(__xludf.DUMMYFUNCTION("""COMPUTED_VALUE"""),"Трагедия в Зимней Вишне, введение режима чёрного неба из-за смога")</f>
        <v>Трагедия в Зимней Вишне, введение режима чёрного неба из-за смога</v>
      </c>
      <c r="AB327" s="6" t="str">
        <f>IFERROR(__xludf.DUMMYFUNCTION("""COMPUTED_VALUE"""),"Затрудняюсь ответить")</f>
        <v>Затрудняюсь ответить</v>
      </c>
      <c r="AC327" s="6" t="str">
        <f>IFERROR(__xludf.DUMMYFUNCTION("""COMPUTED_VALUE"""),"Больше концертов, фестивалей и культурных мероприятий")</f>
        <v>Больше концертов, фестивалей и культурных мероприятий</v>
      </c>
      <c r="AD327" s="6" t="str">
        <f>IFERROR(__xludf.DUMMYFUNCTION("""COMPUTED_VALUE"""),"Бизнес-консультант")</f>
        <v>Бизнес-консультант</v>
      </c>
      <c r="AE327" s="6" t="str">
        <f>IFERROR(__xludf.DUMMYFUNCTION("""COMPUTED_VALUE"""),"Мужской")</f>
        <v>Мужской</v>
      </c>
      <c r="AF327" s="6" t="str">
        <f>IFERROR(__xludf.DUMMYFUNCTION("""COMPUTED_VALUE"""),"18-29")</f>
        <v>18-29</v>
      </c>
      <c r="AG327" s="6"/>
      <c r="AH327" s="6"/>
      <c r="AI327" s="6"/>
      <c r="AJ327" s="6"/>
      <c r="AK327" s="6"/>
      <c r="AL327" s="6"/>
      <c r="AM327" s="6"/>
    </row>
    <row r="328">
      <c r="A328" s="4">
        <v>327.0</v>
      </c>
      <c r="B328" s="6" t="str">
        <f>IFERROR(__xludf.DUMMYFUNCTION("""COMPUTED_VALUE"""),"Рабочий по найму")</f>
        <v>Рабочий по найму</v>
      </c>
      <c r="C328" s="6" t="str">
        <f>IFERROR(__xludf.DUMMYFUNCTION("""COMPUTED_VALUE"""),"Рыбалка")</f>
        <v>Рыбалка</v>
      </c>
      <c r="D328" s="6" t="str">
        <f>IFERROR(__xludf.DUMMYFUNCTION("""COMPUTED_VALUE"""),"Центральный, телевцентр")</f>
        <v>Центральный, телевцентр</v>
      </c>
      <c r="E328" s="6" t="str">
        <f>IFERROR(__xludf.DUMMYFUNCTION("""COMPUTED_VALUE"""),"ВГТРК КУЗБАСС , Губернаторский Лицей интернат")</f>
        <v>ВГТРК КУЗБАСС , Губернаторский Лицей интернат</v>
      </c>
      <c r="F328" s="6" t="str">
        <f>IFERROR(__xludf.DUMMYFUNCTION("""COMPUTED_VALUE"""),"Переехал сюда из другого места (откуда? укажите в графе другое), Топки")</f>
        <v>Переехал сюда из другого места (откуда? укажите в графе другое), Топки</v>
      </c>
      <c r="G328" s="6" t="str">
        <f>IFERROR(__xludf.DUMMYFUNCTION("""COMPUTED_VALUE"""),"Парк Веры Волошиной")</f>
        <v>Парк Веры Волошиной</v>
      </c>
      <c r="H328" s="6" t="str">
        <f>IFERROR(__xludf.DUMMYFUNCTION("""COMPUTED_VALUE"""),"Ямы, мусор, грязь, Родина,Сибирь.")</f>
        <v>Ямы, мусор, грязь, Родина,Сибирь.</v>
      </c>
      <c r="I328" s="6" t="str">
        <f>IFERROR(__xludf.DUMMYFUNCTION("""COMPUTED_VALUE"""),"Волков ,Карелин, Тулеев.")</f>
        <v>Волков ,Карелин, Тулеев.</v>
      </c>
      <c r="J328" s="6" t="str">
        <f>IFERROR(__xludf.DUMMYFUNCTION("""COMPUTED_VALUE"""),"Не вспомню. ")</f>
        <v>Не вспомню. </v>
      </c>
      <c r="K328" s="6" t="str">
        <f>IFERROR(__xludf.DUMMYFUNCTION("""COMPUTED_VALUE"""),"Набережная, Парк Чудес, Драммтеатр, красная горка. ")</f>
        <v>Набережная, Парк Чудес, Драммтеатр, красная горка. </v>
      </c>
      <c r="L328" s="6" t="str">
        <f>IFERROR(__xludf.DUMMYFUNCTION("""COMPUTED_VALUE"""),"Нет")</f>
        <v>Нет</v>
      </c>
      <c r="M328" s="6" t="str">
        <f>IFERROR(__xludf.DUMMYFUNCTION("""COMPUTED_VALUE"""),"Нет")</f>
        <v>Нет</v>
      </c>
      <c r="N328" s="6" t="str">
        <f>IFERROR(__xludf.DUMMYFUNCTION("""COMPUTED_VALUE"""),"Дороги, благоустройство города, отношение властей к горожанам.")</f>
        <v>Дороги, благоустройство города, отношение властей к горожанам.</v>
      </c>
      <c r="O328" s="6" t="str">
        <f>IFERROR(__xludf.DUMMYFUNCTION("""COMPUTED_VALUE"""),"Дороги, экологию и чистоту улиц и дворов.")</f>
        <v>Дороги, экологию и чистоту улиц и дворов.</v>
      </c>
      <c r="P328" s="6" t="str">
        <f>IFERROR(__xludf.DUMMYFUNCTION("""COMPUTED_VALUE"""),"Телеграмм")</f>
        <v>Телеграмм</v>
      </c>
      <c r="Q328" s="6" t="str">
        <f>IFERROR(__xludf.DUMMYFUNCTION("""COMPUTED_VALUE"""),"криминальные новости (происшествия/преступления)")</f>
        <v>криминальные новости (происшествия/преступления)</v>
      </c>
      <c r="R328" s="6" t="str">
        <f>IFERROR(__xludf.DUMMYFUNCTION("""COMPUTED_VALUE"""),"День города")</f>
        <v>День города</v>
      </c>
      <c r="S328" s="6" t="str">
        <f>IFERROR(__xludf.DUMMYFUNCTION("""COMPUTED_VALUE"""),"Нет, не приходилось")</f>
        <v>Нет, не приходилось</v>
      </c>
      <c r="T328" s="6" t="str">
        <f>IFERROR(__xludf.DUMMYFUNCTION("""COMPUTED_VALUE"""),"Талантами")</f>
        <v>Талантами</v>
      </c>
      <c r="U328" s="6" t="str">
        <f>IFERROR(__xludf.DUMMYFUNCTION("""COMPUTED_VALUE"""),"Площадь Советов")</f>
        <v>Площадь Советов</v>
      </c>
      <c r="V328" s="6" t="str">
        <f>IFERROR(__xludf.DUMMYFUNCTION("""COMPUTED_VALUE"""),"Достижения в разных сферах деятельности")</f>
        <v>Достижения в разных сферах деятельности</v>
      </c>
      <c r="W328" s="6" t="str">
        <f>IFERROR(__xludf.DUMMYFUNCTION("""COMPUTED_VALUE"""),"В большинстве своем добрые но чёрствые люди")</f>
        <v>В большинстве своем добрые но чёрствые люди</v>
      </c>
      <c r="X328" s="6" t="str">
        <f>IFERROR(__xludf.DUMMYFUNCTION("""COMPUTED_VALUE"""),"Ул.Весенняя")</f>
        <v>Ул.Весенняя</v>
      </c>
      <c r="Y328" s="6" t="str">
        <f>IFERROR(__xludf.DUMMYFUNCTION("""COMPUTED_VALUE"""),"Легенды мирового рока")</f>
        <v>Легенды мирового рока</v>
      </c>
      <c r="Z328" s="6" t="str">
        <f>IFERROR(__xludf.DUMMYFUNCTION("""COMPUTED_VALUE"""),"Нет")</f>
        <v>Нет</v>
      </c>
      <c r="AA328" s="6" t="str">
        <f>IFERROR(__xludf.DUMMYFUNCTION("""COMPUTED_VALUE"""),"Зимняя вишня")</f>
        <v>Зимняя вишня</v>
      </c>
      <c r="AB328" s="6" t="str">
        <f>IFERROR(__xludf.DUMMYFUNCTION("""COMPUTED_VALUE"""),"Не могу сказать")</f>
        <v>Не могу сказать</v>
      </c>
      <c r="AC328" s="6" t="str">
        <f>IFERROR(__xludf.DUMMYFUNCTION("""COMPUTED_VALUE"""),"Наведение и соблюдение порядка и благоустройства города")</f>
        <v>Наведение и соблюдение порядка и благоустройства города</v>
      </c>
      <c r="AD328" s="6" t="str">
        <f>IFERROR(__xludf.DUMMYFUNCTION("""COMPUTED_VALUE"""),"Предпринимательство")</f>
        <v>Предпринимательство</v>
      </c>
      <c r="AE328" s="6" t="str">
        <f>IFERROR(__xludf.DUMMYFUNCTION("""COMPUTED_VALUE"""),"Мужской")</f>
        <v>Мужской</v>
      </c>
      <c r="AF328" s="6" t="str">
        <f>IFERROR(__xludf.DUMMYFUNCTION("""COMPUTED_VALUE"""),"30-44")</f>
        <v>30-44</v>
      </c>
      <c r="AG328" s="6"/>
      <c r="AH328" s="6"/>
      <c r="AI328" s="6"/>
      <c r="AJ328" s="6"/>
      <c r="AK328" s="6"/>
      <c r="AL328" s="6"/>
      <c r="AM328" s="6"/>
    </row>
    <row r="329">
      <c r="A329" s="4">
        <v>328.0</v>
      </c>
      <c r="B329" s="6" t="str">
        <f>IFERROR(__xludf.DUMMYFUNCTION("""COMPUTED_VALUE"""),"Преподаватель  иностранных языков и переводчик в декретном отпуске")</f>
        <v>Преподаватель  иностранных языков и переводчик в декретном отпуске</v>
      </c>
      <c r="C329" s="6" t="str">
        <f>IFERROR(__xludf.DUMMYFUNCTION("""COMPUTED_VALUE"""),"Игра на гитаре, изучение испанского, написание статей")</f>
        <v>Игра на гитаре, изучение испанского, написание статей</v>
      </c>
      <c r="D329" s="6" t="str">
        <f>IFERROR(__xludf.DUMMYFUNCTION("""COMPUTED_VALUE"""),"Кировский ")</f>
        <v>Кировский </v>
      </c>
      <c r="E329" s="6" t="str">
        <f>IFERROR(__xludf.DUMMYFUNCTION("""COMPUTED_VALUE"""),"Кировская набережная")</f>
        <v>Кировская набережная</v>
      </c>
      <c r="F329" s="6" t="str">
        <f>IFERROR(__xludf.DUMMYFUNCTION("""COMPUTED_VALUE"""),"Живу здесь с рождения")</f>
        <v>Живу здесь с рождения</v>
      </c>
      <c r="G329" s="6" t="str">
        <f>IFERROR(__xludf.DUMMYFUNCTION("""COMPUTED_VALUE"""),"Томская писаница, Лукоморье, бары")</f>
        <v>Томская писаница, Лукоморье, бары</v>
      </c>
      <c r="H329" s="6" t="str">
        <f>IFERROR(__xludf.DUMMYFUNCTION("""COMPUTED_VALUE"""),"Серость, Цивилев, елка, Томская писаница, шахта")</f>
        <v>Серость, Цивилев, елка, Томская писаница, шахта</v>
      </c>
      <c r="I329" s="6" t="str">
        <f>IFERROR(__xludf.DUMMYFUNCTION("""COMPUTED_VALUE"""),"Алексей Леонов")</f>
        <v>Алексей Леонов</v>
      </c>
      <c r="J329" s="6" t="str">
        <f>IFERROR(__xludf.DUMMYFUNCTION("""COMPUTED_VALUE"""),"Гришковец")</f>
        <v>Гришковец</v>
      </c>
      <c r="K329" s="6" t="str">
        <f>IFERROR(__xludf.DUMMYFUNCTION("""COMPUTED_VALUE"""),"Площадь советов")</f>
        <v>Площадь советов</v>
      </c>
      <c r="L329" s="6" t="str">
        <f>IFERROR(__xludf.DUMMYFUNCTION("""COMPUTED_VALUE"""),"Хотел и рыбку съесть...")</f>
        <v>Хотел и рыбку съесть...</v>
      </c>
      <c r="M329" s="6" t="str">
        <f>IFERROR(__xludf.DUMMYFUNCTION("""COMPUTED_VALUE"""),"Ехать в «город» с Кировского района")</f>
        <v>Ехать в «город» с Кировского района</v>
      </c>
      <c r="N329" s="6" t="str">
        <f>IFERROR(__xludf.DUMMYFUNCTION("""COMPUTED_VALUE"""),"Уютность. Чистота, взаимопомощь. Комфорт, удобство")</f>
        <v>Уютность. Чистота, взаимопомощь. Комфорт, удобство</v>
      </c>
      <c r="O329" s="6" t="str">
        <f>IFERROR(__xludf.DUMMYFUNCTION("""COMPUTED_VALUE"""),"Дороги, внешний вид зданий")</f>
        <v>Дороги, внешний вид зданий</v>
      </c>
      <c r="P329" s="6" t="str">
        <f>IFERROR(__xludf.DUMMYFUNCTION("""COMPUTED_VALUE"""),"Инстаграмм ")</f>
        <v>Инстаграмм </v>
      </c>
      <c r="Q329"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329" s="6" t="str">
        <f>IFERROR(__xludf.DUMMYFUNCTION("""COMPUTED_VALUE"""),"Масленица")</f>
        <v>Масленица</v>
      </c>
      <c r="S329" s="6" t="str">
        <f>IFERROR(__xludf.DUMMYFUNCTION("""COMPUTED_VALUE"""),"Нет, не приходилось")</f>
        <v>Нет, не приходилось</v>
      </c>
      <c r="T329" s="6" t="str">
        <f>IFERROR(__xludf.DUMMYFUNCTION("""COMPUTED_VALUE"""),"Кадетский корпус, Томская писаница, сосновый Бор ")</f>
        <v>Кадетский корпус, Томская писаница, сосновый Бор </v>
      </c>
      <c r="U329" s="6" t="str">
        <f>IFERROR(__xludf.DUMMYFUNCTION("""COMPUTED_VALUE"""),"Площадь советов ")</f>
        <v>Площадь советов </v>
      </c>
      <c r="V329" s="6" t="str">
        <f>IFERROR(__xludf.DUMMYFUNCTION("""COMPUTED_VALUE"""),"Строили дома, убирали парки и набережные")</f>
        <v>Строили дома, убирали парки и набережные</v>
      </c>
      <c r="W329" s="6" t="str">
        <f>IFERROR(__xludf.DUMMYFUNCTION("""COMPUTED_VALUE"""),"Грубые, злые, неулыбчивые, любят гостей")</f>
        <v>Грубые, злые, неулыбчивые, любят гостей</v>
      </c>
      <c r="X329" s="6" t="str">
        <f>IFERROR(__xludf.DUMMYFUNCTION("""COMPUTED_VALUE"""),"Советский проспект")</f>
        <v>Советский проспект</v>
      </c>
      <c r="Y329" s="6" t="str">
        <f>IFERROR(__xludf.DUMMYFUNCTION("""COMPUTED_VALUE"""),"Трагический пожар «зимней вишни»")</f>
        <v>Трагический пожар «зимней вишни»</v>
      </c>
      <c r="Z329" s="6" t="str">
        <f>IFERROR(__xludf.DUMMYFUNCTION("""COMPUTED_VALUE"""),"Ремонт набережной ")</f>
        <v>Ремонт набережной </v>
      </c>
      <c r="AA329" s="6" t="str">
        <f>IFERROR(__xludf.DUMMYFUNCTION("""COMPUTED_VALUE"""),"Пожар в «зимней вишне»")</f>
        <v>Пожар в «зимней вишне»</v>
      </c>
      <c r="AB329" s="6" t="str">
        <f>IFERROR(__xludf.DUMMYFUNCTION("""COMPUTED_VALUE"""),"Бесплатные спортивные сообщества")</f>
        <v>Бесплатные спортивные сообщества</v>
      </c>
      <c r="AC329" s="6" t="str">
        <f>IFERROR(__xludf.DUMMYFUNCTION("""COMPUTED_VALUE"""),"Концерты, уличные театры")</f>
        <v>Концерты, уличные театры</v>
      </c>
      <c r="AD329" s="6" t="str">
        <f>IFERROR(__xludf.DUMMYFUNCTION("""COMPUTED_VALUE"""),"Описывать события в соц. сетях")</f>
        <v>Описывать события в соц. сетях</v>
      </c>
      <c r="AE329" s="6" t="str">
        <f>IFERROR(__xludf.DUMMYFUNCTION("""COMPUTED_VALUE"""),"Женский")</f>
        <v>Женский</v>
      </c>
      <c r="AF329" s="6" t="str">
        <f>IFERROR(__xludf.DUMMYFUNCTION("""COMPUTED_VALUE"""),"18-29")</f>
        <v>18-29</v>
      </c>
      <c r="AG329" s="6"/>
      <c r="AH329" s="6"/>
      <c r="AI329" s="6"/>
      <c r="AJ329" s="6"/>
      <c r="AK329" s="6"/>
      <c r="AL329" s="6"/>
      <c r="AM329" s="6"/>
    </row>
    <row r="330">
      <c r="A330" s="4">
        <v>329.0</v>
      </c>
      <c r="B330" s="6" t="str">
        <f>IFERROR(__xludf.DUMMYFUNCTION("""COMPUTED_VALUE"""),"ИТ специалист по внедрению и сопровождению проектов ")</f>
        <v>ИТ специалист по внедрению и сопровождению проектов </v>
      </c>
      <c r="C330" s="6" t="str">
        <f>IFERROR(__xludf.DUMMYFUNCTION("""COMPUTED_VALUE"""),"Рыбалка, охота, туризм")</f>
        <v>Рыбалка, охота, туризм</v>
      </c>
      <c r="D330" s="6" t="str">
        <f>IFERROR(__xludf.DUMMYFUNCTION("""COMPUTED_VALUE"""),"Новый центр ")</f>
        <v>Новый центр </v>
      </c>
      <c r="E330" s="6" t="str">
        <f>IFERROR(__xludf.DUMMYFUNCTION("""COMPUTED_VALUE"""),"Бульвар Строителей, президентское училище, озеро красное ")</f>
        <v>Бульвар Строителей, президентское училище, озеро красное </v>
      </c>
      <c r="F330" s="6" t="str">
        <f>IFERROR(__xludf.DUMMYFUNCTION("""COMPUTED_VALUE"""),"Живу здесь с рождения")</f>
        <v>Живу здесь с рождения</v>
      </c>
      <c r="G330" s="6" t="str">
        <f>IFERROR(__xludf.DUMMYFUNCTION("""COMPUTED_VALUE"""),"Бульвар Строителей, сосновый бор, бары на ноградской ")</f>
        <v>Бульвар Строителей, сосновый бор, бары на ноградской </v>
      </c>
      <c r="H330" s="6" t="str">
        <f>IFERROR(__xludf.DUMMYFUNCTION("""COMPUTED_VALUE"""),"Холодно, пыльно, вредные выбросы от предприятий, пиво в каждом доме, мало перспективных рабочих мест")</f>
        <v>Холодно, пыльно, вредные выбросы от предприятий, пиво в каждом доме, мало перспективных рабочих мест</v>
      </c>
      <c r="I330" s="6" t="str">
        <f>IFERROR(__xludf.DUMMYFUNCTION("""COMPUTED_VALUE"""),"Леонов")</f>
        <v>Леонов</v>
      </c>
      <c r="J330" s="6" t="str">
        <f>IFERROR(__xludf.DUMMYFUNCTION("""COMPUTED_VALUE"""),"Михайлов, Гришковец ")</f>
        <v>Михайлов, Гришковец </v>
      </c>
      <c r="K330" s="6" t="str">
        <f>IFERROR(__xludf.DUMMYFUNCTION("""COMPUTED_VALUE"""),"Красная горка, набережная, президентское училище и бульвар строителей")</f>
        <v>Красная горка, набережная, президентское училище и бульвар строителей</v>
      </c>
      <c r="L330" s="6" t="str">
        <f>IFERROR(__xludf.DUMMYFUNCTION("""COMPUTED_VALUE"""),"В первой гостинице города, а возможно публичном доме, сейчас располагается куми")</f>
        <v>В первой гостинице города, а возможно публичном доме, сейчас располагается куми</v>
      </c>
      <c r="M330" s="6" t="str">
        <f>IFERROR(__xludf.DUMMYFUNCTION("""COMPUTED_VALUE"""),"Вождение авто по кемеровски")</f>
        <v>Вождение авто по кемеровски</v>
      </c>
      <c r="N330" s="6" t="str">
        <f>IFERROR(__xludf.DUMMYFUNCTION("""COMPUTED_VALUE"""),"Перспективные и высокооплачиваемые рабочие места, хорошее образование для детей, доступное жилье, хорошая экология, развитая культура")</f>
        <v>Перспективные и высокооплачиваемые рабочие места, хорошее образование для детей, доступное жилье, хорошая экология, развитая культура</v>
      </c>
      <c r="O330" s="6" t="str">
        <f>IFERROR(__xludf.DUMMYFUNCTION("""COMPUTED_VALUE"""),"Отреставрировать и обновить горсад и парк веры волошиной, закрыть мелкие точки разливного пива, открыть в каждом районе скейт парки")</f>
        <v>Отреставрировать и обновить горсад и парк веры волошиной, закрыть мелкие точки разливного пива, открыть в каждом районе скейт парки</v>
      </c>
      <c r="P330" s="6" t="str">
        <f>IFERROR(__xludf.DUMMYFUNCTION("""COMPUTED_VALUE"""),"Инстаграм заведений, так как нет полноценного ресурса где бы все было в одном месте")</f>
        <v>Инстаграм заведений, так как нет полноценного ресурса где бы все было в одном месте</v>
      </c>
      <c r="Q33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330" s="6" t="str">
        <f>IFERROR(__xludf.DUMMYFUNCTION("""COMPUTED_VALUE"""),"1 и 9 мая, 12 июня, новый год")</f>
        <v>1 и 9 мая, 12 июня, новый год</v>
      </c>
      <c r="S330" s="6" t="str">
        <f>IFERROR(__xludf.DUMMYFUNCTION("""COMPUTED_VALUE"""),"Нет, не приходилось")</f>
        <v>Нет, не приходилось</v>
      </c>
      <c r="T330" s="6" t="str">
        <f>IFERROR(__xludf.DUMMYFUNCTION("""COMPUTED_VALUE"""),"зимняя вишня, а так город как город")</f>
        <v>зимняя вишня, а так город как город</v>
      </c>
      <c r="U330" s="6" t="str">
        <f>IFERROR(__xludf.DUMMYFUNCTION("""COMPUTED_VALUE"""),"Площадь ленина")</f>
        <v>Площадь ленина</v>
      </c>
      <c r="V330" s="6" t="str">
        <f>IFERROR(__xludf.DUMMYFUNCTION("""COMPUTED_VALUE"""),"Строили его")</f>
        <v>Строили его</v>
      </c>
      <c r="W330" s="6" t="str">
        <f>IFERROR(__xludf.DUMMYFUNCTION("""COMPUTED_VALUE"""),"Обычный сибиряк как новосибирец или красноярец")</f>
        <v>Обычный сибиряк как новосибирец или красноярец</v>
      </c>
      <c r="X330" s="6" t="str">
        <f>IFERROR(__xludf.DUMMYFUNCTION("""COMPUTED_VALUE"""),"Бульвар Строителей")</f>
        <v>Бульвар Строителей</v>
      </c>
      <c r="Y330" s="6" t="str">
        <f>IFERROR(__xludf.DUMMYFUNCTION("""COMPUTED_VALUE"""),"Новая стройка ")</f>
        <v>Новая стройка </v>
      </c>
      <c r="Z330" s="6" t="str">
        <f>IFERROR(__xludf.DUMMYFUNCTION("""COMPUTED_VALUE"""),"Стройка")</f>
        <v>Стройка</v>
      </c>
      <c r="AA330" s="6" t="str">
        <f>IFERROR(__xludf.DUMMYFUNCTION("""COMPUTED_VALUE"""),"Мало общественного транспорта, ездят битком, старые маршрутки пазики при том что подняли стоимость проезда. ")</f>
        <v>Мало общественного транспорта, ездят битком, старые маршрутки пазики при том что подняли стоимость проезда. </v>
      </c>
      <c r="AB330" s="6" t="str">
        <f>IFERROR(__xludf.DUMMYFUNCTION("""COMPUTED_VALUE"""),"Предложения услуг, рейтинг исполнителей ")</f>
        <v>Предложения услуг, рейтинг исполнителей </v>
      </c>
      <c r="AC330" s="6" t="str">
        <f>IFERROR(__xludf.DUMMYFUNCTION("""COMPUTED_VALUE"""),"Прогулочные зоны, уличные музыканты, местные праздники ")</f>
        <v>Прогулочные зоны, уличные музыканты, местные праздники </v>
      </c>
      <c r="AD330" s="6" t="str">
        <f>IFERROR(__xludf.DUMMYFUNCTION("""COMPUTED_VALUE"""),"ИТ проекты ")</f>
        <v>ИТ проекты </v>
      </c>
      <c r="AE330" s="6" t="str">
        <f>IFERROR(__xludf.DUMMYFUNCTION("""COMPUTED_VALUE"""),"Мужской")</f>
        <v>Мужской</v>
      </c>
      <c r="AF330" s="6" t="str">
        <f>IFERROR(__xludf.DUMMYFUNCTION("""COMPUTED_VALUE"""),"30-44")</f>
        <v>30-44</v>
      </c>
      <c r="AG330" s="6"/>
      <c r="AH330" s="6"/>
      <c r="AI330" s="6"/>
      <c r="AJ330" s="6"/>
      <c r="AK330" s="6"/>
      <c r="AL330" s="6"/>
      <c r="AM330" s="6"/>
    </row>
    <row r="331">
      <c r="A331" s="4">
        <v>330.0</v>
      </c>
      <c r="B331" s="6" t="str">
        <f>IFERROR(__xludf.DUMMYFUNCTION("""COMPUTED_VALUE"""),"пенсионер")</f>
        <v>пенсионер</v>
      </c>
      <c r="C331" s="6" t="str">
        <f>IFERROR(__xludf.DUMMYFUNCTION("""COMPUTED_VALUE"""),"дача, интернет")</f>
        <v>дача, интернет</v>
      </c>
      <c r="D331" s="6" t="str">
        <f>IFERROR(__xludf.DUMMYFUNCTION("""COMPUTED_VALUE"""),"Ленинский район")</f>
        <v>Ленинский район</v>
      </c>
      <c r="E331" s="6" t="str">
        <f>IFERROR(__xludf.DUMMYFUNCTION("""COMPUTED_VALUE"""),"бульвар Строителей")</f>
        <v>бульвар Строителей</v>
      </c>
      <c r="F331" s="6" t="str">
        <f>IFERROR(__xludf.DUMMYFUNCTION("""COMPUTED_VALUE"""),"Живу здесь с рождения")</f>
        <v>Живу здесь с рождения</v>
      </c>
      <c r="G331" s="6" t="str">
        <f>IFERROR(__xludf.DUMMYFUNCTION("""COMPUTED_VALUE"""),"Ул. Весенняя, пл. Советов, б- р Строителей")</f>
        <v>Ул. Весенняя, пл. Советов, б- р Строителей</v>
      </c>
      <c r="H331" s="6" t="str">
        <f>IFERROR(__xludf.DUMMYFUNCTION("""COMPUTED_VALUE"""),"сибирский новодел, столица Кузбасса, родной город, . ")</f>
        <v>сибирский новодел, столица Кузбасса, родной город, . </v>
      </c>
      <c r="I331" s="6" t="str">
        <f>IFERROR(__xludf.DUMMYFUNCTION("""COMPUTED_VALUE"""),"космонавт Алексей Леонов,  Вера Волошина, Степан Рукавишников, Сарыгин, Федоровский, Марковцев")</f>
        <v>космонавт Алексей Леонов,  Вера Волошина, Степан Рукавишников, Сарыгин, Федоровский, Марковцев</v>
      </c>
      <c r="J331" s="6" t="str">
        <f>IFERROR(__xludf.DUMMYFUNCTION("""COMPUTED_VALUE"""),"Шорников, Шестаков, Заузелков")</f>
        <v>Шорников, Шестаков, Заузелков</v>
      </c>
      <c r="K331" s="6" t="str">
        <f>IFERROR(__xludf.DUMMYFUNCTION("""COMPUTED_VALUE"""),"памятник воинам- кузбассовцам на набережной, парк Победы, площадь Пушкина")</f>
        <v>памятник воинам- кузбассовцам на набережной, парк Победы, площадь Пушкина</v>
      </c>
      <c r="L331" s="6" t="str">
        <f>IFERROR(__xludf.DUMMYFUNCTION("""COMPUTED_VALUE"""),"не знаю")</f>
        <v>не знаю</v>
      </c>
      <c r="M331" s="6" t="str">
        <f>IFERROR(__xludf.DUMMYFUNCTION("""COMPUTED_VALUE"""),"не знаю")</f>
        <v>не знаю</v>
      </c>
      <c r="N331" s="6" t="str">
        <f>IFERROR(__xludf.DUMMYFUNCTION("""COMPUTED_VALUE"""),"чистота на улицах, красивые, отремонтированные, нарядные дома, аккуратные парки, ровный асфальт, детские площадки во дворах, чистый воздух без копоти и газа, а то иной раз  дышать невозможно")</f>
        <v>чистота на улицах, красивые, отремонтированные, нарядные дома, аккуратные парки, ровный асфальт, детские площадки во дворах, чистый воздух без копоти и газа, а то иной раз  дышать невозможно</v>
      </c>
      <c r="O331" s="6" t="str">
        <f>IFERROR(__xludf.DUMMYFUNCTION("""COMPUTED_VALUE"""),"отремонтировать фасады домов, обратить внимание на экологию")</f>
        <v>отремонтировать фасады домов, обратить внимание на экологию</v>
      </c>
      <c r="P331" s="6" t="str">
        <f>IFERROR(__xludf.DUMMYFUNCTION("""COMPUTED_VALUE"""),"Фейсбук, Однокласники")</f>
        <v>Фейсбук, Однокласники</v>
      </c>
      <c r="Q331" s="6" t="str">
        <f>IFERROR(__xludf.DUMMYFUNCTION("""COMPUTED_VALUE"""),"культурные новинки (что почитать/что послушать), интервью с местными политиками,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св"&amp;"ои предложения)")</f>
        <v>культурные новинки (что почитать/что послушать), интервью с местными политиками,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331" s="6" t="str">
        <f>IFERROR(__xludf.DUMMYFUNCTION("""COMPUTED_VALUE"""),"День Победы, Первое мая, Новый год")</f>
        <v>День Победы, Первое мая, Новый год</v>
      </c>
      <c r="S331" s="6" t="str">
        <f>IFERROR(__xludf.DUMMYFUNCTION("""COMPUTED_VALUE"""),"Нет, не приходилось")</f>
        <v>Нет, не приходилось</v>
      </c>
      <c r="T331" s="6" t="str">
        <f>IFERROR(__xludf.DUMMYFUNCTION("""COMPUTED_VALUE"""),"Промышленность и загазованность")</f>
        <v>Промышленность и загазованность</v>
      </c>
      <c r="U331" s="6" t="str">
        <f>IFERROR(__xludf.DUMMYFUNCTION("""COMPUTED_VALUE"""),"ул. Весенняя, пл. Пушкина, пл. Советов, ул. Кирова от пр. Советский до ул. Островского")</f>
        <v>ул. Весенняя, пл. Пушкина, пл. Советов, ул. Кирова от пр. Советский до ул. Островского</v>
      </c>
      <c r="V331" s="6" t="str">
        <f>IFERROR(__xludf.DUMMYFUNCTION("""COMPUTED_VALUE"""),"установили Советскую власть, победили в великой Отечественной войне, сделали город промышленным центром Сибири")</f>
        <v>установили Советскую власть, победили в великой Отечественной войне, сделали город промышленным центром Сибири</v>
      </c>
      <c r="W331" s="6" t="str">
        <f>IFERROR(__xludf.DUMMYFUNCTION("""COMPUTED_VALUE"""),"умные, смелые")</f>
        <v>умные, смелые</v>
      </c>
      <c r="X331" s="6" t="str">
        <f>IFERROR(__xludf.DUMMYFUNCTION("""COMPUTED_VALUE"""),"Гор. сад, набережная Томи, Весенняя. ")</f>
        <v>Гор. сад, набережная Томи, Весенняя. </v>
      </c>
      <c r="Y331" s="6" t="str">
        <f>IFERROR(__xludf.DUMMYFUNCTION("""COMPUTED_VALUE"""),"победа в Великой Отечественной войне, постройка двух мостов через Томь")</f>
        <v>победа в Великой Отечественной войне, постройка двух мостов через Томь</v>
      </c>
      <c r="Z331" s="6" t="str">
        <f>IFERROR(__xludf.DUMMYFUNCTION("""COMPUTED_VALUE"""),"не знаю")</f>
        <v>не знаю</v>
      </c>
      <c r="AA331" s="6" t="str">
        <f>IFERROR(__xludf.DUMMYFUNCTION("""COMPUTED_VALUE"""),"гибель детей и взрослых в Зимней вишне, постоянный рост цен на вещи и продукты, рост тарифов ЖКХ")</f>
        <v>гибель детей и взрослых в Зимней вишне, постоянный рост цен на вещи и продукты, рост тарифов ЖКХ</v>
      </c>
      <c r="AB331" s="6" t="str">
        <f>IFERROR(__xludf.DUMMYFUNCTION("""COMPUTED_VALUE"""),"всё хватает")</f>
        <v>всё хватает</v>
      </c>
      <c r="AC331" s="6" t="str">
        <f>IFERROR(__xludf.DUMMYFUNCTION("""COMPUTED_VALUE"""),"изменение социально- политического строя в стране")</f>
        <v>изменение социально- политического строя в стране</v>
      </c>
      <c r="AD331" s="6" t="str">
        <f>IFERROR(__xludf.DUMMYFUNCTION("""COMPUTED_VALUE"""),"затрудняюсь сказаьб")</f>
        <v>затрудняюсь сказаьб</v>
      </c>
      <c r="AE331" s="6" t="str">
        <f>IFERROR(__xludf.DUMMYFUNCTION("""COMPUTED_VALUE"""),"Мужской")</f>
        <v>Мужской</v>
      </c>
      <c r="AF331" s="6" t="str">
        <f>IFERROR(__xludf.DUMMYFUNCTION("""COMPUTED_VALUE"""),"45-55")</f>
        <v>45-55</v>
      </c>
      <c r="AG331" s="6"/>
      <c r="AH331" s="6"/>
      <c r="AI331" s="6"/>
      <c r="AJ331" s="6"/>
      <c r="AK331" s="6"/>
      <c r="AL331" s="6"/>
      <c r="AM331" s="6"/>
    </row>
    <row r="332">
      <c r="A332" s="4">
        <v>331.0</v>
      </c>
      <c r="B332" s="6" t="str">
        <f>IFERROR(__xludf.DUMMYFUNCTION("""COMPUTED_VALUE"""),"Работаю в медицине.")</f>
        <v>Работаю в медицине.</v>
      </c>
      <c r="C332" s="6" t="str">
        <f>IFERROR(__xludf.DUMMYFUNCTION("""COMPUTED_VALUE"""),"Спорт, чтение.")</f>
        <v>Спорт, чтение.</v>
      </c>
      <c r="D332" s="6" t="str">
        <f>IFERROR(__xludf.DUMMYFUNCTION("""COMPUTED_VALUE"""),"Шалготарьян.")</f>
        <v>Шалготарьян.</v>
      </c>
      <c r="E332" s="6" t="str">
        <f>IFERROR(__xludf.DUMMYFUNCTION("""COMPUTED_VALUE"""),"Ботанический сад. Памятник блокадникам Ленинграда.")</f>
        <v>Ботанический сад. Памятник блокадникам Ленинграда.</v>
      </c>
      <c r="F332" s="6" t="str">
        <f>IFERROR(__xludf.DUMMYFUNCTION("""COMPUTED_VALUE"""),"Живу здесь с рождения")</f>
        <v>Живу здесь с рождения</v>
      </c>
      <c r="G332" s="6" t="str">
        <f>IFERROR(__xludf.DUMMYFUNCTION("""COMPUTED_VALUE"""),"Прогулки по Комсомольскому, возле Кадетского корпуса.")</f>
        <v>Прогулки по Комсомольскому, возле Кадетского корпуса.</v>
      </c>
      <c r="H332" s="6" t="str">
        <f>IFERROR(__xludf.DUMMYFUNCTION("""COMPUTED_VALUE"""),"Шахты. Много деревьев и цветов. Набережная. Грязные улицы.")</f>
        <v>Шахты. Много деревьев и цветов. Набережная. Грязные улицы.</v>
      </c>
      <c r="I332" s="6" t="str">
        <f>IFERROR(__xludf.DUMMYFUNCTION("""COMPUTED_VALUE"""),"М.Волков, Подгорбунский, А. Тулеев, Михайлов")</f>
        <v>М.Волков, Подгорбунский, А. Тулеев, Михайлов</v>
      </c>
      <c r="J332" s="6" t="str">
        <f>IFERROR(__xludf.DUMMYFUNCTION("""COMPUTED_VALUE"""),"Тулеев, Цивилев")</f>
        <v>Тулеев, Цивилев</v>
      </c>
      <c r="K332" s="6" t="str">
        <f>IFERROR(__xludf.DUMMYFUNCTION("""COMPUTED_VALUE"""),"Памятник шахтеру, Набережная, Сосновый Бор.")</f>
        <v>Памятник шахтеру, Набережная, Сосновый Бор.</v>
      </c>
      <c r="L332" s="6" t="str">
        <f>IFERROR(__xludf.DUMMYFUNCTION("""COMPUTED_VALUE"""),"Не знаю таких.")</f>
        <v>Не знаю таких.</v>
      </c>
      <c r="M332" s="6" t="str">
        <f>IFERROR(__xludf.DUMMYFUNCTION("""COMPUTED_VALUE"""),"Нет.")</f>
        <v>Нет.</v>
      </c>
      <c r="N332" s="6" t="str">
        <f>IFERROR(__xludf.DUMMYFUNCTION("""COMPUTED_VALUE"""),"Чистота улиц, воспитанные жители, мало ,,пивнушек,,, много спортивных объектов и детских площадок, собаководы, убирающие за своими собаками отходы!")</f>
        <v>Чистота улиц, воспитанные жители, мало ,,пивнушек,,, много спортивных объектов и детских площадок, собаководы, убирающие за своими собаками отходы!</v>
      </c>
      <c r="O332" s="6" t="str">
        <f>IFERROR(__xludf.DUMMYFUNCTION("""COMPUTED_VALUE"""),"Заставить владельцев собак убирать отходы!!! Запретить магазины пива в жилых домах!!! Следить за чистотой улиц!!! Город очень грязный!!!")</f>
        <v>Заставить владельцев собак убирать отходы!!! Запретить магазины пива в жилых домах!!! Следить за чистотой улиц!!! Город очень грязный!!!</v>
      </c>
      <c r="P332" s="6" t="str">
        <f>IFERROR(__xludf.DUMMYFUNCTION("""COMPUTED_VALUE"""),"Реклама по телевизору, сайт А 42.")</f>
        <v>Реклама по телевизору, сайт А 42.</v>
      </c>
      <c r="Q332"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332" s="6" t="str">
        <f>IFERROR(__xludf.DUMMYFUNCTION("""COMPUTED_VALUE"""),"День города, день Шахтера, День Победы.")</f>
        <v>День города, день Шахтера, День Победы.</v>
      </c>
      <c r="S332" s="6" t="str">
        <f>IFERROR(__xludf.DUMMYFUNCTION("""COMPUTED_VALUE"""),"Нет, не приходилось")</f>
        <v>Нет, не приходилось</v>
      </c>
      <c r="T332" s="6" t="str">
        <f>IFERROR(__xludf.DUMMYFUNCTION("""COMPUTED_VALUE"""),"Шахтерская столица. Уникальность - маленький и компактный.")</f>
        <v>Шахтерская столица. Уникальность - маленький и компактный.</v>
      </c>
      <c r="U332" s="6" t="str">
        <f>IFERROR(__xludf.DUMMYFUNCTION("""COMPUTED_VALUE"""),"Улица Весенняя")</f>
        <v>Улица Весенняя</v>
      </c>
      <c r="V332" s="6" t="str">
        <f>IFERROR(__xludf.DUMMYFUNCTION("""COMPUTED_VALUE"""),"Кемеровчане много работают.")</f>
        <v>Кемеровчане много работают.</v>
      </c>
      <c r="W332" s="6" t="str">
        <f>IFERROR(__xludf.DUMMYFUNCTION("""COMPUTED_VALUE"""),"Это грустные люди, чаще скромные и немногословные, и много работают и малообеспеченные.")</f>
        <v>Это грустные люди, чаще скромные и немногословные, и много работают и малообеспеченные.</v>
      </c>
      <c r="X332" s="6" t="str">
        <f>IFERROR(__xludf.DUMMYFUNCTION("""COMPUTED_VALUE"""),"Драмтеатр, Весенняя, Набережная, Красная горка.")</f>
        <v>Драмтеатр, Весенняя, Набережная, Красная горка.</v>
      </c>
      <c r="Y332" s="6" t="str">
        <f>IFERROR(__xludf.DUMMYFUNCTION("""COMPUTED_VALUE"""),"Открыто угольное месторождение.")</f>
        <v>Открыто угольное месторождение.</v>
      </c>
      <c r="Z332" s="6" t="str">
        <f>IFERROR(__xludf.DUMMYFUNCTION("""COMPUTED_VALUE"""),"Строительство спортивных объектов, развитие инфраструктуры.")</f>
        <v>Строительство спортивных объектов, развитие инфраструктуры.</v>
      </c>
      <c r="AA332" s="6" t="str">
        <f>IFERROR(__xludf.DUMMYFUNCTION("""COMPUTED_VALUE"""),"Никакие.")</f>
        <v>Никакие.</v>
      </c>
      <c r="AB332" s="6" t="str">
        <f>IFERROR(__xludf.DUMMYFUNCTION("""COMPUTED_VALUE"""),"Затрудняюсь ответить.")</f>
        <v>Затрудняюсь ответить.</v>
      </c>
      <c r="AC332" s="6" t="str">
        <f>IFERROR(__xludf.DUMMYFUNCTION("""COMPUTED_VALUE"""),"Все события -цель которых улучшение экологии и чистоты в городе.")</f>
        <v>Все события -цель которых улучшение экологии и чистоты в городе.</v>
      </c>
      <c r="AD332" s="6" t="str">
        <f>IFERROR(__xludf.DUMMYFUNCTION("""COMPUTED_VALUE"""),"Возможно, в роли активиста.")</f>
        <v>Возможно, в роли активиста.</v>
      </c>
      <c r="AE332" s="6" t="str">
        <f>IFERROR(__xludf.DUMMYFUNCTION("""COMPUTED_VALUE"""),"Женский")</f>
        <v>Женский</v>
      </c>
      <c r="AF332" s="6" t="str">
        <f>IFERROR(__xludf.DUMMYFUNCTION("""COMPUTED_VALUE"""),"30-44")</f>
        <v>30-44</v>
      </c>
      <c r="AG332" s="6"/>
      <c r="AH332" s="6"/>
      <c r="AI332" s="6"/>
      <c r="AJ332" s="6"/>
      <c r="AK332" s="6"/>
      <c r="AL332" s="6"/>
      <c r="AM332" s="6"/>
    </row>
    <row r="333">
      <c r="A333" s="4">
        <v>332.0</v>
      </c>
      <c r="B333" s="6" t="str">
        <f>IFERROR(__xludf.DUMMYFUNCTION("""COMPUTED_VALUE"""),"Работа с персоналом")</f>
        <v>Работа с персоналом</v>
      </c>
      <c r="C333" s="6" t="str">
        <f>IFERROR(__xludf.DUMMYFUNCTION("""COMPUTED_VALUE"""),"Классическая музыка, путешествия, книги")</f>
        <v>Классическая музыка, путешествия, книги</v>
      </c>
      <c r="D333" s="6" t="str">
        <f>IFERROR(__xludf.DUMMYFUNCTION("""COMPUTED_VALUE"""),"Центральный, Кемерово-Сити")</f>
        <v>Центральный, Кемерово-Сити</v>
      </c>
      <c r="E333" s="6" t="str">
        <f>IFERROR(__xludf.DUMMYFUNCTION("""COMPUTED_VALUE"""),"Площадь Советов, Набережная")</f>
        <v>Площадь Советов, Набережная</v>
      </c>
      <c r="F333" s="6" t="str">
        <f>IFERROR(__xludf.DUMMYFUNCTION("""COMPUTED_VALUE"""),"Переехал сюда из другого места (откуда? укажите в графе другое), Из Полысаево, больше возможностей для получения образования, занятий спортом, культурная жизнь")</f>
        <v>Переехал сюда из другого места (откуда? укажите в графе другое), Из Полысаево, больше возможностей для получения образования, занятий спортом, культурная жизнь</v>
      </c>
      <c r="G333" s="6" t="str">
        <f>IFERROR(__xludf.DUMMYFUNCTION("""COMPUTED_VALUE"""),"Сосновый бор, набережная Томи, кино, филармония, театры")</f>
        <v>Сосновый бор, набережная Томи, кино, филармония, театры</v>
      </c>
      <c r="H333" s="6" t="str">
        <f>IFERROR(__xludf.DUMMYFUNCTION("""COMPUTED_VALUE"""),"Лапландия, Томская писаница, Кадетское президентское училище, волейбольный клуб ""Кузбасс"", стадион ""Химик""")</f>
        <v>Лапландия, Томская писаница, Кадетское президентское училище, волейбольный клуб "Кузбасс", стадион "Химик"</v>
      </c>
      <c r="I333" s="6" t="str">
        <f>IFERROR(__xludf.DUMMYFUNCTION("""COMPUTED_VALUE"""),"Михайло Волков, Рутгерс, Вера Волошина, Юрий Двужильный")</f>
        <v>Михайло Волков, Рутгерс, Вера Волошина, Юрий Двужильный</v>
      </c>
      <c r="J333" s="6" t="str">
        <f>IFERROR(__xludf.DUMMYFUNCTION("""COMPUTED_VALUE"""),"Михайлов, Гришковец, Бабенко, Панин")</f>
        <v>Михайлов, Гришковец, Бабенко, Панин</v>
      </c>
      <c r="K333" s="6" t="str">
        <f>IFERROR(__xludf.DUMMYFUNCTION("""COMPUTED_VALUE"""),"Лесная Поляна, Хаски-Лэнд, Томская писаница, парк Ангелов, Кадетское президентское училище")</f>
        <v>Лесная Поляна, Хаски-Лэнд, Томская писаница, парк Ангелов, Кадетское президентское училище</v>
      </c>
      <c r="L333" s="6" t="str">
        <f>IFERROR(__xludf.DUMMYFUNCTION("""COMPUTED_VALUE"""),"Не знаю")</f>
        <v>Не знаю</v>
      </c>
      <c r="M333" s="6" t="str">
        <f>IFERROR(__xludf.DUMMYFUNCTION("""COMPUTED_VALUE"""),"Не знаю")</f>
        <v>Не знаю</v>
      </c>
      <c r="N333" s="6" t="str">
        <f>IFERROR(__xludf.DUMMYFUNCTION("""COMPUTED_VALUE"""),"Качественное здравоохранение и образование, наличие работы, возможности для занятий спортом , культурный кластер, чистый воздух, парковые зоны, хорошие дороги, аэропорт с большим количеством направлений")</f>
        <v>Качественное здравоохранение и образование, наличие работы, возможности для занятий спортом , культурный кластер, чистый воздух, парковые зоны, хорошие дороги, аэропорт с большим количеством направлений</v>
      </c>
      <c r="O333" s="6" t="str">
        <f>IFERROR(__xludf.DUMMYFUNCTION("""COMPUTED_VALUE"""),"Ремонт дворовых территорий, ремонт фасадов зданий")</f>
        <v>Ремонт дворовых территорий, ремонт фасадов зданий</v>
      </c>
      <c r="P333" s="6" t="str">
        <f>IFERROR(__xludf.DUMMYFUNCTION("""COMPUTED_VALUE"""),"Googl, Вести-Кузбасс")</f>
        <v>Googl, Вести-Кузбасс</v>
      </c>
      <c r="Q333" s="6" t="str">
        <f>IFERROR(__xludf.DUMMYFUNCTION("""COMPUTED_VALUE"""),"городская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333" s="6" t="str">
        <f>IFERROR(__xludf.DUMMYFUNCTION("""COMPUTED_VALUE"""),"День победы, День шахтера, День России")</f>
        <v>День победы, День шахтера, День России</v>
      </c>
      <c r="S333" s="6" t="str">
        <f>IFERROR(__xludf.DUMMYFUNCTION("""COMPUTED_VALUE"""),"Нет, не приходилось")</f>
        <v>Нет, не приходилось</v>
      </c>
      <c r="T333" s="6" t="str">
        <f>IFERROR(__xludf.DUMMYFUNCTION("""COMPUTED_VALUE"""),"Угольная отрасль")</f>
        <v>Угольная отрасль</v>
      </c>
      <c r="U333" s="6" t="str">
        <f>IFERROR(__xludf.DUMMYFUNCTION("""COMPUTED_VALUE"""),"Площадь Советов")</f>
        <v>Площадь Советов</v>
      </c>
      <c r="V333" s="6" t="str">
        <f>IFERROR(__xludf.DUMMYFUNCTION("""COMPUTED_VALUE"""),"Работали")</f>
        <v>Работали</v>
      </c>
      <c r="W333" s="6" t="str">
        <f>IFERROR(__xludf.DUMMYFUNCTION("""COMPUTED_VALUE"""),"Разные")</f>
        <v>Разные</v>
      </c>
      <c r="X333" s="6" t="str">
        <f>IFERROR(__xludf.DUMMYFUNCTION("""COMPUTED_VALUE"""),"Проспект Советский")</f>
        <v>Проспект Советский</v>
      </c>
      <c r="Y333" s="6" t="str">
        <f>IFERROR(__xludf.DUMMYFUNCTION("""COMPUTED_VALUE"""),"Не знаю")</f>
        <v>Не знаю</v>
      </c>
      <c r="Z333" s="6" t="str">
        <f>IFERROR(__xludf.DUMMYFUNCTION("""COMPUTED_VALUE"""),"Открытие Кадетского президентского училища")</f>
        <v>Открытие Кадетского президентского училища</v>
      </c>
      <c r="AA333" s="6" t="str">
        <f>IFERROR(__xludf.DUMMYFUNCTION("""COMPUTED_VALUE"""),"Закрытие Лазурного")</f>
        <v>Закрытие Лазурного</v>
      </c>
      <c r="AB333" s="6" t="str">
        <f>IFERROR(__xludf.DUMMYFUNCTION("""COMPUTED_VALUE"""),"Хоровых сообществ")</f>
        <v>Хоровых сообществ</v>
      </c>
      <c r="AC333" s="6" t="str">
        <f>IFERROR(__xludf.DUMMYFUNCTION("""COMPUTED_VALUE"""),"Надо думать")</f>
        <v>Надо думать</v>
      </c>
      <c r="AD333" s="6" t="str">
        <f>IFERROR(__xludf.DUMMYFUNCTION("""COMPUTED_VALUE"""),"Не знаю")</f>
        <v>Не знаю</v>
      </c>
      <c r="AE333" s="6" t="str">
        <f>IFERROR(__xludf.DUMMYFUNCTION("""COMPUTED_VALUE"""),"Женский")</f>
        <v>Женский</v>
      </c>
      <c r="AF333" s="6" t="str">
        <f>IFERROR(__xludf.DUMMYFUNCTION("""COMPUTED_VALUE"""),"45-55")</f>
        <v>45-55</v>
      </c>
      <c r="AG333" s="6"/>
      <c r="AH333" s="6"/>
      <c r="AI333" s="6"/>
      <c r="AJ333" s="6"/>
      <c r="AK333" s="6"/>
      <c r="AL333" s="6"/>
      <c r="AM333" s="6"/>
    </row>
    <row r="334">
      <c r="A334" s="4">
        <v>333.0</v>
      </c>
      <c r="B334" s="6" t="str">
        <f>IFERROR(__xludf.DUMMYFUNCTION("""COMPUTED_VALUE"""),"Вынужденно, работающий пенсионер из-за нищенской пенсии шахтера.")</f>
        <v>Вынужденно, работающий пенсионер из-за нищенской пенсии шахтера.</v>
      </c>
      <c r="C334" s="6" t="str">
        <f>IFERROR(__xludf.DUMMYFUNCTION("""COMPUTED_VALUE"""),"""Добыча"" денег, на хлеб насущный.")</f>
        <v>"Добыча" денег, на хлеб насущный.</v>
      </c>
      <c r="D334" s="6" t="str">
        <f>IFERROR(__xludf.DUMMYFUNCTION("""COMPUTED_VALUE"""),"Рудничный")</f>
        <v>Рудничный</v>
      </c>
      <c r="E334" s="6" t="str">
        <f>IFERROR(__xludf.DUMMYFUNCTION("""COMPUTED_VALUE"""),"Площадь автобусных остановок, на ж\д вокзале, здесь стоял наш дом, где я в 1959 г. родился.")</f>
        <v>Площадь автобусных остановок, на ж\д вокзале, здесь стоял наш дом, где я в 1959 г. родился.</v>
      </c>
      <c r="F334" s="6" t="str">
        <f>IFERROR(__xludf.DUMMYFUNCTION("""COMPUTED_VALUE"""),"Живу здесь с рождения")</f>
        <v>Живу здесь с рождения</v>
      </c>
      <c r="G334" s="6" t="str">
        <f>IFERROR(__xludf.DUMMYFUNCTION("""COMPUTED_VALUE"""),"С такой нищенской пенсией ни куда не хожу, разве, что погулять в сосновом бору, да летом в журавлях на даче.")</f>
        <v>С такой нищенской пенсией ни куда не хожу, разве, что погулять в сосновом бору, да летом в журавлях на даче.</v>
      </c>
      <c r="H334" s="6" t="str">
        <f>IFERROR(__xludf.DUMMYFUNCTION("""COMPUTED_VALUE"""),"При советской власти -город молодых, город-труженик. Сейчас город торгашей и бездельников, бесперспективная ""дыра"" откуда уезжает молодежь.")</f>
        <v>При советской власти -город молодых, город-труженик. Сейчас город торгашей и бездельников, бесперспективная "дыра" откуда уезжает молодежь.</v>
      </c>
      <c r="I334" s="6" t="str">
        <f>IFERROR(__xludf.DUMMYFUNCTION("""COMPUTED_VALUE"""),"Кожевин, Владимир Григорьевич (1967 год — 1977 год)
Профессор, кандидат технических наук, Герой Социалистического Труда.
Сафохин, Михаил Самсонович (1977 год — 1993 год)
Профессор, доктор технических наук, заслуженный деятель науки и техники, академик РАЕ"&amp;"Н. - люди, которые меня учили профессии и жизни.")</f>
        <v>Кожевин, Владимир Григорьевич (1967 год — 1977 год)
Профессор, кандидат технических наук, Герой Социалистического Труда.
Сафохин, Михаил Самсонович (1977 год — 1993 год)
Профессор, доктор технических наук, заслуженный деятель науки и техники, академик РАЕН. - люди, которые меня учили профессии и жизни.</v>
      </c>
      <c r="J334" s="6" t="str">
        <f>IFERROR(__xludf.DUMMYFUNCTION("""COMPUTED_VALUE"""),"Председатель горисполкома в конце советской власти и горАДминистрации при криминально-чиновнечьей власти, действительно хозяин города,
 Владимир Васильевич Михайлов - без сорказма.")</f>
        <v>Председатель горисполкома в конце советской власти и горАДминистрации при криминально-чиновнечьей власти, действительно хозяин города,
 Владимир Васильевич Михайлов - без сорказма.</v>
      </c>
      <c r="K334" s="6" t="str">
        <f>IFERROR(__xludf.DUMMYFUNCTION("""COMPUTED_VALUE"""),"Торговые центры на месте разваленных и закрытых заводов при существующей криминально-чиновнечьей власти от завода КЭМЗ до КШТ и ЗХВ")</f>
        <v>Торговые центры на месте разваленных и закрытых заводов при существующей криминально-чиновнечьей власти от завода КЭМЗ до КШТ и ЗХВ</v>
      </c>
      <c r="L334" s="6" t="str">
        <f>IFERROR(__xludf.DUMMYFUNCTION("""COMPUTED_VALUE"""),"Таких не знаю - их просто нет, а если и были они стерты из памяти жителей")</f>
        <v>Таких не знаю - их просто нет, а если и были они стерты из памяти жителей</v>
      </c>
      <c r="M334" s="6" t="str">
        <f>IFERROR(__xludf.DUMMYFUNCTION("""COMPUTED_VALUE"""),"не примомню...")</f>
        <v>не примомню...</v>
      </c>
      <c r="N334" s="6" t="str">
        <f>IFERROR(__xludf.DUMMYFUNCTION("""COMPUTED_VALUE"""),"Обеспечить (не только меня) достойной квалифицированной и высокооплачиваемой работой. А комфорт проживания создастся сам сабой, вместе с инвестициями в промышленность. Убрать из управленцев города ""молодых амбициозных"", но бестолковых и не желающих пони"&amp;"мать, что они работают прежде всего для  человека, а потом уже для ""наполнения"" собственного кармана. ")</f>
        <v>Обеспечить (не только меня) достойной квалифицированной и высокооплачиваемой работой. А комфорт проживания создастся сам сабой, вместе с инвестициями в промышленность. Убрать из управленцев города "молодых амбициозных", но бестолковых и не желающих понимать, что они работают прежде всего для  человека, а потом уже для "наполнения" собственного кармана. </v>
      </c>
      <c r="O334" s="6" t="str">
        <f>IFERROR(__xludf.DUMMYFUNCTION("""COMPUTED_VALUE"""),"Зачем изобретать велосипед. Брать за пример куда уезжают люди из Кемерова. Я полагаю, пример и алгоритм  есть,  - это Москва, можно взять Белгород, Казань, но к сожалению в городе на это нет денег")</f>
        <v>Зачем изобретать велосипед. Брать за пример куда уезжают люди из Кемерова. Я полагаю, пример и алгоритм  есть,  - это Москва, можно взять Белгород, Казань, но к сожалению в городе на это нет денег</v>
      </c>
      <c r="P334" s="6" t="str">
        <f>IFERROR(__xludf.DUMMYFUNCTION("""COMPUTED_VALUE"""),"Что за глупый вопрос касаемо интернета, на то он и интернет, какой хочу источник, тот и смотрю...")</f>
        <v>Что за глупый вопрос касаемо интернета, на то он и интернет, какой хочу источник, тот и смотрю...</v>
      </c>
      <c r="Q334" s="6" t="str">
        <f>IFERROR(__xludf.DUMMYFUNCTION("""COMPUTED_VALUE"""),"результаты местных исследований (рейтинги/аналитика/тенденции), интервью с экспертами на разные темы (напишите в разделе Другое свои предложения), Больше сравнительных анализов по всем темам, которые здесь обозначены, в сравнении с другими регионами. Но н"&amp;"е однобоких типа ""как у нас хорошо, а у них плохо."" Люди всё равно узна[ю]т правду, что положительно не сказывается на имидже городских и областных властей")</f>
        <v>результаты местных исследований (рейтинги/аналитика/тенденции), интервью с экспертами на разные темы (напишите в разделе Другое свои предложения), Больше сравнительных анализов по всем темам, которые здесь обозначены, в сравнении с другими регионами. Но не однобоких типа "как у нас хорошо, а у них плохо." Люди всё равно узна[ю]т правду, что положительно не сказывается на имидже городских и областных властей</v>
      </c>
      <c r="R334" s="6" t="str">
        <f>IFERROR(__xludf.DUMMYFUNCTION("""COMPUTED_VALUE"""),"А их не стало, по истене народных праздников, они все коммерциализировались. Праздник тогда становится праздником, когда люди организовывают его сами для себя, по зову сердца. А вы День Шахтера превратили в дату, к которой надо выполнить те или иные работ"&amp;"ы в том или ином городе. Хотя эту работу власть и бизнес должны делать всегда и во всех городах и поселках региона")</f>
        <v>А их не стало, по истене народных праздников, они все коммерциализировались. Праздник тогда становится праздником, когда люди организовывают его сами для себя, по зову сердца. А вы День Шахтера превратили в дату, к которой надо выполнить те или иные работы в том или ином городе. Хотя эту работу власть и бизнес должны делать всегда и во всех городах и поселках региона</v>
      </c>
      <c r="S334" s="6" t="str">
        <f>IFERROR(__xludf.DUMMYFUNCTION("""COMPUTED_VALUE"""),"Если Гудлайн меня забанил, за якобы рекламу, когда в комментарии я указал ссылку на волонтерскую организацию, помогающую старикам во время карантина. О каком создании новостей можно говорить, когда если новости не хвалят власть это не новости.")</f>
        <v>Если Гудлайн меня забанил, за якобы рекламу, когда в комментарии я указал ссылку на волонтерскую организацию, помогающую старикам во время карантина. О каком создании новостей можно говорить, когда если новости не хвалят власть это не новости.</v>
      </c>
      <c r="T334" s="6" t="str">
        <f>IFERROR(__xludf.DUMMYFUNCTION("""COMPUTED_VALUE"""),"Когда бывал в других регионах и узнавали, что я из Кемерова, первый вопрос был: ""Как там ваш Тулеев?""")</f>
        <v>Когда бывал в других регионах и узнавали, что я из Кемерова, первый вопрос был: "Как там ваш Тулеев?"</v>
      </c>
      <c r="U334" s="6" t="str">
        <f>IFERROR(__xludf.DUMMYFUNCTION("""COMPUTED_VALUE"""),"Символический -Красная горка. Центр -административный центр")</f>
        <v>Символический -Красная горка. Центр -административный центр</v>
      </c>
      <c r="V334" s="6" t="str">
        <f>IFERROR(__xludf.DUMMYFUNCTION("""COMPUTED_VALUE"""),"У города маленькая история, но город создан людьми, работавшими в промышленности, которая символизировала мощь Союза и процветание самого города. А сейчас гордиться нечем.")</f>
        <v>У города маленькая история, но город создан людьми, работавшими в промышленности, которая символизировала мощь Союза и процветание самого города. А сейчас гордиться нечем.</v>
      </c>
      <c r="W334" s="6" t="str">
        <f>IFERROR(__xludf.DUMMYFUNCTION("""COMPUTED_VALUE"""),"Отзывчивые, трудолюбивые, но по известным причинам, становящимися злыми и аморфными к происходящему вокруг.")</f>
        <v>Отзывчивые, трудолюбивые, но по известным причинам, становящимися злыми и аморфными к происходящему вокруг.</v>
      </c>
      <c r="X334" s="6" t="str">
        <f>IFERROR(__xludf.DUMMYFUNCTION("""COMPUTED_VALUE"""),"Нет таких, да и люди сюда в отпуск не поедут, а командировочным достаточно беглого взгляда, чтобы составить своё мнение о городе чистый или грязны, народ злой или общительный и т.п.")</f>
        <v>Нет таких, да и люди сюда в отпуск не поедут, а командировочным достаточно беглого взгляда, чтобы составить своё мнение о городе чистый или грязны, народ злой или общительный и т.п.</v>
      </c>
      <c r="Y334" s="6" t="str">
        <f>IFERROR(__xludf.DUMMYFUNCTION("""COMPUTED_VALUE"""),"Пожар в"" Зимней вишне"", приведший к серьёзному изменению нормативно-правовых и нормативно-технических документов  в противопожарной безопасности")</f>
        <v>Пожар в" Зимней вишне", приведший к серьёзному изменению нормативно-правовых и нормативно-технических документов  в противопожарной безопасности</v>
      </c>
      <c r="Z334" s="6" t="str">
        <f>IFERROR(__xludf.DUMMYFUNCTION("""COMPUTED_VALUE"""),"Нет таких")</f>
        <v>Нет таких</v>
      </c>
      <c r="AA334" s="6" t="str">
        <f>IFERROR(__xludf.DUMMYFUNCTION("""COMPUTED_VALUE"""),"Вся жизнь пенсионера, даже работающего - сплошной негатив, т.к. денег не хватает ни на что...")</f>
        <v>Вся жизнь пенсионера, даже работающего - сплошной негатив, т.к. денег не хватает ни на что...</v>
      </c>
      <c r="AB334" s="6" t="str">
        <f>IFERROR(__xludf.DUMMYFUNCTION("""COMPUTED_VALUE"""),"Не возможно объединить людей в сообщества в добровольно-принудительном порядке. Надо создать условия для появления любых сообществ, а эти сообщества появятся сами...")</f>
        <v>Не возможно объединить людей в сообщества в добровольно-принудительном порядке. Надо создать условия для появления любых сообществ, а эти сообщества появятся сами...</v>
      </c>
      <c r="AC334" s="6" t="str">
        <f>IFERROR(__xludf.DUMMYFUNCTION("""COMPUTED_VALUE"""),"Я уже отвечал на этот вопрос. А вообще надо больше ездить в другие регионы, страны, брать всё лучшее у них, ... но как говорил г-н, товарищ Д.А. Медведев ""Денег нет, но Вы крепитесь...""  ")</f>
        <v>Я уже отвечал на этот вопрос. А вообще надо больше ездить в другие регионы, страны, брать всё лучшее у них, ... но как говорил г-н, товарищ Д.А. Медведев "Денег нет, но Вы крепитесь..."  </v>
      </c>
      <c r="AD334" s="6" t="str">
        <f>IFERROR(__xludf.DUMMYFUNCTION("""COMPUTED_VALUE"""),"Пенсионер - это зеркало, в котором отражается вся социальная политика Власти. Поэтому пенсионер это статист, которого никто не воспринимает всерьёз от работодателя, мелкого клерка, а тем более крупного ""чинуши"". Как говорят у страны нет будущего, если о"&amp;"на не помнит своего прошлого, а это прежде всего люди, которые построили и строят этот город.")</f>
        <v>Пенсионер - это зеркало, в котором отражается вся социальная политика Власти. Поэтому пенсионер это статист, которого никто не воспринимает всерьёз от работодателя, мелкого клерка, а тем более крупного "чинуши". Как говорят у страны нет будущего, если она не помнит своего прошлого, а это прежде всего люди, которые построили и строят этот город.</v>
      </c>
      <c r="AE334" s="6" t="str">
        <f>IFERROR(__xludf.DUMMYFUNCTION("""COMPUTED_VALUE"""),"Мужской")</f>
        <v>Мужской</v>
      </c>
      <c r="AF334" s="6" t="str">
        <f>IFERROR(__xludf.DUMMYFUNCTION("""COMPUTED_VALUE"""),"старше 55")</f>
        <v>старше 55</v>
      </c>
      <c r="AG334" s="6"/>
      <c r="AH334" s="6"/>
      <c r="AI334" s="6"/>
      <c r="AJ334" s="6"/>
      <c r="AK334" s="6"/>
      <c r="AL334" s="6"/>
      <c r="AM334" s="6"/>
    </row>
    <row r="335">
      <c r="A335" s="4">
        <v>334.0</v>
      </c>
      <c r="B335" s="6" t="str">
        <f>IFERROR(__xludf.DUMMYFUNCTION("""COMPUTED_VALUE"""),"Пенсионерка")</f>
        <v>Пенсионерка</v>
      </c>
      <c r="C335" s="6" t="str">
        <f>IFERROR(__xludf.DUMMYFUNCTION("""COMPUTED_VALUE"""),"Люблю шить")</f>
        <v>Люблю шить</v>
      </c>
      <c r="D335" s="6" t="str">
        <f>IFERROR(__xludf.DUMMYFUNCTION("""COMPUTED_VALUE"""),"Заводский")</f>
        <v>Заводский</v>
      </c>
      <c r="E335" s="6" t="str">
        <f>IFERROR(__xludf.DUMMYFUNCTION("""COMPUTED_VALUE"""),"Бульвар Строителей, Парк Жукова, Парк ангелов ")</f>
        <v>Бульвар Строителей, Парк Жукова, Парк ангелов </v>
      </c>
      <c r="F335" s="6" t="str">
        <f>IFERROR(__xludf.DUMMYFUNCTION("""COMPUTED_VALUE"""),"Живу здесь с рождения")</f>
        <v>Живу здесь с рождения</v>
      </c>
      <c r="G335" s="6" t="str">
        <f>IFERROR(__xludf.DUMMYFUNCTION("""COMPUTED_VALUE"""),"Томская писаница")</f>
        <v>Томская писаница</v>
      </c>
      <c r="H335" s="6" t="str">
        <f>IFERROR(__xludf.DUMMYFUNCTION("""COMPUTED_VALUE"""),"Красивый, родной, чистый, любимый, дорогой. ")</f>
        <v>Красивый, родной, чистый, любимый, дорогой. </v>
      </c>
      <c r="I335" s="6" t="str">
        <f>IFERROR(__xludf.DUMMYFUNCTION("""COMPUTED_VALUE"""),"Волков, Волошина, Леонтьев, Мартымьянов и мн. др. ")</f>
        <v>Волков, Волошина, Леонтьев, Мартымьянов и мн. др. </v>
      </c>
      <c r="J335" s="6" t="str">
        <f>IFERROR(__xludf.DUMMYFUNCTION("""COMPUTED_VALUE"""),"Врачи, учителя")</f>
        <v>Врачи, учителя</v>
      </c>
      <c r="K335" s="6" t="str">
        <f>IFERROR(__xludf.DUMMYFUNCTION("""COMPUTED_VALUE"""),"Томскую писаницу")</f>
        <v>Томскую писаницу</v>
      </c>
      <c r="L335" s="6" t="str">
        <f>IFERROR(__xludf.DUMMYFUNCTION("""COMPUTED_VALUE"""),"Что посеешь, то и пожнёшь")</f>
        <v>Что посеешь, то и пожнёшь</v>
      </c>
      <c r="M335" s="6" t="str">
        <f>IFERROR(__xludf.DUMMYFUNCTION("""COMPUTED_VALUE"""),"Жить")</f>
        <v>Жить</v>
      </c>
      <c r="N335" s="6" t="str">
        <f>IFERROR(__xludf.DUMMYFUNCTION("""COMPUTED_VALUE"""),"Парки, магазины, интернет")</f>
        <v>Парки, магазины, интернет</v>
      </c>
      <c r="O335" s="6" t="str">
        <f>IFERROR(__xludf.DUMMYFUNCTION("""COMPUTED_VALUE"""),"Дворы")</f>
        <v>Дворы</v>
      </c>
      <c r="P335" s="6" t="str">
        <f>IFERROR(__xludf.DUMMYFUNCTION("""COMPUTED_VALUE"""),"Мой город, Новости Кемерово ")</f>
        <v>Мой город, Новости Кемерово </v>
      </c>
      <c r="Q335" s="6" t="str">
        <f>IFERROR(__xludf.DUMMYFUNCTION("""COMPUTED_VALUE"""),"куда пойти в свободное время, криминальные новости (происшествия/преступления)")</f>
        <v>куда пойти в свободное время, криминальные новости (происшествия/преступления)</v>
      </c>
      <c r="R335" s="6" t="str">
        <f>IFERROR(__xludf.DUMMYFUNCTION("""COMPUTED_VALUE"""),"Проводы русской зимы, Новый год, День Шахтёров, День молодёжи, День города ")</f>
        <v>Проводы русской зимы, Новый год, День Шахтёров, День молодёжи, День города </v>
      </c>
      <c r="S335" s="6" t="str">
        <f>IFERROR(__xludf.DUMMYFUNCTION("""COMPUTED_VALUE"""),"Нет, не приходилось")</f>
        <v>Нет, не приходилось</v>
      </c>
      <c r="T335" s="6" t="str">
        <f>IFERROR(__xludf.DUMMYFUNCTION("""COMPUTED_VALUE"""),"Парки, театр, филармония ")</f>
        <v>Парки, театр, филармония </v>
      </c>
      <c r="U335" s="6" t="str">
        <f>IFERROR(__xludf.DUMMYFUNCTION("""COMPUTED_VALUE"""),"Парк Жукова ")</f>
        <v>Парк Жукова </v>
      </c>
      <c r="V335" s="6" t="str">
        <f>IFERROR(__xludf.DUMMYFUNCTION("""COMPUTED_VALUE"""),"Строительство ")</f>
        <v>Строительство </v>
      </c>
      <c r="W335" s="6" t="str">
        <f>IFERROR(__xludf.DUMMYFUNCTION("""COMPUTED_VALUE"""),"Разные")</f>
        <v>Разные</v>
      </c>
      <c r="X335" s="6" t="str">
        <f>IFERROR(__xludf.DUMMYFUNCTION("""COMPUTED_VALUE"""),"Комсомольский парк. 
")</f>
        <v>Комсомольский парк. 
</v>
      </c>
      <c r="Y335" s="6" t="str">
        <f>IFERROR(__xludf.DUMMYFUNCTION("""COMPUTED_VALUE"""),"Выставки в музее, библиотеке ")</f>
        <v>Выставки в музее, библиотеке </v>
      </c>
      <c r="Z335" s="6" t="str">
        <f>IFERROR(__xludf.DUMMYFUNCTION("""COMPUTED_VALUE"""),"День Шахтёров ")</f>
        <v>День Шахтёров </v>
      </c>
      <c r="AA335" s="6" t="str">
        <f>IFERROR(__xludf.DUMMYFUNCTION("""COMPUTED_VALUE"""),"Рост цен")</f>
        <v>Рост цен</v>
      </c>
      <c r="AB335" s="6" t="str">
        <f>IFERROR(__xludf.DUMMYFUNCTION("""COMPUTED_VALUE"""),"Всё хватает ")</f>
        <v>Всё хватает </v>
      </c>
      <c r="AC335" s="6" t="str">
        <f>IFERROR(__xludf.DUMMYFUNCTION("""COMPUTED_VALUE"""),"Детские развлечения ")</f>
        <v>Детские развлечения </v>
      </c>
      <c r="AD335" s="6" t="str">
        <f>IFERROR(__xludf.DUMMYFUNCTION("""COMPUTED_VALUE"""),"Не в какой")</f>
        <v>Не в какой</v>
      </c>
      <c r="AE335" s="6" t="str">
        <f>IFERROR(__xludf.DUMMYFUNCTION("""COMPUTED_VALUE"""),"Женский")</f>
        <v>Женский</v>
      </c>
      <c r="AF335" s="6" t="str">
        <f>IFERROR(__xludf.DUMMYFUNCTION("""COMPUTED_VALUE"""),"старше 55")</f>
        <v>старше 55</v>
      </c>
      <c r="AG335" s="6"/>
      <c r="AH335" s="6"/>
      <c r="AI335" s="6"/>
      <c r="AJ335" s="6"/>
      <c r="AK335" s="6"/>
      <c r="AL335" s="6"/>
      <c r="AM335" s="6"/>
    </row>
    <row r="336">
      <c r="A336" s="4">
        <v>335.0</v>
      </c>
      <c r="B336" s="6" t="str">
        <f>IFERROR(__xludf.DUMMYFUNCTION("""COMPUTED_VALUE"""),"Энергетика")</f>
        <v>Энергетика</v>
      </c>
      <c r="C336" s="6" t="str">
        <f>IFERROR(__xludf.DUMMYFUNCTION("""COMPUTED_VALUE"""),"Работа с деревом, походы, сплавы")</f>
        <v>Работа с деревом, походы, сплавы</v>
      </c>
      <c r="D336" s="6" t="str">
        <f>IFERROR(__xludf.DUMMYFUNCTION("""COMPUTED_VALUE"""),"Кировский")</f>
        <v>Кировский</v>
      </c>
      <c r="E336" s="6" t="str">
        <f>IFERROR(__xludf.DUMMYFUNCTION("""COMPUTED_VALUE"""),"Район ЖКС")</f>
        <v>Район ЖКС</v>
      </c>
      <c r="F336" s="6" t="str">
        <f>IFERROR(__xludf.DUMMYFUNCTION("""COMPUTED_VALUE"""),"Живу здесь с рождения")</f>
        <v>Живу здесь с рождения</v>
      </c>
      <c r="G336" s="6" t="str">
        <f>IFERROR(__xludf.DUMMYFUNCTION("""COMPUTED_VALUE"""),"Набережная Кировского района, Парк Чудес")</f>
        <v>Набережная Кировского района, Парк Чудес</v>
      </c>
      <c r="H336" s="6" t="str">
        <f>IFERROR(__xludf.DUMMYFUNCTION("""COMPUTED_VALUE"""),"Рациональный, загазованный, зелёный, компактный, молодой")</f>
        <v>Рациональный, загазованный, зелёный, компактный, молодой</v>
      </c>
      <c r="I336" s="6" t="str">
        <f>IFERROR(__xludf.DUMMYFUNCTION("""COMPUTED_VALUE"""),"Алексей Леонов, Михайло Волков")</f>
        <v>Алексей Леонов, Михайло Волков</v>
      </c>
      <c r="J336" s="6" t="str">
        <f>IFERROR(__xludf.DUMMYFUNCTION("""COMPUTED_VALUE"""),"Евгений Гришковец")</f>
        <v>Евгений Гришковец</v>
      </c>
      <c r="K336" s="6" t="str">
        <f>IFERROR(__xludf.DUMMYFUNCTION("""COMPUTED_VALUE"""),"Красная горка, старая часть рудничного района, центр города.")</f>
        <v>Красная горка, старая часть рудничного района, центр города.</v>
      </c>
      <c r="L336" s="6" t="str">
        <f>IFERROR(__xludf.DUMMYFUNCTION("""COMPUTED_VALUE"""),"Затрудняюсь ответить ")</f>
        <v>Затрудняюсь ответить </v>
      </c>
      <c r="M336" s="6" t="str">
        <f>IFERROR(__xludf.DUMMYFUNCTION("""COMPUTED_VALUE"""),"Затрудняюсь ответить")</f>
        <v>Затрудняюсь ответить</v>
      </c>
      <c r="N336" s="6" t="str">
        <f>IFERROR(__xludf.DUMMYFUNCTION("""COMPUTED_VALUE"""),"Общественный транспорт, отсутствие пробок, инфраструктура для семейного отдыха, экология")</f>
        <v>Общественный транспорт, отсутствие пробок, инфраструктура для семейного отдыха, экология</v>
      </c>
      <c r="O336" s="6" t="str">
        <f>IFERROR(__xludf.DUMMYFUNCTION("""COMPUTED_VALUE"""),"Отремонтировать фасады (со всех сторон) исторических зданий, избавиться от безвкусных вывесок.")</f>
        <v>Отремонтировать фасады (со всех сторон) исторических зданий, избавиться от безвкусных вывесок.</v>
      </c>
      <c r="P336" s="7" t="str">
        <f>IFERROR(__xludf.DUMMYFUNCTION("""COMPUTED_VALUE"""),"VSE42.ru")</f>
        <v>VSE42.ru</v>
      </c>
      <c r="Q336" s="6" t="str">
        <f>IFERROR(__xludf.DUMMYFUNCTION("""COMPUTED_VALUE"""),"куда пойти в свободное время, интервью с местными творческими личностями, бизнес-новости (средний чек/рекламные акции/запуск новых предприятий)")</f>
        <v>куда пойти в свободное время, интервью с местными творческими личностями, бизнес-новости (средний чек/рекламные акции/запуск новых предприятий)</v>
      </c>
      <c r="R336" s="6" t="str">
        <f>IFERROR(__xludf.DUMMYFUNCTION("""COMPUTED_VALUE"""),"День города")</f>
        <v>День города</v>
      </c>
      <c r="S336" s="6" t="str">
        <f>IFERROR(__xludf.DUMMYFUNCTION("""COMPUTED_VALUE"""),"Нет, не приходилось")</f>
        <v>Нет, не приходилось</v>
      </c>
      <c r="T336" s="6" t="str">
        <f>IFERROR(__xludf.DUMMYFUNCTION("""COMPUTED_VALUE"""),"Город знаменит как столица угольного края. Уникального нет.")</f>
        <v>Город знаменит как столица угольного края. Уникального нет.</v>
      </c>
      <c r="U336" s="6" t="str">
        <f>IFERROR(__xludf.DUMMYFUNCTION("""COMPUTED_VALUE"""),"Красная горка с историческими постройками времён АИК Кузбасс")</f>
        <v>Красная горка с историческими постройками времён АИК Кузбасс</v>
      </c>
      <c r="V336" s="6" t="str">
        <f>IFERROR(__xludf.DUMMYFUNCTION("""COMPUTED_VALUE"""),"Развивали промышленное производство")</f>
        <v>Развивали промышленное производство</v>
      </c>
      <c r="W336" s="6" t="str">
        <f>IFERROR(__xludf.DUMMYFUNCTION("""COMPUTED_VALUE"""),"Немного угрюмые, образованные, добродушные, гостепреимные")</f>
        <v>Немного угрюмые, образованные, добродушные, гостепреимные</v>
      </c>
      <c r="X336" s="6" t="str">
        <f>IFERROR(__xludf.DUMMYFUNCTION("""COMPUTED_VALUE"""),"Историческая часть рудничного района")</f>
        <v>Историческая часть рудничного района</v>
      </c>
      <c r="Y336" s="6" t="str">
        <f>IFERROR(__xludf.DUMMYFUNCTION("""COMPUTED_VALUE"""),"Затрудняюсь ответить")</f>
        <v>Затрудняюсь ответить</v>
      </c>
      <c r="Z336" s="6" t="str">
        <f>IFERROR(__xludf.DUMMYFUNCTION("""COMPUTED_VALUE"""),"Фестиваль Монстры рока")</f>
        <v>Фестиваль Монстры рока</v>
      </c>
      <c r="AA336" s="6" t="str">
        <f>IFERROR(__xludf.DUMMYFUNCTION("""COMPUTED_VALUE"""),"Пожар в ТРЦ Зимняя вишня")</f>
        <v>Пожар в ТРЦ Зимняя вишня</v>
      </c>
      <c r="AB336" s="6" t="str">
        <f>IFERROR(__xludf.DUMMYFUNCTION("""COMPUTED_VALUE"""),"Затрудняюсь ответить")</f>
        <v>Затрудняюсь ответить</v>
      </c>
      <c r="AC336" s="6" t="str">
        <f>IFERROR(__xludf.DUMMYFUNCTION("""COMPUTED_VALUE"""),"Больше массовых спортивных мероприятий, мероприятия исторической направленности")</f>
        <v>Больше массовых спортивных мероприятий, мероприятия исторической направленности</v>
      </c>
      <c r="AD336" s="6" t="str">
        <f>IFERROR(__xludf.DUMMYFUNCTION("""COMPUTED_VALUE"""),"Готов поддержать физическим трудом")</f>
        <v>Готов поддержать физическим трудом</v>
      </c>
      <c r="AE336" s="6" t="str">
        <f>IFERROR(__xludf.DUMMYFUNCTION("""COMPUTED_VALUE"""),"Мужской")</f>
        <v>Мужской</v>
      </c>
      <c r="AF336" s="6" t="str">
        <f>IFERROR(__xludf.DUMMYFUNCTION("""COMPUTED_VALUE"""),"30-44")</f>
        <v>30-44</v>
      </c>
      <c r="AG336" s="6"/>
      <c r="AH336" s="6"/>
      <c r="AI336" s="6"/>
      <c r="AJ336" s="6"/>
      <c r="AK336" s="6"/>
      <c r="AL336" s="6"/>
      <c r="AM336" s="6"/>
    </row>
    <row r="337">
      <c r="A337" s="4">
        <v>336.0</v>
      </c>
      <c r="B337" s="6" t="str">
        <f>IFERROR(__xludf.DUMMYFUNCTION("""COMPUTED_VALUE"""),"Работаю бухгалтером")</f>
        <v>Работаю бухгалтером</v>
      </c>
      <c r="C337" s="6" t="str">
        <f>IFERROR(__xludf.DUMMYFUNCTION("""COMPUTED_VALUE"""),"Пеку тортики")</f>
        <v>Пеку тортики</v>
      </c>
      <c r="D337" s="6" t="str">
        <f>IFERROR(__xludf.DUMMYFUNCTION("""COMPUTED_VALUE"""),"Южный")</f>
        <v>Южный</v>
      </c>
      <c r="E337" s="6" t="str">
        <f>IFERROR(__xludf.DUMMYFUNCTION("""COMPUTED_VALUE"""),"Их нет")</f>
        <v>Их нет</v>
      </c>
      <c r="F337" s="6" t="str">
        <f>IFERROR(__xludf.DUMMYFUNCTION("""COMPUTED_VALUE"""),"Переехал сюда из другого места (откуда? укажите в графе другое), Переезд всех членов семьи")</f>
        <v>Переехал сюда из другого места (откуда? укажите в графе другое), Переезд всех членов семьи</v>
      </c>
      <c r="G337" s="6" t="str">
        <f>IFERROR(__xludf.DUMMYFUNCTION("""COMPUTED_VALUE"""),"Набережная")</f>
        <v>Набережная</v>
      </c>
      <c r="H337" s="6" t="str">
        <f>IFERROR(__xludf.DUMMYFUNCTION("""COMPUTED_VALUE"""),"Уголь, работа, снег, грязный воздух, серость")</f>
        <v>Уголь, работа, снег, грязный воздух, серость</v>
      </c>
      <c r="I337" s="6" t="str">
        <f>IFERROR(__xludf.DUMMYFUNCTION("""COMPUTED_VALUE"""),"Волков")</f>
        <v>Волков</v>
      </c>
      <c r="J337" s="6" t="str">
        <f>IFERROR(__xludf.DUMMYFUNCTION("""COMPUTED_VALUE"""),"Не знаю")</f>
        <v>Не знаю</v>
      </c>
      <c r="K337" s="6" t="str">
        <f>IFERROR(__xludf.DUMMYFUNCTION("""COMPUTED_VALUE"""),"Нет")</f>
        <v>Нет</v>
      </c>
      <c r="L337" s="6" t="str">
        <f>IFERROR(__xludf.DUMMYFUNCTION("""COMPUTED_VALUE"""),"Нет")</f>
        <v>Нет</v>
      </c>
      <c r="M337" s="6" t="str">
        <f>IFERROR(__xludf.DUMMYFUNCTION("""COMPUTED_VALUE"""),"Нет")</f>
        <v>Нет</v>
      </c>
      <c r="N337" s="6" t="str">
        <f>IFERROR(__xludf.DUMMYFUNCTION("""COMPUTED_VALUE"""),"Чистота, свежий воздух, очищенные от снега дороги, дороги без ям, зелень")</f>
        <v>Чистота, свежий воздух, очищенные от снега дороги, дороги без ям, зелень</v>
      </c>
      <c r="O337" s="6" t="str">
        <f>IFERROR(__xludf.DUMMYFUNCTION("""COMPUTED_VALUE"""),"Дороги")</f>
        <v>Дороги</v>
      </c>
      <c r="P337" s="6" t="str">
        <f>IFERROR(__xludf.DUMMYFUNCTION("""COMPUTED_VALUE"""),"Инстаграм VKemerovo")</f>
        <v>Инстаграм VKemerovo</v>
      </c>
      <c r="Q337"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337" s="6" t="str">
        <f>IFERROR(__xludf.DUMMYFUNCTION("""COMPUTED_VALUE"""),"Масленица, Новый год")</f>
        <v>Масленица, Новый год</v>
      </c>
      <c r="S337" s="6" t="str">
        <f>IFERROR(__xludf.DUMMYFUNCTION("""COMPUTED_VALUE"""),"Нет, не приходилось")</f>
        <v>Нет, не приходилось</v>
      </c>
      <c r="T337" s="6" t="str">
        <f>IFERROR(__xludf.DUMMYFUNCTION("""COMPUTED_VALUE"""),"Нет")</f>
        <v>Нет</v>
      </c>
      <c r="U337" s="6" t="str">
        <f>IFERROR(__xludf.DUMMYFUNCTION("""COMPUTED_VALUE"""),"Нет")</f>
        <v>Нет</v>
      </c>
      <c r="V337" s="6" t="str">
        <f>IFERROR(__xludf.DUMMYFUNCTION("""COMPUTED_VALUE"""),"Нет")</f>
        <v>Нет</v>
      </c>
      <c r="W337" s="6" t="str">
        <f>IFERROR(__xludf.DUMMYFUNCTION("""COMPUTED_VALUE"""),"Суровые")</f>
        <v>Суровые</v>
      </c>
      <c r="X337" s="6" t="str">
        <f>IFERROR(__xludf.DUMMYFUNCTION("""COMPUTED_VALUE"""),"Набережная")</f>
        <v>Набережная</v>
      </c>
      <c r="Y337" s="6" t="str">
        <f>IFERROR(__xludf.DUMMYFUNCTION("""COMPUTED_VALUE"""),"Нет")</f>
        <v>Нет</v>
      </c>
      <c r="Z337" s="6" t="str">
        <f>IFERROR(__xludf.DUMMYFUNCTION("""COMPUTED_VALUE"""),"Рок-концерт от Строй-Сервис")</f>
        <v>Рок-концерт от Строй-Сервис</v>
      </c>
      <c r="AA337" s="6" t="str">
        <f>IFERROR(__xludf.DUMMYFUNCTION("""COMPUTED_VALUE"""),"Бездействие полиции при убийстве девушки")</f>
        <v>Бездействие полиции при убийстве девушки</v>
      </c>
      <c r="AB337" s="6" t="str">
        <f>IFERROR(__xludf.DUMMYFUNCTION("""COMPUTED_VALUE"""),"Нет")</f>
        <v>Нет</v>
      </c>
      <c r="AC337" s="6" t="str">
        <f>IFERROR(__xludf.DUMMYFUNCTION("""COMPUTED_VALUE"""),"Нет")</f>
        <v>Нет</v>
      </c>
      <c r="AD337" s="6" t="str">
        <f>IFERROR(__xludf.DUMMYFUNCTION("""COMPUTED_VALUE"""),"Нет")</f>
        <v>Нет</v>
      </c>
      <c r="AE337" s="6" t="str">
        <f>IFERROR(__xludf.DUMMYFUNCTION("""COMPUTED_VALUE"""),"Женский")</f>
        <v>Женский</v>
      </c>
      <c r="AF337" s="6" t="str">
        <f>IFERROR(__xludf.DUMMYFUNCTION("""COMPUTED_VALUE"""),"30-44")</f>
        <v>30-44</v>
      </c>
      <c r="AG337" s="6"/>
      <c r="AH337" s="6"/>
      <c r="AI337" s="6"/>
      <c r="AJ337" s="6"/>
      <c r="AK337" s="6"/>
      <c r="AL337" s="6"/>
      <c r="AM337" s="6"/>
    </row>
    <row r="338">
      <c r="A338" s="4">
        <v>337.0</v>
      </c>
      <c r="B338" s="6" t="str">
        <f>IFERROR(__xludf.DUMMYFUNCTION("""COMPUTED_VALUE"""),"Юрист")</f>
        <v>Юрист</v>
      </c>
      <c r="C338" s="6" t="str">
        <f>IFERROR(__xludf.DUMMYFUNCTION("""COMPUTED_VALUE"""),"Практическая стрельба, мотоцикл")</f>
        <v>Практическая стрельба, мотоцикл</v>
      </c>
      <c r="D338" s="6" t="str">
        <f>IFERROR(__xludf.DUMMYFUNCTION("""COMPUTED_VALUE"""),"Проспект Московский. Говорю, живу на Московском")</f>
        <v>Проспект Московский. Говорю, живу на Московском</v>
      </c>
      <c r="E338" s="6" t="str">
        <f>IFERROR(__xludf.DUMMYFUNCTION("""COMPUTED_VALUE"""),"Озеро Красное, ТРК Лапландия ")</f>
        <v>Озеро Красное, ТРК Лапландия </v>
      </c>
      <c r="F338" s="6" t="str">
        <f>IFERROR(__xludf.DUMMYFUNCTION("""COMPUTED_VALUE"""),"Живу здесь с рождения")</f>
        <v>Живу здесь с рождения</v>
      </c>
      <c r="G338" s="6" t="str">
        <f>IFERROR(__xludf.DUMMYFUNCTION("""COMPUTED_VALUE"""),"Летом на дачу и в центр города. Зимой в торговые центры. ")</f>
        <v>Летом на дачу и в центр города. Зимой в торговые центры. </v>
      </c>
      <c r="H338" s="6" t="str">
        <f>IFERROR(__xludf.DUMMYFUNCTION("""COMPUTED_VALUE"""),"Родной город, уголь, скучно, грязно, холодно ")</f>
        <v>Родной город, уголь, скучно, грязно, холодно </v>
      </c>
      <c r="I338" s="6" t="str">
        <f>IFERROR(__xludf.DUMMYFUNCTION("""COMPUTED_VALUE"""),"Михайло Волков, Себальд Рудгерс, Йохан ван Лохем. ")</f>
        <v>Михайло Волков, Себальд Рудгерс, Йохан ван Лохем. </v>
      </c>
      <c r="J338" s="6" t="str">
        <f>IFERROR(__xludf.DUMMYFUNCTION("""COMPUTED_VALUE"""),"Владимир Михайлов, кардиохирург Барабаш, Михаил Федяев ")</f>
        <v>Владимир Михайлов, кардиохирург Барабаш, Михаил Федяев </v>
      </c>
      <c r="K338" s="6" t="str">
        <f>IFERROR(__xludf.DUMMYFUNCTION("""COMPUTED_VALUE"""),"Красная горка, мемориал погибшим военнопленным в Предзаводском, Кедровский разрез, Лесная поляна. ")</f>
        <v>Красная горка, мемориал погибшим военнопленным в Предзаводском, Кедровский разрез, Лесная поляна. </v>
      </c>
      <c r="L338" s="6" t="str">
        <f>IFERROR(__xludf.DUMMYFUNCTION("""COMPUTED_VALUE"""),"Побег бегемота их и купание его в р. Искитимка. ")</f>
        <v>Побег бегемота их и купание его в р. Искитимка. </v>
      </c>
      <c r="M338" s="6" t="str">
        <f>IFERROR(__xludf.DUMMYFUNCTION("""COMPUTED_VALUE"""),"Радуга, Кольцо, Бульвар. ")</f>
        <v>Радуга, Кольцо, Бульвар. </v>
      </c>
      <c r="N338" s="6" t="str">
        <f>IFERROR(__xludf.DUMMYFUNCTION("""COMPUTED_VALUE"""),"Очистка пешоходных дорожек и автодорог зимой, отсутствие пробок, чистый воздух, общая чистка, благоустройство общественных мест и дворов ")</f>
        <v>Очистка пешоходных дорожек и автодорог зимой, отсутствие пробок, чистый воздух, общая чистка, благоустройство общественных мест и дворов </v>
      </c>
      <c r="O338" s="6" t="str">
        <f>IFERROR(__xludf.DUMMYFUNCTION("""COMPUTED_VALUE"""),"Покрасить старые дома в яркие цвета (со вкусом), убрать из центра частный сектор и гаражи, блаустроить пешеходные зоны, новые дома стоить по современным проектам и с современной внешней отделкой, вычистить из города дикий кустарник. ")</f>
        <v>Покрасить старые дома в яркие цвета (со вкусом), убрать из центра частный сектор и гаражи, блаустроить пешеходные зоны, новые дома стоить по современным проектам и с современной внешней отделкой, вычистить из города дикий кустарник. </v>
      </c>
      <c r="P338" s="6" t="str">
        <f>IFERROR(__xludf.DUMMYFUNCTION("""COMPUTED_VALUE"""),"Не интересуюсь, иногда Сибдепо, Открытый город ")</f>
        <v>Не интересуюсь, иногда Сибдепо, Открытый город </v>
      </c>
      <c r="Q338" s="6" t="str">
        <f>IFERROR(__xludf.DUMMYFUNCTION("""COMPUTED_VALUE"""),"интервью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v>
      </c>
      <c r="R338" s="6" t="str">
        <f>IFERROR(__xludf.DUMMYFUNCTION("""COMPUTED_VALUE"""),"9 мая (но нужно вернуться к старому формату). Для других День Шахтёра. ")</f>
        <v>9 мая (но нужно вернуться к старому формату). Для других День Шахтёра. </v>
      </c>
      <c r="S338" s="6" t="str">
        <f>IFERROR(__xludf.DUMMYFUNCTION("""COMPUTED_VALUE"""),"Через школы ")</f>
        <v>Через школы </v>
      </c>
      <c r="T338" s="6" t="str">
        <f>IFERROR(__xludf.DUMMYFUNCTION("""COMPUTED_VALUE"""),"Столица угледобычи, шахтерские забастовки 1989 года, пожар 2018 года, режим чёрного неба. Уникален строительством города рядом с городом (Лесная поляна). ")</f>
        <v>Столица угледобычи, шахтерские забастовки 1989 года, пожар 2018 года, режим чёрного неба. Уникален строительством города рядом с городом (Лесная поляна). </v>
      </c>
      <c r="U338" s="6" t="str">
        <f>IFERROR(__xludf.DUMMYFUNCTION("""COMPUTED_VALUE"""),"Площадь советов и прилегающие территории ")</f>
        <v>Площадь советов и прилегающие территории </v>
      </c>
      <c r="V338" s="6" t="str">
        <f>IFERROR(__xludf.DUMMYFUNCTION("""COMPUTED_VALUE"""),"Постройка самого города и красивого центра в советское время. Постройка промышленного гиганта - КАО Азот. Тяжёлый но престижный труд на шахтах до их закрытия. Забастовки 1989 года. Поддержание и развитие города в кризис 90х годов.")</f>
        <v>Постройка самого города и красивого центра в советское время. Постройка промышленного гиганта - КАО Азот. Тяжёлый но престижный труд на шахтах до их закрытия. Забастовки 1989 года. Поддержание и развитие города в кризис 90х годов.</v>
      </c>
      <c r="W338" s="6" t="str">
        <f>IFERROR(__xludf.DUMMYFUNCTION("""COMPUTED_VALUE"""),"Честные, хмурые, грубые, малообщительные. ")</f>
        <v>Честные, хмурые, грубые, малообщительные. </v>
      </c>
      <c r="X338" s="6" t="str">
        <f>IFERROR(__xludf.DUMMYFUNCTION("""COMPUTED_VALUE"""),"От Памятника Погибшим Шахтёрам до Красной горки")</f>
        <v>От Памятника Погибшим Шахтёрам до Красной горки</v>
      </c>
      <c r="Y338" s="6" t="str">
        <f>IFERROR(__xludf.DUMMYFUNCTION("""COMPUTED_VALUE"""),"Шахтерские забастовки 1989 года ")</f>
        <v>Шахтерские забастовки 1989 года </v>
      </c>
      <c r="Z338" s="6" t="str">
        <f>IFERROR(__xludf.DUMMYFUNCTION("""COMPUTED_VALUE"""),"Рок-концерт на юбилей ЗАО Стройсервис. Очистка дельты р. Искитимка. Снос гаражный кооперативов в центре города. ")</f>
        <v>Рок-концерт на юбилей ЗАО Стройсервис. Очистка дельты р. Искитимка. Снос гаражный кооперативов в центре города. </v>
      </c>
      <c r="AA338" s="6" t="str">
        <f>IFERROR(__xludf.DUMMYFUNCTION("""COMPUTED_VALUE"""),"Отсутствие позитивной динамики вцелом. Невнятная работа мэра. Укрепления статуса города как места откуда нужно уехать. ")</f>
        <v>Отсутствие позитивной динамики вцелом. Невнятная работа мэра. Укрепления статуса города как места откуда нужно уехать. </v>
      </c>
      <c r="AB338" s="6" t="str">
        <f>IFERROR(__xludf.DUMMYFUNCTION("""COMPUTED_VALUE"""),"Стрелковых клубов, рок-клубов ")</f>
        <v>Стрелковых клубов, рок-клубов </v>
      </c>
      <c r="AC338" s="6" t="str">
        <f>IFERROR(__xludf.DUMMYFUNCTION("""COMPUTED_VALUE"""),"Проведение выставок главных музеев страны и зарубежья, проведение настоящий международных мероприятий в сфере популярного спорта и культуры. Отказ от принудительных массовых мероприятий, куда сгоняют школьников, студентов и работников. ")</f>
        <v>Проведение выставок главных музеев страны и зарубежья, проведение настоящий международных мероприятий в сфере популярного спорта и культуры. Отказ от принудительных массовых мероприятий, куда сгоняют школьников, студентов и работников. </v>
      </c>
      <c r="AD338" s="6" t="str">
        <f>IFERROR(__xludf.DUMMYFUNCTION("""COMPUTED_VALUE"""),"Советника и потребителя. ")</f>
        <v>Советника и потребителя. </v>
      </c>
      <c r="AE338" s="6" t="str">
        <f>IFERROR(__xludf.DUMMYFUNCTION("""COMPUTED_VALUE"""),"Мужской")</f>
        <v>Мужской</v>
      </c>
      <c r="AF338" s="6" t="str">
        <f>IFERROR(__xludf.DUMMYFUNCTION("""COMPUTED_VALUE"""),"30-44")</f>
        <v>30-44</v>
      </c>
      <c r="AG338" s="6"/>
      <c r="AH338" s="6"/>
      <c r="AI338" s="6"/>
      <c r="AJ338" s="6"/>
      <c r="AK338" s="6"/>
      <c r="AL338" s="6"/>
      <c r="AM338" s="6"/>
    </row>
    <row r="339">
      <c r="A339" s="4">
        <v>338.0</v>
      </c>
      <c r="B339" s="6" t="str">
        <f>IFERROR(__xludf.DUMMYFUNCTION("""COMPUTED_VALUE"""),"Врач ")</f>
        <v>Врач </v>
      </c>
      <c r="C339" s="6" t="str">
        <f>IFERROR(__xludf.DUMMYFUNCTION("""COMPUTED_VALUE"""),"Рисование ")</f>
        <v>Рисование </v>
      </c>
      <c r="D339" s="6" t="str">
        <f>IFERROR(__xludf.DUMMYFUNCTION("""COMPUTED_VALUE"""),"Центральный ")</f>
        <v>Центральный </v>
      </c>
      <c r="E339" s="6" t="str">
        <f>IFERROR(__xludf.DUMMYFUNCTION("""COMPUTED_VALUE"""),"Площадь Советов ")</f>
        <v>Площадь Советов </v>
      </c>
      <c r="F339" s="6" t="str">
        <f>IFERROR(__xludf.DUMMYFUNCTION("""COMPUTED_VALUE"""),"Переехал сюда из другого места (откуда? укажите в графе другое), Белово ")</f>
        <v>Переехал сюда из другого места (откуда? укажите в графе другое), Белово </v>
      </c>
      <c r="G339" s="6" t="str">
        <f>IFERROR(__xludf.DUMMYFUNCTION("""COMPUTED_VALUE"""),"Набережная, фонтан, ул. Весенняя ")</f>
        <v>Набережная, фонтан, ул. Весенняя </v>
      </c>
      <c r="H339" s="6" t="str">
        <f>IFERROR(__xludf.DUMMYFUNCTION("""COMPUTED_VALUE"""),"Пыльный, смог, безликий, грязный, пивточки")</f>
        <v>Пыльный, смог, безликий, грязный, пивточки</v>
      </c>
      <c r="I339" s="6" t="str">
        <f>IFERROR(__xludf.DUMMYFUNCTION("""COMPUTED_VALUE"""),"М. Волков, А. Леонов, М. Подгорбунский, ")</f>
        <v>М. Волков, А. Леонов, М. Подгорбунский, </v>
      </c>
      <c r="J339" s="6" t="str">
        <f>IFERROR(__xludf.DUMMYFUNCTION("""COMPUTED_VALUE"""),"Л. С. БАРБАРАШ, ")</f>
        <v>Л. С. БАРБАРАШ, </v>
      </c>
      <c r="K339" s="6" t="str">
        <f>IFERROR(__xludf.DUMMYFUNCTION("""COMPUTED_VALUE"""),"Томская писаница, ")</f>
        <v>Томская писаница, </v>
      </c>
      <c r="L339" s="6" t="str">
        <f>IFERROR(__xludf.DUMMYFUNCTION("""COMPUTED_VALUE"""),"Не знаю таких ")</f>
        <v>Не знаю таких </v>
      </c>
      <c r="M339" s="6" t="str">
        <f>IFERROR(__xludf.DUMMYFUNCTION("""COMPUTED_VALUE"""),"Нет ")</f>
        <v>Нет </v>
      </c>
      <c r="N339" s="6" t="str">
        <f>IFERROR(__xludf.DUMMYFUNCTION("""COMPUTED_VALUE"""),"Экологически чистый, озелененный, безопасный, с оснащенными больницами, поддержка местных предпринимателей. ")</f>
        <v>Экологически чистый, озелененный, безопасный, с оснащенными больницами, поддержка местных предпринимателей. </v>
      </c>
      <c r="O339" s="6" t="str">
        <f>IFERROR(__xludf.DUMMYFUNCTION("""COMPUTED_VALUE"""),"Наладить работу коммунальных служб и уборке территории ")</f>
        <v>Наладить работу коммунальных служб и уборке территории </v>
      </c>
      <c r="P339" s="6" t="str">
        <f>IFERROR(__xludf.DUMMYFUNCTION("""COMPUTED_VALUE"""),"Все интернет ресурсы, сарафанное радио ")</f>
        <v>Все интернет ресурсы, сарафанное радио </v>
      </c>
      <c r="Q339" s="6" t="str">
        <f>IFERROR(__xludf.DUMMYFUNCTION("""COMPUTED_VALUE"""),"городская афиша (кино/театр/концерты), интервью с местными творческими личностями, бизнес-новости (средний чек/рекламные акции/запуск новых предприятий)")</f>
        <v>городская афиша (кино/театр/концерты), интервью с местными творческими личностями, бизнес-новости (средний чек/рекламные акции/запуск новых предприятий)</v>
      </c>
      <c r="R339" s="6" t="str">
        <f>IFERROR(__xludf.DUMMYFUNCTION("""COMPUTED_VALUE"""),"9 мая, день защиты детей ")</f>
        <v>9 мая, день защиты детей </v>
      </c>
      <c r="S339" s="6" t="str">
        <f>IFERROR(__xludf.DUMMYFUNCTION("""COMPUTED_VALUE"""),"Нет, не приходилось")</f>
        <v>Нет, не приходилось</v>
      </c>
      <c r="T339" s="6" t="str">
        <f>IFERROR(__xludf.DUMMYFUNCTION("""COMPUTED_VALUE"""),"Ничего, отсутствие истории, достопримечательностей, мрачный приём для гостей ")</f>
        <v>Ничего, отсутствие истории, достопримечательностей, мрачный приём для гостей </v>
      </c>
      <c r="U339" s="6" t="str">
        <f>IFERROR(__xludf.DUMMYFUNCTION("""COMPUTED_VALUE"""),"Фонтан на Весенней ")</f>
        <v>Фонтан на Весенней </v>
      </c>
      <c r="V339" s="6" t="str">
        <f>IFERROR(__xludf.DUMMYFUNCTION("""COMPUTED_VALUE"""),"Ничего ")</f>
        <v>Ничего </v>
      </c>
      <c r="W339" s="6" t="str">
        <f>IFERROR(__xludf.DUMMYFUNCTION("""COMPUTED_VALUE"""),"Угрюмые, пьющие, работающие, ")</f>
        <v>Угрюмые, пьющие, работающие, </v>
      </c>
      <c r="X339" s="6" t="str">
        <f>IFERROR(__xludf.DUMMYFUNCTION("""COMPUTED_VALUE"""),"Его нет, показать нечего ")</f>
        <v>Его нет, показать нечего </v>
      </c>
      <c r="Y339" s="6" t="str">
        <f>IFERROR(__xludf.DUMMYFUNCTION("""COMPUTED_VALUE"""),"Забастовки шахтёров ")</f>
        <v>Забастовки шахтёров </v>
      </c>
      <c r="Z339" s="6" t="str">
        <f>IFERROR(__xludf.DUMMYFUNCTION("""COMPUTED_VALUE"""),"Within temptation концерт ")</f>
        <v>Within temptation концерт </v>
      </c>
      <c r="AA339" s="6" t="str">
        <f>IFERROR(__xludf.DUMMYFUNCTION("""COMPUTED_VALUE"""),"Происходят постоянно, Зимняя вишня апогей ")</f>
        <v>Происходят постоянно, Зимняя вишня апогей </v>
      </c>
      <c r="AB339" s="6" t="str">
        <f>IFERROR(__xludf.DUMMYFUNCTION("""COMPUTED_VALUE"""),"Культурных ")</f>
        <v>Культурных </v>
      </c>
      <c r="AC339" s="6" t="str">
        <f>IFERROR(__xludf.DUMMYFUNCTION("""COMPUTED_VALUE"""),"Улучшение в экологической и криминальной сфере ")</f>
        <v>Улучшение в экологической и криминальной сфере </v>
      </c>
      <c r="AD339" s="6" t="str">
        <f>IFERROR(__xludf.DUMMYFUNCTION("""COMPUTED_VALUE"""),"Участник ")</f>
        <v>Участник </v>
      </c>
      <c r="AE339" s="6" t="str">
        <f>IFERROR(__xludf.DUMMYFUNCTION("""COMPUTED_VALUE"""),"Женский")</f>
        <v>Женский</v>
      </c>
      <c r="AF339" s="6" t="str">
        <f>IFERROR(__xludf.DUMMYFUNCTION("""COMPUTED_VALUE"""),"30-44")</f>
        <v>30-44</v>
      </c>
      <c r="AG339" s="6"/>
      <c r="AH339" s="6"/>
      <c r="AI339" s="6"/>
      <c r="AJ339" s="6"/>
      <c r="AK339" s="6"/>
      <c r="AL339" s="6"/>
      <c r="AM339" s="6"/>
    </row>
    <row r="340">
      <c r="A340" s="4">
        <v>339.0</v>
      </c>
      <c r="B340" s="6" t="str">
        <f>IFERROR(__xludf.DUMMYFUNCTION("""COMPUTED_VALUE"""),"офисный сотрудник")</f>
        <v>офисный сотрудник</v>
      </c>
      <c r="C340" s="6" t="str">
        <f>IFERROR(__xludf.DUMMYFUNCTION("""COMPUTED_VALUE"""),"чтение")</f>
        <v>чтение</v>
      </c>
      <c r="D340" s="6" t="str">
        <f>IFERROR(__xludf.DUMMYFUNCTION("""COMPUTED_VALUE"""),"Центральный, центр")</f>
        <v>Центральный, центр</v>
      </c>
      <c r="E340" s="6" t="str">
        <f>IFERROR(__xludf.DUMMYFUNCTION("""COMPUTED_VALUE"""),"площадь Советов, парк Жукова, Горсад, набережная, Вечный огонь")</f>
        <v>площадь Советов, парк Жукова, Горсад, набережная, Вечный огонь</v>
      </c>
      <c r="F340" s="6" t="str">
        <f>IFERROR(__xludf.DUMMYFUNCTION("""COMPUTED_VALUE"""),"Живу здесь с рождения")</f>
        <v>Живу здесь с рождения</v>
      </c>
      <c r="G340" s="6" t="str">
        <f>IFERROR(__xludf.DUMMYFUNCTION("""COMPUTED_VALUE"""),"площадь Советов, парк Жукова, Горсад, набережная, Вечный огонь")</f>
        <v>площадь Советов, парк Жукова, Горсад, набережная, Вечный огонь</v>
      </c>
      <c r="H340" s="6" t="str">
        <f>IFERROR(__xludf.DUMMYFUNCTION("""COMPUTED_VALUE"""),"загазованный, Томь, Искитимка, котловина, уголь")</f>
        <v>загазованный, Томь, Искитимка, котловина, уголь</v>
      </c>
      <c r="I340" s="6" t="str">
        <f>IFERROR(__xludf.DUMMYFUNCTION("""COMPUTED_VALUE"""),"Михайло Волков, Владимир Мартемьянов, Михаил Алексеевич Подгорбунский")</f>
        <v>Михайло Волков, Владимир Мартемьянов, Михаил Алексеевич Подгорбунский</v>
      </c>
      <c r="J340" s="6" t="str">
        <f>IFERROR(__xludf.DUMMYFUNCTION("""COMPUTED_VALUE"""),"Олег Дмитриевич Корзухин, бывший преподаватель КемГУ")</f>
        <v>Олег Дмитриевич Корзухин, бывший преподаватель КемГУ</v>
      </c>
      <c r="K340" s="6" t="str">
        <f>IFERROR(__xludf.DUMMYFUNCTION("""COMPUTED_VALUE"""),"горящее сердце Кузбасса, музей Красная Горка")</f>
        <v>горящее сердце Кузбасса, музей Красная Горка</v>
      </c>
      <c r="L340" s="6" t="str">
        <f>IFERROR(__xludf.DUMMYFUNCTION("""COMPUTED_VALUE"""),"рыба гниет с головы")</f>
        <v>рыба гниет с головы</v>
      </c>
      <c r="M340" s="6" t="str">
        <f>IFERROR(__xludf.DUMMYFUNCTION("""COMPUTED_VALUE"""),"отхапать свою долю")</f>
        <v>отхапать свою долю</v>
      </c>
      <c r="N340" s="6" t="str">
        <f>IFERROR(__xludf.DUMMYFUNCTION("""COMPUTED_VALUE"""),"ровный асфальт везде, детские площадки во дворах, много деревьев, разноцветные крыши домов, широкие тротуары")</f>
        <v>ровный асфальт везде, детские площадки во дворах, много деревьев, разноцветные крыши домов, широкие тротуары</v>
      </c>
      <c r="O340" s="6" t="str">
        <f>IFERROR(__xludf.DUMMYFUNCTION("""COMPUTED_VALUE"""),"сделать ровный асфальт везде и очень хорошо чистить тротуары зимой")</f>
        <v>сделать ровный асфальт везде и очень хорошо чистить тротуары зимой</v>
      </c>
      <c r="P340" s="6" t="str">
        <f>IFERROR(__xludf.DUMMYFUNCTION("""COMPUTED_VALUE"""),"сайты театров, инстаграм")</f>
        <v>сайты театров, инстаграм</v>
      </c>
      <c r="Q340"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f>
        <v>городская афиша (кино/театр/концерты), культурные новинки (что почитать/что послушать), новости про новые профессии/куда поступать/вакансии</v>
      </c>
      <c r="R340" s="6" t="str">
        <f>IFERROR(__xludf.DUMMYFUNCTION("""COMPUTED_VALUE"""),"9 Мая, день строителя (второе воскресенье августа)")</f>
        <v>9 Мая, день строителя (второе воскресенье августа)</v>
      </c>
      <c r="S340" s="6" t="str">
        <f>IFERROR(__xludf.DUMMYFUNCTION("""COMPUTED_VALUE"""),"Делал рассылку по электронной почте, Обращался в редакции электронных городских СМИ, Обращался в редакции городских газет, телевидения, радио")</f>
        <v>Делал рассылку по электронной почте, Обращался в редакции электронных городских СМИ, Обращался в редакции городских газет, телевидения, радио</v>
      </c>
      <c r="T340" s="6" t="str">
        <f>IFERROR(__xludf.DUMMYFUNCTION("""COMPUTED_VALUE"""),"весь мир об этом знает: халатность")</f>
        <v>весь мир об этом знает: халатность</v>
      </c>
      <c r="U340" s="6" t="str">
        <f>IFERROR(__xludf.DUMMYFUNCTION("""COMPUTED_VALUE"""),"площадь Советов")</f>
        <v>площадь Советов</v>
      </c>
      <c r="V340" s="6" t="str">
        <f>IFERROR(__xludf.DUMMYFUNCTION("""COMPUTED_VALUE"""),"построили драматический театр")</f>
        <v>построили драматический театр</v>
      </c>
      <c r="W340" s="6" t="str">
        <f>IFERROR(__xludf.DUMMYFUNCTION("""COMPUTED_VALUE"""),"погруженность в себя")</f>
        <v>погруженность в себя</v>
      </c>
      <c r="X340" s="6" t="str">
        <f>IFERROR(__xludf.DUMMYFUNCTION("""COMPUTED_VALUE"""),"Весенняя - Набережная - Советский - Мичурина")</f>
        <v>Весенняя - Набережная - Советский - Мичурина</v>
      </c>
      <c r="Y340" s="6" t="str">
        <f>IFERROR(__xludf.DUMMYFUNCTION("""COMPUTED_VALUE"""),"построили университет")</f>
        <v>построили университет</v>
      </c>
      <c r="Z340" s="6" t="str">
        <f>IFERROR(__xludf.DUMMYFUNCTION("""COMPUTED_VALUE"""),"Венский филармонический оркестр")</f>
        <v>Венский филармонический оркестр</v>
      </c>
      <c r="AA340" s="6" t="str">
        <f>IFERROR(__xludf.DUMMYFUNCTION("""COMPUTED_VALUE"""),"весь мир об этом знает: халатность")</f>
        <v>весь мир об этом знает: халатность</v>
      </c>
      <c r="AB340" s="6" t="str">
        <f>IFERROR(__xludf.DUMMYFUNCTION("""COMPUTED_VALUE"""),"бассейн в центре")</f>
        <v>бассейн в центре</v>
      </c>
      <c r="AC340" s="6" t="str">
        <f>IFERROR(__xludf.DUMMYFUNCTION("""COMPUTED_VALUE"""),"сделать ровный асфальт везде и очень хорошо чистить тротуары зимой")</f>
        <v>сделать ровный асфальт везде и очень хорошо чистить тротуары зимой</v>
      </c>
      <c r="AD340" s="6" t="str">
        <f>IFERROR(__xludf.DUMMYFUNCTION("""COMPUTED_VALUE"""),"зритель, идейный вдохновитель")</f>
        <v>зритель, идейный вдохновитель</v>
      </c>
      <c r="AE340" s="6" t="str">
        <f>IFERROR(__xludf.DUMMYFUNCTION("""COMPUTED_VALUE"""),"Женский")</f>
        <v>Женский</v>
      </c>
      <c r="AF340" s="6" t="str">
        <f>IFERROR(__xludf.DUMMYFUNCTION("""COMPUTED_VALUE"""),"30-44")</f>
        <v>30-44</v>
      </c>
      <c r="AG340" s="6"/>
      <c r="AH340" s="6"/>
      <c r="AI340" s="6"/>
      <c r="AJ340" s="6"/>
      <c r="AK340" s="6"/>
      <c r="AL340" s="6"/>
      <c r="AM340" s="6"/>
    </row>
    <row r="341">
      <c r="A341" s="4">
        <v>340.0</v>
      </c>
      <c r="B341" s="6" t="str">
        <f>IFERROR(__xludf.DUMMYFUNCTION("""COMPUTED_VALUE"""),"Реклама")</f>
        <v>Реклама</v>
      </c>
      <c r="C341" s="6" t="str">
        <f>IFERROR(__xludf.DUMMYFUNCTION("""COMPUTED_VALUE"""),"Музыка")</f>
        <v>Музыка</v>
      </c>
      <c r="D341" s="6" t="str">
        <f>IFERROR(__xludf.DUMMYFUNCTION("""COMPUTED_VALUE"""),"Ленинский (Шалго)")</f>
        <v>Ленинский (Шалго)</v>
      </c>
      <c r="E341" s="6" t="str">
        <f>IFERROR(__xludf.DUMMYFUNCTION("""COMPUTED_VALUE"""),"бульвар Строителей")</f>
        <v>бульвар Строителей</v>
      </c>
      <c r="F341" s="6" t="str">
        <f>IFERROR(__xludf.DUMMYFUNCTION("""COMPUTED_VALUE"""),"Живу здесь с рождения")</f>
        <v>Живу здесь с рождения</v>
      </c>
      <c r="G341" s="6" t="str">
        <f>IFERROR(__xludf.DUMMYFUNCTION("""COMPUTED_VALUE"""),"Томская Писаница, набережная")</f>
        <v>Томская Писаница, набережная</v>
      </c>
      <c r="H341" s="6" t="str">
        <f>IFERROR(__xludf.DUMMYFUNCTION("""COMPUTED_VALUE"""),"Шахты, разрезы, заводы, металл, бетон, ")</f>
        <v>Шахты, разрезы, заводы, металл, бетон, </v>
      </c>
      <c r="I341" s="6" t="str">
        <f>IFERROR(__xludf.DUMMYFUNCTION("""COMPUTED_VALUE"""),"Леонов")</f>
        <v>Леонов</v>
      </c>
      <c r="J341" s="6" t="str">
        <f>IFERROR(__xludf.DUMMYFUNCTION("""COMPUTED_VALUE"""),"Гришковец")</f>
        <v>Гришковец</v>
      </c>
      <c r="K341" s="6" t="str">
        <f>IFERROR(__xludf.DUMMYFUNCTION("""COMPUTED_VALUE"""),"Отсутствуют")</f>
        <v>Отсутствуют</v>
      </c>
      <c r="L341" s="6" t="str">
        <f>IFERROR(__xludf.DUMMYFUNCTION("""COMPUTED_VALUE"""),"Не помню")</f>
        <v>Не помню</v>
      </c>
      <c r="M341" s="6" t="str">
        <f>IFERROR(__xludf.DUMMYFUNCTION("""COMPUTED_VALUE"""),"Нет")</f>
        <v>Нет</v>
      </c>
      <c r="N341" s="6" t="str">
        <f>IFERROR(__xludf.DUMMYFUNCTION("""COMPUTED_VALUE"""),"Дороги, уборка, наличие ночных заведений (не бары), детские развивающие школы, общественный транспорт")</f>
        <v>Дороги, уборка, наличие ночных заведений (не бары), детские развивающие школы, общественный транспорт</v>
      </c>
      <c r="O341" s="6" t="str">
        <f>IFERROR(__xludf.DUMMYFUNCTION("""COMPUTED_VALUE"""),"Дороги")</f>
        <v>Дороги</v>
      </c>
      <c r="P341" s="6" t="str">
        <f>IFERROR(__xludf.DUMMYFUNCTION("""COMPUTED_VALUE"""),"Инстаграм")</f>
        <v>Инстаграм</v>
      </c>
      <c r="Q341" s="6" t="str">
        <f>IFERROR(__xludf.DUMMYFUNCTION("""COMPUTED_VALUE"""),"куда пойти в свободное время,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местных"&amp;" исследований (рейтинги/аналитика/тенденции)")</f>
        <v>куда пойти в свободное время,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341" s="6" t="str">
        <f>IFERROR(__xludf.DUMMYFUNCTION("""COMPUTED_VALUE"""),"Нет")</f>
        <v>Нет</v>
      </c>
      <c r="S341" s="6" t="str">
        <f>IFERROR(__xludf.DUMMYFUNCTION("""COMPUTED_VALUE"""),"Нет, не приходилось")</f>
        <v>Нет, не приходилось</v>
      </c>
      <c r="T341" s="6" t="str">
        <f>IFERROR(__xludf.DUMMYFUNCTION("""COMPUTED_VALUE"""),"Зимняя вишня")</f>
        <v>Зимняя вишня</v>
      </c>
      <c r="U341" s="6" t="str">
        <f>IFERROR(__xludf.DUMMYFUNCTION("""COMPUTED_VALUE"""),"Набережная")</f>
        <v>Набережная</v>
      </c>
      <c r="V341" s="6" t="str">
        <f>IFERROR(__xludf.DUMMYFUNCTION("""COMPUTED_VALUE"""),"Затрудняюсь ответить")</f>
        <v>Затрудняюсь ответить</v>
      </c>
      <c r="W341" s="6" t="str">
        <f>IFERROR(__xludf.DUMMYFUNCTION("""COMPUTED_VALUE"""),"Холодные, неприветливые")</f>
        <v>Холодные, неприветливые</v>
      </c>
      <c r="X341" s="6" t="str">
        <f>IFERROR(__xludf.DUMMYFUNCTION("""COMPUTED_VALUE"""),"По Октябрьскому проспекту от Шалготарьяна до площади Ленина")</f>
        <v>По Октябрьскому проспекту от Шалготарьяна до площади Ленина</v>
      </c>
      <c r="Y341" s="6" t="str">
        <f>IFERROR(__xludf.DUMMYFUNCTION("""COMPUTED_VALUE"""),"Зимняя вишня")</f>
        <v>Зимняя вишня</v>
      </c>
      <c r="Z341" s="6" t="str">
        <f>IFERROR(__xludf.DUMMYFUNCTION("""COMPUTED_VALUE"""),"Затрудняюсь ответить")</f>
        <v>Затрудняюсь ответить</v>
      </c>
      <c r="AA341" s="6" t="str">
        <f>IFERROR(__xludf.DUMMYFUNCTION("""COMPUTED_VALUE"""),"Затрудняюсь ответить")</f>
        <v>Затрудняюсь ответить</v>
      </c>
      <c r="AB341" s="6" t="str">
        <f>IFERROR(__xludf.DUMMYFUNCTION("""COMPUTED_VALUE"""),"Музыка, культура")</f>
        <v>Музыка, культура</v>
      </c>
      <c r="AC341" s="6" t="str">
        <f>IFERROR(__xludf.DUMMYFUNCTION("""COMPUTED_VALUE"""),"Затрудняюсь ответить")</f>
        <v>Затрудняюсь ответить</v>
      </c>
      <c r="AD341" s="6" t="str">
        <f>IFERROR(__xludf.DUMMYFUNCTION("""COMPUTED_VALUE"""),"Зритель")</f>
        <v>Зритель</v>
      </c>
      <c r="AE341" s="6" t="str">
        <f>IFERROR(__xludf.DUMMYFUNCTION("""COMPUTED_VALUE"""),"Мужской")</f>
        <v>Мужской</v>
      </c>
      <c r="AF341" s="6" t="str">
        <f>IFERROR(__xludf.DUMMYFUNCTION("""COMPUTED_VALUE"""),"30-44")</f>
        <v>30-44</v>
      </c>
      <c r="AG341" s="6"/>
      <c r="AH341" s="6"/>
      <c r="AI341" s="6"/>
      <c r="AJ341" s="6"/>
      <c r="AK341" s="6"/>
      <c r="AL341" s="6"/>
      <c r="AM341" s="6"/>
    </row>
    <row r="342">
      <c r="A342" s="4">
        <v>341.0</v>
      </c>
      <c r="B342" s="6" t="str">
        <f>IFERROR(__xludf.DUMMYFUNCTION("""COMPUTED_VALUE"""),"Преподаватель. КемГИК")</f>
        <v>Преподаватель. КемГИК</v>
      </c>
      <c r="C342" s="6" t="str">
        <f>IFERROR(__xludf.DUMMYFUNCTION("""COMPUTED_VALUE"""),"Рисую, шью. ")</f>
        <v>Рисую, шью. </v>
      </c>
      <c r="D342" s="6" t="str">
        <f>IFERROR(__xludf.DUMMYFUNCTION("""COMPUTED_VALUE"""),"В Центральном районе. Так и называю. ")</f>
        <v>В Центральном районе. Так и называю. </v>
      </c>
      <c r="E342" s="6" t="str">
        <f>IFERROR(__xludf.DUMMYFUNCTION("""COMPUTED_VALUE"""),"Набережная, музеи, фонтан. ")</f>
        <v>Набережная, музеи, фонтан. </v>
      </c>
      <c r="F342" s="6" t="str">
        <f>IFERROR(__xludf.DUMMYFUNCTION("""COMPUTED_VALUE"""),"Переехал сюда из другого места (откуда? укажите в графе другое), Из Белово. ")</f>
        <v>Переехал сюда из другого места (откуда? укажите в графе другое), Из Белово. </v>
      </c>
      <c r="G342" s="6" t="str">
        <f>IFERROR(__xludf.DUMMYFUNCTION("""COMPUTED_VALUE"""),"На набережную, на дачу. ")</f>
        <v>На набережную, на дачу. </v>
      </c>
      <c r="H342" s="6" t="str">
        <f>IFERROR(__xludf.DUMMYFUNCTION("""COMPUTED_VALUE"""),"Дом, работа, семья, друзья, творчество. ")</f>
        <v>Дом, работа, семья, друзья, творчество. </v>
      </c>
      <c r="I342" s="6" t="str">
        <f>IFERROR(__xludf.DUMMYFUNCTION("""COMPUTED_VALUE"""),"Волков, Баллибалов, Зевакин, А. Хмелевской. ")</f>
        <v>Волков, Баллибалов, Зевакин, А. Хмелевской. </v>
      </c>
      <c r="J342" s="6" t="str">
        <f>IFERROR(__xludf.DUMMYFUNCTION("""COMPUTED_VALUE"""),"И. Ф. Федорова, М. Ю. Чертогова, А. И. Середюк. ")</f>
        <v>И. Ф. Федорова, М. Ю. Чертогова, А. И. Середюк. </v>
      </c>
      <c r="K342" s="6" t="str">
        <f>IFERROR(__xludf.DUMMYFUNCTION("""COMPUTED_VALUE"""),"Красная горка, Краеведческий музей, набережная.")</f>
        <v>Красная горка, Краеведческий музей, набережная.</v>
      </c>
      <c r="L342" s="6" t="str">
        <f>IFERROR(__xludf.DUMMYFUNCTION("""COMPUTED_VALUE"""),"-")</f>
        <v>-</v>
      </c>
      <c r="M342" s="6" t="str">
        <f>IFERROR(__xludf.DUMMYFUNCTION("""COMPUTED_VALUE"""),"Не знаю. ")</f>
        <v>Не знаю. </v>
      </c>
      <c r="N342" s="6" t="str">
        <f>IFERROR(__xludf.DUMMYFUNCTION("""COMPUTED_VALUE"""),"Указатели, транспорт. ")</f>
        <v>Указатели, транспорт. </v>
      </c>
      <c r="O342" s="6" t="str">
        <f>IFERROR(__xludf.DUMMYFUNCTION("""COMPUTED_VALUE"""),"Экологию")</f>
        <v>Экологию</v>
      </c>
      <c r="P342" s="6" t="str">
        <f>IFERROR(__xludf.DUMMYFUNCTION("""COMPUTED_VALUE"""),"Новости по местному ТВ. ")</f>
        <v>Новости по местному ТВ. </v>
      </c>
      <c r="Q342" s="6" t="str">
        <f>IFERROR(__xludf.DUMMYFUNCTION("""COMPUTED_VALUE"""),"культурные новинки (что почитать/что послушать), интервью с местными творческими личностями")</f>
        <v>культурные новинки (что почитать/что послушать), интервью с местными творческими личностями</v>
      </c>
      <c r="R342" s="6" t="str">
        <f>IFERROR(__xludf.DUMMYFUNCTION("""COMPUTED_VALUE"""),"День города, 9 мая. ")</f>
        <v>День города, 9 мая. </v>
      </c>
      <c r="S342" s="6" t="str">
        <f>IFERROR(__xludf.DUMMYFUNCTION("""COMPUTED_VALUE"""),"Нет, не приходилось")</f>
        <v>Нет, не приходилось</v>
      </c>
      <c r="T342" s="6" t="str">
        <f>IFERROR(__xludf.DUMMYFUNCTION("""COMPUTED_VALUE"""),"Зимняя вишня. ")</f>
        <v>Зимняя вишня. </v>
      </c>
      <c r="U342" s="6" t="str">
        <f>IFERROR(__xludf.DUMMYFUNCTION("""COMPUTED_VALUE"""),"Фонтан. ")</f>
        <v>Фонтан. </v>
      </c>
      <c r="V342" s="6" t="str">
        <f>IFERROR(__xludf.DUMMYFUNCTION("""COMPUTED_VALUE"""),"Трудились:строили,украшали.")</f>
        <v>Трудились:строили,украшали.</v>
      </c>
      <c r="W342" s="6" t="str">
        <f>IFERROR(__xludf.DUMMYFUNCTION("""COMPUTED_VALUE"""),"Жизнестойкие. ")</f>
        <v>Жизнестойкие. </v>
      </c>
      <c r="X342" s="6" t="str">
        <f>IFERROR(__xludf.DUMMYFUNCTION("""COMPUTED_VALUE"""),"Набережная, остров. Краснаягорка. ")</f>
        <v>Набережная, остров. Краснаягорка. </v>
      </c>
      <c r="Y342" s="6" t="str">
        <f>IFERROR(__xludf.DUMMYFUNCTION("""COMPUTED_VALUE"""),"Открытие месторождения угля")</f>
        <v>Открытие месторождения угля</v>
      </c>
      <c r="Z342" s="6" t="str">
        <f>IFERROR(__xludf.DUMMYFUNCTION("""COMPUTED_VALUE"""),"Парад Дедов Морозов. ")</f>
        <v>Парад Дедов Морозов. </v>
      </c>
      <c r="AA342" s="6" t="str">
        <f>IFERROR(__xludf.DUMMYFUNCTION("""COMPUTED_VALUE"""),"Экология. ")</f>
        <v>Экология. </v>
      </c>
      <c r="AB342" s="6" t="str">
        <f>IFERROR(__xludf.DUMMYFUNCTION("""COMPUTED_VALUE"""),"Все есть.  ")</f>
        <v>Все есть.  </v>
      </c>
      <c r="AC342" s="6" t="str">
        <f>IFERROR(__xludf.DUMMYFUNCTION("""COMPUTED_VALUE"""),"-")</f>
        <v>-</v>
      </c>
      <c r="AD342" s="6" t="str">
        <f>IFERROR(__xludf.DUMMYFUNCTION("""COMPUTED_VALUE"""),"Не хочу участвовать.  ")</f>
        <v>Не хочу участвовать.  </v>
      </c>
      <c r="AE342" s="6" t="str">
        <f>IFERROR(__xludf.DUMMYFUNCTION("""COMPUTED_VALUE"""),"Женский")</f>
        <v>Женский</v>
      </c>
      <c r="AF342" s="6" t="str">
        <f>IFERROR(__xludf.DUMMYFUNCTION("""COMPUTED_VALUE"""),"старше 55")</f>
        <v>старше 55</v>
      </c>
      <c r="AG342" s="6"/>
      <c r="AH342" s="6"/>
      <c r="AI342" s="6"/>
      <c r="AJ342" s="6"/>
      <c r="AK342" s="6"/>
      <c r="AL342" s="6"/>
      <c r="AM342" s="6"/>
    </row>
    <row r="343">
      <c r="A343" s="4">
        <v>342.0</v>
      </c>
      <c r="B343" s="6" t="str">
        <f>IFERROR(__xludf.DUMMYFUNCTION("""COMPUTED_VALUE"""),"уборщица")</f>
        <v>уборщица</v>
      </c>
      <c r="C343" s="6" t="str">
        <f>IFERROR(__xludf.DUMMYFUNCTION("""COMPUTED_VALUE"""),"изучение старинной народной вышивки и создание изделий по старинным образцам")</f>
        <v>изучение старинной народной вышивки и создание изделий по старинным образцам</v>
      </c>
      <c r="D343" s="6" t="str">
        <f>IFERROR(__xludf.DUMMYFUNCTION("""COMPUTED_VALUE"""),"в Центральном, в районе цирка, в районе собора")</f>
        <v>в Центральном, в районе цирка, в районе собора</v>
      </c>
      <c r="E343" s="6" t="str">
        <f>IFERROR(__xludf.DUMMYFUNCTION("""COMPUTED_VALUE"""),"Знаменский кафедральный собор, цирк, Пионерский бульвар, детская железная дорога и сквер Резникова, парк Антошка, парк Победы. Чуть дальше Набережная, пл. Пушкина, пл.Волкова и сквер у областной библиотеки, ул. Весенняя. КемГУ, Драмтеатр, Филармония, Музы"&amp;"кальный театр, музей ИЗО и выставочный зал на ул.Дзержинского, Краеведческий музей.")</f>
        <v>Знаменский кафедральный собор, цирк, Пионерский бульвар, детская железная дорога и сквер Резникова, парк Антошка, парк Победы. Чуть дальше Набережная, пл. Пушкина, пл.Волкова и сквер у областной библиотеки, ул. Весенняя. КемГУ, Драмтеатр, Филармония, Музыкальный театр, музей ИЗО и выставочный зал на ул.Дзержинского, Краеведческий музей.</v>
      </c>
      <c r="F343" s="6" t="str">
        <f>IFERROR(__xludf.DUMMYFUNCTION("""COMPUTED_VALUE"""),"Живу здесь с рождения")</f>
        <v>Живу здесь с рождения</v>
      </c>
      <c r="G343" s="6" t="str">
        <f>IFERROR(__xludf.DUMMYFUNCTION("""COMPUTED_VALUE"""),"Парк Антошка, Набережная-Весенняя и тд в центре, Пионерский бульвар, Сосновый бор")</f>
        <v>Парк Антошка, Набережная-Весенняя и тд в центре, Пионерский бульвар, Сосновый бор</v>
      </c>
      <c r="H343" s="6" t="str">
        <f>IFERROR(__xludf.DUMMYFUNCTION("""COMPUTED_VALUE"""),"Красная горка, Азот, Сердце шахтера, Лесная поляна, Томь")</f>
        <v>Красная горка, Азот, Сердце шахтера, Лесная поляна, Томь</v>
      </c>
      <c r="I343" s="6" t="str">
        <f>IFERROR(__xludf.DUMMYFUNCTION("""COMPUTED_VALUE"""),"Подгорбунский, Хмелевской, Л.К. Моисеенко и Л.И. Донбай, Мартемьянов, Бобров, В. Барсов и Д.Лисс, Переводчиков, В. Махалов, Г.Юров, ")</f>
        <v>Подгорбунский, Хмелевской, Л.К. Моисеенко и Л.И. Донбай, Мартемьянов, Бобров, В. Барсов и Д.Лисс, Переводчиков, В. Махалов, Г.Юров, </v>
      </c>
      <c r="J343" s="6" t="str">
        <f>IFERROR(__xludf.DUMMYFUNCTION("""COMPUTED_VALUE"""),"Тулеев, Бабараш Л.С.")</f>
        <v>Тулеев, Бабараш Л.С.</v>
      </c>
      <c r="K343" s="6" t="str">
        <f>IFERROR(__xludf.DUMMYFUNCTION("""COMPUTED_VALUE"""),"Красная горка, Набережная от Лобсанг рамы до Парка чудес, ул. Весенняя от и до, Сосновый бор и вид от креста, храм Казанской иконы БМ, Лесная поляна, Знаменский собор, Кедровка с видом на разрез, старая пристань")</f>
        <v>Красная горка, Набережная от Лобсанг рамы до Парка чудес, ул. Весенняя от и до, Сосновый бор и вид от креста, храм Казанской иконы БМ, Лесная поляна, Знаменский собор, Кедровка с видом на разрез, старая пристань</v>
      </c>
      <c r="L343" s="6" t="str">
        <f>IFERROR(__xludf.DUMMYFUNCTION("""COMPUTED_VALUE"""),"не знаю")</f>
        <v>не знаю</v>
      </c>
      <c r="M343" s="6" t="str">
        <f>IFERROR(__xludf.DUMMYFUNCTION("""COMPUTED_VALUE"""),"мультифора, колба, виктория, толчёнка, подорожник (бутерброд), тормозок, жадина-говядина соленый огурец...")</f>
        <v>мультифора, колба, виктория, толчёнка, подорожник (бутерброд), тормозок, жадина-говядина соленый огурец...</v>
      </c>
      <c r="N343" s="6" t="str">
        <f>IFERROR(__xludf.DUMMYFUNCTION("""COMPUTED_VALUE"""),"1.Шаговая доступность необходимой инфраструктуры от меса проживания: поликлиника (не за 5 остановок и в другом районе), школа (не в получасе-часе ходьбы по грязному и не освещенному частному сектору), д/с, магазины, аптеки. 2. Зеленые зоны внутри жилых кв"&amp;"арталов. 3. Широкие дороги и тротуары 4. Удобный и регулярный общественный транспорт. 5. Сеть общепита")</f>
        <v>1.Шаговая доступность необходимой инфраструктуры от меса проживания: поликлиника (не за 5 остановок и в другом районе), школа (не в получасе-часе ходьбы по грязному и не освещенному частному сектору), д/с, магазины, аптеки. 2. Зеленые зоны внутри жилых кварталов. 3. Широкие дороги и тротуары 4. Удобный и регулярный общественный транспорт. 5. Сеть общепита</v>
      </c>
      <c r="O343" s="6" t="str">
        <f>IFERROR(__xludf.DUMMYFUNCTION("""COMPUTED_VALUE"""),"Чистота улиц и дворов, архитектурное разнообразие жилых новостроек (не только комбинации разновеликих параллелепипедов), создавать полосы зеленых насаждений вдоль новых дорог")</f>
        <v>Чистота улиц и дворов, архитектурное разнообразие жилых новостроек (не только комбинации разновеликих параллелепипедов), создавать полосы зеленых насаждений вдоль новых дорог</v>
      </c>
      <c r="P343" s="6" t="str">
        <f>IFERROR(__xludf.DUMMYFUNCTION("""COMPUTED_VALUE"""),"знакомые, vsё42, вк, аифКузбасс ")</f>
        <v>знакомые, vsё42, вк, аифКузбасс </v>
      </c>
      <c r="Q343"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343" s="6" t="str">
        <f>IFERROR(__xludf.DUMMYFUNCTION("""COMPUTED_VALUE"""),"День города, день химика, новый год. За других не знаю")</f>
        <v>День города, день химика, новый год. За других не знаю</v>
      </c>
      <c r="S343" s="6" t="str">
        <f>IFERROR(__xludf.DUMMYFUNCTION("""COMPUTED_VALUE"""),"Нет, не приходилось")</f>
        <v>Нет, не приходилось</v>
      </c>
      <c r="T343" s="6" t="str">
        <f>IFERROR(__xludf.DUMMYFUNCTION("""COMPUTED_VALUE"""),"Надписью ""Кузбасс"" (так говорят мои знакомые из других городов) Мое мнение: Сосновый бор и Томь, Красная горка, исторический центр, Лесная поляна")</f>
        <v>Надписью "Кузбасс" (так говорят мои знакомые из других городов) Мое мнение: Сосновый бор и Томь, Красная горка, исторический центр, Лесная поляна</v>
      </c>
      <c r="U343" s="6" t="str">
        <f>IFERROR(__xludf.DUMMYFUNCTION("""COMPUTED_VALUE"""),"Административный центр (р.Томь - р.Искитимка - пр.Кузнецкий - пр. Ленина), Красная горка")</f>
        <v>Административный центр (р.Томь - р.Искитимка - пр.Кузнецкий - пр. Ленина), Красная горка</v>
      </c>
      <c r="V343" s="6" t="str">
        <f>IFERROR(__xludf.DUMMYFUNCTION("""COMPUTED_VALUE"""),"Построили город, в ВОВ освоили мощный промышленный потенциал, после войны развивали промышленность и науку, в наших театрах и филармонии работали замечательные артисты (перечислять не буду, сама являюсь поклонницей Д.Лисса)")</f>
        <v>Построили город, в ВОВ освоили мощный промышленный потенциал, после войны развивали промышленность и науку, в наших театрах и филармонии работали замечательные артисты (перечислять не буду, сама являюсь поклонницей Д.Лисса)</v>
      </c>
      <c r="W343" s="6" t="str">
        <f>IFERROR(__xludf.DUMMYFUNCTION("""COMPUTED_VALUE"""),"Очень сдержанные, лишнего никогда не скажут. Информацию клещами вытягивать надо. ")</f>
        <v>Очень сдержанные, лишнего никогда не скажут. Информацию клещами вытягивать надо. </v>
      </c>
      <c r="X343" s="6" t="str">
        <f>IFERROR(__xludf.DUMMYFUNCTION("""COMPUTED_VALUE"""),"от цирка через Искитимский мост, вдоль Искитимки, филармония, пл. Советов, Драмтеатр, Вечный огонь, Набережная, Кузнецкий мост, Сердце шахтера, и если еще не упали, перейти и надышаться сосновым воздухом в бору. ")</f>
        <v>от цирка через Искитимский мост, вдоль Искитимки, филармония, пл. Советов, Драмтеатр, Вечный огонь, Набережная, Кузнецкий мост, Сердце шахтера, и если еще не упали, перейти и надышаться сосновым воздухом в бору. </v>
      </c>
      <c r="Y343" s="6" t="str">
        <f>IFERROR(__xludf.DUMMYFUNCTION("""COMPUTED_VALUE"""),"Постройка и работа ""Азота"" как основного большого (на сегодняшний день предприятия), ЧМ по хоккею с мячом")</f>
        <v>Постройка и работа "Азота" как основного большого (на сегодняшний день предприятия), ЧМ по хоккею с мячом</v>
      </c>
      <c r="Z343" s="6" t="str">
        <f>IFERROR(__xludf.DUMMYFUNCTION("""COMPUTED_VALUE"""),"День города, финал областного фестиваля казачьей культуры")</f>
        <v>День города, финал областного фестиваля казачьей культуры</v>
      </c>
      <c r="AA343" s="6" t="str">
        <f>IFERROR(__xludf.DUMMYFUNCTION("""COMPUTED_VALUE"""),"пожар в Зимней вишне")</f>
        <v>пожар в Зимней вишне</v>
      </c>
      <c r="AB343" s="6" t="str">
        <f>IFERROR(__xludf.DUMMYFUNCTION("""COMPUTED_VALUE"""),"у меня нет времени на сообщества")</f>
        <v>у меня нет времени на сообщества</v>
      </c>
      <c r="AC343" s="6" t="str">
        <f>IFERROR(__xludf.DUMMYFUNCTION("""COMPUTED_VALUE"""),"и так интересно")</f>
        <v>и так интересно</v>
      </c>
      <c r="AD343" s="6" t="str">
        <f>IFERROR(__xludf.DUMMYFUNCTION("""COMPUTED_VALUE"""),"Демонстрация восстановленных образцов народной вышивки, мастер-классы по народной вышивке")</f>
        <v>Демонстрация восстановленных образцов народной вышивки, мастер-классы по народной вышивке</v>
      </c>
      <c r="AE343" s="6" t="str">
        <f>IFERROR(__xludf.DUMMYFUNCTION("""COMPUTED_VALUE"""),"Женский")</f>
        <v>Женский</v>
      </c>
      <c r="AF343" s="6" t="str">
        <f>IFERROR(__xludf.DUMMYFUNCTION("""COMPUTED_VALUE"""),"45-55")</f>
        <v>45-55</v>
      </c>
      <c r="AG343" s="6"/>
      <c r="AH343" s="6"/>
      <c r="AI343" s="6"/>
      <c r="AJ343" s="6"/>
      <c r="AK343" s="6"/>
      <c r="AL343" s="6"/>
      <c r="AM343" s="6"/>
    </row>
    <row r="344">
      <c r="A344" s="4">
        <v>343.0</v>
      </c>
      <c r="B344" s="6" t="str">
        <f>IFERROR(__xludf.DUMMYFUNCTION("""COMPUTED_VALUE"""),"Работаю глпвным бухгалтером")</f>
        <v>Работаю глпвным бухгалтером</v>
      </c>
      <c r="C344" s="6" t="str">
        <f>IFERROR(__xludf.DUMMYFUNCTION("""COMPUTED_VALUE"""),"Занимаемся спортом, активный отдых")</f>
        <v>Занимаемся спортом, активный отдых</v>
      </c>
      <c r="D344" s="6" t="str">
        <f>IFERROR(__xludf.DUMMYFUNCTION("""COMPUTED_VALUE"""),"Центральный, пр-т Притомский")</f>
        <v>Центральный, пр-т Притомский</v>
      </c>
      <c r="E344" s="6" t="str">
        <f>IFERROR(__xludf.DUMMYFUNCTION("""COMPUTED_VALUE"""),"Кадетский корпус, Бульвар Строителей, ТЦ ""Лето Сити"", озеро Красное")</f>
        <v>Кадетский корпус, Бульвар Строителей, ТЦ "Лето Сити", озеро Красное</v>
      </c>
      <c r="F344" s="6" t="str">
        <f>IFERROR(__xludf.DUMMYFUNCTION("""COMPUTED_VALUE"""),"Живу здесь с рождения")</f>
        <v>Живу здесь с рождения</v>
      </c>
      <c r="G344" s="6" t="str">
        <f>IFERROR(__xludf.DUMMYFUNCTION("""COMPUTED_VALUE"""),"Кадетский корпус, Бульвар Строителей, ТЦ ""Лето Сити"", озеро Красное")</f>
        <v>Кадетский корпус, Бульвар Строителей, ТЦ "Лето Сити", озеро Красное</v>
      </c>
      <c r="H344" s="6" t="str">
        <f>IFERROR(__xludf.DUMMYFUNCTION("""COMPUTED_VALUE"""),"Прогулка, памятники, скульптуры, современность,  развитость")</f>
        <v>Прогулка, памятники, скульптуры, современность,  развитость</v>
      </c>
      <c r="I344" s="6" t="str">
        <f>IFERROR(__xludf.DUMMYFUNCTION("""COMPUTED_VALUE"""),"Волков")</f>
        <v>Волков</v>
      </c>
      <c r="J344" s="6" t="str">
        <f>IFERROR(__xludf.DUMMYFUNCTION("""COMPUTED_VALUE"""),"Михайлов, цивилев, Середюк")</f>
        <v>Михайлов, цивилев, Середюк</v>
      </c>
      <c r="K344" s="6" t="str">
        <f>IFERROR(__xludf.DUMMYFUNCTION("""COMPUTED_VALUE"""),"Не знаю")</f>
        <v>Не знаю</v>
      </c>
      <c r="L344" s="6" t="str">
        <f>IFERROR(__xludf.DUMMYFUNCTION("""COMPUTED_VALUE"""),"Не знаю")</f>
        <v>Не знаю</v>
      </c>
      <c r="M344" s="6" t="str">
        <f>IFERROR(__xludf.DUMMYFUNCTION("""COMPUTED_VALUE"""),"Нет)")</f>
        <v>Нет)</v>
      </c>
      <c r="N344" s="6" t="str">
        <f>IFERROR(__xludf.DUMMYFUNCTION("""COMPUTED_VALUE"""),"Мало пробок на дорогах, чистота города, современность, развитость, досуг")</f>
        <v>Мало пробок на дорогах, чистота города, современность, развитость, досуг</v>
      </c>
      <c r="O344" s="6" t="str">
        <f>IFERROR(__xludf.DUMMYFUNCTION("""COMPUTED_VALUE"""),"Следитб за чистотой и порядком, особенно во дворах")</f>
        <v>Следитб за чистотой и порядком, особенно во дворах</v>
      </c>
      <c r="P344" s="6" t="str">
        <f>IFERROR(__xludf.DUMMYFUNCTION("""COMPUTED_VALUE"""),"Соц.сети")</f>
        <v>Соц.сети</v>
      </c>
      <c r="Q344" s="6" t="str">
        <f>IFERROR(__xludf.DUMMYFUNCTION("""COMPUTED_VALUE"""),"куда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м"&amp;"естных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344" s="6" t="str">
        <f>IFERROR(__xludf.DUMMYFUNCTION("""COMPUTED_VALUE"""),"Все")</f>
        <v>Все</v>
      </c>
      <c r="S344" s="6" t="str">
        <f>IFERROR(__xludf.DUMMYFUNCTION("""COMPUTED_VALUE"""),"Нет, не приходилось")</f>
        <v>Нет, не приходилось</v>
      </c>
      <c r="T344" s="6" t="str">
        <f>IFERROR(__xludf.DUMMYFUNCTION("""COMPUTED_VALUE"""),"Кемерово у жителей других регионов ассоциируется только с углем и они представляют его себе как сервй город с заводами, похожий на деревню, а это не так. В этом ун кпльность и интересность.А  многие услышали в первый раз, что есть такой город, что очень у"&amp;"дивительно, т.к. Кемерово является областным центром.")</f>
        <v>Кемерово у жителей других регионов ассоциируется только с углем и они представляют его себе как сервй город с заводами, похожий на деревню, а это не так. В этом ун кпльность и интересность.А  многие услышали в первый раз, что есть такой город, что очень удивительно, т.к. Кемерово является областным центром.</v>
      </c>
      <c r="U344" s="6" t="str">
        <f>IFERROR(__xludf.DUMMYFUNCTION("""COMPUTED_VALUE"""),"Набережная Центрального района, проспект Притомский, Площадь Советов")</f>
        <v>Набережная Центрального района, проспект Притомский, Площадь Советов</v>
      </c>
      <c r="V344" s="6" t="str">
        <f>IFERROR(__xludf.DUMMYFUNCTION("""COMPUTED_VALUE"""),"В прошлом старались бить производственные рекорды на предприятиях и заводах. В намтоящем создавать что-то соаременное и необычное, например, во внешнем виде города")</f>
        <v>В прошлом старались бить производственные рекорды на предприятиях и заводах. В намтоящем создавать что-то соаременное и необычное, например, во внешнем виде города</v>
      </c>
      <c r="W344" s="6" t="str">
        <f>IFERROR(__xludf.DUMMYFUNCTION("""COMPUTED_VALUE"""),"Открытые, соврпменные, общительные")</f>
        <v>Открытые, соврпменные, общительные</v>
      </c>
      <c r="X344" s="6" t="str">
        <f>IFERROR(__xludf.DUMMYFUNCTION("""COMPUTED_VALUE"""),"Слодно ответить...")</f>
        <v>Слодно ответить...</v>
      </c>
      <c r="Y344" s="6" t="str">
        <f>IFERROR(__xludf.DUMMYFUNCTION("""COMPUTED_VALUE"""),"Не подскаюу")</f>
        <v>Не подскаюу</v>
      </c>
      <c r="Z344" s="6" t="str">
        <f>IFERROR(__xludf.DUMMYFUNCTION("""COMPUTED_VALUE"""),"Рок-концерт на улице")</f>
        <v>Рок-концерт на улице</v>
      </c>
      <c r="AA344" s="6" t="str">
        <f>IFERROR(__xludf.DUMMYFUNCTION("""COMPUTED_VALUE"""),"Не подскажу")</f>
        <v>Не подскажу</v>
      </c>
      <c r="AB344" s="6" t="str">
        <f>IFERROR(__xludf.DUMMYFUNCTION("""COMPUTED_VALUE"""),"Не подскажу")</f>
        <v>Не подскажу</v>
      </c>
      <c r="AC344" s="6" t="str">
        <f>IFERROR(__xludf.DUMMYFUNCTION("""COMPUTED_VALUE"""),"Не знаю")</f>
        <v>Не знаю</v>
      </c>
      <c r="AD344" s="6" t="str">
        <f>IFERROR(__xludf.DUMMYFUNCTION("""COMPUTED_VALUE"""),"Участвовать хотелось бы, но в какой роли сориентироваться не могу")</f>
        <v>Участвовать хотелось бы, но в какой роли сориентироваться не могу</v>
      </c>
      <c r="AE344" s="6" t="str">
        <f>IFERROR(__xludf.DUMMYFUNCTION("""COMPUTED_VALUE"""),"Женский")</f>
        <v>Женский</v>
      </c>
      <c r="AF344" s="6" t="str">
        <f>IFERROR(__xludf.DUMMYFUNCTION("""COMPUTED_VALUE"""),"30-44")</f>
        <v>30-44</v>
      </c>
      <c r="AG344" s="6"/>
      <c r="AH344" s="6"/>
      <c r="AI344" s="6"/>
      <c r="AJ344" s="6"/>
      <c r="AK344" s="6"/>
      <c r="AL344" s="6"/>
      <c r="AM344" s="6"/>
    </row>
    <row r="345">
      <c r="A345" s="4">
        <v>344.0</v>
      </c>
      <c r="B345" s="6" t="str">
        <f>IFERROR(__xludf.DUMMYFUNCTION("""COMPUTED_VALUE"""),"проектирование")</f>
        <v>проектирование</v>
      </c>
      <c r="C345" s="6" t="str">
        <f>IFERROR(__xludf.DUMMYFUNCTION("""COMPUTED_VALUE"""),"нет")</f>
        <v>нет</v>
      </c>
      <c r="D345" s="6" t="str">
        <f>IFERROR(__xludf.DUMMYFUNCTION("""COMPUTED_VALUE"""),"Заводской ФПК")</f>
        <v>Заводской ФПК</v>
      </c>
      <c r="E345" s="6" t="str">
        <f>IFERROR(__xludf.DUMMYFUNCTION("""COMPUTED_VALUE"""),"гринвич")</f>
        <v>гринвич</v>
      </c>
      <c r="F345" s="6" t="str">
        <f>IFERROR(__xludf.DUMMYFUNCTION("""COMPUTED_VALUE"""),"Переехал сюда из другого места (откуда? укажите в графе другое), Киселевск")</f>
        <v>Переехал сюда из другого места (откуда? укажите в графе другое), Киселевск</v>
      </c>
      <c r="G345" s="6" t="str">
        <f>IFERROR(__xludf.DUMMYFUNCTION("""COMPUTED_VALUE"""),"на правый берег, летние кафе")</f>
        <v>на правый берег, летние кафе</v>
      </c>
      <c r="H345" s="6" t="str">
        <f>IFERROR(__xludf.DUMMYFUNCTION("""COMPUTED_VALUE"""),"Красная горка, памятник шахтерам, парк чудес, парк им. В.Волошиной, лесная поляна")</f>
        <v>Красная горка, памятник шахтерам, парк чудес, парк им. В.Волошиной, лесная поляна</v>
      </c>
      <c r="I345" s="6" t="str">
        <f>IFERROR(__xludf.DUMMYFUNCTION("""COMPUTED_VALUE"""),"не знаю")</f>
        <v>не знаю</v>
      </c>
      <c r="J345" s="6" t="str">
        <f>IFERROR(__xludf.DUMMYFUNCTION("""COMPUTED_VALUE"""),"Мэр города Михайлов")</f>
        <v>Мэр города Михайлов</v>
      </c>
      <c r="K345" s="6" t="str">
        <f>IFERROR(__xludf.DUMMYFUNCTION("""COMPUTED_VALUE"""),"Красная горка, памятник шахтерам, парк чудес, парк им. В.Волошиной, лесная поляна")</f>
        <v>Красная горка, памятник шахтерам, парк чудес, парк им. В.Волошиной, лесная поляна</v>
      </c>
      <c r="L345" s="6" t="str">
        <f>IFERROR(__xludf.DUMMYFUNCTION("""COMPUTED_VALUE"""),"не знаю")</f>
        <v>не знаю</v>
      </c>
      <c r="M345" s="6" t="str">
        <f>IFERROR(__xludf.DUMMYFUNCTION("""COMPUTED_VALUE"""),"не знаю")</f>
        <v>не знаю</v>
      </c>
      <c r="N345" s="6" t="str">
        <f>IFERROR(__xludf.DUMMYFUNCTION("""COMPUTED_VALUE"""),"доступность мест для парковки, озеленение города, широкое расстояние между домами, малоэтажное строительство, опрятный внешний вид")</f>
        <v>доступность мест для парковки, озеленение города, широкое расстояние между домами, малоэтажное строительство, опрятный внешний вид</v>
      </c>
      <c r="O345" s="6" t="str">
        <f>IFERROR(__xludf.DUMMYFUNCTION("""COMPUTED_VALUE"""),"фасады домов")</f>
        <v>фасады домов</v>
      </c>
      <c r="P345" s="6" t="str">
        <f>IFERROR(__xludf.DUMMYFUNCTION("""COMPUTED_VALUE"""),"канал 24")</f>
        <v>канал 24</v>
      </c>
      <c r="Q345" s="6" t="str">
        <f>IFERROR(__xludf.DUMMYFUNCTION("""COMPUTED_VALUE"""),"интервью с местными политиками, новости про новые профессии/куда поступать/вакансии, интервью с экспертами на разные темы (напишите в разделе Другое свои предложения)")</f>
        <v>интервью с местными политиками, новости про новые профессии/куда поступать/вакансии, интервью с экспертами на разные темы (напишите в разделе Другое свои предложения)</v>
      </c>
      <c r="R345" s="6" t="str">
        <f>IFERROR(__xludf.DUMMYFUNCTION("""COMPUTED_VALUE"""),"День города")</f>
        <v>День города</v>
      </c>
      <c r="S345" s="6" t="str">
        <f>IFERROR(__xludf.DUMMYFUNCTION("""COMPUTED_VALUE"""),"Нет, не приходилось")</f>
        <v>Нет, не приходилось</v>
      </c>
      <c r="T345" s="6" t="str">
        <f>IFERROR(__xludf.DUMMYFUNCTION("""COMPUTED_VALUE"""),"Столица шахтерского края")</f>
        <v>Столица шахтерского края</v>
      </c>
      <c r="U345" s="6" t="str">
        <f>IFERROR(__xludf.DUMMYFUNCTION("""COMPUTED_VALUE"""),"площадь Советов")</f>
        <v>площадь Советов</v>
      </c>
      <c r="V345" s="6" t="str">
        <f>IFERROR(__xludf.DUMMYFUNCTION("""COMPUTED_VALUE"""),"освоение территории с непростым климатом, строительство многих промышленных объектов")</f>
        <v>освоение территории с непростым климатом, строительство многих промышленных объектов</v>
      </c>
      <c r="W345" s="6" t="str">
        <f>IFERROR(__xludf.DUMMYFUNCTION("""COMPUTED_VALUE"""),"доброжелательные, бескорыстные")</f>
        <v>доброжелательные, бескорыстные</v>
      </c>
      <c r="X345" s="6" t="str">
        <f>IFERROR(__xludf.DUMMYFUNCTION("""COMPUTED_VALUE"""),"парк чудес, красная горка, лесная поляна")</f>
        <v>парк чудес, красная горка, лесная поляна</v>
      </c>
      <c r="Y345" s="6" t="str">
        <f>IFERROR(__xludf.DUMMYFUNCTION("""COMPUTED_VALUE"""),"не знаю")</f>
        <v>не знаю</v>
      </c>
      <c r="Z345" s="6" t="str">
        <f>IFERROR(__xludf.DUMMYFUNCTION("""COMPUTED_VALUE"""),"начало строительства многих социальных объектов, ремонт дорог")</f>
        <v>начало строительства многих социальных объектов, ремонт дорог</v>
      </c>
      <c r="AA345" s="6" t="str">
        <f>IFERROR(__xludf.DUMMYFUNCTION("""COMPUTED_VALUE"""),"выбросы в атмосферу, строительство новых магазинов а не фабрик и заводов")</f>
        <v>выбросы в атмосферу, строительство новых магазинов а не фабрик и заводов</v>
      </c>
      <c r="AB345" s="6" t="str">
        <f>IFERROR(__xludf.DUMMYFUNCTION("""COMPUTED_VALUE"""),"не знаю")</f>
        <v>не знаю</v>
      </c>
      <c r="AC345" s="6" t="str">
        <f>IFERROR(__xludf.DUMMYFUNCTION("""COMPUTED_VALUE"""),"не знаю")</f>
        <v>не знаю</v>
      </c>
      <c r="AD345" s="6" t="str">
        <f>IFERROR(__xludf.DUMMYFUNCTION("""COMPUTED_VALUE"""),"ни в какой")</f>
        <v>ни в какой</v>
      </c>
      <c r="AE345" s="6" t="str">
        <f>IFERROR(__xludf.DUMMYFUNCTION("""COMPUTED_VALUE"""),"Женский")</f>
        <v>Женский</v>
      </c>
      <c r="AF345" s="6" t="str">
        <f>IFERROR(__xludf.DUMMYFUNCTION("""COMPUTED_VALUE"""),"45-55")</f>
        <v>45-55</v>
      </c>
      <c r="AG345" s="6"/>
      <c r="AH345" s="6"/>
      <c r="AI345" s="6"/>
      <c r="AJ345" s="6"/>
      <c r="AK345" s="6"/>
      <c r="AL345" s="6"/>
      <c r="AM345" s="6"/>
    </row>
    <row r="346">
      <c r="A346" s="4">
        <v>345.0</v>
      </c>
      <c r="B346" s="6" t="str">
        <f>IFERROR(__xludf.DUMMYFUNCTION("""COMPUTED_VALUE"""),"Дизайнер, маркетолог, предприниматель, тренер по йоге")</f>
        <v>Дизайнер, маркетолог, предприниматель, тренер по йоге</v>
      </c>
      <c r="C346" s="6" t="str">
        <f>IFERROR(__xludf.DUMMYFUNCTION("""COMPUTED_VALUE"""),"Лонгбординг, велоспорт")</f>
        <v>Лонгбординг, велоспорт</v>
      </c>
      <c r="D346" s="6" t="str">
        <f>IFERROR(__xludf.DUMMYFUNCTION("""COMPUTED_VALUE"""),"Радуга")</f>
        <v>Радуга</v>
      </c>
      <c r="E346" s="6" t="str">
        <f>IFERROR(__xludf.DUMMYFUNCTION("""COMPUTED_VALUE"""),"Бор")</f>
        <v>Бор</v>
      </c>
      <c r="F346" s="6" t="str">
        <f>IFERROR(__xludf.DUMMYFUNCTION("""COMPUTED_VALUE"""),"Живу здесь с рождения")</f>
        <v>Живу здесь с рождения</v>
      </c>
      <c r="G346" s="6" t="str">
        <f>IFERROR(__xludf.DUMMYFUNCTION("""COMPUTED_VALUE"""),"Бор, центр")</f>
        <v>Бор, центр</v>
      </c>
      <c r="H346" s="6" t="str">
        <f>IFERROR(__xludf.DUMMYFUNCTION("""COMPUTED_VALUE"""),"Уют, свобода, суровость, терпение, глушь")</f>
        <v>Уют, свобода, суровость, терпение, глушь</v>
      </c>
      <c r="I346" s="6" t="str">
        <f>IFERROR(__xludf.DUMMYFUNCTION("""COMPUTED_VALUE"""),"Алексей Леонов. Юрий Смирнов.")</f>
        <v>Алексей Леонов. Юрий Смирнов.</v>
      </c>
      <c r="J346" s="6" t="str">
        <f>IFERROR(__xludf.DUMMYFUNCTION("""COMPUTED_VALUE"""),"Таких как будто и нет вовсе")</f>
        <v>Таких как будто и нет вовсе</v>
      </c>
      <c r="K346" s="6" t="str">
        <f>IFERROR(__xludf.DUMMYFUNCTION("""COMPUTED_VALUE"""),"Из неофициальных: Родник в Красновке, мыс острова, Клумба спэйс, заброшки Химпрома")</f>
        <v>Из неофициальных: Родник в Красновке, мыс острова, Клумба спэйс, заброшки Химпрома</v>
      </c>
      <c r="L346" s="6" t="str">
        <f>IFERROR(__xludf.DUMMYFUNCTION("""COMPUTED_VALUE"""),"История человечества была бы не так крива, если б они догадались связаться  человеком из Кемерова.")</f>
        <v>История человечества была бы не так крива, если б они догадались связаться  человеком из Кемерова.</v>
      </c>
      <c r="M346" s="6" t="str">
        <f>IFERROR(__xludf.DUMMYFUNCTION("""COMPUTED_VALUE"""),"Мультифорка, палтос...")</f>
        <v>Мультифорка, палтос...</v>
      </c>
      <c r="N346" s="6" t="str">
        <f>IFERROR(__xludf.DUMMYFUNCTION("""COMPUTED_VALUE"""),"Чистота (улиц, воздуха, стен, всего - всего); отсутствие криминала; адекватность органов правопорядка; цены; комфортная городская среда (парки, скверы, остановки, транспорт)")</f>
        <v>Чистота (улиц, воздуха, стен, всего - всего); отсутствие криминала; адекватность органов правопорядка; цены; комфортная городская среда (парки, скверы, остановки, транспорт)</v>
      </c>
      <c r="O346" s="6" t="str">
        <f>IFERROR(__xludf.DUMMYFUNCTION("""COMPUTED_VALUE"""),"Отмыть")</f>
        <v>Отмыть</v>
      </c>
      <c r="P346" s="6" t="str">
        <f>IFERROR(__xludf.DUMMYFUNCTION("""COMPUTED_VALUE"""),"Спонтанные источники")</f>
        <v>Спонтанные источники</v>
      </c>
      <c r="Q346"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346" s="6" t="str">
        <f>IFERROR(__xludf.DUMMYFUNCTION("""COMPUTED_VALUE"""),"Интересные неформальные мероприятия")</f>
        <v>Интересные неформальные мероприятия</v>
      </c>
      <c r="S346"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v>
      </c>
      <c r="T346" s="6" t="str">
        <f>IFERROR(__xludf.DUMMYFUNCTION("""COMPUTED_VALUE"""),"Сложно сказать, довольно унылое местечко, если сравнивать.")</f>
        <v>Сложно сказать, довольно унылое местечко, если сравнивать.</v>
      </c>
      <c r="U346" s="6" t="str">
        <f>IFERROR(__xludf.DUMMYFUNCTION("""COMPUTED_VALUE"""),"Улица Весенняя")</f>
        <v>Улица Весенняя</v>
      </c>
      <c r="V346" s="6" t="str">
        <f>IFERROR(__xludf.DUMMYFUNCTION("""COMPUTED_VALUE"""),"нет ответа")</f>
        <v>нет ответа</v>
      </c>
      <c r="W346" s="6" t="str">
        <f>IFERROR(__xludf.DUMMYFUNCTION("""COMPUTED_VALUE"""),"Хмурые, сильные, упорные, несгибаемые, хитрые, красивые")</f>
        <v>Хмурые, сильные, упорные, несгибаемые, хитрые, красивые</v>
      </c>
      <c r="X346" s="6" t="str">
        <f>IFERROR(__xludf.DUMMYFUNCTION("""COMPUTED_VALUE"""),"От фонтана, до Набережной, до моста , через мост и в бор. ")</f>
        <v>От фонтана, до Набережной, до моста , через мост и в бор. </v>
      </c>
      <c r="Y346" s="6" t="str">
        <f>IFERROR(__xludf.DUMMYFUNCTION("""COMPUTED_VALUE"""),"ЕГо ещё не произошло")</f>
        <v>ЕГо ещё не произошло</v>
      </c>
      <c r="Z346" s="6" t="str">
        <f>IFERROR(__xludf.DUMMYFUNCTION("""COMPUTED_VALUE"""),"Нет таких")</f>
        <v>Нет таких</v>
      </c>
      <c r="AA346" s="6" t="str">
        <f>IFERROR(__xludf.DUMMYFUNCTION("""COMPUTED_VALUE"""),"Выбросы в воздух каких-то газов.")</f>
        <v>Выбросы в воздух каких-то газов.</v>
      </c>
      <c r="AB346" s="6" t="str">
        <f>IFERROR(__xludf.DUMMYFUNCTION("""COMPUTED_VALUE"""),"Лонгбордистов")</f>
        <v>Лонгбордистов</v>
      </c>
      <c r="AC346" s="6" t="str">
        <f>IFERROR(__xludf.DUMMYFUNCTION("""COMPUTED_VALUE"""),"Строить и реиновировать, а потом шумно открывать парки, стадионы, театры, дома культуры, школы и т.п. Город надо развивать, больше культурных объектов.")</f>
        <v>Строить и реиновировать, а потом шумно открывать парки, стадионы, театры, дома культуры, школы и т.п. Город надо развивать, больше культурных объектов.</v>
      </c>
      <c r="AD346" s="6" t="str">
        <f>IFERROR(__xludf.DUMMYFUNCTION("""COMPUTED_VALUE"""),"Дизайн, брендинг, пиар")</f>
        <v>Дизайн, брендинг, пиар</v>
      </c>
      <c r="AE346" s="6" t="str">
        <f>IFERROR(__xludf.DUMMYFUNCTION("""COMPUTED_VALUE"""),"Мужской")</f>
        <v>Мужской</v>
      </c>
      <c r="AF346" s="6" t="str">
        <f>IFERROR(__xludf.DUMMYFUNCTION("""COMPUTED_VALUE"""),"30-44")</f>
        <v>30-44</v>
      </c>
      <c r="AG346" s="6"/>
      <c r="AH346" s="6"/>
      <c r="AI346" s="6"/>
      <c r="AJ346" s="6"/>
      <c r="AK346" s="6"/>
      <c r="AL346" s="6"/>
      <c r="AM346" s="6"/>
    </row>
    <row r="347">
      <c r="A347" s="4">
        <v>346.0</v>
      </c>
      <c r="B347" s="6" t="str">
        <f>IFERROR(__xludf.DUMMYFUNCTION("""COMPUTED_VALUE"""),"высшее образование")</f>
        <v>высшее образование</v>
      </c>
      <c r="C347" s="6" t="str">
        <f>IFERROR(__xludf.DUMMYFUNCTION("""COMPUTED_VALUE"""),"игры")</f>
        <v>игры</v>
      </c>
      <c r="D347" s="6" t="str">
        <f>IFERROR(__xludf.DUMMYFUNCTION("""COMPUTED_VALUE"""),"ФПК")</f>
        <v>ФПК</v>
      </c>
      <c r="E347" s="6" t="str">
        <f>IFERROR(__xludf.DUMMYFUNCTION("""COMPUTED_VALUE"""),"ТЦ ""Гринвич""")</f>
        <v>ТЦ "Гринвич"</v>
      </c>
      <c r="F347" s="6" t="str">
        <f>IFERROR(__xludf.DUMMYFUNCTION("""COMPUTED_VALUE"""),"Переехал сюда из другого места (откуда? укажите в графе другое), Кпасноярский край")</f>
        <v>Переехал сюда из другого места (откуда? укажите в графе другое), Кпасноярский край</v>
      </c>
      <c r="G347" s="6" t="str">
        <f>IFERROR(__xludf.DUMMYFUNCTION("""COMPUTED_VALUE"""),"Парк Волошиной, Бульвар Строителей")</f>
        <v>Парк Волошиной, Бульвар Строителей</v>
      </c>
      <c r="H347" s="6" t="str">
        <f>IFERROR(__xludf.DUMMYFUNCTION("""COMPUTED_VALUE"""),"улицы широкие, Дома высокие, окна стеклянные, компактность, чистота")</f>
        <v>улицы широкие, Дома высокие, окна стеклянные, компактность, чистота</v>
      </c>
      <c r="I347" s="6" t="str">
        <f>IFERROR(__xludf.DUMMYFUNCTION("""COMPUTED_VALUE"""),"Заводский, Волошина, Бобров")</f>
        <v>Заводский, Волошина, Бобров</v>
      </c>
      <c r="J347" s="6" t="str">
        <f>IFERROR(__xludf.DUMMYFUNCTION("""COMPUTED_VALUE"""),"Так вот.. сложно..")</f>
        <v>Так вот.. сложно..</v>
      </c>
      <c r="K347" s="6" t="str">
        <f>IFERROR(__xludf.DUMMYFUNCTION("""COMPUTED_VALUE"""),"Бульвар Строителей")</f>
        <v>Бульвар Строителей</v>
      </c>
      <c r="L347" s="6" t="str">
        <f>IFERROR(__xludf.DUMMYFUNCTION("""COMPUTED_VALUE"""),"Сколько зон? на территории г. Кемерово?")</f>
        <v>Сколько зон? на территории г. Кемерово?</v>
      </c>
      <c r="M347" s="6" t="str">
        <f>IFERROR(__xludf.DUMMYFUNCTION("""COMPUTED_VALUE"""),"я пил с человеком из Кемерово")</f>
        <v>я пил с человеком из Кемерово</v>
      </c>
      <c r="N347" s="6" t="str">
        <f>IFERROR(__xludf.DUMMYFUNCTION("""COMPUTED_VALUE"""),"Тротуары! а не только велодорожки, логистика общественного транспорта, Чистота, отсутствие угрюмых зданий,много цветов")</f>
        <v>Тротуары! а не только велодорожки, логистика общественного транспорта, Чистота, отсутствие угрюмых зданий,много цветов</v>
      </c>
      <c r="O347" s="6" t="str">
        <f>IFERROR(__xludf.DUMMYFUNCTION("""COMPUTED_VALUE"""),"Избавить город от облезлых домов, черных глазниц окон, недостроев, как-то подравнять асфальт, там где передвигаются люди, и да! теплотрассы")</f>
        <v>Избавить город от облезлых домов, черных глазниц окон, недостроев, как-то подравнять асфальт, там где передвигаются люди, и да! теплотрассы</v>
      </c>
      <c r="P347" s="6" t="str">
        <f>IFERROR(__xludf.DUMMYFUNCTION("""COMPUTED_VALUE"""),"Яндекс новости. В кемерово")</f>
        <v>Яндекс новости. В кемерово</v>
      </c>
      <c r="Q347" s="6" t="str">
        <f>IFERROR(__xludf.DUMMYFUNCTION("""COMPUTED_VALUE"""),"городская афиша (кино/театр/концерты), интервью с местными политиками, результаты местных исследований (рейтинги/аналитика/тенденции)")</f>
        <v>городская афиша (кино/театр/концерты), интервью с местными политиками, результаты местных исследований (рейтинги/аналитика/тенденции)</v>
      </c>
      <c r="R347" s="6" t="str">
        <f>IFERROR(__xludf.DUMMYFUNCTION("""COMPUTED_VALUE"""),"День города. День шахтёра")</f>
        <v>День города. День шахтёра</v>
      </c>
      <c r="S347" s="6" t="str">
        <f>IFERROR(__xludf.DUMMYFUNCTION("""COMPUTED_VALUE"""),"Нет, не приходилось")</f>
        <v>Нет, не приходилось</v>
      </c>
      <c r="T347" s="6" t="str">
        <f>IFERROR(__xludf.DUMMYFUNCTION("""COMPUTED_VALUE"""),"один из 85 областных центров, Кузбасс")</f>
        <v>один из 85 областных центров, Кузбасс</v>
      </c>
      <c r="U347" s="6" t="str">
        <f>IFERROR(__xludf.DUMMYFUNCTION("""COMPUTED_VALUE"""),"площадь Советов")</f>
        <v>площадь Советов</v>
      </c>
      <c r="V347" s="6" t="str">
        <f>IFERROR(__xludf.DUMMYFUNCTION("""COMPUTED_VALUE"""),"Религиозные сооружения, ")</f>
        <v>Религиозные сооружения, </v>
      </c>
      <c r="W347" s="6" t="str">
        <f>IFERROR(__xludf.DUMMYFUNCTION("""COMPUTED_VALUE"""),"Отзывчивые")</f>
        <v>Отзывчивые</v>
      </c>
      <c r="X347" s="6" t="str">
        <f>IFERROR(__xludf.DUMMYFUNCTION("""COMPUTED_VALUE"""),"пр-т Советский")</f>
        <v>пр-т Советский</v>
      </c>
      <c r="Y347" s="6" t="str">
        <f>IFERROR(__xludf.DUMMYFUNCTION("""COMPUTED_VALUE"""),"Зимняя Вишня")</f>
        <v>Зимняя Вишня</v>
      </c>
      <c r="Z347" s="6" t="str">
        <f>IFERROR(__xludf.DUMMYFUNCTION("""COMPUTED_VALUE"""),"Строительство культурного кластера")</f>
        <v>Строительство культурного кластера</v>
      </c>
      <c r="AA347" s="6" t="str">
        <f>IFERROR(__xludf.DUMMYFUNCTION("""COMPUTED_VALUE"""),"Запреты в условиях пандемии")</f>
        <v>Запреты в условиях пандемии</v>
      </c>
      <c r="AB347" s="6" t="str">
        <f>IFERROR(__xludf.DUMMYFUNCTION("""COMPUTED_VALUE"""),"Мне всего хватает")</f>
        <v>Мне всего хватает</v>
      </c>
      <c r="AC347" s="6" t="str">
        <f>IFERROR(__xludf.DUMMYFUNCTION("""COMPUTED_VALUE"""),"Может быть фестивали...")</f>
        <v>Может быть фестивали...</v>
      </c>
      <c r="AD347" s="6" t="str">
        <f>IFERROR(__xludf.DUMMYFUNCTION("""COMPUTED_VALUE"""),"поголосовать")</f>
        <v>поголосовать</v>
      </c>
      <c r="AE347" s="6" t="str">
        <f>IFERROR(__xludf.DUMMYFUNCTION("""COMPUTED_VALUE"""),"Женский")</f>
        <v>Женский</v>
      </c>
      <c r="AF347" s="6" t="str">
        <f>IFERROR(__xludf.DUMMYFUNCTION("""COMPUTED_VALUE"""),"45-55")</f>
        <v>45-55</v>
      </c>
      <c r="AG347" s="6"/>
      <c r="AH347" s="6"/>
      <c r="AI347" s="6"/>
      <c r="AJ347" s="6"/>
      <c r="AK347" s="6"/>
      <c r="AL347" s="6"/>
      <c r="AM347" s="6"/>
    </row>
    <row r="348">
      <c r="A348" s="4">
        <v>347.0</v>
      </c>
      <c r="B348" s="6" t="str">
        <f>IFERROR(__xludf.DUMMYFUNCTION("""COMPUTED_VALUE"""),"Государственная служба, врач, менеджер, общественная деятельность ")</f>
        <v>Государственная служба, врач, менеджер, общественная деятельность </v>
      </c>
      <c r="C348" s="6" t="str">
        <f>IFERROR(__xludf.DUMMYFUNCTION("""COMPUTED_VALUE"""),"Много. Рукоделия, танцы, живопись, фортепиано, книги, фильмы, животные, путешествия ")</f>
        <v>Много. Рукоделия, танцы, живопись, фортепиано, книги, фильмы, животные, путешествия </v>
      </c>
      <c r="D348" s="6" t="str">
        <f>IFERROR(__xludf.DUMMYFUNCTION("""COMPUTED_VALUE"""),"Южный")</f>
        <v>Южный</v>
      </c>
      <c r="E348" s="6" t="str">
        <f>IFERROR(__xludf.DUMMYFUNCTION("""COMPUTED_VALUE"""),"Ул. Патриотов, Облгаи, Лента, Южная звезда,")</f>
        <v>Ул. Патриотов, Облгаи, Лента, Южная звезда,</v>
      </c>
      <c r="F348" s="6" t="str">
        <f>IFERROR(__xludf.DUMMYFUNCTION("""COMPUTED_VALUE"""),"Переехал сюда из другого места (откуда? укажите в графе другое), Полысаево, а ранее из Фрунзе- ныне Бишкек")</f>
        <v>Переехал сюда из другого места (откуда? укажите в графе другое), Полысаево, а ранее из Фрунзе- ныне Бишкек</v>
      </c>
      <c r="G348" s="6" t="str">
        <f>IFERROR(__xludf.DUMMYFUNCTION("""COMPUTED_VALUE"""),"Горсад, набережная, ул. Весенняя, б-р Строителей, центр города.")</f>
        <v>Горсад, набережная, ул. Весенняя, б-р Строителей, центр города.</v>
      </c>
      <c r="H348" s="6" t="str">
        <f>IFERROR(__xludf.DUMMYFUNCTION("""COMPUTED_VALUE"""),"Мрачный, обиженный, аутичный, загрязненный, нереализованный")</f>
        <v>Мрачный, обиженный, аутичный, загрязненный, нереализованный</v>
      </c>
      <c r="I348" s="6" t="str">
        <f>IFERROR(__xludf.DUMMYFUNCTION("""COMPUTED_VALUE"""),"Алексей Архипович Леонов, Михайло Волков, Вера Волошина, инженер Рутгерс, М.А. Подгорбунский, Аман Тулеев, В.В. Мирошниченко, В.Д.Мартемьянов, В.А. Раздаев, Фёдоров В.Д.")</f>
        <v>Алексей Архипович Леонов, Михайло Волков, Вера Волошина, инженер Рутгерс, М.А. Подгорбунский, Аман Тулеев, В.В. Мирошниченко, В.Д.Мартемьянов, В.А. Раздаев, Фёдоров В.Д.</v>
      </c>
      <c r="J348" s="6" t="str">
        <f>IFERROR(__xludf.DUMMYFUNCTION("""COMPUTED_VALUE"""),"Л.С. Барбараш, Е.Гришковец, А.Бабенко")</f>
        <v>Л.С. Барбараш, Е.Гришковец, А.Бабенко</v>
      </c>
      <c r="K348" s="6" t="str">
        <f>IFERROR(__xludf.DUMMYFUNCTION("""COMPUTED_VALUE"""),"Пруд напротив ""Сотки"" ")</f>
        <v>Пруд напротив "Сотки" </v>
      </c>
      <c r="L348" s="6" t="str">
        <f>IFERROR(__xludf.DUMMYFUNCTION("""COMPUTED_VALUE"""),"""Человек из Кемерова"". ")</f>
        <v>"Человек из Кемерова". </v>
      </c>
      <c r="M348" s="6" t="str">
        <f>IFERROR(__xludf.DUMMYFUNCTION("""COMPUTED_VALUE"""),"Нет")</f>
        <v>Нет</v>
      </c>
      <c r="N348" s="6" t="str">
        <f>IFERROR(__xludf.DUMMYFUNCTION("""COMPUTED_VALUE"""),"Экологичность и чистота, безопасность, комфортная транспортная логистика, возможность разнообразно и интересно провести досуг, возможность развиваться и быть полезным.")</f>
        <v>Экологичность и чистота, безопасность, комфортная транспортная логистика, возможность разнообразно и интересно провести досуг, возможность развиваться и быть полезным.</v>
      </c>
      <c r="O348" s="6" t="str">
        <f>IFERROR(__xludf.DUMMYFUNCTION("""COMPUTED_VALUE"""),"Отремонтировать дороги, пешеходные дорожки, построить побольше велодорожек, зданиям  придать характер - никакого однообразия и серости, побольше зелени, максимально возможное озеленение города, сделать в каждом квартале зоны для выгула животных, в каждом "&amp;"районе построить доступные по цене (в идеале бесплатные) горожанам бассейны,  и беговые трассы, воркауты в каждом дворе!, терренкуры для ходьбы, прогулок, в местах прогулок установить парковые скамьи,  установить мусорные урны почаще!, облагородить набере"&amp;"жные мелких рек, прудов, очистить их берега, построить достойный приют для животных (полностью исключить возможность жизни животных без дома), сделать на магистралтных, центровых улицах города узнаваемую и стильную иллюминацию, построить площадки для трен"&amp;"ировки роллер, скейтбордеров, паркурщиков; сделать привлекательным летний театр и многое другое.  ")</f>
        <v>Отремонтировать дороги, пешеходные дорожки, построить побольше велодорожек, зданиям  придать характер - никакого однообразия и серости, побольше зелени, максимально возможное озеленение города, сделать в каждом квартале зоны для выгула животных, в каждом районе построить доступные по цене (в идеале бесплатные) горожанам бассейны,  и беговые трассы, воркауты в каждом дворе!, терренкуры для ходьбы, прогулок, в местах прогулок установить парковые скамьи,  установить мусорные урны почаще!, облагородить набережные мелких рек, прудов, очистить их берега, построить достойный приют для животных (полностью исключить возможность жизни животных без дома), сделать на магистралтных, центровых улицах города узнаваемую и стильную иллюминацию, построить площадки для тренировки роллер, скейтбордеров, паркурщиков; сделать привлекательным летний театр и многое другое.  </v>
      </c>
      <c r="P348" s="6" t="str">
        <f>IFERROR(__xludf.DUMMYFUNCTION("""COMPUTED_VALUE"""),"Яндекс. Фейсбук. Инстаграмм. ")</f>
        <v>Яндекс. Фейсбук. Инстаграмм. </v>
      </c>
      <c r="Q348"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348" s="6" t="str">
        <f>IFERROR(__xludf.DUMMYFUNCTION("""COMPUTED_VALUE"""),"День города, день Победы, день Шахтёра, ")</f>
        <v>День города, день Победы, день Шахтёра, </v>
      </c>
      <c r="S348" s="6" t="str">
        <f>IFERROR(__xludf.DUMMYFUNCTION("""COMPUTED_VALUE"""),"Нет, не приходилось")</f>
        <v>Нет, не приходилось</v>
      </c>
      <c r="T348" s="6" t="str">
        <f>IFERROR(__xludf.DUMMYFUNCTION("""COMPUTED_VALUE"""),"Знаменит углем, Леоновым, сибирским колоритом. Компактность и самодостаточность. ")</f>
        <v>Знаменит углем, Леоновым, сибирским колоритом. Компактность и самодостаточность. </v>
      </c>
      <c r="U348" s="6" t="str">
        <f>IFERROR(__xludf.DUMMYFUNCTION("""COMPUTED_VALUE"""),"Горсад, площадь Советов, драмтеатр")</f>
        <v>Горсад, площадь Советов, драмтеатр</v>
      </c>
      <c r="V348" s="6" t="str">
        <f>IFERROR(__xludf.DUMMYFUNCTION("""COMPUTED_VALUE"""),"Алексей Леонов вышел в открытый космос, Мизаил Подгорбунский спас сотни жизней, делал уникальные операции")</f>
        <v>Алексей Леонов вышел в открытый космос, Мизаил Подгорбунский спас сотни жизней, делал уникальные операции</v>
      </c>
      <c r="W348" s="6" t="str">
        <f>IFERROR(__xludf.DUMMYFUNCTION("""COMPUTED_VALUE"""),"Разные. Гостеприимные, трудолюбивые, отзывчивые, недоверчивые, скромные, талантливые, интеллигентные, ищущие, несколько неуверенные, неравнодушные")</f>
        <v>Разные. Гостеприимные, трудолюбивые, отзывчивые, недоверчивые, скромные, талантливые, интеллигентные, ищущие, несколько неуверенные, неравнодушные</v>
      </c>
      <c r="X348" s="6" t="str">
        <f>IFERROR(__xludf.DUMMYFUNCTION("""COMPUTED_VALUE"""),"Красная горка")</f>
        <v>Красная горка</v>
      </c>
      <c r="Y348" s="6" t="str">
        <f>IFERROR(__xludf.DUMMYFUNCTION("""COMPUTED_VALUE"""),"Чемпионат мира по бэнди")</f>
        <v>Чемпионат мира по бэнди</v>
      </c>
      <c r="Z348" s="6" t="str">
        <f>IFERROR(__xludf.DUMMYFUNCTION("""COMPUTED_VALUE"""),"Новый аэропорт")</f>
        <v>Новый аэропорт</v>
      </c>
      <c r="AA348" s="6" t="str">
        <f>IFERROR(__xludf.DUMMYFUNCTION("""COMPUTED_VALUE"""),"Зимняя вишня, плохая работа общественного транспорта, резкий рост цен и падение уровня доходов, пропасть между богатыми и теперь уже нищими, грязь в городе, ")</f>
        <v>Зимняя вишня, плохая работа общественного транспорта, резкий рост цен и падение уровня доходов, пропасть между богатыми и теперь уже нищими, грязь в городе, </v>
      </c>
      <c r="AB348" s="6" t="str">
        <f>IFERROR(__xludf.DUMMYFUNCTION("""COMPUTED_VALUE"""),"Экологического сообщества, единого сообщества по улучшению жизни животных, единого центра танца, сообщества типа тематические встречи ""вечера для знакомств"" для одиноких людей, сообщества типа ""совет горожан"". ")</f>
        <v>Экологического сообщества, единого сообщества по улучшению жизни животных, единого центра танца, сообщества типа тематические встречи "вечера для знакомств" для одиноких людей, сообщества типа "совет горожан". </v>
      </c>
      <c r="AC348" s="6" t="str">
        <f>IFERROR(__xludf.DUMMYFUNCTION("""COMPUTED_VALUE"""),"Массовые спортивные и культурные мероприятия,  доступные для каждого жителя.  Публичные встречи с известными в Кузбасских, Российских, Мировых масштабах , людьми. Проработанные экскурсионные маршруты, с профессиональными годами- профессиональное экскурсио"&amp;"нные бюро. 
")</f>
        <v>Массовые спортивные и культурные мероприятия,  доступные для каждого жителя.  Публичные встречи с известными в Кузбасских, Российских, Мировых масштабах , людьми. Проработанные экскурсионные маршруты, с профессиональными годами- профессиональное экскурсионные бюро. 
</v>
      </c>
      <c r="AD348" s="6" t="str">
        <f>IFERROR(__xludf.DUMMYFUNCTION("""COMPUTED_VALUE"""),"Активный участник, разработчик проэктов")</f>
        <v>Активный участник, разработчик проэктов</v>
      </c>
      <c r="AE348" s="6" t="str">
        <f>IFERROR(__xludf.DUMMYFUNCTION("""COMPUTED_VALUE"""),"Женский")</f>
        <v>Женский</v>
      </c>
      <c r="AF348" s="6" t="str">
        <f>IFERROR(__xludf.DUMMYFUNCTION("""COMPUTED_VALUE"""),"45-55")</f>
        <v>45-55</v>
      </c>
      <c r="AG348" s="6"/>
      <c r="AH348" s="6"/>
      <c r="AI348" s="6"/>
      <c r="AJ348" s="6"/>
      <c r="AK348" s="6"/>
      <c r="AL348" s="6"/>
      <c r="AM348" s="6"/>
    </row>
    <row r="349">
      <c r="A349" s="4">
        <v>348.0</v>
      </c>
      <c r="B349" s="6" t="str">
        <f>IFERROR(__xludf.DUMMYFUNCTION("""COMPUTED_VALUE"""),"Музыка")</f>
        <v>Музыка</v>
      </c>
      <c r="C349" s="6" t="str">
        <f>IFERROR(__xludf.DUMMYFUNCTION("""COMPUTED_VALUE"""),"Много")</f>
        <v>Много</v>
      </c>
      <c r="D349" s="6" t="str">
        <f>IFERROR(__xludf.DUMMYFUNCTION("""COMPUTED_VALUE"""),"Центр")</f>
        <v>Центр</v>
      </c>
      <c r="E349" s="6" t="str">
        <f>IFERROR(__xludf.DUMMYFUNCTION("""COMPUTED_VALUE"""),"Филармония, драмтеатр, музыкальный театр, музеи. Торговые центры")</f>
        <v>Филармония, драмтеатр, музыкальный театр, музеи. Торговые центры</v>
      </c>
      <c r="F349" s="6" t="str">
        <f>IFERROR(__xludf.DUMMYFUNCTION("""COMPUTED_VALUE"""),"Переехал сюда из другого места (откуда? укажите в графе другое), 20 лет назад переехал из поселка красноярского края поближе к доступному образованию. ")</f>
        <v>Переехал сюда из другого места (откуда? укажите в графе другое), 20 лет назад переехал из поселка красноярского края поближе к доступному образованию. </v>
      </c>
      <c r="G349" s="6" t="str">
        <f>IFERROR(__xludf.DUMMYFUNCTION("""COMPUTED_VALUE"""),"Котокафе ""плюшка"". Шоппинг. Прогулки")</f>
        <v>Котокафе "плюшка". Шоппинг. Прогулки</v>
      </c>
      <c r="H349" s="6" t="str">
        <f>IFERROR(__xludf.DUMMYFUNCTION("""COMPUTED_VALUE"""),")l(опа (транспортная недоступность к городу. Город далеко от железной дороги. С нашего вокзала толком не ходят поезда и электрички. Приходится ехать на автобусе и сидеть часами на вокзале)")</f>
        <v>)l(опа (транспортная недоступность к городу. Город далеко от железной дороги. С нашего вокзала толком не ходят поезда и электрички. Приходится ехать на автобусе и сидеть часами на вокзале)</v>
      </c>
      <c r="I349" s="6" t="str">
        <f>IFERROR(__xludf.DUMMYFUNCTION("""COMPUTED_VALUE"""),"...")</f>
        <v>...</v>
      </c>
      <c r="J349" s="6" t="str">
        <f>IFERROR(__xludf.DUMMYFUNCTION("""COMPUTED_VALUE"""),"...")</f>
        <v>...</v>
      </c>
      <c r="K349" s="6" t="str">
        <f>IFERROR(__xludf.DUMMYFUNCTION("""COMPUTED_VALUE"""),"Парки, фонтаны")</f>
        <v>Парки, фонтаны</v>
      </c>
      <c r="L349" s="6" t="str">
        <f>IFERROR(__xludf.DUMMYFUNCTION("""COMPUTED_VALUE"""),"...")</f>
        <v>...</v>
      </c>
      <c r="M349" s="6" t="str">
        <f>IFERROR(__xludf.DUMMYFUNCTION("""COMPUTED_VALUE"""),"Кемчик ")</f>
        <v>Кемчик </v>
      </c>
      <c r="N349" s="6" t="str">
        <f>IFERROR(__xludf.DUMMYFUNCTION("""COMPUTED_VALUE"""),"Тихо, спокойно, чисто, уютно, есть много работы (в сравнении с другими городами) ")</f>
        <v>Тихо, спокойно, чисто, уютно, есть много работы (в сравнении с другими городами) </v>
      </c>
      <c r="O349" s="6" t="str">
        <f>IFERROR(__xludf.DUMMYFUNCTION("""COMPUTED_VALUE"""),"Уменьшить выброс в атмосферу загрязняющих веществ")</f>
        <v>Уменьшить выброс в атмосферу загрязняющих веществ</v>
      </c>
      <c r="P349" s="6" t="str">
        <f>IFERROR(__xludf.DUMMYFUNCTION("""COMPUTED_VALUE"""),"Работаю в культуре. В курсе многих событий")</f>
        <v>Работаю в культуре. В курсе многих событий</v>
      </c>
      <c r="Q349" s="6" t="str">
        <f>IFERROR(__xludf.DUMMYFUNCTION("""COMPUTED_VALUE"""),"куда пойти в свободное время, интервью с местными творческими личностями, криминальные новости (происшествия/преступления)")</f>
        <v>куда пойти в свободное время, интервью с местными творческими личностями, криминальные новости (происшествия/преступления)</v>
      </c>
      <c r="R349" s="6" t="str">
        <f>IFERROR(__xludf.DUMMYFUNCTION("""COMPUTED_VALUE"""),"...")</f>
        <v>...</v>
      </c>
      <c r="S349" s="6" t="str">
        <f>IFERROR(__xludf.DUMMYFUNCTION("""COMPUTED_VALUE"""),"Нет, не приходилось, Делал рассылку по электронной почте, Обращался в редакции электронных городских СМИ")</f>
        <v>Нет, не приходилось, Делал рассылку по электронной почте, Обращался в редакции электронных городских СМИ</v>
      </c>
      <c r="T349" s="6" t="str">
        <f>IFERROR(__xludf.DUMMYFUNCTION("""COMPUTED_VALUE"""),"Уголь. Ничего уникального ")</f>
        <v>Уголь. Ничего уникального </v>
      </c>
      <c r="U349" s="6" t="str">
        <f>IFERROR(__xludf.DUMMYFUNCTION("""COMPUTED_VALUE"""),"Цирк")</f>
        <v>Цирк</v>
      </c>
      <c r="V349" s="6" t="str">
        <f>IFERROR(__xludf.DUMMYFUNCTION("""COMPUTED_VALUE"""),"...")</f>
        <v>...</v>
      </c>
      <c r="W349" s="6" t="str">
        <f>IFERROR(__xludf.DUMMYFUNCTION("""COMPUTED_VALUE"""),"Обычные люди")</f>
        <v>Обычные люди</v>
      </c>
      <c r="X349" s="6" t="str">
        <f>IFERROR(__xludf.DUMMYFUNCTION("""COMPUTED_VALUE"""),"...")</f>
        <v>...</v>
      </c>
      <c r="Y349" s="6" t="str">
        <f>IFERROR(__xludf.DUMMYFUNCTION("""COMPUTED_VALUE"""),"Для меня - 75 лет филармонии")</f>
        <v>Для меня - 75 лет филармонии</v>
      </c>
      <c r="Z349" s="6" t="str">
        <f>IFERROR(__xludf.DUMMYFUNCTION("""COMPUTED_VALUE"""),"...")</f>
        <v>...</v>
      </c>
      <c r="AA349" s="6" t="str">
        <f>IFERROR(__xludf.DUMMYFUNCTION("""COMPUTED_VALUE"""),"Пандемия")</f>
        <v>Пандемия</v>
      </c>
      <c r="AB349" s="6" t="str">
        <f>IFERROR(__xludf.DUMMYFUNCTION("""COMPUTED_VALUE"""),"Ikea, Ашан ")</f>
        <v>Ikea, Ашан </v>
      </c>
      <c r="AC349" s="6" t="str">
        <f>IFERROR(__xludf.DUMMYFUNCTION("""COMPUTED_VALUE"""),"В данный момент мероприятия по очистки тротуаров от снега")</f>
        <v>В данный момент мероприятия по очистки тротуаров от снега</v>
      </c>
      <c r="AD349" s="6" t="str">
        <f>IFERROR(__xludf.DUMMYFUNCTION("""COMPUTED_VALUE"""),"Участвую")</f>
        <v>Участвую</v>
      </c>
      <c r="AE349" s="6" t="str">
        <f>IFERROR(__xludf.DUMMYFUNCTION("""COMPUTED_VALUE"""),"Мужской")</f>
        <v>Мужской</v>
      </c>
      <c r="AF349" s="6" t="str">
        <f>IFERROR(__xludf.DUMMYFUNCTION("""COMPUTED_VALUE"""),"30-44")</f>
        <v>30-44</v>
      </c>
      <c r="AG349" s="6"/>
      <c r="AH349" s="6"/>
      <c r="AI349" s="6"/>
      <c r="AJ349" s="6"/>
      <c r="AK349" s="6"/>
      <c r="AL349" s="6"/>
      <c r="AM349" s="6"/>
    </row>
    <row r="350">
      <c r="A350" s="4">
        <v>349.0</v>
      </c>
      <c r="B350" s="6" t="str">
        <f>IFERROR(__xludf.DUMMYFUNCTION("""COMPUTED_VALUE"""),"Продаю сельскохозяйственную технику")</f>
        <v>Продаю сельскохозяйственную технику</v>
      </c>
      <c r="C350" s="6" t="str">
        <f>IFERROR(__xludf.DUMMYFUNCTION("""COMPUTED_VALUE"""),"Чтение, бег, шахматы")</f>
        <v>Чтение, бег, шахматы</v>
      </c>
      <c r="D350" s="6" t="str">
        <f>IFERROR(__xludf.DUMMYFUNCTION("""COMPUTED_VALUE"""),"Центральный")</f>
        <v>Центральный</v>
      </c>
      <c r="E350" s="6" t="str">
        <f>IFERROR(__xludf.DUMMYFUNCTION("""COMPUTED_VALUE"""),"Набережная, весенняя, площадь советов, горсад")</f>
        <v>Набережная, весенняя, площадь советов, горсад</v>
      </c>
      <c r="F350" s="6" t="str">
        <f>IFERROR(__xludf.DUMMYFUNCTION("""COMPUTED_VALUE"""),"Живу здесь с рождения")</f>
        <v>Живу здесь с рождения</v>
      </c>
      <c r="G350" s="6" t="str">
        <f>IFERROR(__xludf.DUMMYFUNCTION("""COMPUTED_VALUE"""),"Весенняя, советский, набережная , горсад")</f>
        <v>Весенняя, советский, набережная , горсад</v>
      </c>
      <c r="H350" s="6" t="str">
        <f>IFERROR(__xludf.DUMMYFUNCTION("""COMPUTED_VALUE"""),"Уютный, чистый, вонь от заводов")</f>
        <v>Уютный, чистый, вонь от заводов</v>
      </c>
      <c r="I350" s="6" t="str">
        <f>IFERROR(__xludf.DUMMYFUNCTION("""COMPUTED_VALUE"""),"Кислюк, Рутберг, йохан ван лохан")</f>
        <v>Кислюк, Рутберг, йохан ван лохан</v>
      </c>
      <c r="J350" s="6" t="str">
        <f>IFERROR(__xludf.DUMMYFUNCTION("""COMPUTED_VALUE"""),"Кислюк, Тулеев , Михайлов ")</f>
        <v>Кислюк, Тулеев , Михайлов </v>
      </c>
      <c r="K350" s="6" t="str">
        <f>IFERROR(__xludf.DUMMYFUNCTION("""COMPUTED_VALUE"""),"Дворы улицы Арочной. Двор 1-й школы. Дом между опереттой и Орджоникидзе ")</f>
        <v>Дворы улицы Арочной. Двор 1-й школы. Дом между опереттой и Орджоникидзе </v>
      </c>
      <c r="L350" s="6" t="str">
        <f>IFERROR(__xludf.DUMMYFUNCTION("""COMPUTED_VALUE"""),"Почему нельзя заниматься сексом на площади советов? Советами замучают.")</f>
        <v>Почему нельзя заниматься сексом на площади советов? Советами замучают.</v>
      </c>
      <c r="M350" s="6" t="str">
        <f>IFERROR(__xludf.DUMMYFUNCTION("""COMPUTED_VALUE"""),"Нет")</f>
        <v>Нет</v>
      </c>
      <c r="N350" s="6" t="str">
        <f>IFERROR(__xludf.DUMMYFUNCTION("""COMPUTED_VALUE"""),"Чистота улиц и дворов. экология, парки. Удобная дорожная инфраструктура. Культурные места- музеи и тд.")</f>
        <v>Чистота улиц и дворов. экология, парки. Удобная дорожная инфраструктура. Культурные места- музеи и тд.</v>
      </c>
      <c r="O350" s="6" t="str">
        <f>IFERROR(__xludf.DUMMYFUNCTION("""COMPUTED_VALUE"""),"Отреставрировать фасады старого центра и дороги во дворах")</f>
        <v>Отреставрировать фасады старого центра и дороги во дворах</v>
      </c>
      <c r="P350" s="6" t="str">
        <f>IFERROR(__xludf.DUMMYFUNCTION("""COMPUTED_VALUE"""),"Телеграмм инцидент кемерово ")</f>
        <v>Телеграмм инцидент кемерово </v>
      </c>
      <c r="Q350" s="6" t="str">
        <f>IFERROR(__xludf.DUMMYFUNCTION("""COMPUTED_VALUE"""),"куда пойти в свободное время, интервью с местными творческими личностями, бизнес-новости (средний чек/рекламные акции/запуск новых предприятий), интервью с экспертами на разные темы (напишите в разделе Другое свои предложения)")</f>
        <v>куда пойти в свободное время, интервью с местными творческими личностями,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350" s="6" t="str">
        <f>IFERROR(__xludf.DUMMYFUNCTION("""COMPUTED_VALUE"""),"День города. 9 мая")</f>
        <v>День города. 9 мая</v>
      </c>
      <c r="S350" s="6" t="str">
        <f>IFERROR(__xludf.DUMMYFUNCTION("""COMPUTED_VALUE"""),"Нет, не приходилось")</f>
        <v>Нет, не приходилось</v>
      </c>
      <c r="T350" s="6" t="str">
        <f>IFERROR(__xludf.DUMMYFUNCTION("""COMPUTED_VALUE"""),"У него великолепный старый прогулочный центр ")</f>
        <v>У него великолепный старый прогулочный центр </v>
      </c>
      <c r="U350" s="6" t="str">
        <f>IFERROR(__xludf.DUMMYFUNCTION("""COMPUTED_VALUE"""),"Площадь Пушкина, горсад. Весенняя")</f>
        <v>Площадь Пушкина, горсад. Весенняя</v>
      </c>
      <c r="V350" s="6" t="str">
        <f>IFERROR(__xludf.DUMMYFUNCTION("""COMPUTED_VALUE"""),"Работали честно и порядочно из последних сил")</f>
        <v>Работали честно и порядочно из последних сил</v>
      </c>
      <c r="W350" s="6" t="str">
        <f>IFERROR(__xludf.DUMMYFUNCTION("""COMPUTED_VALUE"""),"Открыты, гостеприимны, доброжелательны. ")</f>
        <v>Открыты, гостеприимны, доброжелательны. </v>
      </c>
      <c r="X350" s="6" t="str">
        <f>IFERROR(__xludf.DUMMYFUNCTION("""COMPUTED_VALUE"""),"-")</f>
        <v>-</v>
      </c>
      <c r="Y350" s="6" t="str">
        <f>IFERROR(__xludf.DUMMYFUNCTION("""COMPUTED_VALUE"""),"Чемпионат мира по хоккею с мячом 2007. Российская студенческая весна 2005 или 2004. Не помню ")</f>
        <v>Чемпионат мира по хоккею с мячом 2007. Российская студенческая весна 2005 или 2004. Не помню </v>
      </c>
      <c r="Z350" s="6" t="str">
        <f>IFERROR(__xludf.DUMMYFUNCTION("""COMPUTED_VALUE"""),"Отмена ограничений по карантину")</f>
        <v>Отмена ограничений по карантину</v>
      </c>
      <c r="AA350" s="6" t="str">
        <f>IFERROR(__xludf.DUMMYFUNCTION("""COMPUTED_VALUE"""),"Неочищенные от снега дороги приводят к большим пробкам ")</f>
        <v>Неочищенные от снега дороги приводят к большим пробкам </v>
      </c>
      <c r="AB350" s="6" t="str">
        <f>IFERROR(__xludf.DUMMYFUNCTION("""COMPUTED_VALUE"""),"-")</f>
        <v>-</v>
      </c>
      <c r="AC350" s="6" t="str">
        <f>IFERROR(__xludf.DUMMYFUNCTION("""COMPUTED_VALUE"""),"Привлекать в кемерово российские и международные фестивали, конкурсы и соревнования. И создавать под них инфраструктуру")</f>
        <v>Привлекать в кемерово российские и международные фестивали, конкурсы и соревнования. И создавать под них инфраструктуру</v>
      </c>
      <c r="AD350" s="6" t="str">
        <f>IFERROR(__xludf.DUMMYFUNCTION("""COMPUTED_VALUE"""),"Участвовать в принятии решений , голосовании")</f>
        <v>Участвовать в принятии решений , голосовании</v>
      </c>
      <c r="AE350" s="6" t="str">
        <f>IFERROR(__xludf.DUMMYFUNCTION("""COMPUTED_VALUE"""),"Мужской")</f>
        <v>Мужской</v>
      </c>
      <c r="AF350" s="6" t="str">
        <f>IFERROR(__xludf.DUMMYFUNCTION("""COMPUTED_VALUE"""),"30-44")</f>
        <v>30-44</v>
      </c>
      <c r="AG350" s="6"/>
      <c r="AH350" s="6"/>
      <c r="AI350" s="6"/>
      <c r="AJ350" s="6"/>
      <c r="AK350" s="6"/>
      <c r="AL350" s="6"/>
      <c r="AM350" s="6"/>
    </row>
    <row r="351">
      <c r="A351" s="4">
        <v>350.0</v>
      </c>
      <c r="B351" s="6" t="str">
        <f>IFERROR(__xludf.DUMMYFUNCTION("""COMPUTED_VALUE"""),"Домохозяйка")</f>
        <v>Домохозяйка</v>
      </c>
      <c r="C351" s="6" t="str">
        <f>IFERROR(__xludf.DUMMYFUNCTION("""COMPUTED_VALUE"""),"Альпинизм, туризм , фото, ЗОЖ")</f>
        <v>Альпинизм, туризм , фото, ЗОЖ</v>
      </c>
      <c r="D351" s="6" t="str">
        <f>IFERROR(__xludf.DUMMYFUNCTION("""COMPUTED_VALUE"""),"Центральный ")</f>
        <v>Центральный </v>
      </c>
      <c r="E351" s="6" t="str">
        <f>IFERROR(__xludf.DUMMYFUNCTION("""COMPUTED_VALUE"""),"Горсад, набережная")</f>
        <v>Горсад, набережная</v>
      </c>
      <c r="F351" s="6" t="str">
        <f>IFERROR(__xludf.DUMMYFUNCTION("""COMPUTED_VALUE"""),"Живу здесь с рождения")</f>
        <v>Живу здесь с рождения</v>
      </c>
      <c r="G351" s="6" t="str">
        <f>IFERROR(__xludf.DUMMYFUNCTION("""COMPUTED_VALUE"""),"Горсад, набережная, рудничный бор! ")</f>
        <v>Горсад, набережная, рудничный бор! </v>
      </c>
      <c r="H351" s="6" t="str">
        <f>IFERROR(__xludf.DUMMYFUNCTION("""COMPUTED_VALUE"""),"Солнечный, индустриальный, родной, сибирский, мой! ")</f>
        <v>Солнечный, индустриальный, родной, сибирский, мой! </v>
      </c>
      <c r="I351" s="6" t="str">
        <f>IFERROR(__xludf.DUMMYFUNCTION("""COMPUTED_VALUE"""),"Леонов, Терешкова, да, все почти улицы города наши в честь этих оюднй")</f>
        <v>Леонов, Терешкова, да, все почти улицы города наши в честь этих оюднй</v>
      </c>
      <c r="J351" s="6" t="str">
        <f>IFERROR(__xludf.DUMMYFUNCTION("""COMPUTED_VALUE"""),"Евгений Гришковец, Михайлов (бывший глава города) ")</f>
        <v>Евгений Гришковец, Михайлов (бывший глава города) </v>
      </c>
      <c r="K351" s="6" t="str">
        <f>IFERROR(__xludf.DUMMYFUNCTION("""COMPUTED_VALUE"""),"Рудничный бор, Памятник Горячее сердце Шахтера, красная горка остальное все за пределами: это Томская Писаница, Хаски ленд... ШЕРЕГЕШ и т. Д")</f>
        <v>Рудничный бор, Памятник Горячее сердце Шахтера, красная горка остальное все за пределами: это Томская Писаница, Хаски ленд... ШЕРЕГЕШ и т. Д</v>
      </c>
      <c r="L351" s="6" t="str">
        <f>IFERROR(__xludf.DUMMYFUNCTION("""COMPUTED_VALUE"""),"Песня БГ Человек из Кемерово ")</f>
        <v>Песня БГ Человек из Кемерово </v>
      </c>
      <c r="M351" s="6" t="str">
        <f>IFERROR(__xludf.DUMMYFUNCTION("""COMPUTED_VALUE"""),"""Дать стране угля""")</f>
        <v>"Дать стране угля"</v>
      </c>
      <c r="N351" s="6" t="str">
        <f>IFERROR(__xludf.DUMMYFUNCTION("""COMPUTED_VALUE"""),"Чистый город. Больше парков и скверов и мест обустроенных для прогулок. За последние 10 лет число гуляющих увеличилось в разы в том же рудничном бору, а там нет условий. Сейчас весна и там только резиновые сапоги.. Люди очень тянутся к природе (всё очень "&amp;"изменилось). Нужео благоустроить бор (это не здания комплексы а тропинки, вырубить подлесок, слелать нормальной лыжную базу в бору. Люди тянутся к природе. Физкультура и просто спорт должен быть доступен любому человеку. ")</f>
        <v>Чистый город. Больше парков и скверов и мест обустроенных для прогулок. За последние 10 лет число гуляющих увеличилось в разы в том же рудничном бору, а там нет условий. Сейчас весна и там только резиновые сапоги.. Люди очень тянутся к природе (всё очень изменилось). Нужео благоустроить бор (это не здания комплексы а тропинки, вырубить подлесок, слелать нормальной лыжную базу в бору. Люди тянутся к природе. Физкультура и просто спорт должен быть доступен любому человеку. </v>
      </c>
      <c r="O351" s="6" t="str">
        <f>IFERROR(__xludf.DUMMYFUNCTION("""COMPUTED_VALUE"""),"Чистые дороги, качественные дороги. Многие тротуары в центре ужасные. Аллея ведушая к горсаду просто позорная. Улица Николая Островского  по нечетной стороне страшная. Асфальт времен СССР наверное, не клумбы, а просто земля в бордюрах, фонари старве а вед"&amp;"ь по этой улице вечерами летом так же хорошо гулять, а её как-то не замечают, а это центр, ")</f>
        <v>Чистые дороги, качественные дороги. Многие тротуары в центре ужасные. Аллея ведушая к горсаду просто позорная. Улица Николая Островского  по нечетной стороне страшная. Асфальт времен СССР наверное, не клумбы, а просто земля в бордюрах, фонари старве а ведь по этой улице вечерами летом так же хорошо гулять, а её как-то не замечают, а это центр, </v>
      </c>
      <c r="P351" s="6" t="str">
        <f>IFERROR(__xludf.DUMMYFUNCTION("""COMPUTED_VALUE"""),"Инстограмм, страница губернатора, главы города. И выглядываю за окно, там центр, пропустить невозможно ")</f>
        <v>Инстограмм, страница губернатора, главы города. И выглядываю за окно, там центр, пропустить невозможно </v>
      </c>
      <c r="Q351" s="6" t="str">
        <f>IFERROR(__xludf.DUMMYFUNCTION("""COMPUTED_VALUE"""),"куда пойти в свободное время, интервью с местными творческими личностями, интервью с экспертами на разные темы (напишите в разделе Другое свои предложения)")</f>
        <v>куда пойти в свободное время, интервью с местными творческими личностями, интервью с экспертами на разные темы (напишите в разделе Другое свои предложения)</v>
      </c>
      <c r="R351" s="6" t="str">
        <f>IFERROR(__xludf.DUMMYFUNCTION("""COMPUTED_VALUE"""),"9 мая, день шахтёра")</f>
        <v>9 мая, день шахтёра</v>
      </c>
      <c r="S351" s="6" t="str">
        <f>IFERROR(__xludf.DUMMYFUNCTION("""COMPUTED_VALUE"""),"Писал и расклеивал объявления/афиши, Через социальные сети (Какие? Укажите в графе другое)")</f>
        <v>Писал и расклеивал объявления/афиши, Через социальные сети (Какие? Укажите в графе другое)</v>
      </c>
      <c r="T351" s="6" t="str">
        <f>IFERROR(__xludf.DUMMYFUNCTION("""COMPUTED_VALUE"""),"Люди, уголь, природа")</f>
        <v>Люди, уголь, природа</v>
      </c>
      <c r="U351" s="6" t="str">
        <f>IFERROR(__xludf.DUMMYFUNCTION("""COMPUTED_VALUE"""),"Набережная, фонтан, площадь Советов")</f>
        <v>Набережная, фонтан, площадь Советов</v>
      </c>
      <c r="V351" s="6" t="str">
        <f>IFERROR(__xludf.DUMMYFUNCTION("""COMPUTED_VALUE"""),"Они старались дать достойную жизнь, минимум выселили из землянок.. Но многое потом уже не позволили. ")</f>
        <v>Они старались дать достойную жизнь, минимум выселили из землянок.. Но многое потом уже не позволили. </v>
      </c>
      <c r="W351" s="6" t="str">
        <f>IFERROR(__xludf.DUMMYFUNCTION("""COMPUTED_VALUE"""),"Основательность. К сожалению хмурость. Самобытность. Талантливые. ")</f>
        <v>Основательность. К сожалению хмурость. Самобытность. Талантливые. </v>
      </c>
      <c r="X351" s="6" t="str">
        <f>IFERROR(__xludf.DUMMYFUNCTION("""COMPUTED_VALUE"""),"Просто обойти центр и на Красную горку")</f>
        <v>Просто обойти центр и на Красную горку</v>
      </c>
      <c r="Y351" s="6" t="str">
        <f>IFERROR(__xludf.DUMMYFUNCTION("""COMPUTED_VALUE"""),"Чемпионат Мира по Хоккею с мячем. Это было давно, но первое такое прям масштабное , что мы могли принять")</f>
        <v>Чемпионат Мира по Хоккею с мячем. Это было давно, но первое такое прям масштабное , что мы могли принять</v>
      </c>
      <c r="Z351" s="6" t="str">
        <f>IFERROR(__xludf.DUMMYFUNCTION("""COMPUTED_VALUE"""),"Строительство всего к 300 Кузбасса суды, комплексы.. ")</f>
        <v>Строительство всего к 300 Кузбасса суды, комплексы.. </v>
      </c>
      <c r="AA351" s="6" t="str">
        <f>IFERROR(__xludf.DUMMYFUNCTION("""COMPUTED_VALUE"""),"Зимняя Вишня. И все эти идиотские митинги в поддержку Навального... 🤦‍♀️")</f>
        <v>Зимняя Вишня. И все эти идиотские митинги в поддержку Навального... 🤦‍♀️</v>
      </c>
      <c r="AB351" s="6" t="str">
        <f>IFERROR(__xludf.DUMMYFUNCTION("""COMPUTED_VALUE"""),"Просто счастливых людей ")</f>
        <v>Просто счастливых людей </v>
      </c>
      <c r="AC351" s="6" t="str">
        <f>IFERROR(__xludf.DUMMYFUNCTION("""COMPUTED_VALUE"""),"Просто физкультурные (не большой спорт) классической и иной музыки, художественные. Всё, что будет изменять культуру человека. ")</f>
        <v>Просто физкультурные (не большой спорт) классической и иной музыки, художественные. Всё, что будет изменять культуру человека. </v>
      </c>
      <c r="AD351" s="6" t="str">
        <f>IFERROR(__xludf.DUMMYFUNCTION("""COMPUTED_VALUE"""),"С инициативами, решениями (про тот де бор и т.д), потрму что родилась в этом городе живу 32 года и знаю его изнутри и не хочу переезжать! И любою. Часто вопреки! И считаю прекрасным сибирским городом! ")</f>
        <v>С инициативами, решениями (про тот де бор и т.д), потрму что родилась в этом городе живу 32 года и знаю его изнутри и не хочу переезжать! И любою. Часто вопреки! И считаю прекрасным сибирским городом! </v>
      </c>
      <c r="AE351" s="6" t="str">
        <f>IFERROR(__xludf.DUMMYFUNCTION("""COMPUTED_VALUE"""),"Женский")</f>
        <v>Женский</v>
      </c>
      <c r="AF351" s="6" t="str">
        <f>IFERROR(__xludf.DUMMYFUNCTION("""COMPUTED_VALUE"""),"30-44")</f>
        <v>30-44</v>
      </c>
      <c r="AG351" s="6"/>
      <c r="AH351" s="6"/>
      <c r="AI351" s="6"/>
      <c r="AJ351" s="6"/>
      <c r="AK351" s="6"/>
      <c r="AL351" s="6"/>
      <c r="AM351" s="6"/>
    </row>
    <row r="352">
      <c r="A352" s="4">
        <v>351.0</v>
      </c>
      <c r="B352" s="6" t="str">
        <f>IFERROR(__xludf.DUMMYFUNCTION("""COMPUTED_VALUE"""),"Системный администратор")</f>
        <v>Системный администратор</v>
      </c>
      <c r="C352" s="6" t="str">
        <f>IFERROR(__xludf.DUMMYFUNCTION("""COMPUTED_VALUE"""),"Музыка, электрогитара")</f>
        <v>Музыка, электрогитара</v>
      </c>
      <c r="D352" s="6" t="str">
        <f>IFERROR(__xludf.DUMMYFUNCTION("""COMPUTED_VALUE"""),"Ленинский")</f>
        <v>Ленинский</v>
      </c>
      <c r="E352" s="6" t="str">
        <f>IFERROR(__xludf.DUMMYFUNCTION("""COMPUTED_VALUE"""),"
Бульвар Строителей, Аврора, Ленинградский рынок, парк Кузбасский")</f>
        <v>
Бульвар Строителей, Аврора, Ленинградский рынок, парк Кузбасский</v>
      </c>
      <c r="F352" s="6" t="str">
        <f>IFERROR(__xludf.DUMMYFUNCTION("""COMPUTED_VALUE"""),"Живу здесь с рождения")</f>
        <v>Живу здесь с рождения</v>
      </c>
      <c r="G352" s="6" t="str">
        <f>IFERROR(__xludf.DUMMYFUNCTION("""COMPUTED_VALUE"""),"Парк им. Веры Волошиной, центр города, Бульвар")</f>
        <v>Парк им. Веры Волошиной, центр города, Бульвар</v>
      </c>
      <c r="H352" s="6" t="str">
        <f>IFERROR(__xludf.DUMMYFUNCTION("""COMPUTED_VALUE"""),"Сибирь, уголь, промышленность, экология, природа")</f>
        <v>Сибирь, уголь, промышленность, экология, природа</v>
      </c>
      <c r="I352" s="6" t="str">
        <f>IFERROR(__xludf.DUMMYFUNCTION("""COMPUTED_VALUE"""),"Б. Т. Штоколов, М. Волков, Беляева, М. Найдич")</f>
        <v>Б. Т. Штоколов, М. Волков, Беляева, М. Найдич</v>
      </c>
      <c r="J352" s="6" t="str">
        <f>IFERROR(__xludf.DUMMYFUNCTION("""COMPUTED_VALUE"""),"В. В. Михайлов, М. И. Ликстанов")</f>
        <v>В. В. Михайлов, М. И. Ликстанов</v>
      </c>
      <c r="K352" s="6" t="str">
        <f>IFERROR(__xludf.DUMMYFUNCTION("""COMPUTED_VALUE"""),"Музей ""Красная Горка"", ул Весенняя, парк Кузбасский")</f>
        <v>Музей "Красная Горка", ул Весенняя, парк Кузбасский</v>
      </c>
      <c r="L352" s="6" t="str">
        <f>IFERROR(__xludf.DUMMYFUNCTION("""COMPUTED_VALUE"""),"Кемерово - шахтёры, зэки и конвоиры.")</f>
        <v>Кемерово - шахтёры, зэки и конвоиры.</v>
      </c>
      <c r="M352" s="6" t="str">
        <f>IFERROR(__xludf.DUMMYFUNCTION("""COMPUTED_VALUE"""),"Пойти на остров, на весеньке, ""шанхай"" (шалготарьян), 21-ая микрашка - страна Лимония")</f>
        <v>Пойти на остров, на весеньке, "шанхай" (шалготарьян), 21-ая микрашка - страна Лимония</v>
      </c>
      <c r="N352" s="6" t="str">
        <f>IFERROR(__xludf.DUMMYFUNCTION("""COMPUTED_VALUE"""),"Чистые улицы, туалеты, безопасность, без сильного шума, чистый воздух (насколько это вообще возможно для города)")</f>
        <v>Чистые улицы, туалеты, безопасность, без сильного шума, чистый воздух (насколько это вообще возможно для города)</v>
      </c>
      <c r="O352" s="6" t="str">
        <f>IFERROR(__xludf.DUMMYFUNCTION("""COMPUTED_VALUE"""),"Сделать улицы и тротуары так, чтобы не было жуткой грязи каждый год. Начать красить жуткие серые хрущёвки, сохранять и подчёркивать исторический облик города, как в старом центре. Приводить дворы в порядок, следить за их чистотой")</f>
        <v>Сделать улицы и тротуары так, чтобы не было жуткой грязи каждый год. Начать красить жуткие серые хрущёвки, сохранять и подчёркивать исторический облик города, как в старом центре. Приводить дворы в порядок, следить за их чистотой</v>
      </c>
      <c r="P352" s="6" t="str">
        <f>IFERROR(__xludf.DUMMYFUNCTION("""COMPUTED_VALUE"""),"Интернет, Вконтакте, телеграм, знакомые")</f>
        <v>Интернет, Вконтакте, телеграм, знакомые</v>
      </c>
      <c r="Q352"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 бизнес-новости (средний чек/рекламные акции/"&amp;"запуск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352" s="6" t="str">
        <f>IFERROR(__xludf.DUMMYFUNCTION("""COMPUTED_VALUE"""),"Все наши ""праздники"" - это мрак и толпа+куча полиции где надо и где нет. Только рок-фест в 2019 г. был отличным.")</f>
        <v>Все наши "праздники" - это мрак и толпа+куча полиции где надо и где нет. Только рок-фест в 2019 г. был отличным.</v>
      </c>
      <c r="S352" s="6" t="str">
        <f>IFERROR(__xludf.DUMMYFUNCTION("""COMPUTED_VALUE"""),"Нет, не приходилось")</f>
        <v>Нет, не приходилось</v>
      </c>
      <c r="T352" s="6" t="str">
        <f>IFERROR(__xludf.DUMMYFUNCTION("""COMPUTED_VALUE"""),"Центр тяжёлой промышленности, суровый климат, природа")</f>
        <v>Центр тяжёлой промышленности, суровый климат, природа</v>
      </c>
      <c r="U352" s="6" t="str">
        <f>IFERROR(__xludf.DUMMYFUNCTION("""COMPUTED_VALUE"""),"Площадь Советов, набережная")</f>
        <v>Площадь Советов, набережная</v>
      </c>
      <c r="V352" s="6" t="str">
        <f>IFERROR(__xludf.DUMMYFUNCTION("""COMPUTED_VALUE"""),"Отвечает А. Друзь!")</f>
        <v>Отвечает А. Друзь!</v>
      </c>
      <c r="W352" s="6" t="str">
        <f>IFERROR(__xludf.DUMMYFUNCTION("""COMPUTED_VALUE"""),"Грубость, наглость, угрюмость. Дешёвые понты прилагаются")</f>
        <v>Грубость, наглость, угрюмость. Дешёвые понты прилагаются</v>
      </c>
      <c r="X352" s="6" t="str">
        <f>IFERROR(__xludf.DUMMYFUNCTION("""COMPUTED_VALUE"""),"ул. Весенняя - Драмтеатр - весенняя - памятник неизвестному солдату - набережная - филармония")</f>
        <v>ул. Весенняя - Драмтеатр - весенняя - памятник неизвестному солдату - набережная - филармония</v>
      </c>
      <c r="Y352" s="6" t="str">
        <f>IFERROR(__xludf.DUMMYFUNCTION("""COMPUTED_VALUE"""),"Рок-фест 2019 г")</f>
        <v>Рок-фест 2019 г</v>
      </c>
      <c r="Z352" s="6" t="str">
        <f>IFERROR(__xludf.DUMMYFUNCTION("""COMPUTED_VALUE"""),"Рок-фест 2019 г")</f>
        <v>Рок-фест 2019 г</v>
      </c>
      <c r="AA352" s="6" t="str">
        <f>IFERROR(__xludf.DUMMYFUNCTION("""COMPUTED_VALUE"""),"Убийство Пехтелевой, Зимняя Вишня")</f>
        <v>Убийство Пехтелевой, Зимняя Вишня</v>
      </c>
      <c r="AB352" s="6" t="str">
        <f>IFERROR(__xludf.DUMMYFUNCTION("""COMPUTED_VALUE"""),"Джаз-клуб")</f>
        <v>Джаз-клуб</v>
      </c>
      <c r="AC352" s="6" t="str">
        <f>IFERROR(__xludf.DUMMYFUNCTION("""COMPUTED_VALUE"""),"Музыкальные фестивали")</f>
        <v>Музыкальные фестивали</v>
      </c>
      <c r="AD352" s="6" t="str">
        <f>IFERROR(__xludf.DUMMYFUNCTION("""COMPUTED_VALUE"""),"Зависит от проекта")</f>
        <v>Зависит от проекта</v>
      </c>
      <c r="AE352" s="6" t="str">
        <f>IFERROR(__xludf.DUMMYFUNCTION("""COMPUTED_VALUE"""),"Мужской")</f>
        <v>Мужской</v>
      </c>
      <c r="AF352" s="6" t="str">
        <f>IFERROR(__xludf.DUMMYFUNCTION("""COMPUTED_VALUE"""),"30-44")</f>
        <v>30-44</v>
      </c>
      <c r="AG352" s="6"/>
      <c r="AH352" s="6"/>
      <c r="AI352" s="6"/>
      <c r="AJ352" s="6"/>
      <c r="AK352" s="6"/>
      <c r="AL352" s="6"/>
      <c r="AM352" s="6"/>
    </row>
    <row r="353">
      <c r="A353" s="4">
        <v>352.0</v>
      </c>
      <c r="B353" s="6" t="str">
        <f>IFERROR(__xludf.DUMMYFUNCTION("""COMPUTED_VALUE"""),"Музейный сотрудник")</f>
        <v>Музейный сотрудник</v>
      </c>
      <c r="C353" s="6" t="str">
        <f>IFERROR(__xludf.DUMMYFUNCTION("""COMPUTED_VALUE"""),"Чтение, саморазвитие")</f>
        <v>Чтение, саморазвитие</v>
      </c>
      <c r="D353" s="6" t="str">
        <f>IFERROR(__xludf.DUMMYFUNCTION("""COMPUTED_VALUE"""),"Заводский (Гопоград)")</f>
        <v>Заводский (Гопоград)</v>
      </c>
      <c r="E353" s="6" t="str">
        <f>IFERROR(__xludf.DUMMYFUNCTION("""COMPUTED_VALUE"""),"Сибиряки")</f>
        <v>Сибиряки</v>
      </c>
      <c r="F353" s="6" t="str">
        <f>IFERROR(__xludf.DUMMYFUNCTION("""COMPUTED_VALUE"""),"Переехал сюда из другого места (откуда? укажите в графе другое), Переехал из Яшкино")</f>
        <v>Переехал сюда из другого места (откуда? укажите в графе другое), Переехал из Яшкино</v>
      </c>
      <c r="G353" s="6" t="str">
        <f>IFERROR(__xludf.DUMMYFUNCTION("""COMPUTED_VALUE"""),"Ул. Весенняя, пр. Советский, парк Ангелов, парк Жукова, парк Антошка, Притомская набережная")</f>
        <v>Ул. Весенняя, пр. Советский, парк Ангелов, парк Жукова, парк Антошка, Притомская набережная</v>
      </c>
      <c r="H353" s="6" t="str">
        <f>IFERROR(__xludf.DUMMYFUNCTION("""COMPUTED_VALUE"""),"Зимняя Вишня, город, Парк Жукова, КемГУ, Кировский")</f>
        <v>Зимняя Вишня, город, Парк Жукова, КемГУ, Кировский</v>
      </c>
      <c r="I353" s="6" t="str">
        <f>IFERROR(__xludf.DUMMYFUNCTION("""COMPUTED_VALUE"""),"Рутгерс, Афанасий Кемеров (Комаров), Я.А. Шер, В.М. Кимеев")</f>
        <v>Рутгерс, Афанасий Кемеров (Комаров), Я.А. Шер, В.М. Кимеев</v>
      </c>
      <c r="J353" s="6" t="str">
        <f>IFERROR(__xludf.DUMMYFUNCTION("""COMPUTED_VALUE"""),"А.Н. Мартынов, А.Г. Тулеев")</f>
        <v>А.Н. Мартынов, А.Г. Тулеев</v>
      </c>
      <c r="K353" s="6" t="str">
        <f>IFERROR(__xludf.DUMMYFUNCTION("""COMPUTED_VALUE"""),"парк Ангелов, ул. Весенняя, пр. Советский, Притомская набережная")</f>
        <v>парк Ангелов, ул. Весенняя, пр. Советский, Притомская набережная</v>
      </c>
      <c r="L353" s="6" t="str">
        <f>IFERROR(__xludf.DUMMYFUNCTION("""COMPUTED_VALUE"""),"затрудняюсь ответить")</f>
        <v>затрудняюсь ответить</v>
      </c>
      <c r="M353" s="6" t="str">
        <f>IFERROR(__xludf.DUMMYFUNCTION("""COMPUTED_VALUE"""),"Опасный Кировский; дамы с Сибиряков")</f>
        <v>Опасный Кировский; дамы с Сибиряков</v>
      </c>
      <c r="N353" s="6" t="str">
        <f>IFERROR(__xludf.DUMMYFUNCTION("""COMPUTED_VALUE"""),"Чистота улиц и домов, наличие зелёных насаждений, развитая инфраструктура, наличие хороших учебных заведений, достаточное количество мест для культурного отдыха (парки, зоны отдыха, театры, ТЦ и пр.)")</f>
        <v>Чистота улиц и домов, наличие зелёных насаждений, развитая инфраструктура, наличие хороших учебных заведений, достаточное количество мест для культурного отдыха (парки, зоны отдыха, театры, ТЦ и пр.)</v>
      </c>
      <c r="O353" s="6" t="str">
        <f>IFERROR(__xludf.DUMMYFUNCTION("""COMPUTED_VALUE"""),"Обшарпанность домов и разбитые дороги во дворах")</f>
        <v>Обшарпанность домов и разбитые дороги во дворах</v>
      </c>
      <c r="P353" s="6" t="str">
        <f>IFERROR(__xludf.DUMMYFUNCTION("""COMPUTED_VALUE"""),"Сибдепо, Типичный Кемерово и др. ресурсы ВК. Иногда уличные афиши")</f>
        <v>Сибдепо, Типичный Кемерово и др. ресурсы ВК. Иногда уличные афиши</v>
      </c>
      <c r="Q353" s="6" t="str">
        <f>IFERROR(__xludf.DUMMYFUNCTION("""COMPUTED_VALUE"""),"куда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v>
      </c>
      <c r="R353" s="6" t="str">
        <f>IFERROR(__xludf.DUMMYFUNCTION("""COMPUTED_VALUE"""),"День Шахтёра, день города, Новый год")</f>
        <v>День Шахтёра, день города, Новый год</v>
      </c>
      <c r="S353" s="6" t="str">
        <f>IFERROR(__xludf.DUMMYFUNCTION("""COMPUTED_VALUE"""),"Нет, не приходилось")</f>
        <v>Нет, не приходилось</v>
      </c>
      <c r="T353" s="6" t="str">
        <f>IFERROR(__xludf.DUMMYFUNCTION("""COMPUTED_VALUE"""),"Пожар в Зимней вишне, бедность, коррупция, низкий уровень доходов, низкий уровень жизни, проблемы с экологией из-за добычи угля")</f>
        <v>Пожар в Зимней вишне, бедность, коррупция, низкий уровень доходов, низкий уровень жизни, проблемы с экологией из-за добычи угля</v>
      </c>
      <c r="U353" s="6" t="str">
        <f>IFERROR(__xludf.DUMMYFUNCTION("""COMPUTED_VALUE"""),"Ул. Весенняя, Притомская набережная, пр. Советский")</f>
        <v>Ул. Весенняя, Притомская набережная, пр. Советский</v>
      </c>
      <c r="V353" s="6" t="str">
        <f>IFERROR(__xludf.DUMMYFUNCTION("""COMPUTED_VALUE"""),"Забастовка шахтёров - они выбили нормальные условия труда для себя;
А.Г. Тулеев сделал много для развития экономики.")</f>
        <v>Забастовка шахтёров - они выбили нормальные условия труда для себя;
А.Г. Тулеев сделал много для развития экономики.</v>
      </c>
      <c r="W353" s="6" t="str">
        <f>IFERROR(__xludf.DUMMYFUNCTION("""COMPUTED_VALUE"""),"Весёлые, местами беззаботные, 
сварливые, пофигистичные, с низким уровнем культуры (правовой, политической, экономической), любящие брать кредиты")</f>
        <v>Весёлые, местами беззаботные, 
сварливые, пофигистичные, с низким уровнем культуры (правовой, политической, экономической), любящие брать кредиты</v>
      </c>
      <c r="X353" s="6" t="str">
        <f>IFERROR(__xludf.DUMMYFUNCTION("""COMPUTED_VALUE"""),"Пешком от вокзала до Ленинградского с заходом в папк Ангелов, на Весеннюю, Советский, Притомскую набережную, парки Жукова и Антошку")</f>
        <v>Пешком от вокзала до Ленинградского с заходом в папк Ангелов, на Весеннюю, Советский, Притомскую набережную, парки Жукова и Антошку</v>
      </c>
      <c r="Y353" s="6" t="str">
        <f>IFERROR(__xludf.DUMMYFUNCTION("""COMPUTED_VALUE"""),"Открытие угля на Красной горке (города тогда ещё не было, но были деревни, из которых этот город образовался. Одна из них - деревня Кемерова)")</f>
        <v>Открытие угля на Красной горке (города тогда ещё не было, но были деревни, из которых этот город образовался. Одна из них - деревня Кемерова)</v>
      </c>
      <c r="Z353" s="6" t="str">
        <f>IFERROR(__xludf.DUMMYFUNCTION("""COMPUTED_VALUE"""),"Ремонт дорог, кинотеатров и ТЦ")</f>
        <v>Ремонт дорог, кинотеатров и ТЦ</v>
      </c>
      <c r="AA353" s="6" t="str">
        <f>IFERROR(__xludf.DUMMYFUNCTION("""COMPUTED_VALUE"""),"Растущий уровень коррупции с одновременным падением уровня жизни и ухудшением экологии (участившийся режим Чёрного неба, негативное влияние угольной и химической промышленности); невыплата зарплат рабочим шахт и других предприятий")</f>
        <v>Растущий уровень коррупции с одновременным падением уровня жизни и ухудшением экологии (участившийся режим Чёрного неба, негативное влияние угольной и химической промышленности); невыплата зарплат рабочим шахт и других предприятий</v>
      </c>
      <c r="AB353" s="6" t="str">
        <f>IFERROR(__xludf.DUMMYFUNCTION("""COMPUTED_VALUE"""),"В городе мало сообществ, направленных на сохранение экологии, на увеличение общего уровня грамотности. Либо я про них не слышал.")</f>
        <v>В городе мало сообществ, направленных на сохранение экологии, на увеличение общего уровня грамотности. Либо я про них не слышал.</v>
      </c>
      <c r="AC353" s="6" t="str">
        <f>IFERROR(__xludf.DUMMYFUNCTION("""COMPUTED_VALUE"""),"Квесты, литературные чтения, массовые посещения музеев, массовые акции по сохранению экологии, выступления местных музыкальных групп. И проводить это всё как можно более чаще. А не раз в год.")</f>
        <v>Квесты, литературные чтения, массовые посещения музеев, массовые акции по сохранению экологии, выступления местных музыкальных групп. И проводить это всё как можно более чаще. А не раз в год.</v>
      </c>
      <c r="AD353" s="6" t="str">
        <f>IFERROR(__xludf.DUMMYFUNCTION("""COMPUTED_VALUE"""),"В роли наблюдателя. Или участника акций. Не организатора.")</f>
        <v>В роли наблюдателя. Или участника акций. Не организатора.</v>
      </c>
      <c r="AE353" s="6" t="str">
        <f>IFERROR(__xludf.DUMMYFUNCTION("""COMPUTED_VALUE"""),"Мужской")</f>
        <v>Мужской</v>
      </c>
      <c r="AF353" s="6" t="str">
        <f>IFERROR(__xludf.DUMMYFUNCTION("""COMPUTED_VALUE"""),"18-29")</f>
        <v>18-29</v>
      </c>
      <c r="AG353" s="6"/>
      <c r="AH353" s="6"/>
      <c r="AI353" s="6"/>
      <c r="AJ353" s="6"/>
      <c r="AK353" s="6"/>
      <c r="AL353" s="6"/>
      <c r="AM353" s="6"/>
    </row>
    <row r="354">
      <c r="A354" s="4">
        <v>353.0</v>
      </c>
      <c r="B354" s="6" t="str">
        <f>IFERROR(__xludf.DUMMYFUNCTION("""COMPUTED_VALUE"""),"Государственная служба")</f>
        <v>Государственная служба</v>
      </c>
      <c r="C354" s="6" t="str">
        <f>IFERROR(__xludf.DUMMYFUNCTION("""COMPUTED_VALUE"""),"Прогулки на свежем воздухе")</f>
        <v>Прогулки на свежем воздухе</v>
      </c>
      <c r="D354" s="6" t="str">
        <f>IFERROR(__xludf.DUMMYFUNCTION("""COMPUTED_VALUE"""),"Лесная поляна")</f>
        <v>Лесная поляна</v>
      </c>
      <c r="E354" s="6" t="str">
        <f>IFERROR(__xludf.DUMMYFUNCTION("""COMPUTED_VALUE"""),"Парк")</f>
        <v>Парк</v>
      </c>
      <c r="F354" s="6" t="str">
        <f>IFERROR(__xludf.DUMMYFUNCTION("""COMPUTED_VALUE"""),"Переехал сюда из другого места (откуда? укажите в графе другое), Переезд по работе")</f>
        <v>Переехал сюда из другого места (откуда? укажите в графе другое), Переезд по работе</v>
      </c>
      <c r="G354" s="6" t="str">
        <f>IFERROR(__xludf.DUMMYFUNCTION("""COMPUTED_VALUE"""),"Прогулки по Лесной поляне")</f>
        <v>Прогулки по Лесной поляне</v>
      </c>
      <c r="H354" s="6" t="str">
        <f>IFERROR(__xludf.DUMMYFUNCTION("""COMPUTED_VALUE"""),"Деревня,уголь,шахтеры,грязь,наркоманы")</f>
        <v>Деревня,уголь,шахтеры,грязь,наркоманы</v>
      </c>
      <c r="I354" s="6" t="str">
        <f>IFERROR(__xludf.DUMMYFUNCTION("""COMPUTED_VALUE"""),"Затрудняюсь с ответом")</f>
        <v>Затрудняюсь с ответом</v>
      </c>
      <c r="J354" s="6" t="str">
        <f>IFERROR(__xludf.DUMMYFUNCTION("""COMPUTED_VALUE"""),"Михайлов")</f>
        <v>Михайлов</v>
      </c>
      <c r="K354" s="6" t="str">
        <f>IFERROR(__xludf.DUMMYFUNCTION("""COMPUTED_VALUE"""),"Обязательно Лесная поляна")</f>
        <v>Обязательно Лесная поляна</v>
      </c>
      <c r="L354" s="6" t="str">
        <f>IFERROR(__xludf.DUMMYFUNCTION("""COMPUTED_VALUE"""),"Местные жители неторопливы,медлительны и ленивы. Это сказывается на стиле вождения")</f>
        <v>Местные жители неторопливы,медлительны и ленивы. Это сказывается на стиле вождения</v>
      </c>
      <c r="M354" s="6" t="str">
        <f>IFERROR(__xludf.DUMMYFUNCTION("""COMPUTED_VALUE"""),"Нет")</f>
        <v>Нет</v>
      </c>
      <c r="N354" s="6" t="str">
        <f>IFERROR(__xludf.DUMMYFUNCTION("""COMPUTED_VALUE"""),"Хорошие дороги,транспортная развязка,озеленение города, ухоженность города,наличие современной застройки")</f>
        <v>Хорошие дороги,транспортная развязка,озеленение города, ухоженность города,наличие современной застройки</v>
      </c>
      <c r="O354" s="6" t="str">
        <f>IFERROR(__xludf.DUMMYFUNCTION("""COMPUTED_VALUE"""),"Нет красивых зданий")</f>
        <v>Нет красивых зданий</v>
      </c>
      <c r="P354" s="6" t="str">
        <f>IFERROR(__xludf.DUMMYFUNCTION("""COMPUTED_VALUE"""),"Интернет ресурсы")</f>
        <v>Интернет ресурсы</v>
      </c>
      <c r="Q354"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354" s="6" t="str">
        <f>IFERROR(__xludf.DUMMYFUNCTION("""COMPUTED_VALUE"""),"День города")</f>
        <v>День города</v>
      </c>
      <c r="S354" s="6" t="str">
        <f>IFERROR(__xludf.DUMMYFUNCTION("""COMPUTED_VALUE"""),"Нет, не приходилось")</f>
        <v>Нет, не приходилось</v>
      </c>
      <c r="T354" s="6" t="str">
        <f>IFERROR(__xludf.DUMMYFUNCTION("""COMPUTED_VALUE"""),"Угольная столица)))")</f>
        <v>Угольная столица)))</v>
      </c>
      <c r="U354" s="6" t="str">
        <f>IFERROR(__xludf.DUMMYFUNCTION("""COMPUTED_VALUE"""),"Пл. Советов")</f>
        <v>Пл. Советов</v>
      </c>
      <c r="V354" s="6" t="str">
        <f>IFERROR(__xludf.DUMMYFUNCTION("""COMPUTED_VALUE"""),"Ничего")</f>
        <v>Ничего</v>
      </c>
      <c r="W354" s="6" t="str">
        <f>IFERROR(__xludf.DUMMYFUNCTION("""COMPUTED_VALUE"""),"Ответ в вопросе 11")</f>
        <v>Ответ в вопросе 11</v>
      </c>
      <c r="X354" s="6" t="str">
        <f>IFERROR(__xludf.DUMMYFUNCTION("""COMPUTED_VALUE"""),"Приехать на ЛП и погулять")</f>
        <v>Приехать на ЛП и погулять</v>
      </c>
      <c r="Y354" s="6" t="str">
        <f>IFERROR(__xludf.DUMMYFUNCTION("""COMPUTED_VALUE"""),"Произойдет вскоре: 300 лет Кузбассу")</f>
        <v>Произойдет вскоре: 300 лет Кузбассу</v>
      </c>
      <c r="Z354" s="6" t="str">
        <f>IFERROR(__xludf.DUMMYFUNCTION("""COMPUTED_VALUE"""),"Позитивного нет")</f>
        <v>Позитивного нет</v>
      </c>
      <c r="AA354" s="6" t="str">
        <f>IFERROR(__xludf.DUMMYFUNCTION("""COMPUTED_VALUE"""),"Вишня три года назад правда")</f>
        <v>Вишня три года назад правда</v>
      </c>
      <c r="AB354" s="6" t="str">
        <f>IFERROR(__xludf.DUMMYFUNCTION("""COMPUTED_VALUE"""),"Затрудняюсь с ответом")</f>
        <v>Затрудняюсь с ответом</v>
      </c>
      <c r="AC354" s="6" t="str">
        <f>IFERROR(__xludf.DUMMYFUNCTION("""COMPUTED_VALUE"""),"Больше мероприятий на свежем воздухе")</f>
        <v>Больше мероприятий на свежем воздухе</v>
      </c>
      <c r="AD354" s="6" t="str">
        <f>IFERROR(__xludf.DUMMYFUNCTION("""COMPUTED_VALUE"""),"Затрудняюсь с ответом")</f>
        <v>Затрудняюсь с ответом</v>
      </c>
      <c r="AE354" s="6" t="str">
        <f>IFERROR(__xludf.DUMMYFUNCTION("""COMPUTED_VALUE"""),"Женский")</f>
        <v>Женский</v>
      </c>
      <c r="AF354" s="6" t="str">
        <f>IFERROR(__xludf.DUMMYFUNCTION("""COMPUTED_VALUE"""),"30-44")</f>
        <v>30-44</v>
      </c>
      <c r="AG354" s="6"/>
      <c r="AH354" s="6"/>
      <c r="AI354" s="6"/>
      <c r="AJ354" s="6"/>
      <c r="AK354" s="6"/>
      <c r="AL354" s="6"/>
      <c r="AM354" s="6"/>
    </row>
    <row r="355">
      <c r="A355" s="4">
        <v>354.0</v>
      </c>
      <c r="B355" s="6" t="str">
        <f>IFERROR(__xludf.DUMMYFUNCTION("""COMPUTED_VALUE"""),"Наука и исследования")</f>
        <v>Наука и исследования</v>
      </c>
      <c r="C355" s="6" t="str">
        <f>IFERROR(__xludf.DUMMYFUNCTION("""COMPUTED_VALUE"""),"Кулинария")</f>
        <v>Кулинария</v>
      </c>
      <c r="D355" s="6" t="str">
        <f>IFERROR(__xludf.DUMMYFUNCTION("""COMPUTED_VALUE"""),"Центральный (Центр)")</f>
        <v>Центральный (Центр)</v>
      </c>
      <c r="E355" s="6" t="str">
        <f>IFERROR(__xludf.DUMMYFUNCTION("""COMPUTED_VALUE"""),"Площадь напротив Драмтеатра, набережная Томи, ""соцрайон"" между Красноармейской и Сарыгина")</f>
        <v>Площадь напротив Драмтеатра, набережная Томи, "соцрайон" между Красноармейской и Сарыгина</v>
      </c>
      <c r="F355" s="6" t="str">
        <f>IFERROR(__xludf.DUMMYFUNCTION("""COMPUTED_VALUE"""),"Живу здесь с рождения")</f>
        <v>Живу здесь с рождения</v>
      </c>
      <c r="G355" s="6" t="str">
        <f>IFERROR(__xludf.DUMMYFUNCTION("""COMPUTED_VALUE"""),"Старый центр (Кирова, Весенняя, Советский, набережная)")</f>
        <v>Старый центр (Кирова, Весенняя, Советский, набережная)</v>
      </c>
      <c r="H355" s="6" t="str">
        <f>IFERROR(__xludf.DUMMYFUNCTION("""COMPUTED_VALUE"""),"Цветы, зеленые деревья, набережная, тишина, уют")</f>
        <v>Цветы, зеленые деревья, набережная, тишина, уют</v>
      </c>
      <c r="I355" s="6" t="str">
        <f>IFERROR(__xludf.DUMMYFUNCTION("""COMPUTED_VALUE"""),"Мартемьянов, Заузелков, ван Лохем")</f>
        <v>Мартемьянов, Заузелков, ван Лохем</v>
      </c>
      <c r="J355" s="6" t="str">
        <f>IFERROR(__xludf.DUMMYFUNCTION("""COMPUTED_VALUE"""),"Леонид Семенович Барбараш (объективно без его личности в городе кардиоцентра в том виде, в котором мы его знаем, совершенно точно не было бы, да и вообще не факт, что был бы)")</f>
        <v>Леонид Семенович Барбараш (объективно без его личности в городе кардиоцентра в том виде, в котором мы его знаем, совершенно точно не было бы, да и вообще не факт, что был бы)</v>
      </c>
      <c r="K355" s="6" t="str">
        <f>IFERROR(__xludf.DUMMYFUNCTION("""COMPUTED_VALUE"""),"Старый центр, бульвар Строителей после реконструкции, Лесная Поляна")</f>
        <v>Старый центр, бульвар Строителей после реконструкции, Лесная Поляна</v>
      </c>
      <c r="L355" s="6" t="str">
        <f>IFERROR(__xludf.DUMMYFUNCTION("""COMPUTED_VALUE"""),"Пожалуй, таких все же нет (см. пункт 12).")</f>
        <v>Пожалуй, таких все же нет (см. пункт 12).</v>
      </c>
      <c r="M355" s="6" t="str">
        <f>IFERROR(__xludf.DUMMYFUNCTION("""COMPUTED_VALUE"""),"В целом нет, хотя Сибирь в целом и отличается (в лучшую сторону) от остальных регионов России, Кузбасс и Кемерово все же скорее ближе именно к сибирской идентичности, чем к своей собственной.")</f>
        <v>В целом нет, хотя Сибирь в целом и отличается (в лучшую сторону) от остальных регионов России, Кузбасс и Кемерово все же скорее ближе именно к сибирской идентичности, чем к своей собственной.</v>
      </c>
      <c r="N355" s="6" t="str">
        <f>IFERROR(__xludf.DUMMYFUNCTION("""COMPUTED_VALUE"""),"Отсутствие пробок, отсутствие шума, обилие парков и скверов, транспортная доступность всех районов и достопримечательностей, организация культурных мероприятий (выставок и прочее) ")</f>
        <v>Отсутствие пробок, отсутствие шума, обилие парков и скверов, транспортная доступность всех районов и достопримечательностей, организация культурных мероприятий (выставок и прочее) </v>
      </c>
      <c r="O355" s="6" t="str">
        <f>IFERROR(__xludf.DUMMYFUNCTION("""COMPUTED_VALUE"""),"В целом, надо признать, город благодаря массовому строительству действительно активно развивается. Возможно, облик новых зданий мог бы быть и лучше, но объективно ""дареному коню"" (федеральным деньгам) в зубы не смотрят и он вполне себе приличный (тот же"&amp;" кассационный суд). В целом, наверное, не помешало бы некое единство архитектурных украшений и цветовой гаммы внутри строящихся микрорайонов (не по городу в целом), что помогло бы им придать свою аутентичность.")</f>
        <v>В целом, надо признать, город благодаря массовому строительству действительно активно развивается. Возможно, облик новых зданий мог бы быть и лучше, но объективно "дареному коню" (федеральным деньгам) в зубы не смотрят и он вполне себе приличный (тот же кассационный суд). В целом, наверное, не помешало бы некое единство архитектурных украшений и цветовой гаммы внутри строящихся микрорайонов (не по городу в целом), что помогло бы им придать свою аутентичность.</v>
      </c>
      <c r="P355" s="6" t="str">
        <f>IFERROR(__xludf.DUMMYFUNCTION("""COMPUTED_VALUE"""),"Instagram, VK, Yandex")</f>
        <v>Instagram, VK, Yandex</v>
      </c>
      <c r="Q35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355" s="6" t="str">
        <f>IFERROR(__xludf.DUMMYFUNCTION("""COMPUTED_VALUE"""),"День города, других именно внутригородских праздников особо и нет (если говорить, скажем, о дне Победы, то он все же общероссийский).")</f>
        <v>День города, других именно внутригородских праздников особо и нет (если говорить, скажем, о дне Победы, то он все же общероссийский).</v>
      </c>
      <c r="S355" s="6" t="str">
        <f>IFERROR(__xludf.DUMMYFUNCTION("""COMPUTED_VALUE"""),"Нет, не приходилось")</f>
        <v>Нет, не приходилось</v>
      </c>
      <c r="T355" s="6" t="str">
        <f>IFERROR(__xludf.DUMMYFUNCTION("""COMPUTED_VALUE"""),"Кемерово, на мой взгляд, самый сбалансированный в плане организации и жизни город среди всех сибирских столиц наряду с Томском.
Сказать, чтобы город был прямо знаменит, наверное, нельзя, если говорить именно о городе, а не о Кузбассе. А известен - развито"&amp;"й (в прошлом) химической промышленностью, в общем-то хорошей культурной индустрией (театры, филармония), действительно топовым даже на российском фоне кардиоцентром, достаточно хорошей областной больницей. Лесная поляна, да, отличный пример с точки зрения"&amp;" урбанистики, достаточно известный, гостей туда возим почти всех.
Каждый город по-своему уникален, вот у Кемерово совершенно точно есть своя хорошая атмосфера для его гостей.")</f>
        <v>Кемерово, на мой взгляд, самый сбалансированный в плане организации и жизни город среди всех сибирских столиц наряду с Томском.
Сказать, чтобы город был прямо знаменит, наверное, нельзя, если говорить именно о городе, а не о Кузбассе. А известен - развитой (в прошлом) химической промышленностью, в общем-то хорошей культурной индустрией (театры, филармония), действительно топовым даже на российском фоне кардиоцентром, достаточно хорошей областной больницей. Лесная поляна, да, отличный пример с точки зрения урбанистики, достаточно известный, гостей туда возим почти всех.
Каждый город по-своему уникален, вот у Кемерово совершенно точно есть своя хорошая атмосфера для его гостей.</v>
      </c>
      <c r="U355" s="6" t="str">
        <f>IFERROR(__xludf.DUMMYFUNCTION("""COMPUTED_VALUE"""),"""Старый центр"" - промежуток, условно ограниченный Томью, Мичурина, Красноармейской и Кузнецким. К чести городской администрации, стоит отметить, что город очень децентрализован в этом плане, и тот же бульвар Строителей после реконструкции прекрасно смот"&amp;"рится, очень красива Лесная поляна, хотя это, конечно, и не центр географически.")</f>
        <v>"Старый центр" - промежуток, условно ограниченный Томью, Мичурина, Красноармейской и Кузнецким. К чести городской администрации, стоит отметить, что город очень децентрализован в этом плане, и тот же бульвар Строителей после реконструкции прекрасно смотрится, очень красива Лесная поляна, хотя это, конечно, и не центр географически.</v>
      </c>
      <c r="V355" s="6" t="str">
        <f>IFERROR(__xludf.DUMMYFUNCTION("""COMPUTED_VALUE"""),"Как минимум - создали действительно много градообразующих предприятий, без которых транспортный тупик бы никогда таким центром не стал. А вообще, надо признать, что свое очарование в городе определенно есть и за счет застройки, и за счет организации парко"&amp;"вых и пешеходных зон, это целиком заслуга жителей города.")</f>
        <v>Как минимум - создали действительно много градообразующих предприятий, без которых транспортный тупик бы никогда таким центром не стал. А вообще, надо признать, что свое очарование в городе определенно есть и за счет застройки, и за счет организации парковых и пешеходных зон, это целиком заслуга жителей города.</v>
      </c>
      <c r="W355" s="6" t="str">
        <f>IFERROR(__xludf.DUMMYFUNCTION("""COMPUTED_VALUE"""),"Честные, прямолинейные, практичные")</f>
        <v>Честные, прямолинейные, практичные</v>
      </c>
      <c r="X355" s="6" t="str">
        <f>IFERROR(__xludf.DUMMYFUNCTION("""COMPUTED_VALUE"""),"Старый центр пешком - Лесная поляна на машине")</f>
        <v>Старый центр пешком - Лесная поляна на машине</v>
      </c>
      <c r="Y355" s="6" t="str">
        <f>IFERROR(__xludf.DUMMYFUNCTION("""COMPUTED_VALUE"""),"Наверное, все же ЧМ по хоккею с мячом - даже учитывая нишевость этого вида спорта, это все равно очень круто.")</f>
        <v>Наверное, все же ЧМ по хоккею с мячом - даже учитывая нишевость этого вида спорта, это все равно очень круто.</v>
      </c>
      <c r="Z355" s="6" t="str">
        <f>IFERROR(__xludf.DUMMYFUNCTION("""COMPUTED_VALUE"""),"Начало массового строительства, нельзя не признать, что это именно то, что и спустя 50 лет будут вспоминать.")</f>
        <v>Начало массового строительства, нельзя не признать, что это именно то, что и спустя 50 лет будут вспоминать.</v>
      </c>
      <c r="AA355" s="6" t="str">
        <f>IFERROR(__xludf.DUMMYFUNCTION("""COMPUTED_VALUE"""),"Да, наверное, никаких - зачем на это обращать вообще внимание.")</f>
        <v>Да, наверное, никаких - зачем на это обращать вообще внимание.</v>
      </c>
      <c r="AB355" s="6" t="str">
        <f>IFERROR(__xludf.DUMMYFUNCTION("""COMPUTED_VALUE"""),"Всего хватает)")</f>
        <v>Всего хватает)</v>
      </c>
      <c r="AC355" s="6" t="str">
        <f>IFERROR(__xludf.DUMMYFUNCTION("""COMPUTED_VALUE"""),"В целом, наверное, с развитием культурного кластера хотелось бы больше каких-то творческих мероприятий, это всегда город оживляет и придает аутентичность. Строительство новых спортивных объектов также, вероятно, создаст в городе какие-то события, которые "&amp;"можно будет посещать, речь ведь не обязательно должна идти о командах чемпионского уровня.")</f>
        <v>В целом, наверное, с развитием культурного кластера хотелось бы больше каких-то творческих мероприятий, это всегда город оживляет и придает аутентичность. Строительство новых спортивных объектов также, вероятно, создаст в городе какие-то события, которые можно будет посещать, речь ведь не обязательно должна идти о командах чемпионского уровня.</v>
      </c>
      <c r="AD355" s="6" t="str">
        <f>IFERROR(__xludf.DUMMYFUNCTION("""COMPUTED_VALUE"""),"Дополнительно - ни в какой:)
Развивать в первую очередь нужно свои профессиональные коллективы на месте работы, без такой системной работы организация никаких знаковых событий и прочие мероприятия для развития города невозможны.")</f>
        <v>Дополнительно - ни в какой:)
Развивать в первую очередь нужно свои профессиональные коллективы на месте работы, без такой системной работы организация никаких знаковых событий и прочие мероприятия для развития города невозможны.</v>
      </c>
      <c r="AE355" s="6" t="str">
        <f>IFERROR(__xludf.DUMMYFUNCTION("""COMPUTED_VALUE"""),"Мужской")</f>
        <v>Мужской</v>
      </c>
      <c r="AF355" s="6" t="str">
        <f>IFERROR(__xludf.DUMMYFUNCTION("""COMPUTED_VALUE"""),"30-44")</f>
        <v>30-44</v>
      </c>
      <c r="AG355" s="6"/>
      <c r="AH355" s="6"/>
      <c r="AI355" s="6"/>
      <c r="AJ355" s="6"/>
      <c r="AK355" s="6"/>
      <c r="AL355" s="6"/>
      <c r="AM355" s="6"/>
    </row>
    <row r="356">
      <c r="A356" s="4">
        <v>355.0</v>
      </c>
      <c r="B356" s="6" t="str">
        <f>IFERROR(__xludf.DUMMYFUNCTION("""COMPUTED_VALUE"""),"тружусь на электростанции")</f>
        <v>тружусь на электростанции</v>
      </c>
      <c r="C356" s="6" t="str">
        <f>IFERROR(__xludf.DUMMYFUNCTION("""COMPUTED_VALUE"""),"спорт, компьютер, машина")</f>
        <v>спорт, компьютер, машина</v>
      </c>
      <c r="D356" s="6" t="str">
        <f>IFERROR(__xludf.DUMMYFUNCTION("""COMPUTED_VALUE"""),"центральный - центр")</f>
        <v>центральный - центр</v>
      </c>
      <c r="E356" s="6" t="str">
        <f>IFERROR(__xludf.DUMMYFUNCTION("""COMPUTED_VALUE"""),"1ая гимназия, площадь советов, КЭМЗ, весенняя")</f>
        <v>1ая гимназия, площадь советов, КЭМЗ, весенняя</v>
      </c>
      <c r="F356" s="6" t="str">
        <f>IFERROR(__xludf.DUMMYFUNCTION("""COMPUTED_VALUE"""),"Живу здесь с рождения")</f>
        <v>Живу здесь с рождения</v>
      </c>
      <c r="G356" s="6" t="str">
        <f>IFERROR(__xludf.DUMMYFUNCTION("""COMPUTED_VALUE"""),"советская улица. весенняя улица, набережная ")</f>
        <v>советская улица. весенняя улица, набережная </v>
      </c>
      <c r="H356" s="6" t="str">
        <f>IFERROR(__xludf.DUMMYFUNCTION("""COMPUTED_VALUE"""),"Яшка. Бор, химики, глазурный, Кирач, журавли")</f>
        <v>Яшка. Бор, химики, глазурный, Кирач, журавли</v>
      </c>
      <c r="I356" s="6" t="str">
        <f>IFERROR(__xludf.DUMMYFUNCTION("""COMPUTED_VALUE"""),"мой классный руководитель, учительница музыки Елизавета Николаевна (гимназия №1)")</f>
        <v>мой классный руководитель, учительница музыки Елизавета Николаевна (гимназия №1)</v>
      </c>
      <c r="J356" s="6" t="str">
        <f>IFERROR(__xludf.DUMMYFUNCTION("""COMPUTED_VALUE"""),"обычные трудяги! дворники,  медсестра/братья , слесари и т.д.")</f>
        <v>обычные трудяги! дворники,  медсестра/братья , слесари и т.д.</v>
      </c>
      <c r="K356" s="6" t="str">
        <f>IFERROR(__xludf.DUMMYFUNCTION("""COMPUTED_VALUE"""),"центр, бор, Томь и озёра (где купаться можно)")</f>
        <v>центр, бор, Томь и озёра (где купаться можно)</v>
      </c>
      <c r="L356" s="6" t="str">
        <f>IFERROR(__xludf.DUMMYFUNCTION("""COMPUTED_VALUE"""),"не вспомню")</f>
        <v>не вспомню</v>
      </c>
      <c r="M356" s="6" t="str">
        <f>IFERROR(__xludf.DUMMYFUNCTION("""COMPUTED_VALUE"""),"нет")</f>
        <v>нет</v>
      </c>
      <c r="N356" s="6" t="str">
        <f>IFERROR(__xludf.DUMMYFUNCTION("""COMPUTED_VALUE"""),"живу в центре. улицы широкие. работа рядом, лес рядом, река Томь")</f>
        <v>живу в центре. улицы широкие. работа рядом, лес рядом, река Томь</v>
      </c>
      <c r="O356" s="6" t="str">
        <f>IFERROR(__xludf.DUMMYFUNCTION("""COMPUTED_VALUE"""),"мелкие точки перевезти их центра (магазины. услуги и т.д.)")</f>
        <v>мелкие точки перевезти их центра (магазины. услуги и т.д.)</v>
      </c>
      <c r="P356" s="6" t="str">
        <f>IFERROR(__xludf.DUMMYFUNCTION("""COMPUTED_VALUE"""),"друзья, родственники, соц сети ВК - типичный кемерово группа")</f>
        <v>друзья, родственники, соц сети ВК - типичный кемерово группа</v>
      </c>
      <c r="Q356" s="6" t="str">
        <f>IFERROR(__xludf.DUMMYFUNCTION("""COMPUTED_VALUE"""),"городская афиша (кино/театр/концерты), культурные новинки (что почитать/что послушать), криминальные новости (происшествия/преступления), как живут в деревнях")</f>
        <v>городская афиша (кино/театр/концерты), культурные новинки (что почитать/что послушать), криминальные новости (происшествия/преступления), как живут в деревнях</v>
      </c>
      <c r="R356" s="6" t="str">
        <f>IFERROR(__xludf.DUMMYFUNCTION("""COMPUTED_VALUE"""),"майские, новый год. день шахтера")</f>
        <v>майские, новый год. день шахтера</v>
      </c>
      <c r="S356" s="6" t="str">
        <f>IFERROR(__xludf.DUMMYFUNCTION("""COMPUTED_VALUE"""),"Нет, не приходилось")</f>
        <v>Нет, не приходилось</v>
      </c>
      <c r="T356" s="6" t="str">
        <f>IFERROR(__xludf.DUMMYFUNCTION("""COMPUTED_VALUE"""),"предприятия ")</f>
        <v>предприятия </v>
      </c>
      <c r="U356" s="6" t="str">
        <f>IFERROR(__xludf.DUMMYFUNCTION("""COMPUTED_VALUE"""),"филармония ")</f>
        <v>филармония </v>
      </c>
      <c r="V356" s="6" t="str">
        <f>IFERROR(__xludf.DUMMYFUNCTION("""COMPUTED_VALUE"""),"не знаю")</f>
        <v>не знаю</v>
      </c>
      <c r="W356" s="6" t="str">
        <f>IFERROR(__xludf.DUMMYFUNCTION("""COMPUTED_VALUE"""),"добрые")</f>
        <v>добрые</v>
      </c>
      <c r="X356" s="6" t="str">
        <f>IFERROR(__xludf.DUMMYFUNCTION("""COMPUTED_VALUE"""),"ночью советский, площадь советов, филармония, парк победы и на набережную")</f>
        <v>ночью советский, площадь советов, филармония, парк победы и на набережную</v>
      </c>
      <c r="Y356" s="6" t="str">
        <f>IFERROR(__xludf.DUMMYFUNCTION("""COMPUTED_VALUE"""),"звёзды мирового рока ! благодарю организаторов ")</f>
        <v>звёзды мирового рока ! благодарю организаторов </v>
      </c>
      <c r="Z356" s="6" t="str">
        <f>IFERROR(__xludf.DUMMYFUNCTION("""COMPUTED_VALUE"""),"подготовка к 300 летию")</f>
        <v>подготовка к 300 летию</v>
      </c>
      <c r="AA356" s="6" t="str">
        <f>IFERROR(__xludf.DUMMYFUNCTION("""COMPUTED_VALUE"""),"вишня, новый губернатор ")</f>
        <v>вишня, новый губернатор </v>
      </c>
      <c r="AB356" s="6" t="str">
        <f>IFERROR(__xludf.DUMMYFUNCTION("""COMPUTED_VALUE"""),"сообщество как меньше платить ЖКХ   или    кто ни будь проверил их на стоимость услуг")</f>
        <v>сообщество как меньше платить ЖКХ   или    кто ни будь проверил их на стоимость услуг</v>
      </c>
      <c r="AC356" s="6" t="str">
        <f>IFERROR(__xludf.DUMMYFUNCTION("""COMPUTED_VALUE"""),"цены на квартиры меньше.  На деревни обратить внимание (газификацию) ")</f>
        <v>цены на квартиры меньше.  На деревни обратить внимание (газификацию) </v>
      </c>
      <c r="AD356" s="6" t="str">
        <f>IFERROR(__xludf.DUMMYFUNCTION("""COMPUTED_VALUE"""),"в роли трудяги")</f>
        <v>в роли трудяги</v>
      </c>
      <c r="AE356" s="6" t="str">
        <f>IFERROR(__xludf.DUMMYFUNCTION("""COMPUTED_VALUE"""),"Мужской")</f>
        <v>Мужской</v>
      </c>
      <c r="AF356" s="6" t="str">
        <f>IFERROR(__xludf.DUMMYFUNCTION("""COMPUTED_VALUE"""),"30-44")</f>
        <v>30-44</v>
      </c>
      <c r="AG356" s="6"/>
      <c r="AH356" s="6"/>
      <c r="AI356" s="6"/>
      <c r="AJ356" s="6"/>
      <c r="AK356" s="6"/>
      <c r="AL356" s="6"/>
      <c r="AM356" s="6"/>
    </row>
    <row r="357">
      <c r="A357" s="4">
        <v>356.0</v>
      </c>
      <c r="B357" s="6" t="str">
        <f>IFERROR(__xludf.DUMMYFUNCTION("""COMPUTED_VALUE"""),"Врач")</f>
        <v>Врач</v>
      </c>
      <c r="C357" s="6" t="str">
        <f>IFERROR(__xludf.DUMMYFUNCTION("""COMPUTED_VALUE"""),"Бисероплетение")</f>
        <v>Бисероплетение</v>
      </c>
      <c r="D357" s="6" t="str">
        <f>IFERROR(__xludf.DUMMYFUNCTION("""COMPUTED_VALUE"""),"Кемерово Сити.")</f>
        <v>Кемерово Сити.</v>
      </c>
      <c r="E357" s="6" t="str">
        <f>IFERROR(__xludf.DUMMYFUNCTION("""COMPUTED_VALUE"""),"Сквер им. Резникова")</f>
        <v>Сквер им. Резникова</v>
      </c>
      <c r="F357" s="6" t="str">
        <f>IFERROR(__xludf.DUMMYFUNCTION("""COMPUTED_VALUE"""),"Переехал сюда из другого места (откуда? укажите в графе другое), В детстве жила в г. Ленинске-Кузнецком")</f>
        <v>Переехал сюда из другого места (откуда? укажите в графе другое), В детстве жила в г. Ленинске-Кузнецком</v>
      </c>
      <c r="G357" s="6" t="str">
        <f>IFERROR(__xludf.DUMMYFUNCTION("""COMPUTED_VALUE"""),"Набережная, ул. Весенняя, Горсад. ")</f>
        <v>Набережная, ул. Весенняя, Горсад. </v>
      </c>
      <c r="H357" s="6" t="str">
        <f>IFERROR(__xludf.DUMMYFUNCTION("""COMPUTED_VALUE"""),"Река, новостройки, театры, машины, дороги.")</f>
        <v>Река, новостройки, театры, машины, дороги.</v>
      </c>
      <c r="I357" s="6" t="str">
        <f>IFERROR(__xludf.DUMMYFUNCTION("""COMPUTED_VALUE"""),"Вера Волошина, Александр Бобров, Александр Кириллов, Юрий Двужильный.")</f>
        <v>Вера Волошина, Александр Бобров, Александр Кириллов, Юрий Двужильный.</v>
      </c>
      <c r="J357" s="6" t="str">
        <f>IFERROR(__xludf.DUMMYFUNCTION("""COMPUTED_VALUE"""),"Евгений Гришковец, Елена Малышева.")</f>
        <v>Евгений Гришковец, Елена Малышева.</v>
      </c>
      <c r="K357" s="6" t="str">
        <f>IFERROR(__xludf.DUMMYFUNCTION("""COMPUTED_VALUE"""),"Драмтеатр, набережную, памятник шахтёрам.")</f>
        <v>Драмтеатр, набережную, памятник шахтёрам.</v>
      </c>
      <c r="L357" s="6" t="str">
        <f>IFERROR(__xludf.DUMMYFUNCTION("""COMPUTED_VALUE"""),"???")</f>
        <v>???</v>
      </c>
      <c r="M357" s="6" t="str">
        <f>IFERROR(__xludf.DUMMYFUNCTION("""COMPUTED_VALUE"""),"Мультифора, колбА)))")</f>
        <v>Мультифора, колбА)))</v>
      </c>
      <c r="N357" s="6" t="str">
        <f>IFERROR(__xludf.DUMMYFUNCTION("""COMPUTED_VALUE"""),"Развитая инфраструктура даже в отдалённых районах города, удобные парковочные места, торговые центры, театры, передовые клиники.")</f>
        <v>Развитая инфраструктура даже в отдалённых районах города, удобные парковочные места, торговые центры, театры, передовые клиники.</v>
      </c>
      <c r="O357" s="6" t="str">
        <f>IFERROR(__xludf.DUMMYFUNCTION("""COMPUTED_VALUE"""),"Убрать частный сектор в районе ул. Гагарина, Спортивной и т.п. Отремонтировать дороги. Сделать больше зелёных насаждений. Отремонтировать, покрасить дома в некоторых районах типа Южного.")</f>
        <v>Убрать частный сектор в районе ул. Гагарина, Спортивной и т.п. Отремонтировать дороги. Сделать больше зелёных насаждений. Отремонтировать, покрасить дома в некоторых районах типа Южного.</v>
      </c>
      <c r="P357" s="6" t="str">
        <f>IFERROR(__xludf.DUMMYFUNCTION("""COMPUTED_VALUE"""),"ВКонтакте, инстаграм - городские сообщества, местные новости на ТВ. ")</f>
        <v>ВКонтакте, инстаграм - городские сообщества, местные новости на ТВ. </v>
      </c>
      <c r="Q357"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357" s="6" t="str">
        <f>IFERROR(__xludf.DUMMYFUNCTION("""COMPUTED_VALUE"""),"Мне никакие. А вообще у нас популярны день шахтёра, день защиты детей, день города, масленица, новый год. ")</f>
        <v>Мне никакие. А вообще у нас популярны день шахтёра, день защиты детей, день города, масленица, новый год. </v>
      </c>
      <c r="S357" s="6" t="str">
        <f>IFERROR(__xludf.DUMMYFUNCTION("""COMPUTED_VALUE"""),"Нет, не приходилось")</f>
        <v>Нет, не приходилось</v>
      </c>
      <c r="T357" s="6" t="str">
        <f>IFERROR(__xludf.DUMMYFUNCTION("""COMPUTED_VALUE"""),"Шахты)) были))). Театр драмы, муз. театр им. Боброва. Кардиоцентр.")</f>
        <v>Шахты)) были))). Театр драмы, муз. театр им. Боброва. Кардиоцентр.</v>
      </c>
      <c r="U357" s="6" t="str">
        <f>IFERROR(__xludf.DUMMYFUNCTION("""COMPUTED_VALUE"""),"Ул. Кирова, Весенняя, площадь Советов.")</f>
        <v>Ул. Кирова, Весенняя, площадь Советов.</v>
      </c>
      <c r="V357" s="6" t="str">
        <f>IFERROR(__xludf.DUMMYFUNCTION("""COMPUTED_VALUE"""),"Как везде - развивались в труде и в творчестве. Отдельная тема - военные подвиги. ")</f>
        <v>Как везде - развивались в труде и в творчестве. Отдельная тема - военные подвиги. </v>
      </c>
      <c r="W357" s="6" t="str">
        <f>IFERROR(__xludf.DUMMYFUNCTION("""COMPUTED_VALUE"""),"Доброжелательные, но нервные, тревожные. Любят повеселиться. Немного ""простоватые"", без пафоса.")</f>
        <v>Доброжелательные, но нервные, тревожные. Любят повеселиться. Немного "простоватые", без пафоса.</v>
      </c>
      <c r="X357" s="6" t="str">
        <f>IFERROR(__xludf.DUMMYFUNCTION("""COMPUTED_VALUE"""),"Центр города,  от пл. Советов до ул. Кирова, Набережная.")</f>
        <v>Центр города,  от пл. Советов до ул. Кирова, Набережная.</v>
      </c>
      <c r="Y357" s="6" t="str">
        <f>IFERROR(__xludf.DUMMYFUNCTION("""COMPUTED_VALUE"""),"По-моему, больше всего мы ""прославились"" Зимней вишней, к сожалению...")</f>
        <v>По-моему, больше всего мы "прославились" Зимней вишней, к сожалению...</v>
      </c>
      <c r="Z357" s="6" t="str">
        <f>IFERROR(__xludf.DUMMYFUNCTION("""COMPUTED_VALUE"""),"Празднование нового года,  рок- концерт под открытым небом, открытие ленинской трассы.")</f>
        <v>Празднование нового года,  рок- концерт под открытым небом, открытие ленинской трассы.</v>
      </c>
      <c r="AA357" s="6" t="str">
        <f>IFERROR(__xludf.DUMMYFUNCTION("""COMPUTED_VALUE"""),"Все разборки по Зимней вишне, закрытие Лазурного.")</f>
        <v>Все разборки по Зимней вишне, закрытие Лазурного.</v>
      </c>
      <c r="AB357" s="6" t="str">
        <f>IFERROR(__xludf.DUMMYFUNCTION("""COMPUTED_VALUE"""),"Поклонников фантастики.")</f>
        <v>Поклонников фантастики.</v>
      </c>
      <c r="AC357" s="6" t="str">
        <f>IFERROR(__xludf.DUMMYFUNCTION("""COMPUTED_VALUE"""),"Концерты, крупные спортивные соревнования,  флешмобы.")</f>
        <v>Концерты, крупные спортивные соревнования,  флешмобы.</v>
      </c>
      <c r="AD357" s="6" t="str">
        <f>IFERROR(__xludf.DUMMYFUNCTION("""COMPUTED_VALUE"""),"Как участник или наблюдатель.")</f>
        <v>Как участник или наблюдатель.</v>
      </c>
      <c r="AE357" s="6" t="str">
        <f>IFERROR(__xludf.DUMMYFUNCTION("""COMPUTED_VALUE"""),"Женский")</f>
        <v>Женский</v>
      </c>
      <c r="AF357" s="6" t="str">
        <f>IFERROR(__xludf.DUMMYFUNCTION("""COMPUTED_VALUE"""),"30-44")</f>
        <v>30-44</v>
      </c>
      <c r="AG357" s="6"/>
      <c r="AH357" s="6"/>
      <c r="AI357" s="6"/>
      <c r="AJ357" s="6"/>
      <c r="AK357" s="6"/>
      <c r="AL357" s="6"/>
      <c r="AM357" s="6"/>
    </row>
    <row r="358">
      <c r="A358" s="4">
        <v>357.0</v>
      </c>
      <c r="B358" s="6" t="str">
        <f>IFERROR(__xludf.DUMMYFUNCTION("""COMPUTED_VALUE"""),"студентка")</f>
        <v>студентка</v>
      </c>
      <c r="C358" s="6" t="str">
        <f>IFERROR(__xludf.DUMMYFUNCTION("""COMPUTED_VALUE"""),"собаководство")</f>
        <v>собаководство</v>
      </c>
      <c r="D358" s="6" t="str">
        <f>IFERROR(__xludf.DUMMYFUNCTION("""COMPUTED_VALUE"""),"ленинский")</f>
        <v>ленинский</v>
      </c>
      <c r="E358" s="6" t="str">
        <f>IFERROR(__xludf.DUMMYFUNCTION("""COMPUTED_VALUE"""),"памятник Неизвестному солдату")</f>
        <v>памятник Неизвестному солдату</v>
      </c>
      <c r="F358" s="6" t="str">
        <f>IFERROR(__xludf.DUMMYFUNCTION("""COMPUTED_VALUE"""),"Живу здесь, пока учусь")</f>
        <v>Живу здесь, пока учусь</v>
      </c>
      <c r="G358" s="6" t="str">
        <f>IFERROR(__xludf.DUMMYFUNCTION("""COMPUTED_VALUE"""),"Бульвар Строителей")</f>
        <v>Бульвар Строителей</v>
      </c>
      <c r="H358" s="6" t="str">
        <f>IFERROR(__xludf.DUMMYFUNCTION("""COMPUTED_VALUE"""),"Неинтересно, скучный, серый,  немолодежный")</f>
        <v>Неинтересно, скучный, серый,  немолодежный</v>
      </c>
      <c r="I358" s="6" t="str">
        <f>IFERROR(__xludf.DUMMYFUNCTION("""COMPUTED_VALUE"""),"Михайло Волков")</f>
        <v>Михайло Волков</v>
      </c>
      <c r="J358" s="6" t="str">
        <f>IFERROR(__xludf.DUMMYFUNCTION("""COMPUTED_VALUE"""),"-")</f>
        <v>-</v>
      </c>
      <c r="K358" s="6" t="str">
        <f>IFERROR(__xludf.DUMMYFUNCTION("""COMPUTED_VALUE"""),"-")</f>
        <v>-</v>
      </c>
      <c r="L358" s="6" t="str">
        <f>IFERROR(__xludf.DUMMYFUNCTION("""COMPUTED_VALUE"""),"-")</f>
        <v>-</v>
      </c>
      <c r="M358" s="6" t="str">
        <f>IFERROR(__xludf.DUMMYFUNCTION("""COMPUTED_VALUE"""),"-")</f>
        <v>-</v>
      </c>
      <c r="N358" s="6" t="str">
        <f>IFERROR(__xludf.DUMMYFUNCTION("""COMPUTED_VALUE"""),"чисто, ярко, зеленый, зоны отдыха, хорошая экология")</f>
        <v>чисто, ярко, зеленый, зоны отдыха, хорошая экология</v>
      </c>
      <c r="O358" s="6" t="str">
        <f>IFERROR(__xludf.DUMMYFUNCTION("""COMPUTED_VALUE"""),"увеличить количество парковых зон, отреставрировать фасады домов, отремонтировать дворовые территории, в том числе дороги, побольше клумб")</f>
        <v>увеличить количество парковых зон, отреставрировать фасады домов, отремонтировать дворовые территории, в том числе дороги, побольше клумб</v>
      </c>
      <c r="P358" s="6" t="str">
        <f>IFERROR(__xludf.DUMMYFUNCTION("""COMPUTED_VALUE"""),"от друзей")</f>
        <v>от друзей</v>
      </c>
      <c r="Q358" s="6" t="str">
        <f>IFERROR(__xludf.DUMMYFUNCTION("""COMPUTED_VALUE"""),"куда пойти в свободное время, новости про новые профессии/куда поступать/вакансии")</f>
        <v>куда пойти в свободное время, новости про новые профессии/куда поступать/вакансии</v>
      </c>
      <c r="R358" s="6" t="str">
        <f>IFERROR(__xludf.DUMMYFUNCTION("""COMPUTED_VALUE"""),"День Победы")</f>
        <v>День Победы</v>
      </c>
      <c r="S358" s="6" t="str">
        <f>IFERROR(__xludf.DUMMYFUNCTION("""COMPUTED_VALUE"""),"Нет, не приходилось")</f>
        <v>Нет, не приходилось</v>
      </c>
      <c r="T358" s="6" t="str">
        <f>IFERROR(__xludf.DUMMYFUNCTION("""COMPUTED_VALUE"""),"-")</f>
        <v>-</v>
      </c>
      <c r="U358" s="6" t="str">
        <f>IFERROR(__xludf.DUMMYFUNCTION("""COMPUTED_VALUE"""),"Набережная реки Томи")</f>
        <v>Набережная реки Томи</v>
      </c>
      <c r="V358" s="6" t="str">
        <f>IFERROR(__xludf.DUMMYFUNCTION("""COMPUTED_VALUE"""),"-")</f>
        <v>-</v>
      </c>
      <c r="W358" s="6" t="str">
        <f>IFERROR(__xludf.DUMMYFUNCTION("""COMPUTED_VALUE"""),"недоброжелательные, малоулибчивые")</f>
        <v>недоброжелательные, малоулибчивые</v>
      </c>
      <c r="X358" s="6" t="str">
        <f>IFERROR(__xludf.DUMMYFUNCTION("""COMPUTED_VALUE"""),"-")</f>
        <v>-</v>
      </c>
      <c r="Y358" s="6" t="str">
        <f>IFERROR(__xludf.DUMMYFUNCTION("""COMPUTED_VALUE"""),"-")</f>
        <v>-</v>
      </c>
      <c r="Z358" s="6" t="str">
        <f>IFERROR(__xludf.DUMMYFUNCTION("""COMPUTED_VALUE"""),"-")</f>
        <v>-</v>
      </c>
      <c r="AA358" s="6" t="str">
        <f>IFERROR(__xludf.DUMMYFUNCTION("""COMPUTED_VALUE"""),"-")</f>
        <v>-</v>
      </c>
      <c r="AB358" s="6" t="str">
        <f>IFERROR(__xludf.DUMMYFUNCTION("""COMPUTED_VALUE"""),"-")</f>
        <v>-</v>
      </c>
      <c r="AC358" s="6" t="str">
        <f>IFERROR(__xludf.DUMMYFUNCTION("""COMPUTED_VALUE"""),"-")</f>
        <v>-</v>
      </c>
      <c r="AD358" s="6" t="str">
        <f>IFERROR(__xludf.DUMMYFUNCTION("""COMPUTED_VALUE"""),"-")</f>
        <v>-</v>
      </c>
      <c r="AE358" s="6" t="str">
        <f>IFERROR(__xludf.DUMMYFUNCTION("""COMPUTED_VALUE"""),"Женский")</f>
        <v>Женский</v>
      </c>
      <c r="AF358" s="6" t="str">
        <f>IFERROR(__xludf.DUMMYFUNCTION("""COMPUTED_VALUE"""),"18-29")</f>
        <v>18-29</v>
      </c>
      <c r="AG358" s="6"/>
      <c r="AH358" s="6"/>
      <c r="AI358" s="6"/>
      <c r="AJ358" s="6"/>
      <c r="AK358" s="6"/>
      <c r="AL358" s="6"/>
      <c r="AM358" s="6"/>
    </row>
    <row r="359">
      <c r="A359" s="4">
        <v>358.0</v>
      </c>
      <c r="B359" s="6" t="str">
        <f>IFERROR(__xludf.DUMMYFUNCTION("""COMPUTED_VALUE"""),"Угольное производство")</f>
        <v>Угольное производство</v>
      </c>
      <c r="C359" s="6" t="str">
        <f>IFERROR(__xludf.DUMMYFUNCTION("""COMPUTED_VALUE"""),"Рыбалка")</f>
        <v>Рыбалка</v>
      </c>
      <c r="D359" s="6" t="str">
        <f>IFERROR(__xludf.DUMMYFUNCTION("""COMPUTED_VALUE"""),"ФПК")</f>
        <v>ФПК</v>
      </c>
      <c r="E359" s="6" t="str">
        <f>IFERROR(__xludf.DUMMYFUNCTION("""COMPUTED_VALUE"""),"Сквер новорождённых")</f>
        <v>Сквер новорождённых</v>
      </c>
      <c r="F359" s="6" t="str">
        <f>IFERROR(__xludf.DUMMYFUNCTION("""COMPUTED_VALUE"""),"Живу здесь с рождения")</f>
        <v>Живу здесь с рождения</v>
      </c>
      <c r="G359" s="6" t="str">
        <f>IFERROR(__xludf.DUMMYFUNCTION("""COMPUTED_VALUE"""),"Набережная, бульвар строителей, парк антошка, гор. сад")</f>
        <v>Набережная, бульвар строителей, парк антошка, гор. сад</v>
      </c>
      <c r="H359" s="6" t="str">
        <f>IFERROR(__xludf.DUMMYFUNCTION("""COMPUTED_VALUE"""),"Уютный, теплый, тихий ")</f>
        <v>Уютный, теплый, тихий </v>
      </c>
      <c r="I359" s="6" t="str">
        <f>IFERROR(__xludf.DUMMYFUNCTION("""COMPUTED_VALUE"""),"-")</f>
        <v>-</v>
      </c>
      <c r="J359" s="6" t="str">
        <f>IFERROR(__xludf.DUMMYFUNCTION("""COMPUTED_VALUE"""),"-")</f>
        <v>-</v>
      </c>
      <c r="K359" s="6" t="str">
        <f>IFERROR(__xludf.DUMMYFUNCTION("""COMPUTED_VALUE"""),"Сосновый бор")</f>
        <v>Сосновый бор</v>
      </c>
      <c r="L359" s="6" t="str">
        <f>IFERROR(__xludf.DUMMYFUNCTION("""COMPUTED_VALUE"""),"-")</f>
        <v>-</v>
      </c>
      <c r="M359" s="6" t="str">
        <f>IFERROR(__xludf.DUMMYFUNCTION("""COMPUTED_VALUE"""),"-")</f>
        <v>-</v>
      </c>
      <c r="N359" s="6" t="str">
        <f>IFERROR(__xludf.DUMMYFUNCTION("""COMPUTED_VALUE"""),"Парки, зелень, кафе, ровные дороги и тратуары, об устроенные детски площадки во дворах")</f>
        <v>Парки, зелень, кафе, ровные дороги и тратуары, об устроенные детски площадки во дворах</v>
      </c>
      <c r="O359" s="6" t="str">
        <f>IFERROR(__xludf.DUMMYFUNCTION("""COMPUTED_VALUE"""),"Благоустроить детские площадки, организовать парковые зоны на ФПК, организовать прямое авиосообщение с крупными облостными центрами европейской части страны")</f>
        <v>Благоустроить детские площадки, организовать парковые зоны на ФПК, организовать прямое авиосообщение с крупными облостными центрами европейской части страны</v>
      </c>
      <c r="P359" s="6" t="str">
        <f>IFERROR(__xludf.DUMMYFUNCTION("""COMPUTED_VALUE"""),"Радио")</f>
        <v>Радио</v>
      </c>
      <c r="Q359" s="6" t="str">
        <f>IFERROR(__xludf.DUMMYFUNCTION("""COMPUTED_VALUE"""),"где вкусно поесть/открытие новых кафе/ресторанов, результаты местных исследований (рейтинги/аналитика/тенденции)")</f>
        <v>где вкусно поесть/открытие новых кафе/ресторанов, результаты местных исследований (рейтинги/аналитика/тенденции)</v>
      </c>
      <c r="R359" s="6" t="str">
        <f>IFERROR(__xludf.DUMMYFUNCTION("""COMPUTED_VALUE"""),"День города, день шахтера")</f>
        <v>День города, день шахтера</v>
      </c>
      <c r="S359" s="6" t="str">
        <f>IFERROR(__xludf.DUMMYFUNCTION("""COMPUTED_VALUE"""),"Нет, не приходилось")</f>
        <v>Нет, не приходилось</v>
      </c>
      <c r="T359" s="6" t="str">
        <f>IFERROR(__xludf.DUMMYFUNCTION("""COMPUTED_VALUE"""),"Река Томь")</f>
        <v>Река Томь</v>
      </c>
      <c r="U359" s="6" t="str">
        <f>IFERROR(__xludf.DUMMYFUNCTION("""COMPUTED_VALUE"""),"Площадь советов, бульвар строителей, цирк")</f>
        <v>Площадь советов, бульвар строителей, цирк</v>
      </c>
      <c r="V359" s="6" t="str">
        <f>IFERROR(__xludf.DUMMYFUNCTION("""COMPUTED_VALUE"""),"Посадили много деревьев")</f>
        <v>Посадили много деревьев</v>
      </c>
      <c r="W359" s="6" t="str">
        <f>IFERROR(__xludf.DUMMYFUNCTION("""COMPUTED_VALUE"""),"Жизнерадостность")</f>
        <v>Жизнерадостность</v>
      </c>
      <c r="X359" s="6" t="str">
        <f>IFERROR(__xludf.DUMMYFUNCTION("""COMPUTED_VALUE"""),"Набережная-ул. Весенняя")</f>
        <v>Набережная-ул. Весенняя</v>
      </c>
      <c r="Y359" s="6" t="str">
        <f>IFERROR(__xludf.DUMMYFUNCTION("""COMPUTED_VALUE"""),"-")</f>
        <v>-</v>
      </c>
      <c r="Z359" s="6" t="str">
        <f>IFERROR(__xludf.DUMMYFUNCTION("""COMPUTED_VALUE"""),"-")</f>
        <v>-</v>
      </c>
      <c r="AA359" s="6" t="str">
        <f>IFERROR(__xludf.DUMMYFUNCTION("""COMPUTED_VALUE"""),"-")</f>
        <v>-</v>
      </c>
      <c r="AB359" s="6" t="str">
        <f>IFERROR(__xludf.DUMMYFUNCTION("""COMPUTED_VALUE"""),"-")</f>
        <v>-</v>
      </c>
      <c r="AC359" s="6" t="str">
        <f>IFERROR(__xludf.DUMMYFUNCTION("""COMPUTED_VALUE"""),"Праздничные фестивали")</f>
        <v>Праздничные фестивали</v>
      </c>
      <c r="AD359" s="6" t="str">
        <f>IFERROR(__xludf.DUMMYFUNCTION("""COMPUTED_VALUE"""),"-")</f>
        <v>-</v>
      </c>
      <c r="AE359" s="6" t="str">
        <f>IFERROR(__xludf.DUMMYFUNCTION("""COMPUTED_VALUE"""),"Мужской")</f>
        <v>Мужской</v>
      </c>
      <c r="AF359" s="6" t="str">
        <f>IFERROR(__xludf.DUMMYFUNCTION("""COMPUTED_VALUE"""),"30-44")</f>
        <v>30-44</v>
      </c>
      <c r="AG359" s="6"/>
      <c r="AH359" s="6"/>
      <c r="AI359" s="6"/>
      <c r="AJ359" s="6"/>
      <c r="AK359" s="6"/>
      <c r="AL359" s="6"/>
      <c r="AM359" s="6"/>
    </row>
    <row r="360">
      <c r="A360" s="4">
        <v>359.0</v>
      </c>
      <c r="B360" s="6" t="str">
        <f>IFERROR(__xludf.DUMMYFUNCTION("""COMPUTED_VALUE"""),"Фитнес тренер ")</f>
        <v>Фитнес тренер </v>
      </c>
      <c r="C360" s="6" t="str">
        <f>IFERROR(__xludf.DUMMYFUNCTION("""COMPUTED_VALUE"""),"Путешествия")</f>
        <v>Путешествия</v>
      </c>
      <c r="D360" s="6" t="str">
        <f>IFERROR(__xludf.DUMMYFUNCTION("""COMPUTED_VALUE"""),"Центральный")</f>
        <v>Центральный</v>
      </c>
      <c r="E360" s="6" t="str">
        <f>IFERROR(__xludf.DUMMYFUNCTION("""COMPUTED_VALUE"""),"Пионерский бульвар, Кемерово Сити, комсомольский, площадь советов, набережная, филармония, весенняя, гор. сад, театр драмы ")</f>
        <v>Пионерский бульвар, Кемерово Сити, комсомольский, площадь советов, набережная, филармония, весенняя, гор. сад, театр драмы </v>
      </c>
      <c r="F360" s="6" t="str">
        <f>IFERROR(__xludf.DUMMYFUNCTION("""COMPUTED_VALUE"""),"Родился здесь,но сейчас живу в другом городе")</f>
        <v>Родился здесь,но сейчас живу в другом городе</v>
      </c>
      <c r="G360" s="6" t="str">
        <f>IFERROR(__xludf.DUMMYFUNCTION("""COMPUTED_VALUE"""),"Набережная, советский, кемпинг вдоль Томи, дача, надпись кузбасс ")</f>
        <v>Набережная, советский, кемпинг вдоль Томи, дача, надпись кузбасс </v>
      </c>
      <c r="H360" s="6" t="str">
        <f>IFERROR(__xludf.DUMMYFUNCTION("""COMPUTED_VALUE"""),"Заводы, столица, кемерун, кемчик, ")</f>
        <v>Заводы, столица, кемерун, кемчик, </v>
      </c>
      <c r="I360" s="6" t="str">
        <f>IFERROR(__xludf.DUMMYFUNCTION("""COMPUTED_VALUE"""),"Тулеев, волков, Леонов, тиннькоф")</f>
        <v>Тулеев, волков, Леонов, тиннькоф</v>
      </c>
      <c r="J360" s="6" t="str">
        <f>IFERROR(__xludf.DUMMYFUNCTION("""COMPUTED_VALUE"""),"Леонов, Тулеев, Леонов")</f>
        <v>Леонов, Тулеев, Леонов</v>
      </c>
      <c r="K360" s="6" t="str">
        <f>IFERROR(__xludf.DUMMYFUNCTION("""COMPUTED_VALUE"""),"Надпись Кузбасс, проспект советский, площадь советов, набережная, вид на город с Лысой горы")</f>
        <v>Надпись Кузбасс, проспект советский, площадь советов, набережная, вид на город с Лысой горы</v>
      </c>
      <c r="L360" s="6" t="str">
        <f>IFERROR(__xludf.DUMMYFUNCTION("""COMPUTED_VALUE"""),"Называю не Кемерово, а Камерун ")</f>
        <v>Называю не Кемерово, а Камерун </v>
      </c>
      <c r="M360" s="6" t="str">
        <f>IFERROR(__xludf.DUMMYFUNCTION("""COMPUTED_VALUE"""),"Вехотка, мультифора, колба")</f>
        <v>Вехотка, мультифора, колба</v>
      </c>
      <c r="N360" s="6" t="str">
        <f>IFERROR(__xludf.DUMMYFUNCTION("""COMPUTED_VALUE"""),"Уровень зп, инфраструктура, уровень медицины, уровень образования, уровень преступности")</f>
        <v>Уровень зп, инфраструктура, уровень медицины, уровень образования, уровень преступности</v>
      </c>
      <c r="O360" s="6" t="str">
        <f>IFERROR(__xludf.DUMMYFUNCTION("""COMPUTED_VALUE"""),"УБРАТЬ ОТВРАТИТЕЛЬНЫЕ ЧАСТНИКИ В ЦЕНТРЕ СТОЛИЦЫ КУЗБАССА, также уберите эти ужасные провода для троллейбусов и перейдите на электро бусы, убрать заводы и тюрьмы с территории города")</f>
        <v>УБРАТЬ ОТВРАТИТЕЛЬНЫЕ ЧАСТНИКИ В ЦЕНТРЕ СТОЛИЦЫ КУЗБАССА, также уберите эти ужасные провода для троллейбусов и перейдите на электро бусы, убрать заводы и тюрьмы с территории города</v>
      </c>
      <c r="P360" s="6" t="str">
        <f>IFERROR(__xludf.DUMMYFUNCTION("""COMPUTED_VALUE"""),"Типичный кемерово, инцидент кемерово, а42, все42")</f>
        <v>Типичный кемерово, инцидент кемерово, а42, все42</v>
      </c>
      <c r="Q360"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360" s="6" t="str">
        <f>IFERROR(__xludf.DUMMYFUNCTION("""COMPUTED_VALUE"""),"День победы, день города, нг, 300 лет")</f>
        <v>День победы, день города, нг, 300 лет</v>
      </c>
      <c r="S360" s="6" t="str">
        <f>IFERROR(__xludf.DUMMYFUNCTION("""COMPUTED_VALUE"""),"Через социальные сети (Какие? Укажите в графе другое), Вконтакте")</f>
        <v>Через социальные сети (Какие? Укажите в графе другое), Вконтакте</v>
      </c>
      <c r="T360" s="6" t="str">
        <f>IFERROR(__xludf.DUMMYFUNCTION("""COMPUTED_VALUE"""),"Зимней вишней, тулеевым, углем, очень зеленый город")</f>
        <v>Зимней вишней, тулеевым, углем, очень зеленый город</v>
      </c>
      <c r="U360" s="6" t="str">
        <f>IFERROR(__xludf.DUMMYFUNCTION("""COMPUTED_VALUE"""),"Площадь советов, советский, весення")</f>
        <v>Площадь советов, советский, весення</v>
      </c>
      <c r="V360" s="6" t="str">
        <f>IFERROR(__xludf.DUMMYFUNCTION("""COMPUTED_VALUE"""),"Не знаю ")</f>
        <v>Не знаю </v>
      </c>
      <c r="W360" s="6" t="str">
        <f>IFERROR(__xludf.DUMMYFUNCTION("""COMPUTED_VALUE"""),"Ворчливые, негативные, придирчивые")</f>
        <v>Ворчливые, негативные, придирчивые</v>
      </c>
      <c r="X360" s="6" t="str">
        <f>IFERROR(__xludf.DUMMYFUNCTION("""COMPUTED_VALUE"""),"Советский , набережная ")</f>
        <v>Советский , набережная </v>
      </c>
      <c r="Y360" s="6" t="str">
        <f>IFERROR(__xludf.DUMMYFUNCTION("""COMPUTED_VALUE"""),"Чемпионат по бенди, рок концерт, зимняя вишня")</f>
        <v>Чемпионат по бенди, рок концерт, зимняя вишня</v>
      </c>
      <c r="Z360" s="6" t="str">
        <f>IFERROR(__xludf.DUMMYFUNCTION("""COMPUTED_VALUE"""),"Рок концерт ")</f>
        <v>Рок концерт </v>
      </c>
      <c r="AA360" s="6" t="str">
        <f>IFERROR(__xludf.DUMMYFUNCTION("""COMPUTED_VALUE"""),"Зимняя вишня")</f>
        <v>Зимняя вишня</v>
      </c>
      <c r="AB360" s="6" t="str">
        <f>IFERROR(__xludf.DUMMYFUNCTION("""COMPUTED_VALUE"""),"Культурных")</f>
        <v>Культурных</v>
      </c>
      <c r="AC360" s="6" t="str">
        <f>IFERROR(__xludf.DUMMYFUNCTION("""COMPUTED_VALUE"""),"Концертов, выставок, конференций, спортивных событий")</f>
        <v>Концертов, выставок, конференций, спортивных событий</v>
      </c>
      <c r="AD360" s="6" t="str">
        <f>IFERROR(__xludf.DUMMYFUNCTION("""COMPUTED_VALUE"""),"Креативный директор, арт-менеджер")</f>
        <v>Креативный директор, арт-менеджер</v>
      </c>
      <c r="AE360" s="6" t="str">
        <f>IFERROR(__xludf.DUMMYFUNCTION("""COMPUTED_VALUE"""),"Мужской")</f>
        <v>Мужской</v>
      </c>
      <c r="AF360" s="6" t="str">
        <f>IFERROR(__xludf.DUMMYFUNCTION("""COMPUTED_VALUE"""),"18-29")</f>
        <v>18-29</v>
      </c>
      <c r="AG360" s="6"/>
      <c r="AH360" s="6"/>
      <c r="AI360" s="6"/>
      <c r="AJ360" s="6"/>
      <c r="AK360" s="6"/>
      <c r="AL360" s="6"/>
      <c r="AM360" s="6"/>
    </row>
    <row r="361">
      <c r="A361" s="4">
        <v>360.0</v>
      </c>
      <c r="B361" s="6" t="str">
        <f>IFERROR(__xludf.DUMMYFUNCTION("""COMPUTED_VALUE"""),"Здравоохранение")</f>
        <v>Здравоохранение</v>
      </c>
      <c r="C361" s="6" t="str">
        <f>IFERROR(__xludf.DUMMYFUNCTION("""COMPUTED_VALUE"""),"Велосипед, лыжи, вязание")</f>
        <v>Велосипед, лыжи, вязание</v>
      </c>
      <c r="D361" s="6" t="str">
        <f>IFERROR(__xludf.DUMMYFUNCTION("""COMPUTED_VALUE"""),"Центральный")</f>
        <v>Центральный</v>
      </c>
      <c r="E361" s="6" t="str">
        <f>IFERROR(__xludf.DUMMYFUNCTION("""COMPUTED_VALUE"""),"Набережная, парк Веры Волошиной")</f>
        <v>Набережная, парк Веры Волошиной</v>
      </c>
      <c r="F361" s="6" t="str">
        <f>IFERROR(__xludf.DUMMYFUNCTION("""COMPUTED_VALUE"""),"Живу здесь с рождения")</f>
        <v>Живу здесь с рождения</v>
      </c>
      <c r="G361" s="6" t="str">
        <f>IFERROR(__xludf.DUMMYFUNCTION("""COMPUTED_VALUE"""),"Сосновый бор, набережная, парк Веры Волошиной ")</f>
        <v>Сосновый бор, набережная, парк Веры Волошиной </v>
      </c>
      <c r="H361" s="6" t="str">
        <f>IFERROR(__xludf.DUMMYFUNCTION("""COMPUTED_VALUE"""),"Родной, уютный, чистый, развивающийся, динамичный ")</f>
        <v>Родной, уютный, чистый, развивающийся, динамичный </v>
      </c>
      <c r="I361" s="6" t="str">
        <f>IFERROR(__xludf.DUMMYFUNCTION("""COMPUTED_VALUE"""),"Волков, Чихачев, Щеглов")</f>
        <v>Волков, Чихачев, Щеглов</v>
      </c>
      <c r="J361" s="6" t="str">
        <f>IFERROR(__xludf.DUMMYFUNCTION("""COMPUTED_VALUE"""),"Михайлов")</f>
        <v>Михайлов</v>
      </c>
      <c r="K361" s="6" t="str">
        <f>IFERROR(__xludf.DUMMYFUNCTION("""COMPUTED_VALUE"""),"Красная горка, набережная")</f>
        <v>Красная горка, набережная</v>
      </c>
      <c r="L361" s="6" t="str">
        <f>IFERROR(__xludf.DUMMYFUNCTION("""COMPUTED_VALUE"""),"Поспешишь людей насмешишь")</f>
        <v>Поспешишь людей насмешишь</v>
      </c>
      <c r="M361" s="6" t="str">
        <f>IFERROR(__xludf.DUMMYFUNCTION("""COMPUTED_VALUE"""),"Не знаю")</f>
        <v>Не знаю</v>
      </c>
      <c r="N361" s="6" t="str">
        <f>IFERROR(__xludf.DUMMYFUNCTION("""COMPUTED_VALUE"""),"Инфраструктура, чистота, не серые дома, развитие, рабочие места")</f>
        <v>Инфраструктура, чистота, не серые дома, развитие, рабочие места</v>
      </c>
      <c r="O361" s="6" t="str">
        <f>IFERROR(__xludf.DUMMYFUNCTION("""COMPUTED_VALUE"""),"Много серых домов")</f>
        <v>Много серых домов</v>
      </c>
      <c r="P361" s="6" t="str">
        <f>IFERROR(__xludf.DUMMYFUNCTION("""COMPUTED_VALUE"""),"Инстаграм")</f>
        <v>Инстаграм</v>
      </c>
      <c r="Q361" s="6" t="str">
        <f>IFERROR(__xludf.DUMMYFUNCTION("""COMPUTED_VALUE"""),"куда пойти в свободное время, интервью с местными политиками, результаты местных исследований (рейтинги/аналитика/тенденции)")</f>
        <v>куда пойти в свободное время, интервью с местными политиками, результаты местных исследований (рейтинги/аналитика/тенденции)</v>
      </c>
      <c r="R361" s="6" t="str">
        <f>IFERROR(__xludf.DUMMYFUNCTION("""COMPUTED_VALUE"""),"9 мая, день города")</f>
        <v>9 мая, день города</v>
      </c>
      <c r="S361" s="6" t="str">
        <f>IFERROR(__xludf.DUMMYFUNCTION("""COMPUTED_VALUE"""),"Нет, не приходилось")</f>
        <v>Нет, не приходилось</v>
      </c>
      <c r="T361" s="6" t="str">
        <f>IFERROR(__xludf.DUMMYFUNCTION("""COMPUTED_VALUE"""),"Красная горка")</f>
        <v>Красная горка</v>
      </c>
      <c r="U361" s="6" t="str">
        <f>IFERROR(__xludf.DUMMYFUNCTION("""COMPUTED_VALUE"""),"Набережная")</f>
        <v>Набережная</v>
      </c>
      <c r="V361" s="6" t="str">
        <f>IFERROR(__xludf.DUMMYFUNCTION("""COMPUTED_VALUE"""),"Успехи в медицине, науке, тыорчествн")</f>
        <v>Успехи в медицине, науке, тыорчествн</v>
      </c>
      <c r="W361" s="6" t="str">
        <f>IFERROR(__xludf.DUMMYFUNCTION("""COMPUTED_VALUE"""),"Разные")</f>
        <v>Разные</v>
      </c>
      <c r="X361" s="6" t="str">
        <f>IFERROR(__xludf.DUMMYFUNCTION("""COMPUTED_VALUE"""),"Набережная")</f>
        <v>Набережная</v>
      </c>
      <c r="Y361" s="6" t="str">
        <f>IFERROR(__xludf.DUMMYFUNCTION("""COMPUTED_VALUE"""),"Затрудняюсь")</f>
        <v>Затрудняюсь</v>
      </c>
      <c r="Z361" s="6" t="str">
        <f>IFERROR(__xludf.DUMMYFUNCTION("""COMPUTED_VALUE"""),"Грандиозное строительство")</f>
        <v>Грандиозное строительство</v>
      </c>
      <c r="AA361" s="6" t="str">
        <f>IFERROR(__xludf.DUMMYFUNCTION("""COMPUTED_VALUE"""),"Затрудняюсь")</f>
        <v>Затрудняюсь</v>
      </c>
      <c r="AB361" s="6" t="str">
        <f>IFERROR(__xludf.DUMMYFUNCTION("""COMPUTED_VALUE"""),"Мне хватает")</f>
        <v>Мне хватает</v>
      </c>
      <c r="AC361" s="6" t="str">
        <f>IFERROR(__xludf.DUMMYFUNCTION("""COMPUTED_VALUE"""),"Хватает")</f>
        <v>Хватает</v>
      </c>
      <c r="AD361" s="6" t="str">
        <f>IFERROR(__xludf.DUMMYFUNCTION("""COMPUTED_VALUE"""),"Зрителя")</f>
        <v>Зрителя</v>
      </c>
      <c r="AE361" s="6" t="str">
        <f>IFERROR(__xludf.DUMMYFUNCTION("""COMPUTED_VALUE"""),"Женский")</f>
        <v>Женский</v>
      </c>
      <c r="AF361" s="6" t="str">
        <f>IFERROR(__xludf.DUMMYFUNCTION("""COMPUTED_VALUE"""),"30-44")</f>
        <v>30-44</v>
      </c>
      <c r="AG361" s="6"/>
      <c r="AH361" s="6"/>
      <c r="AI361" s="6"/>
      <c r="AJ361" s="6"/>
      <c r="AK361" s="6"/>
      <c r="AL361" s="6"/>
      <c r="AM361" s="6"/>
    </row>
    <row r="362">
      <c r="A362" s="4">
        <v>361.0</v>
      </c>
      <c r="B362" s="6" t="str">
        <f>IFERROR(__xludf.DUMMYFUNCTION("""COMPUTED_VALUE"""),"Научный сотрудник")</f>
        <v>Научный сотрудник</v>
      </c>
      <c r="C362" s="6" t="str">
        <f>IFERROR(__xludf.DUMMYFUNCTION("""COMPUTED_VALUE"""),"особо никаких")</f>
        <v>особо никаких</v>
      </c>
      <c r="D362" s="6" t="str">
        <f>IFERROR(__xludf.DUMMYFUNCTION("""COMPUTED_VALUE"""),"Ленинский")</f>
        <v>Ленинский</v>
      </c>
      <c r="E362" s="6" t="str">
        <f>IFERROR(__xludf.DUMMYFUNCTION("""COMPUTED_VALUE"""),"Набережная")</f>
        <v>Набережная</v>
      </c>
      <c r="F36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362" s="6" t="str">
        <f>IFERROR(__xludf.DUMMYFUNCTION("""COMPUTED_VALUE"""),"Работа / магазин, особо никуда не хожу")</f>
        <v>Работа / магазин, особо никуда не хожу</v>
      </c>
      <c r="H362" s="6" t="str">
        <f>IFERROR(__xludf.DUMMYFUNCTION("""COMPUTED_VALUE"""),"Уголь, загрязненный воздух в центре города")</f>
        <v>Уголь, загрязненный воздух в центре города</v>
      </c>
      <c r="I362" s="6" t="str">
        <f>IFERROR(__xludf.DUMMYFUNCTION("""COMPUTED_VALUE"""),"не знаю таковых")</f>
        <v>не знаю таковых</v>
      </c>
      <c r="J362" s="6" t="str">
        <f>IFERROR(__xludf.DUMMYFUNCTION("""COMPUTED_VALUE"""),"Вроде бы про мэра Михайлова неплохо отзывались")</f>
        <v>Вроде бы про мэра Михайлова неплохо отзывались</v>
      </c>
      <c r="K362" s="6" t="str">
        <f>IFERROR(__xludf.DUMMYFUNCTION("""COMPUTED_VALUE"""),"Набережная")</f>
        <v>Набережная</v>
      </c>
      <c r="L362" s="6" t="str">
        <f>IFERROR(__xludf.DUMMYFUNCTION("""COMPUTED_VALUE"""),"не знаю таковых")</f>
        <v>не знаю таковых</v>
      </c>
      <c r="M362" s="6" t="str">
        <f>IFERROR(__xludf.DUMMYFUNCTION("""COMPUTED_VALUE"""),"нет")</f>
        <v>нет</v>
      </c>
      <c r="N362" s="6" t="str">
        <f>IFERROR(__xludf.DUMMYFUNCTION("""COMPUTED_VALUE"""),"Современный общественный транспорт, который ходил бы по расписанию, качественный и своевременный ремонт дорожного полотна, качественная уборка территорий, ")</f>
        <v>Современный общественный транспорт, который ходил бы по расписанию, качественный и своевременный ремонт дорожного полотна, качественная уборка территорий, </v>
      </c>
      <c r="O362" s="6" t="str">
        <f>IFERROR(__xludf.DUMMYFUNCTION("""COMPUTED_VALUE"""),"Сделать объездную дорогу, убрать частный сектор из центра (в районе ул. Сибиряков-Гвардейцев) города ")</f>
        <v>Сделать объездную дорогу, убрать частный сектор из центра (в районе ул. Сибиряков-Гвардейцев) города </v>
      </c>
      <c r="P362" s="6" t="str">
        <f>IFERROR(__xludf.DUMMYFUNCTION("""COMPUTED_VALUE"""),"Яндекс-новости, газета а42, группа ""Типичный Кемерово"" в ВК")</f>
        <v>Яндекс-новости, газета а42, группа "Типичный Кемерово" в ВК</v>
      </c>
      <c r="Q362" s="6" t="str">
        <f>IFERROR(__xludf.DUMMYFUNCTION("""COMPUTED_VALUE"""),"интервью с местными политиками, криминальные новости (происшествия/преступления)")</f>
        <v>интервью с местными политиками, криминальные новости (происшествия/преступления)</v>
      </c>
      <c r="R362" s="6" t="str">
        <f>IFERROR(__xludf.DUMMYFUNCTION("""COMPUTED_VALUE"""),"Крупные концерты как в июле 2019 года")</f>
        <v>Крупные концерты как в июле 2019 года</v>
      </c>
      <c r="S362" s="6" t="str">
        <f>IFERROR(__xludf.DUMMYFUNCTION("""COMPUTED_VALUE"""),"Нет, не приходилось")</f>
        <v>Нет, не приходилось</v>
      </c>
      <c r="T362" s="6" t="str">
        <f>IFERROR(__xludf.DUMMYFUNCTION("""COMPUTED_VALUE"""),"не знаю")</f>
        <v>не знаю</v>
      </c>
      <c r="U362" s="6" t="str">
        <f>IFERROR(__xludf.DUMMYFUNCTION("""COMPUTED_VALUE"""),"площадь советов, парк на Бульваре строителей")</f>
        <v>площадь советов, парк на Бульваре строителей</v>
      </c>
      <c r="V362" s="6" t="str">
        <f>IFERROR(__xludf.DUMMYFUNCTION("""COMPUTED_VALUE"""),"из прошлого не знаю, а со времен Цивелева - масштабные стройки в городе")</f>
        <v>из прошлого не знаю, а со времен Цивелева - масштабные стройки в городе</v>
      </c>
      <c r="W362" s="6" t="str">
        <f>IFERROR(__xludf.DUMMYFUNCTION("""COMPUTED_VALUE"""),"обычные люди")</f>
        <v>обычные люди</v>
      </c>
      <c r="X362" s="6" t="str">
        <f>IFERROR(__xludf.DUMMYFUNCTION("""COMPUTED_VALUE"""),"От Вокзала по Ленина - до бульвара Строителей - до ул. Марковцева")</f>
        <v>От Вокзала по Ленина - до бульвара Строителей - до ул. Марковцева</v>
      </c>
      <c r="Y362" s="6" t="str">
        <f>IFERROR(__xludf.DUMMYFUNCTION("""COMPUTED_VALUE"""),"рок концерт в июле 2019 года")</f>
        <v>рок концерт в июле 2019 года</v>
      </c>
      <c r="Z362" s="6" t="str">
        <f>IFERROR(__xludf.DUMMYFUNCTION("""COMPUTED_VALUE"""),"Концерт в июле 2019 года")</f>
        <v>Концерт в июле 2019 года</v>
      </c>
      <c r="AA362" s="6" t="str">
        <f>IFERROR(__xludf.DUMMYFUNCTION("""COMPUTED_VALUE"""),"Раскопали весь Бульвар строителей")</f>
        <v>Раскопали весь Бульвар строителей</v>
      </c>
      <c r="AB362" s="6" t="str">
        <f>IFERROR(__xludf.DUMMYFUNCTION("""COMPUTED_VALUE"""),"не знаю")</f>
        <v>не знаю</v>
      </c>
      <c r="AC362" s="6" t="str">
        <f>IFERROR(__xludf.DUMMYFUNCTION("""COMPUTED_VALUE"""),"Глобальные концерты с приездом мировых звезд, т.к. очень часто наш город обходится стороной, когда какая-либо зарубежная группа дает тур по России, обычно это города Новосибирск и Красноярск, а Кемерово постоянно пропускают.")</f>
        <v>Глобальные концерты с приездом мировых звезд, т.к. очень часто наш город обходится стороной, когда какая-либо зарубежная группа дает тур по России, обычно это города Новосибирск и Красноярск, а Кемерово постоянно пропускают.</v>
      </c>
      <c r="AD362" s="6" t="str">
        <f>IFERROR(__xludf.DUMMYFUNCTION("""COMPUTED_VALUE"""),"наблюдателя")</f>
        <v>наблюдателя</v>
      </c>
      <c r="AE362" s="6" t="str">
        <f>IFERROR(__xludf.DUMMYFUNCTION("""COMPUTED_VALUE"""),"Мужской")</f>
        <v>Мужской</v>
      </c>
      <c r="AF362" s="6" t="str">
        <f>IFERROR(__xludf.DUMMYFUNCTION("""COMPUTED_VALUE"""),"30-44")</f>
        <v>30-44</v>
      </c>
      <c r="AG362" s="6"/>
      <c r="AH362" s="6"/>
      <c r="AI362" s="6"/>
      <c r="AJ362" s="6"/>
      <c r="AK362" s="6"/>
      <c r="AL362" s="6"/>
      <c r="AM362" s="6"/>
    </row>
    <row r="363">
      <c r="A363" s="4">
        <v>362.0</v>
      </c>
      <c r="B363" s="6" t="str">
        <f>IFERROR(__xludf.DUMMYFUNCTION("""COMPUTED_VALUE"""),"Работа в образовательной организации")</f>
        <v>Работа в образовательной организации</v>
      </c>
      <c r="C363" s="6" t="str">
        <f>IFERROR(__xludf.DUMMYFUNCTION("""COMPUTED_VALUE"""),"Нет")</f>
        <v>Нет</v>
      </c>
      <c r="D363" s="6" t="str">
        <f>IFERROR(__xludf.DUMMYFUNCTION("""COMPUTED_VALUE"""),"Ленинский район")</f>
        <v>Ленинский район</v>
      </c>
      <c r="E363" s="6" t="str">
        <f>IFERROR(__xludf.DUMMYFUNCTION("""COMPUTED_VALUE"""),"Бульвар Строителей")</f>
        <v>Бульвар Строителей</v>
      </c>
      <c r="F363" s="6" t="str">
        <f>IFERROR(__xludf.DUMMYFUNCTION("""COMPUTED_VALUE"""),"Живу здесь с рождения")</f>
        <v>Живу здесь с рождения</v>
      </c>
      <c r="G363" s="6" t="str">
        <f>IFERROR(__xludf.DUMMYFUNCTION("""COMPUTED_VALUE"""),"Набережная")</f>
        <v>Набережная</v>
      </c>
      <c r="H363" s="6" t="str">
        <f>IFERROR(__xludf.DUMMYFUNCTION("""COMPUTED_VALUE"""),"Бор, Весенняя, Площадь Советов, Набережная, Красная горка")</f>
        <v>Бор, Весенняя, Площадь Советов, Набережная, Красная горка</v>
      </c>
      <c r="I363" s="6" t="str">
        <f>IFERROR(__xludf.DUMMYFUNCTION("""COMPUTED_VALUE"""),"Балибалов, Волков")</f>
        <v>Балибалов, Волков</v>
      </c>
      <c r="J363" s="6" t="str">
        <f>IFERROR(__xludf.DUMMYFUNCTION("""COMPUTED_VALUE"""),"Михайлов, Середюк")</f>
        <v>Михайлов, Середюк</v>
      </c>
      <c r="K363" s="6" t="str">
        <f>IFERROR(__xludf.DUMMYFUNCTION("""COMPUTED_VALUE"""),"Набережная")</f>
        <v>Набережная</v>
      </c>
      <c r="L363" s="6" t="str">
        <f>IFERROR(__xludf.DUMMYFUNCTION("""COMPUTED_VALUE"""),"-")</f>
        <v>-</v>
      </c>
      <c r="M363" s="6" t="str">
        <f>IFERROR(__xludf.DUMMYFUNCTION("""COMPUTED_VALUE"""),"-")</f>
        <v>-</v>
      </c>
      <c r="N363" s="6" t="str">
        <f>IFERROR(__xludf.DUMMYFUNCTION("""COMPUTED_VALUE"""),"Транспортные развязки, пешеходные зоны, адаптированные велодорожки")</f>
        <v>Транспортные развязки, пешеходные зоны, адаптированные велодорожки</v>
      </c>
      <c r="O363" s="6" t="str">
        <f>IFERROR(__xludf.DUMMYFUNCTION("""COMPUTED_VALUE"""),"Снести все бараки и частные дома в центре города (Сибиряки-гвардейцев и Приходский проспект). Не город, а деревня какая-то.")</f>
        <v>Снести все бараки и частные дома в центре города (Сибиряки-гвардейцев и Приходский проспект). Не город, а деревня какая-то.</v>
      </c>
      <c r="P363" s="6" t="str">
        <f>IFERROR(__xludf.DUMMYFUNCTION("""COMPUTED_VALUE"""),"Сибдепо, телеканал Россия ")</f>
        <v>Сибдепо, телеканал Россия </v>
      </c>
      <c r="Q363" s="6" t="str">
        <f>IFERROR(__xludf.DUMMYFUNCTION("""COMPUTED_VALUE"""),"где вкусно поесть/открытие новых кафе/ресторанов, городская афиша (кино/театр/концерты), новости про новые профессии/куда поступать/вакансии, результаты местных исследований (рейтинги/аналитика/тенденции)")</f>
        <v>где вкусно поесть/открытие новых кафе/ресторанов, городская афиша (кино/театр/концерты), новости про новые профессии/куда поступать/вакансии, результаты местных исследований (рейтинги/аналитика/тенденции)</v>
      </c>
      <c r="R363" s="6" t="str">
        <f>IFERROR(__xludf.DUMMYFUNCTION("""COMPUTED_VALUE"""),"День города")</f>
        <v>День города</v>
      </c>
      <c r="S363" s="6" t="str">
        <f>IFERROR(__xludf.DUMMYFUNCTION("""COMPUTED_VALUE"""),"Нет, не приходилось")</f>
        <v>Нет, не приходилось</v>
      </c>
      <c r="T363" s="6" t="str">
        <f>IFERROR(__xludf.DUMMYFUNCTION("""COMPUTED_VALUE"""),"Химическое производство, Коксующийся уголь")</f>
        <v>Химическое производство, Коксующийся уголь</v>
      </c>
      <c r="U363" s="6" t="str">
        <f>IFERROR(__xludf.DUMMYFUNCTION("""COMPUTED_VALUE"""),"Советский проспект")</f>
        <v>Советский проспект</v>
      </c>
      <c r="V363" s="6" t="str">
        <f>IFERROR(__xludf.DUMMYFUNCTION("""COMPUTED_VALUE"""),"-")</f>
        <v>-</v>
      </c>
      <c r="W363" s="6" t="str">
        <f>IFERROR(__xludf.DUMMYFUNCTION("""COMPUTED_VALUE"""),"Отзывчивые")</f>
        <v>Отзывчивые</v>
      </c>
      <c r="X363" s="6" t="str">
        <f>IFERROR(__xludf.DUMMYFUNCTION("""COMPUTED_VALUE"""),"Набережная, Весенняя, Советский проспект, Бульвар Строителей")</f>
        <v>Набережная, Весенняя, Советский проспект, Бульвар Строителей</v>
      </c>
      <c r="Y363" s="6" t="str">
        <f>IFERROR(__xludf.DUMMYFUNCTION("""COMPUTED_VALUE"""),"-")</f>
        <v>-</v>
      </c>
      <c r="Z363" s="6" t="str">
        <f>IFERROR(__xludf.DUMMYFUNCTION("""COMPUTED_VALUE"""),"Строительство объектов на Приморском проспекте к 300-летию Кузбасса")</f>
        <v>Строительство объектов на Приморском проспекте к 300-летию Кузбасса</v>
      </c>
      <c r="AA363" s="6" t="str">
        <f>IFERROR(__xludf.DUMMYFUNCTION("""COMPUTED_VALUE"""),"-")</f>
        <v>-</v>
      </c>
      <c r="AB363" s="6" t="str">
        <f>IFERROR(__xludf.DUMMYFUNCTION("""COMPUTED_VALUE"""),"ЛГБТ")</f>
        <v>ЛГБТ</v>
      </c>
      <c r="AC363" s="6" t="str">
        <f>IFERROR(__xludf.DUMMYFUNCTION("""COMPUTED_VALUE"""),"-")</f>
        <v>-</v>
      </c>
      <c r="AD363" s="6" t="str">
        <f>IFERROR(__xludf.DUMMYFUNCTION("""COMPUTED_VALUE"""),"-")</f>
        <v>-</v>
      </c>
      <c r="AE363" s="6" t="str">
        <f>IFERROR(__xludf.DUMMYFUNCTION("""COMPUTED_VALUE"""),"Мужской")</f>
        <v>Мужской</v>
      </c>
      <c r="AF363" s="6" t="str">
        <f>IFERROR(__xludf.DUMMYFUNCTION("""COMPUTED_VALUE"""),"30-44")</f>
        <v>30-44</v>
      </c>
      <c r="AG363" s="6"/>
      <c r="AH363" s="6"/>
      <c r="AI363" s="6"/>
      <c r="AJ363" s="6"/>
      <c r="AK363" s="6"/>
      <c r="AL363" s="6"/>
      <c r="AM363" s="6"/>
    </row>
    <row r="364">
      <c r="A364" s="4">
        <v>363.0</v>
      </c>
      <c r="B364" s="6" t="str">
        <f>IFERROR(__xludf.DUMMYFUNCTION("""COMPUTED_VALUE"""),"Торговля")</f>
        <v>Торговля</v>
      </c>
      <c r="C364" s="6" t="str">
        <f>IFERROR(__xludf.DUMMYFUNCTION("""COMPUTED_VALUE"""),"Кулинария")</f>
        <v>Кулинария</v>
      </c>
      <c r="D364" s="6" t="str">
        <f>IFERROR(__xludf.DUMMYFUNCTION("""COMPUTED_VALUE"""),"Южный. Так и называю")</f>
        <v>Южный. Так и называю</v>
      </c>
      <c r="E364" s="6" t="str">
        <f>IFERROR(__xludf.DUMMYFUNCTION("""COMPUTED_VALUE"""),"Аллея.")</f>
        <v>Аллея.</v>
      </c>
      <c r="F364" s="6" t="str">
        <f>IFERROR(__xludf.DUMMYFUNCTION("""COMPUTED_VALUE"""),"Живу здесь с рождения")</f>
        <v>Живу здесь с рождения</v>
      </c>
      <c r="G364" s="6" t="str">
        <f>IFERROR(__xludf.DUMMYFUNCTION("""COMPUTED_VALUE"""),"Набережная, Весенняя, горсад")</f>
        <v>Набережная, Весенняя, горсад</v>
      </c>
      <c r="H364" s="6" t="str">
        <f>IFERROR(__xludf.DUMMYFUNCTION("""COMPUTED_VALUE"""),"Столица Кузбасса, дом, молодость, работа, тепло")</f>
        <v>Столица Кузбасса, дом, молодость, работа, тепло</v>
      </c>
      <c r="I364" s="6" t="str">
        <f>IFERROR(__xludf.DUMMYFUNCTION("""COMPUTED_VALUE"""),"Мэр Михайлов")</f>
        <v>Мэр Михайлов</v>
      </c>
      <c r="J364" s="6" t="str">
        <f>IFERROR(__xludf.DUMMYFUNCTION("""COMPUTED_VALUE"""),"Мэр Михайлов")</f>
        <v>Мэр Михайлов</v>
      </c>
      <c r="K364" s="6" t="str">
        <f>IFERROR(__xludf.DUMMYFUNCTION("""COMPUTED_VALUE"""),"Набережная, бор, центр у фонтана ")</f>
        <v>Набережная, бор, центр у фонтана </v>
      </c>
      <c r="L364" s="6" t="str">
        <f>IFERROR(__xludf.DUMMYFUNCTION("""COMPUTED_VALUE"""),"Склоняется ли Кемерово ")</f>
        <v>Склоняется ли Кемерово </v>
      </c>
      <c r="M364" s="6" t="str">
        <f>IFERROR(__xludf.DUMMYFUNCTION("""COMPUTED_VALUE"""),"Нет")</f>
        <v>Нет</v>
      </c>
      <c r="N364" s="6" t="str">
        <f>IFERROR(__xludf.DUMMYFUNCTION("""COMPUTED_VALUE"""),"Чистота, инфраструктура,забота о жителях, наличие рабочих мест, перспективность")</f>
        <v>Чистота, инфраструктура,забота о жителях, наличие рабочих мест, перспективность</v>
      </c>
      <c r="O364" s="6" t="str">
        <f>IFERROR(__xludf.DUMMYFUNCTION("""COMPUTED_VALUE"""),"Надо, чтобы не только центр был вылизан, а переферия тоже (ужаснула улица Карболитовская)")</f>
        <v>Надо, чтобы не только центр был вылизан, а переферия тоже (ужаснула улица Карболитовская)</v>
      </c>
      <c r="P364" s="6" t="str">
        <f>IFERROR(__xludf.DUMMYFUNCTION("""COMPUTED_VALUE"""),"Сибдепо, А42")</f>
        <v>Сибдепо, А42</v>
      </c>
      <c r="Q364" s="6" t="str">
        <f>IFERROR(__xludf.DUMMYFUNCTION("""COMPUTED_VALUE"""),"городская афиша (кино/театр/концерты), культурные новинки (что почитать/что послушать), интервью с местными предпринимателями")</f>
        <v>городская афиша (кино/театр/концерты), культурные новинки (что почитать/что послушать), интервью с местными предпринимателями</v>
      </c>
      <c r="R364" s="6" t="str">
        <f>IFERROR(__xludf.DUMMYFUNCTION("""COMPUTED_VALUE"""),"День города")</f>
        <v>День города</v>
      </c>
      <c r="S364" s="6" t="str">
        <f>IFERROR(__xludf.DUMMYFUNCTION("""COMPUTED_VALUE"""),"Нет, не приходилось")</f>
        <v>Нет, не приходилось</v>
      </c>
      <c r="T364" s="6" t="str">
        <f>IFERROR(__xludf.DUMMYFUNCTION("""COMPUTED_VALUE"""),"История")</f>
        <v>История</v>
      </c>
      <c r="U364" s="6" t="str">
        <f>IFERROR(__xludf.DUMMYFUNCTION("""COMPUTED_VALUE"""),"Фонтан")</f>
        <v>Фонтан</v>
      </c>
      <c r="V364" s="6" t="str">
        <f>IFERROR(__xludf.DUMMYFUNCTION("""COMPUTED_VALUE"""),"Построили его")</f>
        <v>Построили его</v>
      </c>
      <c r="W364" s="6" t="str">
        <f>IFERROR(__xludf.DUMMYFUNCTION("""COMPUTED_VALUE"""),"Открытость ")</f>
        <v>Открытость </v>
      </c>
      <c r="X364" s="6" t="str">
        <f>IFERROR(__xludf.DUMMYFUNCTION("""COMPUTED_VALUE"""),"Фонтан-Весенняя-Горсад-Набережная")</f>
        <v>Фонтан-Весенняя-Горсад-Набережная</v>
      </c>
      <c r="Y364" s="6" t="str">
        <f>IFERROR(__xludf.DUMMYFUNCTION("""COMPUTED_VALUE"""),"Увы...")</f>
        <v>Увы...</v>
      </c>
      <c r="Z364" s="6" t="str">
        <f>IFERROR(__xludf.DUMMYFUNCTION("""COMPUTED_VALUE"""),"Увы...")</f>
        <v>Увы...</v>
      </c>
      <c r="AA364" s="6" t="str">
        <f>IFERROR(__xludf.DUMMYFUNCTION("""COMPUTED_VALUE"""),"Лазурный")</f>
        <v>Лазурный</v>
      </c>
      <c r="AB364" s="6" t="str">
        <f>IFERROR(__xludf.DUMMYFUNCTION("""COMPUTED_VALUE"""),"Сообщества ответственных горожан")</f>
        <v>Сообщества ответственных горожан</v>
      </c>
      <c r="AC364" s="6" t="str">
        <f>IFERROR(__xludf.DUMMYFUNCTION("""COMPUTED_VALUE"""),"Концерты, соревнования")</f>
        <v>Концерты, соревнования</v>
      </c>
      <c r="AD364" s="6" t="str">
        <f>IFERROR(__xludf.DUMMYFUNCTION("""COMPUTED_VALUE"""),"Идейный вдохновитель")</f>
        <v>Идейный вдохновитель</v>
      </c>
      <c r="AE364" s="6" t="str">
        <f>IFERROR(__xludf.DUMMYFUNCTION("""COMPUTED_VALUE"""),"Женский")</f>
        <v>Женский</v>
      </c>
      <c r="AF364" s="6" t="str">
        <f>IFERROR(__xludf.DUMMYFUNCTION("""COMPUTED_VALUE"""),"30-44")</f>
        <v>30-44</v>
      </c>
      <c r="AG364" s="6"/>
      <c r="AH364" s="6"/>
      <c r="AI364" s="6"/>
      <c r="AJ364" s="6"/>
      <c r="AK364" s="6"/>
      <c r="AL364" s="6"/>
      <c r="AM364" s="6"/>
    </row>
    <row r="365">
      <c r="A365" s="4">
        <v>364.0</v>
      </c>
      <c r="B365" s="6" t="str">
        <f>IFERROR(__xludf.DUMMYFUNCTION("""COMPUTED_VALUE"""),"Пою, танцую и лицедействую в музыкальном театре")</f>
        <v>Пою, танцую и лицедействую в музыкальном театре</v>
      </c>
      <c r="C365" s="6" t="str">
        <f>IFERROR(__xludf.DUMMYFUNCTION("""COMPUTED_VALUE"""),"Фитнес, бег, танцы, велосипед, горные походы, укулеле")</f>
        <v>Фитнес, бег, танцы, велосипед, горные походы, укулеле</v>
      </c>
      <c r="D365" s="6" t="str">
        <f>IFERROR(__xludf.DUMMYFUNCTION("""COMPUTED_VALUE"""),"Ленинский")</f>
        <v>Ленинский</v>
      </c>
      <c r="E365" s="6" t="str">
        <f>IFERROR(__xludf.DUMMYFUNCTION("""COMPUTED_VALUE"""),"Бульвар, озеро, парк у Юбилейного, зона у кадетского корпуса, ботаническая тропа в Сухово вдоль озера")</f>
        <v>Бульвар, озеро, парк у Юбилейного, зона у кадетского корпуса, ботаническая тропа в Сухово вдоль озера</v>
      </c>
      <c r="F365" s="6" t="str">
        <f>IFERROR(__xludf.DUMMYFUNCTION("""COMPUTED_VALUE"""),"Живу здесь с рождения")</f>
        <v>Живу здесь с рождения</v>
      </c>
      <c r="G365" s="6" t="str">
        <f>IFERROR(__xludf.DUMMYFUNCTION("""COMPUTED_VALUE"""),"Набережная, озеро, видовая поляна в Сухово, бор, тайга в Лесной поляне")</f>
        <v>Набережная, озеро, видовая поляна в Сухово, бор, тайга в Лесной поляне</v>
      </c>
      <c r="H365" s="6" t="str">
        <f>IFERROR(__xludf.DUMMYFUNCTION("""COMPUTED_VALUE"""),"Пыльный, компактный, убогий в архитектуре, хвойный, запрещающий ")</f>
        <v>Пыльный, компактный, убогий в архитектуре, хвойный, запрещающий </v>
      </c>
      <c r="I365" s="6" t="str">
        <f>IFERROR(__xludf.DUMMYFUNCTION("""COMPUTED_VALUE"""),"Леонов")</f>
        <v>Леонов</v>
      </c>
      <c r="J365" s="6" t="str">
        <f>IFERROR(__xludf.DUMMYFUNCTION("""COMPUTED_VALUE"""),"Гришковец (хотя, про ""равняются горожане"" весьма спорная формулировка), Тиньков (хоть и не Кемеровчанин, но весьма отличительный)")</f>
        <v>Гришковец (хотя, про "равняются горожане" весьма спорная формулировка), Тиньков (хоть и не Кемеровчанин, но весьма отличительный)</v>
      </c>
      <c r="K365" s="6" t="str">
        <f>IFERROR(__xludf.DUMMYFUNCTION("""COMPUTED_VALUE"""),"Скалы в Пещерке, Клумба Спейс, парк ангелов")</f>
        <v>Скалы в Пещерке, Клумба Спейс, парк ангелов</v>
      </c>
      <c r="L365" s="6" t="str">
        <f>IFERROR(__xludf.DUMMYFUNCTION("""COMPUTED_VALUE"""),"Есть легенда, что ссыльные, строившие дома в центре выложили ""жопа"" на фасаде дома. Забавно. ")</f>
        <v>Есть легенда, что ссыльные, строившие дома в центре выложили "жопа" на фасаде дома. Забавно. </v>
      </c>
      <c r="M365" s="6" t="str">
        <f>IFERROR(__xludf.DUMMYFUNCTION("""COMPUTED_VALUE"""),"Нет")</f>
        <v>Нет</v>
      </c>
      <c r="N365" s="6" t="str">
        <f>IFERROR(__xludf.DUMMYFUNCTION("""COMPUTED_VALUE"""),"1 чистота и культура чистоты у людей
2 доступность транспорта и соответствующая инфраструктура (отремонтированные дороги, в т. ч. пешеходные, велодорожки)
3 безопасность от наркоманов, алкоголиков и лихачей (идеально, если идущая снизу культура зож будет "&amp;"поддерживаться сверху)
4 большая свобода в творческой реализации и самовыражения
5 поддержка экологии")</f>
        <v>1 чистота и культура чистоты у людей
2 доступность транспорта и соответствующая инфраструктура (отремонтированные дороги, в т. ч. пешеходные, велодорожки)
3 безопасность от наркоманов, алкоголиков и лихачей (идеально, если идущая снизу культура зож будет поддерживаться сверху)
4 большая свобода в творческой реализации и самовыражения
5 поддержка экологии</v>
      </c>
      <c r="O365" s="6" t="str">
        <f>IFERROR(__xludf.DUMMYFUNCTION("""COMPUTED_VALUE"""),"Отказаться от уродливых колорблоков в новых постройках (все эти аляповатые разноцветные садики и дома выглядят ужасно, как только эти проекты проходят одобрение архитектурных советов..), оставить уникальные места, создающие настроение города (я сейчас про"&amp;" фасад Харатс, который собираются убить к 300-летию города), отремонтировать уже внутренние центральные дворы, а не только шлифовать их фасады, очень хочется, чтобы там, где что-то ремонтировали после ремонта убирали вырытую землю, закатывали аккуратно от"&amp;"ломанный асфальт, а не оставляли все как есть, приваленное щебенкой и кое-как закопанное. Убрать бы слона с набережной и прочие уродливые экспонаты по городу, лучше вместо них бы деревья садили, если место хочется чем-то обозначить. ")</f>
        <v>Отказаться от уродливых колорблоков в новых постройках (все эти аляповатые разноцветные садики и дома выглядят ужасно, как только эти проекты проходят одобрение архитектурных советов..), оставить уникальные места, создающие настроение города (я сейчас про фасад Харатс, который собираются убить к 300-летию города), отремонтировать уже внутренние центральные дворы, а не только шлифовать их фасады, очень хочется, чтобы там, где что-то ремонтировали после ремонта убирали вырытую землю, закатывали аккуратно отломанный асфальт, а не оставляли все как есть, приваленное щебенкой и кое-как закопанное. Убрать бы слона с набережной и прочие уродливые экспонаты по городу, лучше вместо них бы деревья садили, если место хочется чем-то обозначить. </v>
      </c>
      <c r="P365" s="6" t="str">
        <f>IFERROR(__xludf.DUMMYFUNCTION("""COMPUTED_VALUE"""),"Инстаграм конкретных мест, клумбы, Харатс, бара Релоад, сайты театров, афиша кино кемерово")</f>
        <v>Инстаграм конкретных мест, клумбы, Харатс, бара Релоад, сайты театров, афиша кино кемерово</v>
      </c>
      <c r="Q365" s="6" t="str">
        <f>IFERROR(__xludf.DUMMYFUNCTION("""COMPUTED_VALUE"""),"куда пойти в свободное время, интервью с местными творческими личностями, Забеги и велозаезды")</f>
        <v>куда пойти в свободное время, интервью с местными творческими личностями, Забеги и велозаезды</v>
      </c>
      <c r="R365" s="6" t="str">
        <f>IFERROR(__xludf.DUMMYFUNCTION("""COMPUTED_VALUE"""),"Никакие, в последнее время хочется от шума этих праздников уехать подальше на природу")</f>
        <v>Никакие, в последнее время хочется от шума этих праздников уехать подальше на природу</v>
      </c>
      <c r="S365" s="6" t="str">
        <f>IFERROR(__xludf.DUMMYFUNCTION("""COMPUTED_VALUE"""),"Нет, не приходилось")</f>
        <v>Нет, не приходилось</v>
      </c>
      <c r="T365" s="6" t="str">
        <f>IFERROR(__xludf.DUMMYFUNCTION("""COMPUTED_VALUE"""),"Известен благодаря БГ и его песне, может, знают ещё как шахтерский регион, после событий вишни печально известен. У нас уникальный бор в 400 га в центре города - это ценно (лишь бы не испортил никто), вообще, природа интересная для тех, кто знает, что пок"&amp;"азать. ")</f>
        <v>Известен благодаря БГ и его песне, может, знают ещё как шахтерский регион, после событий вишни печально известен. У нас уникальный бор в 400 га в центре города - это ценно (лишь бы не испортил никто), вообще, природа интересная для тех, кто знает, что показать. </v>
      </c>
      <c r="U365" s="6" t="str">
        <f>IFERROR(__xludf.DUMMYFUNCTION("""COMPUTED_VALUE"""),"Набережная-Весенняя, район от Кирова до искитимки и от Томи до Красноармейской")</f>
        <v>Набережная-Весенняя, район от Кирова до искитимки и от Томи до Красноармейской</v>
      </c>
      <c r="V365" s="6" t="str">
        <f>IFERROR(__xludf.DUMMYFUNCTION("""COMPUTED_VALUE"""),"Гудлайновцы сосны садили - это оч. классная инициатива, Экодвор энтузиасты создали")</f>
        <v>Гудлайновцы сосны садили - это оч. классная инициатива, Экодвор энтузиасты создали</v>
      </c>
      <c r="W365" s="6" t="str">
        <f>IFERROR(__xludf.DUMMYFUNCTION("""COMPUTED_VALUE"""),"Делай то, что можешь в тех условиях, в которых находишься")</f>
        <v>Делай то, что можешь в тех условиях, в которых находишься</v>
      </c>
      <c r="X365" s="6" t="str">
        <f>IFERROR(__xludf.DUMMYFUNCTION("""COMPUTED_VALUE"""),"Велосипедный (а вообще, смотря кому и с какой целью показывать город  и какие у этого человека интересы) ")</f>
        <v>Велосипедный (а вообще, смотря кому и с какой целью показывать город  и какие у этого человека интересы) </v>
      </c>
      <c r="Y365" s="6" t="str">
        <f>IFERROR(__xludf.DUMMYFUNCTION("""COMPUTED_VALUE"""),"Не могу припомнить")</f>
        <v>Не могу припомнить</v>
      </c>
      <c r="Z365" s="6" t="str">
        <f>IFERROR(__xludf.DUMMYFUNCTION("""COMPUTED_VALUE"""),"Экодвор, массовые забеги и велозаезды, летние спортивные инициативы на открытом воздухе, красивый был ледяной городок и снежная деревня на советах до пандемии")</f>
        <v>Экодвор, массовые забеги и велозаезды, летние спортивные инициативы на открытом воздухе, красивый был ледяной городок и снежная деревня на советах до пандемии</v>
      </c>
      <c r="AA365" s="6" t="str">
        <f>IFERROR(__xludf.DUMMYFUNCTION("""COMPUTED_VALUE"""),"Резкое противостояние политической оппозиции с массовыми стояниями милиции па площади, отменой транспорта (будто на работу никому не нужно), вообще, вся эта некрасивая ситуация с Навальным и его соратниками, особенно на фоне новости о том, что парень заби"&amp;"л насмерть свою девушку, а милиция не приезжала на настоятельные и многократные звонки соседей о криках. А недавно ехала с работы в автобусе и зашли 2 по виду, наркомана на каких-то активных наркотиках, были общительны, гипервозбуждены, неадекватны, вышли"&amp;" на остановке со мной, было страшно. ")</f>
        <v>Резкое противостояние политической оппозиции с массовыми стояниями милиции па площади, отменой транспорта (будто на работу никому не нужно), вообще, вся эта некрасивая ситуация с Навальным и его соратниками, особенно на фоне новости о том, что парень забил насмерть свою девушку, а милиция не приезжала на настоятельные и многократные звонки соседей о криках. А недавно ехала с работы в автобусе и зашли 2 по виду, наркомана на каких-то активных наркотиках, были общительны, гипервозбуждены, неадекватны, вышли на остановке со мной, было страшно. </v>
      </c>
      <c r="AB365" s="6" t="str">
        <f>IFERROR(__xludf.DUMMYFUNCTION("""COMPUTED_VALUE"""),"Чего-то централизованного туристического, чтобы можно было учиться у специалистов, ходить с 100%обученными людьми, получить корочки, повышать навыки(мед.помощь, работа в связке и со снаряжением, ориентирование и пр.) ")</f>
        <v>Чего-то централизованного туристического, чтобы можно было учиться у специалистов, ходить с 100%обученными людьми, получить корочки, повышать навыки(мед.помощь, работа в связке и со снаряжением, ориентирование и пр.) </v>
      </c>
      <c r="AC365" s="6" t="str">
        <f>IFERROR(__xludf.DUMMYFUNCTION("""COMPUTED_VALUE"""),"Классно было, когда проходил театральный фестиваль уличных театров, так же круто было, когда делали Арбат на весенней с мастер-классами, каждый базар с Paper-shop  был стильным и атмосферным событием")</f>
        <v>Классно было, когда проходил театральный фестиваль уличных театров, так же круто было, когда делали Арбат на весенней с мастер-классами, каждый базар с Paper-shop  был стильным и атмосферным событием</v>
      </c>
      <c r="AD365" s="6" t="str">
        <f>IFERROR(__xludf.DUMMYFUNCTION("""COMPUTED_VALUE"""),"Пассивной 😅")</f>
        <v>Пассивной 😅</v>
      </c>
      <c r="AE365" s="6" t="str">
        <f>IFERROR(__xludf.DUMMYFUNCTION("""COMPUTED_VALUE"""),"Женский")</f>
        <v>Женский</v>
      </c>
      <c r="AF365" s="6" t="str">
        <f>IFERROR(__xludf.DUMMYFUNCTION("""COMPUTED_VALUE"""),"30-44")</f>
        <v>30-44</v>
      </c>
      <c r="AG365" s="6"/>
      <c r="AH365" s="6"/>
      <c r="AI365" s="6"/>
      <c r="AJ365" s="6"/>
      <c r="AK365" s="6"/>
      <c r="AL365" s="6"/>
      <c r="AM365" s="6"/>
    </row>
    <row r="366">
      <c r="A366" s="4">
        <v>365.0</v>
      </c>
      <c r="B366" s="6" t="str">
        <f>IFERROR(__xludf.DUMMYFUNCTION("""COMPUTED_VALUE"""),"фитнес-тренер")</f>
        <v>фитнес-тренер</v>
      </c>
      <c r="C366" s="6" t="str">
        <f>IFERROR(__xludf.DUMMYFUNCTION("""COMPUTED_VALUE"""),"Чтение, спорт (тренажерный зал, плавание, катание на велосипеде)")</f>
        <v>Чтение, спорт (тренажерный зал, плавание, катание на велосипеде)</v>
      </c>
      <c r="D366" s="6" t="str">
        <f>IFERROR(__xludf.DUMMYFUNCTION("""COMPUTED_VALUE"""),"Центральный. Центр")</f>
        <v>Центральный. Центр</v>
      </c>
      <c r="E366" s="6" t="str">
        <f>IFERROR(__xludf.DUMMYFUNCTION("""COMPUTED_VALUE"""),"Площадь Советов, набережная")</f>
        <v>Площадь Советов, набережная</v>
      </c>
      <c r="F366" s="6" t="str">
        <f>IFERROR(__xludf.DUMMYFUNCTION("""COMPUTED_VALUE"""),"Живу здесь с рождения")</f>
        <v>Живу здесь с рождения</v>
      </c>
      <c r="G366" s="6" t="str">
        <f>IFERROR(__xludf.DUMMYFUNCTION("""COMPUTED_VALUE"""),"В основном гуляю по пр. Советскому, ул. Весенней, набережной. иногда в Бору")</f>
        <v>В основном гуляю по пр. Советскому, ул. Весенней, набережной. иногда в Бору</v>
      </c>
      <c r="H366" s="6" t="str">
        <f>IFERROR(__xludf.DUMMYFUNCTION("""COMPUTED_VALUE"""),"Столица, надпись Кузбасс, Сосновый Бор, зеленый город, комфорт")</f>
        <v>Столица, надпись Кузбасс, Сосновый Бор, зеленый город, комфорт</v>
      </c>
      <c r="I366" s="6" t="str">
        <f>IFERROR(__xludf.DUMMYFUNCTION("""COMPUTED_VALUE"""),"Леонов")</f>
        <v>Леонов</v>
      </c>
      <c r="J366" s="6" t="str">
        <f>IFERROR(__xludf.DUMMYFUNCTION("""COMPUTED_VALUE"""),"Тулеев А.Г.")</f>
        <v>Тулеев А.Г.</v>
      </c>
      <c r="K366" s="6" t="str">
        <f>IFERROR(__xludf.DUMMYFUNCTION("""COMPUTED_VALUE"""),"Красная горка, Сосновый Бор. У нас очень мало достопримечательностей. ")</f>
        <v>Красная горка, Сосновый Бор. У нас очень мало достопримечательностей. </v>
      </c>
      <c r="L366" s="6" t="str">
        <f>IFERROR(__xludf.DUMMYFUNCTION("""COMPUTED_VALUE"""),"Таких не знаю")</f>
        <v>Таких не знаю</v>
      </c>
      <c r="M366" s="6" t="str">
        <f>IFERROR(__xludf.DUMMYFUNCTION("""COMPUTED_VALUE"""),"Нет")</f>
        <v>Нет</v>
      </c>
      <c r="N366" s="6" t="str">
        <f>IFERROR(__xludf.DUMMYFUNCTION("""COMPUTED_VALUE"""),"1.Шаговая доступность всех необходимых ресурсов - аптеки, больницы, супермаркеты и тп.
2. Наличие хороших ТЦ с развитыми сетевыми и брендовыми магазинами (пока таких нет)
3. развитая дорожная сеть с удобными и просторными парковками
4. Развитое ЖД и авиа "&amp;"сообщение. (к сожалению, наш город - тупик, из которого очень непросто и очень дорого уехать)
5. Наличие разнообразных скверов, парков, мест общественного отдыха с уникальным дизайном и интересными решениями (пока только Парк Ангелов, но таких должно быть"&amp;" больше)")</f>
        <v>1.Шаговая доступность всех необходимых ресурсов - аптеки, больницы, супермаркеты и тп.
2. Наличие хороших ТЦ с развитыми сетевыми и брендовыми магазинами (пока таких нет)
3. развитая дорожная сеть с удобными и просторными парковками
4. Развитое ЖД и авиа сообщение. (к сожалению, наш город - тупик, из которого очень непросто и очень дорого уехать)
5. Наличие разнообразных скверов, парков, мест общественного отдыха с уникальным дизайном и интересными решениями (пока только Парк Ангелов, но таких должно быть больше)</v>
      </c>
      <c r="O366" s="6" t="str">
        <f>IFERROR(__xludf.DUMMYFUNCTION("""COMPUTED_VALUE"""),"Необходимо в первую очередь переделать Набережную. Ведь это символ нашего города! Сравните с Тюменью, Екатеринбургом. Да хотя бы Красноярском. Наша Набережная морально и физически давно устарела! 
Очень не хватает красивых скверов и парков европейского ви"&amp;"да.")</f>
        <v>Необходимо в первую очередь переделать Набережную. Ведь это символ нашего города! Сравните с Тюменью, Екатеринбургом. Да хотя бы Красноярском. Наша Набережная морально и физически давно устарела! 
Очень не хватает красивых скверов и парков европейского вида.</v>
      </c>
      <c r="P366" s="6" t="str">
        <f>IFERROR(__xludf.DUMMYFUNCTION("""COMPUTED_VALUE"""),"Газета А42, Инцидент Кемерово (ВК), Типичный Кемерово (ВК)")</f>
        <v>Газета А42, Инцидент Кемерово (ВК), Типичный Кемерово (ВК)</v>
      </c>
      <c r="Q366" s="6" t="str">
        <f>IFERROR(__xludf.DUMMYFUNCTION("""COMPUTED_VALUE"""),"где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криминальные новости (происшествия/преступления), интервью с экспертами на разные т"&amp;"емы (напишите в разделе Другое свои предложения)")</f>
        <v>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криминальные новости (происшествия/преступления), интервью с экспертами на разные темы (напишите в разделе Другое свои предложения)</v>
      </c>
      <c r="R366" s="6" t="str">
        <f>IFERROR(__xludf.DUMMYFUNCTION("""COMPUTED_VALUE"""),"Это, безусловно, 9 мая и Новый Год. ")</f>
        <v>Это, безусловно, 9 мая и Новый Год. </v>
      </c>
      <c r="S366" s="6" t="str">
        <f>IFERROR(__xludf.DUMMYFUNCTION("""COMPUTED_VALUE"""),"Нет, не приходилось")</f>
        <v>Нет, не приходилось</v>
      </c>
      <c r="T366" s="6" t="str">
        <f>IFERROR(__xludf.DUMMYFUNCTION("""COMPUTED_VALUE"""),"К сожалению, пока что ничего уникального в городе нет. Просто это довольно комфортный для повседневной жизни город. ")</f>
        <v>К сожалению, пока что ничего уникального в городе нет. Просто это довольно комфортный для повседневной жизни город. </v>
      </c>
      <c r="U366" s="6" t="str">
        <f>IFERROR(__xludf.DUMMYFUNCTION("""COMPUTED_VALUE"""),"ул. Весенняя и Набережная")</f>
        <v>ул. Весенняя и Набережная</v>
      </c>
      <c r="V366" s="6" t="str">
        <f>IFERROR(__xludf.DUMMYFUNCTION("""COMPUTED_VALUE"""),"Наш город был всегда одним из самых ухоженных (чистые дороги и тротуары), общественные туалеты, нарядным в период праздников.")</f>
        <v>Наш город был всегда одним из самых ухоженных (чистые дороги и тротуары), общественные туалеты, нарядным в период праздников.</v>
      </c>
      <c r="W366" s="6" t="str">
        <f>IFERROR(__xludf.DUMMYFUNCTION("""COMPUTED_VALUE"""),"Равнодушные, уставшие, временами хмурые и грубоватые. ")</f>
        <v>Равнодушные, уставшие, временами хмурые и грубоватые. </v>
      </c>
      <c r="X366" s="6" t="str">
        <f>IFERROR(__xludf.DUMMYFUNCTION("""COMPUTED_VALUE"""),"Гулять можно только в Центре - пр. Советский, Набережная, Весенняя, Парк Ангелов. В остальных районах тускло и уныло. ")</f>
        <v>Гулять можно только в Центре - пр. Советский, Набережная, Весенняя, Парк Ангелов. В остальных районах тускло и уныло. </v>
      </c>
      <c r="Y366" s="6" t="str">
        <f>IFERROR(__xludf.DUMMYFUNCTION("""COMPUTED_VALUE"""),"Чемпионат по бенди 2007")</f>
        <v>Чемпионат по бенди 2007</v>
      </c>
      <c r="Z366" s="6" t="str">
        <f>IFERROR(__xludf.DUMMYFUNCTION("""COMPUTED_VALUE"""),"Строительство Кластера Искусств, ремонт набережной Искитимки и Томи, строительство новых спортивных центров, ремонт пешеходной зоны на пр-те Ленина")</f>
        <v>Строительство Кластера Искусств, ремонт набережной Искитимки и Томи, строительство новых спортивных центров, ремонт пешеходной зоны на пр-те Ленина</v>
      </c>
      <c r="AA366" s="6" t="str">
        <f>IFERROR(__xludf.DUMMYFUNCTION("""COMPUTED_VALUE"""),"Взрыв в приюте для животных (я считаю, что город должен больше помогать таким приютам), плохая уборка снега, перестали посыпать скользкие участки песком! Стало больше мусора")</f>
        <v>Взрыв в приюте для животных (я считаю, что город должен больше помогать таким приютам), плохая уборка снега, перестали посыпать скользкие участки песком! Стало больше мусора</v>
      </c>
      <c r="AB366" s="6" t="str">
        <f>IFERROR(__xludf.DUMMYFUNCTION("""COMPUTED_VALUE"""),"Всего хватает")</f>
        <v>Всего хватает</v>
      </c>
      <c r="AC366" s="6" t="str">
        <f>IFERROR(__xludf.DUMMYFUNCTION("""COMPUTED_VALUE"""),"Нужны не мероприятия, а повышение уровня комфорта города")</f>
        <v>Нужны не мероприятия, а повышение уровня комфорта города</v>
      </c>
      <c r="AD366" s="6" t="str">
        <f>IFERROR(__xludf.DUMMYFUNCTION("""COMPUTED_VALUE"""),"участвую в заполнении этой анкеты")</f>
        <v>участвую в заполнении этой анкеты</v>
      </c>
      <c r="AE366" s="6" t="str">
        <f>IFERROR(__xludf.DUMMYFUNCTION("""COMPUTED_VALUE"""),"Женский")</f>
        <v>Женский</v>
      </c>
      <c r="AF366" s="6" t="str">
        <f>IFERROR(__xludf.DUMMYFUNCTION("""COMPUTED_VALUE"""),"30-44")</f>
        <v>30-44</v>
      </c>
      <c r="AG366" s="6"/>
      <c r="AH366" s="6"/>
      <c r="AI366" s="6"/>
      <c r="AJ366" s="6"/>
      <c r="AK366" s="6"/>
      <c r="AL366" s="6"/>
      <c r="AM366" s="6"/>
    </row>
    <row r="367">
      <c r="A367" s="4">
        <v>366.0</v>
      </c>
      <c r="B367" s="6" t="str">
        <f>IFERROR(__xludf.DUMMYFUNCTION("""COMPUTED_VALUE"""),"работник в отрасли горнодобывающей промышленности")</f>
        <v>работник в отрасли горнодобывающей промышленности</v>
      </c>
      <c r="C367" s="6" t="str">
        <f>IFERROR(__xludf.DUMMYFUNCTION("""COMPUTED_VALUE"""),"веб инженерия")</f>
        <v>веб инженерия</v>
      </c>
      <c r="D367" s="6" t="str">
        <f>IFERROR(__xludf.DUMMYFUNCTION("""COMPUTED_VALUE"""),"Рудничный/Помойка")</f>
        <v>Рудничный/Помойка</v>
      </c>
      <c r="E367" s="6" t="str">
        <f>IFERROR(__xludf.DUMMYFUNCTION("""COMPUTED_VALUE"""),"Полуразваленная набережная, разбитые дороги в центре, разваливающиеся здания в центре города, новый спортивный комплекс строящийся на берегу Томи")</f>
        <v>Полуразваленная набережная, разбитые дороги в центре, разваливающиеся здания в центре города, новый спортивный комплекс строящийся на берегу Томи</v>
      </c>
      <c r="F367" s="6" t="str">
        <f>IFERROR(__xludf.DUMMYFUNCTION("""COMPUTED_VALUE"""),"Переехал сюда из другого места (откуда? укажите в графе другое), Переехал из Новокузнецка(про отличную транспортную систему от Новокузнечан(Новокузнечиков) привет пламенный)")</f>
        <v>Переехал сюда из другого места (откуда? укажите в графе другое), Переехал из Новокузнецка(про отличную транспортную систему от Новокузнечан(Новокузнечиков) привет пламенный)</v>
      </c>
      <c r="G367" s="6" t="str">
        <f>IFERROR(__xludf.DUMMYFUNCTION("""COMPUTED_VALUE"""),"Где не размыло таящим снегом дорогу(вокруг дома)")</f>
        <v>Где не размыло таящим снегом дорогу(вокруг дома)</v>
      </c>
      <c r="H367" s="6" t="str">
        <f>IFERROR(__xludf.DUMMYFUNCTION("""COMPUTED_VALUE"""),"Лицемерие, разруха, безработица, отмыв денег на всем(больше вышло, но знаю, о чем говорю)
")</f>
        <v>Лицемерие, разруха, безработица, отмыв денег на всем(больше вышло, но знаю, о чем говорю)
</v>
      </c>
      <c r="I367" s="6" t="str">
        <f>IFERROR(__xludf.DUMMYFUNCTION("""COMPUTED_VALUE"""),"Архитектор Шанин")</f>
        <v>Архитектор Шанин</v>
      </c>
      <c r="J367" s="6" t="str">
        <f>IFERROR(__xludf.DUMMYFUNCTION("""COMPUTED_VALUE"""),"Александр Головин. Ну да, из области, но из Кемеровской. Ну и играет в Монако, потому что тут спорт выборочно любят как-то.")</f>
        <v>Александр Головин. Ну да, из области, но из Кемеровской. Ну и играет в Монако, потому что тут спорт выборочно любят как-то.</v>
      </c>
      <c r="K367" s="6" t="str">
        <f>IFERROR(__xludf.DUMMYFUNCTION("""COMPUTED_VALUE"""),"Все долгострои как памятник удачному отмыву денег")</f>
        <v>Все долгострои как памятник удачному отмыву денег</v>
      </c>
      <c r="L367" s="6" t="str">
        <f>IFERROR(__xludf.DUMMYFUNCTION("""COMPUTED_VALUE"""),"Дают - бери, бьют - беги")</f>
        <v>Дают - бери, бьют - беги</v>
      </c>
      <c r="M367" s="6" t="str">
        <f>IFERROR(__xludf.DUMMYFUNCTION("""COMPUTED_VALUE"""),"""Че к чему"", ""Че каво"", ""Маленько"", ""Повешать"".")</f>
        <v>"Че к чему", "Че каво", "Маленько", "Повешать".</v>
      </c>
      <c r="N367" s="6" t="str">
        <f>IFERROR(__xludf.DUMMYFUNCTION("""COMPUTED_VALUE"""),"Наличие хотя бы одного спорткомплекса на район(я не про тренажерные залы в жилищных домах, когда бежишь на дорожке, а соседи сверху молятся, чтобы ты быстрее похудел), хотя бы один круглосуточный гипермаркет(опять же, кроме водочных и закусочных, если мож"&amp;"но), общественный транспорт, если можно, хотя бы до 12 часов в отдаленные районы тоже ")</f>
        <v>Наличие хотя бы одного спорткомплекса на район(я не про тренажерные залы в жилищных домах, когда бежишь на дорожке, а соседи сверху молятся, чтобы ты быстрее похудел), хотя бы один круглосуточный гипермаркет(опять же, кроме водочных и закусочных, если можно), общественный транспорт, если можно, хотя бы до 12 часов в отдаленные районы тоже </v>
      </c>
      <c r="O367" s="6" t="str">
        <f>IFERROR(__xludf.DUMMYFUNCTION("""COMPUTED_VALUE"""),"Реконструкция старых зданий и ветхих сооружений НЕ только лицевой стороной к дороге.")</f>
        <v>Реконструкция старых зданий и ветхих сооружений НЕ только лицевой стороной к дороге.</v>
      </c>
      <c r="P367" s="6" t="str">
        <f>IFERROR(__xludf.DUMMYFUNCTION("""COMPUTED_VALUE"""),"Сарафанное радио(интересного тут только либо кто-то разбился либо кто-то удачно отмыл много денег)")</f>
        <v>Сарафанное радио(интересного тут только либо кто-то разбился либо кто-то удачно отмыл много денег)</v>
      </c>
      <c r="Q367" s="6" t="str">
        <f>IFERROR(__xludf.DUMMYFUNCTION("""COMPUTED_VALUE"""),"интервью с местными предпринимателями, криминальные новости (происшествия/преступления), результаты местных исследований (рейтинги/аналитика/тенденции)")</f>
        <v>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367" s="6" t="str">
        <f>IFERROR(__xludf.DUMMYFUNCTION("""COMPUTED_VALUE"""),"300 летие Кузбасса.")</f>
        <v>300 летие Кузбасса.</v>
      </c>
      <c r="S367" s="6" t="str">
        <f>IFERROR(__xludf.DUMMYFUNCTION("""COMPUTED_VALUE"""),"Делал рассылку по электронной почте")</f>
        <v>Делал рассылку по электронной почте</v>
      </c>
      <c r="T367" s="6" t="str">
        <f>IFERROR(__xludf.DUMMYFUNCTION("""COMPUTED_VALUE"""),"Печально известная Зимняя Вишня")</f>
        <v>Печально известная Зимняя Вишня</v>
      </c>
      <c r="U367" s="6" t="str">
        <f>IFERROR(__xludf.DUMMYFUNCTION("""COMPUTED_VALUE"""),"см. 19 вопрос")</f>
        <v>см. 19 вопрос</v>
      </c>
      <c r="V367" s="6" t="str">
        <f>IFERROR(__xludf.DUMMYFUNCTION("""COMPUTED_VALUE"""),"Уехали из этого славного города и говорили о нем находясь подальше от него")</f>
        <v>Уехали из этого славного города и говорили о нем находясь подальше от него</v>
      </c>
      <c r="W367" s="6" t="str">
        <f>IFERROR(__xludf.DUMMYFUNCTION("""COMPUTED_VALUE"""),"Добродушные, открытые, отзывчивые, терпеливые")</f>
        <v>Добродушные, открытые, отзывчивые, терпеливые</v>
      </c>
      <c r="X367" s="6" t="str">
        <f>IFERROR(__xludf.DUMMYFUNCTION("""COMPUTED_VALUE"""),"От выхода аэропорта крюк по парковке и на вход на посадку.")</f>
        <v>От выхода аэропорта крюк по парковке и на вход на посадку.</v>
      </c>
      <c r="Y367" s="6" t="str">
        <f>IFERROR(__xludf.DUMMYFUNCTION("""COMPUTED_VALUE"""),"см. 19 вопрос.")</f>
        <v>см. 19 вопрос.</v>
      </c>
      <c r="Z367" s="6" t="str">
        <f>IFERROR(__xludf.DUMMYFUNCTION("""COMPUTED_VALUE"""),"никаких")</f>
        <v>никаких</v>
      </c>
      <c r="AA367" s="6" t="str">
        <f>IFERROR(__xludf.DUMMYFUNCTION("""COMPUTED_VALUE"""),"никаких")</f>
        <v>никаких</v>
      </c>
      <c r="AB367" s="6" t="str">
        <f>IFERROR(__xludf.DUMMYFUNCTION("""COMPUTED_VALUE"""),"Автоспорт, киберспорт")</f>
        <v>Автоспорт, киберспорт</v>
      </c>
      <c r="AC367" s="6" t="str">
        <f>IFERROR(__xludf.DUMMYFUNCTION("""COMPUTED_VALUE"""),"Любые.")</f>
        <v>Любые.</v>
      </c>
      <c r="AD367" s="6" t="str">
        <f>IFERROR(__xludf.DUMMYFUNCTION("""COMPUTED_VALUE"""),"Организатором различных мероприятий(меня не хотят слушать, у меня правда-правда есть несколько шикарных идей)")</f>
        <v>Организатором различных мероприятий(меня не хотят слушать, у меня правда-правда есть несколько шикарных идей)</v>
      </c>
      <c r="AE367" s="6" t="str">
        <f>IFERROR(__xludf.DUMMYFUNCTION("""COMPUTED_VALUE"""),"Мужской")</f>
        <v>Мужской</v>
      </c>
      <c r="AF367" s="6" t="str">
        <f>IFERROR(__xludf.DUMMYFUNCTION("""COMPUTED_VALUE"""),"18-29")</f>
        <v>18-29</v>
      </c>
      <c r="AG367" s="6"/>
      <c r="AH367" s="6"/>
      <c r="AI367" s="6"/>
      <c r="AJ367" s="6"/>
      <c r="AK367" s="6"/>
      <c r="AL367" s="6"/>
      <c r="AM367" s="6"/>
    </row>
    <row r="368">
      <c r="A368" s="4">
        <v>367.0</v>
      </c>
      <c r="B368" s="6" t="str">
        <f>IFERROR(__xludf.DUMMYFUNCTION("""COMPUTED_VALUE"""),"безработный")</f>
        <v>безработный</v>
      </c>
      <c r="C368" s="6" t="str">
        <f>IFERROR(__xludf.DUMMYFUNCTION("""COMPUTED_VALUE"""),"нет")</f>
        <v>нет</v>
      </c>
      <c r="D368" s="6" t="str">
        <f>IFERROR(__xludf.DUMMYFUNCTION("""COMPUTED_VALUE"""),"Ленинский")</f>
        <v>Ленинский</v>
      </c>
      <c r="E368" s="6" t="str">
        <f>IFERROR(__xludf.DUMMYFUNCTION("""COMPUTED_VALUE"""),"Таких мест нет")</f>
        <v>Таких мест нет</v>
      </c>
      <c r="F368"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368" s="6" t="str">
        <f>IFERROR(__xludf.DUMMYFUNCTION("""COMPUTED_VALUE"""),"Никуда")</f>
        <v>Никуда</v>
      </c>
      <c r="H368" s="6" t="str">
        <f>IFERROR(__xludf.DUMMYFUNCTION("""COMPUTED_VALUE"""),"Очень бедный, грубый, грязный, опасный, зона отчуждения")</f>
        <v>Очень бедный, грубый, грязный, опасный, зона отчуждения</v>
      </c>
      <c r="I368" s="6" t="str">
        <f>IFERROR(__xludf.DUMMYFUNCTION("""COMPUTED_VALUE"""),"Вера Волошина")</f>
        <v>Вера Волошина</v>
      </c>
      <c r="J368" s="6" t="str">
        <f>IFERROR(__xludf.DUMMYFUNCTION("""COMPUTED_VALUE"""),"Таких нет")</f>
        <v>Таких нет</v>
      </c>
      <c r="K368" s="6" t="str">
        <f>IFERROR(__xludf.DUMMYFUNCTION("""COMPUTED_VALUE"""),"Никакие")</f>
        <v>Никакие</v>
      </c>
      <c r="L368" s="6" t="str">
        <f>IFERROR(__xludf.DUMMYFUNCTION("""COMPUTED_VALUE"""),"Добро пожаловать в город пожаров")</f>
        <v>Добро пожаловать в город пожаров</v>
      </c>
      <c r="M368" s="6" t="str">
        <f>IFERROR(__xludf.DUMMYFUNCTION("""COMPUTED_VALUE"""),"Нет")</f>
        <v>Нет</v>
      </c>
      <c r="N368" s="6" t="str">
        <f>IFERROR(__xludf.DUMMYFUNCTION("""COMPUTED_VALUE"""),"Экология, безопасность, благосостояние, культурный уровень, свобода")</f>
        <v>Экология, безопасность, благосостояние, культурный уровень, свобода</v>
      </c>
      <c r="O368" s="6" t="str">
        <f>IFERROR(__xludf.DUMMYFUNCTION("""COMPUTED_VALUE"""),"Вероятно, город нужно отстроить заново: сейчас он выглядит как после военных действий")</f>
        <v>Вероятно, город нужно отстроить заново: сейчас он выглядит как после военных действий</v>
      </c>
      <c r="P368" s="6" t="str">
        <f>IFERROR(__xludf.DUMMYFUNCTION("""COMPUTED_VALUE"""),"СМИ")</f>
        <v>СМИ</v>
      </c>
      <c r="Q368" s="6" t="str">
        <f>IFERROR(__xludf.DUMMYFUNCTION("""COMPUTED_VALUE"""),"криминальные новости (происшествия/преступления)")</f>
        <v>криминальные новости (происшествия/преступления)</v>
      </c>
      <c r="R368" s="6" t="str">
        <f>IFERROR(__xludf.DUMMYFUNCTION("""COMPUTED_VALUE"""),"Таких нет")</f>
        <v>Таких нет</v>
      </c>
      <c r="S368" s="6" t="str">
        <f>IFERROR(__xludf.DUMMYFUNCTION("""COMPUTED_VALUE"""),"Релизы международных мероприятий Китай - Россия")</f>
        <v>Релизы международных мероприятий Китай - Россия</v>
      </c>
      <c r="T368" s="6" t="str">
        <f>IFERROR(__xludf.DUMMYFUNCTION("""COMPUTED_VALUE"""),"Город, безнаказанно сжегший детей")</f>
        <v>Город, безнаказанно сжегший детей</v>
      </c>
      <c r="U368" s="6" t="str">
        <f>IFERROR(__xludf.DUMMYFUNCTION("""COMPUTED_VALUE"""),"Парк Ангелов")</f>
        <v>Парк Ангелов</v>
      </c>
      <c r="V368" s="6" t="str">
        <f>IFERROR(__xludf.DUMMYFUNCTION("""COMPUTED_VALUE"""),"Ничего")</f>
        <v>Ничего</v>
      </c>
      <c r="W368" s="6" t="str">
        <f>IFERROR(__xludf.DUMMYFUNCTION("""COMPUTED_VALUE"""),"Грубость, вульгарность, невоспитанность, маргинальность, необразованность")</f>
        <v>Грубость, вульгарность, невоспитанность, маргинальность, необразованность</v>
      </c>
      <c r="X368" s="6" t="str">
        <f>IFERROR(__xludf.DUMMYFUNCTION("""COMPUTED_VALUE"""),"Таких маршрутов нет")</f>
        <v>Таких маршрутов нет</v>
      </c>
      <c r="Y368" s="6" t="str">
        <f>IFERROR(__xludf.DUMMYFUNCTION("""COMPUTED_VALUE"""),"Пожар")</f>
        <v>Пожар</v>
      </c>
      <c r="Z368" s="6" t="str">
        <f>IFERROR(__xludf.DUMMYFUNCTION("""COMPUTED_VALUE"""),"Никакие")</f>
        <v>Никакие</v>
      </c>
      <c r="AA368" s="6" t="str">
        <f>IFERROR(__xludf.DUMMYFUNCTION("""COMPUTED_VALUE"""),"Пожар")</f>
        <v>Пожар</v>
      </c>
      <c r="AB368" s="6" t="str">
        <f>IFERROR(__xludf.DUMMYFUNCTION("""COMPUTED_VALUE"""),"Никаких")</f>
        <v>Никаких</v>
      </c>
      <c r="AC368" s="6" t="str">
        <f>IFERROR(__xludf.DUMMYFUNCTION("""COMPUTED_VALUE"""),"Для таких событий нужен город, а его нет")</f>
        <v>Для таких событий нужен город, а его нет</v>
      </c>
      <c r="AD368" s="6" t="str">
        <f>IFERROR(__xludf.DUMMYFUNCTION("""COMPUTED_VALUE"""),"В этом городе не хотел бы")</f>
        <v>В этом городе не хотел бы</v>
      </c>
      <c r="AE368" s="6" t="str">
        <f>IFERROR(__xludf.DUMMYFUNCTION("""COMPUTED_VALUE"""),"Мужской")</f>
        <v>Мужской</v>
      </c>
      <c r="AF368" s="6" t="str">
        <f>IFERROR(__xludf.DUMMYFUNCTION("""COMPUTED_VALUE"""),"45-55")</f>
        <v>45-55</v>
      </c>
      <c r="AG368" s="6"/>
      <c r="AH368" s="6"/>
      <c r="AI368" s="6"/>
      <c r="AJ368" s="6"/>
      <c r="AK368" s="6"/>
      <c r="AL368" s="6"/>
      <c r="AM368" s="6"/>
    </row>
    <row r="369">
      <c r="A369" s="4">
        <v>368.0</v>
      </c>
      <c r="B369" s="6" t="str">
        <f>IFERROR(__xludf.DUMMYFUNCTION("""COMPUTED_VALUE"""),"Медицина")</f>
        <v>Медицина</v>
      </c>
      <c r="C369" s="6" t="str">
        <f>IFERROR(__xludf.DUMMYFUNCTION("""COMPUTED_VALUE"""),"Путешествия")</f>
        <v>Путешествия</v>
      </c>
      <c r="D369" s="6" t="str">
        <f>IFERROR(__xludf.DUMMYFUNCTION("""COMPUTED_VALUE"""),"Заводский")</f>
        <v>Заводский</v>
      </c>
      <c r="E369" s="6" t="str">
        <f>IFERROR(__xludf.DUMMYFUNCTION("""COMPUTED_VALUE"""),"Раньше был ботанический сад, теперь ничего")</f>
        <v>Раньше был ботанический сад, теперь ничего</v>
      </c>
      <c r="F369" s="6" t="str">
        <f>IFERROR(__xludf.DUMMYFUNCTION("""COMPUTED_VALUE"""),"Живу здесь с рождения")</f>
        <v>Живу здесь с рождения</v>
      </c>
      <c r="G369" s="6" t="str">
        <f>IFERROR(__xludf.DUMMYFUNCTION("""COMPUTED_VALUE"""),"На набережную Томи")</f>
        <v>На набережную Томи</v>
      </c>
      <c r="H369" s="6" t="str">
        <f>IFERROR(__xludf.DUMMYFUNCTION("""COMPUTED_VALUE"""),"Уютный, компактный, красивый, удобный для прогулок, молодеющий")</f>
        <v>Уютный, компактный, красивый, удобный для прогулок, молодеющий</v>
      </c>
      <c r="I369" s="6" t="str">
        <f>IFERROR(__xludf.DUMMYFUNCTION("""COMPUTED_VALUE"""),"Подгорбуский, Горбунова, Раздаев")</f>
        <v>Подгорбуский, Горбунова, Раздаев</v>
      </c>
      <c r="J369" s="6" t="str">
        <f>IFERROR(__xludf.DUMMYFUNCTION("""COMPUTED_VALUE"""),"Не знаю.")</f>
        <v>Не знаю.</v>
      </c>
      <c r="K369" s="6" t="str">
        <f>IFERROR(__xludf.DUMMYFUNCTION("""COMPUTED_VALUE"""),"Набережная")</f>
        <v>Набережная</v>
      </c>
      <c r="L369" s="6" t="str">
        <f>IFERROR(__xludf.DUMMYFUNCTION("""COMPUTED_VALUE"""),"Не знаю")</f>
        <v>Не знаю</v>
      </c>
      <c r="M369" s="6" t="str">
        <f>IFERROR(__xludf.DUMMYFUNCTION("""COMPUTED_VALUE"""),"Нет")</f>
        <v>Нет</v>
      </c>
      <c r="N369" s="6" t="str">
        <f>IFERROR(__xludf.DUMMYFUNCTION("""COMPUTED_VALUE"""),"Чистота, доступность мест для прогулок, развитая социальная инфраструктура, хорошие пешие и автомобильные дороги")</f>
        <v>Чистота, доступность мест для прогулок, развитая социальная инфраструктура, хорошие пешие и автомобильные дороги</v>
      </c>
      <c r="O369" s="6" t="str">
        <f>IFERROR(__xludf.DUMMYFUNCTION("""COMPUTED_VALUE"""),"Придомовые территории")</f>
        <v>Придомовые территории</v>
      </c>
      <c r="P369" s="6" t="str">
        <f>IFERROR(__xludf.DUMMYFUNCTION("""COMPUTED_VALUE"""),"Нет ответа")</f>
        <v>Нет ответа</v>
      </c>
      <c r="Q369" s="6" t="str">
        <f>IFERROR(__xludf.DUMMYFUNCTION("""COMPUTED_VALUE"""),"городская афиша (кино/театр/концерты)")</f>
        <v>городская афиша (кино/театр/концерты)</v>
      </c>
      <c r="R369" s="6" t="str">
        <f>IFERROR(__xludf.DUMMYFUNCTION("""COMPUTED_VALUE"""),"День города")</f>
        <v>День города</v>
      </c>
      <c r="S369" s="6" t="str">
        <f>IFERROR(__xludf.DUMMYFUNCTION("""COMPUTED_VALUE"""),"Нет, не приходилось")</f>
        <v>Нет, не приходилось</v>
      </c>
      <c r="T369" s="6" t="str">
        <f>IFERROR(__xludf.DUMMYFUNCTION("""COMPUTED_VALUE"""),"Раньше был крупный промышленный центр, теперь только печально известной ""зимней вишней"" и постоянно ускоряющейся убылью населения. ")</f>
        <v>Раньше был крупный промышленный центр, теперь только печально известной "зимней вишней" и постоянно ускоряющейся убылью населения. </v>
      </c>
      <c r="U369" s="6" t="str">
        <f>IFERROR(__xludf.DUMMYFUNCTION("""COMPUTED_VALUE"""),"Набережная Томи, городской сад.")</f>
        <v>Набережная Томи, городской сад.</v>
      </c>
      <c r="V369" s="6" t="str">
        <f>IFERROR(__xludf.DUMMYFUNCTION("""COMPUTED_VALUE"""),"Пока была работа, работали и гордились своими трудовыми достижениями.")</f>
        <v>Пока была работа, работали и гордились своими трудовыми достижениями.</v>
      </c>
      <c r="W369" s="6" t="str">
        <f>IFERROR(__xludf.DUMMYFUNCTION("""COMPUTED_VALUE"""),"Нет ответа")</f>
        <v>Нет ответа</v>
      </c>
      <c r="X369" s="6" t="str">
        <f>IFERROR(__xludf.DUMMYFUNCTION("""COMPUTED_VALUE"""),"Крутых маршрутов нет")</f>
        <v>Крутых маршрутов нет</v>
      </c>
      <c r="Y369" s="6" t="str">
        <f>IFERROR(__xludf.DUMMYFUNCTION("""COMPUTED_VALUE"""),"Чемпионаты по хоккею с мячом в 70-е и 2000-е.")</f>
        <v>Чемпионаты по хоккею с мячом в 70-е и 2000-е.</v>
      </c>
      <c r="Z369" s="6" t="str">
        <f>IFERROR(__xludf.DUMMYFUNCTION("""COMPUTED_VALUE"""),"Нет таких")</f>
        <v>Нет таких</v>
      </c>
      <c r="AA369" s="6" t="str">
        <f>IFERROR(__xludf.DUMMYFUNCTION("""COMPUTED_VALUE"""),"Нет ответа")</f>
        <v>Нет ответа</v>
      </c>
      <c r="AB369" s="6" t="str">
        <f>IFERROR(__xludf.DUMMYFUNCTION("""COMPUTED_VALUE"""),"Нет ответа")</f>
        <v>Нет ответа</v>
      </c>
      <c r="AC369" s="6" t="str">
        <f>IFERROR(__xludf.DUMMYFUNCTION("""COMPUTED_VALUE"""),"Нет ответа")</f>
        <v>Нет ответа</v>
      </c>
      <c r="AD369" s="6" t="str">
        <f>IFERROR(__xludf.DUMMYFUNCTION("""COMPUTED_VALUE"""),"Участника")</f>
        <v>Участника</v>
      </c>
      <c r="AE369" s="6" t="str">
        <f>IFERROR(__xludf.DUMMYFUNCTION("""COMPUTED_VALUE"""),"Женский")</f>
        <v>Женский</v>
      </c>
      <c r="AF369" s="6" t="str">
        <f>IFERROR(__xludf.DUMMYFUNCTION("""COMPUTED_VALUE"""),"45-55")</f>
        <v>45-55</v>
      </c>
      <c r="AG369" s="6"/>
      <c r="AH369" s="6"/>
      <c r="AI369" s="6"/>
      <c r="AJ369" s="6"/>
      <c r="AK369" s="6"/>
      <c r="AL369" s="6"/>
      <c r="AM369" s="6"/>
    </row>
    <row r="370">
      <c r="A370" s="4">
        <v>369.0</v>
      </c>
      <c r="B370" s="6" t="str">
        <f>IFERROR(__xludf.DUMMYFUNCTION("""COMPUTED_VALUE"""),"Страхование")</f>
        <v>Страхование</v>
      </c>
      <c r="C370" s="6" t="str">
        <f>IFERROR(__xludf.DUMMYFUNCTION("""COMPUTED_VALUE"""),"Велосипед")</f>
        <v>Велосипед</v>
      </c>
      <c r="D370" s="6" t="str">
        <f>IFERROR(__xludf.DUMMYFUNCTION("""COMPUTED_VALUE"""),"Ленинский")</f>
        <v>Ленинский</v>
      </c>
      <c r="E370" s="6" t="str">
        <f>IFERROR(__xludf.DUMMYFUNCTION("""COMPUTED_VALUE"""),"Мечеть, Лента, Леруа, Красное озеро")</f>
        <v>Мечеть, Лента, Леруа, Красное озеро</v>
      </c>
      <c r="F370" s="6" t="str">
        <f>IFERROR(__xludf.DUMMYFUNCTION("""COMPUTED_VALUE"""),"Живу здесь с рождения")</f>
        <v>Живу здесь с рождения</v>
      </c>
      <c r="G370" s="6" t="str">
        <f>IFERROR(__xludf.DUMMYFUNCTION("""COMPUTED_VALUE"""),"Томская Писаница, набережная, баня Бодрость, ")</f>
        <v>Томская Писаница, набережная, баня Бодрость, </v>
      </c>
      <c r="H370" s="6" t="str">
        <f>IFERROR(__xludf.DUMMYFUNCTION("""COMPUTED_VALUE"""),"Хорошие дороги. воздух, который видно и который скрипит на зубах. Транспортный тупик. Дистрикт 12 из «Голодных игр». Оранжевый светофор ")</f>
        <v>Хорошие дороги. воздух, который видно и который скрипит на зубах. Транспортный тупик. Дистрикт 12 из «Голодных игр». Оранжевый светофор </v>
      </c>
      <c r="I370" s="6" t="str">
        <f>IFERROR(__xludf.DUMMYFUNCTION("""COMPUTED_VALUE"""),"Волков, Тулеев, Михайлов, ")</f>
        <v>Волков, Тулеев, Михайлов, </v>
      </c>
      <c r="J370" s="6" t="str">
        <f>IFERROR(__xludf.DUMMYFUNCTION("""COMPUTED_VALUE"""),"Михайлов, Тулеев, Федяев, Бочкарев")</f>
        <v>Михайлов, Тулеев, Федяев, Бочкарев</v>
      </c>
      <c r="K370" s="6" t="str">
        <f>IFERROR(__xludf.DUMMYFUNCTION("""COMPUTED_VALUE"""),"Бар Белочка, Азотовское кольцо, памятник шахтерам на Красной горке. ")</f>
        <v>Бар Белочка, Азотовское кольцо, памятник шахтерам на Красной горке. </v>
      </c>
      <c r="L370" s="6" t="str">
        <f>IFERROR(__xludf.DUMMYFUNCTION("""COMPUTED_VALUE"""),"Кто последний будет уезжать из города навсегда, не забудьте выключить свет в аэропорту. ")</f>
        <v>Кто последний будет уезжать из города навсегда, не забудьте выключить свет в аэропорту. </v>
      </c>
      <c r="M370" s="6" t="str">
        <f>IFERROR(__xludf.DUMMYFUNCTION("""COMPUTED_VALUE"""),"Мультифора. Дубльгис. Шанхай (Шалготарьян). ")</f>
        <v>Мультифора. Дубльгис. Шанхай (Шалготарьян). </v>
      </c>
      <c r="N370" s="6" t="str">
        <f>IFERROR(__xludf.DUMMYFUNCTION("""COMPUTED_VALUE"""),"Чистый воздух. Рабочие места. Качественное образование. Транспортная доступность. Качественные и чистые дороги и пешеходные зоны. ")</f>
        <v>Чистый воздух. Рабочие места. Качественное образование. Транспортная доступность. Качественные и чистые дороги и пешеходные зоны. </v>
      </c>
      <c r="O370" s="6" t="str">
        <f>IFERROR(__xludf.DUMMYFUNCTION("""COMPUTED_VALUE"""),"Избавиться от пыли. Заткнуть трубы Азота и КОКСа. Убрать заборы, которыми загородили весь город. ")</f>
        <v>Избавиться от пыли. Заткнуть трубы Азота и КОКСа. Убрать заборы, которыми загородили весь город. </v>
      </c>
      <c r="P370" s="6" t="str">
        <f>IFERROR(__xludf.DUMMYFUNCTION("""COMPUTED_VALUE"""),"Инстаграм")</f>
        <v>Инстаграм</v>
      </c>
      <c r="Q370" s="6" t="str">
        <f>IFERROR(__xludf.DUMMYFUNCTION("""COMPUTED_VALUE"""),"куда пойти в свободное время, криминальные новости (происшествия/преступления), бизнес-новости (средний чек/рекламные акции/запуск новых предприятий)")</f>
        <v>куда пойти в свободное время, криминальные новости (происшествия/преступления), бизнес-новости (средний чек/рекламные акции/запуск новых предприятий)</v>
      </c>
      <c r="R370" s="6" t="str">
        <f>IFERROR(__xludf.DUMMYFUNCTION("""COMPUTED_VALUE"""),"Любые, не перемешанные с флагами Единой России ")</f>
        <v>Любые, не перемешанные с флагами Единой России </v>
      </c>
      <c r="S370" s="6" t="str">
        <f>IFERROR(__xludf.DUMMYFUNCTION("""COMPUTED_VALUE"""),"Участвовал в агитации за Тулеева на первых президентских выборах")</f>
        <v>Участвовал в агитации за Тулеева на первых президентских выборах</v>
      </c>
      <c r="T370" s="6" t="str">
        <f>IFERROR(__xludf.DUMMYFUNCTION("""COMPUTED_VALUE"""),"Качество дорог лучше, чем в соседних столицах субъектов РФ. Известен криминалом 90-х. Уникальная транспортная дыра - Ни самолётов, ни поездов.  ")</f>
        <v>Качество дорог лучше, чем в соседних столицах субъектов РФ. Известен криминалом 90-х. Уникальная транспортная дыра - Ни самолётов, ни поездов.  </v>
      </c>
      <c r="U370" s="6" t="str">
        <f>IFERROR(__xludf.DUMMYFUNCTION("""COMPUTED_VALUE"""),"Драмтеатр ")</f>
        <v>Драмтеатр </v>
      </c>
      <c r="V370" s="6" t="str">
        <f>IFERROR(__xludf.DUMMYFUNCTION("""COMPUTED_VALUE"""),"Усердно работали. ")</f>
        <v>Усердно работали. </v>
      </c>
      <c r="W370" s="6" t="str">
        <f>IFERROR(__xludf.DUMMYFUNCTION("""COMPUTED_VALUE"""),"Хмурые, злые, бедные, пьющие ")</f>
        <v>Хмурые, злые, бедные, пьющие </v>
      </c>
      <c r="X370" s="6" t="str">
        <f>IFERROR(__xludf.DUMMYFUNCTION("""COMPUTED_VALUE"""),"Драмтеатр, площадь Советов, набережная, горсад, Кирова, Весенняя, Драмтеатр")</f>
        <v>Драмтеатр, площадь Советов, набережная, горсад, Кирова, Весенняя, Драмтеатр</v>
      </c>
      <c r="Y370" s="6" t="str">
        <f>IFERROR(__xludf.DUMMYFUNCTION("""COMPUTED_VALUE"""),"Стал столицей Кузбасса. ")</f>
        <v>Стал столицей Кузбасса. </v>
      </c>
      <c r="Z370" s="6" t="str">
        <f>IFERROR(__xludf.DUMMYFUNCTION("""COMPUTED_VALUE"""),"Ремонт набережной в Кировском")</f>
        <v>Ремонт набережной в Кировском</v>
      </c>
      <c r="AA370" s="6" t="str">
        <f>IFERROR(__xludf.DUMMYFUNCTION("""COMPUTED_VALUE"""),"Перманентные закрытия торговых центров под благими предлогами. Массовые стройки бесполезных для горожан объектов (суды, налоговая и тд)")</f>
        <v>Перманентные закрытия торговых центров под благими предлогами. Массовые стройки бесполезных для горожан объектов (суды, налоговая и тд)</v>
      </c>
      <c r="AB370" s="6" t="str">
        <f>IFERROR(__xludf.DUMMYFUNCTION("""COMPUTED_VALUE"""),"Их в стране не хватает")</f>
        <v>Их в стране не хватает</v>
      </c>
      <c r="AC370" s="6" t="str">
        <f>IFERROR(__xludf.DUMMYFUNCTION("""COMPUTED_VALUE"""),"Вернуть нормальное образование. Больше неполитизированных поаздников или концертов. Своя футбольная команда.  ")</f>
        <v>Вернуть нормальное образование. Больше неполитизированных поаздников или концертов. Своя футбольная команда.  </v>
      </c>
      <c r="AD370" s="6" t="str">
        <f>IFERROR(__xludf.DUMMYFUNCTION("""COMPUTED_VALUE"""),"Активной")</f>
        <v>Активной</v>
      </c>
      <c r="AE370" s="6" t="str">
        <f>IFERROR(__xludf.DUMMYFUNCTION("""COMPUTED_VALUE"""),"Мужской")</f>
        <v>Мужской</v>
      </c>
      <c r="AF370" s="6" t="str">
        <f>IFERROR(__xludf.DUMMYFUNCTION("""COMPUTED_VALUE"""),"30-44")</f>
        <v>30-44</v>
      </c>
      <c r="AG370" s="6"/>
      <c r="AH370" s="6"/>
      <c r="AI370" s="6"/>
      <c r="AJ370" s="6"/>
      <c r="AK370" s="6"/>
      <c r="AL370" s="6"/>
      <c r="AM370" s="6"/>
    </row>
    <row r="371">
      <c r="A371" s="4">
        <v>370.0</v>
      </c>
      <c r="B371" s="6" t="str">
        <f>IFERROR(__xludf.DUMMYFUNCTION("""COMPUTED_VALUE"""),"Педагог, работаю в детском саду")</f>
        <v>Педагог, работаю в детском саду</v>
      </c>
      <c r="C371" s="6" t="str">
        <f>IFERROR(__xludf.DUMMYFUNCTION("""COMPUTED_VALUE"""),"играю в шахматы, люблю кино")</f>
        <v>играю в шахматы, люблю кино</v>
      </c>
      <c r="D371" s="6" t="str">
        <f>IFERROR(__xludf.DUMMYFUNCTION("""COMPUTED_VALUE"""),"Рудничный район, Радуга")</f>
        <v>Рудничный район, Радуга</v>
      </c>
      <c r="E371" s="6" t="str">
        <f>IFERROR(__xludf.DUMMYFUNCTION("""COMPUTED_VALUE"""),"Сосновый бор, Красная Горка, Крест, Монумент ""Память шахтёрам""")</f>
        <v>Сосновый бор, Красная Горка, Крест, Монумент "Память шахтёрам"</v>
      </c>
      <c r="F371" s="6" t="str">
        <f>IFERROR(__xludf.DUMMYFUNCTION("""COMPUTED_VALUE"""),"Переехал сюда из другого места (откуда? укажите в графе другое), переезд из Магаданской области, здесь были родственники")</f>
        <v>Переехал сюда из другого места (откуда? укажите в графе другое), переезд из Магаданской области, здесь были родственники</v>
      </c>
      <c r="G371" s="6" t="str">
        <f>IFERROR(__xludf.DUMMYFUNCTION("""COMPUTED_VALUE"""),"Комсомольский парк, Горсад (парк Чудес), набережная, дворы жилого комплекса Серебряный бор")</f>
        <v>Комсомольский парк, Горсад (парк Чудес), набережная, дворы жилого комплекса Серебряный бор</v>
      </c>
      <c r="H371" s="6" t="str">
        <f>IFERROR(__xludf.DUMMYFUNCTION("""COMPUTED_VALUE"""),"шахтёры, заводы, достопримечательности, Тулеев, центр Сибири")</f>
        <v>шахтёры, заводы, достопримечательности, Тулеев, центр Сибири</v>
      </c>
      <c r="I371" s="6" t="str">
        <f>IFERROR(__xludf.DUMMYFUNCTION("""COMPUTED_VALUE"""),"Тулеев (стыдно, но больше не знаю...)")</f>
        <v>Тулеев (стыдно, но больше не знаю...)</v>
      </c>
      <c r="J371" s="6" t="str">
        <f>IFERROR(__xludf.DUMMYFUNCTION("""COMPUTED_VALUE"""),"уууууу )))) с такими знаниями у меня не очень (в интернет подглядывать не хочется), но мэр Середюк  И., в моих глазах, выдающийся современник ")</f>
        <v>уууууу )))) с такими знаниями у меня не очень (в интернет подглядывать не хочется), но мэр Середюк  И., в моих глазах, выдающийся современник </v>
      </c>
      <c r="K371" s="6" t="str">
        <f>IFERROR(__xludf.DUMMYFUNCTION("""COMPUTED_VALUE"""),"монумент ""Память шахтёров"", Красная Горка, Парк Чудес, музеи на Набережной и пр. Советском (краеведческий), парк Жукова, Знаменский Собор")</f>
        <v>монумент "Память шахтёров", Красная Горка, Парк Чудес, музеи на Набережной и пр. Советском (краеведческий), парк Жукова, Знаменский Собор</v>
      </c>
      <c r="L371" s="6" t="str">
        <f>IFERROR(__xludf.DUMMYFUNCTION("""COMPUTED_VALUE"""),"о, боги... )))) Приличных не знаю, честно! ")</f>
        <v>о, боги... )))) Приличных не знаю, честно! </v>
      </c>
      <c r="M371" s="6" t="str">
        <f>IFERROR(__xludf.DUMMYFUNCTION("""COMPUTED_VALUE"""),"возможно, но я никогда не задумывалась над тем кемеровский это слэнг или нет. ")</f>
        <v>возможно, но я никогда не задумывалась над тем кемеровский это слэнг или нет. </v>
      </c>
      <c r="N371" s="6" t="str">
        <f>IFERROR(__xludf.DUMMYFUNCTION("""COMPUTED_VALUE"""),"доступность транспорта (общественного)
наличие ухоженных парков и зеленых зон отдыха в районах
в ""шаговой доступности"" от жилья детского сада, школы
наличие в каждом районе спортивного комплекса, бассейна, кинотеатра
наличие через каждые 2 метра (условн"&amp;"о) мусорных контейнеров, аптек и продуктовых магазинов")</f>
        <v>доступность транспорта (общественного)
наличие ухоженных парков и зеленых зон отдыха в районах
в "шаговой доступности" от жилья детского сада, школы
наличие в каждом районе спортивного комплекса, бассейна, кинотеатра
наличие через каждые 2 метра (условно) мусорных контейнеров, аптек и продуктовых магазинов</v>
      </c>
      <c r="O371" s="6" t="str">
        <f>IFERROR(__xludf.DUMMYFUNCTION("""COMPUTED_VALUE"""),"прям изменить - пожалуй ничего, но вот сделать так чтоб собачники выгуливали своих питомцев на специальных площадках - прям мечта. Так надоело по какашкам ходить!!! ")</f>
        <v>прям изменить - пожалуй ничего, но вот сделать так чтоб собачники выгуливали своих питомцев на специальных площадках - прям мечта. Так надоело по какашкам ходить!!! </v>
      </c>
      <c r="P371" s="6" t="str">
        <f>IFERROR(__xludf.DUMMYFUNCTION("""COMPUTED_VALUE"""),"через инстаграмм, в основном, через подписки на аккаунты, через ТВ (местные новости)")</f>
        <v>через инстаграмм, в основном, через подписки на аккаунты, через ТВ (местные новости)</v>
      </c>
      <c r="Q371"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ак"&amp;"ции/запуск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371" s="6" t="str">
        <f>IFERROR(__xludf.DUMMYFUNCTION("""COMPUTED_VALUE"""),"день Города, день Победы, день Шахтера, Масленица")</f>
        <v>день Города, день Победы, день Шахтера, Масленица</v>
      </c>
      <c r="S371" s="6" t="str">
        <f>IFERROR(__xludf.DUMMYFUNCTION("""COMPUTED_VALUE"""),"Нет, не приходилось")</f>
        <v>Нет, не приходилось</v>
      </c>
      <c r="T371" s="6" t="str">
        <f>IFERROR(__xludf.DUMMYFUNCTION("""COMPUTED_VALUE"""),"7 чудес Кузбасса, угольная промышленность")</f>
        <v>7 чудес Кузбасса, угольная промышленность</v>
      </c>
      <c r="U371" s="6" t="str">
        <f>IFERROR(__xludf.DUMMYFUNCTION("""COMPUTED_VALUE"""),"район Парка Чудес, набережная и ул. Весенняя до Драмтеатра")</f>
        <v>район Парка Чудес, набережная и ул. Весенняя до Драмтеатра</v>
      </c>
      <c r="V371" s="6" t="str">
        <f>IFERROR(__xludf.DUMMYFUNCTION("""COMPUTED_VALUE"""),"продолжают добывать уголь, развивают город как культурный центр отдыха и туризма")</f>
        <v>продолжают добывать уголь, развивают город как культурный центр отдыха и туризма</v>
      </c>
      <c r="W371" s="6" t="str">
        <f>IFERROR(__xludf.DUMMYFUNCTION("""COMPUTED_VALUE"""),"унылые")</f>
        <v>унылые</v>
      </c>
      <c r="X371" s="6" t="str">
        <f>IFERROR(__xludf.DUMMYFUNCTION("""COMPUTED_VALUE"""),"в парк Чудес")</f>
        <v>в парк Чудес</v>
      </c>
      <c r="Y371" s="6" t="str">
        <f>IFERROR(__xludf.DUMMYFUNCTION("""COMPUTED_VALUE"""),"не знаю... уголь нашли, вероятно, 300 лет назад ))))))))")</f>
        <v>не знаю... уголь нашли, вероятно, 300 лет назад ))))))))</v>
      </c>
      <c r="Z371" s="6" t="str">
        <f>IFERROR(__xludf.DUMMYFUNCTION("""COMPUTED_VALUE"""),"-")</f>
        <v>-</v>
      </c>
      <c r="AA371" s="6" t="str">
        <f>IFERROR(__xludf.DUMMYFUNCTION("""COMPUTED_VALUE"""),"-")</f>
        <v>-</v>
      </c>
      <c r="AB371" s="6" t="str">
        <f>IFERROR(__xludf.DUMMYFUNCTION("""COMPUTED_VALUE"""),"я не знаю какие вообще есть сообщества")</f>
        <v>я не знаю какие вообще есть сообщества</v>
      </c>
      <c r="AC371" s="6" t="str">
        <f>IFERROR(__xludf.DUMMYFUNCTION("""COMPUTED_VALUE"""),"для детей что-то")</f>
        <v>для детей что-то</v>
      </c>
      <c r="AD371" s="6" t="str">
        <f>IFERROR(__xludf.DUMMYFUNCTION("""COMPUTED_VALUE"""),"не понятен вопрос... а какие роли есть?")</f>
        <v>не понятен вопрос... а какие роли есть?</v>
      </c>
      <c r="AE371" s="6" t="str">
        <f>IFERROR(__xludf.DUMMYFUNCTION("""COMPUTED_VALUE"""),"Женский")</f>
        <v>Женский</v>
      </c>
      <c r="AF371" s="6" t="str">
        <f>IFERROR(__xludf.DUMMYFUNCTION("""COMPUTED_VALUE"""),"30-44")</f>
        <v>30-44</v>
      </c>
      <c r="AG371" s="6"/>
      <c r="AH371" s="6"/>
      <c r="AI371" s="6"/>
      <c r="AJ371" s="6"/>
      <c r="AK371" s="6"/>
      <c r="AL371" s="6"/>
      <c r="AM371" s="6"/>
    </row>
    <row r="372">
      <c r="A372" s="4">
        <v>371.0</v>
      </c>
      <c r="B372" s="6" t="str">
        <f>IFERROR(__xludf.DUMMYFUNCTION("""COMPUTED_VALUE"""),"Работаю")</f>
        <v>Работаю</v>
      </c>
      <c r="C372" s="6" t="str">
        <f>IFERROR(__xludf.DUMMYFUNCTION("""COMPUTED_VALUE"""),"Учусь на психолога")</f>
        <v>Учусь на психолога</v>
      </c>
      <c r="D372" s="6" t="str">
        <f>IFERROR(__xludf.DUMMYFUNCTION("""COMPUTED_VALUE"""),"Центральный")</f>
        <v>Центральный</v>
      </c>
      <c r="E372" s="6" t="str">
        <f>IFERROR(__xludf.DUMMYFUNCTION("""COMPUTED_VALUE"""),"Пл Совктов, Весенняя, сов проспект, Пионерский бульвар, Набережная")</f>
        <v>Пл Совктов, Весенняя, сов проспект, Пионерский бульвар, Набережная</v>
      </c>
      <c r="F372" s="6" t="str">
        <f>IFERROR(__xludf.DUMMYFUNCTION("""COMPUTED_VALUE"""),"Живу здесь с рождения")</f>
        <v>Живу здесь с рождения</v>
      </c>
      <c r="G372" s="6" t="str">
        <f>IFERROR(__xludf.DUMMYFUNCTION("""COMPUTED_VALUE"""),"В кафе, в театр")</f>
        <v>В кафе, в театр</v>
      </c>
      <c r="H372" s="6" t="str">
        <f>IFERROR(__xludf.DUMMYFUNCTION("""COMPUTED_VALUE"""),"Пыльно, скучно, уютно")</f>
        <v>Пыльно, скучно, уютно</v>
      </c>
      <c r="I372" s="6" t="str">
        <f>IFERROR(__xludf.DUMMYFUNCTION("""COMPUTED_VALUE"""),"Кислюк, Тулеев, Барабаш, Бобровский, Леонов")</f>
        <v>Кислюк, Тулеев, Барабаш, Бобровский, Леонов</v>
      </c>
      <c r="J372" s="6" t="str">
        <f>IFERROR(__xludf.DUMMYFUNCTION("""COMPUTED_VALUE"""),"Гришковец, Р. Розанцев ""проект Лучший"" ")</f>
        <v>Гришковец, Р. Розанцев "проект Лучший" </v>
      </c>
      <c r="K372" s="6" t="str">
        <f>IFERROR(__xludf.DUMMYFUNCTION("""COMPUTED_VALUE"""),"Бор на радуге, писаные скалы")</f>
        <v>Бор на радуге, писаные скалы</v>
      </c>
      <c r="L372" s="6" t="str">
        <f>IFERROR(__xludf.DUMMYFUNCTION("""COMPUTED_VALUE"""),"Не помню")</f>
        <v>Не помню</v>
      </c>
      <c r="M372" s="6" t="str">
        <f>IFERROR(__xludf.DUMMYFUNCTION("""COMPUTED_VALUE"""),"Человек из Кемерово ")</f>
        <v>Человек из Кемерово </v>
      </c>
      <c r="N372" s="6" t="str">
        <f>IFERROR(__xludf.DUMMYFUNCTION("""COMPUTED_VALUE"""),"Инфраструктура, много мероприятий для детей, подростков и пенсионеров, освещение красивое, архитектура приятная, много кафе и ресторанов")</f>
        <v>Инфраструктура, много мероприятий для детей, подростков и пенсионеров, освещение красивое, архитектура приятная, много кафе и ресторанов</v>
      </c>
      <c r="O372" s="6" t="str">
        <f>IFERROR(__xludf.DUMMYFUNCTION("""COMPUTED_VALUE"""),"Озеленить хвойными, убрать рекламные щиты, спутник на Октябрьском переделать")</f>
        <v>Озеленить хвойными, убрать рекламные щиты, спутник на Октябрьском переделать</v>
      </c>
      <c r="P372" s="6" t="str">
        <f>IFERROR(__xludf.DUMMYFUNCTION("""COMPUTED_VALUE"""),"Инстаграм, телеграм, все42")</f>
        <v>Инстаграм, телеграм, все42</v>
      </c>
      <c r="Q372" s="6" t="str">
        <f>IFERROR(__xludf.DUMMYFUNCTION("""COMPUTED_VALUE"""),"где вкусно поесть/открытие новых кафе/ресторанов, городская афиша (кино/театр/концерты),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"&amp;"новых предприятий), результаты местных исследований (рейтинги/аналитика/тенденции)")</f>
        <v>где вкусно поесть/открытие новых кафе/ресторанов, городская афиша (кино/театр/концерты),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372" s="6" t="str">
        <f>IFERROR(__xludf.DUMMYFUNCTION("""COMPUTED_VALUE"""),"9 мая, день города")</f>
        <v>9 мая, день города</v>
      </c>
      <c r="S372" s="6" t="str">
        <f>IFERROR(__xludf.DUMMYFUNCTION("""COMPUTED_VALUE"""),"Нет, не приходилось")</f>
        <v>Нет, не приходилось</v>
      </c>
      <c r="T372" s="6" t="str">
        <f>IFERROR(__xludf.DUMMYFUNCTION("""COMPUTED_VALUE"""),"Красная горка")</f>
        <v>Красная горка</v>
      </c>
      <c r="U372" s="6" t="str">
        <f>IFERROR(__xludf.DUMMYFUNCTION("""COMPUTED_VALUE"""),"Пл Советов")</f>
        <v>Пл Советов</v>
      </c>
      <c r="V372" s="6" t="str">
        <f>IFERROR(__xludf.DUMMYFUNCTION("""COMPUTED_VALUE"""),"Не знаю")</f>
        <v>Не знаю</v>
      </c>
      <c r="W372" s="6" t="str">
        <f>IFERROR(__xludf.DUMMYFUNCTION("""COMPUTED_VALUE"""),"Грубые")</f>
        <v>Грубые</v>
      </c>
      <c r="X372" s="6" t="str">
        <f>IFERROR(__xludf.DUMMYFUNCTION("""COMPUTED_VALUE"""),"Советский - Весенняя - набережная")</f>
        <v>Советский - Весенняя - набережная</v>
      </c>
      <c r="Y372" s="6" t="str">
        <f>IFERROR(__xludf.DUMMYFUNCTION("""COMPUTED_VALUE"""),"Зимняя вишня")</f>
        <v>Зимняя вишня</v>
      </c>
      <c r="Z372" s="6" t="str">
        <f>IFERROR(__xludf.DUMMYFUNCTION("""COMPUTED_VALUE"""),"Строят квартал искусств")</f>
        <v>Строят квартал искусств</v>
      </c>
      <c r="AA372" s="6" t="str">
        <f>IFERROR(__xludf.DUMMYFUNCTION("""COMPUTED_VALUE"""),"Не помню")</f>
        <v>Не помню</v>
      </c>
      <c r="AB372" s="6" t="str">
        <f>IFERROR(__xludf.DUMMYFUNCTION("""COMPUTED_VALUE"""),"Для подромтков и пенсионеров")</f>
        <v>Для подромтков и пенсионеров</v>
      </c>
      <c r="AC372" s="6" t="str">
        <f>IFERROR(__xludf.DUMMYFUNCTION("""COMPUTED_VALUE"""),"Мастер-классы танцевальные летом ")</f>
        <v>Мастер-классы танцевальные летом </v>
      </c>
      <c r="AD372" s="6" t="str">
        <f>IFERROR(__xludf.DUMMYFUNCTION("""COMPUTED_VALUE"""),"Зритель и участник")</f>
        <v>Зритель и участник</v>
      </c>
      <c r="AE372" s="6" t="str">
        <f>IFERROR(__xludf.DUMMYFUNCTION("""COMPUTED_VALUE"""),"Женский")</f>
        <v>Женский</v>
      </c>
      <c r="AF372" s="6" t="str">
        <f>IFERROR(__xludf.DUMMYFUNCTION("""COMPUTED_VALUE"""),"30-44")</f>
        <v>30-44</v>
      </c>
      <c r="AG372" s="6"/>
      <c r="AH372" s="6"/>
      <c r="AI372" s="6"/>
      <c r="AJ372" s="6"/>
      <c r="AK372" s="6"/>
      <c r="AL372" s="6"/>
      <c r="AM372" s="6"/>
    </row>
    <row r="373">
      <c r="A373" s="4">
        <v>372.0</v>
      </c>
      <c r="B373" s="6" t="str">
        <f>IFERROR(__xludf.DUMMYFUNCTION("""COMPUTED_VALUE"""),"Госслужащий")</f>
        <v>Госслужащий</v>
      </c>
      <c r="C373" s="6" t="str">
        <f>IFERROR(__xludf.DUMMYFUNCTION("""COMPUTED_VALUE"""),"Организация путешествий семьи")</f>
        <v>Организация путешествий семьи</v>
      </c>
      <c r="D373" s="6" t="str">
        <f>IFERROR(__xludf.DUMMYFUNCTION("""COMPUTED_VALUE"""),"Ленинский ")</f>
        <v>Ленинский </v>
      </c>
      <c r="E373" s="6" t="str">
        <f>IFERROR(__xludf.DUMMYFUNCTION("""COMPUTED_VALUE"""),"Кузбасский парк")</f>
        <v>Кузбасский парк</v>
      </c>
      <c r="F373" s="6" t="str">
        <f>IFERROR(__xludf.DUMMYFUNCTION("""COMPUTED_VALUE"""),"Живу здесь с рождения")</f>
        <v>Живу здесь с рождения</v>
      </c>
      <c r="G373" s="6" t="str">
        <f>IFERROR(__xludf.DUMMYFUNCTION("""COMPUTED_VALUE"""),"Весенняя улица, Сосновый Бор, Томская Писаница ")</f>
        <v>Весенняя улица, Сосновый Бор, Томская Писаница </v>
      </c>
      <c r="H373" s="6" t="str">
        <f>IFERROR(__xludf.DUMMYFUNCTION("""COMPUTED_VALUE"""),"Промышленный, Чистый, Зеленый, Комфортный, Молодой")</f>
        <v>Промышленный, Чистый, Зеленый, Комфортный, Молодой</v>
      </c>
      <c r="I373" s="6" t="str">
        <f>IFERROR(__xludf.DUMMYFUNCTION("""COMPUTED_VALUE"""),"Михайлов, Гришковец, Тулеев, Бедин, Рутгерс")</f>
        <v>Михайлов, Гришковец, Тулеев, Бедин, Рутгерс</v>
      </c>
      <c r="J373" s="6" t="str">
        <f>IFERROR(__xludf.DUMMYFUNCTION("""COMPUTED_VALUE"""),"Михайлов, Федорова, Забавин, Вильчиков, Петров")</f>
        <v>Михайлов, Федорова, Забавин, Вильчиков, Петров</v>
      </c>
      <c r="K373" s="6" t="str">
        <f>IFERROR(__xludf.DUMMYFUNCTION("""COMPUTED_VALUE"""),"Шахтёр, Красная Горка, Парк ангелов, Площадь Московская")</f>
        <v>Шахтёр, Красная Горка, Парк ангелов, Площадь Московская</v>
      </c>
      <c r="L373" s="6" t="str">
        <f>IFERROR(__xludf.DUMMYFUNCTION("""COMPUTED_VALUE"""),"Быстрее-Выше-Сильнее")</f>
        <v>Быстрее-Выше-Сильнее</v>
      </c>
      <c r="M373" s="6" t="str">
        <f>IFERROR(__xludf.DUMMYFUNCTION("""COMPUTED_VALUE"""),"Мультифора 🙈")</f>
        <v>Мультифора 🙈</v>
      </c>
      <c r="N373" s="6" t="str">
        <f>IFERROR(__xludf.DUMMYFUNCTION("""COMPUTED_VALUE"""),"Хорошие дороги, Чистый воздух, Развитая социальная инфраструктура для досуга")</f>
        <v>Хорошие дороги, Чистый воздух, Развитая социальная инфраструктура для досуга</v>
      </c>
      <c r="O373" s="6" t="str">
        <f>IFERROR(__xludf.DUMMYFUNCTION("""COMPUTED_VALUE"""),"Объездная дорога, Бассейн, Термы")</f>
        <v>Объездная дорога, Бассейн, Термы</v>
      </c>
      <c r="P373" s="6" t="str">
        <f>IFERROR(__xludf.DUMMYFUNCTION("""COMPUTED_VALUE"""),"Vse42.ru, a42.ru, sibdepo.ru, avant-partner.ru")</f>
        <v>Vse42.ru, a42.ru, sibdepo.ru, avant-partner.ru</v>
      </c>
      <c r="Q373" s="6" t="str">
        <f>IFERROR(__xludf.DUMMYFUNCTION("""COMPUTED_VALUE"""),"куда пойти в свободное время, городская афиша (кино/театр/концерты), интервью с местными предпринимателями")</f>
        <v>куда пойти в свободное время, городская афиша (кино/театр/концерты), интервью с местными предпринимателями</v>
      </c>
      <c r="R373" s="6" t="str">
        <f>IFERROR(__xludf.DUMMYFUNCTION("""COMPUTED_VALUE"""),"День города ")</f>
        <v>День города </v>
      </c>
      <c r="S373" s="6" t="str">
        <f>IFERROR(__xludf.DUMMYFUNCTION("""COMPUTED_VALUE"""),"Нет, не приходилось")</f>
        <v>Нет, не приходилось</v>
      </c>
      <c r="T373" s="6" t="str">
        <f>IFERROR(__xludf.DUMMYFUNCTION("""COMPUTED_VALUE"""),"Столица Кузбасса")</f>
        <v>Столица Кузбасса</v>
      </c>
      <c r="U373" s="6" t="str">
        <f>IFERROR(__xludf.DUMMYFUNCTION("""COMPUTED_VALUE"""),"Весення, Фонтан у Драмтеатра")</f>
        <v>Весення, Фонтан у Драмтеатра</v>
      </c>
      <c r="V373" s="6" t="str">
        <f>IFERROR(__xludf.DUMMYFUNCTION("""COMPUTED_VALUE"""),"Работали")</f>
        <v>Работали</v>
      </c>
      <c r="W373" s="6" t="str">
        <f>IFERROR(__xludf.DUMMYFUNCTION("""COMPUTED_VALUE"""),"Самостоятельные")</f>
        <v>Самостоятельные</v>
      </c>
      <c r="X373" s="6" t="str">
        <f>IFERROR(__xludf.DUMMYFUNCTION("""COMPUTED_VALUE"""),"Весення и набережная реки Томь ")</f>
        <v>Весення и набережная реки Томь </v>
      </c>
      <c r="Y373" s="6" t="str">
        <f>IFERROR(__xludf.DUMMYFUNCTION("""COMPUTED_VALUE"""),"Забастовка шахтеров в 90-е годы")</f>
        <v>Забастовка шахтеров в 90-е годы</v>
      </c>
      <c r="Z373" s="6" t="str">
        <f>IFERROR(__xludf.DUMMYFUNCTION("""COMPUTED_VALUE"""),"Строительство культурного кластера, новый терминал аэропорта, ")</f>
        <v>Строительство культурного кластера, новый терминал аэропорта, </v>
      </c>
      <c r="AA373" s="6" t="str">
        <f>IFERROR(__xludf.DUMMYFUNCTION("""COMPUTED_VALUE"""),"Реакция системы здравоохранения на эпидемию ковид ")</f>
        <v>Реакция системы здравоохранения на эпидемию ковид </v>
      </c>
      <c r="AB373" s="6" t="str">
        <f>IFERROR(__xludf.DUMMYFUNCTION("""COMPUTED_VALUE"""),"Спортивных ")</f>
        <v>Спортивных </v>
      </c>
      <c r="AC373" s="6" t="str">
        <f>IFERROR(__xludf.DUMMYFUNCTION("""COMPUTED_VALUE"""),"Выставки, фестивали и экономический или финансовый форум")</f>
        <v>Выставки, фестивали и экономический или финансовый форум</v>
      </c>
      <c r="AD373" s="6" t="str">
        <f>IFERROR(__xludf.DUMMYFUNCTION("""COMPUTED_VALUE"""),"Могу принять участие в организации")</f>
        <v>Могу принять участие в организации</v>
      </c>
      <c r="AE373" s="6" t="str">
        <f>IFERROR(__xludf.DUMMYFUNCTION("""COMPUTED_VALUE"""),"Мужской")</f>
        <v>Мужской</v>
      </c>
      <c r="AF373" s="6" t="str">
        <f>IFERROR(__xludf.DUMMYFUNCTION("""COMPUTED_VALUE"""),"30-44")</f>
        <v>30-44</v>
      </c>
      <c r="AG373" s="6"/>
      <c r="AH373" s="6"/>
      <c r="AI373" s="6"/>
      <c r="AJ373" s="6"/>
      <c r="AK373" s="6"/>
      <c r="AL373" s="6"/>
      <c r="AM373" s="6"/>
    </row>
    <row r="374">
      <c r="A374" s="4">
        <v>373.0</v>
      </c>
      <c r="B374" s="6" t="str">
        <f>IFERROR(__xludf.DUMMYFUNCTION("""COMPUTED_VALUE"""),"Наемный работник")</f>
        <v>Наемный работник</v>
      </c>
      <c r="C374" s="6" t="str">
        <f>IFERROR(__xludf.DUMMYFUNCTION("""COMPUTED_VALUE"""),"Дача. Лыжи.")</f>
        <v>Дача. Лыжи.</v>
      </c>
      <c r="D374" s="6" t="str">
        <f>IFERROR(__xludf.DUMMYFUNCTION("""COMPUTED_VALUE"""),"ФПК. Отличное название, оригинальное, Кемеровское. Во всей стране есть центральные, ленинские и прочие кировские и заводские районы. Оригинальных мало. В городее, которому 100 лет, нет и не может быть исторических наименований, типа Китай-города или Креща"&amp;"тика. Тем ценнее любые оригинальные и ставшие уже историческими названия.")</f>
        <v>ФПК. Отличное название, оригинальное, Кемеровское. Во всей стране есть центральные, ленинские и прочие кировские и заводские районы. Оригинальных мало. В городее, которому 100 лет, нет и не может быть исторических наименований, типа Китай-города или Крещатика. Тем ценнее любые оригинальные и ставшие уже историческими названия.</v>
      </c>
      <c r="E374" s="6" t="str">
        <f>IFERROR(__xludf.DUMMYFUNCTION("""COMPUTED_VALUE"""),"Был пруд. Да, искусственный отстойник. Но у города не хватило сил/денег выкупить его и облагородить. Теперь там стройка. Больше ничего нет.")</f>
        <v>Был пруд. Да, искусственный отстойник. Но у города не хватило сил/денег выкупить его и облагородить. Теперь там стройка. Больше ничего нет.</v>
      </c>
      <c r="F374" s="6" t="str">
        <f>IFERROR(__xludf.DUMMYFUNCTION("""COMPUTED_VALUE"""),"Живу здесь с рождения")</f>
        <v>Живу здесь с рождения</v>
      </c>
      <c r="G374" s="6" t="str">
        <f>IFERROR(__xludf.DUMMYFUNCTION("""COMPUTED_VALUE"""),"Катаюсь на лыжах в бывшем плодопитомнике, делал зарядку в горсаду/на набережной, когда жил в центре. Когда ставили мост на остров, всегда ходил купаться. Но это стало редкостью, не каждый год бывает. Теперь купаюсь на диких пляжах.")</f>
        <v>Катаюсь на лыжах в бывшем плодопитомнике, делал зарядку в горсаду/на набережной, когда жил в центре. Когда ставили мост на остров, всегда ходил купаться. Но это стало редкостью, не каждый год бывает. Теперь купаюсь на диких пляжах.</v>
      </c>
      <c r="H374" s="6" t="str">
        <f>IFERROR(__xludf.DUMMYFUNCTION("""COMPUTED_VALUE"""),"1. Грязь (смог в воздухе, собачье дерьмо под ногами, серые фасады домов, лужи на дорогах, не вывезенный снег весной, грязная Томь).
2. Знакомые (друзья, родня, сослуживцы). Они все здесь.
3. Тулеев (в печенках с 90-х).
4. Уголь (здесь все про уголь и на у"&amp;"гле).
5. Безнадёга (нет будущего).")</f>
        <v>1. Грязь (смог в воздухе, собачье дерьмо под ногами, серые фасады домов, лужи на дорогах, не вывезенный снег весной, грязная Томь).
2. Знакомые (друзья, родня, сослуживцы). Они все здесь.
3. Тулеев (в печенках с 90-х).
4. Уголь (здесь все про уголь и на угле).
5. Безнадёга (нет будущего).</v>
      </c>
      <c r="I374" s="6" t="str">
        <f>IFERROR(__xludf.DUMMYFUNCTION("""COMPUTED_VALUE"""),"1. Михайлов, мэр.
3.Архитекторккоторыйсспроектировалцентр(набережную, Весеннюю). Фамилию не помню, памятная доска висит на одном из домов в центре.")</f>
        <v>1. Михайлов, мэр.
3.Архитекторккоторыйсспроектировалцентр(набережную, Весеннюю). Фамилию не помню, памятная доска висит на одном из домов в центре.</v>
      </c>
      <c r="J374" s="6" t="str">
        <f>IFERROR(__xludf.DUMMYFUNCTION("""COMPUTED_VALUE"""),"Вы же знаете, откуда появилось выражение ""лучшие люди города"". Нет ответа")</f>
        <v>Вы же знаете, откуда появилось выражение "лучшие люди города". Нет ответа</v>
      </c>
      <c r="K374" s="6" t="str">
        <f>IFERROR(__xludf.DUMMYFUNCTION("""COMPUTED_VALUE"""),"1. Сосновый бор (дикий лес посередине города).
2. Лесная поляна (вариант быть кемеровчанином, но не жить в нем).
3. Азот/Коксохим/Химпром (чтоб больше не приезжал).")</f>
        <v>1. Сосновый бор (дикий лес посередине города).
2. Лесная поляна (вариант быть кемеровчанином, но не жить в нем).
3. Азот/Коксохим/Химпром (чтоб больше не приезжал).</v>
      </c>
      <c r="L374" s="6" t="str">
        <f>IFERROR(__xludf.DUMMYFUNCTION("""COMPUTED_VALUE"""),"Как говорила одна дама, в очередной раз найдя общих знакомых с незнакомыми людьми, ""в Кемерово все спят под одним одеялом"".")</f>
        <v>Как говорила одна дама, в очередной раз найдя общих знакомых с незнакомыми людьми, "в Кемерово все спят под одним одеялом".</v>
      </c>
      <c r="M374" s="6" t="str">
        <f>IFERROR(__xludf.DUMMYFUNCTION("""COMPUTED_VALUE"""),"Нет")</f>
        <v>Нет</v>
      </c>
      <c r="N374" s="6" t="str">
        <f>IFERROR(__xludf.DUMMYFUNCTION("""COMPUTED_VALUE"""),"Чистота
Красота
Перспективы")</f>
        <v>Чистота
Красота
Перспективы</v>
      </c>
      <c r="O374" s="6" t="str">
        <f>IFERROR(__xludf.DUMMYFUNCTION("""COMPUTED_VALUE"""),"Внешний вид далеко не первое, что здесь нужно изменить. Но если вопрос о внешнем виде, то прибраться/отремонтироваться. Потом сделать объездную фед.трассу. Потом убрать колонии из города.")</f>
        <v>Внешний вид далеко не первое, что здесь нужно изменить. Но если вопрос о внешнем виде, то прибраться/отремонтироваться. Потом сделать объездную фед.трассу. Потом убрать колонии из города.</v>
      </c>
      <c r="P374" s="6" t="str">
        <f>IFERROR(__xludf.DUMMYFUNCTION("""COMPUTED_VALUE"""),"Давно оставил надежду на интересные для меня события/мероприятия в Кемерово. Из новостей читаю М.Учватова (o-gorod).")</f>
        <v>Давно оставил надежду на интересные для меня события/мероприятия в Кемерово. Из новостей читаю М.Учватова (o-gorod).</v>
      </c>
      <c r="Q374" s="6" t="str">
        <f>IFERROR(__xludf.DUMMYFUNCTION("""COMPUTED_VALUE"""),"интервью с местными политиками,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(рейтинги/аналитика/тенденции),"&amp;" интервью с экспертами на разные темы (напишите в разделе Другое свои предложения)")</f>
        <v>интервью с местными политиками,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374" s="6" t="str">
        <f>IFERROR(__xludf.DUMMYFUNCTION("""COMPUTED_VALUE"""),"Нет")</f>
        <v>Нет</v>
      </c>
      <c r="S374" s="6" t="str">
        <f>IFERROR(__xludf.DUMMYFUNCTION("""COMPUTED_VALUE"""),"Нет, не приходилось")</f>
        <v>Нет, не приходилось</v>
      </c>
      <c r="T374" s="6" t="str">
        <f>IFERROR(__xludf.DUMMYFUNCTION("""COMPUTED_VALUE"""),"Столица угольного края")</f>
        <v>Столица угольного края</v>
      </c>
      <c r="U374" s="6" t="str">
        <f>IFERROR(__xludf.DUMMYFUNCTION("""COMPUTED_VALUE"""),"Былаа площадь Советов, площадь Пушкина. Сейчас первая перекрыта детской площадкой, вторая автомобилями.")</f>
        <v>Былаа площадь Советов, площадь Пушкина. Сейчас первая перекрыта детской площадкой, вторая автомобилями.</v>
      </c>
      <c r="V374" s="6" t="str">
        <f>IFERROR(__xludf.DUMMYFUNCTION("""COMPUTED_VALUE"""),"Когда-то построили красивый центр.")</f>
        <v>Когда-то построили красивый центр.</v>
      </c>
      <c r="W374" s="6" t="str">
        <f>IFERROR(__xludf.DUMMYFUNCTION("""COMPUTED_VALUE"""),"Хамство, желание пролезть первым.")</f>
        <v>Хамство, желание пролезть первым.</v>
      </c>
      <c r="X374" s="6" t="str">
        <f>IFERROR(__xludf.DUMMYFUNCTION("""COMPUTED_VALUE"""),"Смотря с какой целью. Самый короткий: Аэропорт-Азот-аэропорт.")</f>
        <v>Смотря с какой целью. Самый короткий: Аэропорт-Азот-аэропорт.</v>
      </c>
      <c r="Y374" s="6" t="str">
        <f>IFERROR(__xludf.DUMMYFUNCTION("""COMPUTED_VALUE"""),"Забастовки шахтеров в конце 80-х, положившиие начало реальной перестройке.")</f>
        <v>Забастовки шахтеров в конце 80-х, положившиие начало реальной перестройке.</v>
      </c>
      <c r="Z374" s="6" t="str">
        <f>IFERROR(__xludf.DUMMYFUNCTION("""COMPUTED_VALUE"""),"Кадетское училище, 2 кольца, начали стройку культурного кластера.")</f>
        <v>Кадетское училище, 2 кольца, начали стройку культурного кластера.</v>
      </c>
      <c r="AA374" s="6" t="str">
        <f>IFERROR(__xludf.DUMMYFUNCTION("""COMPUTED_VALUE"""),"Зимняя вишня, но это 3 года назад. Вы же специально ограничили срок 2 годами?")</f>
        <v>Зимняя вишня, но это 3 года назад. Вы же специально ограничили срок 2 годами?</v>
      </c>
      <c r="AB374" s="6" t="str">
        <f>IFERROR(__xludf.DUMMYFUNCTION("""COMPUTED_VALUE"""),"Нет ответа")</f>
        <v>Нет ответа</v>
      </c>
      <c r="AC374" s="6" t="str">
        <f>IFERROR(__xludf.DUMMYFUNCTION("""COMPUTED_VALUE"""),"Больше рабочих мест")</f>
        <v>Больше рабочих мест</v>
      </c>
      <c r="AD374" s="6" t="str">
        <f>IFERROR(__xludf.DUMMYFUNCTION("""COMPUTED_VALUE"""),"Диванный эксперт")</f>
        <v>Диванный эксперт</v>
      </c>
      <c r="AE374" s="6" t="str">
        <f>IFERROR(__xludf.DUMMYFUNCTION("""COMPUTED_VALUE"""),"Мужской")</f>
        <v>Мужской</v>
      </c>
      <c r="AF374" s="6" t="str">
        <f>IFERROR(__xludf.DUMMYFUNCTION("""COMPUTED_VALUE"""),"45-55")</f>
        <v>45-55</v>
      </c>
      <c r="AG374" s="6"/>
      <c r="AH374" s="6"/>
      <c r="AI374" s="6"/>
      <c r="AJ374" s="6"/>
      <c r="AK374" s="6"/>
      <c r="AL374" s="6"/>
      <c r="AM374" s="6"/>
    </row>
    <row r="375">
      <c r="A375" s="4">
        <v>374.0</v>
      </c>
      <c r="B375" s="6" t="str">
        <f>IFERROR(__xludf.DUMMYFUNCTION("""COMPUTED_VALUE"""),"пенсионер")</f>
        <v>пенсионер</v>
      </c>
      <c r="C375" s="6" t="str">
        <f>IFERROR(__xludf.DUMMYFUNCTION("""COMPUTED_VALUE"""),"туризм")</f>
        <v>туризм</v>
      </c>
      <c r="D375" s="6" t="str">
        <f>IFERROR(__xludf.DUMMYFUNCTION("""COMPUTED_VALUE"""),"центральный, ")</f>
        <v>центральный, </v>
      </c>
      <c r="E375" s="6" t="str">
        <f>IFERROR(__xludf.DUMMYFUNCTION("""COMPUTED_VALUE"""),"парк В.Волошиной")</f>
        <v>парк В.Волошиной</v>
      </c>
      <c r="F375" s="6" t="str">
        <f>IFERROR(__xludf.DUMMYFUNCTION("""COMPUTED_VALUE"""),"Родился здесь,но сейчас живу в другом городе")</f>
        <v>Родился здесь,но сейчас живу в другом городе</v>
      </c>
      <c r="G375" s="6" t="str">
        <f>IFERROR(__xludf.DUMMYFUNCTION("""COMPUTED_VALUE"""),"Юбилейный")</f>
        <v>Юбилейный</v>
      </c>
      <c r="H375" s="6" t="str">
        <f>IFERROR(__xludf.DUMMYFUNCTION("""COMPUTED_VALUE"""),"Азот, Площадь Советов, Парк Ангелов, Филармония, Стадион")</f>
        <v>Азот, Площадь Советов, Парк Ангелов, Филармония, Стадион</v>
      </c>
      <c r="I375" s="6" t="str">
        <f>IFERROR(__xludf.DUMMYFUNCTION("""COMPUTED_VALUE"""),"М.И. Подгорбунский, Т.И. Шраер, В.Г. Карелин")</f>
        <v>М.И. Подгорбунский, Т.И. Шраер, В.Г. Карелин</v>
      </c>
      <c r="J375" s="6" t="str">
        <f>IFERROR(__xludf.DUMMYFUNCTION("""COMPUTED_VALUE"""),"Василий Николаевич Паличев-зав. реанимацией Перинатального центра")</f>
        <v>Василий Николаевич Паличев-зав. реанимацией Перинатального центра</v>
      </c>
      <c r="K375" s="6" t="str">
        <f>IFERROR(__xludf.DUMMYFUNCTION("""COMPUTED_VALUE"""),"Притомскую Набережную, Парк Ангелов")</f>
        <v>Притомскую Набережную, Парк Ангелов</v>
      </c>
      <c r="L375" s="6" t="str">
        <f>IFERROR(__xludf.DUMMYFUNCTION("""COMPUTED_VALUE"""),"Из грязи в князи")</f>
        <v>Из грязи в князи</v>
      </c>
      <c r="M375" s="6" t="str">
        <f>IFERROR(__xludf.DUMMYFUNCTION("""COMPUTED_VALUE"""),"покедова")</f>
        <v>покедова</v>
      </c>
      <c r="N375" s="6" t="str">
        <f>IFERROR(__xludf.DUMMYFUNCTION("""COMPUTED_VALUE"""),"дороги тротуары дворы парки пляж")</f>
        <v>дороги тротуары дворы парки пляж</v>
      </c>
      <c r="O375" s="6" t="str">
        <f>IFERROR(__xludf.DUMMYFUNCTION("""COMPUTED_VALUE"""),"пляж")</f>
        <v>пляж</v>
      </c>
      <c r="P375" s="6" t="str">
        <f>IFERROR(__xludf.DUMMYFUNCTION("""COMPUTED_VALUE"""),"инет")</f>
        <v>инет</v>
      </c>
      <c r="Q375" s="6" t="str">
        <f>IFERROR(__xludf.DUMMYFUNCTION("""COMPUTED_VALUE"""),"интервью с местными творческими личностями, интервью с экспертами на разные темы (напишите в разделе Другое свои предложения)")</f>
        <v>интервью с местными творческими личностями, интервью с экспертами на разные темы (напишите в разделе Другое свои предложения)</v>
      </c>
      <c r="R375" s="6" t="str">
        <f>IFERROR(__xludf.DUMMYFUNCTION("""COMPUTED_VALUE"""),"День медицинского работника")</f>
        <v>День медицинского работника</v>
      </c>
      <c r="S375" s="6" t="str">
        <f>IFERROR(__xludf.DUMMYFUNCTION("""COMPUTED_VALUE"""),"Нет, не приходилось")</f>
        <v>Нет, не приходилось</v>
      </c>
      <c r="T375" s="6" t="str">
        <f>IFERROR(__xludf.DUMMYFUNCTION("""COMPUTED_VALUE"""),"к сожалению, Зимней вишней")</f>
        <v>к сожалению, Зимней вишней</v>
      </c>
      <c r="U375" s="6" t="str">
        <f>IFERROR(__xludf.DUMMYFUNCTION("""COMPUTED_VALUE"""),"Памятник М. Волкову")</f>
        <v>Памятник М. Волкову</v>
      </c>
      <c r="V375" s="6" t="str">
        <f>IFERROR(__xludf.DUMMYFUNCTION("""COMPUTED_VALUE"""),"Азот")</f>
        <v>Азот</v>
      </c>
      <c r="W375" s="6" t="str">
        <f>IFERROR(__xludf.DUMMYFUNCTION("""COMPUTED_VALUE"""),"крутые")</f>
        <v>крутые</v>
      </c>
      <c r="X375" s="6" t="str">
        <f>IFERROR(__xludf.DUMMYFUNCTION("""COMPUTED_VALUE"""),"Пр. Советский")</f>
        <v>Пр. Советский</v>
      </c>
      <c r="Y375" s="6" t="str">
        <f>IFERROR(__xludf.DUMMYFUNCTION("""COMPUTED_VALUE"""),"Отставка Тулеева")</f>
        <v>Отставка Тулеева</v>
      </c>
      <c r="Z375" s="6" t="str">
        <f>IFERROR(__xludf.DUMMYFUNCTION("""COMPUTED_VALUE"""),"Реновация аэропорта")</f>
        <v>Реновация аэропорта</v>
      </c>
      <c r="AA375" s="6" t="str">
        <f>IFERROR(__xludf.DUMMYFUNCTION("""COMPUTED_VALUE"""),"Закрытие бассейна")</f>
        <v>Закрытие бассейна</v>
      </c>
      <c r="AB375" s="6" t="str">
        <f>IFERROR(__xludf.DUMMYFUNCTION("""COMPUTED_VALUE"""),"Добрых людей")</f>
        <v>Добрых людей</v>
      </c>
      <c r="AC375" s="6" t="str">
        <f>IFERROR(__xludf.DUMMYFUNCTION("""COMPUTED_VALUE"""),"Культурные фестивали")</f>
        <v>Культурные фестивали</v>
      </c>
      <c r="AD375" s="6" t="str">
        <f>IFERROR(__xludf.DUMMYFUNCTION("""COMPUTED_VALUE"""),"Гостя")</f>
        <v>Гостя</v>
      </c>
      <c r="AE375" s="6" t="str">
        <f>IFERROR(__xludf.DUMMYFUNCTION("""COMPUTED_VALUE"""),"Мужской")</f>
        <v>Мужской</v>
      </c>
      <c r="AF375" s="6" t="str">
        <f>IFERROR(__xludf.DUMMYFUNCTION("""COMPUTED_VALUE"""),"старше 55")</f>
        <v>старше 55</v>
      </c>
      <c r="AG375" s="6"/>
      <c r="AH375" s="6"/>
      <c r="AI375" s="6"/>
      <c r="AJ375" s="6"/>
      <c r="AK375" s="6"/>
      <c r="AL375" s="6"/>
      <c r="AM375" s="6"/>
    </row>
    <row r="376">
      <c r="A376" s="4">
        <v>375.0</v>
      </c>
      <c r="B376" s="6" t="str">
        <f>IFERROR(__xludf.DUMMYFUNCTION("""COMPUTED_VALUE"""),"Медицина")</f>
        <v>Медицина</v>
      </c>
      <c r="C376" s="6" t="str">
        <f>IFERROR(__xludf.DUMMYFUNCTION("""COMPUTED_VALUE"""),"Рисование, танцы, кулинария, плавание, походы в театр")</f>
        <v>Рисование, танцы, кулинария, плавание, походы в театр</v>
      </c>
      <c r="D376" s="6" t="str">
        <f>IFERROR(__xludf.DUMMYFUNCTION("""COMPUTED_VALUE"""),"Центральный ")</f>
        <v>Центральный </v>
      </c>
      <c r="E376" s="6" t="str">
        <f>IFERROR(__xludf.DUMMYFUNCTION("""COMPUTED_VALUE"""),"Набережная, парк антошка,весенняя, советский проспект и площадь советов,филармония,театры, парк чудес,собор")</f>
        <v>Набережная, парк антошка,весенняя, советский проспект и площадь советов,филармония,театры, парк чудес,собор</v>
      </c>
      <c r="F376"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376" s="6" t="str">
        <f>IFERROR(__xludf.DUMMYFUNCTION("""COMPUTED_VALUE"""),"В указанные ранее знаковые места")</f>
        <v>В указанные ранее знаковые места</v>
      </c>
      <c r="H376" s="6" t="str">
        <f>IFERROR(__xludf.DUMMYFUNCTION("""COMPUTED_VALUE"""),"Трубы, химия, кардиоцентр, студенчество,    проблемы с экологией")</f>
        <v>Трубы, химия, кардиоцентр, студенчество,    проблемы с экологией</v>
      </c>
      <c r="I376" s="6" t="str">
        <f>IFERROR(__xludf.DUMMYFUNCTION("""COMPUTED_VALUE"""),"Леонов, Подгорбунский")</f>
        <v>Леонов, Подгорбунский</v>
      </c>
      <c r="J376" s="6" t="str">
        <f>IFERROR(__xludf.DUMMYFUNCTION("""COMPUTED_VALUE"""),"Тулеев, Барбараш")</f>
        <v>Тулеев, Барбараш</v>
      </c>
      <c r="K376" s="6" t="str">
        <f>IFERROR(__xludf.DUMMYFUNCTION("""COMPUTED_VALUE"""),"Лесную поляну,ботанический сад, красную горку,набережную,бульвар строителей")</f>
        <v>Лесную поляну,ботанический сад, красную горку,набережную,бульвар строителей</v>
      </c>
      <c r="L376" s="6" t="str">
        <f>IFERROR(__xludf.DUMMYFUNCTION("""COMPUTED_VALUE"""),"Неизвестны")</f>
        <v>Неизвестны</v>
      </c>
      <c r="M376" s="6" t="str">
        <f>IFERROR(__xludf.DUMMYFUNCTION("""COMPUTED_VALUE"""),"Нет")</f>
        <v>Нет</v>
      </c>
      <c r="N376" s="6" t="str">
        <f>IFERROR(__xludf.DUMMYFUNCTION("""COMPUTED_VALUE"""),"Чистота,здоровье,озеленение и развитие парков,достойный заработок")</f>
        <v>Чистота,здоровье,озеленение и развитие парков,достойный заработок</v>
      </c>
      <c r="O376" s="6" t="str">
        <f>IFERROR(__xludf.DUMMYFUNCTION("""COMPUTED_VALUE"""),"Убрать частный сектор в центре")</f>
        <v>Убрать частный сектор в центре</v>
      </c>
      <c r="P376" s="6" t="str">
        <f>IFERROR(__xludf.DUMMYFUNCTION("""COMPUTED_VALUE"""),"Инстаграм и афиша 42")</f>
        <v>Инстаграм и афиша 42</v>
      </c>
      <c r="Q376"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чек/рекла"&amp;"мные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376" s="6" t="str">
        <f>IFERROR(__xludf.DUMMYFUNCTION("""COMPUTED_VALUE"""),"День города,день шахтера,9мая")</f>
        <v>День города,день шахтера,9мая</v>
      </c>
      <c r="S376" s="6" t="str">
        <f>IFERROR(__xludf.DUMMYFUNCTION("""COMPUTED_VALUE"""),"Нет, не приходилось")</f>
        <v>Нет, не приходилось</v>
      </c>
      <c r="T376" s="6" t="str">
        <f>IFERROR(__xludf.DUMMYFUNCTION("""COMPUTED_VALUE"""),"Областной центр Кузбасса")</f>
        <v>Областной центр Кузбасса</v>
      </c>
      <c r="U376" s="6" t="str">
        <f>IFERROR(__xludf.DUMMYFUNCTION("""COMPUTED_VALUE"""),"Проспект советсткий, площадь Драмтеатра")</f>
        <v>Проспект советсткий, площадь Драмтеатра</v>
      </c>
      <c r="V376" s="6" t="str">
        <f>IFERROR(__xludf.DUMMYFUNCTION("""COMPUTED_VALUE"""),"Достойно жили, служа людям и стране")</f>
        <v>Достойно жили, служа людям и стране</v>
      </c>
      <c r="W376" s="6" t="str">
        <f>IFERROR(__xludf.DUMMYFUNCTION("""COMPUTED_VALUE"""),"Стойкие, волевые, мудрые")</f>
        <v>Стойкие, волевые, мудрые</v>
      </c>
      <c r="X376" s="6" t="str">
        <f>IFERROR(__xludf.DUMMYFUNCTION("""COMPUTED_VALUE"""),"От нулевого км через филармонию по набережной до весенней, а оттуда к парку ангелов")</f>
        <v>От нулевого км через филармонию по набережной до весенней, а оттуда к парку ангелов</v>
      </c>
      <c r="Y376" s="6" t="str">
        <f>IFERROR(__xludf.DUMMYFUNCTION("""COMPUTED_VALUE"""),"Трагедия в зимней вишне")</f>
        <v>Трагедия в зимней вишне</v>
      </c>
      <c r="Z376" s="6" t="str">
        <f>IFERROR(__xludf.DUMMYFUNCTION("""COMPUTED_VALUE"""),"Построен дополнительный корпус в кардиоцентре")</f>
        <v>Построен дополнительный корпус в кардиоцентре</v>
      </c>
      <c r="AA376" s="6" t="str">
        <f>IFERROR(__xludf.DUMMYFUNCTION("""COMPUTED_VALUE"""),"Организация оказания медицинской помощи больным с ковидом ")</f>
        <v>Организация оказания медицинской помощи больным с ковидом </v>
      </c>
      <c r="AB376" s="6" t="str">
        <f>IFERROR(__xludf.DUMMYFUNCTION("""COMPUTED_VALUE"""),"Волонтерских, спортивных, сообществ по развитию интеллекта,культуры,этикета,образованию,политической и финансовой грамотности, патриотических обществ,, центра поддержки молодёжных инициатив")</f>
        <v>Волонтерских, спортивных, сообществ по развитию интеллекта,культуры,этикета,образованию,политической и финансовой грамотности, патриотических обществ,, центра поддержки молодёжных инициатив</v>
      </c>
      <c r="AC376" s="6" t="str">
        <f>IFERROR(__xludf.DUMMYFUNCTION("""COMPUTED_VALUE"""),"Выставки, концерты, экскурсии, обучающие мастер-классы, семейные мероприятия")</f>
        <v>Выставки, концерты, экскурсии, обучающие мастер-классы, семейные мероприятия</v>
      </c>
      <c r="AD376" s="6" t="str">
        <f>IFERROR(__xludf.DUMMYFUNCTION("""COMPUTED_VALUE"""),"Инициатор, организатор, участник")</f>
        <v>Инициатор, организатор, участник</v>
      </c>
      <c r="AE376" s="6" t="str">
        <f>IFERROR(__xludf.DUMMYFUNCTION("""COMPUTED_VALUE"""),"Женский")</f>
        <v>Женский</v>
      </c>
      <c r="AF376" s="6" t="str">
        <f>IFERROR(__xludf.DUMMYFUNCTION("""COMPUTED_VALUE"""),"30-44")</f>
        <v>30-44</v>
      </c>
      <c r="AG376" s="6"/>
      <c r="AH376" s="6"/>
      <c r="AI376" s="6"/>
      <c r="AJ376" s="6"/>
      <c r="AK376" s="6"/>
      <c r="AL376" s="6"/>
      <c r="AM376" s="6"/>
    </row>
    <row r="377">
      <c r="A377" s="4">
        <v>376.0</v>
      </c>
      <c r="B377" s="6" t="str">
        <f>IFERROR(__xludf.DUMMYFUNCTION("""COMPUTED_VALUE"""),"Священник")</f>
        <v>Священник</v>
      </c>
      <c r="C377" s="6" t="str">
        <f>IFERROR(__xludf.DUMMYFUNCTION("""COMPUTED_VALUE"""),"Путишествие")</f>
        <v>Путишествие</v>
      </c>
      <c r="D377" s="6" t="str">
        <f>IFERROR(__xludf.DUMMYFUNCTION("""COMPUTED_VALUE"""),"Фпк")</f>
        <v>Фпк</v>
      </c>
      <c r="E377" s="6" t="str">
        <f>IFERROR(__xludf.DUMMYFUNCTION("""COMPUTED_VALUE"""),"Гринвич")</f>
        <v>Гринвич</v>
      </c>
      <c r="F377" s="6" t="str">
        <f>IFERROR(__xludf.DUMMYFUNCTION("""COMPUTED_VALUE"""),"Живу здесь с рождения")</f>
        <v>Живу здесь с рождения</v>
      </c>
      <c r="G377" s="6" t="str">
        <f>IFERROR(__xludf.DUMMYFUNCTION("""COMPUTED_VALUE"""),"В центр")</f>
        <v>В центр</v>
      </c>
      <c r="H377" s="6" t="str">
        <f>IFERROR(__xludf.DUMMYFUNCTION("""COMPUTED_VALUE"""),"Шахта, Томь , горы , лесная поляна , Тайга
")</f>
        <v>Шахта, Томь , горы , лесная поляна , Тайга
</v>
      </c>
      <c r="I377" s="6" t="str">
        <f>IFERROR(__xludf.DUMMYFUNCTION("""COMPUTED_VALUE"""),"Волков")</f>
        <v>Волков</v>
      </c>
      <c r="J377" s="6" t="str">
        <f>IFERROR(__xludf.DUMMYFUNCTION("""COMPUTED_VALUE"""),"Михайлов ")</f>
        <v>Михайлов </v>
      </c>
      <c r="K377" s="6" t="str">
        <f>IFERROR(__xludf.DUMMYFUNCTION("""COMPUTED_VALUE"""),"Красная горка")</f>
        <v>Красная горка</v>
      </c>
      <c r="L377" s="6" t="str">
        <f>IFERROR(__xludf.DUMMYFUNCTION("""COMPUTED_VALUE"""),"Любишь родину - люби город")</f>
        <v>Любишь родину - люби город</v>
      </c>
      <c r="M377" s="6" t="str">
        <f>IFERROR(__xludf.DUMMYFUNCTION("""COMPUTED_VALUE"""),"Мультифора")</f>
        <v>Мультифора</v>
      </c>
      <c r="N377" s="6" t="str">
        <f>IFERROR(__xludf.DUMMYFUNCTION("""COMPUTED_VALUE"""),"Безопасность, экология, дороги , доступное жильё")</f>
        <v>Безопасность, экология, дороги , доступное жильё</v>
      </c>
      <c r="O377" s="6" t="str">
        <f>IFERROR(__xludf.DUMMYFUNCTION("""COMPUTED_VALUE"""),"Построить аквапарк")</f>
        <v>Построить аквапарк</v>
      </c>
      <c r="P377" s="6" t="str">
        <f>IFERROR(__xludf.DUMMYFUNCTION("""COMPUTED_VALUE"""),"А42")</f>
        <v>А42</v>
      </c>
      <c r="Q377" s="6" t="str">
        <f>IFERROR(__xludf.DUMMYFUNCTION("""COMPUTED_VALUE"""),"куда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f>
        <v>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v>
      </c>
      <c r="R377" s="6" t="str">
        <f>IFERROR(__xludf.DUMMYFUNCTION("""COMPUTED_VALUE"""),"9 мая ")</f>
        <v>9 мая </v>
      </c>
      <c r="S377" s="6" t="str">
        <f>IFERROR(__xludf.DUMMYFUNCTION("""COMPUTED_VALUE"""),"Нет, не приходилось")</f>
        <v>Нет, не приходилось</v>
      </c>
      <c r="T377" s="6" t="str">
        <f>IFERROR(__xludf.DUMMYFUNCTION("""COMPUTED_VALUE"""),"Зимняя вишня")</f>
        <v>Зимняя вишня</v>
      </c>
      <c r="U377" s="6" t="str">
        <f>IFERROR(__xludf.DUMMYFUNCTION("""COMPUTED_VALUE"""),"Горсад")</f>
        <v>Горсад</v>
      </c>
      <c r="V377" s="6" t="str">
        <f>IFERROR(__xludf.DUMMYFUNCTION("""COMPUTED_VALUE"""),"Уголь ")</f>
        <v>Уголь </v>
      </c>
      <c r="W377" s="6" t="str">
        <f>IFERROR(__xludf.DUMMYFUNCTION("""COMPUTED_VALUE"""),"Свободные")</f>
        <v>Свободные</v>
      </c>
      <c r="X377" s="6" t="str">
        <f>IFERROR(__xludf.DUMMYFUNCTION("""COMPUTED_VALUE"""),"На красную горку")</f>
        <v>На красную горку</v>
      </c>
      <c r="Y377" s="6" t="str">
        <f>IFERROR(__xludf.DUMMYFUNCTION("""COMPUTED_VALUE"""),"Цирк")</f>
        <v>Цирк</v>
      </c>
      <c r="Z377" s="6" t="str">
        <f>IFERROR(__xludf.DUMMYFUNCTION("""COMPUTED_VALUE"""),"Цирк")</f>
        <v>Цирк</v>
      </c>
      <c r="AA377" s="6" t="str">
        <f>IFERROR(__xludf.DUMMYFUNCTION("""COMPUTED_VALUE"""),"Пожары")</f>
        <v>Пожары</v>
      </c>
      <c r="AB377" s="6" t="str">
        <f>IFERROR(__xludf.DUMMYFUNCTION("""COMPUTED_VALUE"""),"ВИЧ люди")</f>
        <v>ВИЧ люди</v>
      </c>
      <c r="AC377" s="6" t="str">
        <f>IFERROR(__xludf.DUMMYFUNCTION("""COMPUTED_VALUE"""),"Шоу голос")</f>
        <v>Шоу голос</v>
      </c>
      <c r="AD377" s="6" t="str">
        <f>IFERROR(__xludf.DUMMYFUNCTION("""COMPUTED_VALUE"""),"Молитва за город")</f>
        <v>Молитва за город</v>
      </c>
      <c r="AE377" s="6" t="str">
        <f>IFERROR(__xludf.DUMMYFUNCTION("""COMPUTED_VALUE"""),"Мужской")</f>
        <v>Мужской</v>
      </c>
      <c r="AF377" s="6" t="str">
        <f>IFERROR(__xludf.DUMMYFUNCTION("""COMPUTED_VALUE"""),"30-44")</f>
        <v>30-44</v>
      </c>
      <c r="AG377" s="6"/>
      <c r="AH377" s="6"/>
      <c r="AI377" s="6"/>
      <c r="AJ377" s="6"/>
      <c r="AK377" s="6"/>
      <c r="AL377" s="6"/>
      <c r="AM377" s="6"/>
    </row>
    <row r="378">
      <c r="A378" s="4">
        <v>377.0</v>
      </c>
      <c r="B378" s="6" t="str">
        <f>IFERROR(__xludf.DUMMYFUNCTION("""COMPUTED_VALUE"""),"безработная")</f>
        <v>безработная</v>
      </c>
      <c r="C378" s="6" t="str">
        <f>IFERROR(__xludf.DUMMYFUNCTION("""COMPUTED_VALUE"""),"Музыка, сериалы, концерты, онлайн-игры")</f>
        <v>Музыка, сериалы, концерты, онлайн-игры</v>
      </c>
      <c r="D378" s="6" t="str">
        <f>IFERROR(__xludf.DUMMYFUNCTION("""COMPUTED_VALUE"""),"Кировский район")</f>
        <v>Кировский район</v>
      </c>
      <c r="E378" s="6" t="str">
        <f>IFERROR(__xludf.DUMMYFUNCTION("""COMPUTED_VALUE"""),"Набережная, Березовая роща")</f>
        <v>Набережная, Березовая роща</v>
      </c>
      <c r="F378" s="6" t="str">
        <f>IFERROR(__xludf.DUMMYFUNCTION("""COMPUTED_VALUE"""),"Живу здесь с рождения")</f>
        <v>Живу здесь с рождения</v>
      </c>
      <c r="G378" s="6" t="str">
        <f>IFERROR(__xludf.DUMMYFUNCTION("""COMPUTED_VALUE"""),"Никуда")</f>
        <v>Никуда</v>
      </c>
      <c r="H378" s="6" t="str">
        <f>IFERROR(__xludf.DUMMYFUNCTION("""COMPUTED_VALUE"""),"затрудняюсь ответить")</f>
        <v>затрудняюсь ответить</v>
      </c>
      <c r="I378" s="6" t="str">
        <f>IFERROR(__xludf.DUMMYFUNCTION("""COMPUTED_VALUE"""),"Космонавт Леонов")</f>
        <v>Космонавт Леонов</v>
      </c>
      <c r="J378" s="6" t="str">
        <f>IFERROR(__xludf.DUMMYFUNCTION("""COMPUTED_VALUE"""),"затрудняюсь ответить")</f>
        <v>затрудняюсь ответить</v>
      </c>
      <c r="K378" s="6" t="str">
        <f>IFERROR(__xludf.DUMMYFUNCTION("""COMPUTED_VALUE"""),"нет таких")</f>
        <v>нет таких</v>
      </c>
      <c r="L378" s="6" t="str">
        <f>IFERROR(__xludf.DUMMYFUNCTION("""COMPUTED_VALUE"""),"затрудняюсь ответить")</f>
        <v>затрудняюсь ответить</v>
      </c>
      <c r="M378" s="6" t="str">
        <f>IFERROR(__xludf.DUMMYFUNCTION("""COMPUTED_VALUE"""),"нет")</f>
        <v>нет</v>
      </c>
      <c r="N378" s="6" t="str">
        <f>IFERROR(__xludf.DUMMYFUNCTION("""COMPUTED_VALUE"""),"Чистота, развитая инфраструктура (особенно транспортная система), отсутствие промышленных предприятий в черте города, благоустроенность ")</f>
        <v>Чистота, развитая инфраструктура (особенно транспортная система), отсутствие промышленных предприятий в черте города, благоустроенность </v>
      </c>
      <c r="O378" s="6" t="str">
        <f>IFERROR(__xludf.DUMMYFUNCTION("""COMPUTED_VALUE"""),"Отреставрировать исторические здания (не только в центре города)")</f>
        <v>Отреставрировать исторические здания (не только в центре города)</v>
      </c>
      <c r="P378" s="6" t="str">
        <f>IFERROR(__xludf.DUMMYFUNCTION("""COMPUTED_VALUE"""),"Вконтакте, Твиттер")</f>
        <v>Вконтакте, Твиттер</v>
      </c>
      <c r="Q378" s="6" t="str">
        <f>IFERROR(__xludf.DUMMYFUNCTION("""COMPUTED_VALUE"""),"городская афиша (кино/театр/концерты), культурные новинки (что почитать/что послушать), криминальные новости (происшествия/преступления)")</f>
        <v>городская афиша (кино/театр/концерты), культурные новинки (что почитать/что послушать), криминальные новости (происшествия/преступления)</v>
      </c>
      <c r="R378" s="6" t="str">
        <f>IFERROR(__xludf.DUMMYFUNCTION("""COMPUTED_VALUE"""),"нет таких")</f>
        <v>нет таких</v>
      </c>
      <c r="S378" s="6" t="str">
        <f>IFERROR(__xludf.DUMMYFUNCTION("""COMPUTED_VALUE"""),"Нет, не приходилось")</f>
        <v>Нет, не приходилось</v>
      </c>
      <c r="T378" s="6" t="str">
        <f>IFERROR(__xludf.DUMMYFUNCTION("""COMPUTED_VALUE"""),"затрудняюсь ответить, обычный провинциальный город")</f>
        <v>затрудняюсь ответить, обычный провинциальный город</v>
      </c>
      <c r="U378" s="6" t="str">
        <f>IFERROR(__xludf.DUMMYFUNCTION("""COMPUTED_VALUE"""),"затрудняюсь ответить")</f>
        <v>затрудняюсь ответить</v>
      </c>
      <c r="V378" s="6" t="str">
        <f>IFERROR(__xludf.DUMMYFUNCTION("""COMPUTED_VALUE"""),"затрудняюсь ответить")</f>
        <v>затрудняюсь ответить</v>
      </c>
      <c r="W378" s="6" t="str">
        <f>IFERROR(__xludf.DUMMYFUNCTION("""COMPUTED_VALUE"""),"Суровые, твердые люди, терпеливо переживающие неудачи")</f>
        <v>Суровые, твердые люди, терпеливо переживающие неудачи</v>
      </c>
      <c r="X378" s="6" t="str">
        <f>IFERROR(__xludf.DUMMYFUNCTION("""COMPUTED_VALUE"""),"затрудняюсь ответить")</f>
        <v>затрудняюсь ответить</v>
      </c>
      <c r="Y378" s="6" t="str">
        <f>IFERROR(__xludf.DUMMYFUNCTION("""COMPUTED_VALUE"""),"нет")</f>
        <v>нет</v>
      </c>
      <c r="Z378" s="6" t="str">
        <f>IFERROR(__xludf.DUMMYFUNCTION("""COMPUTED_VALUE"""),"Музыкальный фестиваль Герои Мирового Рока 2019 ")</f>
        <v>Музыкальный фестиваль Герои Мирового Рока 2019 </v>
      </c>
      <c r="AA378" s="6" t="str">
        <f>IFERROR(__xludf.DUMMYFUNCTION("""COMPUTED_VALUE"""),"Пожар в ТЦ Зимняя вишня")</f>
        <v>Пожар в ТЦ Зимняя вишня</v>
      </c>
      <c r="AB378" s="6" t="str">
        <f>IFERROR(__xludf.DUMMYFUNCTION("""COMPUTED_VALUE"""),"затрудняюсь ответить")</f>
        <v>затрудняюсь ответить</v>
      </c>
      <c r="AC378" s="6" t="str">
        <f>IFERROR(__xludf.DUMMYFUNCTION("""COMPUTED_VALUE"""),"Больше концертов зарубежных и некоторых российских групп")</f>
        <v>Больше концертов зарубежных и некоторых российских групп</v>
      </c>
      <c r="AD378" s="6" t="str">
        <f>IFERROR(__xludf.DUMMYFUNCTION("""COMPUTED_VALUE"""),"затрудняюсь ответить")</f>
        <v>затрудняюсь ответить</v>
      </c>
      <c r="AE378" s="6" t="str">
        <f>IFERROR(__xludf.DUMMYFUNCTION("""COMPUTED_VALUE"""),"Женский")</f>
        <v>Женский</v>
      </c>
      <c r="AF378" s="6" t="str">
        <f>IFERROR(__xludf.DUMMYFUNCTION("""COMPUTED_VALUE"""),"18-29")</f>
        <v>18-29</v>
      </c>
      <c r="AG378" s="6"/>
      <c r="AH378" s="6"/>
      <c r="AI378" s="6"/>
      <c r="AJ378" s="6"/>
      <c r="AK378" s="6"/>
      <c r="AL378" s="6"/>
      <c r="AM378" s="6"/>
    </row>
    <row r="379">
      <c r="A379" s="4">
        <v>378.0</v>
      </c>
      <c r="B379" s="6" t="str">
        <f>IFERROR(__xludf.DUMMYFUNCTION("""COMPUTED_VALUE"""),"медицина")</f>
        <v>медицина</v>
      </c>
      <c r="C379" s="6" t="str">
        <f>IFERROR(__xludf.DUMMYFUNCTION("""COMPUTED_VALUE"""),"садоводство,медицина")</f>
        <v>садоводство,медицина</v>
      </c>
      <c r="D379" s="6" t="str">
        <f>IFERROR(__xludf.DUMMYFUNCTION("""COMPUTED_VALUE"""),"заводской")</f>
        <v>заводской</v>
      </c>
      <c r="E379" s="6" t="str">
        <f>IFERROR(__xludf.DUMMYFUNCTION("""COMPUTED_VALUE"""),"швейка")</f>
        <v>швейка</v>
      </c>
      <c r="F379" s="6" t="str">
        <f>IFERROR(__xludf.DUMMYFUNCTION("""COMPUTED_VALUE"""),"Живу здесь с рождения")</f>
        <v>Живу здесь с рождения</v>
      </c>
      <c r="G379" s="6" t="str">
        <f>IFERROR(__xludf.DUMMYFUNCTION("""COMPUTED_VALUE"""),"филармония, театр оперетты, Журавли")</f>
        <v>филармония, театр оперетты, Журавли</v>
      </c>
      <c r="H379" s="6" t="str">
        <f>IFERROR(__xludf.DUMMYFUNCTION("""COMPUTED_VALUE"""),"Сибирь, уголь,тепло,дом")</f>
        <v>Сибирь, уголь,тепло,дом</v>
      </c>
      <c r="I379" s="6" t="str">
        <f>IFERROR(__xludf.DUMMYFUNCTION("""COMPUTED_VALUE"""),"Бобров, Михайлов,Тулеев")</f>
        <v>Бобров, Михайлов,Тулеев</v>
      </c>
      <c r="J379" s="6" t="str">
        <f>IFERROR(__xludf.DUMMYFUNCTION("""COMPUTED_VALUE"""),"Михайлов. ТУЛЕЕВ")</f>
        <v>Михайлов. ТУЛЕЕВ</v>
      </c>
      <c r="K379" s="6" t="str">
        <f>IFERROR(__xludf.DUMMYFUNCTION("""COMPUTED_VALUE"""),"Красная Горка,Рудник,Областная станция Юннатов(эколого-биологическая)")</f>
        <v>Красная Горка,Рудник,Областная станция Юннатов(эколого-биологическая)</v>
      </c>
      <c r="L379" s="6" t="str">
        <f>IFERROR(__xludf.DUMMYFUNCTION("""COMPUTED_VALUE"""),"нет")</f>
        <v>нет</v>
      </c>
      <c r="M379" s="6" t="str">
        <f>IFERROR(__xludf.DUMMYFUNCTION("""COMPUTED_VALUE"""),"нет")</f>
        <v>нет</v>
      </c>
      <c r="N379" s="6" t="str">
        <f>IFERROR(__xludf.DUMMYFUNCTION("""COMPUTED_VALUE"""),"дороги, дворы,чистота,порядок,транспорт,медицина")</f>
        <v>дороги, дворы,чистота,порядок,транспорт,медицина</v>
      </c>
      <c r="O379" s="6" t="str">
        <f>IFERROR(__xludf.DUMMYFUNCTION("""COMPUTED_VALUE"""),"дороги,дворы,Мэр,озеленение")</f>
        <v>дороги,дворы,Мэр,озеленение</v>
      </c>
      <c r="P379" s="6" t="str">
        <f>IFERROR(__xludf.DUMMYFUNCTION("""COMPUTED_VALUE"""),"интернет - Яндекс, Майл")</f>
        <v>интернет - Яндекс, Майл</v>
      </c>
      <c r="Q379" s="6" t="str">
        <f>IFERROR(__xludf.DUMMYFUNCTION("""COMPUTED_VALUE"""),"городская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379" s="6" t="str">
        <f>IFERROR(__xludf.DUMMYFUNCTION("""COMPUTED_VALUE"""),"день Победы")</f>
        <v>день Победы</v>
      </c>
      <c r="S379" s="6" t="str">
        <f>IFERROR(__xludf.DUMMYFUNCTION("""COMPUTED_VALUE"""),"нет")</f>
        <v>нет</v>
      </c>
      <c r="T379" s="6" t="str">
        <f>IFERROR(__xludf.DUMMYFUNCTION("""COMPUTED_VALUE"""),"уголь, химия,Тулеев")</f>
        <v>уголь, химия,Тулеев</v>
      </c>
      <c r="U379" s="6" t="str">
        <f>IFERROR(__xludf.DUMMYFUNCTION("""COMPUTED_VALUE"""),"швейка")</f>
        <v>швейка</v>
      </c>
      <c r="V379" s="6" t="str">
        <f>IFERROR(__xludf.DUMMYFUNCTION("""COMPUTED_VALUE"""),"трудовой подвиг")</f>
        <v>трудовой подвиг</v>
      </c>
      <c r="W379" s="6" t="str">
        <f>IFERROR(__xludf.DUMMYFUNCTION("""COMPUTED_VALUE"""),"терпеливые, трудолюбивые")</f>
        <v>терпеливые, трудолюбивые</v>
      </c>
      <c r="X379" s="6" t="str">
        <f>IFERROR(__xludf.DUMMYFUNCTION("""COMPUTED_VALUE"""),"бор")</f>
        <v>бор</v>
      </c>
      <c r="Y379" s="6" t="str">
        <f>IFERROR(__xludf.DUMMYFUNCTION("""COMPUTED_VALUE"""),"трудовой подвиг народа")</f>
        <v>трудовой подвиг народа</v>
      </c>
      <c r="Z379" s="6" t="str">
        <f>IFERROR(__xludf.DUMMYFUNCTION("""COMPUTED_VALUE"""),"нет таких")</f>
        <v>нет таких</v>
      </c>
      <c r="AA379" s="6" t="str">
        <f>IFERROR(__xludf.DUMMYFUNCTION("""COMPUTED_VALUE"""),"разрушение города, дорог, улиц, лица города")</f>
        <v>разрушение города, дорог, улиц, лица города</v>
      </c>
      <c r="AB379" s="6" t="str">
        <f>IFERROR(__xludf.DUMMYFUNCTION("""COMPUTED_VALUE"""),"любящих свой город")</f>
        <v>любящих свой город</v>
      </c>
      <c r="AC379" s="6" t="str">
        <f>IFERROR(__xludf.DUMMYFUNCTION("""COMPUTED_VALUE"""),"замена губернатора и мэра")</f>
        <v>замена губернатора и мэра</v>
      </c>
      <c r="AD379" s="6" t="str">
        <f>IFERROR(__xludf.DUMMYFUNCTION("""COMPUTED_VALUE"""),"в любой!")</f>
        <v>в любой!</v>
      </c>
      <c r="AE379" s="6" t="str">
        <f>IFERROR(__xludf.DUMMYFUNCTION("""COMPUTED_VALUE"""),"Мужской")</f>
        <v>Мужской</v>
      </c>
      <c r="AF379" s="6" t="str">
        <f>IFERROR(__xludf.DUMMYFUNCTION("""COMPUTED_VALUE"""),"старше 55")</f>
        <v>старше 55</v>
      </c>
      <c r="AG379" s="6"/>
      <c r="AH379" s="6"/>
      <c r="AI379" s="6"/>
      <c r="AJ379" s="6"/>
      <c r="AK379" s="6"/>
      <c r="AL379" s="6"/>
      <c r="AM379" s="6"/>
    </row>
    <row r="380">
      <c r="A380" s="4">
        <v>379.0</v>
      </c>
      <c r="B380" s="6" t="str">
        <f>IFERROR(__xludf.DUMMYFUNCTION("""COMPUTED_VALUE"""),"складской работник")</f>
        <v>складской работник</v>
      </c>
      <c r="C380" s="6" t="str">
        <f>IFERROR(__xludf.DUMMYFUNCTION("""COMPUTED_VALUE"""),"вязание")</f>
        <v>вязание</v>
      </c>
      <c r="D380" s="6" t="str">
        <f>IFERROR(__xludf.DUMMYFUNCTION("""COMPUTED_VALUE"""),"Ленинский, Шалго")</f>
        <v>Ленинский, Шалго</v>
      </c>
      <c r="E380" s="6" t="str">
        <f>IFERROR(__xludf.DUMMYFUNCTION("""COMPUTED_VALUE"""),"бульвар строителей")</f>
        <v>бульвар строителей</v>
      </c>
      <c r="F380" s="6" t="str">
        <f>IFERROR(__xludf.DUMMYFUNCTION("""COMPUTED_VALUE"""),"Родился здесь,но сейчас живу в другом городе")</f>
        <v>Родился здесь,но сейчас живу в другом городе</v>
      </c>
      <c r="G380" s="6" t="str">
        <f>IFERROR(__xludf.DUMMYFUNCTION("""COMPUTED_VALUE"""),"бульвар строителей, набережная, дендропарк")</f>
        <v>бульвар строителей, набережная, дендропарк</v>
      </c>
      <c r="H380" s="6" t="str">
        <f>IFERROR(__xludf.DUMMYFUNCTION("""COMPUTED_VALUE"""),"коксохим, азот, ГРЭС, шахтеры, уголь")</f>
        <v>коксохим, азот, ГРЭС, шахтеры, уголь</v>
      </c>
      <c r="I380" s="6" t="str">
        <f>IFERROR(__xludf.DUMMYFUNCTION("""COMPUTED_VALUE"""),"Волков, Рутгерс")</f>
        <v>Волков, Рутгерс</v>
      </c>
      <c r="J380" s="6" t="str">
        <f>IFERROR(__xludf.DUMMYFUNCTION("""COMPUTED_VALUE"""),"не знаю")</f>
        <v>не знаю</v>
      </c>
      <c r="K380" s="6" t="str">
        <f>IFERROR(__xludf.DUMMYFUNCTION("""COMPUTED_VALUE"""),"Томская писаница, Тюльберкское городище, парк Ангелов
")</f>
        <v>Томская писаница, Тюльберкское городище, парк Ангелов
</v>
      </c>
      <c r="L380" s="6" t="str">
        <f>IFERROR(__xludf.DUMMYFUNCTION("""COMPUTED_VALUE"""),"куча секретных заводов под землей в кировском районе")</f>
        <v>куча секретных заводов под землей в кировском районе</v>
      </c>
      <c r="M380" s="6" t="str">
        <f>IFERROR(__xludf.DUMMYFUNCTION("""COMPUTED_VALUE"""),"нет")</f>
        <v>нет</v>
      </c>
      <c r="N380" s="6" t="str">
        <f>IFERROR(__xludf.DUMMYFUNCTION("""COMPUTED_VALUE"""),"наличие разных доставок, наличие рабочих мест без гендерного различия, конкурентные зарплаты")</f>
        <v>наличие разных доставок, наличие рабочих мест без гендерного различия, конкурентные зарплаты</v>
      </c>
      <c r="O380" s="6" t="str">
        <f>IFERROR(__xludf.DUMMYFUNCTION("""COMPUTED_VALUE"""),"ну разве что пыль смыть, а в остальном -все и так норм")</f>
        <v>ну разве что пыль смыть, а в остальном -все и так норм</v>
      </c>
      <c r="P380" s="6" t="str">
        <f>IFERROR(__xludf.DUMMYFUNCTION("""COMPUTED_VALUE"""),"а42")</f>
        <v>а42</v>
      </c>
      <c r="Q380"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380" s="6" t="str">
        <f>IFERROR(__xludf.DUMMYFUNCTION("""COMPUTED_VALUE"""),"ну разве что день города")</f>
        <v>ну разве что день города</v>
      </c>
      <c r="S380" s="6" t="str">
        <f>IFERROR(__xludf.DUMMYFUNCTION("""COMPUTED_VALUE"""),"Нет, не приходилось")</f>
        <v>Нет, не приходилось</v>
      </c>
      <c r="T380" s="6" t="str">
        <f>IFERROR(__xludf.DUMMYFUNCTION("""COMPUTED_VALUE"""),"химия, уголь, а вот с уникальностью сложно, ее просто нет")</f>
        <v>химия, уголь, а вот с уникальностью сложно, ее просто нет</v>
      </c>
      <c r="U380" s="6" t="str">
        <f>IFERROR(__xludf.DUMMYFUNCTION("""COMPUTED_VALUE"""),"набережная и остатки опор фуникулера. а так же рудничный бор")</f>
        <v>набережная и остатки опор фуникулера. а так же рудничный бор</v>
      </c>
      <c r="V380" s="6" t="str">
        <f>IFERROR(__xludf.DUMMYFUNCTION("""COMPUTED_VALUE"""),"не знаю")</f>
        <v>не знаю</v>
      </c>
      <c r="W380" s="6" t="str">
        <f>IFERROR(__xludf.DUMMYFUNCTION("""COMPUTED_VALUE"""),"с одной стороны спокойные, с другой - дикие, как будто с гор спустились")</f>
        <v>с одной стороны спокойные, с другой - дикие, как будто с гор спустились</v>
      </c>
      <c r="X380" s="6" t="str">
        <f>IFERROR(__xludf.DUMMYFUNCTION("""COMPUTED_VALUE"""),"кузнецкий-набережная-весенняя-парк военной техники у Искитимки-бульвар строителей")</f>
        <v>кузнецкий-набережная-весенняя-парк военной техники у Искитимки-бульвар строителей</v>
      </c>
      <c r="Y380" s="6" t="str">
        <f>IFERROR(__xludf.DUMMYFUNCTION("""COMPUTED_VALUE"""),"не знаю")</f>
        <v>не знаю</v>
      </c>
      <c r="Z380" s="6" t="str">
        <f>IFERROR(__xludf.DUMMYFUNCTION("""COMPUTED_VALUE"""),"не запомнилось")</f>
        <v>не запомнилось</v>
      </c>
      <c r="AA380" s="6" t="str">
        <f>IFERROR(__xludf.DUMMYFUNCTION("""COMPUTED_VALUE"""),"зимняя вишня")</f>
        <v>зимняя вишня</v>
      </c>
      <c r="AB380" s="6" t="str">
        <f>IFERROR(__xludf.DUMMYFUNCTION("""COMPUTED_VALUE"""),"мне все норм")</f>
        <v>мне все норм</v>
      </c>
      <c r="AC380" s="6" t="str">
        <f>IFERROR(__xludf.DUMMYFUNCTION("""COMPUTED_VALUE"""),"направленные на благотворительность, на вовлечение молодежи в жизнь города, без примеси военщины и псевдо-патриотизма. потому как патриотизм должен быть в сердце и не напоказ")</f>
        <v>направленные на благотворительность, на вовлечение молодежи в жизнь города, без примеси военщины и псевдо-патриотизма. потому как патриотизм должен быть в сердце и не напоказ</v>
      </c>
      <c r="AD380" s="6" t="str">
        <f>IFERROR(__xludf.DUMMYFUNCTION("""COMPUTED_VALUE"""),"не хочу участвовать")</f>
        <v>не хочу участвовать</v>
      </c>
      <c r="AE380" s="6" t="str">
        <f>IFERROR(__xludf.DUMMYFUNCTION("""COMPUTED_VALUE"""),"Женский")</f>
        <v>Женский</v>
      </c>
      <c r="AF380" s="6" t="str">
        <f>IFERROR(__xludf.DUMMYFUNCTION("""COMPUTED_VALUE"""),"30-44")</f>
        <v>30-44</v>
      </c>
      <c r="AG380" s="6"/>
      <c r="AH380" s="6"/>
      <c r="AI380" s="6"/>
      <c r="AJ380" s="6"/>
      <c r="AK380" s="6"/>
      <c r="AL380" s="6"/>
      <c r="AM380" s="6"/>
    </row>
    <row r="381">
      <c r="A381" s="4">
        <v>380.0</v>
      </c>
      <c r="B381" s="6" t="str">
        <f>IFERROR(__xludf.DUMMYFUNCTION("""COMPUTED_VALUE"""),"Страхование")</f>
        <v>Страхование</v>
      </c>
      <c r="C381" s="6" t="str">
        <f>IFERROR(__xludf.DUMMYFUNCTION("""COMPUTED_VALUE"""),"Велосипед")</f>
        <v>Велосипед</v>
      </c>
      <c r="D381" s="6" t="str">
        <f>IFERROR(__xludf.DUMMYFUNCTION("""COMPUTED_VALUE"""),"Ленинский")</f>
        <v>Ленинский</v>
      </c>
      <c r="E381" s="6" t="str">
        <f>IFERROR(__xludf.DUMMYFUNCTION("""COMPUTED_VALUE"""),"Мечеть, Лента, Леруа, Красное озеро")</f>
        <v>Мечеть, Лента, Леруа, Красное озеро</v>
      </c>
      <c r="F381" s="6" t="str">
        <f>IFERROR(__xludf.DUMMYFUNCTION("""COMPUTED_VALUE"""),"Живу здесь с рождения")</f>
        <v>Живу здесь с рождения</v>
      </c>
      <c r="G381" s="6" t="str">
        <f>IFERROR(__xludf.DUMMYFUNCTION("""COMPUTED_VALUE"""),"Томская Писаница, набережная, баня Бодрость, ")</f>
        <v>Томская Писаница, набережная, баня Бодрость, </v>
      </c>
      <c r="H381" s="6" t="str">
        <f>IFERROR(__xludf.DUMMYFUNCTION("""COMPUTED_VALUE"""),"Хорошие дороги. воздух, который видно и который скрипит на зубах. Транспортный тупик. Дистрикт 12 из «Голодных игр». Оранжевый светофор ")</f>
        <v>Хорошие дороги. воздух, который видно и который скрипит на зубах. Транспортный тупик. Дистрикт 12 из «Голодных игр». Оранжевый светофор </v>
      </c>
      <c r="I381" s="6" t="str">
        <f>IFERROR(__xludf.DUMMYFUNCTION("""COMPUTED_VALUE"""),"Волков, Тулеев, Михайлов, ")</f>
        <v>Волков, Тулеев, Михайлов, </v>
      </c>
      <c r="J381" s="6" t="str">
        <f>IFERROR(__xludf.DUMMYFUNCTION("""COMPUTED_VALUE"""),"Михайлов, Тулеев, Федяев, Бочкарев")</f>
        <v>Михайлов, Тулеев, Федяев, Бочкарев</v>
      </c>
      <c r="K381" s="6" t="str">
        <f>IFERROR(__xludf.DUMMYFUNCTION("""COMPUTED_VALUE"""),"Бар Белочка, Азотовское кольцо, памятник шахтерам на Красной горке. ")</f>
        <v>Бар Белочка, Азотовское кольцо, памятник шахтерам на Красной горке. </v>
      </c>
      <c r="L381" s="6" t="str">
        <f>IFERROR(__xludf.DUMMYFUNCTION("""COMPUTED_VALUE"""),"Кто последний будет уезжать из города навсегда, не забудьте выключить свет в аэропорту. ")</f>
        <v>Кто последний будет уезжать из города навсегда, не забудьте выключить свет в аэропорту. </v>
      </c>
      <c r="M381" s="6" t="str">
        <f>IFERROR(__xludf.DUMMYFUNCTION("""COMPUTED_VALUE"""),"Мультифора. Дубльгис. Шанхай (Шалготарьян). ")</f>
        <v>Мультифора. Дубльгис. Шанхай (Шалготарьян). </v>
      </c>
      <c r="N381" s="6" t="str">
        <f>IFERROR(__xludf.DUMMYFUNCTION("""COMPUTED_VALUE"""),"Чистый воздух. Рабочие места. Качественное образование. Транспортная доступность. Качественные и чистые дороги и пешеходные зоны. ")</f>
        <v>Чистый воздух. Рабочие места. Качественное образование. Транспортная доступность. Качественные и чистые дороги и пешеходные зоны. </v>
      </c>
      <c r="O381" s="6" t="str">
        <f>IFERROR(__xludf.DUMMYFUNCTION("""COMPUTED_VALUE"""),"Избавиться от пыли. Заткнуть трубы Азота и КОКСа. Убрать заборы, которыми загородили весь город. ")</f>
        <v>Избавиться от пыли. Заткнуть трубы Азота и КОКСа. Убрать заборы, которыми загородили весь город. </v>
      </c>
      <c r="P381" s="6" t="str">
        <f>IFERROR(__xludf.DUMMYFUNCTION("""COMPUTED_VALUE"""),"Инстаграм")</f>
        <v>Инстаграм</v>
      </c>
      <c r="Q381" s="6" t="str">
        <f>IFERROR(__xludf.DUMMYFUNCTION("""COMPUTED_VALUE"""),"куда пойти в свободное время, криминальные новости (происшествия/преступления), бизнес-новости (средний чек/рекламные акции/запуск новых предприятий)")</f>
        <v>куда пойти в свободное время, криминальные новости (происшествия/преступления), бизнес-новости (средний чек/рекламные акции/запуск новых предприятий)</v>
      </c>
      <c r="R381" s="6" t="str">
        <f>IFERROR(__xludf.DUMMYFUNCTION("""COMPUTED_VALUE"""),"Любые, не перемешанные с флагами Единой России ")</f>
        <v>Любые, не перемешанные с флагами Единой России </v>
      </c>
      <c r="S381" s="6" t="str">
        <f>IFERROR(__xludf.DUMMYFUNCTION("""COMPUTED_VALUE"""),"Участвовал в агитации за Тулеева на первых президентских выборах")</f>
        <v>Участвовал в агитации за Тулеева на первых президентских выборах</v>
      </c>
      <c r="T381" s="6" t="str">
        <f>IFERROR(__xludf.DUMMYFUNCTION("""COMPUTED_VALUE"""),"Качество дорог лучше, чем в соседних столицах субъектов РФ. Известен криминалом 90-х. Уникальная транспортная дыра - Ни самолётов, ни поездов.  ")</f>
        <v>Качество дорог лучше, чем в соседних столицах субъектов РФ. Известен криминалом 90-х. Уникальная транспортная дыра - Ни самолётов, ни поездов.  </v>
      </c>
      <c r="U381" s="6" t="str">
        <f>IFERROR(__xludf.DUMMYFUNCTION("""COMPUTED_VALUE"""),"Драмтеатр ")</f>
        <v>Драмтеатр </v>
      </c>
      <c r="V381" s="6" t="str">
        <f>IFERROR(__xludf.DUMMYFUNCTION("""COMPUTED_VALUE"""),"Усердно работали. ")</f>
        <v>Усердно работали. </v>
      </c>
      <c r="W381" s="6" t="str">
        <f>IFERROR(__xludf.DUMMYFUNCTION("""COMPUTED_VALUE"""),"Хмурые, злые, бедные, пьющие ")</f>
        <v>Хмурые, злые, бедные, пьющие </v>
      </c>
      <c r="X381" s="6" t="str">
        <f>IFERROR(__xludf.DUMMYFUNCTION("""COMPUTED_VALUE"""),"Драмтеатр, площадь Советов, набережная, горсад, Кирова, Весенняя, Драмтеатр")</f>
        <v>Драмтеатр, площадь Советов, набережная, горсад, Кирова, Весенняя, Драмтеатр</v>
      </c>
      <c r="Y381" s="6" t="str">
        <f>IFERROR(__xludf.DUMMYFUNCTION("""COMPUTED_VALUE"""),"Стал столицей Кузбасса. ")</f>
        <v>Стал столицей Кузбасса. </v>
      </c>
      <c r="Z381" s="6" t="str">
        <f>IFERROR(__xludf.DUMMYFUNCTION("""COMPUTED_VALUE"""),"Ремонт набережной в Кировском")</f>
        <v>Ремонт набережной в Кировском</v>
      </c>
      <c r="AA381" s="6" t="str">
        <f>IFERROR(__xludf.DUMMYFUNCTION("""COMPUTED_VALUE"""),"Перманентные закрытия торговых центров под благими предлогами. Массовые стройки бесполезных для горожан объектов (суды, налоговая и тд)")</f>
        <v>Перманентные закрытия торговых центров под благими предлогами. Массовые стройки бесполезных для горожан объектов (суды, налоговая и тд)</v>
      </c>
      <c r="AB381" s="6" t="str">
        <f>IFERROR(__xludf.DUMMYFUNCTION("""COMPUTED_VALUE"""),"Их в стране не хватает")</f>
        <v>Их в стране не хватает</v>
      </c>
      <c r="AC381" s="6" t="str">
        <f>IFERROR(__xludf.DUMMYFUNCTION("""COMPUTED_VALUE"""),"Вернуть нормальное образование. Больше неполитизированных поаздников или концертов. Своя футбольная команда.  ")</f>
        <v>Вернуть нормальное образование. Больше неполитизированных поаздников или концертов. Своя футбольная команда.  </v>
      </c>
      <c r="AD381" s="6" t="str">
        <f>IFERROR(__xludf.DUMMYFUNCTION("""COMPUTED_VALUE"""),"Активной")</f>
        <v>Активной</v>
      </c>
      <c r="AE381" s="6" t="str">
        <f>IFERROR(__xludf.DUMMYFUNCTION("""COMPUTED_VALUE"""),"Мужской")</f>
        <v>Мужской</v>
      </c>
      <c r="AF381" s="6" t="str">
        <f>IFERROR(__xludf.DUMMYFUNCTION("""COMPUTED_VALUE"""),"30-44")</f>
        <v>30-44</v>
      </c>
      <c r="AG381" s="6"/>
      <c r="AH381" s="6"/>
      <c r="AI381" s="6"/>
      <c r="AJ381" s="6"/>
      <c r="AK381" s="6"/>
      <c r="AL381" s="6"/>
      <c r="AM381" s="6"/>
    </row>
    <row r="382">
      <c r="A382" s="4">
        <v>381.0</v>
      </c>
      <c r="B382" s="6" t="str">
        <f>IFERROR(__xludf.DUMMYFUNCTION("""COMPUTED_VALUE"""),"студентка")</f>
        <v>студентка</v>
      </c>
      <c r="C382" s="6" t="str">
        <f>IFERROR(__xludf.DUMMYFUNCTION("""COMPUTED_VALUE"""),"рисование")</f>
        <v>рисование</v>
      </c>
      <c r="D382" s="6" t="str">
        <f>IFERROR(__xludf.DUMMYFUNCTION("""COMPUTED_VALUE"""),"центральный")</f>
        <v>центральный</v>
      </c>
      <c r="E382" s="6" t="str">
        <f>IFERROR(__xludf.DUMMYFUNCTION("""COMPUTED_VALUE"""),"площадь Советов")</f>
        <v>площадь Советов</v>
      </c>
      <c r="F382" s="6" t="str">
        <f>IFERROR(__xludf.DUMMYFUNCTION("""COMPUTED_VALUE"""),"Живу здесь с рождения")</f>
        <v>Живу здесь с рождения</v>
      </c>
      <c r="G382" s="6" t="str">
        <f>IFERROR(__xludf.DUMMYFUNCTION("""COMPUTED_VALUE"""),"горсад")</f>
        <v>горсад</v>
      </c>
      <c r="H382" s="6" t="str">
        <f>IFERROR(__xludf.DUMMYFUNCTION("""COMPUTED_VALUE"""),"многолюдный, шумный, грязный")</f>
        <v>многолюдный, шумный, грязный</v>
      </c>
      <c r="I382" s="6" t="str">
        <f>IFERROR(__xludf.DUMMYFUNCTION("""COMPUTED_VALUE"""),"Вера Волошина, Юрий Двужильный")</f>
        <v>Вера Волошина, Юрий Двужильный</v>
      </c>
      <c r="J382" s="6" t="str">
        <f>IFERROR(__xludf.DUMMYFUNCTION("""COMPUTED_VALUE"""),"Аман Тулеев")</f>
        <v>Аман Тулеев</v>
      </c>
      <c r="K382" s="6" t="str">
        <f>IFERROR(__xludf.DUMMYFUNCTION("""COMPUTED_VALUE"""),"Площадь Советов, Бульвар Строителей, Сосновый бор")</f>
        <v>Площадь Советов, Бульвар Строителей, Сосновый бор</v>
      </c>
      <c r="L382" s="6" t="str">
        <f>IFERROR(__xludf.DUMMYFUNCTION("""COMPUTED_VALUE"""),"Хорош город домами, да плох головами")</f>
        <v>Хорош город домами, да плох головами</v>
      </c>
      <c r="M382" s="6" t="str">
        <f>IFERROR(__xludf.DUMMYFUNCTION("""COMPUTED_VALUE"""),"-")</f>
        <v>-</v>
      </c>
      <c r="N382" s="6" t="str">
        <f>IFERROR(__xludf.DUMMYFUNCTION("""COMPUTED_VALUE"""),"чистота,  много зелени и цветов, хорошие дороги, хорошая экология, доступная среда для людей с ОВЗ")</f>
        <v>чистота,  много зелени и цветов, хорошие дороги, хорошая экология, доступная среда для людей с ОВЗ</v>
      </c>
      <c r="O382" s="6" t="str">
        <f>IFERROR(__xludf.DUMMYFUNCTION("""COMPUTED_VALUE"""),"Клумбы по всему городу, а не в центре, достойные остановочные павильоны,  зоны отдыха в каждом микрорайоне города.")</f>
        <v>Клумбы по всему городу, а не в центре, достойные остановочные павильоны,  зоны отдыха в каждом микрорайоне города.</v>
      </c>
      <c r="P382" s="6" t="str">
        <f>IFERROR(__xludf.DUMMYFUNCTION("""COMPUTED_VALUE"""),"от друзей, преподавателей, родителей")</f>
        <v>от друзей, преподавателей, родителей</v>
      </c>
      <c r="Q382"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382" s="6" t="str">
        <f>IFERROR(__xludf.DUMMYFUNCTION("""COMPUTED_VALUE"""),"День города")</f>
        <v>День города</v>
      </c>
      <c r="S382" s="6" t="str">
        <f>IFERROR(__xludf.DUMMYFUNCTION("""COMPUTED_VALUE"""),"Нет, не приходилось")</f>
        <v>Нет, не приходилось</v>
      </c>
      <c r="T382" s="6" t="str">
        <f>IFERROR(__xludf.DUMMYFUNCTION("""COMPUTED_VALUE"""),"-")</f>
        <v>-</v>
      </c>
      <c r="U382" s="6" t="str">
        <f>IFERROR(__xludf.DUMMYFUNCTION("""COMPUTED_VALUE"""),"Горсад Парк Чудес")</f>
        <v>Горсад Парк Чудес</v>
      </c>
      <c r="V382" s="6" t="str">
        <f>IFERROR(__xludf.DUMMYFUNCTION("""COMPUTED_VALUE"""),"-")</f>
        <v>-</v>
      </c>
      <c r="W382" s="6" t="str">
        <f>IFERROR(__xludf.DUMMYFUNCTION("""COMPUTED_VALUE"""),"обычные, добрые")</f>
        <v>обычные, добрые</v>
      </c>
      <c r="X382" s="6" t="str">
        <f>IFERROR(__xludf.DUMMYFUNCTION("""COMPUTED_VALUE"""),"Парк Чудес-вечный огонь-набережная Томи")</f>
        <v>Парк Чудес-вечный огонь-набережная Томи</v>
      </c>
      <c r="Y382" s="6" t="str">
        <f>IFERROR(__xludf.DUMMYFUNCTION("""COMPUTED_VALUE"""),"-")</f>
        <v>-</v>
      </c>
      <c r="Z382" s="6" t="str">
        <f>IFERROR(__xludf.DUMMYFUNCTION("""COMPUTED_VALUE"""),"-")</f>
        <v>-</v>
      </c>
      <c r="AA382" s="6" t="str">
        <f>IFERROR(__xludf.DUMMYFUNCTION("""COMPUTED_VALUE"""),"-")</f>
        <v>-</v>
      </c>
      <c r="AB382" s="6" t="str">
        <f>IFERROR(__xludf.DUMMYFUNCTION("""COMPUTED_VALUE"""),"-")</f>
        <v>-</v>
      </c>
      <c r="AC382" s="6" t="str">
        <f>IFERROR(__xludf.DUMMYFUNCTION("""COMPUTED_VALUE"""),"-")</f>
        <v>-</v>
      </c>
      <c r="AD382" s="6" t="str">
        <f>IFERROR(__xludf.DUMMYFUNCTION("""COMPUTED_VALUE"""),"-")</f>
        <v>-</v>
      </c>
      <c r="AE382" s="6" t="str">
        <f>IFERROR(__xludf.DUMMYFUNCTION("""COMPUTED_VALUE"""),"Женский")</f>
        <v>Женский</v>
      </c>
      <c r="AF382" s="6" t="str">
        <f>IFERROR(__xludf.DUMMYFUNCTION("""COMPUTED_VALUE"""),"18-29")</f>
        <v>18-29</v>
      </c>
      <c r="AG382" s="6"/>
      <c r="AH382" s="6"/>
      <c r="AI382" s="6"/>
      <c r="AJ382" s="6"/>
      <c r="AK382" s="6"/>
      <c r="AL382" s="6"/>
      <c r="AM382" s="6"/>
    </row>
    <row r="383">
      <c r="A383" s="4">
        <v>382.0</v>
      </c>
      <c r="B383" s="6" t="str">
        <f>IFERROR(__xludf.DUMMYFUNCTION("""COMPUTED_VALUE"""),"Услуги, ремонт аппаратуры")</f>
        <v>Услуги, ремонт аппаратуры</v>
      </c>
      <c r="C383" s="6" t="str">
        <f>IFERROR(__xludf.DUMMYFUNCTION("""COMPUTED_VALUE"""),"Чтение, it технологии")</f>
        <v>Чтение, it технологии</v>
      </c>
      <c r="D383" s="6" t="str">
        <f>IFERROR(__xludf.DUMMYFUNCTION("""COMPUTED_VALUE"""),"Кировский")</f>
        <v>Кировский</v>
      </c>
      <c r="E383" s="6" t="str">
        <f>IFERROR(__xludf.DUMMYFUNCTION("""COMPUTED_VALUE"""),"Набережная")</f>
        <v>Набережная</v>
      </c>
      <c r="F383" s="6" t="str">
        <f>IFERROR(__xludf.DUMMYFUNCTION("""COMPUTED_VALUE"""),"Живу здесь с рождения")</f>
        <v>Живу здесь с рождения</v>
      </c>
      <c r="G383" s="6" t="str">
        <f>IFERROR(__xludf.DUMMYFUNCTION("""COMPUTED_VALUE"""),"На набережную кировского либо центральную")</f>
        <v>На набережную кировского либо центральную</v>
      </c>
      <c r="H383" s="6" t="str">
        <f>IFERROR(__xludf.DUMMYFUNCTION("""COMPUTED_VALUE"""),"Серость, загазованность, простор, безразличие, родина")</f>
        <v>Серость, загазованность, простор, безразличие, родина</v>
      </c>
      <c r="I383" s="6" t="str">
        <f>IFERROR(__xludf.DUMMYFUNCTION("""COMPUTED_VALUE"""),"Волков")</f>
        <v>Волков</v>
      </c>
      <c r="J383" s="6" t="str">
        <f>IFERROR(__xludf.DUMMYFUNCTION("""COMPUTED_VALUE"""),"Тулеев")</f>
        <v>Тулеев</v>
      </c>
      <c r="K383" s="6" t="str">
        <f>IFERROR(__xludf.DUMMYFUNCTION("""COMPUTED_VALUE"""),"Сердце шахтёра (Неизвестный Э.), фонтан, парк Жукова")</f>
        <v>Сердце шахтёра (Неизвестный Э.), фонтан, парк Жукова</v>
      </c>
      <c r="L383" s="6" t="str">
        <f>IFERROR(__xludf.DUMMYFUNCTION("""COMPUTED_VALUE"""),"Фольклор не мое")</f>
        <v>Фольклор не мое</v>
      </c>
      <c r="M383" s="6" t="str">
        <f>IFERROR(__xludf.DUMMYFUNCTION("""COMPUTED_VALUE"""),"Мультифора)), да везде почти одинаковый сленг")</f>
        <v>Мультифора)), да везде почти одинаковый сленг</v>
      </c>
      <c r="N383" s="6" t="str">
        <f>IFERROR(__xludf.DUMMYFUNCTION("""COMPUTED_VALUE"""),"Безопасность, медицина, свобода, экология, рынок труда")</f>
        <v>Безопасность, медицина, свобода, экология, рынок труда</v>
      </c>
      <c r="O383" s="6" t="str">
        <f>IFERROR(__xludf.DUMMYFUNCTION("""COMPUTED_VALUE"""),"Вид серых хрущевок, Центральная площадь теперь вообще не привлекает, делать там совершенно нечего, оцепленный квадрат с неясно для чего установленными лайт боксами и тв панелями")</f>
        <v>Вид серых хрущевок, Центральная площадь теперь вообще не привлекает, делать там совершенно нечего, оцепленный квадрат с неясно для чего установленными лайт боксами и тв панелями</v>
      </c>
      <c r="P383" s="6" t="str">
        <f>IFERROR(__xludf.DUMMYFUNCTION("""COMPUTED_VALUE"""),"Типичный кемерово, инцидент Кузбасс, наблюдаю самостоятельно ежедневно")</f>
        <v>Типичный кемерово, инцидент Кузбасс, наблюдаю самостоятельно ежедневно</v>
      </c>
      <c r="Q383" s="6" t="str">
        <f>IFERROR(__xludf.DUMMYFUNCTION("""COMPUTED_VALUE"""),"куда пойти в свободное время, интервью с местными творческими личностями, криминальные новости (происшествия/преступления)")</f>
        <v>куда пойти в свободное время, интервью с местными творческими личностями, криминальные новости (происшествия/преступления)</v>
      </c>
      <c r="R383" s="6" t="str">
        <f>IFERROR(__xludf.DUMMYFUNCTION("""COMPUTED_VALUE"""),"9 мая, новый год, день города, день шахтера")</f>
        <v>9 мая, новый год, день города, день шахтера</v>
      </c>
      <c r="S383" s="6" t="str">
        <f>IFERROR(__xludf.DUMMYFUNCTION("""COMPUTED_VALUE"""),"Нет, не приходилось")</f>
        <v>Нет, не приходилось</v>
      </c>
      <c r="T383" s="6" t="str">
        <f>IFERROR(__xludf.DUMMYFUNCTION("""COMPUTED_VALUE"""),"Когда-то был уютен, особо уникальных вещей  не заметил")</f>
        <v>Когда-то был уютен, особо уникальных вещей  не заметил</v>
      </c>
      <c r="U383" s="6" t="str">
        <f>IFERROR(__xludf.DUMMYFUNCTION("""COMPUTED_VALUE"""),"От центра ""я"" до Кемгу, бульвар Строителей")</f>
        <v>От центра "я" до Кемгу, бульвар Строителей</v>
      </c>
      <c r="V383" s="6" t="str">
        <f>IFERROR(__xludf.DUMMYFUNCTION("""COMPUTED_VALUE"""),"Добывали ресурс для необъятной Родины, обеспечивали отличный тыл во время ВОВ")</f>
        <v>Добывали ресурс для необъятной Родины, обеспечивали отличный тыл во время ВОВ</v>
      </c>
      <c r="W383" s="6" t="str">
        <f>IFERROR(__xludf.DUMMYFUNCTION("""COMPUTED_VALUE"""),"Эмоциональные, пафосные, бедные-спокойно терпеливый, богатые-с пеной у рта, интеллигенции не много")</f>
        <v>Эмоциональные, пафосные, бедные-спокойно терпеливый, богатые-с пеной у рта, интеллигенции не много</v>
      </c>
      <c r="X383" s="6" t="str">
        <f>IFERROR(__xludf.DUMMYFUNCTION("""COMPUTED_VALUE"""),"Фонтан, часовня, красная горка")</f>
        <v>Фонтан, часовня, красная горка</v>
      </c>
      <c r="Y383" s="6" t="str">
        <f>IFERROR(__xludf.DUMMYFUNCTION("""COMPUTED_VALUE"""),"Уголек нашли")</f>
        <v>Уголек нашли</v>
      </c>
      <c r="Z383" s="6" t="str">
        <f>IFERROR(__xludf.DUMMYFUNCTION("""COMPUTED_VALUE"""),"Не запомнилось")</f>
        <v>Не запомнилось</v>
      </c>
      <c r="AA383" s="6" t="str">
        <f>IFERROR(__xludf.DUMMYFUNCTION("""COMPUTED_VALUE"""),"Зимняя вишня")</f>
        <v>Зимняя вишня</v>
      </c>
      <c r="AB383" s="6" t="str">
        <f>IFERROR(__xludf.DUMMYFUNCTION("""COMPUTED_VALUE"""),"Не ясен вопрос/туристов, активного отдыха")</f>
        <v>Не ясен вопрос/туристов, активного отдыха</v>
      </c>
      <c r="AC383" s="6" t="str">
        <f>IFERROR(__xludf.DUMMYFUNCTION("""COMPUTED_VALUE"""),"Соревнования, конкурсы, с вовлечение не только отдельных слоев населения, но всех ")</f>
        <v>Соревнования, конкурсы, с вовлечение не только отдельных слоев населения, но всех </v>
      </c>
      <c r="AD383" s="6" t="str">
        <f>IFERROR(__xludf.DUMMYFUNCTION("""COMPUTED_VALUE"""),"Группа поддержки")</f>
        <v>Группа поддержки</v>
      </c>
      <c r="AE383" s="6" t="str">
        <f>IFERROR(__xludf.DUMMYFUNCTION("""COMPUTED_VALUE"""),"Мужской")</f>
        <v>Мужской</v>
      </c>
      <c r="AF383" s="6" t="str">
        <f>IFERROR(__xludf.DUMMYFUNCTION("""COMPUTED_VALUE"""),"30-44")</f>
        <v>30-44</v>
      </c>
      <c r="AG383" s="6"/>
      <c r="AH383" s="6"/>
      <c r="AI383" s="6"/>
      <c r="AJ383" s="6"/>
      <c r="AK383" s="6"/>
      <c r="AL383" s="6"/>
      <c r="AM383" s="6"/>
    </row>
    <row r="384">
      <c r="A384" s="4">
        <v>383.0</v>
      </c>
      <c r="B384" s="6" t="str">
        <f>IFERROR(__xludf.DUMMYFUNCTION("""COMPUTED_VALUE"""),"аналитик")</f>
        <v>аналитик</v>
      </c>
      <c r="C384" s="6" t="str">
        <f>IFERROR(__xludf.DUMMYFUNCTION("""COMPUTED_VALUE"""),"фотография")</f>
        <v>фотография</v>
      </c>
      <c r="D384" s="6" t="str">
        <f>IFERROR(__xludf.DUMMYFUNCTION("""COMPUTED_VALUE"""),"Рудничный")</f>
        <v>Рудничный</v>
      </c>
      <c r="E384" s="6" t="str">
        <f>IFERROR(__xludf.DUMMYFUNCTION("""COMPUTED_VALUE"""),"рудничный сосновый бор, ДК  Шахтеров, Музей Красная горка")</f>
        <v>рудничный сосновый бор, ДК  Шахтеров, Музей Красная горка</v>
      </c>
      <c r="F384" s="6" t="str">
        <f>IFERROR(__xludf.DUMMYFUNCTION("""COMPUTED_VALUE"""),"Живу здесь с рождения")</f>
        <v>Живу здесь с рождения</v>
      </c>
      <c r="G384" s="6" t="str">
        <f>IFERROR(__xludf.DUMMYFUNCTION("""COMPUTED_VALUE"""),"Рудничный сосновый бор, Набережная Томи, парки ( Комсомольский,  Кузбасский)")</f>
        <v>Рудничный сосновый бор, Набережная Томи, парки ( Комсомольский,  Кузбасский)</v>
      </c>
      <c r="H384" s="6" t="str">
        <f>IFERROR(__xludf.DUMMYFUNCTION("""COMPUTED_VALUE"""),"запятая, уголь, мост, заводская труба,Гребенщиков")</f>
        <v>запятая, уголь, мост, заводская труба,Гребенщиков</v>
      </c>
      <c r="I384" s="6" t="str">
        <f>IFERROR(__xludf.DUMMYFUNCTION("""COMPUTED_VALUE"""),"Леонов, Рутгерс, Волков")</f>
        <v>Леонов, Рутгерс, Волков</v>
      </c>
      <c r="J384" s="6" t="str">
        <f>IFERROR(__xludf.DUMMYFUNCTION("""COMPUTED_VALUE"""),"Малышева, Гришковец")</f>
        <v>Малышева, Гришковец</v>
      </c>
      <c r="K384" s="6" t="str">
        <f>IFERROR(__xludf.DUMMYFUNCTION("""COMPUTED_VALUE"""),"Красная горка, парк Ангелов, Бульвар Строителей, Рудничный Сосновый бор (Кузбасс)")</f>
        <v>Красная горка, парк Ангелов, Бульвар Строителей, Рудничный Сосновый бор (Кузбасс)</v>
      </c>
      <c r="L384" s="6" t="str">
        <f>IFERROR(__xludf.DUMMYFUNCTION("""COMPUTED_VALUE"""),"не  знаю")</f>
        <v>не  знаю</v>
      </c>
      <c r="M384" s="6" t="str">
        <f>IFERROR(__xludf.DUMMYFUNCTION("""COMPUTED_VALUE"""),"человек из Кемерова")</f>
        <v>человек из Кемерова</v>
      </c>
      <c r="N384" s="6" t="str">
        <f>IFERROR(__xludf.DUMMYFUNCTION("""COMPUTED_VALUE"""),"1)хорошие дороги без пробок 2)магазины  в шаговой доступности, 3)детсады и школы в шаговой доступности, 4) чистота на улицах, 5) много  зелени ")</f>
        <v>1)хорошие дороги без пробок 2)магазины  в шаговой доступности, 3)детсады и школы в шаговой доступности, 4) чистота на улицах, 5) много  зелени </v>
      </c>
      <c r="O384" s="6" t="str">
        <f>IFERROR(__xludf.DUMMYFUNCTION("""COMPUTED_VALUE"""),"отремонтировать  фасады старых домов")</f>
        <v>отремонтировать  фасады старых домов</v>
      </c>
      <c r="P384" s="6" t="str">
        <f>IFERROR(__xludf.DUMMYFUNCTION("""COMPUTED_VALUE"""),"инстаграм: А42, подслушано в кемерово")</f>
        <v>инстаграм: А42, подслушано в кемерово</v>
      </c>
      <c r="Q384" s="6" t="str">
        <f>IFERROR(__xludf.DUMMYFUNCTION("""COMPUTED_VALUE"""),"городская афиша (кино/театр/концерты), интервью с местными предпринимателями, результаты местных исследований (рейтинги/аналитика/тенденции)")</f>
        <v>городская афиша (кино/театр/концерты), интервью с местными предпринимателями, результаты местных исследований (рейтинги/аналитика/тенденции)</v>
      </c>
      <c r="R384" s="6" t="str">
        <f>IFERROR(__xludf.DUMMYFUNCTION("""COMPUTED_VALUE"""),"Новый год, масленица, день города, день шахтера.")</f>
        <v>Новый год, масленица, день города, день шахтера.</v>
      </c>
      <c r="S384" s="6" t="str">
        <f>IFERROR(__xludf.DUMMYFUNCTION("""COMPUTED_VALUE"""),"организация  открытых кинопоказов")</f>
        <v>организация  открытых кинопоказов</v>
      </c>
      <c r="T384" s="6" t="str">
        <f>IFERROR(__xludf.DUMMYFUNCTION("""COMPUTED_VALUE"""),"Принимал  чемпионат мира  по  хоккею с мячом. Гребенщиков сочинил   о нем песню. Сгорела  зимняя вишня.")</f>
        <v>Принимал  чемпионат мира  по  хоккею с мячом. Гребенщиков сочинил   о нем песню. Сгорела  зимняя вишня.</v>
      </c>
      <c r="U384" s="6" t="str">
        <f>IFERROR(__xludf.DUMMYFUNCTION("""COMPUTED_VALUE"""),"Площадь Советов, Драмтеатр")</f>
        <v>Площадь Советов, Драмтеатр</v>
      </c>
      <c r="V384" s="6" t="str">
        <f>IFERROR(__xludf.DUMMYFUNCTION("""COMPUTED_VALUE"""),"городские памятники  (скульптуры)")</f>
        <v>городские памятники  (скульптуры)</v>
      </c>
      <c r="W384" s="6" t="str">
        <f>IFERROR(__xludf.DUMMYFUNCTION("""COMPUTED_VALUE"""),"морозостойкие, добрые,  культурные,  активные.")</f>
        <v>морозостойкие, добрые,  культурные,  активные.</v>
      </c>
      <c r="X384" s="6" t="str">
        <f>IFERROR(__xludf.DUMMYFUNCTION("""COMPUTED_VALUE"""),"Набережная-ул. Весенняя-пл. Волкова")</f>
        <v>Набережная-ул. Весенняя-пл. Волкова</v>
      </c>
      <c r="Y384" s="6" t="str">
        <f>IFERROR(__xludf.DUMMYFUNCTION("""COMPUTED_VALUE"""),"чемпионат мира  по  хоккею с мячом")</f>
        <v>чемпионат мира  по  хоккею с мячом</v>
      </c>
      <c r="Z384" s="6" t="str">
        <f>IFERROR(__xludf.DUMMYFUNCTION("""COMPUTED_VALUE"""),"открытый рок концерт с мировыми  звездами")</f>
        <v>открытый рок концерт с мировыми  звездами</v>
      </c>
      <c r="AA384" s="6" t="str">
        <f>IFERROR(__xludf.DUMMYFUNCTION("""COMPUTED_VALUE"""),"слух о строительстве  шахты  в районе лесной поляны")</f>
        <v>слух о строительстве  шахты  в районе лесной поляны</v>
      </c>
      <c r="AB384" s="6" t="str">
        <f>IFERROR(__xludf.DUMMYFUNCTION("""COMPUTED_VALUE"""),"хватает")</f>
        <v>хватает</v>
      </c>
      <c r="AC384" s="6" t="str">
        <f>IFERROR(__xludf.DUMMYFUNCTION("""COMPUTED_VALUE"""),"открытые спортивные соревнования среди  жителей")</f>
        <v>открытые спортивные соревнования среди  жителей</v>
      </c>
      <c r="AD384" s="6" t="str">
        <f>IFERROR(__xludf.DUMMYFUNCTION("""COMPUTED_VALUE"""),"фотографа")</f>
        <v>фотографа</v>
      </c>
      <c r="AE384" s="6" t="str">
        <f>IFERROR(__xludf.DUMMYFUNCTION("""COMPUTED_VALUE"""),"Женский")</f>
        <v>Женский</v>
      </c>
      <c r="AF384" s="6" t="str">
        <f>IFERROR(__xludf.DUMMYFUNCTION("""COMPUTED_VALUE"""),"30-44")</f>
        <v>30-44</v>
      </c>
      <c r="AG384" s="6"/>
      <c r="AH384" s="6"/>
      <c r="AI384" s="6"/>
      <c r="AJ384" s="6"/>
      <c r="AK384" s="6"/>
      <c r="AL384" s="6"/>
      <c r="AM384" s="6"/>
    </row>
    <row r="385">
      <c r="A385" s="4">
        <v>384.0</v>
      </c>
      <c r="B385" s="6" t="str">
        <f>IFERROR(__xludf.DUMMYFUNCTION("""COMPUTED_VALUE"""),"программист")</f>
        <v>программист</v>
      </c>
      <c r="C385" s="6" t="str">
        <f>IFERROR(__xludf.DUMMYFUNCTION("""COMPUTED_VALUE"""),"велосипед")</f>
        <v>велосипед</v>
      </c>
      <c r="D385" s="6" t="str">
        <f>IFERROR(__xludf.DUMMYFUNCTION("""COMPUTED_VALUE"""),"центральный. центральный")</f>
        <v>центральный. центральный</v>
      </c>
      <c r="E385" s="6" t="str">
        <f>IFERROR(__xludf.DUMMYFUNCTION("""COMPUTED_VALUE"""),"площадь советов, площадь Пушкина, орбита, Комсомольский парк")</f>
        <v>площадь советов, площадь Пушкина, орбита, Комсомольский парк</v>
      </c>
      <c r="F385" s="6" t="str">
        <f>IFERROR(__xludf.DUMMYFUNCTION("""COMPUTED_VALUE"""),"Живу здесь с рождения")</f>
        <v>Живу здесь с рождения</v>
      </c>
      <c r="G385" s="6" t="str">
        <f>IFERROR(__xludf.DUMMYFUNCTION("""COMPUTED_VALUE"""),"Комсомольский парк, Сосновый бор, Горсад")</f>
        <v>Комсомольский парк, Сосновый бор, Горсад</v>
      </c>
      <c r="H385" s="6" t="str">
        <f>IFERROR(__xludf.DUMMYFUNCTION("""COMPUTED_VALUE"""),"спокойный, компактный, реторта, завод, дорога")</f>
        <v>спокойный, компактный, реторта, завод, дорога</v>
      </c>
      <c r="I385" s="6" t="str">
        <f>IFERROR(__xludf.DUMMYFUNCTION("""COMPUTED_VALUE"""),"Волков, Леонов, Арбачаков")</f>
        <v>Волков, Леонов, Арбачаков</v>
      </c>
      <c r="J385" s="6" t="str">
        <f>IFERROR(__xludf.DUMMYFUNCTION("""COMPUTED_VALUE"""),"Михайлов, Тулеев, Середюк")</f>
        <v>Михайлов, Тулеев, Середюк</v>
      </c>
      <c r="K385" s="6" t="str">
        <f>IFERROR(__xludf.DUMMYFUNCTION("""COMPUTED_VALUE"""),"Сердце Шахтёра, Красная горка, улица Весенняя, сквер Орбита, фонтан у Драматического театра")</f>
        <v>Сердце Шахтёра, Красная горка, улица Весенняя, сквер Орбита, фонтан у Драматического театра</v>
      </c>
      <c r="L385" s="6" t="str">
        <f>IFERROR(__xludf.DUMMYFUNCTION("""COMPUTED_VALUE"""),"-")</f>
        <v>-</v>
      </c>
      <c r="M385" s="6" t="str">
        <f>IFERROR(__xludf.DUMMYFUNCTION("""COMPUTED_VALUE"""),"-")</f>
        <v>-</v>
      </c>
      <c r="N385" s="6" t="str">
        <f>IFERROR(__xludf.DUMMYFUNCTION("""COMPUTED_VALUE"""),"возможность быстро добираться на работу и обратно; наличие в шаговой доступности объектов для детей - школа, детский сад, школа искусств, спортивная секция, библиотека, парк; возможность перемещаться пешком без грязи весной и осенью; уверенность в безопас"&amp;"ности себя и близких; отсутствие суеты и спешки")</f>
        <v>возможность быстро добираться на работу и обратно; наличие в шаговой доступности объектов для детей - школа, детский сад, школа искусств, спортивная секция, библиотека, парк; возможность перемещаться пешком без грязи весной и осенью; уверенность в безопасности себя и близких; отсутствие суеты и спешки</v>
      </c>
      <c r="O385" s="6" t="str">
        <f>IFERROR(__xludf.DUMMYFUNCTION("""COMPUTED_VALUE"""),"Перестать застраивать окраины, снести частный сектор за собором и начать строить там")</f>
        <v>Перестать застраивать окраины, снести частный сектор за собором и начать строить там</v>
      </c>
      <c r="P385" s="6" t="str">
        <f>IFERROR(__xludf.DUMMYFUNCTION("""COMPUTED_VALUE"""),"от жены")</f>
        <v>от жены</v>
      </c>
      <c r="Q385"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385" s="6" t="str">
        <f>IFERROR(__xludf.DUMMYFUNCTION("""COMPUTED_VALUE"""),"9 мая, день Шахтера, новый год")</f>
        <v>9 мая, день Шахтера, новый год</v>
      </c>
      <c r="S385" s="6" t="str">
        <f>IFERROR(__xludf.DUMMYFUNCTION("""COMPUTED_VALUE"""),"Через социальные сети (Какие? Укажите в графе другое), vk")</f>
        <v>Через социальные сети (Какие? Укажите в графе другое), vk</v>
      </c>
      <c r="T385" s="6" t="str">
        <f>IFERROR(__xludf.DUMMYFUNCTION("""COMPUTED_VALUE"""),"просто небольшой комфортный город")</f>
        <v>просто небольшой комфортный город</v>
      </c>
      <c r="U385" s="6" t="str">
        <f>IFERROR(__xludf.DUMMYFUNCTION("""COMPUTED_VALUE"""),"площадь советов, сцена на бульваре строителей, дк кировского")</f>
        <v>площадь советов, сцена на бульваре строителей, дк кировского</v>
      </c>
      <c r="V385" s="6" t="str">
        <f>IFERROR(__xludf.DUMMYFUNCTION("""COMPUTED_VALUE"""),"всегда честно работали")</f>
        <v>всегда честно работали</v>
      </c>
      <c r="W385" s="6" t="str">
        <f>IFERROR(__xludf.DUMMYFUNCTION("""COMPUTED_VALUE"""),"трудолюбивые, спокойные, миролюбивые")</f>
        <v>трудолюбивые, спокойные, миролюбивые</v>
      </c>
      <c r="X385" s="6" t="str">
        <f>IFERROR(__xludf.DUMMYFUNCTION("""COMPUTED_VALUE"""),"От площади советов по Советскому до Весенней, потом до набережной, по набережной через горсад до моста, через кузнецкий мост к памятнику шахтёру и на красную горку или к кресту на горе")</f>
        <v>От площади советов по Советскому до Весенней, потом до набережной, по набережной через горсад до моста, через кузнецкий мост к памятнику шахтёру и на красную горку или к кресту на горе</v>
      </c>
      <c r="Y385" s="6" t="str">
        <f>IFERROR(__xludf.DUMMYFUNCTION("""COMPUTED_VALUE"""),"трагедия в Зимней вишне")</f>
        <v>трагедия в Зимней вишне</v>
      </c>
      <c r="Z385" s="6" t="str">
        <f>IFERROR(__xludf.DUMMYFUNCTION("""COMPUTED_VALUE"""),"-")</f>
        <v>-</v>
      </c>
      <c r="AA385" s="6" t="str">
        <f>IFERROR(__xludf.DUMMYFUNCTION("""COMPUTED_VALUE"""),"излишнее оцепление в центра города, чтобы не было протестов, которых и так бы не было")</f>
        <v>излишнее оцепление в центра города, чтобы не было протестов, которых и так бы не было</v>
      </c>
      <c r="AB385" s="6" t="str">
        <f>IFERROR(__xludf.DUMMYFUNCTION("""COMPUTED_VALUE"""),"любых, мнение которых учитывалось бы муниципальными и региональными властями")</f>
        <v>любых, мнение которых учитывалось бы муниципальными и региональными властями</v>
      </c>
      <c r="AC385" s="6" t="str">
        <f>IFERROR(__xludf.DUMMYFUNCTION("""COMPUTED_VALUE"""),"жить должно быть интереснее каждый день, а не раз от разу, поэтому любые события не привязанные к официальным датам и праздникам.")</f>
        <v>жить должно быть интереснее каждый день, а не раз от разу, поэтому любые события не привязанные к официальным датам и праздникам.</v>
      </c>
      <c r="AD385" s="6" t="str">
        <f>IFERROR(__xludf.DUMMYFUNCTION("""COMPUTED_VALUE"""),"в роли критика / эксперта")</f>
        <v>в роли критика / эксперта</v>
      </c>
      <c r="AE385" s="6" t="str">
        <f>IFERROR(__xludf.DUMMYFUNCTION("""COMPUTED_VALUE"""),"Мужской")</f>
        <v>Мужской</v>
      </c>
      <c r="AF385" s="6" t="str">
        <f>IFERROR(__xludf.DUMMYFUNCTION("""COMPUTED_VALUE"""),"30-44")</f>
        <v>30-44</v>
      </c>
      <c r="AG385" s="6"/>
      <c r="AH385" s="6"/>
      <c r="AI385" s="6"/>
      <c r="AJ385" s="6"/>
      <c r="AK385" s="6"/>
      <c r="AL385" s="6"/>
      <c r="AM385" s="6"/>
    </row>
    <row r="386">
      <c r="A386" s="4">
        <v>385.0</v>
      </c>
      <c r="B386" s="6" t="str">
        <f>IFERROR(__xludf.DUMMYFUNCTION("""COMPUTED_VALUE"""),"Программист")</f>
        <v>Программист</v>
      </c>
      <c r="C386" s="6" t="str">
        <f>IFERROR(__xludf.DUMMYFUNCTION("""COMPUTED_VALUE"""),"Нет, разве что прогулки и просмотр кино.")</f>
        <v>Нет, разве что прогулки и просмотр кино.</v>
      </c>
      <c r="D386" s="6" t="str">
        <f>IFERROR(__xludf.DUMMYFUNCTION("""COMPUTED_VALUE"""),"Кировский. Другое название даже придумывать не надо, это само за себя всё говорит.")</f>
        <v>Кировский. Другое название даже придумывать не надо, это само за себя всё говорит.</v>
      </c>
      <c r="E386" s="6" t="str">
        <f>IFERROR(__xludf.DUMMYFUNCTION("""COMPUTED_VALUE"""),"Набережная сейчас вроде неплохая. Если не смотреть на заводы.")</f>
        <v>Набережная сейчас вроде неплохая. Если не смотреть на заводы.</v>
      </c>
      <c r="F386" s="6" t="str">
        <f>IFERROR(__xludf.DUMMYFUNCTION("""COMPUTED_VALUE"""),"Родился здесь,но сейчас живу в другом городе, Не живу,но приезжаю сюда (к родственникам/друзьям)")</f>
        <v>Родился здесь,но сейчас живу в другом городе, Не живу,но приезжаю сюда (к родственникам/друзьям)</v>
      </c>
      <c r="G386" s="6" t="str">
        <f>IFERROR(__xludf.DUMMYFUNCTION("""COMPUTED_VALUE"""),"Раньше предпочитал по центру погулять, больше особо негде было в годы моего обучения.")</f>
        <v>Раньше предпочитал по центру погулять, больше особо негде было в годы моего обучения.</v>
      </c>
      <c r="H386" s="6" t="str">
        <f>IFERROR(__xludf.DUMMYFUNCTION("""COMPUTED_VALUE"""),"Смог, пожар, шахты.")</f>
        <v>Смог, пожар, шахты.</v>
      </c>
      <c r="I386" s="6" t="str">
        <f>IFERROR(__xludf.DUMMYFUNCTION("""COMPUTED_VALUE"""),"Алексей Леонов, Геннадий Букин, Елена Малышева (выдающаяся пропагандистка, чудо чудесное)")</f>
        <v>Алексей Леонов, Геннадий Букин, Елена Малышева (выдающаяся пропагандистка, чудо чудесное)</v>
      </c>
      <c r="J386" s="6" t="str">
        <f>IFERROR(__xludf.DUMMYFUNCTION("""COMPUTED_VALUE"""),"Я бы назвал Ксению Пахомову, но она свалила после Зимней вишни, а сейчас она вообще арестована, потому что ""создавала препятствия"" в работе путинской системы.
Лучшие люди города - те, которые на митинги выходят. Потому что других каналов для эффективног"&amp;"о взаимодействия с властью просто не осталось.")</f>
        <v>Я бы назвал Ксению Пахомову, но она свалила после Зимней вишни, а сейчас она вообще арестована, потому что "создавала препятствия" в работе путинской системы.
Лучшие люди города - те, которые на митинги выходят. Потому что других каналов для эффективного взаимодействия с властью просто не осталось.</v>
      </c>
      <c r="K386" s="6" t="str">
        <f>IFERROR(__xludf.DUMMYFUNCTION("""COMPUTED_VALUE"""),"Парк ангелов, Вечный огонь.")</f>
        <v>Парк ангелов, Вечный огонь.</v>
      </c>
      <c r="L386" s="6" t="str">
        <f>IFERROR(__xludf.DUMMYFUNCTION("""COMPUTED_VALUE"""),"Кировский сам по себе неплохо всё характеризует.")</f>
        <v>Кировский сам по себе неплохо всё характеризует.</v>
      </c>
      <c r="M386" s="6" t="str">
        <f>IFERROR(__xludf.DUMMYFUNCTION("""COMPUTED_VALUE"""),"Почему-то в Новосибирске люди бесятся с ""мультифоры"", довольно забавно.")</f>
        <v>Почему-то в Новосибирске люди бесятся с "мультифоры", довольно забавно.</v>
      </c>
      <c r="N386" s="6" t="str">
        <f>IFERROR(__xludf.DUMMYFUNCTION("""COMPUTED_VALUE"""),"Экология, инфраструктура, транспорт, архитектура, наличие перспективы.")</f>
        <v>Экология, инфраструктура, транспорт, архитектура, наличие перспективы.</v>
      </c>
      <c r="O386" s="6" t="str">
        <f>IFERROR(__xludf.DUMMYFUNCTION("""COMPUTED_VALUE"""),"Если про внешний вид - красьте дома не только с лицевой стороны.
Если вообще - чините экологию. Это самый критический момент, из-за которого я не вернусь.")</f>
        <v>Если про внешний вид - красьте дома не только с лицевой стороны.
Если вообще - чините экологию. Это самый критический момент, из-за которого я не вернусь.</v>
      </c>
      <c r="P386" s="6" t="str">
        <f>IFERROR(__xludf.DUMMYFUNCTION("""COMPUTED_VALUE"""),"Медуза, НГС (за городскими СМИ не слежу)")</f>
        <v>Медуза, НГС (за городскими СМИ не слежу)</v>
      </c>
      <c r="Q386" s="6" t="str">
        <f>IFERROR(__xludf.DUMMYFUNCTION("""COMPUTED_VALUE"""),"куда пойти в свободное время, криминальные новости (происшествия/преступления), результаты местных исследований (рейтинги/аналитика/тенденции)")</f>
        <v>куда пойти в свободное время, криминальные новости (происшествия/преступления), результаты местных исследований (рейтинги/аналитика/тенденции)</v>
      </c>
      <c r="R386" s="6" t="str">
        <f>IFERROR(__xludf.DUMMYFUNCTION("""COMPUTED_VALUE"""),"Когда-то были важны день города и 9 мая.")</f>
        <v>Когда-то были важны день города и 9 мая.</v>
      </c>
      <c r="S386" s="6" t="str">
        <f>IFERROR(__xludf.DUMMYFUNCTION("""COMPUTED_VALUE"""),"Нет, не приходилось")</f>
        <v>Нет, не приходилось</v>
      </c>
      <c r="T386" s="6" t="str">
        <f>IFERROR(__xludf.DUMMYFUNCTION("""COMPUTED_VALUE"""),"Масштабными фальсификациями на выборах. Плохой экологией. Ещё что-то там про уголь.")</f>
        <v>Масштабными фальсификациями на выборах. Плохой экологией. Ещё что-то там про уголь.</v>
      </c>
      <c r="U386" s="6" t="str">
        <f>IFERROR(__xludf.DUMMYFUNCTION("""COMPUTED_VALUE"""),"Площадь Ленина.")</f>
        <v>Площадь Ленина.</v>
      </c>
      <c r="V386" s="6" t="str">
        <f>IFERROR(__xludf.DUMMYFUNCTION("""COMPUTED_VALUE"""),"Работали.")</f>
        <v>Работали.</v>
      </c>
      <c r="W386" s="6" t="str">
        <f>IFERROR(__xludf.DUMMYFUNCTION("""COMPUTED_VALUE"""),"Да нормальные люди, как и везде. Довольно отзывчивые, но при этом абсолютно аполитичные.")</f>
        <v>Да нормальные люди, как и везде. Довольно отзывчивые, но при этом абсолютно аполитичные.</v>
      </c>
      <c r="X386" s="6" t="str">
        <f>IFERROR(__xludf.DUMMYFUNCTION("""COMPUTED_VALUE"""),"По Советской, Весенней и по набережной вполне неплохо можно прогуляться, но дальше центра лучше не заходить.")</f>
        <v>По Советской, Весенней и по набережной вполне неплохо можно прогуляться, но дальше центра лучше не заходить.</v>
      </c>
      <c r="Y386" s="6" t="str">
        <f>IFERROR(__xludf.DUMMYFUNCTION("""COMPUTED_VALUE"""),"Пожар в ТЦ ""Зимняя вишня"".")</f>
        <v>Пожар в ТЦ "Зимняя вишня".</v>
      </c>
      <c r="Z386" s="6" t="str">
        <f>IFERROR(__xludf.DUMMYFUNCTION("""COMPUTED_VALUE"""),"А какие-то были? Разве что эта клоунада про ""100500 лет Кузбассу"". Позорище.")</f>
        <v>А какие-то были? Разве что эта клоунада про "100500 лет Кузбассу". Позорище.</v>
      </c>
      <c r="AA386" s="6" t="str">
        <f>IFERROR(__xludf.DUMMYFUNCTION("""COMPUTED_VALUE"""),"Пожар в ТЦ ""Зимняя вишня"". А, нет, ему уже больше двух лет.
Ну посмотрите канал местного штаба Навального, там какие-то мутные истории с Шерегешем и с Сосновым бором.")</f>
        <v>Пожар в ТЦ "Зимняя вишня". А, нет, ему уже больше двух лет.
Ну посмотрите канал местного штаба Навального, там какие-то мутные истории с Шерегешем и с Сосновым бором.</v>
      </c>
      <c r="AB386" s="6" t="str">
        <f>IFERROR(__xludf.DUMMYFUNCTION("""COMPUTED_VALUE"""),"Гражданского общества не хватает.")</f>
        <v>Гражданского общества не хватает.</v>
      </c>
      <c r="AC386" s="6" t="str">
        <f>IFERROR(__xludf.DUMMYFUNCTION("""COMPUTED_VALUE"""),"Мероприятия по улучшению экологической обстановки.")</f>
        <v>Мероприятия по улучшению экологической обстановки.</v>
      </c>
      <c r="AD386" s="6" t="str">
        <f>IFERROR(__xludf.DUMMYFUNCTION("""COMPUTED_VALUE"""),"В роли наблюдателя.")</f>
        <v>В роли наблюдателя.</v>
      </c>
      <c r="AE386" s="6" t="str">
        <f>IFERROR(__xludf.DUMMYFUNCTION("""COMPUTED_VALUE"""),"Мужской")</f>
        <v>Мужской</v>
      </c>
      <c r="AF386" s="6" t="str">
        <f>IFERROR(__xludf.DUMMYFUNCTION("""COMPUTED_VALUE"""),"18-29")</f>
        <v>18-29</v>
      </c>
      <c r="AG386" s="6"/>
      <c r="AH386" s="6"/>
      <c r="AI386" s="6"/>
      <c r="AJ386" s="6"/>
      <c r="AK386" s="6"/>
      <c r="AL386" s="6"/>
      <c r="AM386" s="6"/>
    </row>
    <row r="387">
      <c r="A387" s="4">
        <v>386.0</v>
      </c>
      <c r="B387" s="6" t="str">
        <f>IFERROR(__xludf.DUMMYFUNCTION("""COMPUTED_VALUE"""),"Мама в декрете")</f>
        <v>Мама в декрете</v>
      </c>
      <c r="C387" s="6" t="str">
        <f>IFERROR(__xludf.DUMMYFUNCTION("""COMPUTED_VALUE"""),"Нет")</f>
        <v>Нет</v>
      </c>
      <c r="D387" s="6" t="str">
        <f>IFERROR(__xludf.DUMMYFUNCTION("""COMPUTED_VALUE"""),"«Новая Радуга», Рудничный район «Серебряный бор»")</f>
        <v>«Новая Радуга», Рудничный район «Серебряный бор»</v>
      </c>
      <c r="E387" s="6" t="str">
        <f>IFERROR(__xludf.DUMMYFUNCTION("""COMPUTED_VALUE"""),"Сосновый бор с белками. Масульманское кладбище. Школьный стадион. ")</f>
        <v>Сосновый бор с белками. Масульманское кладбище. Школьный стадион. </v>
      </c>
      <c r="F387" s="6" t="str">
        <f>IFERROR(__xludf.DUMMYFUNCTION("""COMPUTED_VALUE"""),"Переехал сюда из другого места (откуда? укажите в графе другое), Приехала из Мысков учиться после школы")</f>
        <v>Переехал сюда из другого места (откуда? укажите в графе другое), Приехала из Мысков учиться после школы</v>
      </c>
      <c r="G387" s="6" t="str">
        <f>IFERROR(__xludf.DUMMYFUNCTION("""COMPUTED_VALUE"""),"Сосновый бор возле дома. Рудничный бор. Весенняя и набережная. ")</f>
        <v>Сосновый бор возле дома. Рудничный бор. Весенняя и набережная. </v>
      </c>
      <c r="H387" s="6" t="str">
        <f>IFERROR(__xludf.DUMMYFUNCTION("""COMPUTED_VALUE"""),"Удобный. Чистый. Дружелюбный. Крепкий середняк. Серьезный")</f>
        <v>Удобный. Чистый. Дружелюбный. Крепкий середняк. Серьезный</v>
      </c>
      <c r="I387" s="6" t="str">
        <f>IFERROR(__xludf.DUMMYFUNCTION("""COMPUTED_VALUE"""),"Руттгерс ")</f>
        <v>Руттгерс </v>
      </c>
      <c r="J387" s="6" t="str">
        <f>IFERROR(__xludf.DUMMYFUNCTION("""COMPUTED_VALUE"""),"Александр Винокуров, бывший главред радио КузбассФМ. Татьяна Кардаильская, журналист. Александр Маркварт, музыкант. Антон Карманов, художник. Евгений Муравьёв, педагог,  руководитель цирковой студии. Назиля Синюкова и Владимир Ферт, больничные клоуны. Еле"&amp;"на Митрофанова, руководитель Центра искусств. ")</f>
        <v>Александр Винокуров, бывший главред радио КузбассФМ. Татьяна Кардаильская, журналист. Александр Маркварт, музыкант. Антон Карманов, художник. Евгений Муравьёв, педагог,  руководитель цирковой студии. Назиля Синюкова и Владимир Ферт, больничные клоуны. Елена Митрофанова, руководитель Центра искусств. </v>
      </c>
      <c r="K387" s="6" t="str">
        <f>IFERROR(__xludf.DUMMYFUNCTION("""COMPUTED_VALUE"""),"Красная Горка. Рудничный бор. ")</f>
        <v>Красная Горка. Рудничный бор. </v>
      </c>
      <c r="L387" s="6" t="str">
        <f>IFERROR(__xludf.DUMMYFUNCTION("""COMPUTED_VALUE"""),"Битва за рудничный бор. Как жители собирали подписи для петиции. Мои друзья позвали сборщика подписей на свой день рождения в шашлычной, всех заранее попросили взять с собой паспорт. Напоили накормили и отправили подписывать петицию. А потом все сделали к"&amp;"оллективное фото. ")</f>
        <v>Битва за рудничный бор. Как жители собирали подписи для петиции. Мои друзья позвали сборщика подписей на свой день рождения в шашлычной, всех заранее попросили взять с собой паспорт. Напоили накормили и отправили подписывать петицию. А потом все сделали коллективное фото. </v>
      </c>
      <c r="M387" s="6" t="str">
        <f>IFERROR(__xludf.DUMMYFUNCTION("""COMPUTED_VALUE"""),"Нет")</f>
        <v>Нет</v>
      </c>
      <c r="N387" s="6" t="str">
        <f>IFERROR(__xludf.DUMMYFUNCTION("""COMPUTED_VALUE"""),"Транспортная доступность. Чистые улицы. Безбарьерная среда. Много деревьев в черте города. Камеры видеонаблюдения ")</f>
        <v>Транспортная доступность. Чистые улицы. Безбарьерная среда. Много деревьев в черте города. Камеры видеонаблюдения </v>
      </c>
      <c r="O387" s="6" t="str">
        <f>IFERROR(__xludf.DUMMYFUNCTION("""COMPUTED_VALUE"""),"Улучшить ситуацию с безбарьерной средой. Маломобильным очень сложно жить")</f>
        <v>Улучшить ситуацию с безбарьерной средой. Маломобильным очень сложно жить</v>
      </c>
      <c r="P387" s="6" t="str">
        <f>IFERROR(__xludf.DUMMYFUNCTION("""COMPUTED_VALUE"""),"А42. Вести42. Авокадо. ")</f>
        <v>А42. Вести42. Авокадо. </v>
      </c>
      <c r="Q387"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387" s="6" t="str">
        <f>IFERROR(__xludf.DUMMYFUNCTION("""COMPUTED_VALUE"""),"9 мая ")</f>
        <v>9 мая </v>
      </c>
      <c r="S387"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Организатор городских Мероприятий. Фестиваль, лекторий ")</f>
        <v>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Организатор городских Мероприятий. Фестиваль, лекторий </v>
      </c>
      <c r="T387" s="6" t="str">
        <f>IFERROR(__xludf.DUMMYFUNCTION("""COMPUTED_VALUE"""),"Ассоциируется с правлением Тулеева. Печально знаменит «Зимней вишней»")</f>
        <v>Ассоциируется с правлением Тулеева. Печально знаменит «Зимней вишней»</v>
      </c>
      <c r="U387" s="6" t="str">
        <f>IFERROR(__xludf.DUMMYFUNCTION("""COMPUTED_VALUE"""),"Весенняя и набережная. Рудничный бор")</f>
        <v>Весенняя и набережная. Рудничный бор</v>
      </c>
      <c r="V387" s="6" t="str">
        <f>IFERROR(__xludf.DUMMYFUNCTION("""COMPUTED_VALUE"""),"Отстояли бор. Сделали город чистым. Добились хороших дорог ")</f>
        <v>Отстояли бор. Сделали город чистым. Добились хороших дорог </v>
      </c>
      <c r="W387" s="6" t="str">
        <f>IFERROR(__xludf.DUMMYFUNCTION("""COMPUTED_VALUE"""),"Молчуны. Домоседы. Семьянины")</f>
        <v>Молчуны. Домоседы. Семьянины</v>
      </c>
      <c r="X387" s="6" t="str">
        <f>IFERROR(__xludf.DUMMYFUNCTION("""COMPUTED_VALUE"""),"Красная горка")</f>
        <v>Красная горка</v>
      </c>
      <c r="Y387" s="6" t="str">
        <f>IFERROR(__xludf.DUMMYFUNCTION("""COMPUTED_VALUE"""),"Мировой чемпионат по хоккею с мячом ")</f>
        <v>Мировой чемпионат по хоккею с мячом </v>
      </c>
      <c r="Z387" s="6" t="str">
        <f>IFERROR(__xludf.DUMMYFUNCTION("""COMPUTED_VALUE"""),"Глобальная стройка. Смена губернатора")</f>
        <v>Глобальная стройка. Смена губернатора</v>
      </c>
      <c r="AA387" s="6" t="str">
        <f>IFERROR(__xludf.DUMMYFUNCTION("""COMPUTED_VALUE"""),"Зимняя вишня. Покушение на рудничный бор ")</f>
        <v>Зимняя вишня. Покушение на рудничный бор </v>
      </c>
      <c r="AB387" s="6" t="str">
        <f>IFERROR(__xludf.DUMMYFUNCTION("""COMPUTED_VALUE"""),"Мамских в моем районе")</f>
        <v>Мамских в моем районе</v>
      </c>
      <c r="AC387" s="6" t="str">
        <f>IFERROR(__xludf.DUMMYFUNCTION("""COMPUTED_VALUE"""),"Любые где можно знакомиться и общаться, расширять круг знакомств ")</f>
        <v>Любые где можно знакомиться и общаться, расширять круг знакомств </v>
      </c>
      <c r="AD387" s="6" t="str">
        <f>IFERROR(__xludf.DUMMYFUNCTION("""COMPUTED_VALUE"""),"Пока не готова по семейным обстоятельствам ")</f>
        <v>Пока не готова по семейным обстоятельствам </v>
      </c>
      <c r="AE387" s="6" t="str">
        <f>IFERROR(__xludf.DUMMYFUNCTION("""COMPUTED_VALUE"""),"Женский")</f>
        <v>Женский</v>
      </c>
      <c r="AF387" s="6" t="str">
        <f>IFERROR(__xludf.DUMMYFUNCTION("""COMPUTED_VALUE"""),"30-44")</f>
        <v>30-44</v>
      </c>
      <c r="AG387" s="6"/>
      <c r="AH387" s="6"/>
      <c r="AI387" s="6"/>
      <c r="AJ387" s="6"/>
      <c r="AK387" s="6"/>
      <c r="AL387" s="6"/>
      <c r="AM387" s="6"/>
    </row>
    <row r="388">
      <c r="A388" s="4">
        <v>387.0</v>
      </c>
      <c r="B388" s="6" t="str">
        <f>IFERROR(__xludf.DUMMYFUNCTION("""COMPUTED_VALUE"""),"Музыкант")</f>
        <v>Музыкант</v>
      </c>
      <c r="C388" s="6" t="str">
        <f>IFERROR(__xludf.DUMMYFUNCTION("""COMPUTED_VALUE"""),"Спорт")</f>
        <v>Спорт</v>
      </c>
      <c r="D388" s="6" t="str">
        <f>IFERROR(__xludf.DUMMYFUNCTION("""COMPUTED_VALUE"""),"Центральный, центр")</f>
        <v>Центральный, центр</v>
      </c>
      <c r="E388" s="6" t="str">
        <f>IFERROR(__xludf.DUMMYFUNCTION("""COMPUTED_VALUE"""),"Весь район между Советским и Кузнецким проспектами")</f>
        <v>Весь район между Советским и Кузнецким проспектами</v>
      </c>
      <c r="F388" s="6" t="str">
        <f>IFERROR(__xludf.DUMMYFUNCTION("""COMPUTED_VALUE"""),"Живу здесь с рождения")</f>
        <v>Живу здесь с рождения</v>
      </c>
      <c r="G388" s="6" t="str">
        <f>IFERROR(__xludf.DUMMYFUNCTION("""COMPUTED_VALUE"""),"Центр, бор, река, Люскус")</f>
        <v>Центр, бор, река, Люскус</v>
      </c>
      <c r="H388" s="6" t="str">
        <f>IFERROR(__xludf.DUMMYFUNCTION("""COMPUTED_VALUE"""),"Уголь, бор, столица Кузбасса, Красная Горка, Волков")</f>
        <v>Уголь, бор, столица Кузбасса, Красная Горка, Волков</v>
      </c>
      <c r="I388" s="6" t="str">
        <f>IFERROR(__xludf.DUMMYFUNCTION("""COMPUTED_VALUE"""),"Волков, Рутгерс, Леонов, Бобров, Подгорбунский")</f>
        <v>Волков, Рутгерс, Леонов, Бобров, Подгорбунский</v>
      </c>
      <c r="J388" s="6" t="str">
        <f>IFERROR(__xludf.DUMMYFUNCTION("""COMPUTED_VALUE"""),"Тулеев, Михайлов")</f>
        <v>Тулеев, Михайлов</v>
      </c>
      <c r="K388" s="6" t="str">
        <f>IFERROR(__xludf.DUMMYFUNCTION("""COMPUTED_VALUE"""),"Центр, бор, Красная Горка, Лесная Поляна, Люскус, Краеведческий музей, Политех, Клумба")</f>
        <v>Центр, бор, Красная Горка, Лесная Поляна, Люскус, Краеведческий музей, Политех, Клумба</v>
      </c>
      <c r="L388" s="6" t="str">
        <f>IFERROR(__xludf.DUMMYFUNCTION("""COMPUTED_VALUE"""),"Если из политеха выпустится девственница, Волков, стоящий перед полтехом, уронит уголь")</f>
        <v>Если из политеха выпустится девственница, Волков, стоящий перед полтехом, уронит уголь</v>
      </c>
      <c r="M388" s="6" t="str">
        <f>IFERROR(__xludf.DUMMYFUNCTION("""COMPUTED_VALUE"""),"В основном топонимы - Яшка, Лапа, Красновка, Радуга.")</f>
        <v>В основном топонимы - Яшка, Лапа, Красновка, Радуга.</v>
      </c>
      <c r="N388" s="6" t="str">
        <f>IFERROR(__xludf.DUMMYFUNCTION("""COMPUTED_VALUE"""),"Чистота, отсутствие пробок, своевременная уборка снега, развитый общественный транспорт, возможность пройти пешком по тротуару в любую часть города")</f>
        <v>Чистота, отсутствие пробок, своевременная уборка снега, развитый общественный транспорт, возможность пройти пешком по тротуару в любую часть города</v>
      </c>
      <c r="O388" s="6" t="str">
        <f>IFERROR(__xludf.DUMMYFUNCTION("""COMPUTED_VALUE"""),"Убрать частники и гаражи из центральных частей города, реставрация или снос старых зданий")</f>
        <v>Убрать частники и гаражи из центральных частей города, реставрация или снос старых зданий</v>
      </c>
      <c r="P388" s="6" t="str">
        <f>IFERROR(__xludf.DUMMYFUNCTION("""COMPUTED_VALUE"""),"Группы Вконтакте типа ""Типичный Кемерово"", сарафанное радио, Инстаграм")</f>
        <v>Группы Вконтакте типа "Типичный Кемерово", сарафанное радио, Инстаграм</v>
      </c>
      <c r="Q388" s="6" t="str">
        <f>IFERROR(__xludf.DUMMYFUNCTION("""COMPUTED_VALUE"""),"результаты местных исследований (рейтинги/аналитика/тенденции), интервью с экспертами на разные темы (напишите в разделе Другое свои предложения), новости о новых стройках")</f>
        <v>результаты местных исследований (рейтинги/аналитика/тенденции), интервью с экспертами на разные темы (напишите в разделе Другое свои предложения), новости о новых стройках</v>
      </c>
      <c r="R388" s="6" t="str">
        <f>IFERROR(__xludf.DUMMYFUNCTION("""COMPUTED_VALUE"""),"Никакие. Для других стандартно - День Города, День Победы, Новый Год и т. д.")</f>
        <v>Никакие. Для других стандартно - День Города, День Победы, Новый Год и т. д.</v>
      </c>
      <c r="S388" s="6" t="str">
        <f>IFERROR(__xludf.DUMMYFUNCTION("""COMPUTED_VALUE"""),"Нет, не приходилось")</f>
        <v>Нет, не приходилось</v>
      </c>
      <c r="T388" s="6" t="str">
        <f>IFERROR(__xludf.DUMMYFUNCTION("""COMPUTED_VALUE"""),"Самый большой в мире реликтовый лес в черте города")</f>
        <v>Самый большой в мире реликтовый лес в черте города</v>
      </c>
      <c r="U388" s="6" t="str">
        <f>IFERROR(__xludf.DUMMYFUNCTION("""COMPUTED_VALUE"""),"Площадь Советов")</f>
        <v>Площадь Советов</v>
      </c>
      <c r="V388" s="6" t="str">
        <f>IFERROR(__xludf.DUMMYFUNCTION("""COMPUTED_VALUE"""),"Строили и благоустраивали город")</f>
        <v>Строили и благоустраивали город</v>
      </c>
      <c r="W388" s="6" t="str">
        <f>IFERROR(__xludf.DUMMYFUNCTION("""COMPUTED_VALUE""")," ")</f>
        <v> </v>
      </c>
      <c r="X388" s="6" t="str">
        <f>IFERROR(__xludf.DUMMYFUNCTION("""COMPUTED_VALUE"""),"Центр - Набережная - Бор")</f>
        <v>Центр - Набережная - Бор</v>
      </c>
      <c r="Y388" s="6" t="str">
        <f>IFERROR(__xludf.DUMMYFUNCTION("""COMPUTED_VALUE"""),"Его основание")</f>
        <v>Его основание</v>
      </c>
      <c r="Z388" s="6" t="str">
        <f>IFERROR(__xludf.DUMMYFUNCTION("""COMPUTED_VALUE"""),"Решение о постройке новой набережной с прилгещающей территорией и зданиями")</f>
        <v>Решение о постройке новой набережной с прилгещающей территорией и зданиями</v>
      </c>
      <c r="AA388" s="6" t="str">
        <f>IFERROR(__xludf.DUMMYFUNCTION("""COMPUTED_VALUE"""),"Зимняя Вишня")</f>
        <v>Зимняя Вишня</v>
      </c>
      <c r="AB388" s="6" t="str">
        <f>IFERROR(__xludf.DUMMYFUNCTION("""COMPUTED_VALUE""")," ")</f>
        <v> </v>
      </c>
      <c r="AC388" s="6" t="str">
        <f>IFERROR(__xludf.DUMMYFUNCTION("""COMPUTED_VALUE"""),"Спортивные и околоспортивные мероприятия для всех желающих")</f>
        <v>Спортивные и околоспортивные мероприятия для всех желающих</v>
      </c>
      <c r="AD388" s="6" t="str">
        <f>IFERROR(__xludf.DUMMYFUNCTION("""COMPUTED_VALUE"""),"Участник")</f>
        <v>Участник</v>
      </c>
      <c r="AE388" s="6" t="str">
        <f>IFERROR(__xludf.DUMMYFUNCTION("""COMPUTED_VALUE"""),"Мужской")</f>
        <v>Мужской</v>
      </c>
      <c r="AF388" s="6" t="str">
        <f>IFERROR(__xludf.DUMMYFUNCTION("""COMPUTED_VALUE"""),"30-44")</f>
        <v>30-44</v>
      </c>
      <c r="AG388" s="6"/>
      <c r="AH388" s="6"/>
      <c r="AI388" s="6"/>
      <c r="AJ388" s="6"/>
      <c r="AK388" s="6"/>
      <c r="AL388" s="6"/>
      <c r="AM388" s="6"/>
    </row>
    <row r="389">
      <c r="A389" s="4">
        <v>388.0</v>
      </c>
      <c r="B389" s="6" t="str">
        <f>IFERROR(__xludf.DUMMYFUNCTION("""COMPUTED_VALUE"""),"Домохозяйка")</f>
        <v>Домохозяйка</v>
      </c>
      <c r="C389" s="6" t="str">
        <f>IFERROR(__xludf.DUMMYFUNCTION("""COMPUTED_VALUE"""),"Да, фото, картины, спорт, швейное дело")</f>
        <v>Да, фото, картины, спорт, швейное дело</v>
      </c>
      <c r="D389" s="6" t="str">
        <f>IFERROR(__xludf.DUMMYFUNCTION("""COMPUTED_VALUE"""),"Рудничный")</f>
        <v>Рудничный</v>
      </c>
      <c r="E389" s="6" t="str">
        <f>IFERROR(__xludf.DUMMYFUNCTION("""COMPUTED_VALUE"""),"Стадион и дк Шахтеров")</f>
        <v>Стадион и дк Шахтеров</v>
      </c>
      <c r="F389" s="6" t="str">
        <f>IFERROR(__xludf.DUMMYFUNCTION("""COMPUTED_VALUE"""),"Живу здесь с рождения")</f>
        <v>Живу здесь с рождения</v>
      </c>
      <c r="G389" s="6" t="str">
        <f>IFERROR(__xludf.DUMMYFUNCTION("""COMPUTED_VALUE"""),"Сосновый Бор, набережная, тц ")</f>
        <v>Сосновый Бор, набережная, тц </v>
      </c>
      <c r="H389" s="6" t="str">
        <f>IFERROR(__xludf.DUMMYFUNCTION("""COMPUTED_VALUE"""),"Зимняя вишня, уголь, пыль, развитие, ")</f>
        <v>Зимняя вишня, уголь, пыль, развитие, </v>
      </c>
      <c r="I389" s="6" t="str">
        <f>IFERROR(__xludf.DUMMYFUNCTION("""COMPUTED_VALUE"""),"Тулеев")</f>
        <v>Тулеев</v>
      </c>
      <c r="J389" s="6" t="str">
        <f>IFERROR(__xludf.DUMMYFUNCTION("""COMPUTED_VALUE"""),"Сложно ответить")</f>
        <v>Сложно ответить</v>
      </c>
      <c r="K389" s="6" t="str">
        <f>IFERROR(__xludf.DUMMYFUNCTION("""COMPUTED_VALUE"""),"Набережная, бульвар Строителей, площадь Советов")</f>
        <v>Набережная, бульвар Строителей, площадь Советов</v>
      </c>
      <c r="L389" s="6" t="str">
        <f>IFERROR(__xludf.DUMMYFUNCTION("""COMPUTED_VALUE"""),"Сложно ответить")</f>
        <v>Сложно ответить</v>
      </c>
      <c r="M389" s="6" t="str">
        <f>IFERROR(__xludf.DUMMYFUNCTION("""COMPUTED_VALUE"""),"Нет")</f>
        <v>Нет</v>
      </c>
      <c r="N389" s="6" t="str">
        <f>IFERROR(__xludf.DUMMYFUNCTION("""COMPUTED_VALUE"""),"Хорошая экология, чистота, хорошие дороги, возможность развиваться творчески, доступное обучение, Красивый зелёный город")</f>
        <v>Хорошая экология, чистота, хорошие дороги, возможность развиваться творчески, доступное обучение, Красивый зелёный город</v>
      </c>
      <c r="O389" s="6" t="str">
        <f>IFERROR(__xludf.DUMMYFUNCTION("""COMPUTED_VALUE"""),"Дороги, фасады зданий, чистоту, больше мест для семейного отдыха. Больше парков, спортивных площадок")</f>
        <v>Дороги, фасады зданий, чистоту, больше мест для семейного отдыха. Больше парков, спортивных площадок</v>
      </c>
      <c r="P389" s="6" t="str">
        <f>IFERROR(__xludf.DUMMYFUNCTION("""COMPUTED_VALUE"""),"Яндекс афиша, инстаграм")</f>
        <v>Яндекс афиша, инстаграм</v>
      </c>
      <c r="Q389" s="6" t="str">
        <f>IFERROR(__xludf.DUMMYFUNCTION("""COMPUTED_VALUE"""),"городская афиша (кино/театр/концерты), интервью с местными политиками, результаты местных исследований (рейтинги/аналитика/тенденции)")</f>
        <v>городская афиша (кино/театр/концерты), интервью с местными политиками, результаты местных исследований (рейтинги/аналитика/тенденции)</v>
      </c>
      <c r="R389" s="6" t="str">
        <f>IFERROR(__xludf.DUMMYFUNCTION("""COMPUTED_VALUE"""),"День Шахтеров, 9 мая, Масленица, Иван купала, ")</f>
        <v>День Шахтеров, 9 мая, Масленица, Иван купала, </v>
      </c>
      <c r="S389" s="6" t="str">
        <f>IFERROR(__xludf.DUMMYFUNCTION("""COMPUTED_VALUE"""),"Нет, не приходилось")</f>
        <v>Нет, не приходилось</v>
      </c>
      <c r="T389" s="6" t="str">
        <f>IFERROR(__xludf.DUMMYFUNCTION("""COMPUTED_VALUE"""),"Природа")</f>
        <v>Природа</v>
      </c>
      <c r="U389" s="6" t="str">
        <f>IFERROR(__xludf.DUMMYFUNCTION("""COMPUTED_VALUE"""),"Набережная ")</f>
        <v>Набережная </v>
      </c>
      <c r="V389" s="6" t="str">
        <f>IFERROR(__xludf.DUMMYFUNCTION("""COMPUTED_VALUE"""),"Создают мероприятия, Арт пространства")</f>
        <v>Создают мероприятия, Арт пространства</v>
      </c>
      <c r="W389" s="6" t="str">
        <f>IFERROR(__xludf.DUMMYFUNCTION("""COMPUTED_VALUE"""),"Добрые, уставшие, недоверчивые,")</f>
        <v>Добрые, уставшие, недоверчивые,</v>
      </c>
      <c r="X389" s="6" t="str">
        <f>IFERROR(__xludf.DUMMYFUNCTION("""COMPUTED_VALUE"""),"Старый центр и бульвар Строителей")</f>
        <v>Старый центр и бульвар Строителей</v>
      </c>
      <c r="Y389" s="6" t="str">
        <f>IFERROR(__xludf.DUMMYFUNCTION("""COMPUTED_VALUE"""),"Смена власти")</f>
        <v>Смена власти</v>
      </c>
      <c r="Z389" s="6" t="str">
        <f>IFERROR(__xludf.DUMMYFUNCTION("""COMPUTED_VALUE"""),"Строительство и облагораживание в городе")</f>
        <v>Строительство и облагораживание в городе</v>
      </c>
      <c r="AA389" s="6" t="str">
        <f>IFERROR(__xludf.DUMMYFUNCTION("""COMPUTED_VALUE"""),"Зимняя вишня")</f>
        <v>Зимняя вишня</v>
      </c>
      <c r="AB389" s="6" t="str">
        <f>IFERROR(__xludf.DUMMYFUNCTION("""COMPUTED_VALUE"""),"Детских")</f>
        <v>Детских</v>
      </c>
      <c r="AC389" s="6" t="str">
        <f>IFERROR(__xludf.DUMMYFUNCTION("""COMPUTED_VALUE"""),"Спортивные, концерты, кино")</f>
        <v>Спортивные, концерты, кино</v>
      </c>
      <c r="AD389" s="6" t="str">
        <f>IFERROR(__xludf.DUMMYFUNCTION("""COMPUTED_VALUE"""),"Зритель ")</f>
        <v>Зритель </v>
      </c>
      <c r="AE389" s="6" t="str">
        <f>IFERROR(__xludf.DUMMYFUNCTION("""COMPUTED_VALUE"""),"Женский")</f>
        <v>Женский</v>
      </c>
      <c r="AF389" s="6" t="str">
        <f>IFERROR(__xludf.DUMMYFUNCTION("""COMPUTED_VALUE"""),"30-44")</f>
        <v>30-44</v>
      </c>
      <c r="AG389" s="6"/>
      <c r="AH389" s="6"/>
      <c r="AI389" s="6"/>
      <c r="AJ389" s="6"/>
      <c r="AK389" s="6"/>
      <c r="AL389" s="6"/>
      <c r="AM389" s="6"/>
    </row>
    <row r="390">
      <c r="A390" s="4">
        <v>389.0</v>
      </c>
      <c r="B390" s="6" t="str">
        <f>IFERROR(__xludf.DUMMYFUNCTION("""COMPUTED_VALUE"""),"Реклама ")</f>
        <v>Реклама </v>
      </c>
      <c r="C390" s="6" t="str">
        <f>IFERROR(__xludf.DUMMYFUNCTION("""COMPUTED_VALUE"""),"Чтение книг")</f>
        <v>Чтение книг</v>
      </c>
      <c r="D390" s="6" t="str">
        <f>IFERROR(__xludf.DUMMYFUNCTION("""COMPUTED_VALUE"""),"Ленинский")</f>
        <v>Ленинский</v>
      </c>
      <c r="E390" s="6" t="str">
        <f>IFERROR(__xludf.DUMMYFUNCTION("""COMPUTED_VALUE"""),"Никакие ")</f>
        <v>Никакие </v>
      </c>
      <c r="F390" s="6" t="str">
        <f>IFERROR(__xludf.DUMMYFUNCTION("""COMPUTED_VALUE"""),"Переехал сюда из другого места (откуда? укажите в графе другое), Из Тяжинского района ")</f>
        <v>Переехал сюда из другого места (откуда? укажите в графе другое), Из Тяжинского района </v>
      </c>
      <c r="G390" s="6" t="str">
        <f>IFERROR(__xludf.DUMMYFUNCTION("""COMPUTED_VALUE"""),"В заведения общепита ")</f>
        <v>В заведения общепита </v>
      </c>
      <c r="H390" s="6" t="str">
        <f>IFERROR(__xludf.DUMMYFUNCTION("""COMPUTED_VALUE"""),"Сугробы, Михайло Волков, Тулеев, Зимняя вишня, драм театр")</f>
        <v>Сугробы, Михайло Волков, Тулеев, Зимняя вишня, драм театр</v>
      </c>
      <c r="I390" s="6" t="str">
        <f>IFERROR(__xludf.DUMMYFUNCTION("""COMPUTED_VALUE"""),"Тулеев, Михайло Волков")</f>
        <v>Тулеев, Михайло Волков</v>
      </c>
      <c r="J390" s="6" t="str">
        <f>IFERROR(__xludf.DUMMYFUNCTION("""COMPUTED_VALUE"""),"Не знаю")</f>
        <v>Не знаю</v>
      </c>
      <c r="K390" s="6" t="str">
        <f>IFERROR(__xludf.DUMMYFUNCTION("""COMPUTED_VALUE"""),"Красная горка, театр музыкальный, набережная")</f>
        <v>Красная горка, театр музыкальный, набережная</v>
      </c>
      <c r="L390" s="6" t="str">
        <f>IFERROR(__xludf.DUMMYFUNCTION("""COMPUTED_VALUE"""),"🤦🏼‍♀️")</f>
        <v>🤦🏼‍♀️</v>
      </c>
      <c r="M390" s="6" t="str">
        <f>IFERROR(__xludf.DUMMYFUNCTION("""COMPUTED_VALUE"""),"Неа")</f>
        <v>Неа</v>
      </c>
      <c r="N390" s="6" t="str">
        <f>IFERROR(__xludf.DUMMYFUNCTION("""COMPUTED_VALUE"""),"Наличие удобной транспортной развязки, чистота, незагазованость, наличие хороших магазинов и мест для культурного развития")</f>
        <v>Наличие удобной транспортной развязки, чистота, незагазованость, наличие хороших магазинов и мест для культурного развития</v>
      </c>
      <c r="O390" s="6" t="str">
        <f>IFERROR(__xludf.DUMMYFUNCTION("""COMPUTED_VALUE"""),"Убрать мусор, подремонтировать фасады зданий")</f>
        <v>Убрать мусор, подремонтировать фасады зданий</v>
      </c>
      <c r="P390" s="6" t="str">
        <f>IFERROR(__xludf.DUMMYFUNCTION("""COMPUTED_VALUE"""),"Интернет")</f>
        <v>Интернет</v>
      </c>
      <c r="Q39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390" s="6" t="str">
        <f>IFERROR(__xludf.DUMMYFUNCTION("""COMPUTED_VALUE"""),"Никакие")</f>
        <v>Никакие</v>
      </c>
      <c r="S390" s="6" t="str">
        <f>IFERROR(__xludf.DUMMYFUNCTION("""COMPUTED_VALUE"""),"Нет, не приходилось")</f>
        <v>Нет, не приходилось</v>
      </c>
      <c r="T390" s="6" t="str">
        <f>IFERROR(__xludf.DUMMYFUNCTION("""COMPUTED_VALUE"""),"Углём ")</f>
        <v>Углём </v>
      </c>
      <c r="U390" s="6" t="str">
        <f>IFERROR(__xludf.DUMMYFUNCTION("""COMPUTED_VALUE"""),"Парк чудес")</f>
        <v>Парк чудес</v>
      </c>
      <c r="V390" s="6" t="str">
        <f>IFERROR(__xludf.DUMMYFUNCTION("""COMPUTED_VALUE"""),"Строили его")</f>
        <v>Строили его</v>
      </c>
      <c r="W390" s="6" t="str">
        <f>IFERROR(__xludf.DUMMYFUNCTION("""COMPUTED_VALUE"""),"Такие же, как и другие жители страны")</f>
        <v>Такие же, как и другие жители страны</v>
      </c>
      <c r="X390" s="6" t="str">
        <f>IFERROR(__xludf.DUMMYFUNCTION("""COMPUTED_VALUE"""),"Нет таких")</f>
        <v>Нет таких</v>
      </c>
      <c r="Y390" s="6" t="str">
        <f>IFERROR(__xludf.DUMMYFUNCTION("""COMPUTED_VALUE"""),"Открытие угля")</f>
        <v>Открытие угля</v>
      </c>
      <c r="Z390" s="6" t="str">
        <f>IFERROR(__xludf.DUMMYFUNCTION("""COMPUTED_VALUE"""),"Никакие")</f>
        <v>Никакие</v>
      </c>
      <c r="AA390" s="6" t="str">
        <f>IFERROR(__xludf.DUMMYFUNCTION("""COMPUTED_VALUE"""),"Мы в топе по заболевания ВИЧ ")</f>
        <v>Мы в топе по заболевания ВИЧ </v>
      </c>
      <c r="AB390" s="6" t="str">
        <f>IFERROR(__xludf.DUMMYFUNCTION("""COMPUTED_VALUE"""),"🤦🏼‍♀️")</f>
        <v>🤦🏼‍♀️</v>
      </c>
      <c r="AC390" s="6" t="str">
        <f>IFERROR(__xludf.DUMMYFUNCTION("""COMPUTED_VALUE"""),"🙆🏼‍♀️")</f>
        <v>🙆🏼‍♀️</v>
      </c>
      <c r="AD390" s="6" t="str">
        <f>IFERROR(__xludf.DUMMYFUNCTION("""COMPUTED_VALUE"""),"Роль добровольца")</f>
        <v>Роль добровольца</v>
      </c>
      <c r="AE390" s="6" t="str">
        <f>IFERROR(__xludf.DUMMYFUNCTION("""COMPUTED_VALUE"""),"Мужской")</f>
        <v>Мужской</v>
      </c>
      <c r="AF390" s="6" t="str">
        <f>IFERROR(__xludf.DUMMYFUNCTION("""COMPUTED_VALUE"""),"18-29")</f>
        <v>18-29</v>
      </c>
      <c r="AG390" s="6"/>
      <c r="AH390" s="6"/>
      <c r="AI390" s="6"/>
      <c r="AJ390" s="6"/>
      <c r="AK390" s="6"/>
      <c r="AL390" s="6"/>
      <c r="AM390" s="6"/>
    </row>
    <row r="391">
      <c r="A391" s="4">
        <v>390.0</v>
      </c>
      <c r="B391" s="6" t="str">
        <f>IFERROR(__xludf.DUMMYFUNCTION("""COMPUTED_VALUE"""),"Домохозяйка")</f>
        <v>Домохозяйка</v>
      </c>
      <c r="C391" s="6" t="str">
        <f>IFERROR(__xludf.DUMMYFUNCTION("""COMPUTED_VALUE"""),"Книги")</f>
        <v>Книги</v>
      </c>
      <c r="D391" s="6" t="str">
        <f>IFERROR(__xludf.DUMMYFUNCTION("""COMPUTED_VALUE"""),"В Кемеровском, но люблю Ленинский.")</f>
        <v>В Кемеровском, но люблю Ленинский.</v>
      </c>
      <c r="E391" s="6" t="str">
        <f>IFERROR(__xludf.DUMMYFUNCTION("""COMPUTED_VALUE"""),"Люблю бульвар Строителей")</f>
        <v>Люблю бульвар Строителей</v>
      </c>
      <c r="F391" s="6" t="str">
        <f>IFERROR(__xludf.DUMMYFUNCTION("""COMPUTED_VALUE"""),"Не живу,но приезжаю сюда (к родственникам/друзьям)")</f>
        <v>Не живу,но приезжаю сюда (к родственникам/друзьям)</v>
      </c>
      <c r="G391" s="6" t="str">
        <f>IFERROR(__xludf.DUMMYFUNCTION("""COMPUTED_VALUE"""),"Библиотеки, в театр, гуляю в центре города.")</f>
        <v>Библиотеки, в театр, гуляю в центре города.</v>
      </c>
      <c r="H391" s="6" t="str">
        <f>IFERROR(__xludf.DUMMYFUNCTION("""COMPUTED_VALUE"""),"Бульвар, серый, новые дома, скверы, парк Жукова")</f>
        <v>Бульвар, серый, новые дома, скверы, парк Жукова</v>
      </c>
      <c r="I391" s="6" t="str">
        <f>IFERROR(__xludf.DUMMYFUNCTION("""COMPUTED_VALUE"""),"Леонов, Федоров, Гришковец")</f>
        <v>Леонов, Федоров, Гришковец</v>
      </c>
      <c r="J391" s="6" t="str">
        <f>IFERROR(__xludf.DUMMYFUNCTION("""COMPUTED_VALUE"""),"Бывший мэр Михайлов")</f>
        <v>Бывший мэр Михайлов</v>
      </c>
      <c r="K391" s="6" t="str">
        <f>IFERROR(__xludf.DUMMYFUNCTION("""COMPUTED_VALUE"""),"Бульвар Строителей")</f>
        <v>Бульвар Строителей</v>
      </c>
      <c r="L391" s="6" t="str">
        <f>IFERROR(__xludf.DUMMYFUNCTION("""COMPUTED_VALUE"""),"""Кемерово"" Белла Ахмадулина")</f>
        <v>"Кемерово" Белла Ахмадулина</v>
      </c>
      <c r="M391" s="6" t="str">
        <f>IFERROR(__xludf.DUMMYFUNCTION("""COMPUTED_VALUE"""),"Нет.")</f>
        <v>Нет.</v>
      </c>
      <c r="N391" s="6" t="str">
        <f>IFERROR(__xludf.DUMMYFUNCTION("""COMPUTED_VALUE"""),"Красивые парки, хорошие дороги, чистота, велосипедные дорожки, отсутствие проблем с автобусами.")</f>
        <v>Красивые парки, хорошие дороги, чистота, велосипедные дорожки, отсутствие проблем с автобусами.</v>
      </c>
      <c r="O391" s="6" t="str">
        <f>IFERROR(__xludf.DUMMYFUNCTION("""COMPUTED_VALUE"""),"Почистить.")</f>
        <v>Почистить.</v>
      </c>
      <c r="P391" s="6" t="str">
        <f>IFERROR(__xludf.DUMMYFUNCTION("""COMPUTED_VALUE"""),"Фейсбук")</f>
        <v>Фейсбук</v>
      </c>
      <c r="Q391" s="6" t="str">
        <f>IFERROR(__xludf.DUMMYFUNCTION("""COMPUTED_VALUE"""),"городская афиша (кино/театр/концерты), интервью с местными творческими личностями, интервью с местными предпринимателями")</f>
        <v>городская афиша (кино/театр/концерты), интервью с местными творческими личностями, интервью с местными предпринимателями</v>
      </c>
      <c r="R391" s="6" t="str">
        <f>IFERROR(__xludf.DUMMYFUNCTION("""COMPUTED_VALUE"""),"День города")</f>
        <v>День города</v>
      </c>
      <c r="S391" s="6" t="str">
        <f>IFERROR(__xludf.DUMMYFUNCTION("""COMPUTED_VALUE"""),"Нет, не приходилось")</f>
        <v>Нет, не приходилось</v>
      </c>
      <c r="T391" s="6" t="str">
        <f>IFERROR(__xludf.DUMMYFUNCTION("""COMPUTED_VALUE"""),"Когда-то здесь жили мамонты.)")</f>
        <v>Когда-то здесь жили мамонты.)</v>
      </c>
      <c r="U391" s="6" t="str">
        <f>IFERROR(__xludf.DUMMYFUNCTION("""COMPUTED_VALUE"""),"Улица Весеняя")</f>
        <v>Улица Весеняя</v>
      </c>
      <c r="V391" s="6" t="str">
        <f>IFERROR(__xludf.DUMMYFUNCTION("""COMPUTED_VALUE"""),"Сложно ответить.")</f>
        <v>Сложно ответить.</v>
      </c>
      <c r="W391" s="6" t="str">
        <f>IFERROR(__xludf.DUMMYFUNCTION("""COMPUTED_VALUE"""),"Суровые, прямые, стойкие.")</f>
        <v>Суровые, прямые, стойкие.</v>
      </c>
      <c r="X391" s="6" t="str">
        <f>IFERROR(__xludf.DUMMYFUNCTION("""COMPUTED_VALUE"""),"Сложно сказать, сейчас везде мусор. Прибрать бы город. ")</f>
        <v>Сложно сказать, сейчас везде мусор. Прибрать бы город. </v>
      </c>
      <c r="Y391" s="6" t="str">
        <f>IFERROR(__xludf.DUMMYFUNCTION("""COMPUTED_VALUE"""),"Фестиваль ")</f>
        <v>Фестиваль </v>
      </c>
      <c r="Z391" s="6" t="str">
        <f>IFERROR(__xludf.DUMMYFUNCTION("""COMPUTED_VALUE"""),"Люблю праздники на день города.")</f>
        <v>Люблю праздники на день города.</v>
      </c>
      <c r="AA391" s="6" t="str">
        <f>IFERROR(__xludf.DUMMYFUNCTION("""COMPUTED_VALUE"""),"Мусор и грязь, проблемы с общественным транспортом.")</f>
        <v>Мусор и грязь, проблемы с общественным транспортом.</v>
      </c>
      <c r="AB391" s="6" t="str">
        <f>IFERROR(__xludf.DUMMYFUNCTION("""COMPUTED_VALUE"""),"Краеведение")</f>
        <v>Краеведение</v>
      </c>
      <c r="AC391" s="6" t="str">
        <f>IFERROR(__xludf.DUMMYFUNCTION("""COMPUTED_VALUE"""),"Парки бы привели в порядок.")</f>
        <v>Парки бы привели в порядок.</v>
      </c>
      <c r="AD391" s="6" t="str">
        <f>IFERROR(__xludf.DUMMYFUNCTION("""COMPUTED_VALUE"""),"Могу помогать убирать мусор,  красить, мыть.")</f>
        <v>Могу помогать убирать мусор,  красить, мыть.</v>
      </c>
      <c r="AE391" s="6" t="str">
        <f>IFERROR(__xludf.DUMMYFUNCTION("""COMPUTED_VALUE"""),"Женский")</f>
        <v>Женский</v>
      </c>
      <c r="AF391" s="6" t="str">
        <f>IFERROR(__xludf.DUMMYFUNCTION("""COMPUTED_VALUE"""),"30-44")</f>
        <v>30-44</v>
      </c>
      <c r="AG391" s="6"/>
      <c r="AH391" s="6"/>
      <c r="AI391" s="6"/>
      <c r="AJ391" s="6"/>
      <c r="AK391" s="6"/>
      <c r="AL391" s="6"/>
      <c r="AM391" s="6"/>
    </row>
    <row r="392">
      <c r="A392" s="4">
        <v>391.0</v>
      </c>
      <c r="B392" s="6" t="str">
        <f>IFERROR(__xludf.DUMMYFUNCTION("""COMPUTED_VALUE"""),"Региональный менеджер социальных, культурных и образовательных проектов")</f>
        <v>Региональный менеджер социальных, культурных и образовательных проектов</v>
      </c>
      <c r="C392" s="6" t="str">
        <f>IFERROR(__xludf.DUMMYFUNCTION("""COMPUTED_VALUE"""),"Шью куклы, пишу стихи, изучаю иностранные языки")</f>
        <v>Шью куклы, пишу стихи, изучаю иностранные языки</v>
      </c>
      <c r="D392" s="6" t="str">
        <f>IFERROR(__xludf.DUMMYFUNCTION("""COMPUTED_VALUE"""),"В Центральном, но называю ""На Цирке""")</f>
        <v>В Центральном, но называю "На Цирке"</v>
      </c>
      <c r="E392" s="6" t="str">
        <f>IFERROR(__xludf.DUMMYFUNCTION("""COMPUTED_VALUE"""),"Сквер влюбленных, парк Жукова, Набережная, фонтан, площадь Советов")</f>
        <v>Сквер влюбленных, парк Жукова, Набережная, фонтан, площадь Советов</v>
      </c>
      <c r="F392" s="6" t="str">
        <f>IFERROR(__xludf.DUMMYFUNCTION("""COMPUTED_VALUE"""),"Живу здесь с рождения")</f>
        <v>Живу здесь с рождения</v>
      </c>
      <c r="G392" s="6" t="str">
        <f>IFERROR(__xludf.DUMMYFUNCTION("""COMPUTED_VALUE"""),"Хожу в бары, кальянные. Езжу с семьёй на заимку и в хаски-лэнд")</f>
        <v>Хожу в бары, кальянные. Езжу с семьёй на заимку и в хаски-лэнд</v>
      </c>
      <c r="H392" s="6" t="str">
        <f>IFERROR(__xludf.DUMMYFUNCTION("""COMPUTED_VALUE"""),"Родной, друзья, детство, вечера, драмтеатр")</f>
        <v>Родной, друзья, детство, вечера, драмтеатр</v>
      </c>
      <c r="I392" s="6" t="str">
        <f>IFERROR(__xludf.DUMMYFUNCTION("""COMPUTED_VALUE"""),"Вера Волошина, Алексей Леонов, Иван Балибалов, Михаил Подгорбунский")</f>
        <v>Вера Волошина, Алексей Леонов, Иван Балибалов, Михаил Подгорбунский</v>
      </c>
      <c r="J392" s="6" t="str">
        <f>IFERROR(__xludf.DUMMYFUNCTION("""COMPUTED_VALUE"""),"Аман Тулеев, Илья Середюк, Геннадий Юров")</f>
        <v>Аман Тулеев, Илья Середюк, Геннадий Юров</v>
      </c>
      <c r="K392" s="6" t="str">
        <f>IFERROR(__xludf.DUMMYFUNCTION("""COMPUTED_VALUE"""),"Площадь Пушкина, Весенняя, Набережная")</f>
        <v>Площадь Пушкина, Весенняя, Набережная</v>
      </c>
      <c r="L392" s="6" t="str">
        <f>IFERROR(__xludf.DUMMYFUNCTION("""COMPUTED_VALUE"""),"""18 млн - это же не 30""; ""Чихнет Кузбасс - у всей России насморк""")</f>
        <v>"18 млн - это же не 30"; "Чихнет Кузбасс - у всей России насморк"</v>
      </c>
      <c r="M392" s="6" t="str">
        <f>IFERROR(__xludf.DUMMYFUNCTION("""COMPUTED_VALUE"""),"Нет")</f>
        <v>Нет</v>
      </c>
      <c r="N392" s="6" t="str">
        <f>IFERROR(__xludf.DUMMYFUNCTION("""COMPUTED_VALUE"""),"Наличие магазинов крупных сетевых марок (к сожалению, в Кемерово практически их нет, приходится ездить в Новосибирск), наличие прямых самолетных рейсов по приемлемым ценам в основные крупные города и чартеров в туристические страны (с этим тоже проблема);"&amp;" наличие фирм и организаций, работающих с европейскими странами (сейчас Кузбасс работает в основном с Китаем, переводчики европейских языков практически не востребованы); высокая оплата труда (для ресурсного региона в Кемеровской области зарплаты низкие);"&amp;" наличие инклюзивной среды (этого вообще нет, в школах нет тьюторов в штате, нет классов для детей-аутистов, ВСЕ детсады компенсирующего вида объединили с обычными, а это неправильно); большое количество парковок (с этим тоже проблема в городе, я считаю, "&amp;"что нужно убирать из центра города организации, если для них не хватает парковок - университеты, тц и прочие)")</f>
        <v>Наличие магазинов крупных сетевых марок (к сожалению, в Кемерово практически их нет, приходится ездить в Новосибирск), наличие прямых самолетных рейсов по приемлемым ценам в основные крупные города и чартеров в туристические страны (с этим тоже проблема); наличие фирм и организаций, работающих с европейскими странами (сейчас Кузбасс работает в основном с Китаем, переводчики европейских языков практически не востребованы); высокая оплата труда (для ресурсного региона в Кемеровской области зарплаты низкие); наличие инклюзивной среды (этого вообще нет, в школах нет тьюторов в штате, нет классов для детей-аутистов, ВСЕ детсады компенсирующего вида объединили с обычными, а это неправильно); большое количество парковок (с этим тоже проблема в городе, я считаю, что нужно убирать из центра города организации, если для них не хватает парковок - университеты, тц и прочие)</v>
      </c>
      <c r="O392" s="6" t="str">
        <f>IFERROR(__xludf.DUMMYFUNCTION("""COMPUTED_VALUE"""),"Ремонт дворов, чистка и вывоз снега (только не силами жителей, а работниками-дворниками, я категорически против субботников), увеличение числа парковочных мест")</f>
        <v>Ремонт дворов, чистка и вывоз снега (только не силами жителей, а работниками-дворниками, я категорически против субботников), увеличение числа парковочных мест</v>
      </c>
      <c r="P392" s="6" t="str">
        <f>IFERROR(__xludf.DUMMYFUNCTION("""COMPUTED_VALUE"""),"Инстаграм")</f>
        <v>Инстаграм</v>
      </c>
      <c r="Q392"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392" s="6" t="str">
        <f>IFERROR(__xludf.DUMMYFUNCTION("""COMPUTED_VALUE"""),"Никакие, не люблю городские праздники, деньги на ветер")</f>
        <v>Никакие, не люблю городские праздники, деньги на ветер</v>
      </c>
      <c r="S392"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Инстаграм, Вконтакте")</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Инстаграм, Вконтакте</v>
      </c>
      <c r="T392" s="6" t="str">
        <f>IFERROR(__xludf.DUMMYFUNCTION("""COMPUTED_VALUE"""),"Судя по опросу знакомых из других городов и стран, Кемерово известен в негативном смысле: пожар, слишком дорогая ёлка, сауна на крыше жилого дома, убийство девушки")</f>
        <v>Судя по опросу знакомых из других городов и стран, Кемерово известен в негативном смысле: пожар, слишком дорогая ёлка, сауна на крыше жилого дома, убийство девушки</v>
      </c>
      <c r="U392" s="6" t="str">
        <f>IFERROR(__xludf.DUMMYFUNCTION("""COMPUTED_VALUE"""),"Фонтан у драмтеатра")</f>
        <v>Фонтан у драмтеатра</v>
      </c>
      <c r="V392" s="6" t="str">
        <f>IFERROR(__xludf.DUMMYFUNCTION("""COMPUTED_VALUE"""),"Медицинские исследования, шахты, герои войны")</f>
        <v>Медицинские исследования, шахты, герои войны</v>
      </c>
      <c r="W392" s="6" t="str">
        <f>IFERROR(__xludf.DUMMYFUNCTION("""COMPUTED_VALUE"""),"Открытые, добросердечные, трудолюбивые, креативные")</f>
        <v>Открытые, добросердечные, трудолюбивые, креативные</v>
      </c>
      <c r="X392" s="6" t="str">
        <f>IFERROR(__xludf.DUMMYFUNCTION("""COMPUTED_VALUE"""),"От университетского моста до парка чудес")</f>
        <v>От университетского моста до парка чудес</v>
      </c>
      <c r="Y392" s="6" t="str">
        <f>IFERROR(__xludf.DUMMYFUNCTION("""COMPUTED_VALUE"""),"Открытие Президентского кадетского корпуса")</f>
        <v>Открытие Президентского кадетского корпуса</v>
      </c>
      <c r="Z392" s="6" t="str">
        <f>IFERROR(__xludf.DUMMYFUNCTION("""COMPUTED_VALUE"""),"Затрудняюсь ответить")</f>
        <v>Затрудняюсь ответить</v>
      </c>
      <c r="AA392" s="6" t="str">
        <f>IFERROR(__xludf.DUMMYFUNCTION("""COMPUTED_VALUE"""),"Пожар в зимней вишне, убийство девушки, на которое не приехала полиция")</f>
        <v>Пожар в зимней вишне, убийство девушки, на которое не приехала полиция</v>
      </c>
      <c r="AB392" s="6" t="str">
        <f>IFERROR(__xludf.DUMMYFUNCTION("""COMPUTED_VALUE"""),"По поддержке НКО")</f>
        <v>По поддержке НКО</v>
      </c>
      <c r="AC392" s="6" t="str">
        <f>IFERROR(__xludf.DUMMYFUNCTION("""COMPUTED_VALUE"""),"Зарплату повысить, тратить есть где; открыть нормальные магазины (hm, ikea)")</f>
        <v>Зарплату повысить, тратить есть где; открыть нормальные магазины (hm, ikea)</v>
      </c>
      <c r="AD392" s="6" t="str">
        <f>IFERROR(__xludf.DUMMYFUNCTION("""COMPUTED_VALUE"""),"Готова быть в творческой команде разработчиков")</f>
        <v>Готова быть в творческой команде разработчиков</v>
      </c>
      <c r="AE392" s="6" t="str">
        <f>IFERROR(__xludf.DUMMYFUNCTION("""COMPUTED_VALUE"""),"Женский")</f>
        <v>Женский</v>
      </c>
      <c r="AF392" s="6" t="str">
        <f>IFERROR(__xludf.DUMMYFUNCTION("""COMPUTED_VALUE"""),"30-44")</f>
        <v>30-44</v>
      </c>
      <c r="AG392" s="6"/>
      <c r="AH392" s="6"/>
      <c r="AI392" s="6"/>
      <c r="AJ392" s="6"/>
      <c r="AK392" s="6"/>
      <c r="AL392" s="6"/>
      <c r="AM392" s="6"/>
    </row>
    <row r="393">
      <c r="A393" s="4">
        <v>392.0</v>
      </c>
      <c r="B393" s="6" t="str">
        <f>IFERROR(__xludf.DUMMYFUNCTION("""COMPUTED_VALUE"""),"преподаватель")</f>
        <v>преподаватель</v>
      </c>
      <c r="C393" s="6" t="str">
        <f>IFERROR(__xludf.DUMMYFUNCTION("""COMPUTED_VALUE"""),"инвестор")</f>
        <v>инвестор</v>
      </c>
      <c r="D393" s="6" t="str">
        <f>IFERROR(__xludf.DUMMYFUNCTION("""COMPUTED_VALUE"""),"ФПК")</f>
        <v>ФПК</v>
      </c>
      <c r="E393" s="6" t="str">
        <f>IFERROR(__xludf.DUMMYFUNCTION("""COMPUTED_VALUE"""),"Памятник шахтеру, красная горка, томская писанница")</f>
        <v>Памятник шахтеру, красная горка, томская писанница</v>
      </c>
      <c r="F393" s="6" t="str">
        <f>IFERROR(__xludf.DUMMYFUNCTION("""COMPUTED_VALUE"""),"Живу здесь с рождения")</f>
        <v>Живу здесь с рождения</v>
      </c>
      <c r="G393" s="6" t="str">
        <f>IFERROR(__xludf.DUMMYFUNCTION("""COMPUTED_VALUE"""),"На набережную")</f>
        <v>На набережную</v>
      </c>
      <c r="H393" s="6" t="str">
        <f>IFERROR(__xludf.DUMMYFUNCTION("""COMPUTED_VALUE"""),"Уютный, серый, спокойный, родной, не современный")</f>
        <v>Уютный, серый, спокойный, родной, не современный</v>
      </c>
      <c r="I393" s="6" t="str">
        <f>IFERROR(__xludf.DUMMYFUNCTION("""COMPUTED_VALUE"""),"М. Волков")</f>
        <v>М. Волков</v>
      </c>
      <c r="J393" s="6" t="str">
        <f>IFERROR(__xludf.DUMMYFUNCTION("""COMPUTED_VALUE"""),"Леонов")</f>
        <v>Леонов</v>
      </c>
      <c r="K393" s="6" t="str">
        <f>IFERROR(__xludf.DUMMYFUNCTION("""COMPUTED_VALUE"""),"Красная горка")</f>
        <v>Красная горка</v>
      </c>
      <c r="L393" s="6" t="str">
        <f>IFERROR(__xludf.DUMMYFUNCTION("""COMPUTED_VALUE"""),"не знаю")</f>
        <v>не знаю</v>
      </c>
      <c r="M393" s="6" t="str">
        <f>IFERROR(__xludf.DUMMYFUNCTION("""COMPUTED_VALUE"""),"не знаю")</f>
        <v>не знаю</v>
      </c>
      <c r="N393" s="6" t="str">
        <f>IFERROR(__xludf.DUMMYFUNCTION("""COMPUTED_VALUE"""),"все знакомо, уютно, мало пробок, относительно чисто.")</f>
        <v>все знакомо, уютно, мало пробок, относительно чисто.</v>
      </c>
      <c r="O393" s="6" t="str">
        <f>IFERROR(__xludf.DUMMYFUNCTION("""COMPUTED_VALUE"""),"Добавить развлечений для ")</f>
        <v>Добавить развлечений для </v>
      </c>
      <c r="P393" s="6" t="str">
        <f>IFERROR(__xludf.DUMMYFUNCTION("""COMPUTED_VALUE"""),"инстагрвамм")</f>
        <v>инстагрвамм</v>
      </c>
      <c r="Q393"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393" s="6" t="str">
        <f>IFERROR(__xludf.DUMMYFUNCTION("""COMPUTED_VALUE"""),"День города, 9 мая")</f>
        <v>День города, 9 мая</v>
      </c>
      <c r="S393" s="6" t="str">
        <f>IFERROR(__xludf.DUMMYFUNCTION("""COMPUTED_VALUE"""),"Нет, не приходилось")</f>
        <v>Нет, не приходилось</v>
      </c>
      <c r="T393" s="6" t="str">
        <f>IFERROR(__xludf.DUMMYFUNCTION("""COMPUTED_VALUE"""),"Углем")</f>
        <v>Углем</v>
      </c>
      <c r="U393" s="6" t="str">
        <f>IFERROR(__xludf.DUMMYFUNCTION("""COMPUTED_VALUE"""),"угольные предприятия")</f>
        <v>угольные предприятия</v>
      </c>
      <c r="V393" s="6" t="str">
        <f>IFERROR(__xludf.DUMMYFUNCTION("""COMPUTED_VALUE"""),"Любили свой город и пропагандировали его")</f>
        <v>Любили свой город и пропагандировали его</v>
      </c>
      <c r="W393" s="6" t="str">
        <f>IFERROR(__xludf.DUMMYFUNCTION("""COMPUTED_VALUE"""),"добрые, не торопливые, отзывчивые")</f>
        <v>добрые, не торопливые, отзывчивые</v>
      </c>
      <c r="X393" s="6" t="str">
        <f>IFERROR(__xludf.DUMMYFUNCTION("""COMPUTED_VALUE"""),"погулять по центру")</f>
        <v>погулять по центру</v>
      </c>
      <c r="Y393" s="6" t="str">
        <f>IFERROR(__xludf.DUMMYFUNCTION("""COMPUTED_VALUE"""),"победили в волейбол)")</f>
        <v>победили в волейбол)</v>
      </c>
      <c r="Z393" s="6" t="str">
        <f>IFERROR(__xludf.DUMMYFUNCTION("""COMPUTED_VALUE"""),"не припоминаю")</f>
        <v>не припоминаю</v>
      </c>
      <c r="AA393" s="6" t="str">
        <f>IFERROR(__xludf.DUMMYFUNCTION("""COMPUTED_VALUE"""),"большой отток населения")</f>
        <v>большой отток населения</v>
      </c>
      <c r="AB393" s="6" t="str">
        <f>IFERROR(__xludf.DUMMYFUNCTION("""COMPUTED_VALUE"""),"нетворкинг ")</f>
        <v>нетворкинг </v>
      </c>
      <c r="AC393" s="6" t="str">
        <f>IFERROR(__xludf.DUMMYFUNCTION("""COMPUTED_VALUE"""),"Аквапарк, другие интересные развлечения для семейного отдыха")</f>
        <v>Аквапарк, другие интересные развлечения для семейного отдыха</v>
      </c>
      <c r="AD393" s="6" t="str">
        <f>IFERROR(__xludf.DUMMYFUNCTION("""COMPUTED_VALUE"""),"вступить в инициативную группу")</f>
        <v>вступить в инициативную группу</v>
      </c>
      <c r="AE393" s="6" t="str">
        <f>IFERROR(__xludf.DUMMYFUNCTION("""COMPUTED_VALUE"""),"Женский")</f>
        <v>Женский</v>
      </c>
      <c r="AF393" s="6" t="str">
        <f>IFERROR(__xludf.DUMMYFUNCTION("""COMPUTED_VALUE"""),"30-44")</f>
        <v>30-44</v>
      </c>
      <c r="AG393" s="6"/>
      <c r="AH393" s="6"/>
      <c r="AI393" s="6"/>
      <c r="AJ393" s="6"/>
      <c r="AK393" s="6"/>
      <c r="AL393" s="6"/>
      <c r="AM393" s="6"/>
    </row>
    <row r="394">
      <c r="A394" s="4">
        <v>393.0</v>
      </c>
      <c r="B394" s="6" t="str">
        <f>IFERROR(__xludf.DUMMYFUNCTION("""COMPUTED_VALUE"""),"Массаист")</f>
        <v>Массаист</v>
      </c>
      <c r="C394" s="6" t="str">
        <f>IFERROR(__xludf.DUMMYFUNCTION("""COMPUTED_VALUE"""),"Фотография")</f>
        <v>Фотография</v>
      </c>
      <c r="D394" s="6" t="str">
        <f>IFERROR(__xludf.DUMMYFUNCTION("""COMPUTED_VALUE"""),"Центральный")</f>
        <v>Центральный</v>
      </c>
      <c r="E394" s="6" t="str">
        <f>IFERROR(__xludf.DUMMYFUNCTION("""COMPUTED_VALUE"""),"Телевышка")</f>
        <v>Телевышка</v>
      </c>
      <c r="F394" s="6" t="str">
        <f>IFERROR(__xludf.DUMMYFUNCTION("""COMPUTED_VALUE"""),"Живу здесь с рождения")</f>
        <v>Живу здесь с рождения</v>
      </c>
      <c r="G394" s="6" t="str">
        <f>IFERROR(__xludf.DUMMYFUNCTION("""COMPUTED_VALUE"""),"В парк В.Волошиной")</f>
        <v>В парк В.Волошиной</v>
      </c>
      <c r="H394" s="6" t="str">
        <f>IFERROR(__xludf.DUMMYFUNCTION("""COMPUTED_VALUE"""),"Разнообразный, серый, красочный, молодежный")</f>
        <v>Разнообразный, серый, красочный, молодежный</v>
      </c>
      <c r="I394" s="6" t="str">
        <f>IFERROR(__xludf.DUMMYFUNCTION("""COMPUTED_VALUE"""),"Есенин")</f>
        <v>Есенин</v>
      </c>
      <c r="J394" s="6" t="str">
        <f>IFERROR(__xludf.DUMMYFUNCTION("""COMPUTED_VALUE"""),"Тулеев")</f>
        <v>Тулеев</v>
      </c>
      <c r="K394" s="6" t="str">
        <f>IFERROR(__xludf.DUMMYFUNCTION("""COMPUTED_VALUE"""),"Памятник в любным")</f>
        <v>Памятник в любным</v>
      </c>
      <c r="L394" s="6" t="str">
        <f>IFERROR(__xludf.DUMMYFUNCTION("""COMPUTED_VALUE"""),"Не знаю")</f>
        <v>Не знаю</v>
      </c>
      <c r="M394" s="6" t="str">
        <f>IFERROR(__xludf.DUMMYFUNCTION("""COMPUTED_VALUE"""),"Не знаю")</f>
        <v>Не знаю</v>
      </c>
      <c r="N394" s="6" t="str">
        <f>IFERROR(__xludf.DUMMYFUNCTION("""COMPUTED_VALUE"""),"Томск, Омск, Новосибирск")</f>
        <v>Томск, Омск, Новосибирск</v>
      </c>
      <c r="O394" s="6" t="str">
        <f>IFERROR(__xludf.DUMMYFUNCTION("""COMPUTED_VALUE"""),"Дороги, и заработную плату")</f>
        <v>Дороги, и заработную плату</v>
      </c>
      <c r="P394" s="6" t="str">
        <f>IFERROR(__xludf.DUMMYFUNCTION("""COMPUTED_VALUE"""),"ВК, новости")</f>
        <v>ВК, новости</v>
      </c>
      <c r="Q394" s="6" t="str">
        <f>IFERROR(__xludf.DUMMYFUNCTION("""COMPUTED_VALUE"""),"городская афиша (кино/театр/концерты), интервью с местными творческими личностями, новости про новые профессии/куда поступать/вакансии")</f>
        <v>городская афиша (кино/театр/концерты), интервью с местными творческими личностями, новости про новые профессии/куда поступать/вакансии</v>
      </c>
      <c r="R394" s="6" t="str">
        <f>IFERROR(__xludf.DUMMYFUNCTION("""COMPUTED_VALUE"""),"Не знаю")</f>
        <v>Не знаю</v>
      </c>
      <c r="S394" s="6" t="str">
        <f>IFERROR(__xludf.DUMMYFUNCTION("""COMPUTED_VALUE"""),"Нет, не приходилось")</f>
        <v>Нет, не приходилось</v>
      </c>
      <c r="T394" s="6" t="str">
        <f>IFERROR(__xludf.DUMMYFUNCTION("""COMPUTED_VALUE"""),"Углем")</f>
        <v>Углем</v>
      </c>
      <c r="U394" s="6" t="str">
        <f>IFERROR(__xludf.DUMMYFUNCTION("""COMPUTED_VALUE"""),"Площадь Советов")</f>
        <v>Площадь Советов</v>
      </c>
      <c r="V394" s="6" t="str">
        <f>IFERROR(__xludf.DUMMYFUNCTION("""COMPUTED_VALUE"""),"Много чего")</f>
        <v>Много чего</v>
      </c>
      <c r="W394" s="6" t="str">
        <f>IFERROR(__xludf.DUMMYFUNCTION("""COMPUTED_VALUE"""),"Доброта, понимание, уважение")</f>
        <v>Доброта, понимание, уважение</v>
      </c>
      <c r="X394" s="6" t="str">
        <f>IFERROR(__xludf.DUMMYFUNCTION("""COMPUTED_VALUE"""),"Набережная")</f>
        <v>Набережная</v>
      </c>
      <c r="Y394" s="6" t="str">
        <f>IFERROR(__xludf.DUMMYFUNCTION("""COMPUTED_VALUE"""),"Рок концерт")</f>
        <v>Рок концерт</v>
      </c>
      <c r="Z394" s="6" t="str">
        <f>IFERROR(__xludf.DUMMYFUNCTION("""COMPUTED_VALUE"""),"Не знаю")</f>
        <v>Не знаю</v>
      </c>
      <c r="AA394" s="6" t="str">
        <f>IFERROR(__xludf.DUMMYFUNCTION("""COMPUTED_VALUE"""),"Пожар в зимней вишнне")</f>
        <v>Пожар в зимней вишнне</v>
      </c>
      <c r="AB394" s="6" t="str">
        <f>IFERROR(__xludf.DUMMYFUNCTION("""COMPUTED_VALUE"""),"Молодежных")</f>
        <v>Молодежных</v>
      </c>
      <c r="AC394" s="6" t="str">
        <f>IFERROR(__xludf.DUMMYFUNCTION("""COMPUTED_VALUE"""),"Кутульрных")</f>
        <v>Кутульрных</v>
      </c>
      <c r="AD394" s="6" t="str">
        <f>IFERROR(__xludf.DUMMYFUNCTION("""COMPUTED_VALUE"""),"Не знаю")</f>
        <v>Не знаю</v>
      </c>
      <c r="AE394" s="6" t="str">
        <f>IFERROR(__xludf.DUMMYFUNCTION("""COMPUTED_VALUE"""),"Мужской")</f>
        <v>Мужской</v>
      </c>
      <c r="AF394" s="6" t="str">
        <f>IFERROR(__xludf.DUMMYFUNCTION("""COMPUTED_VALUE"""),"30-44")</f>
        <v>30-44</v>
      </c>
      <c r="AG394" s="6"/>
      <c r="AH394" s="6"/>
      <c r="AI394" s="6"/>
      <c r="AJ394" s="6"/>
      <c r="AK394" s="6"/>
      <c r="AL394" s="6"/>
      <c r="AM394" s="6"/>
    </row>
    <row r="395">
      <c r="A395" s="4">
        <v>394.0</v>
      </c>
      <c r="B395" s="6" t="str">
        <f>IFERROR(__xludf.DUMMYFUNCTION("""COMPUTED_VALUE"""),"преподаватель в университете")</f>
        <v>преподаватель в университете</v>
      </c>
      <c r="C395" s="6" t="str">
        <f>IFERROR(__xludf.DUMMYFUNCTION("""COMPUTED_VALUE"""),"горнолыжный спорт")</f>
        <v>горнолыжный спорт</v>
      </c>
      <c r="D395" s="6" t="str">
        <f>IFERROR(__xludf.DUMMYFUNCTION("""COMPUTED_VALUE"""),"Рудничный район, ""Радуга""")</f>
        <v>Рудничный район, "Радуга"</v>
      </c>
      <c r="E395" s="6" t="str">
        <f>IFERROR(__xludf.DUMMYFUNCTION("""COMPUTED_VALUE"""),"бор")</f>
        <v>бор</v>
      </c>
      <c r="F395" s="6" t="str">
        <f>IFERROR(__xludf.DUMMYFUNCTION("""COMPUTED_VALUE"""),"Переехал сюда из другого места (откуда? укажите в графе другое), переехал из г. Топки Кемеровской области еще в период обучения в университете, после окончания вуза остался в городе, т.к. нашел работу")</f>
        <v>Переехал сюда из другого места (откуда? укажите в графе другое), переехал из г. Топки Кемеровской области еще в период обучения в университете, после окончания вуза остался в городе, т.к. нашел работу</v>
      </c>
      <c r="G395" s="6" t="str">
        <f>IFERROR(__xludf.DUMMYFUNCTION("""COMPUTED_VALUE"""),"на дачу, в рестораны")</f>
        <v>на дачу, в рестораны</v>
      </c>
      <c r="H395" s="6" t="str">
        <f>IFERROR(__xludf.DUMMYFUNCTION("""COMPUTED_VALUE"""),"грязь, разруха, ужасная экология, некрасивая архитектура, миграция")</f>
        <v>грязь, разруха, ужасная экология, некрасивая архитектура, миграция</v>
      </c>
      <c r="I395" s="6" t="str">
        <f>IFERROR(__xludf.DUMMYFUNCTION("""COMPUTED_VALUE"""),"Владимир Васильевич Михайлов, Аман Гумирович Тулеев")</f>
        <v>Владимир Васильевич Михайлов, Аман Гумирович Тулеев</v>
      </c>
      <c r="J395" s="6" t="str">
        <f>IFERROR(__xludf.DUMMYFUNCTION("""COMPUTED_VALUE"""),"Не могу назвать ни одного, на кого нужно равняться")</f>
        <v>Не могу назвать ни одного, на кого нужно равняться</v>
      </c>
      <c r="K395" s="6" t="str">
        <f>IFERROR(__xludf.DUMMYFUNCTION("""COMPUTED_VALUE"""),"Томскую писаницу, музей ""Красная горка"", Парк Ангелов. Показывать нечего, это большая проблема для организации встреч делегаций")</f>
        <v>Томскую писаницу, музей "Красная горка", Парк Ангелов. Показывать нечего, это большая проблема для организации встреч делегаций</v>
      </c>
      <c r="L395" s="6" t="str">
        <f>IFERROR(__xludf.DUMMYFUNCTION("""COMPUTED_VALUE"""),"""Он придет и молча исправит все, Человек из Кемерово"" (Б.Г.)")</f>
        <v>"Он придет и молча исправит все, Человек из Кемерово" (Б.Г.)</v>
      </c>
      <c r="M395" s="6" t="str">
        <f>IFERROR(__xludf.DUMMYFUNCTION("""COMPUTED_VALUE"""),"только общесибирское название файла ""мультифора""")</f>
        <v>только общесибирское название файла "мультифора"</v>
      </c>
      <c r="N395" s="6" t="str">
        <f>IFERROR(__xludf.DUMMYFUNCTION("""COMPUTED_VALUE"""),"развитая инфраструктура, экологическая обстановка, комфортное жилье, удобные транспортные развязки, наличие зон отдыха для разных слоев населения")</f>
        <v>развитая инфраструктура, экологическая обстановка, комфортное жилье, удобные транспортные развязки, наличие зон отдыха для разных слоев населения</v>
      </c>
      <c r="O395" s="6" t="str">
        <f>IFERROR(__xludf.DUMMYFUNCTION("""COMPUTED_VALUE"""),"убрать ужасные трубы СГК и заводов, вынести ""коптильни"" за пределы города, чтобы хотя бы иногда видеть небо и дышать воздухом, а не выбросами")</f>
        <v>убрать ужасные трубы СГК и заводов, вынести "коптильни" за пределы города, чтобы хотя бы иногда видеть небо и дышать воздухом, а не выбросами</v>
      </c>
      <c r="P395" s="6" t="str">
        <f>IFERROR(__xludf.DUMMYFUNCTION("""COMPUTED_VALUE"""),"новостная лента, Instagram - паблики")</f>
        <v>новостная лента, Instagram - паблики</v>
      </c>
      <c r="Q395" s="6" t="str">
        <f>IFERROR(__xludf.DUMMYFUNCTION("""COMPUTED_VALUE"""),"куда пойти в свободное время, криминальные новости (происшествия/преступления), бизнес-новости (средний чек/рекламные акции/запуск новых предприятий)")</f>
        <v>куда пойти в свободное время, криминальные новости (происшествия/преступления), бизнес-новости (средний чек/рекламные акции/запуск новых предприятий)</v>
      </c>
      <c r="R395" s="6" t="str">
        <f>IFERROR(__xludf.DUMMYFUNCTION("""COMPUTED_VALUE"""),"новогодние ярмарки")</f>
        <v>новогодние ярмарки</v>
      </c>
      <c r="S395" s="6" t="str">
        <f>IFERROR(__xludf.DUMMYFUNCTION("""COMPUTED_VALUE"""),"Обращался в редакции городских газет, телевидения, радио")</f>
        <v>Обращался в редакции городских газет, телевидения, радио</v>
      </c>
      <c r="T395" s="6" t="str">
        <f>IFERROR(__xludf.DUMMYFUNCTION("""COMPUTED_VALUE"""),"еще с 60-х годов Кемерово знаменит сиреневым воздухом, а теперь еще и Восьмым кассационным судом общей юрисдикции")</f>
        <v>еще с 60-х годов Кемерово знаменит сиреневым воздухом, а теперь еще и Восьмым кассационным судом общей юрисдикции</v>
      </c>
      <c r="U395" s="6" t="str">
        <f>IFERROR(__xludf.DUMMYFUNCTION("""COMPUTED_VALUE"""),"к сожалению, Парк Ангелов")</f>
        <v>к сожалению, Парк Ангелов</v>
      </c>
      <c r="V395" s="6" t="str">
        <f>IFERROR(__xludf.DUMMYFUNCTION("""COMPUTED_VALUE"""),"переехали")</f>
        <v>переехали</v>
      </c>
      <c r="W395" s="6" t="str">
        <f>IFERROR(__xludf.DUMMYFUNCTION("""COMPUTED_VALUE"""),"озлобленные")</f>
        <v>озлобленные</v>
      </c>
      <c r="X395" s="6" t="str">
        <f>IFERROR(__xludf.DUMMYFUNCTION("""COMPUTED_VALUE"""),"Весенняя - Притомская набережная. Он же и единственный")</f>
        <v>Весенняя - Притомская набережная. Он же и единственный</v>
      </c>
      <c r="Y395" s="6" t="str">
        <f>IFERROR(__xludf.DUMMYFUNCTION("""COMPUTED_VALUE"""),"не знаю")</f>
        <v>не знаю</v>
      </c>
      <c r="Z395" s="6" t="str">
        <f>IFERROR(__xludf.DUMMYFUNCTION("""COMPUTED_VALUE"""),"открытие Восьмого кассационного суда общей юрисдикции")</f>
        <v>открытие Восьмого кассационного суда общей юрисдикции</v>
      </c>
      <c r="AA395" s="6" t="str">
        <f>IFERROR(__xludf.DUMMYFUNCTION("""COMPUTED_VALUE"""),"беспомощное состояние в условиях коронавируса, деятельность областной Администрации и профанация с 300-летием, в особенности планы на ""культурный кластер""")</f>
        <v>беспомощное состояние в условиях коронавируса, деятельность областной Администрации и профанация с 300-летием, в особенности планы на "культурный кластер"</v>
      </c>
      <c r="AB395" s="6" t="str">
        <f>IFERROR(__xludf.DUMMYFUNCTION("""COMPUTED_VALUE"""),"профессиональных, в городе нет интеллигенции, а те, что остались, крутятся как белка в колесе, им не до сообществ")</f>
        <v>профессиональных, в городе нет интеллигенции, а те, что остались, крутятся как белка в колесе, им не до сообществ</v>
      </c>
      <c r="AC395" s="6" t="str">
        <f>IFERROR(__xludf.DUMMYFUNCTION("""COMPUTED_VALUE"""),"развитие медицины, строительство транспортной инфраструктуры")</f>
        <v>развитие медицины, строительство транспортной инфраструктуры</v>
      </c>
      <c r="AD395" s="6" t="str">
        <f>IFERROR(__xludf.DUMMYFUNCTION("""COMPUTED_VALUE"""),"делать свое дело")</f>
        <v>делать свое дело</v>
      </c>
      <c r="AE395" s="6" t="str">
        <f>IFERROR(__xludf.DUMMYFUNCTION("""COMPUTED_VALUE"""),"Мужской")</f>
        <v>Мужской</v>
      </c>
      <c r="AF395" s="6" t="str">
        <f>IFERROR(__xludf.DUMMYFUNCTION("""COMPUTED_VALUE"""),"30-44")</f>
        <v>30-44</v>
      </c>
      <c r="AG395" s="6"/>
      <c r="AH395" s="6"/>
      <c r="AI395" s="6"/>
      <c r="AJ395" s="6"/>
      <c r="AK395" s="6"/>
      <c r="AL395" s="6"/>
      <c r="AM395" s="6"/>
    </row>
    <row r="396">
      <c r="A396" s="4">
        <v>395.0</v>
      </c>
      <c r="B396" s="6" t="str">
        <f>IFERROR(__xludf.DUMMYFUNCTION("""COMPUTED_VALUE"""),"Безработный")</f>
        <v>Безработный</v>
      </c>
      <c r="C396" s="6" t="str">
        <f>IFERROR(__xludf.DUMMYFUNCTION("""COMPUTED_VALUE"""),"шарики, салюты, шашлычки")</f>
        <v>шарики, салюты, шашлычки</v>
      </c>
      <c r="D396" s="6" t="str">
        <f>IFERROR(__xludf.DUMMYFUNCTION("""COMPUTED_VALUE"""),"Заводский, фпк")</f>
        <v>Заводский, фпк</v>
      </c>
      <c r="E396" s="6" t="str">
        <f>IFERROR(__xludf.DUMMYFUNCTION("""COMPUTED_VALUE"""),"Гринвич и ЗОНА")</f>
        <v>Гринвич и ЗОНА</v>
      </c>
      <c r="F396" s="6" t="str">
        <f>IFERROR(__xludf.DUMMYFUNCTION("""COMPUTED_VALUE"""),"Живу здесь с рождения")</f>
        <v>Живу здесь с рождения</v>
      </c>
      <c r="G396" s="6" t="str">
        <f>IFERROR(__xludf.DUMMYFUNCTION("""COMPUTED_VALUE"""),"В магазин у дома, больше ходить некуда")</f>
        <v>В магазин у дома, больше ходить некуда</v>
      </c>
      <c r="H396" s="6" t="str">
        <f>IFERROR(__xludf.DUMMYFUNCTION("""COMPUTED_VALUE"""),"Болото, газ, грязь, скука, зимняя вишня")</f>
        <v>Болото, газ, грязь, скука, зимняя вишня</v>
      </c>
      <c r="I396" s="6" t="str">
        <f>IFERROR(__xludf.DUMMYFUNCTION("""COMPUTED_VALUE"""),"Михайло Волков")</f>
        <v>Михайло Волков</v>
      </c>
      <c r="J396" s="6" t="str">
        <f>IFERROR(__xludf.DUMMYFUNCTION("""COMPUTED_VALUE"""),"Их никто не знает")</f>
        <v>Их никто не знает</v>
      </c>
      <c r="K396" s="6" t="str">
        <f>IFERROR(__xludf.DUMMYFUNCTION("""COMPUTED_VALUE"""),"Тарелку на набережной")</f>
        <v>Тарелку на набережной</v>
      </c>
      <c r="L396" s="6" t="str">
        <f>IFERROR(__xludf.DUMMYFUNCTION("""COMPUTED_VALUE"""),"таких нет")</f>
        <v>таких нет</v>
      </c>
      <c r="M396" s="6" t="str">
        <f>IFERROR(__xludf.DUMMYFUNCTION("""COMPUTED_VALUE"""),"нет, не знаю")</f>
        <v>нет, не знаю</v>
      </c>
      <c r="N396" s="6" t="str">
        <f>IFERROR(__xludf.DUMMYFUNCTION("""COMPUTED_VALUE"""),"в Кемерово таких критериев нет. А должно быть: бесперебойно работающий транспорт, отсутствие заводов в черте города, ежедневная уборка дорог, дворов и всей городской территории, наличие разнообразных магазинов и общепита известных мировых и российских бре"&amp;"ндов.")</f>
        <v>в Кемерово таких критериев нет. А должно быть: бесперебойно работающий транспорт, отсутствие заводов в черте города, ежедневная уборка дорог, дворов и всей городской территории, наличие разнообразных магазинов и общепита известных мировых и российских брендов.</v>
      </c>
      <c r="O396" s="6" t="str">
        <f>IFERROR(__xludf.DUMMYFUNCTION("""COMPUTED_VALUE"""),"УБРАТЬ ЭТОТ ЖУТКИЙ КЕРАМОГРАНИТ СО СТЕН ЗДАНИЙ! И ХВАТИТ УРОДОВАТЬ ШКОЛЫ И ДЕТСАДЫ ЭТИМ ЖЕ КЕРОАМОГРАНИТОМ ТОКСИЧНЫХ ЦВЕТОВ!")</f>
        <v>УБРАТЬ ЭТОТ ЖУТКИЙ КЕРАМОГРАНИТ СО СТЕН ЗДАНИЙ! И ХВАТИТ УРОДОВАТЬ ШКОЛЫ И ДЕТСАДЫ ЭТИМ ЖЕ КЕРОАМОГРАНИТОМ ТОКСИЧНЫХ ЦВЕТОВ!</v>
      </c>
      <c r="P396" s="6" t="str">
        <f>IFERROR(__xludf.DUMMYFUNCTION("""COMPUTED_VALUE"""),"ни откуда не узнаю")</f>
        <v>ни откуда не узнаю</v>
      </c>
      <c r="Q39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396" s="6" t="str">
        <f>IFERROR(__xludf.DUMMYFUNCTION("""COMPUTED_VALUE"""),"никакие")</f>
        <v>никакие</v>
      </c>
      <c r="S396" s="6" t="str">
        <f>IFERROR(__xludf.DUMMYFUNCTION("""COMPUTED_VALUE"""),"Нет, не приходилось")</f>
        <v>Нет, не приходилось</v>
      </c>
      <c r="T396" s="6" t="str">
        <f>IFERROR(__xludf.DUMMYFUNCTION("""COMPUTED_VALUE"""),"ТРЦ Зимняя вишня горела тут когда-то и о городе узнала вся Страна")</f>
        <v>ТРЦ Зимняя вишня горела тут когда-то и о городе узнала вся Страна</v>
      </c>
      <c r="U396" s="6" t="str">
        <f>IFERROR(__xludf.DUMMYFUNCTION("""COMPUTED_VALUE"""),"Площадь Ленина")</f>
        <v>Площадь Ленина</v>
      </c>
      <c r="V396" s="6" t="str">
        <f>IFERROR(__xludf.DUMMYFUNCTION("""COMPUTED_VALUE"""),"Растащили всё на свои дачи и теперь этим гордятся")</f>
        <v>Растащили всё на свои дачи и теперь этим гордятся</v>
      </c>
      <c r="W396" s="6" t="str">
        <f>IFERROR(__xludf.DUMMYFUNCTION("""COMPUTED_VALUE"""),"Отсталые от современной жизни")</f>
        <v>Отсталые от современной жизни</v>
      </c>
      <c r="X396" s="6" t="str">
        <f>IFERROR(__xludf.DUMMYFUNCTION("""COMPUTED_VALUE"""),"От дверей жд вокзала до чёрного паровоза и обратно на поезд домой в Москву")</f>
        <v>От дверей жд вокзала до чёрного паровоза и обратно на поезд домой в Москву</v>
      </c>
      <c r="Y396" s="6" t="str">
        <f>IFERROR(__xludf.DUMMYFUNCTION("""COMPUTED_VALUE"""),"сгорела Зимняя Вишня")</f>
        <v>сгорела Зимняя Вишня</v>
      </c>
      <c r="Z396" s="6" t="str">
        <f>IFERROR(__xludf.DUMMYFUNCTION("""COMPUTED_VALUE"""),"Объединили дорогу с фпк на южный")</f>
        <v>Объединили дорогу с фпк на южный</v>
      </c>
      <c r="AA396" s="6" t="str">
        <f>IFERROR(__xludf.DUMMYFUNCTION("""COMPUTED_VALUE"""),"Режим чёрного неба, отсутствие адекватной медицинской помощи в период пандемии, Зимняя Вишня")</f>
        <v>Режим чёрного неба, отсутствие адекватной медицинской помощи в период пандемии, Зимняя Вишня</v>
      </c>
      <c r="AB396" s="6" t="str">
        <f>IFERROR(__xludf.DUMMYFUNCTION("""COMPUTED_VALUE"""),"сообщества хейтеров Цивелева")</f>
        <v>сообщества хейтеров Цивелева</v>
      </c>
      <c r="AC396" s="6" t="str">
        <f>IFERROR(__xludf.DUMMYFUNCTION("""COMPUTED_VALUE"""),"Очень интересное мероприятие называется -УБОРКА УЛИЦ И ВЫВОЗ СНЕГА")</f>
        <v>Очень интересное мероприятие называется -УБОРКА УЛИЦ И ВЫВОЗ СНЕГА</v>
      </c>
      <c r="AD396" s="6" t="str">
        <f>IFERROR(__xludf.DUMMYFUNCTION("""COMPUTED_VALUE"""),"в роли счастливого жителя города")</f>
        <v>в роли счастливого жителя города</v>
      </c>
      <c r="AE396" s="6" t="str">
        <f>IFERROR(__xludf.DUMMYFUNCTION("""COMPUTED_VALUE"""),"Мужской")</f>
        <v>Мужской</v>
      </c>
      <c r="AF396" s="6" t="str">
        <f>IFERROR(__xludf.DUMMYFUNCTION("""COMPUTED_VALUE"""),"старше 55")</f>
        <v>старше 55</v>
      </c>
      <c r="AG396" s="6"/>
      <c r="AH396" s="6"/>
      <c r="AI396" s="6"/>
      <c r="AJ396" s="6"/>
      <c r="AK396" s="6"/>
      <c r="AL396" s="6"/>
      <c r="AM396" s="6"/>
    </row>
    <row r="397">
      <c r="A397" s="4">
        <v>396.0</v>
      </c>
      <c r="B397" s="6" t="str">
        <f>IFERROR(__xludf.DUMMYFUNCTION("""COMPUTED_VALUE"""),"Работаю ")</f>
        <v>Работаю </v>
      </c>
      <c r="C397" s="6" t="str">
        <f>IFERROR(__xludf.DUMMYFUNCTION("""COMPUTED_VALUE"""),"Нет")</f>
        <v>Нет</v>
      </c>
      <c r="D397" s="6" t="str">
        <f>IFERROR(__xludf.DUMMYFUNCTION("""COMPUTED_VALUE"""),"Центральный")</f>
        <v>Центральный</v>
      </c>
      <c r="E397" s="6" t="str">
        <f>IFERROR(__xludf.DUMMYFUNCTION("""COMPUTED_VALUE"""),"Центр")</f>
        <v>Центр</v>
      </c>
      <c r="F397" s="6" t="str">
        <f>IFERROR(__xludf.DUMMYFUNCTION("""COMPUTED_VALUE"""),"Живу здесь с рождения")</f>
        <v>Живу здесь с рождения</v>
      </c>
      <c r="G397" s="6" t="str">
        <f>IFERROR(__xludf.DUMMYFUNCTION("""COMPUTED_VALUE"""),"Прогулки по центру")</f>
        <v>Прогулки по центру</v>
      </c>
      <c r="H397" s="6" t="str">
        <f>IFERROR(__xludf.DUMMYFUNCTION("""COMPUTED_VALUE"""),"Хорошие дороги, чистота, насаждения, стройки, заводы")</f>
        <v>Хорошие дороги, чистота, насаждения, стройки, заводы</v>
      </c>
      <c r="I397" s="6" t="str">
        <f>IFERROR(__xludf.DUMMYFUNCTION("""COMPUTED_VALUE"""),"Леонов")</f>
        <v>Леонов</v>
      </c>
      <c r="J397" s="6" t="str">
        <f>IFERROR(__xludf.DUMMYFUNCTION("""COMPUTED_VALUE"""),"Нет таких")</f>
        <v>Нет таких</v>
      </c>
      <c r="K397" s="6" t="str">
        <f>IFERROR(__xludf.DUMMYFUNCTION("""COMPUTED_VALUE"""),"Лесная поляна")</f>
        <v>Лесная поляна</v>
      </c>
      <c r="L397" s="6" t="str">
        <f>IFERROR(__xludf.DUMMYFUNCTION("""COMPUTED_VALUE"""),"Ночью много света, спасибо Суховскому за это ")</f>
        <v>Ночью много света, спасибо Суховскому за это </v>
      </c>
      <c r="M397" s="6" t="str">
        <f>IFERROR(__xludf.DUMMYFUNCTION("""COMPUTED_VALUE"""),"Нет")</f>
        <v>Нет</v>
      </c>
      <c r="N397" s="6" t="str">
        <f>IFERROR(__xludf.DUMMYFUNCTION("""COMPUTED_VALUE"""),"Чистота, развитая инфраструктура, качественные дороги, хорошая зарплата, добропорядочные жители")</f>
        <v>Чистота, развитая инфраструктура, качественные дороги, хорошая зарплата, добропорядочные жители</v>
      </c>
      <c r="O397" s="6" t="str">
        <f>IFERROR(__xludf.DUMMYFUNCTION("""COMPUTED_VALUE"""),"Произвести ремонт фасадов зданий ")</f>
        <v>Произвести ремонт фасадов зданий </v>
      </c>
      <c r="P397" s="6" t="str">
        <f>IFERROR(__xludf.DUMMYFUNCTION("""COMPUTED_VALUE"""),"Местные паблики контакт, Инстаграм ")</f>
        <v>Местные паблики контакт, Инстаграм </v>
      </c>
      <c r="Q397"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397" s="6" t="str">
        <f>IFERROR(__xludf.DUMMYFUNCTION("""COMPUTED_VALUE"""),"День шахтера")</f>
        <v>День шахтера</v>
      </c>
      <c r="S397" s="6" t="str">
        <f>IFERROR(__xludf.DUMMYFUNCTION("""COMPUTED_VALUE"""),"Нет, не приходилось")</f>
        <v>Нет, не приходилось</v>
      </c>
      <c r="T397" s="6" t="str">
        <f>IFERROR(__xludf.DUMMYFUNCTION("""COMPUTED_VALUE"""),"Ничего")</f>
        <v>Ничего</v>
      </c>
      <c r="U397" s="6" t="str">
        <f>IFERROR(__xludf.DUMMYFUNCTION("""COMPUTED_VALUE"""),"Радиус 1 км от драмтеатра ")</f>
        <v>Радиус 1 км от драмтеатра </v>
      </c>
      <c r="V397" s="6" t="str">
        <f>IFERROR(__xludf.DUMMYFUNCTION("""COMPUTED_VALUE"""),"Делали жизнь в городе более комфортной ")</f>
        <v>Делали жизнь в городе более комфортной </v>
      </c>
      <c r="W397" s="6" t="str">
        <f>IFERROR(__xludf.DUMMYFUNCTION("""COMPUTED_VALUE"""),"Спокойные, дружелюбные ")</f>
        <v>Спокойные, дружелюбные </v>
      </c>
      <c r="X397" s="6" t="str">
        <f>IFERROR(__xludf.DUMMYFUNCTION("""COMPUTED_VALUE"""),"Прогулки по центру")</f>
        <v>Прогулки по центру</v>
      </c>
      <c r="Y397" s="6" t="str">
        <f>IFERROR(__xludf.DUMMYFUNCTION("""COMPUTED_VALUE"""),"Не знаю")</f>
        <v>Не знаю</v>
      </c>
      <c r="Z397" s="6" t="str">
        <f>IFERROR(__xludf.DUMMYFUNCTION("""COMPUTED_VALUE"""),"Массовое строительство ")</f>
        <v>Массовое строительство </v>
      </c>
      <c r="AA397" s="6" t="str">
        <f>IFERROR(__xludf.DUMMYFUNCTION("""COMPUTED_VALUE"""),"Ухудшение экологии, падение уровня жизни ")</f>
        <v>Ухудшение экологии, падение уровня жизни </v>
      </c>
      <c r="AB397" s="6" t="str">
        <f>IFERROR(__xludf.DUMMYFUNCTION("""COMPUTED_VALUE"""),"Не знаю")</f>
        <v>Не знаю</v>
      </c>
      <c r="AC397" s="6" t="str">
        <f>IFERROR(__xludf.DUMMYFUNCTION("""COMPUTED_VALUE"""),"Больше музыкальных мероприятий ")</f>
        <v>Больше музыкальных мероприятий </v>
      </c>
      <c r="AD397" s="6" t="str">
        <f>IFERROR(__xludf.DUMMYFUNCTION("""COMPUTED_VALUE"""),"Наблюдатель")</f>
        <v>Наблюдатель</v>
      </c>
      <c r="AE397" s="6" t="str">
        <f>IFERROR(__xludf.DUMMYFUNCTION("""COMPUTED_VALUE"""),"Мужской")</f>
        <v>Мужской</v>
      </c>
      <c r="AF397" s="6" t="str">
        <f>IFERROR(__xludf.DUMMYFUNCTION("""COMPUTED_VALUE"""),"30-44")</f>
        <v>30-44</v>
      </c>
      <c r="AG397" s="6"/>
      <c r="AH397" s="6"/>
      <c r="AI397" s="6"/>
      <c r="AJ397" s="6"/>
      <c r="AK397" s="6"/>
      <c r="AL397" s="6"/>
      <c r="AM397" s="6"/>
    </row>
    <row r="398">
      <c r="A398" s="4">
        <v>397.0</v>
      </c>
      <c r="B398" s="6" t="str">
        <f>IFERROR(__xludf.DUMMYFUNCTION("""COMPUTED_VALUE"""),"Офисный работник")</f>
        <v>Офисный работник</v>
      </c>
      <c r="C398" s="6" t="str">
        <f>IFERROR(__xludf.DUMMYFUNCTION("""COMPUTED_VALUE"""),"Велосипед ")</f>
        <v>Велосипед </v>
      </c>
      <c r="D398" s="6" t="str">
        <f>IFERROR(__xludf.DUMMYFUNCTION("""COMPUTED_VALUE"""),"Заводский. Сибиряки ")</f>
        <v>Заводский. Сибиряки </v>
      </c>
      <c r="E398" s="6" t="str">
        <f>IFERROR(__xludf.DUMMYFUNCTION("""COMPUTED_VALUE"""),"Никаких")</f>
        <v>Никаких</v>
      </c>
      <c r="F398" s="6" t="str">
        <f>IFERROR(__xludf.DUMMYFUNCTION("""COMPUTED_VALUE"""),"Родился здесь,но сейчас живу в другом городе")</f>
        <v>Родился здесь,но сейчас живу в другом городе</v>
      </c>
      <c r="G398" s="6" t="str">
        <f>IFERROR(__xludf.DUMMYFUNCTION("""COMPUTED_VALUE"""),"Улица весенняя, набережная")</f>
        <v>Улица весенняя, набережная</v>
      </c>
      <c r="H398" s="6" t="str">
        <f>IFERROR(__xludf.DUMMYFUNCTION("""COMPUTED_VALUE"""),"Грязь, скука, мрак, мой, родной")</f>
        <v>Грязь, скука, мрак, мой, родной</v>
      </c>
      <c r="I398" s="6" t="str">
        <f>IFERROR(__xludf.DUMMYFUNCTION("""COMPUTED_VALUE"""),"Волков")</f>
        <v>Волков</v>
      </c>
      <c r="J398" s="6" t="str">
        <f>IFERROR(__xludf.DUMMYFUNCTION("""COMPUTED_VALUE"""),"Гришковец")</f>
        <v>Гришковец</v>
      </c>
      <c r="K398" s="6" t="str">
        <f>IFERROR(__xludf.DUMMYFUNCTION("""COMPUTED_VALUE"""),"Красная горка")</f>
        <v>Красная горка</v>
      </c>
      <c r="L398" s="6" t="str">
        <f>IFERROR(__xludf.DUMMYFUNCTION("""COMPUTED_VALUE"""),"-")</f>
        <v>-</v>
      </c>
      <c r="M398" s="6" t="str">
        <f>IFERROR(__xludf.DUMMYFUNCTION("""COMPUTED_VALUE"""),"Мультифора, маленько")</f>
        <v>Мультифора, маленько</v>
      </c>
      <c r="N398" s="6" t="str">
        <f>IFERROR(__xludf.DUMMYFUNCTION("""COMPUTED_VALUE"""),"Чистота, уют, развлечение, места прогулок, развитая культура")</f>
        <v>Чистота, уют, развлечение, места прогулок, развитая культура</v>
      </c>
      <c r="O398" s="6" t="str">
        <f>IFERROR(__xludf.DUMMYFUNCTION("""COMPUTED_VALUE"""),"Навести чистоту, зимой чистить тротуары, невозможно ходить и ездит, ведь для этого не требуется больших затрат. Везде грязь, все облуплено, сходить некуда, вокруг мрак какой-то ")</f>
        <v>Навести чистоту, зимой чистить тротуары, невозможно ходить и ездит, ведь для этого не требуется больших затрат. Везде грязь, все облуплено, сходить некуда, вокруг мрак какой-то </v>
      </c>
      <c r="P398" s="6" t="str">
        <f>IFERROR(__xludf.DUMMYFUNCTION("""COMPUTED_VALUE"""),"Инстаграм")</f>
        <v>Инстаграм</v>
      </c>
      <c r="Q39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398" s="6" t="str">
        <f>IFERROR(__xludf.DUMMYFUNCTION("""COMPUTED_VALUE"""),"День города, день шахтера")</f>
        <v>День города, день шахтера</v>
      </c>
      <c r="S398" s="6" t="str">
        <f>IFERROR(__xludf.DUMMYFUNCTION("""COMPUTED_VALUE"""),"Нет, не приходилось")</f>
        <v>Нет, не приходилось</v>
      </c>
      <c r="T398" s="6" t="str">
        <f>IFERROR(__xludf.DUMMYFUNCTION("""COMPUTED_VALUE"""),"Угольная столица")</f>
        <v>Угольная столица</v>
      </c>
      <c r="U398" s="6" t="str">
        <f>IFERROR(__xludf.DUMMYFUNCTION("""COMPUTED_VALUE"""),"Весенняя ул")</f>
        <v>Весенняя ул</v>
      </c>
      <c r="V398" s="6" t="str">
        <f>IFERROR(__xludf.DUMMYFUNCTION("""COMPUTED_VALUE"""),"Ничего ")</f>
        <v>Ничего </v>
      </c>
      <c r="W398" s="6" t="str">
        <f>IFERROR(__xludf.DUMMYFUNCTION("""COMPUTED_VALUE"""),"Спокойные ")</f>
        <v>Спокойные </v>
      </c>
      <c r="X398" s="6" t="str">
        <f>IFERROR(__xludf.DUMMYFUNCTION("""COMPUTED_VALUE"""),"Да нет такого! Приезжали погостить с другом из Мск, даже некуда вывести и показать нечего")</f>
        <v>Да нет такого! Приезжали погостить с другом из Мск, даже некуда вывести и показать нечего</v>
      </c>
      <c r="Y398" s="6" t="str">
        <f>IFERROR(__xludf.DUMMYFUNCTION("""COMPUTED_VALUE"""),"Именно историческое - Зимняя вишня")</f>
        <v>Именно историческое - Зимняя вишня</v>
      </c>
      <c r="Z398" s="6" t="str">
        <f>IFERROR(__xludf.DUMMYFUNCTION("""COMPUTED_VALUE"""),"Никакие")</f>
        <v>Никакие</v>
      </c>
      <c r="AA398" s="6" t="str">
        <f>IFERROR(__xludf.DUMMYFUNCTION("""COMPUTED_VALUE"""),"Зимняя вишня")</f>
        <v>Зимняя вишня</v>
      </c>
      <c r="AB398" s="6" t="str">
        <f>IFERROR(__xludf.DUMMYFUNCTION("""COMPUTED_VALUE"""),"-")</f>
        <v>-</v>
      </c>
      <c r="AC398" s="6" t="str">
        <f>IFERROR(__xludf.DUMMYFUNCTION("""COMPUTED_VALUE"""),"Больше спортивных открытых мероприятий в городе на открытом воздухе")</f>
        <v>Больше спортивных открытых мероприятий в городе на открытом воздухе</v>
      </c>
      <c r="AD398" s="6" t="str">
        <f>IFERROR(__xludf.DUMMYFUNCTION("""COMPUTED_VALUE"""),"-")</f>
        <v>-</v>
      </c>
      <c r="AE398" s="6" t="str">
        <f>IFERROR(__xludf.DUMMYFUNCTION("""COMPUTED_VALUE"""),"Женский")</f>
        <v>Женский</v>
      </c>
      <c r="AF398" s="6" t="str">
        <f>IFERROR(__xludf.DUMMYFUNCTION("""COMPUTED_VALUE"""),"30-44")</f>
        <v>30-44</v>
      </c>
      <c r="AG398" s="6"/>
      <c r="AH398" s="6"/>
      <c r="AI398" s="6"/>
      <c r="AJ398" s="6"/>
      <c r="AK398" s="6"/>
      <c r="AL398" s="6"/>
      <c r="AM398" s="6"/>
    </row>
    <row r="399">
      <c r="A399" s="4">
        <v>398.0</v>
      </c>
      <c r="B399" s="6" t="str">
        <f>IFERROR(__xludf.DUMMYFUNCTION("""COMPUTED_VALUE"""),"ИП")</f>
        <v>ИП</v>
      </c>
      <c r="C399" s="6" t="str">
        <f>IFERROR(__xludf.DUMMYFUNCTION("""COMPUTED_VALUE"""),"Рукоделие")</f>
        <v>Рукоделие</v>
      </c>
      <c r="D399" s="6" t="str">
        <f>IFERROR(__xludf.DUMMYFUNCTION("""COMPUTED_VALUE"""),"Ленинский ")</f>
        <v>Ленинский </v>
      </c>
      <c r="E399" s="6" t="str">
        <f>IFERROR(__xludf.DUMMYFUNCTION("""COMPUTED_VALUE"""),"Бульвар Строителей ")</f>
        <v>Бульвар Строителей </v>
      </c>
      <c r="F39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399" s="6" t="str">
        <f>IFERROR(__xludf.DUMMYFUNCTION("""COMPUTED_VALUE"""),"Только в кино и местные кафе")</f>
        <v>Только в кино и местные кафе</v>
      </c>
      <c r="H399" s="6" t="str">
        <f>IFERROR(__xludf.DUMMYFUNCTION("""COMPUTED_VALUE"""),"Дом, уют, набережная, озеро, мост ")</f>
        <v>Дом, уют, набережная, озеро, мост </v>
      </c>
      <c r="I399" s="6" t="str">
        <f>IFERROR(__xludf.DUMMYFUNCTION("""COMPUTED_VALUE"""),"-")</f>
        <v>-</v>
      </c>
      <c r="J399" s="6" t="str">
        <f>IFERROR(__xludf.DUMMYFUNCTION("""COMPUTED_VALUE"""),"-")</f>
        <v>-</v>
      </c>
      <c r="K399" s="6" t="str">
        <f>IFERROR(__xludf.DUMMYFUNCTION("""COMPUTED_VALUE"""),"Красная горка, Томская писаница, красное озеро")</f>
        <v>Красная горка, Томская писаница, красное озеро</v>
      </c>
      <c r="L399" s="6" t="str">
        <f>IFERROR(__xludf.DUMMYFUNCTION("""COMPUTED_VALUE"""),"-")</f>
        <v>-</v>
      </c>
      <c r="M399" s="6" t="str">
        <f>IFERROR(__xludf.DUMMYFUNCTION("""COMPUTED_VALUE"""),"Чёрный снег")</f>
        <v>Чёрный снег</v>
      </c>
      <c r="N399" s="6" t="str">
        <f>IFERROR(__xludf.DUMMYFUNCTION("""COMPUTED_VALUE"""),"Развитая инфраструктура, развитая информационная грамотность, близость к природе, ровные дороги, больницы всех профилей ")</f>
        <v>Развитая инфраструктура, развитая информационная грамотность, близость к природе, ровные дороги, больницы всех профилей </v>
      </c>
      <c r="O399" s="6" t="str">
        <f>IFERROR(__xludf.DUMMYFUNCTION("""COMPUTED_VALUE"""),"Дороги. А в новых районах - больше зелени")</f>
        <v>Дороги. А в новых районах - больше зелени</v>
      </c>
      <c r="P399" s="6" t="str">
        <f>IFERROR(__xludf.DUMMYFUNCTION("""COMPUTED_VALUE"""),"Только от знакомых. ")</f>
        <v>Только от знакомых. </v>
      </c>
      <c r="Q39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бизнес-новости (средний чек/рекламные акции/запу"&amp;"ск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v>
      </c>
      <c r="R399" s="6" t="str">
        <f>IFERROR(__xludf.DUMMYFUNCTION("""COMPUTED_VALUE"""),"9 мая, день города ")</f>
        <v>9 мая, день города </v>
      </c>
      <c r="S399" s="6" t="str">
        <f>IFERROR(__xludf.DUMMYFUNCTION("""COMPUTED_VALUE"""),"Нет, не приходилось")</f>
        <v>Нет, не приходилось</v>
      </c>
      <c r="T399" s="6" t="str">
        <f>IFERROR(__xludf.DUMMYFUNCTION("""COMPUTED_VALUE"""),"Зоны отдыха в черте города; большое количество торговых центров; отсутствие дефицита в медикаментах")</f>
        <v>Зоны отдыха в черте города; большое количество торговых центров; отсутствие дефицита в медикаментах</v>
      </c>
      <c r="U399" s="6" t="str">
        <f>IFERROR(__xludf.DUMMYFUNCTION("""COMPUTED_VALUE"""),"Парк на юбилейном, набережная ")</f>
        <v>Парк на юбилейном, набережная </v>
      </c>
      <c r="V399" s="6" t="str">
        <f>IFERROR(__xludf.DUMMYFUNCTION("""COMPUTED_VALUE"""),"-")</f>
        <v>-</v>
      </c>
      <c r="W399" s="6" t="str">
        <f>IFERROR(__xludf.DUMMYFUNCTION("""COMPUTED_VALUE"""),"Замкнутые, сами себе на уме. Может даже немного агрессивные. ")</f>
        <v>Замкнутые, сами себе на уме. Может даже немного агрессивные. </v>
      </c>
      <c r="X399" s="6" t="str">
        <f>IFERROR(__xludf.DUMMYFUNCTION("""COMPUTED_VALUE"""),"Советский-&gt;весенняя-&gt; набережная-&gt;Ленина-&gt;Тухачевского (через парк)")</f>
        <v>Советский-&gt;весенняя-&gt; набережная-&gt;Ленина-&gt;Тухачевского (через парк)</v>
      </c>
      <c r="Y399" s="6" t="str">
        <f>IFERROR(__xludf.DUMMYFUNCTION("""COMPUTED_VALUE"""),"На моей памяти, и только по моему мнению это показ чемпионата мира по футболу на бульваре Строителей; концерт поп звёзд в том же году; рок концерт в 2019 на Лапландии")</f>
        <v>На моей памяти, и только по моему мнению это показ чемпионата мира по футболу на бульваре Строителей; концерт поп звёзд в том же году; рок концерт в 2019 на Лапландии</v>
      </c>
      <c r="Z399" s="6" t="str">
        <f>IFERROR(__xludf.DUMMYFUNCTION("""COMPUTED_VALUE"""),"Ответила выше ")</f>
        <v>Ответила выше </v>
      </c>
      <c r="AA399" s="6" t="str">
        <f>IFERROR(__xludf.DUMMYFUNCTION("""COMPUTED_VALUE"""),"Их нет ")</f>
        <v>Их нет </v>
      </c>
      <c r="AB399" s="6" t="str">
        <f>IFERROR(__xludf.DUMMYFUNCTION("""COMPUTED_VALUE"""),"Кружки по интересам ")</f>
        <v>Кружки по интересам </v>
      </c>
      <c r="AC399" s="6" t="str">
        <f>IFERROR(__xludf.DUMMYFUNCTION("""COMPUTED_VALUE"""),"Ярмарки, спортакиады, холи фесты и тд.  где люди веселятся: танцуют, поют едят и отдыхают душой. ")</f>
        <v>Ярмарки, спортакиады, холи фесты и тд.  где люди веселятся: танцуют, поют едят и отдыхают душой. </v>
      </c>
      <c r="AD399" s="6" t="str">
        <f>IFERROR(__xludf.DUMMYFUNCTION("""COMPUTED_VALUE"""),"Наблюдающий ")</f>
        <v>Наблюдающий </v>
      </c>
      <c r="AE399" s="6" t="str">
        <f>IFERROR(__xludf.DUMMYFUNCTION("""COMPUTED_VALUE"""),"Женский")</f>
        <v>Женский</v>
      </c>
      <c r="AF399" s="6" t="str">
        <f>IFERROR(__xludf.DUMMYFUNCTION("""COMPUTED_VALUE"""),"18-29")</f>
        <v>18-29</v>
      </c>
      <c r="AG399" s="6"/>
      <c r="AH399" s="6"/>
      <c r="AI399" s="6"/>
      <c r="AJ399" s="6"/>
      <c r="AK399" s="6"/>
      <c r="AL399" s="6"/>
      <c r="AM399" s="6"/>
    </row>
    <row r="400">
      <c r="A400" s="4">
        <v>399.0</v>
      </c>
      <c r="B400" s="6" t="str">
        <f>IFERROR(__xludf.DUMMYFUNCTION("""COMPUTED_VALUE"""),"Учусь ")</f>
        <v>Учусь </v>
      </c>
      <c r="C400" s="6" t="str">
        <f>IFERROR(__xludf.DUMMYFUNCTION("""COMPUTED_VALUE"""),"Танцы ")</f>
        <v>Танцы </v>
      </c>
      <c r="D400" s="6" t="str">
        <f>IFERROR(__xludf.DUMMYFUNCTION("""COMPUTED_VALUE"""),"Заводский ")</f>
        <v>Заводский </v>
      </c>
      <c r="E400" s="6" t="str">
        <f>IFERROR(__xludf.DUMMYFUNCTION("""COMPUTED_VALUE"""),"Кузнецкий мост ")</f>
        <v>Кузнецкий мост </v>
      </c>
      <c r="F400" s="6" t="str">
        <f>IFERROR(__xludf.DUMMYFUNCTION("""COMPUTED_VALUE"""),"Живу здесь с рождения")</f>
        <v>Живу здесь с рождения</v>
      </c>
      <c r="G400" s="6" t="str">
        <f>IFERROR(__xludf.DUMMYFUNCTION("""COMPUTED_VALUE"""),"На площадь советов ")</f>
        <v>На площадь советов </v>
      </c>
      <c r="H400" s="6" t="str">
        <f>IFERROR(__xludf.DUMMYFUNCTION("""COMPUTED_VALUE"""),"Шум, грязный воздух, сосновый бор, набережная, шахтёр ")</f>
        <v>Шум, грязный воздух, сосновый бор, набережная, шахтёр </v>
      </c>
      <c r="I400" s="6" t="str">
        <f>IFERROR(__xludf.DUMMYFUNCTION("""COMPUTED_VALUE"""),"Не знаю ")</f>
        <v>Не знаю </v>
      </c>
      <c r="J400" s="6" t="str">
        <f>IFERROR(__xludf.DUMMYFUNCTION("""COMPUTED_VALUE"""),"Не знаю ")</f>
        <v>Не знаю </v>
      </c>
      <c r="K400" s="6" t="str">
        <f>IFERROR(__xludf.DUMMYFUNCTION("""COMPUTED_VALUE"""),"Набережную")</f>
        <v>Набережную</v>
      </c>
      <c r="L400" s="6" t="str">
        <f>IFERROR(__xludf.DUMMYFUNCTION("""COMPUTED_VALUE"""),"Не знаю ")</f>
        <v>Не знаю </v>
      </c>
      <c r="M400" s="6" t="str">
        <f>IFERROR(__xludf.DUMMYFUNCTION("""COMPUTED_VALUE"""),"Нет")</f>
        <v>Нет</v>
      </c>
      <c r="N400" s="6" t="str">
        <f>IFERROR(__xludf.DUMMYFUNCTION("""COMPUTED_VALUE"""),"Близко расположены другие города, много транспорта")</f>
        <v>Близко расположены другие города, много транспорта</v>
      </c>
      <c r="O400" s="6" t="str">
        <f>IFERROR(__xludf.DUMMYFUNCTION("""COMPUTED_VALUE"""),"Экологическую обстановку ")</f>
        <v>Экологическую обстановку </v>
      </c>
      <c r="P400" s="6" t="str">
        <f>IFERROR(__xludf.DUMMYFUNCTION("""COMPUTED_VALUE"""),"Новости ")</f>
        <v>Новости </v>
      </c>
      <c r="Q400"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f>
        <v>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v>
      </c>
      <c r="R400" s="6" t="str">
        <f>IFERROR(__xludf.DUMMYFUNCTION("""COMPUTED_VALUE"""),"День шахтёра ")</f>
        <v>День шахтёра </v>
      </c>
      <c r="S400" s="6" t="str">
        <f>IFERROR(__xludf.DUMMYFUNCTION("""COMPUTED_VALUE"""),"Нет, не приходилось")</f>
        <v>Нет, не приходилось</v>
      </c>
      <c r="T400" s="6" t="str">
        <f>IFERROR(__xludf.DUMMYFUNCTION("""COMPUTED_VALUE"""),"Уголь")</f>
        <v>Уголь</v>
      </c>
      <c r="U400" s="6" t="str">
        <f>IFERROR(__xludf.DUMMYFUNCTION("""COMPUTED_VALUE"""),"Цирк ")</f>
        <v>Цирк </v>
      </c>
      <c r="V400" s="6" t="str">
        <f>IFERROR(__xludf.DUMMYFUNCTION("""COMPUTED_VALUE"""),"Развивали город ")</f>
        <v>Развивали город </v>
      </c>
      <c r="W400" s="6" t="str">
        <f>IFERROR(__xludf.DUMMYFUNCTION("""COMPUTED_VALUE"""),"Добрые ")</f>
        <v>Добрые </v>
      </c>
      <c r="X400" s="6" t="str">
        <f>IFERROR(__xludf.DUMMYFUNCTION("""COMPUTED_VALUE"""),"До бульвара")</f>
        <v>До бульвара</v>
      </c>
      <c r="Y400" s="6" t="str">
        <f>IFERROR(__xludf.DUMMYFUNCTION("""COMPUTED_VALUE"""),"Не знаю ")</f>
        <v>Не знаю </v>
      </c>
      <c r="Z400" s="6" t="str">
        <f>IFERROR(__xludf.DUMMYFUNCTION("""COMPUTED_VALUE"""),"Не знаю ")</f>
        <v>Не знаю </v>
      </c>
      <c r="AA400" s="6" t="str">
        <f>IFERROR(__xludf.DUMMYFUNCTION("""COMPUTED_VALUE"""),"Карантин ")</f>
        <v>Карантин </v>
      </c>
      <c r="AB400" s="6" t="str">
        <f>IFERROR(__xludf.DUMMYFUNCTION("""COMPUTED_VALUE"""),"Не знаю ")</f>
        <v>Не знаю </v>
      </c>
      <c r="AC400" s="6" t="str">
        <f>IFERROR(__xludf.DUMMYFUNCTION("""COMPUTED_VALUE"""),"Не знаю ")</f>
        <v>Не знаю </v>
      </c>
      <c r="AD400" s="6" t="str">
        <f>IFERROR(__xludf.DUMMYFUNCTION("""COMPUTED_VALUE"""),"Не знаю ")</f>
        <v>Не знаю </v>
      </c>
      <c r="AE400" s="6" t="str">
        <f>IFERROR(__xludf.DUMMYFUNCTION("""COMPUTED_VALUE"""),"Женский")</f>
        <v>Женский</v>
      </c>
      <c r="AF400" s="6" t="str">
        <f>IFERROR(__xludf.DUMMYFUNCTION("""COMPUTED_VALUE"""),"18-29")</f>
        <v>18-29</v>
      </c>
      <c r="AG400" s="6"/>
      <c r="AH400" s="6"/>
      <c r="AI400" s="6"/>
      <c r="AJ400" s="6"/>
      <c r="AK400" s="6"/>
      <c r="AL400" s="6"/>
      <c r="AM400" s="6"/>
    </row>
    <row r="401">
      <c r="A401" s="4">
        <v>400.0</v>
      </c>
      <c r="B401" s="6" t="str">
        <f>IFERROR(__xludf.DUMMYFUNCTION("""COMPUTED_VALUE"""),"Энергетика")</f>
        <v>Энергетика</v>
      </c>
      <c r="C401" s="6" t="str">
        <f>IFERROR(__xludf.DUMMYFUNCTION("""COMPUTED_VALUE"""),"чтение")</f>
        <v>чтение</v>
      </c>
      <c r="D401" s="6" t="str">
        <f>IFERROR(__xludf.DUMMYFUNCTION("""COMPUTED_VALUE"""),"Радуга")</f>
        <v>Радуга</v>
      </c>
      <c r="E401" s="6" t="str">
        <f>IFERROR(__xludf.DUMMYFUNCTION("""COMPUTED_VALUE"""),"Бор")</f>
        <v>Бор</v>
      </c>
      <c r="F401" s="6" t="str">
        <f>IFERROR(__xludf.DUMMYFUNCTION("""COMPUTED_VALUE"""),"Живу здесь с рождения")</f>
        <v>Живу здесь с рождения</v>
      </c>
      <c r="G401" s="6" t="str">
        <f>IFERROR(__xludf.DUMMYFUNCTION("""COMPUTED_VALUE"""),"набережная ,бор")</f>
        <v>набережная ,бор</v>
      </c>
      <c r="H401" s="6" t="str">
        <f>IFERROR(__xludf.DUMMYFUNCTION("""COMPUTED_VALUE"""),"уютный,зеленый,домашний,маленький,")</f>
        <v>уютный,зеленый,домашний,маленький,</v>
      </c>
      <c r="I401" s="6" t="str">
        <f>IFERROR(__xludf.DUMMYFUNCTION("""COMPUTED_VALUE"""),"Михайло Волков")</f>
        <v>Михайло Волков</v>
      </c>
      <c r="J401" s="6" t="str">
        <f>IFERROR(__xludf.DUMMYFUNCTION("""COMPUTED_VALUE"""),"Алексей Леонов")</f>
        <v>Алексей Леонов</v>
      </c>
      <c r="K401" s="6" t="str">
        <f>IFERROR(__xludf.DUMMYFUNCTION("""COMPUTED_VALUE"""),"набережная Томи")</f>
        <v>набережная Томи</v>
      </c>
      <c r="L401" s="6" t="str">
        <f>IFERROR(__xludf.DUMMYFUNCTION("""COMPUTED_VALUE"""),"к сожалению не знаю")</f>
        <v>к сожалению не знаю</v>
      </c>
      <c r="M401" s="6" t="str">
        <f>IFERROR(__xludf.DUMMYFUNCTION("""COMPUTED_VALUE"""),"нет")</f>
        <v>нет</v>
      </c>
      <c r="N401" s="6" t="str">
        <f>IFERROR(__xludf.DUMMYFUNCTION("""COMPUTED_VALUE"""),"транспорт,чистый воздух,наличие спортивных объектов,наличие  предприятий для работы.")</f>
        <v>транспорт,чистый воздух,наличие спортивных объектов,наличие  предприятий для работы.</v>
      </c>
      <c r="O401" s="6" t="str">
        <f>IFERROR(__xludf.DUMMYFUNCTION("""COMPUTED_VALUE"""),"тротуары и дороги")</f>
        <v>тротуары и дороги</v>
      </c>
      <c r="P401" s="6" t="str">
        <f>IFERROR(__xludf.DUMMYFUNCTION("""COMPUTED_VALUE"""),"А42")</f>
        <v>А42</v>
      </c>
      <c r="Q40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чек/реклам"&amp;"ные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v>
      </c>
      <c r="R401" s="6" t="str">
        <f>IFERROR(__xludf.DUMMYFUNCTION("""COMPUTED_VALUE"""),"парад победы")</f>
        <v>парад победы</v>
      </c>
      <c r="S401" s="6" t="str">
        <f>IFERROR(__xludf.DUMMYFUNCTION("""COMPUTED_VALUE"""),"Нет, не приходилось")</f>
        <v>Нет, не приходилось</v>
      </c>
      <c r="T401" s="6" t="str">
        <f>IFERROR(__xludf.DUMMYFUNCTION("""COMPUTED_VALUE"""),"Тулеев")</f>
        <v>Тулеев</v>
      </c>
      <c r="U401" s="6" t="str">
        <f>IFERROR(__xludf.DUMMYFUNCTION("""COMPUTED_VALUE"""),"Драмтеатр")</f>
        <v>Драмтеатр</v>
      </c>
      <c r="V401" s="6" t="str">
        <f>IFERROR(__xludf.DUMMYFUNCTION("""COMPUTED_VALUE"""),"создание  предприятий")</f>
        <v>создание  предприятий</v>
      </c>
      <c r="W401" s="6" t="str">
        <f>IFERROR(__xludf.DUMMYFUNCTION("""COMPUTED_VALUE"""),"обычные люди")</f>
        <v>обычные люди</v>
      </c>
      <c r="X401" s="6" t="str">
        <f>IFERROR(__xludf.DUMMYFUNCTION("""COMPUTED_VALUE"""),"набережная")</f>
        <v>набережная</v>
      </c>
      <c r="Y401" s="6" t="str">
        <f>IFERROR(__xludf.DUMMYFUNCTION("""COMPUTED_VALUE"""),"чемпионат по хоккею с мячом")</f>
        <v>чемпионат по хоккею с мячом</v>
      </c>
      <c r="Z401" s="6" t="str">
        <f>IFERROR(__xludf.DUMMYFUNCTION("""COMPUTED_VALUE"""),"никаких")</f>
        <v>никаких</v>
      </c>
      <c r="AA401" s="6" t="str">
        <f>IFERROR(__xludf.DUMMYFUNCTION("""COMPUTED_VALUE"""),"пожар в Зимней вишне")</f>
        <v>пожар в Зимней вишне</v>
      </c>
      <c r="AB401" s="6" t="str">
        <f>IFERROR(__xludf.DUMMYFUNCTION("""COMPUTED_VALUE"""),"Какие  существуют?")</f>
        <v>Какие  существуют?</v>
      </c>
      <c r="AC401" s="6" t="str">
        <f>IFERROR(__xludf.DUMMYFUNCTION("""COMPUTED_VALUE"""),"Спортивных")</f>
        <v>Спортивных</v>
      </c>
      <c r="AD401" s="6" t="str">
        <f>IFERROR(__xludf.DUMMYFUNCTION("""COMPUTED_VALUE"""),"наблюдающего")</f>
        <v>наблюдающего</v>
      </c>
      <c r="AE401" s="6" t="str">
        <f>IFERROR(__xludf.DUMMYFUNCTION("""COMPUTED_VALUE"""),"Женский")</f>
        <v>Женский</v>
      </c>
      <c r="AF401" s="6" t="str">
        <f>IFERROR(__xludf.DUMMYFUNCTION("""COMPUTED_VALUE"""),"старше 55")</f>
        <v>старше 55</v>
      </c>
      <c r="AG401" s="6"/>
      <c r="AH401" s="6"/>
      <c r="AI401" s="6"/>
      <c r="AJ401" s="6"/>
      <c r="AK401" s="6"/>
      <c r="AL401" s="6"/>
      <c r="AM401" s="6"/>
    </row>
    <row r="402">
      <c r="A402" s="4">
        <v>401.0</v>
      </c>
      <c r="B402" s="6" t="str">
        <f>IFERROR(__xludf.DUMMYFUNCTION("""COMPUTED_VALUE"""),"культура")</f>
        <v>культура</v>
      </c>
      <c r="C402" s="6" t="str">
        <f>IFERROR(__xludf.DUMMYFUNCTION("""COMPUTED_VALUE"""),"рисование")</f>
        <v>рисование</v>
      </c>
      <c r="D402" s="6" t="str">
        <f>IFERROR(__xludf.DUMMYFUNCTION("""COMPUTED_VALUE"""),"центр")</f>
        <v>центр</v>
      </c>
      <c r="E402" s="6" t="str">
        <f>IFERROR(__xludf.DUMMYFUNCTION("""COMPUTED_VALUE"""),"набережная")</f>
        <v>набережная</v>
      </c>
      <c r="F402" s="6" t="str">
        <f>IFERROR(__xludf.DUMMYFUNCTION("""COMPUTED_VALUE"""),"Живу здесь с рождения")</f>
        <v>Живу здесь с рождения</v>
      </c>
      <c r="G402" s="6" t="str">
        <f>IFERROR(__xludf.DUMMYFUNCTION("""COMPUTED_VALUE"""),"центр")</f>
        <v>центр</v>
      </c>
      <c r="H402" s="6" t="str">
        <f>IFERROR(__xludf.DUMMYFUNCTION("""COMPUTED_VALUE"""),"смог, ветер, река, мост, театры")</f>
        <v>смог, ветер, река, мост, театры</v>
      </c>
      <c r="I402" s="6" t="str">
        <f>IFERROR(__xludf.DUMMYFUNCTION("""COMPUTED_VALUE"""),"Рутгерс, Михайлов")</f>
        <v>Рутгерс, Михайлов</v>
      </c>
      <c r="J402" s="6" t="str">
        <f>IFERROR(__xludf.DUMMYFUNCTION("""COMPUTED_VALUE"""),"не могу ответить")</f>
        <v>не могу ответить</v>
      </c>
      <c r="K402" s="6" t="str">
        <f>IFERROR(__xludf.DUMMYFUNCTION("""COMPUTED_VALUE"""),"Красная горка")</f>
        <v>Красная горка</v>
      </c>
      <c r="L402" s="6" t="str">
        <f>IFERROR(__xludf.DUMMYFUNCTION("""COMPUTED_VALUE"""),"----")</f>
        <v>----</v>
      </c>
      <c r="M402" s="6" t="str">
        <f>IFERROR(__xludf.DUMMYFUNCTION("""COMPUTED_VALUE"""),"нет")</f>
        <v>нет</v>
      </c>
      <c r="N402" s="6" t="str">
        <f>IFERROR(__xludf.DUMMYFUNCTION("""COMPUTED_VALUE"""),"чистота, доступность учреждений, возможность парковки в любое время, оборудование площадок для моложежи, кафэ")</f>
        <v>чистота, доступность учреждений, возможность парковки в любое время, оборудование площадок для моложежи, кафэ</v>
      </c>
      <c r="O402" s="6" t="str">
        <f>IFERROR(__xludf.DUMMYFUNCTION("""COMPUTED_VALUE"""),"Помыть дороги, убрать ветхое жилье")</f>
        <v>Помыть дороги, убрать ветхое жилье</v>
      </c>
      <c r="P402" s="6" t="str">
        <f>IFERROR(__xludf.DUMMYFUNCTION("""COMPUTED_VALUE"""),"интернет")</f>
        <v>интернет</v>
      </c>
      <c r="Q402" s="6" t="str">
        <f>IFERROR(__xludf.DUMMYFUNCTION("""COMPUTED_VALUE"""),"городская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v>
      </c>
      <c r="R402" s="6" t="str">
        <f>IFERROR(__xludf.DUMMYFUNCTION("""COMPUTED_VALUE"""),"не люблю праздниик с толпами людей")</f>
        <v>не люблю праздниик с толпами людей</v>
      </c>
      <c r="S402" s="6" t="str">
        <f>IFERROR(__xludf.DUMMYFUNCTION("""COMPUTED_VALUE"""),"Обращался в редакции городских газет, телевидения, радио")</f>
        <v>Обращался в редакции городских газет, телевидения, радио</v>
      </c>
      <c r="T402" s="6" t="str">
        <f>IFERROR(__xludf.DUMMYFUNCTION("""COMPUTED_VALUE"""),"-")</f>
        <v>-</v>
      </c>
      <c r="U402" s="6" t="str">
        <f>IFERROR(__xludf.DUMMYFUNCTION("""COMPUTED_VALUE"""),"Драмтеатр, красная горка")</f>
        <v>Драмтеатр, красная горка</v>
      </c>
      <c r="V402" s="6" t="str">
        <f>IFERROR(__xludf.DUMMYFUNCTION("""COMPUTED_VALUE"""),"стройка")</f>
        <v>стройка</v>
      </c>
      <c r="W402" s="6" t="str">
        <f>IFERROR(__xludf.DUMMYFUNCTION("""COMPUTED_VALUE"""),"хмурые, недовольные")</f>
        <v>хмурые, недовольные</v>
      </c>
      <c r="X402" s="6" t="str">
        <f>IFERROR(__xludf.DUMMYFUNCTION("""COMPUTED_VALUE"""),"не знаю")</f>
        <v>не знаю</v>
      </c>
      <c r="Y402" s="6" t="str">
        <f>IFERROR(__xludf.DUMMYFUNCTION("""COMPUTED_VALUE"""),"------")</f>
        <v>------</v>
      </c>
      <c r="Z402" s="6" t="str">
        <f>IFERROR(__xludf.DUMMYFUNCTION("""COMPUTED_VALUE"""),"----------")</f>
        <v>----------</v>
      </c>
      <c r="AA402" s="6" t="str">
        <f>IFERROR(__xludf.DUMMYFUNCTION("""COMPUTED_VALUE"""),"----")</f>
        <v>----</v>
      </c>
      <c r="AB402" s="6" t="str">
        <f>IFERROR(__xludf.DUMMYFUNCTION("""COMPUTED_VALUE"""),"--------")</f>
        <v>--------</v>
      </c>
      <c r="AC402" s="6" t="str">
        <f>IFERROR(__xludf.DUMMYFUNCTION("""COMPUTED_VALUE"""),"---------")</f>
        <v>---------</v>
      </c>
      <c r="AD402" s="6" t="str">
        <f>IFERROR(__xludf.DUMMYFUNCTION("""COMPUTED_VALUE"""),"участника")</f>
        <v>участника</v>
      </c>
      <c r="AE402" s="6" t="str">
        <f>IFERROR(__xludf.DUMMYFUNCTION("""COMPUTED_VALUE"""),"Женский")</f>
        <v>Женский</v>
      </c>
      <c r="AF402" s="6" t="str">
        <f>IFERROR(__xludf.DUMMYFUNCTION("""COMPUTED_VALUE"""),"30-44")</f>
        <v>30-44</v>
      </c>
      <c r="AG402" s="6"/>
      <c r="AH402" s="6"/>
      <c r="AI402" s="6"/>
      <c r="AJ402" s="6"/>
      <c r="AK402" s="6"/>
      <c r="AL402" s="6"/>
      <c r="AM402" s="6"/>
    </row>
    <row r="403">
      <c r="A403" s="4">
        <v>402.0</v>
      </c>
      <c r="B403" s="6" t="str">
        <f>IFERROR(__xludf.DUMMYFUNCTION("""COMPUTED_VALUE"""),"Работаю на складе)")</f>
        <v>Работаю на складе)</v>
      </c>
      <c r="C403" s="6" t="str">
        <f>IFERROR(__xludf.DUMMYFUNCTION("""COMPUTED_VALUE"""),"да, держу ящериц, люблю ездить на природу, отдыхать, ездить на рыбалку, ходить за грибами ")</f>
        <v>да, держу ящериц, люблю ездить на природу, отдыхать, ездить на рыбалку, ходить за грибами </v>
      </c>
      <c r="D403" s="6" t="str">
        <f>IFERROR(__xludf.DUMMYFUNCTION("""COMPUTED_VALUE"""),"Ленинский район, Верхний Бульвар")</f>
        <v>Ленинский район, Верхний Бульвар</v>
      </c>
      <c r="E403" s="6" t="str">
        <f>IFERROR(__xludf.DUMMYFUNCTION("""COMPUTED_VALUE"""),"Собственно сама прогулочная зона ""бульвар"", ВУЗы, парки")</f>
        <v>Собственно сама прогулочная зона "бульвар", ВУЗы, парки</v>
      </c>
      <c r="F403" s="6" t="str">
        <f>IFERROR(__xludf.DUMMYFUNCTION("""COMPUTED_VALUE"""),"Живу здесь с рождения")</f>
        <v>Живу здесь с рождения</v>
      </c>
      <c r="G403" s="6" t="str">
        <f>IFERROR(__xludf.DUMMYFUNCTION("""COMPUTED_VALUE"""),"гуляем во дворе, ездим на речку, но чаще за город")</f>
        <v>гуляем во дворе, ездим на речку, но чаще за город</v>
      </c>
      <c r="H403" s="6" t="str">
        <f>IFERROR(__xludf.DUMMYFUNCTION("""COMPUTED_VALUE"""),"Томь, шахтер, крест, азот, набережная")</f>
        <v>Томь, шахтер, крест, азот, набережная</v>
      </c>
      <c r="I403" s="6" t="str">
        <f>IFERROR(__xludf.DUMMYFUNCTION("""COMPUTED_VALUE"""),"Гагарин, Пушкин, В.Волошина, Подгорбунский")</f>
        <v>Гагарин, Пушкин, В.Волошина, Подгорбунский</v>
      </c>
      <c r="J403" s="6" t="str">
        <f>IFERROR(__xludf.DUMMYFUNCTION("""COMPUTED_VALUE"""),"горожане не равняются ни на кого, т.к. многие ничего и ни кого не знают")</f>
        <v>горожане не равняются ни на кого, т.к. многие ничего и ни кого не знают</v>
      </c>
      <c r="K403" s="6" t="str">
        <f>IFERROR(__xludf.DUMMYFUNCTION("""COMPUTED_VALUE"""),"ребенок в капусте, ботанический сад, набережная")</f>
        <v>ребенок в капусте, ботанический сад, набережная</v>
      </c>
      <c r="L403" s="6" t="str">
        <f>IFERROR(__xludf.DUMMYFUNCTION("""COMPUTED_VALUE"""),"так сразу не скажу)")</f>
        <v>так сразу не скажу)</v>
      </c>
      <c r="M403" s="6" t="str">
        <f>IFERROR(__xludf.DUMMYFUNCTION("""COMPUTED_VALUE"""),"скорее нет")</f>
        <v>скорее нет</v>
      </c>
      <c r="N403" s="6" t="str">
        <f>IFERROR(__xludf.DUMMYFUNCTION("""COMPUTED_VALUE"""),"наличие работы, образовательных учреждений, культурных, отсутствие пробок, нормальная экология")</f>
        <v>наличие работы, образовательных учреждений, культурных, отсутствие пробок, нормальная экология</v>
      </c>
      <c r="O403" s="6" t="str">
        <f>IFERROR(__xludf.DUMMYFUNCTION("""COMPUTED_VALUE"""),"отремонтировать дома, или хоть фасады домов, и дороги")</f>
        <v>отремонтировать дома, или хоть фасады домов, и дороги</v>
      </c>
      <c r="P403" s="6" t="str">
        <f>IFERROR(__xludf.DUMMYFUNCTION("""COMPUTED_VALUE"""),"тв, вконтакте")</f>
        <v>тв, вконтакте</v>
      </c>
      <c r="Q403"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403" s="6" t="str">
        <f>IFERROR(__xludf.DUMMYFUNCTION("""COMPUTED_VALUE"""),"день города, день шахтера")</f>
        <v>день города, день шахтера</v>
      </c>
      <c r="S403" s="6" t="str">
        <f>IFERROR(__xludf.DUMMYFUNCTION("""COMPUTED_VALUE"""),"Нет, не приходилось")</f>
        <v>Нет, не приходилось</v>
      </c>
      <c r="T403" s="6" t="str">
        <f>IFERROR(__xludf.DUMMYFUNCTION("""COMPUTED_VALUE"""),"--")</f>
        <v>--</v>
      </c>
      <c r="U403" s="6" t="str">
        <f>IFERROR(__xludf.DUMMYFUNCTION("""COMPUTED_VALUE"""),"--")</f>
        <v>--</v>
      </c>
      <c r="V403" s="6" t="str">
        <f>IFERROR(__xludf.DUMMYFUNCTION("""COMPUTED_VALUE"""),"развивали его, любое достижение- небольшая гордость")</f>
        <v>развивали его, любое достижение- небольшая гордость</v>
      </c>
      <c r="W403" s="6" t="str">
        <f>IFERROR(__xludf.DUMMYFUNCTION("""COMPUTED_VALUE"""),"бесстрашные, наглые")</f>
        <v>бесстрашные, наглые</v>
      </c>
      <c r="X403" s="6" t="str">
        <f>IFERROR(__xludf.DUMMYFUNCTION("""COMPUTED_VALUE"""),"--")</f>
        <v>--</v>
      </c>
      <c r="Y403" s="6" t="str">
        <f>IFERROR(__xludf.DUMMYFUNCTION("""COMPUTED_VALUE"""),"--")</f>
        <v>--</v>
      </c>
      <c r="Z403" s="6" t="str">
        <f>IFERROR(__xludf.DUMMYFUNCTION("""COMPUTED_VALUE"""),"--")</f>
        <v>--</v>
      </c>
      <c r="AA403" s="6" t="str">
        <f>IFERROR(__xludf.DUMMYFUNCTION("""COMPUTED_VALUE"""),"рост цен и тарифов")</f>
        <v>рост цен и тарифов</v>
      </c>
      <c r="AB403" s="6" t="str">
        <f>IFERROR(__xludf.DUMMYFUNCTION("""COMPUTED_VALUE"""),"сообщества разумных адекватных людей")</f>
        <v>сообщества разумных адекватных людей</v>
      </c>
      <c r="AC403" s="6" t="str">
        <f>IFERROR(__xludf.DUMMYFUNCTION("""COMPUTED_VALUE"""),"мероприятий для маленьких детей,     выставки, ")</f>
        <v>мероприятий для маленьких детей,     выставки, </v>
      </c>
      <c r="AD403" s="6" t="str">
        <f>IFERROR(__xludf.DUMMYFUNCTION("""COMPUTED_VALUE"""),"--")</f>
        <v>--</v>
      </c>
      <c r="AE403" s="6" t="str">
        <f>IFERROR(__xludf.DUMMYFUNCTION("""COMPUTED_VALUE"""),"Женский")</f>
        <v>Женский</v>
      </c>
      <c r="AF403" s="6" t="str">
        <f>IFERROR(__xludf.DUMMYFUNCTION("""COMPUTED_VALUE"""),"30-44")</f>
        <v>30-44</v>
      </c>
      <c r="AG403" s="6"/>
      <c r="AH403" s="6"/>
      <c r="AI403" s="6"/>
      <c r="AJ403" s="6"/>
      <c r="AK403" s="6"/>
      <c r="AL403" s="6"/>
      <c r="AM403" s="6"/>
    </row>
    <row r="404">
      <c r="A404" s="4">
        <v>403.0</v>
      </c>
      <c r="B404" s="6" t="str">
        <f>IFERROR(__xludf.DUMMYFUNCTION("""COMPUTED_VALUE"""),"Бюджетная сфера")</f>
        <v>Бюджетная сфера</v>
      </c>
      <c r="C404" s="6" t="str">
        <f>IFERROR(__xludf.DUMMYFUNCTION("""COMPUTED_VALUE"""),"Отдых на природе ")</f>
        <v>Отдых на природе </v>
      </c>
      <c r="D404" s="6" t="str">
        <f>IFERROR(__xludf.DUMMYFUNCTION("""COMPUTED_VALUE"""),"Старый центр, Советский")</f>
        <v>Старый центр, Советский</v>
      </c>
      <c r="E404" s="6" t="str">
        <f>IFERROR(__xludf.DUMMYFUNCTION("""COMPUTED_VALUE"""),"Весенняя, Набережная и рассыпающееся лицо города - старый центр, дома в удручающем состоянии , не будет этой картинки, Кемерово потеряет своё ЛИЦО ")</f>
        <v>Весенняя, Набережная и рассыпающееся лицо города - старый центр, дома в удручающем состоянии , не будет этой картинки, Кемерово потеряет своё ЛИЦО </v>
      </c>
      <c r="F404" s="6" t="str">
        <f>IFERROR(__xludf.DUMMYFUNCTION("""COMPUTED_VALUE"""),"Живу здесь с рождения")</f>
        <v>Живу здесь с рождения</v>
      </c>
      <c r="G404" s="6" t="str">
        <f>IFERROR(__xludf.DUMMYFUNCTION("""COMPUTED_VALUE"""),"Нет времени и желания и мест")</f>
        <v>Нет времени и желания и мест</v>
      </c>
      <c r="H404" s="6" t="str">
        <f>IFERROR(__xludf.DUMMYFUNCTION("""COMPUTED_VALUE"""),"Город, в котором не слышат потребности ещё оставшихся горожан")</f>
        <v>Город, в котором не слышат потребности ещё оставшихся горожан</v>
      </c>
      <c r="I404" s="6" t="str">
        <f>IFERROR(__xludf.DUMMYFUNCTION("""COMPUTED_VALUE"""),"Леонов, Подгорбунский, Бобров и тд")</f>
        <v>Леонов, Подгорбунский, Бобров и тд</v>
      </c>
      <c r="J404" s="6" t="str">
        <f>IFERROR(__xludf.DUMMYFUNCTION("""COMPUTED_VALUE"""),"Например, Машков")</f>
        <v>Например, Машков</v>
      </c>
      <c r="K404" s="6" t="str">
        <f>IFERROR(__xludf.DUMMYFUNCTION("""COMPUTED_VALUE"""),"Красную горку")</f>
        <v>Красную горку</v>
      </c>
      <c r="L404" s="6" t="str">
        <f>IFERROR(__xludf.DUMMYFUNCTION("""COMPUTED_VALUE"""),"На безрыбье и рак рыба")</f>
        <v>На безрыбье и рак рыба</v>
      </c>
      <c r="M404" s="6" t="str">
        <f>IFERROR(__xludf.DUMMYFUNCTION("""COMPUTED_VALUE"""),"Глупый вопрос!")</f>
        <v>Глупый вопрос!</v>
      </c>
      <c r="N404" s="6" t="str">
        <f>IFERROR(__xludf.DUMMYFUNCTION("""COMPUTED_VALUE"""),"Привлечь людей, создать рабочие места и выстроить студенческий город вместо бессмысленного культурного кластера, создать условия, отсутствие вечного чёрного неба и грязи,  остальное само “рванет». Мы ставим телегу впереди лошади, а это фатально .")</f>
        <v>Привлечь людей, создать рабочие места и выстроить студенческий город вместо бессмысленного культурного кластера, создать условия, отсутствие вечного чёрного неба и грязи,  остальное само “рванет». Мы ставим телегу впереди лошади, а это фатально .</v>
      </c>
      <c r="O404" s="6" t="str">
        <f>IFERROR(__xludf.DUMMYFUNCTION("""COMPUTED_VALUE"""),"Умыть лицо города, потом все остальное")</f>
        <v>Умыть лицо города, потом все остальное</v>
      </c>
      <c r="P404" s="6" t="str">
        <f>IFERROR(__xludf.DUMMYFUNCTION("""COMPUTED_VALUE"""),"ФБ")</f>
        <v>ФБ</v>
      </c>
      <c r="Q404" s="6" t="str">
        <f>IFERROR(__xludf.DUMMYFUNCTION("""COMPUTED_VALUE"""),"бизнес-новости (средний чек/рекламные акции/запуск новых предприятий)")</f>
        <v>бизнес-новости (средний чек/рекламные акции/запуск новых предприятий)</v>
      </c>
      <c r="R404" s="6" t="str">
        <f>IFERROR(__xludf.DUMMYFUNCTION("""COMPUTED_VALUE"""),"Никакие, их нет")</f>
        <v>Никакие, их нет</v>
      </c>
      <c r="S404" s="6" t="str">
        <f>IFERROR(__xludf.DUMMYFUNCTION("""COMPUTED_VALUE"""),"Обращался в редакции городских газет, телевидения, радио")</f>
        <v>Обращался в редакции городских газет, телевидения, радио</v>
      </c>
      <c r="T404" s="6" t="str">
        <f>IFERROR(__xludf.DUMMYFUNCTION("""COMPUTED_VALUE"""),"Чёрное небо, уголь и снег. ")</f>
        <v>Чёрное небо, уголь и снег. </v>
      </c>
      <c r="U404" s="6" t="str">
        <f>IFERROR(__xludf.DUMMYFUNCTION("""COMPUTED_VALUE"""),"Площадь Ленина и вид на проспект глазами Ильича, особенно на закате ")</f>
        <v>Площадь Ленина и вид на проспект глазами Ильича, особенно на закате </v>
      </c>
      <c r="V404" s="6" t="str">
        <f>IFERROR(__xludf.DUMMYFUNCTION("""COMPUTED_VALUE"""),"Один в поле не воин")</f>
        <v>Один в поле не воин</v>
      </c>
      <c r="W404" s="6" t="str">
        <f>IFERROR(__xludf.DUMMYFUNCTION("""COMPUTED_VALUE"""),"Добрые, некогда оптимисты, теряющие надежду и веру в светлое будущее")</f>
        <v>Добрые, некогда оптимисты, теряющие надежду и веру в светлое будущее</v>
      </c>
      <c r="X404" s="6" t="str">
        <f>IFERROR(__xludf.DUMMYFUNCTION("""COMPUTED_VALUE"""),"Красная горка, набережная , весенняя ")</f>
        <v>Красная горка, набережная , весенняя </v>
      </c>
      <c r="Y404" s="6" t="str">
        <f>IFERROR(__xludf.DUMMYFUNCTION("""COMPUTED_VALUE"""),"Хватит нам культурного кластера, можно другие вопросы?")</f>
        <v>Хватит нам культурного кластера, можно другие вопросы?</v>
      </c>
      <c r="Z404" s="6" t="str">
        <f>IFERROR(__xludf.DUMMYFUNCTION("""COMPUTED_VALUE"""),"Никаких, если не считать кучи бессмысленных для кемеровчан строек")</f>
        <v>Никаких, если не считать кучи бессмысленных для кемеровчан строек</v>
      </c>
      <c r="AA404" s="6" t="str">
        <f>IFERROR(__xludf.DUMMYFUNCTION("""COMPUTED_VALUE"""),"Неучастие в вопросах городского устройства жителей")</f>
        <v>Неучастие в вопросах городского устройства жителей</v>
      </c>
      <c r="AB404" s="6" t="str">
        <f>IFERROR(__xludf.DUMMYFUNCTION("""COMPUTED_VALUE"""),"Интеллектуальных")</f>
        <v>Интеллектуальных</v>
      </c>
      <c r="AC404" s="6" t="str">
        <f>IFERROR(__xludf.DUMMYFUNCTION("""COMPUTED_VALUE"""),"Значимые, отличающие и делающие его уникальным, но не показушное ")</f>
        <v>Значимые, отличающие и делающие его уникальным, но не показушное </v>
      </c>
      <c r="AD404" s="6" t="str">
        <f>IFERROR(__xludf.DUMMYFUNCTION("""COMPUTED_VALUE"""),"Стратегический менеджер")</f>
        <v>Стратегический менеджер</v>
      </c>
      <c r="AE404" s="6" t="str">
        <f>IFERROR(__xludf.DUMMYFUNCTION("""COMPUTED_VALUE"""),"Женский")</f>
        <v>Женский</v>
      </c>
      <c r="AF404" s="6" t="str">
        <f>IFERROR(__xludf.DUMMYFUNCTION("""COMPUTED_VALUE"""),"45-55")</f>
        <v>45-55</v>
      </c>
      <c r="AG404" s="6"/>
      <c r="AH404" s="6"/>
      <c r="AI404" s="6"/>
      <c r="AJ404" s="6"/>
      <c r="AK404" s="6"/>
      <c r="AL404" s="6"/>
      <c r="AM404" s="6"/>
    </row>
    <row r="405">
      <c r="A405" s="4">
        <v>404.0</v>
      </c>
      <c r="B405" s="6" t="str">
        <f>IFERROR(__xludf.DUMMYFUNCTION("""COMPUTED_VALUE"""),"Уголь")</f>
        <v>Уголь</v>
      </c>
      <c r="C405" s="6" t="str">
        <f>IFERROR(__xludf.DUMMYFUNCTION("""COMPUTED_VALUE"""),"Деревообработка")</f>
        <v>Деревообработка</v>
      </c>
      <c r="D405" s="6" t="str">
        <f>IFERROR(__xludf.DUMMYFUNCTION("""COMPUTED_VALUE"""),"Ленинский")</f>
        <v>Ленинский</v>
      </c>
      <c r="E405" s="6" t="str">
        <f>IFERROR(__xludf.DUMMYFUNCTION("""COMPUTED_VALUE"""),"Бульвар строителей, парк Кузбасский")</f>
        <v>Бульвар строителей, парк Кузбасский</v>
      </c>
      <c r="F405" s="6" t="str">
        <f>IFERROR(__xludf.DUMMYFUNCTION("""COMPUTED_VALUE"""),"Живу здесь с рождения")</f>
        <v>Живу здесь с рождения</v>
      </c>
      <c r="G405" s="6" t="str">
        <f>IFERROR(__xludf.DUMMYFUNCTION("""COMPUTED_VALUE"""),"Сосновый бор, Наш парк")</f>
        <v>Сосновый бор, Наш парк</v>
      </c>
      <c r="H405" s="6" t="str">
        <f>IFERROR(__xludf.DUMMYFUNCTION("""COMPUTED_VALUE"""),"Экологические проблемы, хорошее благоустройство, отсутствие работы, низкий уровень квалификации, неэффективность")</f>
        <v>Экологические проблемы, хорошее благоустройство, отсутствие работы, низкий уровень квалификации, неэффективность</v>
      </c>
      <c r="I405" s="6" t="str">
        <f>IFERROR(__xludf.DUMMYFUNCTION("""COMPUTED_VALUE"""),"Михайло Волков, Алексей Леонов, Аман Тулеев")</f>
        <v>Михайло Волков, Алексей Леонов, Аман Тулеев</v>
      </c>
      <c r="J405" s="6" t="str">
        <f>IFERROR(__xludf.DUMMYFUNCTION("""COMPUTED_VALUE"""),"Владимир Михайлов")</f>
        <v>Владимир Михайлов</v>
      </c>
      <c r="K405" s="6" t="str">
        <f>IFERROR(__xludf.DUMMYFUNCTION("""COMPUTED_VALUE"""),"Красная горка, Томская писаница")</f>
        <v>Красная горка, Томская писаница</v>
      </c>
      <c r="L405" s="6" t="str">
        <f>IFERROR(__xludf.DUMMYFUNCTION("""COMPUTED_VALUE"""),"нет")</f>
        <v>нет</v>
      </c>
      <c r="M405" s="6" t="str">
        <f>IFERROR(__xludf.DUMMYFUNCTION("""COMPUTED_VALUE"""),"нет")</f>
        <v>нет</v>
      </c>
      <c r="N405" s="6" t="str">
        <f>IFERROR(__xludf.DUMMYFUNCTION("""COMPUTED_VALUE"""),"Отсутствие коррупции, высокая эффективность управления, высокий уровень компетенции работников, производство с высокой добавленной стоимостью, экологическая чистота вокруг")</f>
        <v>Отсутствие коррупции, высокая эффективность управления, высокий уровень компетенции работников, производство с высокой добавленной стоимостью, экологическая чистота вокруг</v>
      </c>
      <c r="O405" s="6" t="str">
        <f>IFERROR(__xludf.DUMMYFUNCTION("""COMPUTED_VALUE"""),"Неэффективное управление, капитальный ремонт дорог, больше парковочных мест (пусть даже платные)")</f>
        <v>Неэффективное управление, капитальный ремонт дорог, больше парковочных мест (пусть даже платные)</v>
      </c>
      <c r="P405" s="6" t="str">
        <f>IFERROR(__xludf.DUMMYFUNCTION("""COMPUTED_VALUE"""),"а42, сибдепо, vse42")</f>
        <v>а42, сибдепо, vse42</v>
      </c>
      <c r="Q405" s="6" t="str">
        <f>IFERROR(__xludf.DUMMYFUNCTION("""COMPUTED_VALUE"""),"куда пойти в свободное время")</f>
        <v>куда пойти в свободное время</v>
      </c>
      <c r="R405" s="6" t="str">
        <f>IFERROR(__xludf.DUMMYFUNCTION("""COMPUTED_VALUE"""),"12 июня, 9 мая, 1 сентября, 12 декабря, 31 декабря")</f>
        <v>12 июня, 9 мая, 1 сентября, 12 декабря, 31 декабря</v>
      </c>
      <c r="S405" s="6" t="str">
        <f>IFERROR(__xludf.DUMMYFUNCTION("""COMPUTED_VALUE"""),"Писал и расклеивал объявления/афиши")</f>
        <v>Писал и расклеивал объявления/афиши</v>
      </c>
      <c r="T405" s="6" t="str">
        <f>IFERROR(__xludf.DUMMYFUNCTION("""COMPUTED_VALUE"""),"Уголь")</f>
        <v>Уголь</v>
      </c>
      <c r="U405" s="6" t="str">
        <f>IFERROR(__xludf.DUMMYFUNCTION("""COMPUTED_VALUE"""),"Памятник Волкову, притомская набережная")</f>
        <v>Памятник Волкову, притомская набережная</v>
      </c>
      <c r="V405" s="6" t="str">
        <f>IFERROR(__xludf.DUMMYFUNCTION("""COMPUTED_VALUE"""),"Очень много работали и не на одной работе")</f>
        <v>Очень много работали и не на одной работе</v>
      </c>
      <c r="W405" s="6" t="str">
        <f>IFERROR(__xludf.DUMMYFUNCTION("""COMPUTED_VALUE"""),"злость, безответственность, депрессия, много мусорят вокруг")</f>
        <v>злость, безответственность, депрессия, много мусорят вокруг</v>
      </c>
      <c r="X405" s="6" t="str">
        <f>IFERROR(__xludf.DUMMYFUNCTION("""COMPUTED_VALUE"""),"улица Весенняя и притомская набережная")</f>
        <v>улица Весенняя и притомская набережная</v>
      </c>
      <c r="Y405" s="6" t="str">
        <f>IFERROR(__xludf.DUMMYFUNCTION("""COMPUTED_VALUE"""),"Ужасная трагедия в Зимней Вишне")</f>
        <v>Ужасная трагедия в Зимней Вишне</v>
      </c>
      <c r="Z405" s="6" t="str">
        <f>IFERROR(__xludf.DUMMYFUNCTION("""COMPUTED_VALUE"""),"Мне запомнился парад 9 мая 2014 года на площади Советов в г. Кемерово - последний позитивный год, когда уровень жизни увеличивался, Олимпиада, Крым, большие планы на будущее.")</f>
        <v>Мне запомнился парад 9 мая 2014 года на площади Советов в г. Кемерово - последний позитивный год, когда уровень жизни увеличивался, Олимпиада, Крым, большие планы на будущее.</v>
      </c>
      <c r="AA405" s="6" t="str">
        <f>IFERROR(__xludf.DUMMYFUNCTION("""COMPUTED_VALUE"""),"Зимняя Вишня, девальвация, рост безработицы, рост цен на бензин, продукты, жилье, снижение заработной платы, повышение стоимости ЖКХ, некомпетентные управленцы во власти (обычно, чьи-то родственники), умирающая медицина и много другое.")</f>
        <v>Зимняя Вишня, девальвация, рост безработицы, рост цен на бензин, продукты, жилье, снижение заработной платы, повышение стоимости ЖКХ, некомпетентные управленцы во власти (обычно, чьи-то родственники), умирающая медицина и много другое.</v>
      </c>
      <c r="AB405" s="6" t="str">
        <f>IFERROR(__xludf.DUMMYFUNCTION("""COMPUTED_VALUE"""),"Аквапарка, термального центра, океанариума, планетария, бассейна нормального с сауной")</f>
        <v>Аквапарка, термального центра, океанариума, планетария, бассейна нормального с сауной</v>
      </c>
      <c r="AC405" s="6" t="str">
        <f>IFERROR(__xludf.DUMMYFUNCTION("""COMPUTED_VALUE"""),"Аквапарк, термальный центр, океанариум, планетарий, бассейн с сауной")</f>
        <v>Аквапарк, термальный центр, океанариум, планетарий, бассейн с сауной</v>
      </c>
      <c r="AD405" s="6" t="str">
        <f>IFERROR(__xludf.DUMMYFUNCTION("""COMPUTED_VALUE"""),"ответственный горожанин, не создающий мусора вокруг себя")</f>
        <v>ответственный горожанин, не создающий мусора вокруг себя</v>
      </c>
      <c r="AE405" s="6" t="str">
        <f>IFERROR(__xludf.DUMMYFUNCTION("""COMPUTED_VALUE"""),"Мужской")</f>
        <v>Мужской</v>
      </c>
      <c r="AF405" s="6" t="str">
        <f>IFERROR(__xludf.DUMMYFUNCTION("""COMPUTED_VALUE"""),"30-44")</f>
        <v>30-44</v>
      </c>
      <c r="AG405" s="6"/>
      <c r="AH405" s="6"/>
      <c r="AI405" s="6"/>
      <c r="AJ405" s="6"/>
      <c r="AK405" s="6"/>
      <c r="AL405" s="6"/>
      <c r="AM405" s="6"/>
    </row>
    <row r="406">
      <c r="A406" s="4">
        <v>405.0</v>
      </c>
      <c r="B406" s="6" t="str">
        <f>IFERROR(__xludf.DUMMYFUNCTION("""COMPUTED_VALUE"""),"product manager")</f>
        <v>product manager</v>
      </c>
      <c r="C406" s="6" t="str">
        <f>IFERROR(__xludf.DUMMYFUNCTION("""COMPUTED_VALUE"""),"нет")</f>
        <v>нет</v>
      </c>
      <c r="D406" s="6" t="str">
        <f>IFERROR(__xludf.DUMMYFUNCTION("""COMPUTED_VALUE"""),"Ленинский район, аналогично")</f>
        <v>Ленинский район, аналогично</v>
      </c>
      <c r="E406" s="6" t="str">
        <f>IFERROR(__xludf.DUMMYFUNCTION("""COMPUTED_VALUE"""),"бульвар строителей")</f>
        <v>бульвар строителей</v>
      </c>
      <c r="F406" s="6" t="str">
        <f>IFERROR(__xludf.DUMMYFUNCTION("""COMPUTED_VALUE"""),"Живу здесь с рождения")</f>
        <v>Живу здесь с рождения</v>
      </c>
      <c r="G406" s="6" t="str">
        <f>IFERROR(__xludf.DUMMYFUNCTION("""COMPUTED_VALUE"""),"набережная, парк Чудес, бульвар строителей, парк им. В. Волошиной, парк Победы")</f>
        <v>набережная, парк Чудес, бульвар строителей, парк им. В. Волошиной, парк Победы</v>
      </c>
      <c r="H406" s="6" t="str">
        <f>IFERROR(__xludf.DUMMYFUNCTION("""COMPUTED_VALUE"""),"стройка (в положительном аспекте), зелень, чистота, грязный воздух в центре")</f>
        <v>стройка (в положительном аспекте), зелень, чистота, грязный воздух в центре</v>
      </c>
      <c r="I406" s="6" t="str">
        <f>IFERROR(__xludf.DUMMYFUNCTION("""COMPUTED_VALUE"""),"Леонов, Михайло Волков")</f>
        <v>Леонов, Михайло Волков</v>
      </c>
      <c r="J406" s="6" t="str">
        <f>IFERROR(__xludf.DUMMYFUNCTION("""COMPUTED_VALUE"""),"Михайлов")</f>
        <v>Михайлов</v>
      </c>
      <c r="K406" s="6" t="str">
        <f>IFERROR(__xludf.DUMMYFUNCTION("""COMPUTED_VALUE"""),"красная горка")</f>
        <v>красная горка</v>
      </c>
      <c r="L406" s="6" t="str">
        <f>IFERROR(__xludf.DUMMYFUNCTION("""COMPUTED_VALUE"""),"не знаю")</f>
        <v>не знаю</v>
      </c>
      <c r="M406" s="6" t="str">
        <f>IFERROR(__xludf.DUMMYFUNCTION("""COMPUTED_VALUE"""),"нет")</f>
        <v>нет</v>
      </c>
      <c r="N406" s="6" t="str">
        <f>IFERROR(__xludf.DUMMYFUNCTION("""COMPUTED_VALUE"""),"развитая инфраструктура (школа рядом), чистота, озеленение, чистый воздух")</f>
        <v>развитая инфраструктура (школа рядом), чистота, озеленение, чистый воздух</v>
      </c>
      <c r="O406" s="6" t="str">
        <f>IFERROR(__xludf.DUMMYFUNCTION("""COMPUTED_VALUE"""),"уборка территорий от мусора, добавить мусорных баков, установить туалеты (открыть имеющиеся), озеленение, благоустройство аллей, парков (им. В.Волошиной, Кузбасский)")</f>
        <v>уборка территорий от мусора, добавить мусорных баков, установить туалеты (открыть имеющиеся), озеленение, благоустройство аллей, парков (им. В.Волошиной, Кузбасский)</v>
      </c>
      <c r="P406" s="6" t="str">
        <f>IFERROR(__xludf.DUMMYFUNCTION("""COMPUTED_VALUE"""),"инстаграм, контакт")</f>
        <v>инстаграм, контакт</v>
      </c>
      <c r="Q40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резу"&amp;"льтаты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406" s="6" t="str">
        <f>IFERROR(__xludf.DUMMYFUNCTION("""COMPUTED_VALUE"""),"день города, День Победы, ")</f>
        <v>день города, День Победы, </v>
      </c>
      <c r="S406" s="6" t="str">
        <f>IFERROR(__xludf.DUMMYFUNCTION("""COMPUTED_VALUE"""),"Нет, не приходилось")</f>
        <v>Нет, не приходилось</v>
      </c>
      <c r="T406" s="6" t="str">
        <f>IFERROR(__xludf.DUMMYFUNCTION("""COMPUTED_VALUE"""),"уникальность заключается в сочетании промышленных гигантов и уютного зеленого города, для гостей, сочетание возможности промышленного туризма и отдыха на природе")</f>
        <v>уникальность заключается в сочетании промышленных гигантов и уютного зеленого города, для гостей, сочетание возможности промышленного туризма и отдыха на природе</v>
      </c>
      <c r="U406" s="6" t="str">
        <f>IFERROR(__xludf.DUMMYFUNCTION("""COMPUTED_VALUE"""),"центр весенняя, бульвар строителей")</f>
        <v>центр весенняя, бульвар строителей</v>
      </c>
      <c r="V406" s="6" t="str">
        <f>IFERROR(__xludf.DUMMYFUNCTION("""COMPUTED_VALUE"""),"частые субботники, труд промышленников для развития города")</f>
        <v>частые субботники, труд промышленников для развития города</v>
      </c>
      <c r="W406" s="6" t="str">
        <f>IFERROR(__xludf.DUMMYFUNCTION("""COMPUTED_VALUE"""),"отзывчивые, сплоченные")</f>
        <v>отзывчивые, сплоченные</v>
      </c>
      <c r="X406" s="6" t="str">
        <f>IFERROR(__xludf.DUMMYFUNCTION("""COMPUTED_VALUE"""),"красная горка, центр, бульвар")</f>
        <v>красная горка, центр, бульвар</v>
      </c>
      <c r="Y406" s="6" t="str">
        <f>IFERROR(__xludf.DUMMYFUNCTION("""COMPUTED_VALUE"""),"не знаю")</f>
        <v>не знаю</v>
      </c>
      <c r="Z406" s="6" t="str">
        <f>IFERROR(__xludf.DUMMYFUNCTION("""COMPUTED_VALUE"""),"не запомнились")</f>
        <v>не запомнились</v>
      </c>
      <c r="AA406" s="6" t="str">
        <f>IFERROR(__xludf.DUMMYFUNCTION("""COMPUTED_VALUE"""),"Зимняя вишня")</f>
        <v>Зимняя вишня</v>
      </c>
      <c r="AB406" s="6" t="str">
        <f>IFERROR(__xludf.DUMMYFUNCTION("""COMPUTED_VALUE"""),"экологической направленности (субботники, переработка вещей), благотворительные")</f>
        <v>экологической направленности (субботники, переработка вещей), благотворительные</v>
      </c>
      <c r="AC406" s="6" t="str">
        <f>IFERROR(__xludf.DUMMYFUNCTION("""COMPUTED_VALUE"""),"события связанные с экологией, с историей края, промышленным туризмом, культурными мероприятиями")</f>
        <v>события связанные с экологией, с историей края, промышленным туризмом, культурными мероприятиями</v>
      </c>
      <c r="AD406" s="6" t="str">
        <f>IFERROR(__xludf.DUMMYFUNCTION("""COMPUTED_VALUE"""),"участник")</f>
        <v>участник</v>
      </c>
      <c r="AE406" s="6" t="str">
        <f>IFERROR(__xludf.DUMMYFUNCTION("""COMPUTED_VALUE"""),"Женский")</f>
        <v>Женский</v>
      </c>
      <c r="AF406" s="6" t="str">
        <f>IFERROR(__xludf.DUMMYFUNCTION("""COMPUTED_VALUE"""),"30-44")</f>
        <v>30-44</v>
      </c>
      <c r="AG406" s="6"/>
      <c r="AH406" s="6"/>
      <c r="AI406" s="6"/>
      <c r="AJ406" s="6"/>
      <c r="AK406" s="6"/>
      <c r="AL406" s="6"/>
      <c r="AM406" s="6"/>
    </row>
    <row r="407">
      <c r="A407" s="4">
        <v>406.0</v>
      </c>
      <c r="B407" s="6" t="str">
        <f>IFERROR(__xludf.DUMMYFUNCTION("""COMPUTED_VALUE"""),"работаю")</f>
        <v>работаю</v>
      </c>
      <c r="C407" s="6" t="str">
        <f>IFERROR(__xludf.DUMMYFUNCTION("""COMPUTED_VALUE"""),"шитье, йога")</f>
        <v>шитье, йога</v>
      </c>
      <c r="D407" s="6" t="str">
        <f>IFERROR(__xludf.DUMMYFUNCTION("""COMPUTED_VALUE"""),"ФПК")</f>
        <v>ФПК</v>
      </c>
      <c r="E407" s="6" t="str">
        <f>IFERROR(__xludf.DUMMYFUNCTION("""COMPUTED_VALUE"""),"парк около Гринвича, парк Новорожденных")</f>
        <v>парк около Гринвича, парк Новорожденных</v>
      </c>
      <c r="F407" s="6" t="str">
        <f>IFERROR(__xludf.DUMMYFUNCTION("""COMPUTED_VALUE"""),"Живу здесь с рождения")</f>
        <v>Живу здесь с рождения</v>
      </c>
      <c r="G407" s="6" t="str">
        <f>IFERROR(__xludf.DUMMYFUNCTION("""COMPUTED_VALUE"""),"Набережная р.Томь, Парк ангелов")</f>
        <v>Набережная р.Томь, Парк ангелов</v>
      </c>
      <c r="H407" s="6" t="str">
        <f>IFERROR(__xludf.DUMMYFUNCTION("""COMPUTED_VALUE"""),"уголь, Кузбасс, снег, грязь, клумбы с цветами")</f>
        <v>уголь, Кузбасс, снег, грязь, клумбы с цветами</v>
      </c>
      <c r="I407" s="6" t="str">
        <f>IFERROR(__xludf.DUMMYFUNCTION("""COMPUTED_VALUE"""),"Леонов, ")</f>
        <v>Леонов, </v>
      </c>
      <c r="J407" s="6" t="str">
        <f>IFERROR(__xludf.DUMMYFUNCTION("""COMPUTED_VALUE"""),"директор Томской Писаницы")</f>
        <v>директор Томской Писаницы</v>
      </c>
      <c r="K407" s="6" t="str">
        <f>IFERROR(__xludf.DUMMYFUNCTION("""COMPUTED_VALUE"""),"парк Ангелов, стелла память Шахтерам на Красной горке")</f>
        <v>парк Ангелов, стелла память Шахтерам на Красной горке</v>
      </c>
      <c r="L407" s="6" t="str">
        <f>IFERROR(__xludf.DUMMYFUNCTION("""COMPUTED_VALUE"""),"не знаю, увы")</f>
        <v>не знаю, увы</v>
      </c>
      <c r="M407" s="6" t="str">
        <f>IFERROR(__xludf.DUMMYFUNCTION("""COMPUTED_VALUE"""),"шибко")</f>
        <v>шибко</v>
      </c>
      <c r="N407" s="6" t="str">
        <f>IFERROR(__xludf.DUMMYFUNCTION("""COMPUTED_VALUE"""),"чистота, транспорт, экология, зелень, образование, работа")</f>
        <v>чистота, транспорт, экология, зелень, образование, работа</v>
      </c>
      <c r="O407" s="6" t="str">
        <f>IFERROR(__xludf.DUMMYFUNCTION("""COMPUTED_VALUE"""),"дороги")</f>
        <v>дороги</v>
      </c>
      <c r="P407" s="6" t="str">
        <f>IFERROR(__xludf.DUMMYFUNCTION("""COMPUTED_VALUE"""),"инстаграм, новости")</f>
        <v>инстаграм, новости</v>
      </c>
      <c r="Q407"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v>
      </c>
      <c r="R407" s="6" t="str">
        <f>IFERROR(__xludf.DUMMYFUNCTION("""COMPUTED_VALUE"""),"12 июня, День победы, день Шахтера")</f>
        <v>12 июня, День победы, день Шахтера</v>
      </c>
      <c r="S407" s="6" t="str">
        <f>IFERROR(__xludf.DUMMYFUNCTION("""COMPUTED_VALUE"""),"Нет, не приходилось")</f>
        <v>Нет, не приходилось</v>
      </c>
      <c r="T407" s="6" t="str">
        <f>IFERROR(__xludf.DUMMYFUNCTION("""COMPUTED_VALUE"""),"столица Кузбасса")</f>
        <v>столица Кузбасса</v>
      </c>
      <c r="U407" s="6" t="str">
        <f>IFERROR(__xludf.DUMMYFUNCTION("""COMPUTED_VALUE"""),"Набережная")</f>
        <v>Набережная</v>
      </c>
      <c r="V407" s="6" t="str">
        <f>IFERROR(__xludf.DUMMYFUNCTION("""COMPUTED_VALUE"""),"не знаю(")</f>
        <v>не знаю(</v>
      </c>
      <c r="W407" s="6" t="str">
        <f>IFERROR(__xludf.DUMMYFUNCTION("""COMPUTED_VALUE"""),"терпеливые, добрые")</f>
        <v>терпеливые, добрые</v>
      </c>
      <c r="X407" s="6" t="str">
        <f>IFERROR(__xludf.DUMMYFUNCTION("""COMPUTED_VALUE"""),"поездка в центр")</f>
        <v>поездка в центр</v>
      </c>
      <c r="Y407" s="6" t="str">
        <f>IFERROR(__xludf.DUMMYFUNCTION("""COMPUTED_VALUE"""),"создание парка Ангелов")</f>
        <v>создание парка Ангелов</v>
      </c>
      <c r="Z407" s="6" t="str">
        <f>IFERROR(__xludf.DUMMYFUNCTION("""COMPUTED_VALUE"""),"хор Турецкого на площади)")</f>
        <v>хор Турецкого на площади)</v>
      </c>
      <c r="AA407" s="6" t="str">
        <f>IFERROR(__xludf.DUMMYFUNCTION("""COMPUTED_VALUE"""),"дороги")</f>
        <v>дороги</v>
      </c>
      <c r="AB407" s="6" t="str">
        <f>IFERROR(__xludf.DUMMYFUNCTION("""COMPUTED_VALUE"""),"не знаю")</f>
        <v>не знаю</v>
      </c>
      <c r="AC407" s="6" t="str">
        <f>IFERROR(__xludf.DUMMYFUNCTION("""COMPUTED_VALUE"""),"бесплатные концерты на площадках")</f>
        <v>бесплатные концерты на площадках</v>
      </c>
      <c r="AD407" s="6" t="str">
        <f>IFERROR(__xludf.DUMMYFUNCTION("""COMPUTED_VALUE"""),"даже не знаю")</f>
        <v>даже не знаю</v>
      </c>
      <c r="AE407" s="6" t="str">
        <f>IFERROR(__xludf.DUMMYFUNCTION("""COMPUTED_VALUE"""),"Женский")</f>
        <v>Женский</v>
      </c>
      <c r="AF407" s="6" t="str">
        <f>IFERROR(__xludf.DUMMYFUNCTION("""COMPUTED_VALUE"""),"30-44")</f>
        <v>30-44</v>
      </c>
      <c r="AG407" s="6"/>
      <c r="AH407" s="6"/>
      <c r="AI407" s="6"/>
      <c r="AJ407" s="6"/>
      <c r="AK407" s="6"/>
      <c r="AL407" s="6"/>
      <c r="AM407" s="6"/>
    </row>
    <row r="408">
      <c r="A408" s="4">
        <v>407.0</v>
      </c>
      <c r="B408" s="6" t="str">
        <f>IFERROR(__xludf.DUMMYFUNCTION("""COMPUTED_VALUE"""),"библиотекарь")</f>
        <v>библиотекарь</v>
      </c>
      <c r="C408" s="6" t="str">
        <f>IFERROR(__xludf.DUMMYFUNCTION("""COMPUTED_VALUE"""),"цветоводство")</f>
        <v>цветоводство</v>
      </c>
      <c r="D408" s="6" t="str">
        <f>IFERROR(__xludf.DUMMYFUNCTION("""COMPUTED_VALUE"""),"Рудничный, Радуга")</f>
        <v>Рудничный, Радуга</v>
      </c>
      <c r="E408" s="6" t="str">
        <f>IFERROR(__xludf.DUMMYFUNCTION("""COMPUTED_VALUE"""),"Сосновый бор, Красная горка")</f>
        <v>Сосновый бор, Красная горка</v>
      </c>
      <c r="F408" s="6" t="str">
        <f>IFERROR(__xludf.DUMMYFUNCTION("""COMPUTED_VALUE"""),"Живу здесь с рождения")</f>
        <v>Живу здесь с рождения</v>
      </c>
      <c r="G408" s="6" t="str">
        <f>IFERROR(__xludf.DUMMYFUNCTION("""COMPUTED_VALUE"""),"Сосновый бор")</f>
        <v>Сосновый бор</v>
      </c>
      <c r="H408" s="6" t="str">
        <f>IFERROR(__xludf.DUMMYFUNCTION("""COMPUTED_VALUE"""),"Шахтёрский город, город-труженик, ")</f>
        <v>Шахтёрский город, город-труженик, </v>
      </c>
      <c r="I408" s="6" t="str">
        <f>IFERROR(__xludf.DUMMYFUNCTION("""COMPUTED_VALUE"""),"Михайло Волков, Рутгерс.")</f>
        <v>Михайло Волков, Рутгерс.</v>
      </c>
      <c r="J408" s="6" t="str">
        <f>IFERROR(__xludf.DUMMYFUNCTION("""COMPUTED_VALUE"""),"Мартемьянов, Леонов, Гришковец, Михайлов, Юров, Тулеев")</f>
        <v>Мартемьянов, Леонов, Гришковец, Михайлов, Юров, Тулеев</v>
      </c>
      <c r="K408" s="6" t="str">
        <f>IFERROR(__xludf.DUMMYFUNCTION("""COMPUTED_VALUE"""),"Красная горка, площадь Советов")</f>
        <v>Красная горка, площадь Советов</v>
      </c>
      <c r="L408" s="6" t="str">
        <f>IFERROR(__xludf.DUMMYFUNCTION("""COMPUTED_VALUE"""),"Уголек, как золото: и блестит и ценится.")</f>
        <v>Уголек, как золото: и блестит и ценится.</v>
      </c>
      <c r="M408" s="6" t="str">
        <f>IFERROR(__xludf.DUMMYFUNCTION("""COMPUTED_VALUE"""),"нет")</f>
        <v>нет</v>
      </c>
      <c r="N408" s="6" t="str">
        <f>IFERROR(__xludf.DUMMYFUNCTION("""COMPUTED_VALUE"""),"чистый воздух, благоустройство улиц, безопасность, развитость социальной инфраструктуры, удобство передвижения на транспорте")</f>
        <v>чистый воздух, благоустройство улиц, безопасность, развитость социальной инфраструктуры, удобство передвижения на транспорте</v>
      </c>
      <c r="O408" s="6" t="str">
        <f>IFERROR(__xludf.DUMMYFUNCTION("""COMPUTED_VALUE"""),"благоустроить улицы")</f>
        <v>благоустроить улицы</v>
      </c>
      <c r="P408" s="6" t="str">
        <f>IFERROR(__xludf.DUMMYFUNCTION("""COMPUTED_VALUE"""),"СМИ")</f>
        <v>СМИ</v>
      </c>
      <c r="Q408"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408" s="6" t="str">
        <f>IFERROR(__xludf.DUMMYFUNCTION("""COMPUTED_VALUE"""),"день города, день Победы")</f>
        <v>день города, день Победы</v>
      </c>
      <c r="S408" s="6" t="str">
        <f>IFERROR(__xludf.DUMMYFUNCTION("""COMPUTED_VALUE"""),"Нет, не приходилось")</f>
        <v>Нет, не приходилось</v>
      </c>
      <c r="T408" s="6" t="str">
        <f>IFERROR(__xludf.DUMMYFUNCTION("""COMPUTED_VALUE"""),"АИК ""Кузбасс""")</f>
        <v>АИК "Кузбасс"</v>
      </c>
      <c r="U408" s="6" t="str">
        <f>IFERROR(__xludf.DUMMYFUNCTION("""COMPUTED_VALUE"""),"Площадь Советов")</f>
        <v>Площадь Советов</v>
      </c>
      <c r="V408" s="6" t="str">
        <f>IFERROR(__xludf.DUMMYFUNCTION("""COMPUTED_VALUE"""),"Самоотверженно трудились")</f>
        <v>Самоотверженно трудились</v>
      </c>
      <c r="W408" s="6" t="str">
        <f>IFERROR(__xludf.DUMMYFUNCTION("""COMPUTED_VALUE"""),"ответственные, крепкие духом, мужественные")</f>
        <v>ответственные, крепкие духом, мужественные</v>
      </c>
      <c r="X408" s="6" t="str">
        <f>IFERROR(__xludf.DUMMYFUNCTION("""COMPUTED_VALUE"""),"Красная горка")</f>
        <v>Красная горка</v>
      </c>
      <c r="Y408" s="6" t="str">
        <f>IFERROR(__xludf.DUMMYFUNCTION("""COMPUTED_VALUE"""),"создание памятника Погибшим шахтерам")</f>
        <v>создание памятника Погибшим шахтерам</v>
      </c>
      <c r="Z408" s="6" t="str">
        <f>IFERROR(__xludf.DUMMYFUNCTION("""COMPUTED_VALUE"""),"никакие")</f>
        <v>никакие</v>
      </c>
      <c r="AA408" s="6" t="str">
        <f>IFERROR(__xludf.DUMMYFUNCTION("""COMPUTED_VALUE"""),"пожар в ""Зимней вишне""")</f>
        <v>пожар в "Зимней вишне"</v>
      </c>
      <c r="AB408" s="6" t="str">
        <f>IFERROR(__xludf.DUMMYFUNCTION("""COMPUTED_VALUE"""),"любых")</f>
        <v>любых</v>
      </c>
      <c r="AC408" s="6" t="str">
        <f>IFERROR(__xludf.DUMMYFUNCTION("""COMPUTED_VALUE"""),"интересных")</f>
        <v>интересных</v>
      </c>
      <c r="AD408" s="6" t="str">
        <f>IFERROR(__xludf.DUMMYFUNCTION("""COMPUTED_VALUE"""),"в качестве зрителя")</f>
        <v>в качестве зрителя</v>
      </c>
      <c r="AE408" s="6" t="str">
        <f>IFERROR(__xludf.DUMMYFUNCTION("""COMPUTED_VALUE"""),"Женский")</f>
        <v>Женский</v>
      </c>
      <c r="AF408" s="6" t="str">
        <f>IFERROR(__xludf.DUMMYFUNCTION("""COMPUTED_VALUE"""),"45-55")</f>
        <v>45-55</v>
      </c>
      <c r="AG408" s="6"/>
      <c r="AH408" s="6"/>
      <c r="AI408" s="6"/>
      <c r="AJ408" s="6"/>
      <c r="AK408" s="6"/>
      <c r="AL408" s="6"/>
      <c r="AM408" s="6"/>
    </row>
    <row r="409">
      <c r="A409" s="6">
        <v>408.0</v>
      </c>
      <c r="B409" s="6" t="str">
        <f>IFERROR(__xludf.DUMMYFUNCTION("""COMPUTED_VALUE"""),"работаю в образовании")</f>
        <v>работаю в образовании</v>
      </c>
      <c r="C409" s="6" t="str">
        <f>IFERROR(__xludf.DUMMYFUNCTION("""COMPUTED_VALUE"""),"спорт")</f>
        <v>спорт</v>
      </c>
      <c r="D409" s="6" t="str">
        <f>IFERROR(__xludf.DUMMYFUNCTION("""COMPUTED_VALUE"""),"Центральный район, спальный")</f>
        <v>Центральный район, спальный</v>
      </c>
      <c r="E409" s="6" t="str">
        <f>IFERROR(__xludf.DUMMYFUNCTION("""COMPUTED_VALUE"""),"район Красной горки")</f>
        <v>район Красной горки</v>
      </c>
      <c r="F409" s="6" t="str">
        <f>IFERROR(__xludf.DUMMYFUNCTION("""COMPUTED_VALUE"""),"Живу здесь с рождения")</f>
        <v>Живу здесь с рождения</v>
      </c>
      <c r="G409" s="6" t="str">
        <f>IFERROR(__xludf.DUMMYFUNCTION("""COMPUTED_VALUE"""),"гуляю по району")</f>
        <v>гуляю по району</v>
      </c>
      <c r="H409" s="6" t="str">
        <f>IFERROR(__xludf.DUMMYFUNCTION("""COMPUTED_VALUE"""),"родной, любимый. дорогой, грязный. некомфортный")</f>
        <v>родной, любимый. дорогой, грязный. некомфортный</v>
      </c>
      <c r="I409" s="6" t="str">
        <f>IFERROR(__xludf.DUMMYFUNCTION("""COMPUTED_VALUE"""),"М.Волков")</f>
        <v>М.Волков</v>
      </c>
      <c r="J409" s="6" t="str">
        <f>IFERROR(__xludf.DUMMYFUNCTION("""COMPUTED_VALUE"""),"И.Середюк")</f>
        <v>И.Середюк</v>
      </c>
      <c r="K409" s="6" t="str">
        <f>IFERROR(__xludf.DUMMYFUNCTION("""COMPUTED_VALUE"""),"музей ""Красная горка""")</f>
        <v>музей "Красная горка"</v>
      </c>
      <c r="L409" s="6" t="str">
        <f>IFERROR(__xludf.DUMMYFUNCTION("""COMPUTED_VALUE"""),"не знаю")</f>
        <v>не знаю</v>
      </c>
      <c r="M409" s="6" t="str">
        <f>IFERROR(__xludf.DUMMYFUNCTION("""COMPUTED_VALUE"""),"не знаю")</f>
        <v>не знаю</v>
      </c>
      <c r="N409" s="6" t="str">
        <f>IFERROR(__xludf.DUMMYFUNCTION("""COMPUTED_VALUE"""),"чистый, доступный, красивый, привлекательный, яркий")</f>
        <v>чистый, доступный, красивый, привлекательный, яркий</v>
      </c>
      <c r="O409" s="6" t="str">
        <f>IFERROR(__xludf.DUMMYFUNCTION("""COMPUTED_VALUE"""),"дороги")</f>
        <v>дороги</v>
      </c>
      <c r="P409" s="6" t="str">
        <f>IFERROR(__xludf.DUMMYFUNCTION("""COMPUTED_VALUE"""),"инстаграм")</f>
        <v>инстаграм</v>
      </c>
      <c r="Q409" s="6" t="str">
        <f>IFERROR(__xludf.DUMMYFUNCTION("""COMPUTED_VALUE"""),"куда пойти в свободное время, культурные новинки (что почитать/что послушать), результаты местных исследований (рейтинги/аналитика/тенденции)")</f>
        <v>куда пойти в свободное время, культурные новинки (что почитать/что послушать), результаты местных исследований (рейтинги/аналитика/тенденции)</v>
      </c>
      <c r="R409" s="6" t="str">
        <f>IFERROR(__xludf.DUMMYFUNCTION("""COMPUTED_VALUE"""),"день города")</f>
        <v>день города</v>
      </c>
      <c r="S409" s="6" t="str">
        <f>IFERROR(__xludf.DUMMYFUNCTION("""COMPUTED_VALUE"""),"Нет, не приходилось")</f>
        <v>Нет, не приходилось</v>
      </c>
      <c r="T409" s="6" t="str">
        <f>IFERROR(__xludf.DUMMYFUNCTION("""COMPUTED_VALUE"""),"не знаю")</f>
        <v>не знаю</v>
      </c>
      <c r="U409" s="6" t="str">
        <f>IFERROR(__xludf.DUMMYFUNCTION("""COMPUTED_VALUE"""),"площадь Советов")</f>
        <v>площадь Советов</v>
      </c>
      <c r="V409" s="6" t="str">
        <f>IFERROR(__xludf.DUMMYFUNCTION("""COMPUTED_VALUE"""),"не знаю")</f>
        <v>не знаю</v>
      </c>
      <c r="W409" s="6" t="str">
        <f>IFERROR(__xludf.DUMMYFUNCTION("""COMPUTED_VALUE"""),"грустные, злые, ")</f>
        <v>грустные, злые, </v>
      </c>
      <c r="X409" s="6" t="str">
        <f>IFERROR(__xludf.DUMMYFUNCTION("""COMPUTED_VALUE"""),"набережная Томи")</f>
        <v>набережная Томи</v>
      </c>
      <c r="Y409" s="6" t="str">
        <f>IFERROR(__xludf.DUMMYFUNCTION("""COMPUTED_VALUE"""),"не знаю")</f>
        <v>не знаю</v>
      </c>
      <c r="Z409" s="6" t="str">
        <f>IFERROR(__xludf.DUMMYFUNCTION("""COMPUTED_VALUE"""),"не знаю")</f>
        <v>не знаю</v>
      </c>
      <c r="AA409" s="6" t="str">
        <f>IFERROR(__xludf.DUMMYFUNCTION("""COMPUTED_VALUE"""),"безработица")</f>
        <v>безработица</v>
      </c>
      <c r="AB409" s="6" t="str">
        <f>IFERROR(__xludf.DUMMYFUNCTION("""COMPUTED_VALUE"""),"не знаю")</f>
        <v>не знаю</v>
      </c>
      <c r="AC409" s="6" t="str">
        <f>IFERROR(__xludf.DUMMYFUNCTION("""COMPUTED_VALUE"""),"рабочие места")</f>
        <v>рабочие места</v>
      </c>
      <c r="AD409" s="6" t="str">
        <f>IFERROR(__xludf.DUMMYFUNCTION("""COMPUTED_VALUE"""),"не знаю")</f>
        <v>не знаю</v>
      </c>
      <c r="AE409" s="6" t="str">
        <f>IFERROR(__xludf.DUMMYFUNCTION("""COMPUTED_VALUE"""),"Женский")</f>
        <v>Женский</v>
      </c>
      <c r="AF409" s="6" t="str">
        <f>IFERROR(__xludf.DUMMYFUNCTION("""COMPUTED_VALUE"""),"старше 55")</f>
        <v>старше 55</v>
      </c>
      <c r="AG409" s="6"/>
      <c r="AH409" s="6"/>
      <c r="AI409" s="6"/>
      <c r="AJ409" s="6"/>
      <c r="AK409" s="6"/>
      <c r="AL409" s="6"/>
      <c r="AM409" s="6"/>
    </row>
    <row r="410">
      <c r="A410" s="6">
        <v>409.0</v>
      </c>
      <c r="B410" s="6" t="str">
        <f>IFERROR(__xludf.DUMMYFUNCTION("""COMPUTED_VALUE"""),"служащий")</f>
        <v>служащий</v>
      </c>
      <c r="C410" s="6" t="str">
        <f>IFERROR(__xludf.DUMMYFUNCTION("""COMPUTED_VALUE"""),"да, огород")</f>
        <v>да, огород</v>
      </c>
      <c r="D410" s="6" t="str">
        <f>IFERROR(__xludf.DUMMYFUNCTION("""COMPUTED_VALUE"""),"г. Березовский")</f>
        <v>г. Березовский</v>
      </c>
      <c r="E410" s="6" t="str">
        <f>IFERROR(__xludf.DUMMYFUNCTION("""COMPUTED_VALUE"""),"бульвар Строителей")</f>
        <v>бульвар Строителей</v>
      </c>
      <c r="F410" s="6" t="str">
        <f>IFERROR(__xludf.DUMMYFUNCTION("""COMPUTED_VALUE"""),"Не живу,но приезжаю сюда (к родственникам/друзьям)")</f>
        <v>Не живу,но приезжаю сюда (к родственникам/друзьям)</v>
      </c>
      <c r="G410" s="6" t="str">
        <f>IFERROR(__xludf.DUMMYFUNCTION("""COMPUTED_VALUE"""),"бульвар Строителей")</f>
        <v>бульвар Строителей</v>
      </c>
      <c r="H410" s="6" t="str">
        <f>IFERROR(__xludf.DUMMYFUNCTION("""COMPUTED_VALUE"""),"черное небо, смог, грязь, новостройки")</f>
        <v>черное небо, смог, грязь, новостройки</v>
      </c>
      <c r="I410" s="6" t="str">
        <f>IFERROR(__xludf.DUMMYFUNCTION("""COMPUTED_VALUE"""),"Вера Волошина")</f>
        <v>Вера Волошина</v>
      </c>
      <c r="J410" s="6" t="str">
        <f>IFERROR(__xludf.DUMMYFUNCTION("""COMPUTED_VALUE"""),"Аман Тулеев")</f>
        <v>Аман Тулеев</v>
      </c>
      <c r="K410" s="6" t="str">
        <f>IFERROR(__xludf.DUMMYFUNCTION("""COMPUTED_VALUE"""),"Музей ""Красная горка""")</f>
        <v>Музей "Красная горка"</v>
      </c>
      <c r="L410" s="6" t="str">
        <f>IFERROR(__xludf.DUMMYFUNCTION("""COMPUTED_VALUE"""),"Уголь - заводам корм, дадим по пять норм.")</f>
        <v>Уголь - заводам корм, дадим по пять норм.</v>
      </c>
      <c r="M410" s="6" t="str">
        <f>IFERROR(__xludf.DUMMYFUNCTION("""COMPUTED_VALUE"""),"Кемас")</f>
        <v>Кемас</v>
      </c>
      <c r="N410" s="6" t="str">
        <f>IFERROR(__xludf.DUMMYFUNCTION("""COMPUTED_VALUE"""),"Чистый воздух,  улицы и дворы")</f>
        <v>Чистый воздух,  улицы и дворы</v>
      </c>
      <c r="O410" s="6" t="str">
        <f>IFERROR(__xludf.DUMMYFUNCTION("""COMPUTED_VALUE"""),"ввести строгий экологический контроль на предприятиях")</f>
        <v>ввести строгий экологический контроль на предприятиях</v>
      </c>
      <c r="P410" s="6" t="str">
        <f>IFERROR(__xludf.DUMMYFUNCTION("""COMPUTED_VALUE"""),"лента на яндексе")</f>
        <v>лента на яндексе</v>
      </c>
      <c r="Q410" s="6" t="str">
        <f>IFERROR(__xludf.DUMMYFUNCTION("""COMPUTED_VALUE"""),"культурные новинки (что почитать/что послушать), интервью с местными политиками")</f>
        <v>культурные новинки (что почитать/что послушать), интервью с местными политиками</v>
      </c>
      <c r="R410" s="6" t="str">
        <f>IFERROR(__xludf.DUMMYFUNCTION("""COMPUTED_VALUE"""),"День шахтера")</f>
        <v>День шахтера</v>
      </c>
      <c r="S410" s="6" t="str">
        <f>IFERROR(__xludf.DUMMYFUNCTION("""COMPUTED_VALUE"""),"Нет, не приходилось")</f>
        <v>Нет, не приходилось</v>
      </c>
      <c r="T410" s="6" t="str">
        <f>IFERROR(__xludf.DUMMYFUNCTION("""COMPUTED_VALUE"""),"знаменит пожаром в торговом центре ""Зимняя вишня""")</f>
        <v>знаменит пожаром в торговом центре "Зимняя вишня"</v>
      </c>
      <c r="U410" s="6" t="str">
        <f>IFERROR(__xludf.DUMMYFUNCTION("""COMPUTED_VALUE"""),"затрудняюсь ответить")</f>
        <v>затрудняюсь ответить</v>
      </c>
      <c r="V410" s="6" t="str">
        <f>IFERROR(__xludf.DUMMYFUNCTION("""COMPUTED_VALUE"""),"строили светлое будущее")</f>
        <v>строили светлое будущее</v>
      </c>
      <c r="W410" s="6" t="str">
        <f>IFERROR(__xludf.DUMMYFUNCTION("""COMPUTED_VALUE"""),"несчастные")</f>
        <v>несчастные</v>
      </c>
      <c r="X410" s="6" t="str">
        <f>IFERROR(__xludf.DUMMYFUNCTION("""COMPUTED_VALUE"""),"площадь Советов")</f>
        <v>площадь Советов</v>
      </c>
      <c r="Y410" s="6" t="str">
        <f>IFERROR(__xludf.DUMMYFUNCTION("""COMPUTED_VALUE"""),"пожар в ""Зимней вишне""")</f>
        <v>пожар в "Зимней вишне"</v>
      </c>
      <c r="Z410" s="6" t="str">
        <f>IFERROR(__xludf.DUMMYFUNCTION("""COMPUTED_VALUE"""),"Строительство новых спортивных объектов")</f>
        <v>Строительство новых спортивных объектов</v>
      </c>
      <c r="AA410" s="6" t="str">
        <f>IFERROR(__xludf.DUMMYFUNCTION("""COMPUTED_VALUE"""),"постоянный режим черного неба")</f>
        <v>постоянный режим черного неба</v>
      </c>
      <c r="AB410" s="6" t="str">
        <f>IFERROR(__xludf.DUMMYFUNCTION("""COMPUTED_VALUE"""),"затрудняюсь ответить")</f>
        <v>затрудняюсь ответить</v>
      </c>
      <c r="AC410" s="6" t="str">
        <f>IFERROR(__xludf.DUMMYFUNCTION("""COMPUTED_VALUE"""),"решение экологических проблем, повышение уровня жизни, доступные цены на занятия спортом, культурой и т.п.")</f>
        <v>решение экологических проблем, повышение уровня жизни, доступные цены на занятия спортом, культурой и т.п.</v>
      </c>
      <c r="AD410" s="6" t="str">
        <f>IFERROR(__xludf.DUMMYFUNCTION("""COMPUTED_VALUE"""),"затрудняюсь ответить")</f>
        <v>затрудняюсь ответить</v>
      </c>
      <c r="AE410" s="6" t="str">
        <f>IFERROR(__xludf.DUMMYFUNCTION("""COMPUTED_VALUE"""),"Женский")</f>
        <v>Женский</v>
      </c>
      <c r="AF410" s="6" t="str">
        <f>IFERROR(__xludf.DUMMYFUNCTION("""COMPUTED_VALUE"""),"30-44")</f>
        <v>30-44</v>
      </c>
      <c r="AG410" s="6"/>
      <c r="AH410" s="6"/>
      <c r="AI410" s="6"/>
      <c r="AJ410" s="6"/>
      <c r="AK410" s="6"/>
      <c r="AL410" s="6"/>
      <c r="AM410" s="6"/>
    </row>
    <row r="411">
      <c r="A411" s="6">
        <v>410.0</v>
      </c>
      <c r="B411" s="6" t="str">
        <f>IFERROR(__xludf.DUMMYFUNCTION("""COMPUTED_VALUE"""),"библиотекарь")</f>
        <v>библиотекарь</v>
      </c>
      <c r="C411" s="6" t="str">
        <f>IFERROR(__xludf.DUMMYFUNCTION("""COMPUTED_VALUE"""),"пишу стихи")</f>
        <v>пишу стихи</v>
      </c>
      <c r="D411" s="6" t="str">
        <f>IFERROR(__xludf.DUMMYFUNCTION("""COMPUTED_VALUE"""),"п. Южный")</f>
        <v>п. Южный</v>
      </c>
      <c r="E411" s="6" t="str">
        <f>IFERROR(__xludf.DUMMYFUNCTION("""COMPUTED_VALUE"""),"два огромных портрета Ю. Двужильного, В. Волошиной на торцах дома, стелла на улице Космической")</f>
        <v>два огромных портрета Ю. Двужильного, В. Волошиной на торцах дома, стелла на улице Космической</v>
      </c>
      <c r="F411" s="6" t="str">
        <f>IFERROR(__xludf.DUMMYFUNCTION("""COMPUTED_VALUE"""),"Переехал сюда из другого места (откуда? укажите в графе другое), из г. Таштагола")</f>
        <v>Переехал сюда из другого места (откуда? укажите в графе другое), из г. Таштагола</v>
      </c>
      <c r="G411" s="6" t="str">
        <f>IFERROR(__xludf.DUMMYFUNCTION("""COMPUTED_VALUE"""),"в Сосновый бор, набережная")</f>
        <v>в Сосновый бор, набережная</v>
      </c>
      <c r="H411" s="6" t="str">
        <f>IFERROR(__xludf.DUMMYFUNCTION("""COMPUTED_VALUE"""),"Милый, спокойный, уютный, провинциальный, зелёный")</f>
        <v>Милый, спокойный, уютный, провинциальный, зелёный</v>
      </c>
      <c r="I411" s="6" t="str">
        <f>IFERROR(__xludf.DUMMYFUNCTION("""COMPUTED_VALUE"""),"В.В. Михайлов, И. А. Балибалов, М. А. Подгорбунский")</f>
        <v>В.В. Михайлов, И. А. Балибалов, М. А. Подгорбунский</v>
      </c>
      <c r="J411" s="6" t="str">
        <f>IFERROR(__xludf.DUMMYFUNCTION("""COMPUTED_VALUE"""),"Е. Гришковец, А. Леонов")</f>
        <v>Е. Гришковец, А. Леонов</v>
      </c>
      <c r="K411" s="6" t="str">
        <f>IFERROR(__xludf.DUMMYFUNCTION("""COMPUTED_VALUE"""),"музей-заповедник ""Красная горка""")</f>
        <v>музей-заповедник "Красная горка"</v>
      </c>
      <c r="L411" s="6" t="str">
        <f>IFERROR(__xludf.DUMMYFUNCTION("""COMPUTED_VALUE"""),"-")</f>
        <v>-</v>
      </c>
      <c r="M411" s="6" t="str">
        <f>IFERROR(__xludf.DUMMYFUNCTION("""COMPUTED_VALUE"""),"-")</f>
        <v>-</v>
      </c>
      <c r="N411" s="6" t="str">
        <f>IFERROR(__xludf.DUMMYFUNCTION("""COMPUTED_VALUE"""),"развитая транспортная сеть, доступная медицина, разнообразие детских образовательных учреждений, чистота города, рабочие места")</f>
        <v>развитая транспортная сеть, доступная медицина, разнообразие детских образовательных учреждений, чистота города, рабочие места</v>
      </c>
      <c r="O411" s="6" t="str">
        <f>IFERROR(__xludf.DUMMYFUNCTION("""COMPUTED_VALUE"""),"парковки у современных домов слишком маленькие (поэтому автомобили стоят на тротуарах, газонах, детских площадках)")</f>
        <v>парковки у современных домов слишком маленькие (поэтому автомобили стоят на тротуарах, газонах, детских площадках)</v>
      </c>
      <c r="P411" s="6" t="str">
        <f>IFERROR(__xludf.DUMMYFUNCTION("""COMPUTED_VALUE"""),"по местным новостям, на работе")</f>
        <v>по местным новостям, на работе</v>
      </c>
      <c r="Q411"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(рейтинг"&amp;"и/аналитика/тенденции),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411" s="6" t="str">
        <f>IFERROR(__xludf.DUMMYFUNCTION("""COMPUTED_VALUE"""),"9 мая, День города, День города")</f>
        <v>9 мая, День города, День города</v>
      </c>
      <c r="S411" s="6" t="str">
        <f>IFERROR(__xludf.DUMMYFUNCTION("""COMPUTED_VALUE"""),"Нет, не приходилось")</f>
        <v>Нет, не приходилось</v>
      </c>
      <c r="T411" s="6" t="str">
        <f>IFERROR(__xludf.DUMMYFUNCTION("""COMPUTED_VALUE"""),"своей ""химической"" историей ")</f>
        <v>своей "химической" историей </v>
      </c>
      <c r="U411" s="6" t="str">
        <f>IFERROR(__xludf.DUMMYFUNCTION("""COMPUTED_VALUE"""),"для меня центр - там где стоит драмтеатр (у фонтана)")</f>
        <v>для меня центр - там где стоит драмтеатр (у фонтана)</v>
      </c>
      <c r="V411" s="6" t="str">
        <f>IFERROR(__xludf.DUMMYFUNCTION("""COMPUTED_VALUE"""),"проводили субботники, облагораживая город")</f>
        <v>проводили субботники, облагораживая город</v>
      </c>
      <c r="W411" s="6" t="str">
        <f>IFERROR(__xludf.DUMMYFUNCTION("""COMPUTED_VALUE"""),"спокойные, доброжелательные, гостеприимные")</f>
        <v>спокойные, доброжелательные, гостеприимные</v>
      </c>
      <c r="X411" s="6" t="str">
        <f>IFERROR(__xludf.DUMMYFUNCTION("""COMPUTED_VALUE"""),"набережная")</f>
        <v>набережная</v>
      </c>
      <c r="Y411" s="6" t="str">
        <f>IFERROR(__xludf.DUMMYFUNCTION("""COMPUTED_VALUE"""),"АИК Кузбасс")</f>
        <v>АИК Кузбасс</v>
      </c>
      <c r="Z411" s="6" t="str">
        <f>IFERROR(__xludf.DUMMYFUNCTION("""COMPUTED_VALUE"""),"рок-фестиваль")</f>
        <v>рок-фестиваль</v>
      </c>
      <c r="AA411" s="6" t="str">
        <f>IFERROR(__xludf.DUMMYFUNCTION("""COMPUTED_VALUE"""),"-")</f>
        <v>-</v>
      </c>
      <c r="AB411" s="6" t="str">
        <f>IFERROR(__xludf.DUMMYFUNCTION("""COMPUTED_VALUE"""),"-")</f>
        <v>-</v>
      </c>
      <c r="AC411" s="6" t="str">
        <f>IFERROR(__xludf.DUMMYFUNCTION("""COMPUTED_VALUE"""),"побольше зрелищных мероприятий для современной молодёжи")</f>
        <v>побольше зрелищных мероприятий для современной молодёжи</v>
      </c>
      <c r="AD411" s="6" t="str">
        <f>IFERROR(__xludf.DUMMYFUNCTION("""COMPUTED_VALUE"""),"могу выйти на субботник, могу помочь в проведении городских мероприятий")</f>
        <v>могу выйти на субботник, могу помочь в проведении городских мероприятий</v>
      </c>
      <c r="AE411" s="6" t="str">
        <f>IFERROR(__xludf.DUMMYFUNCTION("""COMPUTED_VALUE"""),"Женский")</f>
        <v>Женский</v>
      </c>
      <c r="AF411" s="6" t="str">
        <f>IFERROR(__xludf.DUMMYFUNCTION("""COMPUTED_VALUE"""),"45-55")</f>
        <v>45-55</v>
      </c>
      <c r="AG411" s="6"/>
      <c r="AH411" s="6"/>
      <c r="AI411" s="6"/>
      <c r="AJ411" s="6"/>
      <c r="AK411" s="6"/>
      <c r="AL411" s="6"/>
      <c r="AM411" s="6"/>
    </row>
    <row r="412">
      <c r="A412" s="6">
        <v>411.0</v>
      </c>
      <c r="B412" s="6" t="str">
        <f>IFERROR(__xludf.DUMMYFUNCTION("""COMPUTED_VALUE"""),"Торговля")</f>
        <v>Торговля</v>
      </c>
      <c r="C412" s="6" t="str">
        <f>IFERROR(__xludf.DUMMYFUNCTION("""COMPUTED_VALUE"""),"Футбол, мотоцикл")</f>
        <v>Футбол, мотоцикл</v>
      </c>
      <c r="D412" s="6" t="str">
        <f>IFERROR(__xludf.DUMMYFUNCTION("""COMPUTED_VALUE"""),"Ленинский, Ленинский")</f>
        <v>Ленинский, Ленинский</v>
      </c>
      <c r="E412" s="6" t="str">
        <f>IFERROR(__xludf.DUMMYFUNCTION("""COMPUTED_VALUE"""),"Бульвар Строителей")</f>
        <v>Бульвар Строителей</v>
      </c>
      <c r="F412" s="6" t="str">
        <f>IFERROR(__xludf.DUMMYFUNCTION("""COMPUTED_VALUE"""),"Живу здесь с рождения")</f>
        <v>Живу здесь с рождения</v>
      </c>
      <c r="G412" s="6" t="str">
        <f>IFERROR(__xludf.DUMMYFUNCTION("""COMPUTED_VALUE"""),"Бульвар Строителей, набережная в Центре")</f>
        <v>Бульвар Строителей, набережная в Центре</v>
      </c>
      <c r="H412" s="6" t="str">
        <f>IFERROR(__xludf.DUMMYFUNCTION("""COMPUTED_VALUE"""),"Столица, Уголь, Администрация, движение грузовиков, спорт")</f>
        <v>Столица, Уголь, Администрация, движение грузовиков, спорт</v>
      </c>
      <c r="I412" s="6" t="str">
        <f>IFERROR(__xludf.DUMMYFUNCTION("""COMPUTED_VALUE"""),"Кислюк, Раздаев, Тулеев, Леонов")</f>
        <v>Кислюк, Раздаев, Тулеев, Леонов</v>
      </c>
      <c r="J412" s="6" t="str">
        <f>IFERROR(__xludf.DUMMYFUNCTION("""COMPUTED_VALUE"""),"Михайлов В.В., ")</f>
        <v>Михайлов В.В., </v>
      </c>
      <c r="K412" s="6" t="str">
        <f>IFERROR(__xludf.DUMMYFUNCTION("""COMPUTED_VALUE"""),"Красная Горка")</f>
        <v>Красная Горка</v>
      </c>
      <c r="L412" s="6" t="str">
        <f>IFERROR(__xludf.DUMMYFUNCTION("""COMPUTED_VALUE"""),"Здесь будет Город Химик")</f>
        <v>Здесь будет Город Химик</v>
      </c>
      <c r="M412" s="6" t="str">
        <f>IFERROR(__xludf.DUMMYFUNCTION("""COMPUTED_VALUE"""),"Кемерунцы")</f>
        <v>Кемерунцы</v>
      </c>
      <c r="N412" s="6" t="str">
        <f>IFERROR(__xludf.DUMMYFUNCTION("""COMPUTED_VALUE"""),"Чистота, дороги, экология, удобства для всех участников движения, дворы ")</f>
        <v>Чистота, дороги, экология, удобства для всех участников движения, дворы </v>
      </c>
      <c r="O412" s="6" t="str">
        <f>IFERROR(__xludf.DUMMYFUNCTION("""COMPUTED_VALUE"""),"Дороги, дворы, отремонтировать фасады домов")</f>
        <v>Дороги, дворы, отремонтировать фасады домов</v>
      </c>
      <c r="P412" s="6" t="str">
        <f>IFERROR(__xludf.DUMMYFUNCTION("""COMPUTED_VALUE"""),"Интернет, история ")</f>
        <v>Интернет, история </v>
      </c>
      <c r="Q41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новости про новые профессии/куда поступать/вакансии,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интервью с экспертами на разные темы (напишите в разделе Другое свои предложения)</v>
      </c>
      <c r="R412" s="6" t="str">
        <f>IFERROR(__xludf.DUMMYFUNCTION("""COMPUTED_VALUE"""),"9 мая и день Шахтера")</f>
        <v>9 мая и день Шахтера</v>
      </c>
      <c r="S412" s="6" t="str">
        <f>IFERROR(__xludf.DUMMYFUNCTION("""COMPUTED_VALUE"""),"Да- мотофестиваль")</f>
        <v>Да- мотофестиваль</v>
      </c>
      <c r="T412" s="6" t="str">
        <f>IFERROR(__xludf.DUMMYFUNCTION("""COMPUTED_VALUE"""),"История и люди")</f>
        <v>История и люди</v>
      </c>
      <c r="U412" s="6" t="str">
        <f>IFERROR(__xludf.DUMMYFUNCTION("""COMPUTED_VALUE"""),"Набережная")</f>
        <v>Набережная</v>
      </c>
      <c r="V412" s="6" t="str">
        <f>IFERROR(__xludf.DUMMYFUNCTION("""COMPUTED_VALUE"""),"Историю")</f>
        <v>Историю</v>
      </c>
      <c r="W412" s="6" t="str">
        <f>IFERROR(__xludf.DUMMYFUNCTION("""COMPUTED_VALUE"""),"Отзывчивые и крепкие")</f>
        <v>Отзывчивые и крепкие</v>
      </c>
      <c r="X412" s="6" t="str">
        <f>IFERROR(__xludf.DUMMYFUNCTION("""COMPUTED_VALUE"""),"Набережная ")</f>
        <v>Набережная </v>
      </c>
      <c r="Y412" s="6" t="str">
        <f>IFERROR(__xludf.DUMMYFUNCTION("""COMPUTED_VALUE"""),"Чемпионат мира по хоккею с мячем")</f>
        <v>Чемпионат мира по хоккею с мячем</v>
      </c>
      <c r="Z412" s="6" t="str">
        <f>IFERROR(__xludf.DUMMYFUNCTION("""COMPUTED_VALUE"""),"9 мая")</f>
        <v>9 мая</v>
      </c>
      <c r="AA412" s="6" t="str">
        <f>IFERROR(__xludf.DUMMYFUNCTION("""COMPUTED_VALUE"""),"Экология")</f>
        <v>Экология</v>
      </c>
      <c r="AB412" s="6" t="str">
        <f>IFERROR(__xludf.DUMMYFUNCTION("""COMPUTED_VALUE"""),"Хватает")</f>
        <v>Хватает</v>
      </c>
      <c r="AC412" s="6" t="str">
        <f>IFERROR(__xludf.DUMMYFUNCTION("""COMPUTED_VALUE"""),"Культурно спортивные")</f>
        <v>Культурно спортивные</v>
      </c>
      <c r="AD412" s="6" t="str">
        <f>IFERROR(__xludf.DUMMYFUNCTION("""COMPUTED_VALUE"""),"Эксперт")</f>
        <v>Эксперт</v>
      </c>
      <c r="AE412" s="6" t="str">
        <f>IFERROR(__xludf.DUMMYFUNCTION("""COMPUTED_VALUE"""),"Мужской")</f>
        <v>Мужской</v>
      </c>
      <c r="AF412" s="6" t="str">
        <f>IFERROR(__xludf.DUMMYFUNCTION("""COMPUTED_VALUE"""),"45-55")</f>
        <v>45-55</v>
      </c>
      <c r="AG412" s="6"/>
      <c r="AH412" s="6"/>
      <c r="AI412" s="6"/>
      <c r="AJ412" s="6"/>
      <c r="AK412" s="6"/>
      <c r="AL412" s="6"/>
      <c r="AM412" s="6"/>
    </row>
    <row r="413">
      <c r="A413" s="6">
        <v>412.0</v>
      </c>
      <c r="B413" s="6" t="str">
        <f>IFERROR(__xludf.DUMMYFUNCTION("""COMPUTED_VALUE"""),"Бюджетный работник")</f>
        <v>Бюджетный работник</v>
      </c>
      <c r="C413" s="6" t="str">
        <f>IFERROR(__xludf.DUMMYFUNCTION("""COMPUTED_VALUE"""),"Кататься на велосипеде")</f>
        <v>Кататься на велосипеде</v>
      </c>
      <c r="D413" s="6" t="str">
        <f>IFERROR(__xludf.DUMMYFUNCTION("""COMPUTED_VALUE"""),"Живу в заводском / по факту - центральный")</f>
        <v>Живу в заводском / по факту - центральный</v>
      </c>
      <c r="E413" s="6" t="str">
        <f>IFERROR(__xludf.DUMMYFUNCTION("""COMPUTED_VALUE"""),"Парк Ангелов, Парк на Коммунистической, Площадь Волкова, Вокзал, Парк Антошка, Парк Жукова")</f>
        <v>Парк Ангелов, Парк на Коммунистической, Площадь Волкова, Вокзал, Парк Антошка, Парк Жукова</v>
      </c>
      <c r="F413" s="6" t="str">
        <f>IFERROR(__xludf.DUMMYFUNCTION("""COMPUTED_VALUE"""),"Живу здесь с рождения")</f>
        <v>Живу здесь с рождения</v>
      </c>
      <c r="G413" s="6" t="str">
        <f>IFERROR(__xludf.DUMMYFUNCTION("""COMPUTED_VALUE"""),"Парк Антошка, Парк Жукова")</f>
        <v>Парк Антошка, Парк Жукова</v>
      </c>
      <c r="H413" s="6" t="str">
        <f>IFERROR(__xludf.DUMMYFUNCTION("""COMPUTED_VALUE"""),"квадратиш, практиш, гуд, уютный, родной")</f>
        <v>квадратиш, практиш, гуд, уютный, родной</v>
      </c>
      <c r="I413" s="6" t="str">
        <f>IFERROR(__xludf.DUMMYFUNCTION("""COMPUTED_VALUE"""),"Михайло Волков, Рутгерс, Абызов, Вера Волошина, ")</f>
        <v>Михайло Волков, Рутгерс, Абызов, Вера Волошина, </v>
      </c>
      <c r="J413" s="6" t="str">
        <f>IFERROR(__xludf.DUMMYFUNCTION("""COMPUTED_VALUE"""),"А.Г. Тулеев, Е.Гришковец, В.В. Михалов")</f>
        <v>А.Г. Тулеев, Е.Гришковец, В.В. Михалов</v>
      </c>
      <c r="K413" s="6" t="str">
        <f>IFERROR(__xludf.DUMMYFUNCTION("""COMPUTED_VALUE"""),"Парк Ангелов, Площадь Волкова, ул.Дзержинского (старый центр), Аллея на Весенней, Набережная и монумент войнам, погибшим в ВОВ, Парк чудес, Площадь Пушкина. Набережная кировского района, памятник солдату и девочке на набережной кировского, Красная Горка, "&amp;"Памятник Шахтеру Э.Неизвестного, Томская Писаница, Сосновый бор.")</f>
        <v>Парк Ангелов, Площадь Волкова, ул.Дзержинского (старый центр), Аллея на Весенней, Набережная и монумент войнам, погибшим в ВОВ, Парк чудес, Площадь Пушкина. Набережная кировского района, памятник солдату и девочке на набережной кировского, Красная Горка, Памятник Шахтеру Э.Неизвестного, Томская Писаница, Сосновый бор.</v>
      </c>
      <c r="L413" s="6" t="str">
        <f>IFERROR(__xludf.DUMMYFUNCTION("""COMPUTED_VALUE"""),"В гостях хорошо, а дома лучше. Люди говорят, зря не скажут. Без труда не вытащишь и рыбку из пруда. Жить — родине служить. Врет и глазом не моргнет.")</f>
        <v>В гостях хорошо, а дома лучше. Люди говорят, зря не скажут. Без труда не вытащишь и рыбку из пруда. Жить — родине служить. Врет и глазом не моргнет.</v>
      </c>
      <c r="M413" s="6" t="str">
        <f>IFERROR(__xludf.DUMMYFUNCTION("""COMPUTED_VALUE"""),"южный - никому не нужный; весенька (ул. Весенняя); песчанка (пляж на Томи в районе лодочной станции); Антошка - ПКиО Антошка")</f>
        <v>южный - никому не нужный; весенька (ул. Весенняя); песчанка (пляж на Томи в районе лодочной станции); Антошка - ПКиО Антошка</v>
      </c>
      <c r="N413" s="6" t="str">
        <f>IFERROR(__xludf.DUMMYFUNCTION("""COMPUTED_VALUE"""),"ЭКОЛОГИЯ!!!! Чистота; увеличение доступных мест отдыха; транспортное сообщение международное/междугороднее, реализация (в работе, в хобби и т.д.)  ")</f>
        <v>ЭКОЛОГИЯ!!!! Чистота; увеличение доступных мест отдыха; транспортное сообщение международное/междугороднее, реализация (в работе, в хобби и т.д.)  </v>
      </c>
      <c r="O413" s="6" t="str">
        <f>IFERROR(__xludf.DUMMYFUNCTION("""COMPUTED_VALUE"""),"Отремонтировать пешеходные зоны (особенно около банка ВТБ на ост.Фабричная, где словно мина взорвалась), Вернуть былое озеленение, отремонтировать дома НЕ ТОЛЬКО С ФАСАДА, но и со дворов.")</f>
        <v>Отремонтировать пешеходные зоны (особенно около банка ВТБ на ост.Фабричная, где словно мина взорвалась), Вернуть былое озеленение, отремонтировать дома НЕ ТОЛЬКО С ФАСАДА, но и со дворов.</v>
      </c>
      <c r="P413" s="6" t="str">
        <f>IFERROR(__xludf.DUMMYFUNCTION("""COMPUTED_VALUE"""),"Instagram паблики про Кемерово и Кузбасс")</f>
        <v>Instagram паблики про Кемерово и Кузбасс</v>
      </c>
      <c r="Q413"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413" s="6" t="str">
        <f>IFERROR(__xludf.DUMMYFUNCTION("""COMPUTED_VALUE"""),"И для меня и для других: 9 Мая, 12 июня - День города, День Шахтеров.")</f>
        <v>И для меня и для других: 9 Мая, 12 июня - День города, День Шахтеров.</v>
      </c>
      <c r="S413" s="6" t="str">
        <f>IFERROR(__xludf.DUMMYFUNCTION("""COMPUTED_VALUE"""),"Обращался в редакции городских газет, телевидения, радио")</f>
        <v>Обращался в редакции городских газет, телевидения, радио</v>
      </c>
      <c r="T413" s="6" t="str">
        <f>IFERROR(__xludf.DUMMYFUNCTION("""COMPUTED_VALUE"""),"уголь, Тулеев А.Г., музей-заповедник Томская Писаница, Красная горка, город-спутник Лесная поляна, Сосновый бор.")</f>
        <v>уголь, Тулеев А.Г., музей-заповедник Томская Писаница, Красная горка, город-спутник Лесная поляна, Сосновый бор.</v>
      </c>
      <c r="U413" s="6" t="str">
        <f>IFERROR(__xludf.DUMMYFUNCTION("""COMPUTED_VALUE"""),"Площадь Советов, Набережная, Аллея на Весенней.")</f>
        <v>Площадь Советов, Набережная, Аллея на Весенней.</v>
      </c>
      <c r="V413" s="6" t="str">
        <f>IFERROR(__xludf.DUMMYFUNCTION("""COMPUTED_VALUE"""),"построили комфортный город из частного сектора, достаточно развитая инфраструктура")</f>
        <v>построили комфортный город из частного сектора, достаточно развитая инфраструктура</v>
      </c>
      <c r="W413" s="6" t="str">
        <f>IFERROR(__xludf.DUMMYFUNCTION("""COMPUTED_VALUE"""),"Разные, как и во всей России. Меня окружают отзывчивые и добрые, но встречаются и совсем обратные. Суровые, редко улыбающиеся сибиряки.")</f>
        <v>Разные, как и во всей России. Меня окружают отзывчивые и добрые, но встречаются и совсем обратные. Суровые, редко улыбающиеся сибиряки.</v>
      </c>
      <c r="X413" s="6" t="str">
        <f>IFERROR(__xludf.DUMMYFUNCTION("""COMPUTED_VALUE"""),"Описала выше:  Парк Ангелов, Площадь Волкова, ул.Дзержинского (старый центр), Аллея на Весенней, Набережная и монумент войнам, погибшим в ВОВ, Парк чудес, Площадь Пушкина. Набережная кировского района, памятник солдату и девочке на набережной кировского, "&amp;"Красная Горка, Памятник Шахтеру Э.Неизвестного")</f>
        <v>Описала выше:  Парк Ангелов, Площадь Волкова, ул.Дзержинского (старый центр), Аллея на Весенней, Набережная и монумент войнам, погибшим в ВОВ, Парк чудес, Площадь Пушкина. Набережная кировского района, памятник солдату и девочке на набережной кировского, Красная Горка, Памятник Шахтеру Э.Неизвестного</v>
      </c>
      <c r="Y413" s="6" t="str">
        <f>IFERROR(__xludf.DUMMYFUNCTION("""COMPUTED_VALUE"""),"Строительство Кемеровского Президентского Кадетского Училища, В перспективе открытие Ледовой арены, СК «Кузбасс-Арена», Театра оперы и балета, набережной.")</f>
        <v>Строительство Кемеровского Президентского Кадетского Училища, В перспективе открытие Ледовой арены, СК «Кузбасс-Арена», Театра оперы и балета, набережной.</v>
      </c>
      <c r="Z413" s="6" t="str">
        <f>IFERROR(__xludf.DUMMYFUNCTION("""COMPUTED_VALUE"""),"открытие парка Ангелов, к/т Юбилейного.")</f>
        <v>открытие парка Ангелов, к/т Юбилейного.</v>
      </c>
      <c r="AA413" s="6" t="str">
        <f>IFERROR(__xludf.DUMMYFUNCTION("""COMPUTED_VALUE"""),"Зимняя вишня и все , что с ней связано")</f>
        <v>Зимняя вишня и все , что с ней связано</v>
      </c>
      <c r="AB413" s="6" t="str">
        <f>IFERROR(__xludf.DUMMYFUNCTION("""COMPUTED_VALUE"""),"площадок коворкинга, женских сообществ (для развития себя, занятий хобби, обучения новым профессиям, как повышение квалификации), детских ОБЩЕДОСТУПНЫХ, а не платных.")</f>
        <v>площадок коворкинга, женских сообществ (для развития себя, занятий хобби, обучения новым профессиям, как повышение квалификации), детских ОБЩЕДОСТУПНЫХ, а не платных.</v>
      </c>
      <c r="AC413" s="6" t="str">
        <f>IFERROR(__xludf.DUMMYFUNCTION("""COMPUTED_VALUE"""),"Развлекательно-массовые мероприятия в выходные на общих пространствах (не в ""Клумбах""  и прочее, а как раньше, на пл.Советов, например, в Кузбасском парке, в парке Жукова, Антошка). 
Концерты приглашенных звезд.
Открытие сообществ по интересам.")</f>
        <v>Развлекательно-массовые мероприятия в выходные на общих пространствах (не в "Клумбах"  и прочее, а как раньше, на пл.Советов, например, в Кузбасском парке, в парке Жукова, Антошка). 
Концерты приглашенных звезд.
Открытие сообществ по интересам.</v>
      </c>
      <c r="AD413" s="6" t="str">
        <f>IFERROR(__xludf.DUMMYFUNCTION("""COMPUTED_VALUE"""),"Как житель")</f>
        <v>Как житель</v>
      </c>
      <c r="AE413" s="6" t="str">
        <f>IFERROR(__xludf.DUMMYFUNCTION("""COMPUTED_VALUE"""),"Женский")</f>
        <v>Женский</v>
      </c>
      <c r="AF413" s="6" t="str">
        <f>IFERROR(__xludf.DUMMYFUNCTION("""COMPUTED_VALUE"""),"30-44")</f>
        <v>30-44</v>
      </c>
      <c r="AG413" s="6"/>
      <c r="AH413" s="6"/>
      <c r="AI413" s="6"/>
      <c r="AJ413" s="6"/>
      <c r="AK413" s="6"/>
      <c r="AL413" s="6"/>
      <c r="AM413" s="6"/>
    </row>
    <row r="414">
      <c r="A414" s="6">
        <v>413.0</v>
      </c>
      <c r="B414" s="6" t="str">
        <f>IFERROR(__xludf.DUMMYFUNCTION("""COMPUTED_VALUE"""),"SMM")</f>
        <v>SMM</v>
      </c>
      <c r="C414" s="6" t="str">
        <f>IFERROR(__xludf.DUMMYFUNCTION("""COMPUTED_VALUE"""),"английский, йога")</f>
        <v>английский, йога</v>
      </c>
      <c r="D414" s="6" t="str">
        <f>IFERROR(__xludf.DUMMYFUNCTION("""COMPUTED_VALUE"""),"Центральный, Притомский ")</f>
        <v>Центральный, Притомский </v>
      </c>
      <c r="E414" s="6" t="str">
        <f>IFERROR(__xludf.DUMMYFUNCTION("""COMPUTED_VALUE"""),"площадь советов")</f>
        <v>площадь советов</v>
      </c>
      <c r="F414" s="6" t="str">
        <f>IFERROR(__xludf.DUMMYFUNCTION("""COMPUTED_VALUE"""),"Живу здесь с рождения")</f>
        <v>Живу здесь с рождения</v>
      </c>
      <c r="G414" s="6" t="str">
        <f>IFERROR(__xludf.DUMMYFUNCTION("""COMPUTED_VALUE"""),"некуда ходить особо, в Парк Жукова только если ")</f>
        <v>некуда ходить особо, в Парк Жукова только если </v>
      </c>
      <c r="H414" s="6" t="str">
        <f>IFERROR(__xludf.DUMMYFUNCTION("""COMPUTED_VALUE"""),"черное небо, серость, стройка")</f>
        <v>черное небо, серость, стройка</v>
      </c>
      <c r="I414" s="6" t="str">
        <f>IFERROR(__xludf.DUMMYFUNCTION("""COMPUTED_VALUE"""),"Волков?")</f>
        <v>Волков?</v>
      </c>
      <c r="J414" s="6" t="str">
        <f>IFERROR(__xludf.DUMMYFUNCTION("""COMPUTED_VALUE"""),"не знаю таких")</f>
        <v>не знаю таких</v>
      </c>
      <c r="K414" s="6" t="str">
        <f>IFERROR(__xludf.DUMMYFUNCTION("""COMPUTED_VALUE"""),"бульвар строителей, училище президентское ")</f>
        <v>бульвар строителей, училище президентское </v>
      </c>
      <c r="L414" s="6" t="str">
        <f>IFERROR(__xludf.DUMMYFUNCTION("""COMPUTED_VALUE"""),"не знаю таких")</f>
        <v>не знаю таких</v>
      </c>
      <c r="M414" s="6" t="str">
        <f>IFERROR(__xludf.DUMMYFUNCTION("""COMPUTED_VALUE"""),"нет")</f>
        <v>нет</v>
      </c>
      <c r="N414" s="6" t="str">
        <f>IFERROR(__xludf.DUMMYFUNCTION("""COMPUTED_VALUE"""),"НАЛИЧИЕ ТРАНСПОРТА, РАБОТА С НОРМАЛЬНОЙ ЗАРПЛАТОЙ,ЭКОЛОГИЯ, ДЕШЕВЫЕ БИЛЕТЫ НА ПОЕЗД/САМОЛЕТ.")</f>
        <v>НАЛИЧИЕ ТРАНСПОРТА, РАБОТА С НОРМАЛЬНОЙ ЗАРПЛАТОЙ,ЭКОЛОГИЯ, ДЕШЕВЫЕ БИЛЕТЫ НА ПОЕЗД/САМОЛЕТ.</v>
      </c>
      <c r="O414" s="6" t="str">
        <f>IFERROR(__xludf.DUMMYFUNCTION("""COMPUTED_VALUE"""),"отремонтировать фасад зданий в старом центре, ну позорище же. ")</f>
        <v>отремонтировать фасад зданий в старом центре, ну позорище же. </v>
      </c>
      <c r="P414" s="6" t="str">
        <f>IFERROR(__xludf.DUMMYFUNCTION("""COMPUTED_VALUE"""),"инста")</f>
        <v>инста</v>
      </c>
      <c r="Q41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414" s="6" t="str">
        <f>IFERROR(__xludf.DUMMYFUNCTION("""COMPUTED_VALUE"""),"За других ответить не могу. Интересны народные гуляния какие-нибудь. 9 мая. 1 мая.12 июня. День шахтера. НГ и Рождество ")</f>
        <v>За других ответить не могу. Интересны народные гуляния какие-нибудь. 9 мая. 1 мая.12 июня. День шахтера. НГ и Рождество </v>
      </c>
      <c r="S414" s="6" t="str">
        <f>IFERROR(__xludf.DUMMYFUNCTION("""COMPUTED_VALUE"""),"Делал рассылку по электронной почте")</f>
        <v>Делал рассылку по электронной почте</v>
      </c>
      <c r="T414" s="6" t="str">
        <f>IFERROR(__xludf.DUMMYFUNCTION("""COMPUTED_VALUE"""),"Зимняя Вишня.")</f>
        <v>Зимняя Вишня.</v>
      </c>
      <c r="U414" s="6" t="str">
        <f>IFERROR(__xludf.DUMMYFUNCTION("""COMPUTED_VALUE"""),"Площадь советов?")</f>
        <v>Площадь советов?</v>
      </c>
      <c r="V414" s="6" t="str">
        <f>IFERROR(__xludf.DUMMYFUNCTION("""COMPUTED_VALUE"""),"затрудняюсь с ответом ")</f>
        <v>затрудняюсь с ответом </v>
      </c>
      <c r="W414" s="6" t="str">
        <f>IFERROR(__xludf.DUMMYFUNCTION("""COMPUTED_VALUE"""),"уставшие, но с чувством юмора ")</f>
        <v>уставшие, но с чувством юмора </v>
      </c>
      <c r="X414" s="6" t="str">
        <f>IFERROR(__xludf.DUMMYFUNCTION("""COMPUTED_VALUE"""),"из центра до бульвара ")</f>
        <v>из центра до бульвара </v>
      </c>
      <c r="Y414" s="6" t="str">
        <f>IFERROR(__xludf.DUMMYFUNCTION("""COMPUTED_VALUE"""),"Зимняя вишня")</f>
        <v>Зимняя вишня</v>
      </c>
      <c r="Z414" s="6" t="str">
        <f>IFERROR(__xludf.DUMMYFUNCTION("""COMPUTED_VALUE"""),"никакие")</f>
        <v>никакие</v>
      </c>
      <c r="AA414" s="6" t="str">
        <f>IFERROR(__xludf.DUMMYFUNCTION("""COMPUTED_VALUE"""),"отсутствие транспорта на притомском проспекте. каждый день прям негодование вызывает")</f>
        <v>отсутствие транспорта на притомском проспекте. каждый день прям негодование вызывает</v>
      </c>
      <c r="AB414" s="6" t="str">
        <f>IFERROR(__xludf.DUMMYFUNCTION("""COMPUTED_VALUE"""),"культурные и развлекательные")</f>
        <v>культурные и развлекательные</v>
      </c>
      <c r="AC414" s="6" t="str">
        <f>IFERROR(__xludf.DUMMYFUNCTION("""COMPUTED_VALUE"""),"культурные и развлекательные")</f>
        <v>культурные и развлекательные</v>
      </c>
      <c r="AD414" s="6" t="str">
        <f>IFERROR(__xludf.DUMMYFUNCTION("""COMPUTED_VALUE"""),"максимально пассивной. ходить на них хочу.")</f>
        <v>максимально пассивной. ходить на них хочу.</v>
      </c>
      <c r="AE414" s="6" t="str">
        <f>IFERROR(__xludf.DUMMYFUNCTION("""COMPUTED_VALUE"""),"Женский")</f>
        <v>Женский</v>
      </c>
      <c r="AF414" s="6" t="str">
        <f>IFERROR(__xludf.DUMMYFUNCTION("""COMPUTED_VALUE"""),"18-29")</f>
        <v>18-29</v>
      </c>
      <c r="AG414" s="6"/>
      <c r="AH414" s="6"/>
      <c r="AI414" s="6"/>
      <c r="AJ414" s="6"/>
      <c r="AK414" s="6"/>
      <c r="AL414" s="6"/>
      <c r="AM414" s="6"/>
    </row>
    <row r="415">
      <c r="A415" s="6">
        <v>414.0</v>
      </c>
      <c r="B415" s="6" t="str">
        <f>IFERROR(__xludf.DUMMYFUNCTION("""COMPUTED_VALUE"""),"Интернет")</f>
        <v>Интернет</v>
      </c>
      <c r="C415" s="6" t="str">
        <f>IFERROR(__xludf.DUMMYFUNCTION("""COMPUTED_VALUE"""),"Творчество")</f>
        <v>Творчество</v>
      </c>
      <c r="D415" s="6" t="str">
        <f>IFERROR(__xludf.DUMMYFUNCTION("""COMPUTED_VALUE"""),"Ленинский")</f>
        <v>Ленинский</v>
      </c>
      <c r="E415" s="6" t="str">
        <f>IFERROR(__xludf.DUMMYFUNCTION("""COMPUTED_VALUE"""),"Храм Святой Троицы, Кузбасский парк")</f>
        <v>Храм Святой Троицы, Кузбасский парк</v>
      </c>
      <c r="F415" s="6" t="str">
        <f>IFERROR(__xludf.DUMMYFUNCTION("""COMPUTED_VALUE"""),"Живу здесь с рождения")</f>
        <v>Живу здесь с рождения</v>
      </c>
      <c r="G415" s="6" t="str">
        <f>IFERROR(__xludf.DUMMYFUNCTION("""COMPUTED_VALUE"""),"Парки, Красная Горка, Томская Писаница")</f>
        <v>Парки, Красная Горка, Томская Писаница</v>
      </c>
      <c r="H415" s="6" t="str">
        <f>IFERROR(__xludf.DUMMYFUNCTION("""COMPUTED_VALUE"""),"Уголь, огонь, шахтеры, теплота, семья")</f>
        <v>Уголь, огонь, шахтеры, теплота, семья</v>
      </c>
      <c r="I415" s="6" t="str">
        <f>IFERROR(__xludf.DUMMYFUNCTION("""COMPUTED_VALUE"""),"Михайло Волков")</f>
        <v>Михайло Волков</v>
      </c>
      <c r="J415" s="6" t="str">
        <f>IFERROR(__xludf.DUMMYFUNCTION("""COMPUTED_VALUE"""),"Леонов, Гришковец, Бессмертных")</f>
        <v>Леонов, Гришковец, Бессмертных</v>
      </c>
      <c r="K415" s="6" t="str">
        <f>IFERROR(__xludf.DUMMYFUNCTION("""COMPUTED_VALUE"""),"Колесо обозрения в парке Чудес. Краеведческий музей")</f>
        <v>Колесо обозрения в парке Чудес. Краеведческий музей</v>
      </c>
      <c r="L415" s="6" t="str">
        <f>IFERROR(__xludf.DUMMYFUNCTION("""COMPUTED_VALUE"""),"У нас было лето, но в этот день я работал))")</f>
        <v>У нас было лето, но в этот день я работал))</v>
      </c>
      <c r="M415" s="6" t="str">
        <f>IFERROR(__xludf.DUMMYFUNCTION("""COMPUTED_VALUE"""),"Нет")</f>
        <v>Нет</v>
      </c>
      <c r="N415" s="6" t="str">
        <f>IFERROR(__xludf.DUMMYFUNCTION("""COMPUTED_VALUE"""),"Свобода самовыражения, развитие, новые культурные события, простая логистика с соседними регионами, качественная медицина")</f>
        <v>Свобода самовыражения, развитие, новые культурные события, простая логистика с соседними регионами, качественная медицина</v>
      </c>
      <c r="O415" s="6" t="str">
        <f>IFERROR(__xludf.DUMMYFUNCTION("""COMPUTED_VALUE"""),"Больше красок")</f>
        <v>Больше красок</v>
      </c>
      <c r="P415" s="7" t="str">
        <f>IFERROR(__xludf.DUMMYFUNCTION("""COMPUTED_VALUE"""),"kemdetki.ru")</f>
        <v>kemdetki.ru</v>
      </c>
      <c r="Q415"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415" s="6" t="str">
        <f>IFERROR(__xludf.DUMMYFUNCTION("""COMPUTED_VALUE"""),"День Победы, День города ")</f>
        <v>День Победы, День города </v>
      </c>
      <c r="S415" s="6" t="str">
        <f>IFERROR(__xludf.DUMMYFUNCTION("""COMPUTED_VALUE"""),"Да, организовываем городские мероприятия ")</f>
        <v>Да, организовываем городские мероприятия </v>
      </c>
      <c r="T415" s="6" t="str">
        <f>IFERROR(__xludf.DUMMYFUNCTION("""COMPUTED_VALUE"""),"К сожалению, больше всего Зимней вишней")</f>
        <v>К сожалению, больше всего Зимней вишней</v>
      </c>
      <c r="U415" s="6" t="str">
        <f>IFERROR(__xludf.DUMMYFUNCTION("""COMPUTED_VALUE"""),"Парк Чудес ")</f>
        <v>Парк Чудес </v>
      </c>
      <c r="V415" s="6" t="str">
        <f>IFERROR(__xludf.DUMMYFUNCTION("""COMPUTED_VALUE"""),"Развивают те направления, что им интересны ")</f>
        <v>Развивают те направления, что им интересны </v>
      </c>
      <c r="W415" s="6" t="str">
        <f>IFERROR(__xludf.DUMMYFUNCTION("""COMPUTED_VALUE"""),"Спокойные, открытые, сердечные")</f>
        <v>Спокойные, открытые, сердечные</v>
      </c>
      <c r="X415" s="6" t="str">
        <f>IFERROR(__xludf.DUMMYFUNCTION("""COMPUTED_VALUE"""),"Красная Горка - Парк Чудес - Парк Веры Волошиной ")</f>
        <v>Красная Горка - Парк Чудес - Парк Веры Волошиной </v>
      </c>
      <c r="Y415" s="6" t="str">
        <f>IFERROR(__xludf.DUMMYFUNCTION("""COMPUTED_VALUE"""),"Не знаю")</f>
        <v>Не знаю</v>
      </c>
      <c r="Z415" s="6" t="str">
        <f>IFERROR(__xludf.DUMMYFUNCTION("""COMPUTED_VALUE"""),"Красивая елка на площади Советов")</f>
        <v>Красивая елка на площади Советов</v>
      </c>
      <c r="AA415" s="6" t="str">
        <f>IFERROR(__xludf.DUMMYFUNCTION("""COMPUTED_VALUE"""),"Локдаун 2020 ")</f>
        <v>Локдаун 2020 </v>
      </c>
      <c r="AB415" s="6" t="str">
        <f>IFERROR(__xludf.DUMMYFUNCTION("""COMPUTED_VALUE"""),"Всего хватает. Мало детальной и полной информации ")</f>
        <v>Всего хватает. Мало детальной и полной информации </v>
      </c>
      <c r="AC415" s="6" t="str">
        <f>IFERROR(__xludf.DUMMYFUNCTION("""COMPUTED_VALUE"""),"Общегородские концерты, праздники")</f>
        <v>Общегородские концерты, праздники</v>
      </c>
      <c r="AD415" s="6" t="str">
        <f>IFERROR(__xludf.DUMMYFUNCTION("""COMPUTED_VALUE"""),"Идейный помощник ")</f>
        <v>Идейный помощник </v>
      </c>
      <c r="AE415" s="6" t="str">
        <f>IFERROR(__xludf.DUMMYFUNCTION("""COMPUTED_VALUE"""),"Женский")</f>
        <v>Женский</v>
      </c>
      <c r="AF415" s="6" t="str">
        <f>IFERROR(__xludf.DUMMYFUNCTION("""COMPUTED_VALUE"""),"30-44")</f>
        <v>30-44</v>
      </c>
      <c r="AG415" s="6"/>
      <c r="AH415" s="6"/>
      <c r="AI415" s="6"/>
      <c r="AJ415" s="6"/>
      <c r="AK415" s="6"/>
      <c r="AL415" s="6"/>
      <c r="AM415" s="6"/>
    </row>
    <row r="416">
      <c r="A416" s="6">
        <v>415.0</v>
      </c>
      <c r="B416" s="6" t="str">
        <f>IFERROR(__xludf.DUMMYFUNCTION("""COMPUTED_VALUE"""),"Сотрудник областного учреждения")</f>
        <v>Сотрудник областного учреждения</v>
      </c>
      <c r="C416" s="6" t="str">
        <f>IFERROR(__xludf.DUMMYFUNCTION("""COMPUTED_VALUE"""),"Нет. Бешеный темп жизни не позволяет заниматься чем-либо кроме работы")</f>
        <v>Нет. Бешеный темп жизни не позволяет заниматься чем-либо кроме работы</v>
      </c>
      <c r="D416" s="6" t="str">
        <f>IFERROR(__xludf.DUMMYFUNCTION("""COMPUTED_VALUE"""),"В Заводском. ""Южный""")</f>
        <v>В Заводском. "Южный"</v>
      </c>
      <c r="E416" s="6" t="str">
        <f>IFERROR(__xludf.DUMMYFUNCTION("""COMPUTED_VALUE"""),"Бульвар Патриотов")</f>
        <v>Бульвар Патриотов</v>
      </c>
      <c r="F416" s="6" t="str">
        <f>IFERROR(__xludf.DUMMYFUNCTION("""COMPUTED_VALUE"""),"Живу здесь с рождения")</f>
        <v>Живу здесь с рождения</v>
      </c>
      <c r="G416" s="6" t="str">
        <f>IFERROR(__xludf.DUMMYFUNCTION("""COMPUTED_VALUE"""),"С детьми приходится ехать гулять на бульвар строителей чтобы покататься на трюковом самокате. В нашем районе интересных и безопасных мест - нет.")</f>
        <v>С детьми приходится ехать гулять на бульвар строителей чтобы покататься на трюковом самокате. В нашем районе интересных и безопасных мест - нет.</v>
      </c>
      <c r="H416" s="6" t="str">
        <f>IFERROR(__xludf.DUMMYFUNCTION("""COMPUTED_VALUE"""),"Уголь, КузГТУ, безработица, трагедия, грязь")</f>
        <v>Уголь, КузГТУ, безработица, трагедия, грязь</v>
      </c>
      <c r="I416" s="6" t="str">
        <f>IFERROR(__xludf.DUMMYFUNCTION("""COMPUTED_VALUE"""),"М. Волков")</f>
        <v>М. Волков</v>
      </c>
      <c r="J416" s="6" t="str">
        <f>IFERROR(__xludf.DUMMYFUNCTION("""COMPUTED_VALUE"""),"А. Тулеев")</f>
        <v>А. Тулеев</v>
      </c>
      <c r="K416" s="6" t="str">
        <f>IFERROR(__xludf.DUMMYFUNCTION("""COMPUTED_VALUE"""),"Скульптуры на набережной левого берега (собака, девочка на ладони)")</f>
        <v>Скульптуры на набережной левого берега (собака, девочка на ладони)</v>
      </c>
      <c r="L416" s="6" t="str">
        <f>IFERROR(__xludf.DUMMYFUNCTION("""COMPUTED_VALUE"""),"""Южный- никому не нужный"" и это можно отнести и Кировскому району и к Предзаводскому")</f>
        <v>"Южный- никому не нужный" и это можно отнести и Кировскому району и к Предзаводскому</v>
      </c>
      <c r="M416" s="6" t="str">
        <f>IFERROR(__xludf.DUMMYFUNCTION("""COMPUTED_VALUE"""),"нет")</f>
        <v>нет</v>
      </c>
      <c r="N416" s="6" t="str">
        <f>IFERROR(__xludf.DUMMYFUNCTION("""COMPUTED_VALUE"""),"Безопасность, чистота, детская и взрослая медицина, стабильность работы общественного транспорта, доступность детских секций ")</f>
        <v>Безопасность, чистота, детская и взрослая медицина, стабильность работы общественного транспорта, доступность детских секций </v>
      </c>
      <c r="O416" s="6" t="str">
        <f>IFERROR(__xludf.DUMMYFUNCTION("""COMPUTED_VALUE"""),"Качество проезжей части дорог и пешеходных тротуаров")</f>
        <v>Качество проезжей части дорог и пешеходных тротуаров</v>
      </c>
      <c r="P416" s="6" t="str">
        <f>IFERROR(__xludf.DUMMYFUNCTION("""COMPUTED_VALUE"""),"новостная строка в сети Internet, Instagram")</f>
        <v>новостная строка в сети Internet, Instagram</v>
      </c>
      <c r="Q416" s="6" t="str">
        <f>IFERROR(__xludf.DUMMYFUNCTION("""COMPUTED_VALUE"""),"культурные новинки (что почитать/что послушать), интервью с местными предпринимателями, новости про новые профессии/куда поступать/вакансии")</f>
        <v>культурные новинки (что почитать/что послушать), интервью с местными предпринимателями, новости про новые профессии/куда поступать/вакансии</v>
      </c>
      <c r="R416" s="6" t="str">
        <f>IFERROR(__xludf.DUMMYFUNCTION("""COMPUTED_VALUE"""),"Парад Победы, День города")</f>
        <v>Парад Победы, День города</v>
      </c>
      <c r="S416" s="6" t="str">
        <f>IFERROR(__xludf.DUMMYFUNCTION("""COMPUTED_VALUE"""),"Нет, не приходилось")</f>
        <v>Нет, не приходилось</v>
      </c>
      <c r="T416" s="6" t="str">
        <f>IFERROR(__xludf.DUMMYFUNCTION("""COMPUTED_VALUE"""),"Известен трагедией. О ней переживали знакомые даже не русскоязычные жители зарубежных стран. ")</f>
        <v>Известен трагедией. О ней переживали знакомые даже не русскоязычные жители зарубежных стран. </v>
      </c>
      <c r="U416" s="6" t="str">
        <f>IFERROR(__xludf.DUMMYFUNCTION("""COMPUTED_VALUE"""),"Площадь Советов")</f>
        <v>Площадь Советов</v>
      </c>
      <c r="V416" s="6" t="str">
        <f>IFERROR(__xludf.DUMMYFUNCTION("""COMPUTED_VALUE"""),"Шахтёры- наша гордость")</f>
        <v>Шахтёры- наша гордость</v>
      </c>
      <c r="W416" s="6" t="str">
        <f>IFERROR(__xludf.DUMMYFUNCTION("""COMPUTED_VALUE"""),"Кемеровчане терпеливые и неконфликтные")</f>
        <v>Кемеровчане терпеливые и неконфликтные</v>
      </c>
      <c r="X416" s="6" t="str">
        <f>IFERROR(__xludf.DUMMYFUNCTION("""COMPUTED_VALUE"""),"Общественным транспортом (трамваем) на правый берег города")</f>
        <v>Общественным транспортом (трамваем) на правый берег города</v>
      </c>
      <c r="Y416" s="6" t="str">
        <f>IFERROR(__xludf.DUMMYFUNCTION("""COMPUTED_VALUE"""),"Женский форум в городе Новокузнецк")</f>
        <v>Женский форум в городе Новокузнецк</v>
      </c>
      <c r="Z416" s="6" t="str">
        <f>IFERROR(__xludf.DUMMYFUNCTION("""COMPUTED_VALUE"""),"Рок-концерт под открытым небом в 2019 году")</f>
        <v>Рок-концерт под открытым небом в 2019 году</v>
      </c>
      <c r="AA416" s="6" t="str">
        <f>IFERROR(__xludf.DUMMYFUNCTION("""COMPUTED_VALUE"""),"Из-за халатного отношения к своим обязанностям сотрудников полиции  произошло убийство студентки феврале 2021 года")</f>
        <v>Из-за халатного отношения к своим обязанностям сотрудников полиции  произошло убийство студентки феврале 2021 года</v>
      </c>
      <c r="AB416" s="6" t="str">
        <f>IFERROR(__xludf.DUMMYFUNCTION("""COMPUTED_VALUE"""),"спортивных")</f>
        <v>спортивных</v>
      </c>
      <c r="AC416" s="6" t="str">
        <f>IFERROR(__xludf.DUMMYFUNCTION("""COMPUTED_VALUE"""),"Возрождение авто и мотоспорта. Спортивная рыбалка на городском уровне, а не силами отдельных энтузиастов")</f>
        <v>Возрождение авто и мотоспорта. Спортивная рыбалка на городском уровне, а не силами отдельных энтузиастов</v>
      </c>
      <c r="AD416" s="6" t="str">
        <f>IFERROR(__xludf.DUMMYFUNCTION("""COMPUTED_VALUE"""),"В роли участника")</f>
        <v>В роли участника</v>
      </c>
      <c r="AE416" s="6" t="str">
        <f>IFERROR(__xludf.DUMMYFUNCTION("""COMPUTED_VALUE"""),"Женский")</f>
        <v>Женский</v>
      </c>
      <c r="AF416" s="6" t="str">
        <f>IFERROR(__xludf.DUMMYFUNCTION("""COMPUTED_VALUE"""),"30-44")</f>
        <v>30-44</v>
      </c>
      <c r="AG416" s="6"/>
      <c r="AH416" s="6"/>
      <c r="AI416" s="6"/>
      <c r="AJ416" s="6"/>
      <c r="AK416" s="6"/>
      <c r="AL416" s="6"/>
      <c r="AM416" s="6"/>
    </row>
    <row r="417">
      <c r="A417" s="6">
        <v>416.0</v>
      </c>
      <c r="B417" s="6" t="str">
        <f>IFERROR(__xludf.DUMMYFUNCTION("""COMPUTED_VALUE"""),"Выставочная деятельность")</f>
        <v>Выставочная деятельность</v>
      </c>
      <c r="C417" s="6" t="str">
        <f>IFERROR(__xludf.DUMMYFUNCTION("""COMPUTED_VALUE"""),"искусство")</f>
        <v>искусство</v>
      </c>
      <c r="D417" s="6" t="str">
        <f>IFERROR(__xludf.DUMMYFUNCTION("""COMPUTED_VALUE"""),"Центральный")</f>
        <v>Центральный</v>
      </c>
      <c r="E417" s="6" t="str">
        <f>IFERROR(__xludf.DUMMYFUNCTION("""COMPUTED_VALUE"""),"река Томь, строится ледовая арена, московская площадь ждем")</f>
        <v>река Томь, строится ледовая арена, московская площадь ждем</v>
      </c>
      <c r="F417"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417" s="6" t="str">
        <f>IFERROR(__xludf.DUMMYFUNCTION("""COMPUTED_VALUE"""),"Театр, кафе, квесты, кино ")</f>
        <v>Театр, кафе, квесты, кино </v>
      </c>
      <c r="H417" s="6" t="str">
        <f>IFERROR(__xludf.DUMMYFUNCTION("""COMPUTED_VALUE"""),"Шахтер, уголь, простор, аллея, река Томь")</f>
        <v>Шахтер, уголь, простор, аллея, река Томь</v>
      </c>
      <c r="I417" s="6" t="str">
        <f>IFERROR(__xludf.DUMMYFUNCTION("""COMPUTED_VALUE"""),"Леонов, Мартемьянов, Кирчанов, Хмелевской, Луначарский, Бобров")</f>
        <v>Леонов, Мартемьянов, Кирчанов, Хмелевской, Луначарский, Бобров</v>
      </c>
      <c r="J417" s="6" t="str">
        <f>IFERROR(__xludf.DUMMYFUNCTION("""COMPUTED_VALUE"""),"Тулеев")</f>
        <v>Тулеев</v>
      </c>
      <c r="K417" s="6" t="str">
        <f>IFERROR(__xludf.DUMMYFUNCTION("""COMPUTED_VALUE"""),"Клумба, театр Ложа")</f>
        <v>Клумба, театр Ложа</v>
      </c>
      <c r="L417" s="6" t="str">
        <f>IFERROR(__xludf.DUMMYFUNCTION("""COMPUTED_VALUE"""),"не знаю")</f>
        <v>не знаю</v>
      </c>
      <c r="M417" s="6" t="str">
        <f>IFERROR(__xludf.DUMMYFUNCTION("""COMPUTED_VALUE"""),"-")</f>
        <v>-</v>
      </c>
      <c r="N417" s="6" t="str">
        <f>IFERROR(__xludf.DUMMYFUNCTION("""COMPUTED_VALUE"""),"отсутствие пробок, отремонтированные дороги во дворах, отремонтированные дома со стороны двора, наличие свободных парковочных мест около дома, наличие школы и дет.сада около дома")</f>
        <v>отсутствие пробок, отремонтированные дороги во дворах, отремонтированные дома со стороны двора, наличие свободных парковочных мест около дома, наличие школы и дет.сада около дома</v>
      </c>
      <c r="O417" s="6" t="str">
        <f>IFERROR(__xludf.DUMMYFUNCTION("""COMPUTED_VALUE"""),"Отремонтировать старые дома (полностью, а не со стороны дороги) и дороги во дворах")</f>
        <v>Отремонтировать старые дома (полностью, а не со стороны дороги) и дороги во дворах</v>
      </c>
      <c r="P417" s="6" t="str">
        <f>IFERROR(__xludf.DUMMYFUNCTION("""COMPUTED_VALUE"""),"гугл, вк")</f>
        <v>гугл, вк</v>
      </c>
      <c r="Q417" s="6" t="str">
        <f>IFERROR(__xludf.DUMMYFUNCTION("""COMPUTED_VALUE"""),"где вкусно поесть/открытие новых кафе/ресторанов, городская афиша (кино/театр/концерты), интервью с местными творческими личностями")</f>
        <v>где вкусно поесть/открытие новых кафе/ресторанов, городская афиша (кино/театр/концерты), интервью с местными творческими личностями</v>
      </c>
      <c r="R417" s="6" t="str">
        <f>IFERROR(__xludf.DUMMYFUNCTION("""COMPUTED_VALUE"""),"День города")</f>
        <v>День города</v>
      </c>
      <c r="S417" s="6" t="str">
        <f>IFERROR(__xludf.DUMMYFUNCTION("""COMPUTED_VALUE"""),"Через социальные сети (Какие? Укажите в графе другое), Делал рассылку по электронной почте, Обращался в редакции городских газет, телевидения, радио, Художественные выставки")</f>
        <v>Через социальные сети (Какие? Укажите в графе другое), Делал рассылку по электронной почте, Обращался в редакции городских газет, телевидения, радио, Художественные выставки</v>
      </c>
      <c r="T417" s="6" t="str">
        <f>IFERROR(__xludf.DUMMYFUNCTION("""COMPUTED_VALUE"""),"Томь, Сосновый бор, ул. Весенняя, Набережная")</f>
        <v>Томь, Сосновый бор, ул. Весенняя, Набережная</v>
      </c>
      <c r="U417" s="6" t="str">
        <f>IFERROR(__xludf.DUMMYFUNCTION("""COMPUTED_VALUE"""),"Набережная, Весенняя")</f>
        <v>Набережная, Весенняя</v>
      </c>
      <c r="V417" s="6" t="str">
        <f>IFERROR(__xludf.DUMMYFUNCTION("""COMPUTED_VALUE"""),"много всего")</f>
        <v>много всего</v>
      </c>
      <c r="W417" s="6" t="str">
        <f>IFERROR(__xludf.DUMMYFUNCTION("""COMPUTED_VALUE"""),"все люди разные, вне зависимости от места проживания")</f>
        <v>все люди разные, вне зависимости от места проживания</v>
      </c>
      <c r="X417" s="6" t="str">
        <f>IFERROR(__xludf.DUMMYFUNCTION("""COMPUTED_VALUE"""),"Сосновый бор")</f>
        <v>Сосновый бор</v>
      </c>
      <c r="Y417" s="6" t="str">
        <f>IFERROR(__xludf.DUMMYFUNCTION("""COMPUTED_VALUE"""),"Михайло Волков нашел уголь")</f>
        <v>Михайло Волков нашел уголь</v>
      </c>
      <c r="Z417" s="6" t="str">
        <f>IFERROR(__xludf.DUMMYFUNCTION("""COMPUTED_VALUE"""),"Никакие")</f>
        <v>Никакие</v>
      </c>
      <c r="AA417" s="6" t="str">
        <f>IFERROR(__xludf.DUMMYFUNCTION("""COMPUTED_VALUE"""),"Изоляция во время коронавируса, постоянное ношение масок")</f>
        <v>Изоляция во время коронавируса, постоянное ношение масок</v>
      </c>
      <c r="AB417" s="6" t="str">
        <f>IFERROR(__xludf.DUMMYFUNCTION("""COMPUTED_VALUE"""),"Новых квестов, антикафе")</f>
        <v>Новых квестов, антикафе</v>
      </c>
      <c r="AC417" s="6" t="str">
        <f>IFERROR(__xludf.DUMMYFUNCTION("""COMPUTED_VALUE"""),"Перфомансы, монстрации")</f>
        <v>Перфомансы, монстрации</v>
      </c>
      <c r="AD417" s="6" t="str">
        <f>IFERROR(__xludf.DUMMYFUNCTION("""COMPUTED_VALUE"""),"обывателя")</f>
        <v>обывателя</v>
      </c>
      <c r="AE417" s="6" t="str">
        <f>IFERROR(__xludf.DUMMYFUNCTION("""COMPUTED_VALUE"""),"Женский")</f>
        <v>Женский</v>
      </c>
      <c r="AF417" s="6" t="str">
        <f>IFERROR(__xludf.DUMMYFUNCTION("""COMPUTED_VALUE"""),"30-44")</f>
        <v>30-44</v>
      </c>
      <c r="AG417" s="6"/>
      <c r="AH417" s="6"/>
      <c r="AI417" s="6"/>
      <c r="AJ417" s="6"/>
      <c r="AK417" s="6"/>
      <c r="AL417" s="6"/>
      <c r="AM417" s="6"/>
    </row>
    <row r="418">
      <c r="A418" s="6">
        <v>417.0</v>
      </c>
      <c r="B418" s="6" t="str">
        <f>IFERROR(__xludf.DUMMYFUNCTION("""COMPUTED_VALUE"""),"менеджер")</f>
        <v>менеджер</v>
      </c>
      <c r="C418" s="6" t="str">
        <f>IFERROR(__xludf.DUMMYFUNCTION("""COMPUTED_VALUE"""),"живопись, мелкая пластика, шитье")</f>
        <v>живопись, мелкая пластика, шитье</v>
      </c>
      <c r="D418" s="6" t="str">
        <f>IFERROR(__xludf.DUMMYFUNCTION("""COMPUTED_VALUE"""),"Ленинский")</f>
        <v>Ленинский</v>
      </c>
      <c r="E418" s="6" t="str">
        <f>IFERROR(__xludf.DUMMYFUNCTION("""COMPUTED_VALUE"""),"бульвар Строителей, озеро Красное")</f>
        <v>бульвар Строителей, озеро Красное</v>
      </c>
      <c r="F418" s="6" t="str">
        <f>IFERROR(__xludf.DUMMYFUNCTION("""COMPUTED_VALUE"""),"Живу здесь с рождения")</f>
        <v>Живу здесь с рождения</v>
      </c>
      <c r="G418" s="6" t="str">
        <f>IFERROR(__xludf.DUMMYFUNCTION("""COMPUTED_VALUE"""),"бульвар Строителей, Журавлево")</f>
        <v>бульвар Строителей, Журавлево</v>
      </c>
      <c r="H418" s="6" t="str">
        <f>IFERROR(__xludf.DUMMYFUNCTION("""COMPUTED_VALUE"""),"зеленый, чистый, удобный, комфортный, активный")</f>
        <v>зеленый, чистый, удобный, комфортный, активный</v>
      </c>
      <c r="I418" s="6" t="str">
        <f>IFERROR(__xludf.DUMMYFUNCTION("""COMPUTED_VALUE"""),"А. Леонов, В. Кирчанов, О. Пинаева")</f>
        <v>А. Леонов, В. Кирчанов, О. Пинаева</v>
      </c>
      <c r="J418" s="6" t="str">
        <f>IFERROR(__xludf.DUMMYFUNCTION("""COMPUTED_VALUE"""),"бывший мэр Михайлов - чистые улицы, убранные дороги")</f>
        <v>бывший мэр Михайлов - чистые улицы, убранные дороги</v>
      </c>
      <c r="K418" s="6" t="str">
        <f>IFERROR(__xludf.DUMMYFUNCTION("""COMPUTED_VALUE"""),"памятник шахтерам Э. Неизвестного, набережная, Весенняя")</f>
        <v>памятник шахтерам Э. Неизвестного, набережная, Весенняя</v>
      </c>
      <c r="L418" s="6" t="str">
        <f>IFERROR(__xludf.DUMMYFUNCTION("""COMPUTED_VALUE"""),"у семи нянек - дитя без глаза")</f>
        <v>у семи нянек - дитя без глаза</v>
      </c>
      <c r="M418" s="6" t="str">
        <f>IFERROR(__xludf.DUMMYFUNCTION("""COMPUTED_VALUE"""),"не знаю")</f>
        <v>не знаю</v>
      </c>
      <c r="N418" s="6" t="str">
        <f>IFERROR(__xludf.DUMMYFUNCTION("""COMPUTED_VALUE"""),"отремонтированные и почищенные дороги, почищенные и замощенные (заасфальтированные) тротуары, отремонтированные придомовые территории, скверы в пешей доступности, развитая социальная инфраструктура")</f>
        <v>отремонтированные и почищенные дороги, почищенные и замощенные (заасфальтированные) тротуары, отремонтированные придомовые территории, скверы в пешей доступности, развитая социальная инфраструктура</v>
      </c>
      <c r="O418" s="6" t="str">
        <f>IFERROR(__xludf.DUMMYFUNCTION("""COMPUTED_VALUE"""),"отремонтировать дороги")</f>
        <v>отремонтировать дороги</v>
      </c>
      <c r="P418" s="6" t="str">
        <f>IFERROR(__xludf.DUMMYFUNCTION("""COMPUTED_VALUE"""),"городские новостные каналы")</f>
        <v>городские новостные каналы</v>
      </c>
      <c r="Q41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(рейтинги/а"&amp;"налитика/тенденции)")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418" s="6" t="str">
        <f>IFERROR(__xludf.DUMMYFUNCTION("""COMPUTED_VALUE"""),"день шахтера")</f>
        <v>день шахтера</v>
      </c>
      <c r="S418" s="6" t="str">
        <f>IFERROR(__xludf.DUMMYFUNCTION("""COMPUTED_VALUE"""),"Обращался в редакции электронных городских СМИ")</f>
        <v>Обращался в редакции электронных городских СМИ</v>
      </c>
      <c r="T418" s="6" t="str">
        <f>IFERROR(__xludf.DUMMYFUNCTION("""COMPUTED_VALUE"""),"известен голландской колонией, развитием угольной промышленности, в советские времена - крупный центр химической промышленности. Печально знаменит - пожаром в Зимней Вишне")</f>
        <v>известен голландской колонией, развитием угольной промышленности, в советские времена - крупный центр химической промышленности. Печально знаменит - пожаром в Зимней Вишне</v>
      </c>
      <c r="U418" s="6" t="str">
        <f>IFERROR(__xludf.DUMMYFUNCTION("""COMPUTED_VALUE"""),"пр. Советский, ул. Весенняя")</f>
        <v>пр. Советский, ул. Весенняя</v>
      </c>
      <c r="V418" s="6" t="str">
        <f>IFERROR(__xludf.DUMMYFUNCTION("""COMPUTED_VALUE"""),"не корректный вопрос")</f>
        <v>не корректный вопрос</v>
      </c>
      <c r="W418" s="6" t="str">
        <f>IFERROR(__xludf.DUMMYFUNCTION("""COMPUTED_VALUE"""),"такие же как и остальные горожане: разные")</f>
        <v>такие же как и остальные горожане: разные</v>
      </c>
      <c r="X418" s="6" t="str">
        <f>IFERROR(__xludf.DUMMYFUNCTION("""COMPUTED_VALUE"""),"от ж\д вокзала через Ноградскую, Советский до детского ж/д вокзала, потом на поезде до Красного озера")</f>
        <v>от ж\д вокзала через Ноградскую, Советский до детского ж/д вокзала, потом на поезде до Красного озера</v>
      </c>
      <c r="Y418" s="6" t="str">
        <f>IFERROR(__xludf.DUMMYFUNCTION("""COMPUTED_VALUE"""),"забастовка шахтеров в 90-х годах")</f>
        <v>забастовка шахтеров в 90-х годах</v>
      </c>
      <c r="Z418" s="6" t="str">
        <f>IFERROR(__xludf.DUMMYFUNCTION("""COMPUTED_VALUE"""),"открытия выставочных залов, музеев, театров, кино после карантина")</f>
        <v>открытия выставочных залов, музеев, театров, кино после карантина</v>
      </c>
      <c r="AA418" s="6" t="str">
        <f>IFERROR(__xludf.DUMMYFUNCTION("""COMPUTED_VALUE"""),"отвратительная уборка улиц, грязь")</f>
        <v>отвратительная уборка улиц, грязь</v>
      </c>
      <c r="AB418" s="6" t="str">
        <f>IFERROR(__xludf.DUMMYFUNCTION("""COMPUTED_VALUE"""),"сомелье")</f>
        <v>сомелье</v>
      </c>
      <c r="AC418" s="6" t="str">
        <f>IFERROR(__xludf.DUMMYFUNCTION("""COMPUTED_VALUE"""),"множество небольших мероприятий, концертов. Побольше террас кафе, живая музыка")</f>
        <v>множество небольших мероприятий, концертов. Побольше террас кафе, живая музыка</v>
      </c>
      <c r="AD418" s="6" t="str">
        <f>IFERROR(__xludf.DUMMYFUNCTION("""COMPUTED_VALUE"""),"эксперта")</f>
        <v>эксперта</v>
      </c>
      <c r="AE418" s="6" t="str">
        <f>IFERROR(__xludf.DUMMYFUNCTION("""COMPUTED_VALUE"""),"Женский")</f>
        <v>Женский</v>
      </c>
      <c r="AF418" s="6" t="str">
        <f>IFERROR(__xludf.DUMMYFUNCTION("""COMPUTED_VALUE"""),"45-55")</f>
        <v>45-55</v>
      </c>
      <c r="AG418" s="6"/>
      <c r="AH418" s="6"/>
      <c r="AI418" s="6"/>
      <c r="AJ418" s="6"/>
      <c r="AK418" s="6"/>
      <c r="AL418" s="6"/>
      <c r="AM418" s="6"/>
    </row>
    <row r="419">
      <c r="A419" s="6">
        <v>418.0</v>
      </c>
      <c r="B419" s="6" t="str">
        <f>IFERROR(__xludf.DUMMYFUNCTION("""COMPUTED_VALUE"""),"Фотограф")</f>
        <v>Фотограф</v>
      </c>
      <c r="C419" s="6" t="str">
        <f>IFERROR(__xludf.DUMMYFUNCTION("""COMPUTED_VALUE"""),"Путешествия, растения")</f>
        <v>Путешествия, растения</v>
      </c>
      <c r="D419" s="6" t="str">
        <f>IFERROR(__xludf.DUMMYFUNCTION("""COMPUTED_VALUE"""),"Центральный, телецентр")</f>
        <v>Центральный, телецентр</v>
      </c>
      <c r="E419" s="6" t="str">
        <f>IFERROR(__xludf.DUMMYFUNCTION("""COMPUTED_VALUE"""),"Телевышка, парк в.волошиной")</f>
        <v>Телевышка, парк в.волошиной</v>
      </c>
      <c r="F419" s="6" t="str">
        <f>IFERROR(__xludf.DUMMYFUNCTION("""COMPUTED_VALUE"""),"Живу здесь с рождения")</f>
        <v>Живу здесь с рождения</v>
      </c>
      <c r="G419" s="6" t="str">
        <f>IFERROR(__xludf.DUMMYFUNCTION("""COMPUTED_VALUE"""),"В центр города, Весенняя, Советский, летом, осенью Кузбасский парк, сосновый бор, набережная реки Томь, Лазурный берег в Сухово, Красная горка, памятник шахтёру, иногда Набережная в Кировском")</f>
        <v>В центр города, Весенняя, Советский, летом, осенью Кузбасский парк, сосновый бор, набережная реки Томь, Лазурный берег в Сухово, Красная горка, памятник шахтёру, иногда Набережная в Кировском</v>
      </c>
      <c r="H419" s="6" t="str">
        <f>IFERROR(__xludf.DUMMYFUNCTION("""COMPUTED_VALUE"""),"Холод, грязь, разноцветные дома, непешеходопроходимость")</f>
        <v>Холод, грязь, разноцветные дома, непешеходопроходимость</v>
      </c>
      <c r="I419" s="6" t="str">
        <f>IFERROR(__xludf.DUMMYFUNCTION("""COMPUTED_VALUE"""),"Волошина, Леонов, Двужильный, ")</f>
        <v>Волошина, Леонов, Двужильный, </v>
      </c>
      <c r="J419" s="6" t="str">
        <f>IFERROR(__xludf.DUMMYFUNCTION("""COMPUTED_VALUE"""),"Нет таких")</f>
        <v>Нет таких</v>
      </c>
      <c r="K419" s="6" t="str">
        <f>IFERROR(__xludf.DUMMYFUNCTION("""COMPUTED_VALUE"""),"Клумба Спейс, ")</f>
        <v>Клумба Спейс, </v>
      </c>
      <c r="L419" s="6" t="str">
        <f>IFERROR(__xludf.DUMMYFUNCTION("""COMPUTED_VALUE"""),"Бандитский Кировский, южный никому не нужный")</f>
        <v>Бандитский Кировский, южный никому не нужный</v>
      </c>
      <c r="M419" s="6" t="str">
        <f>IFERROR(__xludf.DUMMYFUNCTION("""COMPUTED_VALUE"""),"Не припомню")</f>
        <v>Не припомню</v>
      </c>
      <c r="N419" s="6" t="str">
        <f>IFERROR(__xludf.DUMMYFUNCTION("""COMPUTED_VALUE"""),"Пешеходная зона, комфортные зоны для прогулок на свежем воздухе, продуманные детские интерактивные площадки, сдача дома с обязательным местом для паркинга на каждую квартиру, меньше богатых не нужных соборов и церквей. Площадки бесплатные для самореализац"&amp;"ии с поддержкой властей, прогулочные зоны и парки для животных, больше доступных и бесплатных мест отдыха у воды, аквапарк! Зоопарк в бору. Чистота города, доступность транспорта, ремонт домов, в т.ч их покраска и облагораживание территорий. Снос всех мет"&amp;"аллических гаражей, проблема частного сектора, грязь и копоть, расширение дорог, за счёт сноса части домов, развитие электрического транспорта.  Не мало важно экология!")</f>
        <v>Пешеходная зона, комфортные зоны для прогулок на свежем воздухе, продуманные детские интерактивные площадки, сдача дома с обязательным местом для паркинга на каждую квартиру, меньше богатых не нужных соборов и церквей. Площадки бесплатные для самореализации с поддержкой властей, прогулочные зоны и парки для животных, больше доступных и бесплатных мест отдыха у воды, аквапарк! Зоопарк в бору. Чистота города, доступность транспорта, ремонт домов, в т.ч их покраска и облагораживание территорий. Снос всех металлических гаражей, проблема частного сектора, грязь и копоть, расширение дорог, за счёт сноса части домов, развитие электрического транспорта.  Не мало важно экология!</v>
      </c>
      <c r="O419" s="6" t="str">
        <f>IFERROR(__xludf.DUMMYFUNCTION("""COMPUTED_VALUE"""),"Современная отделка старого жилого фонда, благоустройстве спальных районов, с местом отдыха в каждом квартале")</f>
        <v>Современная отделка старого жилого фонда, благоустройстве спальных районов, с местом отдыха в каждом квартале</v>
      </c>
      <c r="P419" s="6" t="str">
        <f>IFERROR(__xludf.DUMMYFUNCTION("""COMPUTED_VALUE"""),"Интернет, Инстаграм, ВК")</f>
        <v>Интернет, Инстаграм, ВК</v>
      </c>
      <c r="Q419" s="6" t="str">
        <f>IFERROR(__xludf.DUMMYFUNCTION("""COMPUTED_VALUE"""),"куда пойти в свободное время, где вкусно поесть/открытие новых кафе/ресторанов, городская афиша (кино/театр/концерты),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экспертами на разные темы (напишите в разделе Другое свои предложения)</v>
      </c>
      <c r="R419" s="6" t="str">
        <f>IFERROR(__xludf.DUMMYFUNCTION("""COMPUTED_VALUE"""),"Масленица, день города, день шахтера, день семьи, день защиты детей")</f>
        <v>Масленица, день города, день шахтера, день семьи, день защиты детей</v>
      </c>
      <c r="S419" s="6" t="str">
        <f>IFERROR(__xludf.DUMMYFUNCTION("""COMPUTED_VALUE"""),"Через социальные сети (Какие? Укажите в графе другое)")</f>
        <v>Через социальные сети (Какие? Укажите в графе другое)</v>
      </c>
      <c r="T419" s="6" t="str">
        <f>IFERROR(__xludf.DUMMYFUNCTION("""COMPUTED_VALUE"""),"Компактный город, хвалят что чистый (но это только центр), красная горка, сосновый реликтовый бор")</f>
        <v>Компактный город, хвалят что чистый (но это только центр), красная горка, сосновый реликтовый бор</v>
      </c>
      <c r="U419" s="6" t="str">
        <f>IFERROR(__xludf.DUMMYFUNCTION("""COMPUTED_VALUE"""),"Самый географический центр это место бывшего рынка Октябрьский, его так изуродовали, модно было сделать крутым общественным местом. Если в старом центре, то драм театр, фонтан, весенняя, Пушкина")</f>
        <v>Самый географический центр это место бывшего рынка Октябрьский, его так изуродовали, модно было сделать крутым общественным местом. Если в старом центре, то драм театр, фонтан, весенняя, Пушкина</v>
      </c>
      <c r="V419" s="6" t="str">
        <f>IFERROR(__xludf.DUMMYFUNCTION("""COMPUTED_VALUE"""),"Архитектура старого центра, развитие продуманной застройки спальных районов в 60-е 70е гг, много культурных мест отдыха,")</f>
        <v>Архитектура старого центра, развитие продуманной застройки спальных районов в 60-е 70е гг, много культурных мест отдыха,</v>
      </c>
      <c r="W419" s="6" t="str">
        <f>IFERROR(__xludf.DUMMYFUNCTION("""COMPUTED_VALUE"""),"Сложно сказать сейчас все перемешаны")</f>
        <v>Сложно сказать сейчас все перемешаны</v>
      </c>
      <c r="X419" s="6" t="str">
        <f>IFERROR(__xludf.DUMMYFUNCTION("""COMPUTED_VALUE"""),"На маршрутке 40 модно во многих районах побывать!")</f>
        <v>На маршрутке 40 модно во многих районах побывать!</v>
      </c>
      <c r="Y419" s="6" t="str">
        <f>IFERROR(__xludf.DUMMYFUNCTION("""COMPUTED_VALUE"""),"Для меня это побратимство с венграми, строительство моста, ")</f>
        <v>Для меня это побратимство с венграми, строительство моста, </v>
      </c>
      <c r="Z419" s="6" t="str">
        <f>IFERROR(__xludf.DUMMYFUNCTION("""COMPUTED_VALUE"""),"Концерт от стройсервиса ")</f>
        <v>Концерт от стройсервиса </v>
      </c>
      <c r="AA419" s="6" t="str">
        <f>IFERROR(__xludf.DUMMYFUNCTION("""COMPUTED_VALUE"""),"Низкий уровень жизни, люди как рабы, много бездомных животных, развал медицины, централизация")</f>
        <v>Низкий уровень жизни, люди как рабы, много бездомных животных, развал медицины, централизация</v>
      </c>
      <c r="AB419" s="6" t="str">
        <f>IFERROR(__xludf.DUMMYFUNCTION("""COMPUTED_VALUE"""),"С властями, чтобы они напрямую выполняли просьбы,отвечали на жалобы и обращения")</f>
        <v>С властями, чтобы они напрямую выполняли просьбы,отвечали на жалобы и обращения</v>
      </c>
      <c r="AC419" s="6" t="str">
        <f>IFERROR(__xludf.DUMMYFUNCTION("""COMPUTED_VALUE"""),"Городские фестивали, конкурсы с открытой дверью, больше мероприятий на свежем воздухе, проведение зарядки и офп, устроить городской конкурс талантов для взрослого населения с хорошими призами. ")</f>
        <v>Городские фестивали, конкурсы с открытой дверью, больше мероприятий на свежем воздухе, проведение зарядки и офп, устроить городской конкурс талантов для взрослого населения с хорошими призами. </v>
      </c>
      <c r="AD419" s="6" t="str">
        <f>IFERROR(__xludf.DUMMYFUNCTION("""COMPUTED_VALUE"""),"Могу как фотограф и организатор событий, главное чтобы со временем было свободно")</f>
        <v>Могу как фотограф и организатор событий, главное чтобы со временем было свободно</v>
      </c>
      <c r="AE419" s="6" t="str">
        <f>IFERROR(__xludf.DUMMYFUNCTION("""COMPUTED_VALUE"""),"Женский")</f>
        <v>Женский</v>
      </c>
      <c r="AF419" s="6" t="str">
        <f>IFERROR(__xludf.DUMMYFUNCTION("""COMPUTED_VALUE"""),"30-44")</f>
        <v>30-44</v>
      </c>
      <c r="AG419" s="6"/>
      <c r="AH419" s="6"/>
      <c r="AI419" s="6"/>
      <c r="AJ419" s="6"/>
      <c r="AK419" s="6"/>
      <c r="AL419" s="6"/>
      <c r="AM419" s="6"/>
    </row>
    <row r="420">
      <c r="A420" s="6">
        <v>419.0</v>
      </c>
      <c r="B420" s="6" t="str">
        <f>IFERROR(__xludf.DUMMYFUNCTION("""COMPUTED_VALUE"""),"Наука")</f>
        <v>Наука</v>
      </c>
      <c r="C420" s="6" t="str">
        <f>IFERROR(__xludf.DUMMYFUNCTION("""COMPUTED_VALUE"""),"Гейминг")</f>
        <v>Гейминг</v>
      </c>
      <c r="D420" s="6" t="str">
        <f>IFERROR(__xludf.DUMMYFUNCTION("""COMPUTED_VALUE"""),"Ленинский")</f>
        <v>Ленинский</v>
      </c>
      <c r="E420" s="6" t="str">
        <f>IFERROR(__xludf.DUMMYFUNCTION("""COMPUTED_VALUE"""),"Шалго, красное озеро, лето, кадетка")</f>
        <v>Шалго, красное озеро, лето, кадетка</v>
      </c>
      <c r="F420" s="6" t="str">
        <f>IFERROR(__xludf.DUMMYFUNCTION("""COMPUTED_VALUE"""),"Живу здесь с рождения")</f>
        <v>Живу здесь с рождения</v>
      </c>
      <c r="G420" s="6" t="str">
        <f>IFERROR(__xludf.DUMMYFUNCTION("""COMPUTED_VALUE"""),"Набережная")</f>
        <v>Набережная</v>
      </c>
      <c r="H420" s="6" t="str">
        <f>IFERROR(__xludf.DUMMYFUNCTION("""COMPUTED_VALUE"""),"Низкие зп, дорогой интернет гудлайна")</f>
        <v>Низкие зп, дорогой интернет гудлайна</v>
      </c>
      <c r="I420" s="6" t="str">
        <f>IFERROR(__xludf.DUMMYFUNCTION("""COMPUTED_VALUE"""),"Малышева, Тулеев (начало правления)")</f>
        <v>Малышева, Тулеев (начало правления)</v>
      </c>
      <c r="J420" s="6" t="str">
        <f>IFERROR(__xludf.DUMMYFUNCTION("""COMPUTED_VALUE"""),"Барбараш Л. С.")</f>
        <v>Барбараш Л. С.</v>
      </c>
      <c r="K420" s="6" t="str">
        <f>IFERROR(__xludf.DUMMYFUNCTION("""COMPUTED_VALUE"""),"Старая пристань на берегу Томи между жд и кузнецким мостом")</f>
        <v>Старая пристань на берегу Томи между жд и кузнецким мостом</v>
      </c>
      <c r="L420" s="6" t="str">
        <f>IFERROR(__xludf.DUMMYFUNCTION("""COMPUTED_VALUE"""),"Лапландия стоит на стыке тектонических плит и скоро рухнет ")</f>
        <v>Лапландия стоит на стыке тектонических плит и скоро рухнет </v>
      </c>
      <c r="M420" s="6" t="str">
        <f>IFERROR(__xludf.DUMMYFUNCTION("""COMPUTED_VALUE"""),"Бухать на драме. Наш альянс из Кемерово, Кировский район...")</f>
        <v>Бухать на драме. Наш альянс из Кемерово, Кировский район...</v>
      </c>
      <c r="N420" s="6" t="str">
        <f>IFERROR(__xludf.DUMMYFUNCTION("""COMPUTED_VALUE"""),"Зарплаты, досуг, чистота, общественный транспорт (возможность легко и быстро добраться до любой точки города), места для выгула собак ")</f>
        <v>Зарплаты, досуг, чистота, общественный транспорт (возможность легко и быстро добраться до любой точки города), места для выгула собак </v>
      </c>
      <c r="O420" s="6" t="str">
        <f>IFERROR(__xludf.DUMMYFUNCTION("""COMPUTED_VALUE"""),"Чистота")</f>
        <v>Чистота</v>
      </c>
      <c r="P420" s="6" t="str">
        <f>IFERROR(__xludf.DUMMYFUNCTION("""COMPUTED_VALUE"""),"А42, общение, соцсети")</f>
        <v>А42, общение, соцсети</v>
      </c>
      <c r="Q420"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420" s="6" t="str">
        <f>IFERROR(__xludf.DUMMYFUNCTION("""COMPUTED_VALUE"""),"День шахтера")</f>
        <v>День шахтера</v>
      </c>
      <c r="S420" s="6" t="str">
        <f>IFERROR(__xludf.DUMMYFUNCTION("""COMPUTED_VALUE"""),"Нет, не приходилось")</f>
        <v>Нет, не приходилось</v>
      </c>
      <c r="T420" s="6" t="str">
        <f>IFERROR(__xludf.DUMMYFUNCTION("""COMPUTED_VALUE"""),"Тулеев, Зимняя Вишня, Цивелев")</f>
        <v>Тулеев, Зимняя Вишня, Цивелев</v>
      </c>
      <c r="U420" s="6" t="str">
        <f>IFERROR(__xludf.DUMMYFUNCTION("""COMPUTED_VALUE"""),"Парк Ангелов (лучше бы его там не было), площадь Советов ")</f>
        <v>Парк Ангелов (лучше бы его там не было), площадь Советов </v>
      </c>
      <c r="V420" s="6" t="str">
        <f>IFERROR(__xludf.DUMMYFUNCTION("""COMPUTED_VALUE"""),"Угольная промышленность")</f>
        <v>Угольная промышленность</v>
      </c>
      <c r="W420" s="6" t="str">
        <f>IFERROR(__xludf.DUMMYFUNCTION("""COMPUTED_VALUE"""),"Угрюмая доброта")</f>
        <v>Угрюмая доброта</v>
      </c>
      <c r="X420" s="6" t="str">
        <f>IFERROR(__xludf.DUMMYFUNCTION("""COMPUTED_VALUE"""),"Центр-Набережная-горсад-крест-памятник шахтерам-старая пристань- Московский проспект ночью")</f>
        <v>Центр-Набережная-горсад-крест-памятник шахтерам-старая пристань- Московский проспект ночью</v>
      </c>
      <c r="Y420" s="6" t="str">
        <f>IFERROR(__xludf.DUMMYFUNCTION("""COMPUTED_VALUE"""),"Приход Тулеева к власти, пожар в Зимней вишне")</f>
        <v>Приход Тулеева к власти, пожар в Зимней вишне</v>
      </c>
      <c r="Z420" s="6" t="str">
        <f>IFERROR(__xludf.DUMMYFUNCTION("""COMPUTED_VALUE"""),"Реконструкция Московского проспекта")</f>
        <v>Реконструкция Московского проспекта</v>
      </c>
      <c r="AA420" s="6" t="str">
        <f>IFERROR(__xludf.DUMMYFUNCTION("""COMPUTED_VALUE"""),"Ковид")</f>
        <v>Ковид</v>
      </c>
      <c r="AB420" s="6" t="str">
        <f>IFERROR(__xludf.DUMMYFUNCTION("""COMPUTED_VALUE"""),"Образовательных ")</f>
        <v>Образовательных </v>
      </c>
      <c r="AC420" s="6" t="str">
        <f>IFERROR(__xludf.DUMMYFUNCTION("""COMPUTED_VALUE"""),"Творческие")</f>
        <v>Творческие</v>
      </c>
      <c r="AD420" s="6" t="str">
        <f>IFERROR(__xludf.DUMMYFUNCTION("""COMPUTED_VALUE"""),"Наслаждающегося мирного жителя")</f>
        <v>Наслаждающегося мирного жителя</v>
      </c>
      <c r="AE420" s="6" t="str">
        <f>IFERROR(__xludf.DUMMYFUNCTION("""COMPUTED_VALUE"""),"Мужской")</f>
        <v>Мужской</v>
      </c>
      <c r="AF420" s="6" t="str">
        <f>IFERROR(__xludf.DUMMYFUNCTION("""COMPUTED_VALUE"""),"18-29")</f>
        <v>18-29</v>
      </c>
      <c r="AG420" s="6"/>
      <c r="AH420" s="6"/>
      <c r="AI420" s="6"/>
      <c r="AJ420" s="6"/>
      <c r="AK420" s="6"/>
      <c r="AL420" s="6"/>
      <c r="AM420" s="6"/>
    </row>
    <row r="421">
      <c r="A421" s="6">
        <v>420.0</v>
      </c>
      <c r="B421" s="6" t="str">
        <f>IFERROR(__xludf.DUMMYFUNCTION("""COMPUTED_VALUE"""),"Творчество")</f>
        <v>Творчество</v>
      </c>
      <c r="C421" s="6" t="str">
        <f>IFERROR(__xludf.DUMMYFUNCTION("""COMPUTED_VALUE"""),"Их много")</f>
        <v>Их много</v>
      </c>
      <c r="D421" s="6" t="str">
        <f>IFERROR(__xludf.DUMMYFUNCTION("""COMPUTED_VALUE"""),"Ленинский. Спальный")</f>
        <v>Ленинский. Спальный</v>
      </c>
      <c r="E421" s="6" t="str">
        <f>IFERROR(__xludf.DUMMYFUNCTION("""COMPUTED_VALUE"""),"Красное озеро, берег Томи")</f>
        <v>Красное озеро, берег Томи</v>
      </c>
      <c r="F421" s="6" t="str">
        <f>IFERROR(__xludf.DUMMYFUNCTION("""COMPUTED_VALUE"""),"Живу здесь с рождения")</f>
        <v>Живу здесь с рождения</v>
      </c>
      <c r="G421" s="6" t="str">
        <f>IFERROR(__xludf.DUMMYFUNCTION("""COMPUTED_VALUE"""),"Рудничный бор, Лазурный берег")</f>
        <v>Рудничный бор, Лазурный берег</v>
      </c>
      <c r="H421" s="6" t="str">
        <f>IFERROR(__xludf.DUMMYFUNCTION("""COMPUTED_VALUE"""),"Родина, Азот, Томь, Красная Горка, Волков")</f>
        <v>Родина, Азот, Томь, Красная Горка, Волков</v>
      </c>
      <c r="I421" s="6" t="str">
        <f>IFERROR(__xludf.DUMMYFUNCTION("""COMPUTED_VALUE"""),"Михайло Волков,  архитектор Йоханнес ван Лохем.")</f>
        <v>Михайло Волков,  архитектор Йоханнес ван Лохем.</v>
      </c>
      <c r="J421" s="6" t="str">
        <f>IFERROR(__xludf.DUMMYFUNCTION("""COMPUTED_VALUE"""),"Михаил Подгорбунский, Владимир Мартемьянов.")</f>
        <v>Михаил Подгорбунский, Владимир Мартемьянов.</v>
      </c>
      <c r="K421" s="6" t="str">
        <f>IFERROR(__xludf.DUMMYFUNCTION("""COMPUTED_VALUE"""),"Крест, Памятник шахтёрам.")</f>
        <v>Крест, Памятник шахтёрам.</v>
      </c>
      <c r="L421" s="6" t="str">
        <f>IFERROR(__xludf.DUMMYFUNCTION("""COMPUTED_VALUE"""),"Если над городом туман - это смог. Хочешь улететь в Москву - лети на день раньше. ")</f>
        <v>Если над городом туман - это смог. Хочешь улететь в Москву - лети на день раньше. </v>
      </c>
      <c r="M421" s="6" t="str">
        <f>IFERROR(__xludf.DUMMYFUNCTION("""COMPUTED_VALUE"""),"Не знаю")</f>
        <v>Не знаю</v>
      </c>
      <c r="N421" s="6" t="str">
        <f>IFERROR(__xludf.DUMMYFUNCTION("""COMPUTED_VALUE"""),"Чистый воздух, много зелени, благоустроенная территория, доступность медицинской помощи, современные спортивные объекты.")</f>
        <v>Чистый воздух, много зелени, благоустроенная территория, доступность медицинской помощи, современные спортивные объекты.</v>
      </c>
      <c r="O421" s="6" t="str">
        <f>IFERROR(__xludf.DUMMYFUNCTION("""COMPUTED_VALUE"""),"Дороги, дома и всё остальное")</f>
        <v>Дороги, дома и всё остальное</v>
      </c>
      <c r="P421" s="6" t="str">
        <f>IFERROR(__xludf.DUMMYFUNCTION("""COMPUTED_VALUE"""),"Интернет во всех его проявлениях")</f>
        <v>Интернет во всех его проявлениях</v>
      </c>
      <c r="Q421" s="6" t="str">
        <f>IFERROR(__xludf.DUMMYFUNCTION("""COMPUTED_VALUE"""),"не интересуют, как и региональные СМИ")</f>
        <v>не интересуют, как и региональные СМИ</v>
      </c>
      <c r="R421" s="6" t="str">
        <f>IFERROR(__xludf.DUMMYFUNCTION("""COMPUTED_VALUE"""),"День города")</f>
        <v>День города</v>
      </c>
      <c r="S421"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Съёмка и трансляция "&amp;"актуального контента на ТВ")</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Съёмка и трансляция актуального контента на ТВ</v>
      </c>
      <c r="T421" s="6" t="str">
        <f>IFERROR(__xludf.DUMMYFUNCTION("""COMPUTED_VALUE"""),"Место открытия залежей угля, центр химической промышленности.")</f>
        <v>Место открытия залежей угля, центр химической промышленности.</v>
      </c>
      <c r="U421" s="6" t="str">
        <f>IFERROR(__xludf.DUMMYFUNCTION("""COMPUTED_VALUE"""),"улица Весенняя, проспект Советский")</f>
        <v>улица Весенняя, проспект Советский</v>
      </c>
      <c r="V421" s="6" t="str">
        <f>IFERROR(__xludf.DUMMYFUNCTION("""COMPUTED_VALUE"""),"Построили Химпром, Кардиоцентр, назвали аэропорт имением Алексея Леонова.")</f>
        <v>Построили Химпром, Кардиоцентр, назвали аэропорт имением Алексея Леонова.</v>
      </c>
      <c r="W421" s="6" t="str">
        <f>IFERROR(__xludf.DUMMYFUNCTION("""COMPUTED_VALUE"""),"Агрессивные, депрессивные.")</f>
        <v>Агрессивные, депрессивные.</v>
      </c>
      <c r="X421" s="6" t="str">
        <f>IFERROR(__xludf.DUMMYFUNCTION("""COMPUTED_VALUE"""),"Рудничный бор, вид на Кемерово с горы.")</f>
        <v>Рудничный бор, вид на Кемерово с горы.</v>
      </c>
      <c r="Y421" s="6" t="str">
        <f>IFERROR(__xludf.DUMMYFUNCTION("""COMPUTED_VALUE"""),"Затрудняюсь ответить")</f>
        <v>Затрудняюсь ответить</v>
      </c>
      <c r="Z421" s="6" t="str">
        <f>IFERROR(__xludf.DUMMYFUNCTION("""COMPUTED_VALUE"""),"Обещание построить аквапарк, которое так и осталось мифом")</f>
        <v>Обещание построить аквапарк, которое так и осталось мифом</v>
      </c>
      <c r="AA421" s="6" t="str">
        <f>IFERROR(__xludf.DUMMYFUNCTION("""COMPUTED_VALUE"""),"Закрытие бассейна Лазурный")</f>
        <v>Закрытие бассейна Лазурный</v>
      </c>
      <c r="AB421" s="6" t="str">
        <f>IFERROR(__xludf.DUMMYFUNCTION("""COMPUTED_VALUE"""),"Общество защиты животных")</f>
        <v>Общество защиты животных</v>
      </c>
      <c r="AC421" s="6" t="str">
        <f>IFERROR(__xludf.DUMMYFUNCTION("""COMPUTED_VALUE"""),"Бесплатные культурные мероприятия для детей и взрослых")</f>
        <v>Бесплатные культурные мероприятия для детей и взрослых</v>
      </c>
      <c r="AD421" s="6" t="str">
        <f>IFERROR(__xludf.DUMMYFUNCTION("""COMPUTED_VALUE"""),"У меня нет финансов на решение городских проблем")</f>
        <v>У меня нет финансов на решение городских проблем</v>
      </c>
      <c r="AE421" s="6" t="str">
        <f>IFERROR(__xludf.DUMMYFUNCTION("""COMPUTED_VALUE"""),"Женский")</f>
        <v>Женский</v>
      </c>
      <c r="AF421" s="6" t="str">
        <f>IFERROR(__xludf.DUMMYFUNCTION("""COMPUTED_VALUE"""),"45-55")</f>
        <v>45-55</v>
      </c>
      <c r="AG421" s="6"/>
      <c r="AH421" s="6"/>
      <c r="AI421" s="6"/>
      <c r="AJ421" s="6"/>
      <c r="AK421" s="6"/>
      <c r="AL421" s="6"/>
      <c r="AM421" s="6"/>
    </row>
    <row r="422">
      <c r="A422" s="6">
        <v>421.0</v>
      </c>
      <c r="B422" s="6" t="str">
        <f>IFERROR(__xludf.DUMMYFUNCTION("""COMPUTED_VALUE"""),"Программист")</f>
        <v>Программист</v>
      </c>
      <c r="C422" s="6" t="str">
        <f>IFERROR(__xludf.DUMMYFUNCTION("""COMPUTED_VALUE"""),"Шахматы ")</f>
        <v>Шахматы </v>
      </c>
      <c r="D422" s="6" t="str">
        <f>IFERROR(__xludf.DUMMYFUNCTION("""COMPUTED_VALUE"""),"Центральный. Притомский")</f>
        <v>Центральный. Притомский</v>
      </c>
      <c r="E422" s="6" t="str">
        <f>IFERROR(__xludf.DUMMYFUNCTION("""COMPUTED_VALUE"""),"Сквер ")</f>
        <v>Сквер </v>
      </c>
      <c r="F422" s="6" t="str">
        <f>IFERROR(__xludf.DUMMYFUNCTION("""COMPUTED_VALUE"""),"Переехал сюда из другого места (откуда? укажите в графе другое), Из Яшкино")</f>
        <v>Переехал сюда из другого места (откуда? укажите в графе другое), Из Яшкино</v>
      </c>
      <c r="G422" s="6" t="str">
        <f>IFERROR(__xludf.DUMMYFUNCTION("""COMPUTED_VALUE"""),"Прогулки в центр, бор")</f>
        <v>Прогулки в центр, бор</v>
      </c>
      <c r="H422" s="6" t="str">
        <f>IFERROR(__xludf.DUMMYFUNCTION("""COMPUTED_VALUE"""),"Грязный воздух, пыль, грязь, смог, уголь")</f>
        <v>Грязный воздух, пыль, грязь, смог, уголь</v>
      </c>
      <c r="I422" s="6" t="str">
        <f>IFERROR(__xludf.DUMMYFUNCTION("""COMPUTED_VALUE"""),"Тулеев")</f>
        <v>Тулеев</v>
      </c>
      <c r="J422" s="6" t="str">
        <f>IFERROR(__xludf.DUMMYFUNCTION("""COMPUTED_VALUE"""),"Леха Поляков")</f>
        <v>Леха Поляков</v>
      </c>
      <c r="K422" s="6" t="str">
        <f>IFERROR(__xludf.DUMMYFUNCTION("""COMPUTED_VALUE"""),"Бор, кафе Завтра, кать")</f>
        <v>Бор, кафе Завтра, кать</v>
      </c>
      <c r="L422" s="6" t="str">
        <f>IFERROR(__xludf.DUMMYFUNCTION("""COMPUTED_VALUE"""),"-")</f>
        <v>-</v>
      </c>
      <c r="M422" s="6" t="str">
        <f>IFERROR(__xludf.DUMMYFUNCTION("""COMPUTED_VALUE"""),"Мультифора")</f>
        <v>Мультифора</v>
      </c>
      <c r="N422" s="6" t="str">
        <f>IFERROR(__xludf.DUMMYFUNCTION("""COMPUTED_VALUE"""),"Чистый воздух, чистые улицы, разные кафе, места для прогулок, ровные дороги")</f>
        <v>Чистый воздух, чистые улицы, разные кафе, места для прогулок, ровные дороги</v>
      </c>
      <c r="O422" s="6" t="str">
        <f>IFERROR(__xludf.DUMMYFUNCTION("""COMPUTED_VALUE"""),"Не загрязнять воздух")</f>
        <v>Не загрязнять воздух</v>
      </c>
      <c r="P422" s="6" t="str">
        <f>IFERROR(__xludf.DUMMYFUNCTION("""COMPUTED_VALUE"""),"А42, vse42")</f>
        <v>А42, vse42</v>
      </c>
      <c r="Q422" s="6" t="str">
        <f>IFERROR(__xludf.DUMMYFUNCTION("""COMPUTED_VALUE"""),"куда пойти в свободное время, где вкусно поесть/открытие новых кафе/ресторанов,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(средний чек/рекламные акци"&amp;"и/запуск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422" s="6" t="str">
        <f>IFERROR(__xludf.DUMMYFUNCTION("""COMPUTED_VALUE"""),"Новый год")</f>
        <v>Новый год</v>
      </c>
      <c r="S422" s="6" t="str">
        <f>IFERROR(__xludf.DUMMYFUNCTION("""COMPUTED_VALUE"""),"Нет, не приходилось")</f>
        <v>Нет, не приходилось</v>
      </c>
      <c r="T422" s="6" t="str">
        <f>IFERROR(__xludf.DUMMYFUNCTION("""COMPUTED_VALUE"""),"Смог, дорогая бесполезная елка")</f>
        <v>Смог, дорогая бесполезная елка</v>
      </c>
      <c r="U422" s="6" t="str">
        <f>IFERROR(__xludf.DUMMYFUNCTION("""COMPUTED_VALUE"""),"Площадь")</f>
        <v>Площадь</v>
      </c>
      <c r="V422" s="6" t="str">
        <f>IFERROR(__xludf.DUMMYFUNCTION("""COMPUTED_VALUE"""),"Расширяли")</f>
        <v>Расширяли</v>
      </c>
      <c r="W422" s="6" t="str">
        <f>IFERROR(__xludf.DUMMYFUNCTION("""COMPUTED_VALUE"""),"Мусорят")</f>
        <v>Мусорят</v>
      </c>
      <c r="X422" s="6" t="str">
        <f>IFERROR(__xludf.DUMMYFUNCTION("""COMPUTED_VALUE"""),"По набережной от арочной и обратно по Советскому")</f>
        <v>По набережной от арочной и обратно по Советскому</v>
      </c>
      <c r="Y422" s="6" t="str">
        <f>IFERROR(__xludf.DUMMYFUNCTION("""COMPUTED_VALUE"""),"Пожар в зимней вишне")</f>
        <v>Пожар в зимней вишне</v>
      </c>
      <c r="Z422" s="6" t="str">
        <f>IFERROR(__xludf.DUMMYFUNCTION("""COMPUTED_VALUE"""),"Открытие тортишной и завтра, Кать 😀")</f>
        <v>Открытие тортишной и завтра, Кать 😀</v>
      </c>
      <c r="AA422" s="6" t="str">
        <f>IFERROR(__xludf.DUMMYFUNCTION("""COMPUTED_VALUE"""),"Закрытие Лазурного, пожар в Зимней вишне, клоунада Тулеева, бесконечная грязь из-за строек")</f>
        <v>Закрытие Лазурного, пожар в Зимней вишне, клоунада Тулеева, бесконечная грязь из-за строек</v>
      </c>
      <c r="AB422" s="6" t="str">
        <f>IFERROR(__xludf.DUMMYFUNCTION("""COMPUTED_VALUE"""),"-")</f>
        <v>-</v>
      </c>
      <c r="AC422" s="6" t="str">
        <f>IFERROR(__xludf.DUMMYFUNCTION("""COMPUTED_VALUE"""),"Общественные конкурсы")</f>
        <v>Общественные конкурсы</v>
      </c>
      <c r="AD422" s="6" t="str">
        <f>IFERROR(__xludf.DUMMYFUNCTION("""COMPUTED_VALUE"""),"В роли голосующего")</f>
        <v>В роли голосующего</v>
      </c>
      <c r="AE422" s="6" t="str">
        <f>IFERROR(__xludf.DUMMYFUNCTION("""COMPUTED_VALUE"""),"Мужской")</f>
        <v>Мужской</v>
      </c>
      <c r="AF422" s="6" t="str">
        <f>IFERROR(__xludf.DUMMYFUNCTION("""COMPUTED_VALUE"""),"30-44")</f>
        <v>30-44</v>
      </c>
      <c r="AG422" s="6"/>
      <c r="AH422" s="6"/>
      <c r="AI422" s="6"/>
      <c r="AJ422" s="6"/>
      <c r="AK422" s="6"/>
      <c r="AL422" s="6"/>
      <c r="AM422" s="6"/>
    </row>
    <row r="423">
      <c r="A423" s="6">
        <v>422.0</v>
      </c>
      <c r="B423" s="6" t="str">
        <f>IFERROR(__xludf.DUMMYFUNCTION("""COMPUTED_VALUE"""),"Пенсионер")</f>
        <v>Пенсионер</v>
      </c>
      <c r="C423" s="6" t="str">
        <f>IFERROR(__xludf.DUMMYFUNCTION("""COMPUTED_VALUE"""),"Чтение")</f>
        <v>Чтение</v>
      </c>
      <c r="D423" s="6" t="str">
        <f>IFERROR(__xludf.DUMMYFUNCTION("""COMPUTED_VALUE"""),"Центральный (Центр)")</f>
        <v>Центральный (Центр)</v>
      </c>
      <c r="E423" s="6" t="str">
        <f>IFERROR(__xludf.DUMMYFUNCTION("""COMPUTED_VALUE"""),"Драмтеатр и другие театры, филармония, музеи, фонтан, площадь Советов, Главпочтамт, набережная")</f>
        <v>Драмтеатр и другие театры, филармония, музеи, фонтан, площадь Советов, Главпочтамт, набережная</v>
      </c>
      <c r="F423" s="6" t="str">
        <f>IFERROR(__xludf.DUMMYFUNCTION("""COMPUTED_VALUE"""),"Переехал сюда из другого места (откуда? укажите в графе другое), Переехала из Ленинска-Кузнецкого")</f>
        <v>Переехал сюда из другого места (откуда? укажите в графе другое), Переехала из Ленинска-Кузнецкого</v>
      </c>
      <c r="G423" s="6" t="str">
        <f>IFERROR(__xludf.DUMMYFUNCTION("""COMPUTED_VALUE"""),"Гуляю по центру, хожу в бор")</f>
        <v>Гуляю по центру, хожу в бор</v>
      </c>
      <c r="H423" s="6" t="str">
        <f>IFERROR(__xludf.DUMMYFUNCTION("""COMPUTED_VALUE"""),"Уют, провинция, неухоженность, смог, уникальность")</f>
        <v>Уют, провинция, неухоженность, смог, уникальность</v>
      </c>
      <c r="I423" s="6" t="str">
        <f>IFERROR(__xludf.DUMMYFUNCTION("""COMPUTED_VALUE"""),"Не помню")</f>
        <v>Не помню</v>
      </c>
      <c r="J423" s="6" t="str">
        <f>IFERROR(__xludf.DUMMYFUNCTION("""COMPUTED_VALUE"""),"Не знаю")</f>
        <v>Не знаю</v>
      </c>
      <c r="K423" s="6" t="str">
        <f>IFERROR(__xludf.DUMMYFUNCTION("""COMPUTED_VALUE"""),"Бор и центр города")</f>
        <v>Бор и центр города</v>
      </c>
      <c r="L423" s="6" t="str">
        <f>IFERROR(__xludf.DUMMYFUNCTION("""COMPUTED_VALUE"""),"Неча на зеркало пенять, коли рожа крива")</f>
        <v>Неча на зеркало пенять, коли рожа крива</v>
      </c>
      <c r="M423" s="6" t="str">
        <f>IFERROR(__xludf.DUMMYFUNCTION("""COMPUTED_VALUE"""),"Ответ на вопрос ""где?"" - в КемеровО (с пеной у рта)))")</f>
        <v>Ответ на вопрос "где?" - в КемеровО (с пеной у рта)))</v>
      </c>
      <c r="N423" s="6" t="str">
        <f>IFERROR(__xludf.DUMMYFUNCTION("""COMPUTED_VALUE"""),"Чистый воздух.
Удобство пешего передвижения, в том числе с коляской (на коляске).
Места для прогулок.
Хорошая бесплатная медпомощь (получение её в полном объёме в своём городе, без выезда).
Возможность трудоустройства по специальности для любого горожанин"&amp;"а (в том числе, реальная возможность переобучения).")</f>
        <v>Чистый воздух.
Удобство пешего передвижения, в том числе с коляской (на коляске).
Места для прогулок.
Хорошая бесплатная медпомощь (получение её в полном объёме в своём городе, без выезда).
Возможность трудоустройства по специальности для любого горожанина (в том числе, реальная возможность переобучения).</v>
      </c>
      <c r="O423" s="6" t="str">
        <f>IFERROR(__xludf.DUMMYFUNCTION("""COMPUTED_VALUE"""),"Отремонтировать фасады и асфальт. Привести к единой концепции облик строящихся зданий и уже существующих домов. Прекратить уродование набережной центра точечной застройкой вроде нового кафе. И главное - вкладывать средства в содержание и ремонт постоянно,"&amp;" а не к круглым датам.")</f>
        <v>Отремонтировать фасады и асфальт. Привести к единой концепции облик строящихся зданий и уже существующих домов. Прекратить уродование набережной центра точечной застройкой вроде нового кафе. И главное - вкладывать средства в содержание и ремонт постоянно, а не к круглым датам.</v>
      </c>
      <c r="P423" s="6" t="str">
        <f>IFERROR(__xludf.DUMMYFUNCTION("""COMPUTED_VALUE"""),"Яндекс")</f>
        <v>Яндекс</v>
      </c>
      <c r="Q423" s="6" t="str">
        <f>IFERROR(__xludf.DUMMYFUNCTION("""COMPUTED_VALUE"""),"городская афиша (кино/театр/концерты), культурные новинки (что почитать/что послушать), интервью с местными политиками")</f>
        <v>городская афиша (кино/театр/концерты), культурные новинки (что почитать/что послушать), интервью с местными политиками</v>
      </c>
      <c r="R423" s="6" t="str">
        <f>IFERROR(__xludf.DUMMYFUNCTION("""COMPUTED_VALUE"""),"День города, День шахтёра, День молодёжи, День защиты детей")</f>
        <v>День города, День шахтёра, День молодёжи, День защиты детей</v>
      </c>
      <c r="S423" s="6" t="str">
        <f>IFERROR(__xludf.DUMMYFUNCTION("""COMPUTED_VALUE"""),"Нет, не приходилось")</f>
        <v>Нет, не приходилось</v>
      </c>
      <c r="T423" s="6" t="str">
        <f>IFERROR(__xludf.DUMMYFUNCTION("""COMPUTED_VALUE"""),"Первое, что приходит на ум моим знакомым из других городов - плохая экология. Для меня уникальным является бор в центре города и замечательно обустроенный центр города - всё в шаговой доступности, в буквальном смысле.")</f>
        <v>Первое, что приходит на ум моим знакомым из других городов - плохая экология. Для меня уникальным является бор в центре города и замечательно обустроенный центр города - всё в шаговой доступности, в буквальном смысле.</v>
      </c>
      <c r="U423" s="6" t="str">
        <f>IFERROR(__xludf.DUMMYFUNCTION("""COMPUTED_VALUE"""),"Драмтеатр")</f>
        <v>Драмтеатр</v>
      </c>
      <c r="V423" s="6" t="str">
        <f>IFERROR(__xludf.DUMMYFUNCTION("""COMPUTED_VALUE"""),"Когда-то кемеровчане его построили и продолжали благоустраивать на протяжении десятилетий. Чем можно гордиться современным кемеровчанам, я не знаю, слишком мало живу в городе, чтобы это понять. Пока поводов для гордости не увидела, но всё впереди)")</f>
        <v>Когда-то кемеровчане его построили и продолжали благоустраивать на протяжении десятилетий. Чем можно гордиться современным кемеровчанам, я не знаю, слишком мало живу в городе, чтобы это понять. Пока поводов для гордости не увидела, но всё впереди)</v>
      </c>
      <c r="W423" s="6" t="str">
        <f>IFERROR(__xludf.DUMMYFUNCTION("""COMPUTED_VALUE"""),"Такие же, как и жители других городов - разные. Есть приятные в общении люди, а есть хамы. Есть стремящиеся сделать мир вокруг себя лучше, а есть ждущие, когда кто-то придет и порядок наведёт) Особенных качеств, присущих только жителям Кемерова не заметил"&amp;"а.")</f>
        <v>Такие же, как и жители других городов - разные. Есть приятные в общении люди, а есть хамы. Есть стремящиеся сделать мир вокруг себя лучше, а есть ждущие, когда кто-то придет и порядок наведёт) Особенных качеств, присущих только жителям Кемерова не заметила.</v>
      </c>
      <c r="X423" s="6" t="str">
        <f>IFERROR(__xludf.DUMMYFUNCTION("""COMPUTED_VALUE"""),"Центр, конечно. С заходом в бор и обзором со смотровых площадок.")</f>
        <v>Центр, конечно. С заходом в бор и обзором со смотровых площадок.</v>
      </c>
      <c r="Y423" s="6" t="str">
        <f>IFERROR(__xludf.DUMMYFUNCTION("""COMPUTED_VALUE"""),"Решение сохранить бор - всё остальное не столь уникально")</f>
        <v>Решение сохранить бор - всё остальное не столь уникально</v>
      </c>
      <c r="Z423" s="6" t="str">
        <f>IFERROR(__xludf.DUMMYFUNCTION("""COMPUTED_VALUE"""),"Вы смеётесь?! Последний год была пандемия, ну а в предпоследний, наверное - строительство культурного кластера.")</f>
        <v>Вы смеётесь?! Последний год была пандемия, ну а в предпоследний, наверное - строительство культурного кластера.</v>
      </c>
      <c r="AA423" s="6" t="str">
        <f>IFERROR(__xludf.DUMMYFUNCTION("""COMPUTED_VALUE"""),"Попытки городских властей и губернатора ""обустроить"" бор парковками и статуями, возродить подъёмник.")</f>
        <v>Попытки городских властей и губернатора "обустроить" бор парковками и статуями, возродить подъёмник.</v>
      </c>
      <c r="AB423" s="6" t="str">
        <f>IFERROR(__xludf.DUMMYFUNCTION("""COMPUTED_VALUE"""),"Мне не хватает чистого воздуха, остального достаточно")</f>
        <v>Мне не хватает чистого воздуха, остального достаточно</v>
      </c>
      <c r="AC423" s="6" t="str">
        <f>IFERROR(__xludf.DUMMYFUNCTION("""COMPUTED_VALUE"""),"Точно не знаю, какие, но они должны объединять поколения &amp; таких точно не хватает. Мероприятия по возрастам проводятся.")</f>
        <v>Точно не знаю, какие, но они должны объединять поколения &amp; таких точно не хватает. Мероприятия по возрастам проводятся.</v>
      </c>
      <c r="AD423" s="6" t="str">
        <f>IFERROR(__xludf.DUMMYFUNCTION("""COMPUTED_VALUE"""),"Посильная помощь")</f>
        <v>Посильная помощь</v>
      </c>
      <c r="AE423" s="6" t="str">
        <f>IFERROR(__xludf.DUMMYFUNCTION("""COMPUTED_VALUE"""),"Женский")</f>
        <v>Женский</v>
      </c>
      <c r="AF423" s="6" t="str">
        <f>IFERROR(__xludf.DUMMYFUNCTION("""COMPUTED_VALUE"""),"45-55")</f>
        <v>45-55</v>
      </c>
      <c r="AG423" s="6"/>
      <c r="AH423" s="6"/>
      <c r="AI423" s="6"/>
      <c r="AJ423" s="6"/>
      <c r="AK423" s="6"/>
      <c r="AL423" s="6"/>
      <c r="AM423" s="6"/>
    </row>
    <row r="424">
      <c r="A424" s="6">
        <v>423.0</v>
      </c>
      <c r="B424" s="6" t="str">
        <f>IFERROR(__xludf.DUMMYFUNCTION("""COMPUTED_VALUE"""),"сми")</f>
        <v>сми</v>
      </c>
      <c r="C424" s="6" t="str">
        <f>IFERROR(__xludf.DUMMYFUNCTION("""COMPUTED_VALUE"""),"альтернативные науки")</f>
        <v>альтернативные науки</v>
      </c>
      <c r="D424" s="6" t="str">
        <f>IFERROR(__xludf.DUMMYFUNCTION("""COMPUTED_VALUE"""),"южный")</f>
        <v>южный</v>
      </c>
      <c r="E424" s="6" t="str">
        <f>IFERROR(__xludf.DUMMYFUNCTION("""COMPUTED_VALUE"""),"бульвар Патриотов, сквер у церкви")</f>
        <v>бульвар Патриотов, сквер у церкви</v>
      </c>
      <c r="F424" s="6" t="str">
        <f>IFERROR(__xludf.DUMMYFUNCTION("""COMPUTED_VALUE"""),"Живу здесь с рождения")</f>
        <v>Живу здесь с рождения</v>
      </c>
      <c r="G424" s="6" t="str">
        <f>IFERROR(__xludf.DUMMYFUNCTION("""COMPUTED_VALUE"""),"рудничный бор, горсад, берег Томи в д.Журавлево")</f>
        <v>рудничный бор, горсад, берег Томи в д.Журавлево</v>
      </c>
      <c r="H424" s="6" t="str">
        <f>IFERROR(__xludf.DUMMYFUNCTION("""COMPUTED_VALUE"""),"уголь, Сердце шахтера, площадь Советов, красная горка")</f>
        <v>уголь, Сердце шахтера, площадь Советов, красная горка</v>
      </c>
      <c r="I424" s="6" t="str">
        <f>IFERROR(__xludf.DUMMYFUNCTION("""COMPUTED_VALUE"""),"Михайло Волков,  Себальд Рутгерс, Вера Волошина, Владимир Маремьянов, Михаил Подгорбунский")</f>
        <v>Михайло Волков,  Себальд Рутгерс, Вера Волошина, Владимир Маремьянов, Михаил Подгорбунский</v>
      </c>
      <c r="J424" s="6" t="str">
        <f>IFERROR(__xludf.DUMMYFUNCTION("""COMPUTED_VALUE"""),"Владимир Васильевич Михайлов, Аман Гумирович Тулеев, Валентин Петрович Мазикин,")</f>
        <v>Владимир Васильевич Михайлов, Аман Гумирович Тулеев, Валентин Петрович Мазикин,</v>
      </c>
      <c r="K424" s="6" t="str">
        <f>IFERROR(__xludf.DUMMYFUNCTION("""COMPUTED_VALUE"""),"памятник Сердце Шахтера, музей Красная горка, горсад, ")</f>
        <v>памятник Сердце Шахтера, музей Красная горка, горсад, </v>
      </c>
      <c r="L424" s="6" t="str">
        <f>IFERROR(__xludf.DUMMYFUNCTION("""COMPUTED_VALUE"""),"находка угля, кокакола-мэн, ")</f>
        <v>находка угля, кокакола-мэн, </v>
      </c>
      <c r="M424" s="6" t="str">
        <f>IFERROR(__xludf.DUMMYFUNCTION("""COMPUTED_VALUE"""),"территории: драма, швейка, бульвар, гора")</f>
        <v>территории: драма, швейка, бульвар, гора</v>
      </c>
      <c r="N424" s="6" t="str">
        <f>IFERROR(__xludf.DUMMYFUNCTION("""COMPUTED_VALUE"""),"чистые улицы, дороги, освещение, архитектура, люди")</f>
        <v>чистые улицы, дороги, освещение, архитектура, люди</v>
      </c>
      <c r="O424" s="6" t="str">
        <f>IFERROR(__xludf.DUMMYFUNCTION("""COMPUTED_VALUE"""),"убрать бараки/ старую ветхую застройку, улучшить транспортную инфраструктуру")</f>
        <v>убрать бараки/ старую ветхую застройку, улучшить транспортную инфраструктуру</v>
      </c>
      <c r="P424" s="6" t="str">
        <f>IFERROR(__xludf.DUMMYFUNCTION("""COMPUTED_VALUE"""),"все42")</f>
        <v>все42</v>
      </c>
      <c r="Q424"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424" s="6" t="str">
        <f>IFERROR(__xludf.DUMMYFUNCTION("""COMPUTED_VALUE"""),"День Победы, День шахтера, Новый год,, День Молодежи")</f>
        <v>День Победы, День шахтера, Новый год,, День Молодежи</v>
      </c>
      <c r="S424" s="6" t="str">
        <f>IFERROR(__xludf.DUMMYFUNCTION("""COMPUTED_VALUE"""),"Делал рассылку по электронной почте, Обращался в редакции электронных городских СМИ")</f>
        <v>Делал рассылку по электронной почте, Обращался в редакции электронных городских СМИ</v>
      </c>
      <c r="T424" s="6" t="str">
        <f>IFERROR(__xludf.DUMMYFUNCTION("""COMPUTED_VALUE"""),"аэровокзальный комплекс Международный аэропорт им.Леонова, Кемеровское Президентское кадетское училище, Здание VIII Кассационного суда общей юрисдикции,")</f>
        <v>аэровокзальный комплекс Международный аэропорт им.Леонова, Кемеровское Президентское кадетское училище, Здание VIII Кассационного суда общей юрисдикции,</v>
      </c>
      <c r="U424" s="6" t="str">
        <f>IFERROR(__xludf.DUMMYFUNCTION("""COMPUTED_VALUE"""),"площадь Советов, парк Ангелов")</f>
        <v>площадь Советов, парк Ангелов</v>
      </c>
      <c r="V424" s="6" t="str">
        <f>IFERROR(__xludf.DUMMYFUNCTION("""COMPUTED_VALUE"""),"честно трудились на общее благо")</f>
        <v>честно трудились на общее благо</v>
      </c>
      <c r="W424" s="6" t="str">
        <f>IFERROR(__xludf.DUMMYFUNCTION("""COMPUTED_VALUE"""),"Отзывчивы, открыты")</f>
        <v>Отзывчивы, открыты</v>
      </c>
      <c r="X424" s="6" t="str">
        <f>IFERROR(__xludf.DUMMYFUNCTION("""COMPUTED_VALUE"""),"по пр. Советскому в горсад")</f>
        <v>по пр. Советскому в горсад</v>
      </c>
      <c r="Y424" s="6" t="str">
        <f>IFERROR(__xludf.DUMMYFUNCTION("""COMPUTED_VALUE"""),"открытие залежей каменного угля")</f>
        <v>открытие залежей каменного угля</v>
      </c>
      <c r="Z424" s="6" t="str">
        <f>IFERROR(__xludf.DUMMYFUNCTION("""COMPUTED_VALUE"""),"открытие Кемеровского Президентского кадетского училища ")</f>
        <v>открытие Кемеровского Президентского кадетского училища </v>
      </c>
      <c r="AA424" s="6" t="str">
        <f>IFERROR(__xludf.DUMMYFUNCTION("""COMPUTED_VALUE"""),"уголовные дела, связанные с пожаром в ТРЦ ""Зимняя вишня""")</f>
        <v>уголовные дела, связанные с пожаром в ТРЦ "Зимняя вишня"</v>
      </c>
      <c r="AB424" s="6" t="str">
        <f>IFERROR(__xludf.DUMMYFUNCTION("""COMPUTED_VALUE"""),"уличных танцоров")</f>
        <v>уличных танцоров</v>
      </c>
      <c r="AC424" s="6" t="str">
        <f>IFERROR(__xludf.DUMMYFUNCTION("""COMPUTED_VALUE"""),"уличные танцы, песни (по районам) каждые выходные летом")</f>
        <v>уличные танцы, песни (по районам) каждые выходные летом</v>
      </c>
      <c r="AD424" s="6" t="str">
        <f>IFERROR(__xludf.DUMMYFUNCTION("""COMPUTED_VALUE"""),"популяризационной")</f>
        <v>популяризационной</v>
      </c>
      <c r="AE424" s="6" t="str">
        <f>IFERROR(__xludf.DUMMYFUNCTION("""COMPUTED_VALUE"""),"Женский")</f>
        <v>Женский</v>
      </c>
      <c r="AF424" s="6" t="str">
        <f>IFERROR(__xludf.DUMMYFUNCTION("""COMPUTED_VALUE"""),"30-44")</f>
        <v>30-44</v>
      </c>
      <c r="AG424" s="6"/>
      <c r="AH424" s="6"/>
      <c r="AI424" s="6"/>
      <c r="AJ424" s="6"/>
      <c r="AK424" s="6"/>
      <c r="AL424" s="6"/>
      <c r="AM424" s="6"/>
    </row>
    <row r="425">
      <c r="A425" s="6">
        <v>424.0</v>
      </c>
      <c r="B425" s="6" t="str">
        <f>IFERROR(__xludf.DUMMYFUNCTION("""COMPUTED_VALUE"""),"Муниципальный служащий")</f>
        <v>Муниципальный служащий</v>
      </c>
      <c r="C425" s="6" t="str">
        <f>IFERROR(__xludf.DUMMYFUNCTION("""COMPUTED_VALUE"""),"выращивание цветов")</f>
        <v>выращивание цветов</v>
      </c>
      <c r="D425" s="6" t="str">
        <f>IFERROR(__xludf.DUMMYFUNCTION("""COMPUTED_VALUE"""),"Центральный")</f>
        <v>Центральный</v>
      </c>
      <c r="E425" s="6" t="str">
        <f>IFERROR(__xludf.DUMMYFUNCTION("""COMPUTED_VALUE"""),"нет")</f>
        <v>нет</v>
      </c>
      <c r="F425" s="6" t="str">
        <f>IFERROR(__xludf.DUMMYFUNCTION("""COMPUTED_VALUE"""),"Не живу,но приезжаю сюда (к родственникам/друзьям)")</f>
        <v>Не живу,но приезжаю сюда (к родственникам/друзьям)</v>
      </c>
      <c r="G425" s="6" t="str">
        <f>IFERROR(__xludf.DUMMYFUNCTION("""COMPUTED_VALUE"""),"набережная, кафе")</f>
        <v>набережная, кафе</v>
      </c>
      <c r="H425" s="6" t="str">
        <f>IFERROR(__xludf.DUMMYFUNCTION("""COMPUTED_VALUE"""),"Азот, студенчество, липы, пыль, зимняя вишня")</f>
        <v>Азот, студенчество, липы, пыль, зимняя вишня</v>
      </c>
      <c r="I425" s="6" t="str">
        <f>IFERROR(__xludf.DUMMYFUNCTION("""COMPUTED_VALUE"""),"Волков, Тулеев")</f>
        <v>Волков, Тулеев</v>
      </c>
      <c r="J425" s="6" t="str">
        <f>IFERROR(__xludf.DUMMYFUNCTION("""COMPUTED_VALUE"""),"Тулеев")</f>
        <v>Тулеев</v>
      </c>
      <c r="K425" s="6" t="str">
        <f>IFERROR(__xludf.DUMMYFUNCTION("""COMPUTED_VALUE"""),"нет")</f>
        <v>нет</v>
      </c>
      <c r="L425" s="6" t="str">
        <f>IFERROR(__xludf.DUMMYFUNCTION("""COMPUTED_VALUE"""),"нет")</f>
        <v>нет</v>
      </c>
      <c r="M425" s="6" t="str">
        <f>IFERROR(__xludf.DUMMYFUNCTION("""COMPUTED_VALUE"""),"нет")</f>
        <v>нет</v>
      </c>
      <c r="N425" s="6" t="str">
        <f>IFERROR(__xludf.DUMMYFUNCTION("""COMPUTED_VALUE"""),"Отсутствие пыли, качественные дороги и тротуары, много цветов и деревьев, отсутствие мусора")</f>
        <v>Отсутствие пыли, качественные дороги и тротуары, много цветов и деревьев, отсутствие мусора</v>
      </c>
      <c r="O425" s="6" t="str">
        <f>IFERROR(__xludf.DUMMYFUNCTION("""COMPUTED_VALUE"""),"Своевременно убирать мусор, ремонтировать дороги и пешеходные зоны, снести разрушенные здания и бараки")</f>
        <v>Своевременно убирать мусор, ремонтировать дороги и пешеходные зоны, снести разрушенные здания и бараки</v>
      </c>
      <c r="P425" s="6" t="str">
        <f>IFERROR(__xludf.DUMMYFUNCTION("""COMPUTED_VALUE"""),"Сибдепо")</f>
        <v>Сибдепо</v>
      </c>
      <c r="Q425" s="6" t="str">
        <f>IFERROR(__xludf.DUMMYFUNCTION("""COMPUTED_VALUE"""),"городская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разделе"&amp;" Другое свои предложения)")</f>
        <v>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425" s="6" t="str">
        <f>IFERROR(__xludf.DUMMYFUNCTION("""COMPUTED_VALUE"""),"9 мая")</f>
        <v>9 мая</v>
      </c>
      <c r="S425" s="6" t="str">
        <f>IFERROR(__xludf.DUMMYFUNCTION("""COMPUTED_VALUE"""),"Нет, не приходилось")</f>
        <v>Нет, не приходилось</v>
      </c>
      <c r="T425" s="6" t="str">
        <f>IFERROR(__xludf.DUMMYFUNCTION("""COMPUTED_VALUE"""),"знаменит на весь мир Зимней вишней....")</f>
        <v>знаменит на весь мир Зимней вишней....</v>
      </c>
      <c r="U425" s="6" t="str">
        <f>IFERROR(__xludf.DUMMYFUNCTION("""COMPUTED_VALUE"""),"Лапландия, ул. Весенняя")</f>
        <v>Лапландия, ул. Весенняя</v>
      </c>
      <c r="V425" s="6" t="str">
        <f>IFERROR(__xludf.DUMMYFUNCTION("""COMPUTED_VALUE"""),"нет")</f>
        <v>нет</v>
      </c>
      <c r="W425" s="6" t="str">
        <f>IFERROR(__xludf.DUMMYFUNCTION("""COMPUTED_VALUE"""),"нет")</f>
        <v>нет</v>
      </c>
      <c r="X425" s="6" t="str">
        <f>IFERROR(__xludf.DUMMYFUNCTION("""COMPUTED_VALUE"""),"ул. Весенняя когда цветут липы")</f>
        <v>ул. Весенняя когда цветут липы</v>
      </c>
      <c r="Y425" s="6" t="str">
        <f>IFERROR(__xludf.DUMMYFUNCTION("""COMPUTED_VALUE"""),"нет")</f>
        <v>нет</v>
      </c>
      <c r="Z425" s="6" t="str">
        <f>IFERROR(__xludf.DUMMYFUNCTION("""COMPUTED_VALUE"""),"нет")</f>
        <v>нет</v>
      </c>
      <c r="AA425" s="6" t="str">
        <f>IFERROR(__xludf.DUMMYFUNCTION("""COMPUTED_VALUE"""),"нет")</f>
        <v>нет</v>
      </c>
      <c r="AB425" s="6" t="str">
        <f>IFERROR(__xludf.DUMMYFUNCTION("""COMPUTED_VALUE"""),"нет")</f>
        <v>нет</v>
      </c>
      <c r="AC425" s="6" t="str">
        <f>IFERROR(__xludf.DUMMYFUNCTION("""COMPUTED_VALUE"""),"субботники")</f>
        <v>субботники</v>
      </c>
      <c r="AD425" s="6" t="str">
        <f>IFERROR(__xludf.DUMMYFUNCTION("""COMPUTED_VALUE"""),"рядовой участник")</f>
        <v>рядовой участник</v>
      </c>
      <c r="AE425" s="6" t="str">
        <f>IFERROR(__xludf.DUMMYFUNCTION("""COMPUTED_VALUE"""),"Женский")</f>
        <v>Женский</v>
      </c>
      <c r="AF425" s="6" t="str">
        <f>IFERROR(__xludf.DUMMYFUNCTION("""COMPUTED_VALUE"""),"30-44")</f>
        <v>30-44</v>
      </c>
      <c r="AG425" s="6"/>
      <c r="AH425" s="6"/>
      <c r="AI425" s="6"/>
      <c r="AJ425" s="6"/>
      <c r="AK425" s="6"/>
      <c r="AL425" s="6"/>
      <c r="AM425" s="6"/>
    </row>
    <row r="426">
      <c r="A426" s="6">
        <v>425.0</v>
      </c>
      <c r="B426" s="6" t="str">
        <f>IFERROR(__xludf.DUMMYFUNCTION("""COMPUTED_VALUE"""),"государственная служба")</f>
        <v>государственная служба</v>
      </c>
      <c r="C426" s="6" t="str">
        <f>IFERROR(__xludf.DUMMYFUNCTION("""COMPUTED_VALUE"""),"дача, охота.")</f>
        <v>дача, охота.</v>
      </c>
      <c r="D426" s="6" t="str">
        <f>IFERROR(__xludf.DUMMYFUNCTION("""COMPUTED_VALUE"""),"Ленинский")</f>
        <v>Ленинский</v>
      </c>
      <c r="E426" s="6" t="str">
        <f>IFERROR(__xludf.DUMMYFUNCTION("""COMPUTED_VALUE"""),"бульвар Строителей")</f>
        <v>бульвар Строителей</v>
      </c>
      <c r="F426" s="6" t="str">
        <f>IFERROR(__xludf.DUMMYFUNCTION("""COMPUTED_VALUE"""),"Живу здесь с рождения")</f>
        <v>Живу здесь с рождения</v>
      </c>
      <c r="G426" s="6" t="str">
        <f>IFERROR(__xludf.DUMMYFUNCTION("""COMPUTED_VALUE"""),"бульвар Строителей, Весенняя, Набережная.")</f>
        <v>бульвар Строителей, Весенняя, Набережная.</v>
      </c>
      <c r="H426" s="6" t="str">
        <f>IFERROR(__xludf.DUMMYFUNCTION("""COMPUTED_VALUE"""),"река, сосновый бор, трубы, газ, дороги")</f>
        <v>река, сосновый бор, трубы, газ, дороги</v>
      </c>
      <c r="I426" s="6" t="str">
        <f>IFERROR(__xludf.DUMMYFUNCTION("""COMPUTED_VALUE"""),"Михайлов, Вдовин, Раздаев")</f>
        <v>Михайлов, Вдовин, Раздаев</v>
      </c>
      <c r="J426" s="6" t="str">
        <f>IFERROR(__xludf.DUMMYFUNCTION("""COMPUTED_VALUE"""),"Михайлов, ")</f>
        <v>Михайлов, </v>
      </c>
      <c r="K426" s="6" t="str">
        <f>IFERROR(__xludf.DUMMYFUNCTION("""COMPUTED_VALUE"""),"Лесная поляна, парк Ангелов.")</f>
        <v>Лесная поляна, парк Ангелов.</v>
      </c>
      <c r="L426" s="6" t="str">
        <f>IFERROR(__xludf.DUMMYFUNCTION("""COMPUTED_VALUE"""),"Хотели как лучше - получилось как всегда")</f>
        <v>Хотели как лучше - получилось как всегда</v>
      </c>
      <c r="M426" s="6" t="str">
        <f>IFERROR(__xludf.DUMMYFUNCTION("""COMPUTED_VALUE"""),"нет")</f>
        <v>нет</v>
      </c>
      <c r="N426" s="6" t="str">
        <f>IFERROR(__xludf.DUMMYFUNCTION("""COMPUTED_VALUE"""),"Хорошие дороги, чистые улицы и дворы, лесные посадки, возможность заниматься спортом, забота о жителях города (образование, здравоохранение и т.д.) ")</f>
        <v>Хорошие дороги, чистые улицы и дворы, лесные посадки, возможность заниматься спортом, забота о жителях города (образование, здравоохранение и т.д.) </v>
      </c>
      <c r="O426" s="6" t="str">
        <f>IFERROR(__xludf.DUMMYFUNCTION("""COMPUTED_VALUE"""),"Убрать грузовой транзитный транспорт.")</f>
        <v>Убрать грузовой транзитный транспорт.</v>
      </c>
      <c r="P426" s="6" t="str">
        <f>IFERROR(__xludf.DUMMYFUNCTION("""COMPUTED_VALUE"""),"новости")</f>
        <v>новости</v>
      </c>
      <c r="Q426" s="6" t="str">
        <f>IFERROR(__xludf.DUMMYFUNCTION("""COMPUTED_VALUE"""),"куда пойти в свободное время, городская афиша (кино/театр/концерты), культурные новинки (что почитать/что послушать),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результаты местных исследований (рейтинги/аналитика/тенденции)</v>
      </c>
      <c r="R426" s="6" t="str">
        <f>IFERROR(__xludf.DUMMYFUNCTION("""COMPUTED_VALUE"""),"Новый год, День Победы")</f>
        <v>Новый год, День Победы</v>
      </c>
      <c r="S426" s="6" t="str">
        <f>IFERROR(__xludf.DUMMYFUNCTION("""COMPUTED_VALUE"""),"Обращался в редакции электронных городских СМИ")</f>
        <v>Обращался в редакции электронных городских СМИ</v>
      </c>
      <c r="T426" s="6" t="str">
        <f>IFERROR(__xludf.DUMMYFUNCTION("""COMPUTED_VALUE"""),"Коксохим")</f>
        <v>Коксохим</v>
      </c>
      <c r="U426" s="6" t="str">
        <f>IFERROR(__xludf.DUMMYFUNCTION("""COMPUTED_VALUE"""),"театр Драмы, площадь Ленина, площадь Пушкина")</f>
        <v>театр Драмы, площадь Ленина, площадь Пушкина</v>
      </c>
      <c r="V426" s="6" t="str">
        <f>IFERROR(__xludf.DUMMYFUNCTION("""COMPUTED_VALUE"""),"сохранили Сосновый бор")</f>
        <v>сохранили Сосновый бор</v>
      </c>
      <c r="W426" s="6" t="str">
        <f>IFERROR(__xludf.DUMMYFUNCTION("""COMPUTED_VALUE"""),"Хороших все равно больше.")</f>
        <v>Хороших все равно больше.</v>
      </c>
      <c r="X426" s="6" t="str">
        <f>IFERROR(__xludf.DUMMYFUNCTION("""COMPUTED_VALUE"""),"улица Кирова- Лесная поляна")</f>
        <v>улица Кирова- Лесная поляна</v>
      </c>
      <c r="Y426" s="6" t="str">
        <f>IFERROR(__xludf.DUMMYFUNCTION("""COMPUTED_VALUE"""),"Нашли уголь, построили коксохим. ")</f>
        <v>Нашли уголь, построили коксохим. </v>
      </c>
      <c r="Z426" s="6" t="str">
        <f>IFERROR(__xludf.DUMMYFUNCTION("""COMPUTED_VALUE"""),"Самая дорогая новогодняя елка")</f>
        <v>Самая дорогая новогодняя елка</v>
      </c>
      <c r="AA426" s="6" t="str">
        <f>IFERROR(__xludf.DUMMYFUNCTION("""COMPUTED_VALUE"""),"погибшие дети в Зимней вишне")</f>
        <v>погибшие дети в Зимней вишне</v>
      </c>
      <c r="AB426" s="6" t="str">
        <f>IFERROR(__xludf.DUMMYFUNCTION("""COMPUTED_VALUE"""),"нужен Аква - парк  ")</f>
        <v>нужен Аква - парк  </v>
      </c>
      <c r="AC426" s="6" t="str">
        <f>IFERROR(__xludf.DUMMYFUNCTION("""COMPUTED_VALUE"""),"Аква - парк нужен на площади , где был Октябрьский рынок, вместо Магнита ")</f>
        <v>Аква - парк нужен на площади , где был Октябрьский рынок, вместо Магнита </v>
      </c>
      <c r="AD426" s="6" t="str">
        <f>IFERROR(__xludf.DUMMYFUNCTION("""COMPUTED_VALUE"""),"если по делу, то могу в любой")</f>
        <v>если по делу, то могу в любой</v>
      </c>
      <c r="AE426" s="6" t="str">
        <f>IFERROR(__xludf.DUMMYFUNCTION("""COMPUTED_VALUE"""),"Мужской")</f>
        <v>Мужской</v>
      </c>
      <c r="AF426" s="6" t="str">
        <f>IFERROR(__xludf.DUMMYFUNCTION("""COMPUTED_VALUE"""),"45-55")</f>
        <v>45-55</v>
      </c>
      <c r="AG426" s="6"/>
      <c r="AH426" s="6"/>
      <c r="AI426" s="6"/>
      <c r="AJ426" s="6"/>
      <c r="AK426" s="6"/>
      <c r="AL426" s="6"/>
      <c r="AM426" s="6"/>
    </row>
    <row r="427">
      <c r="A427" s="6">
        <v>426.0</v>
      </c>
      <c r="B427" s="6" t="str">
        <f>IFERROR(__xludf.DUMMYFUNCTION("""COMPUTED_VALUE"""),"Работник культуры")</f>
        <v>Работник культуры</v>
      </c>
      <c r="C427" s="6" t="str">
        <f>IFERROR(__xludf.DUMMYFUNCTION("""COMPUTED_VALUE"""),"Дача")</f>
        <v>Дача</v>
      </c>
      <c r="D427" s="6" t="str">
        <f>IFERROR(__xludf.DUMMYFUNCTION("""COMPUTED_VALUE"""),"Лесная Поляна")</f>
        <v>Лесная Поляна</v>
      </c>
      <c r="E427" s="6" t="str">
        <f>IFERROR(__xludf.DUMMYFUNCTION("""COMPUTED_VALUE"""),"Парк Лесная сказка")</f>
        <v>Парк Лесная сказка</v>
      </c>
      <c r="F427" s="6" t="str">
        <f>IFERROR(__xludf.DUMMYFUNCTION("""COMPUTED_VALUE"""),"Родилась здесь, работала в другом городе и снова вернулась на родину.")</f>
        <v>Родилась здесь, работала в другом городе и снова вернулась на родину.</v>
      </c>
      <c r="G427" s="6" t="str">
        <f>IFERROR(__xludf.DUMMYFUNCTION("""COMPUTED_VALUE"""),"Театры, кино, парки")</f>
        <v>Театры, кино, парки</v>
      </c>
      <c r="H427" s="6" t="str">
        <f>IFERROR(__xludf.DUMMYFUNCTION("""COMPUTED_VALUE"""),"Промышленность, Томь, родные, дым, уголь")</f>
        <v>Промышленность, Томь, родные, дым, уголь</v>
      </c>
      <c r="I427" s="6" t="str">
        <f>IFERROR(__xludf.DUMMYFUNCTION("""COMPUTED_VALUE"""),"Михайло Волков, Алексей Леонов!!!")</f>
        <v>Михайло Волков, Алексей Леонов!!!</v>
      </c>
      <c r="J427" s="6" t="str">
        <f>IFERROR(__xludf.DUMMYFUNCTION("""COMPUTED_VALUE"""),"Михайлов В.В., бывший глава города")</f>
        <v>Михайлов В.В., бывший глава города</v>
      </c>
      <c r="K427" s="6" t="str">
        <f>IFERROR(__xludf.DUMMYFUNCTION("""COMPUTED_VALUE"""),"Лесную Поляну, Томскую Писаницу, набережную, музеи, театры.")</f>
        <v>Лесную Поляну, Томскую Писаницу, набережную, музеи, театры.</v>
      </c>
      <c r="L427" s="6" t="str">
        <f>IFERROR(__xludf.DUMMYFUNCTION("""COMPUTED_VALUE"""),"В степи, покрытой пылью бренной, сидел и плакал человек, а мимо шел Творец Вселенной, остановившись он изрек: ""Я друг униженных и бедных, я всех убогих берегу, я знаю много слов заветных, я есть твой Бог. Я все могу! Ты опечален, я заметил, какой нуждою "&amp;"ты тесним?"" ""Я из Кузбасса"" - тот ответил... И Бог заплакал вместе с ним.")</f>
        <v>В степи, покрытой пылью бренной, сидел и плакал человек, а мимо шел Творец Вселенной, остановившись он изрек: "Я друг униженных и бедных, я всех убогих берегу, я знаю много слов заветных, я есть твой Бог. Я все могу! Ты опечален, я заметил, какой нуждою ты тесним?" "Я из Кузбасса" - тот ответил... И Бог заплакал вместе с ним.</v>
      </c>
      <c r="M427" s="6" t="str">
        <f>IFERROR(__xludf.DUMMYFUNCTION("""COMPUTED_VALUE"""),"нет")</f>
        <v>нет</v>
      </c>
      <c r="N427" s="6" t="str">
        <f>IFERROR(__xludf.DUMMYFUNCTION("""COMPUTED_VALUE"""),"чистый воздух, чистота улиц, скверов и т.д., хорошо работающий общественный транспорт, достаточно рабочих мест, достойная зарплата, высокая культура (прежде всего общения)")</f>
        <v>чистый воздух, чистота улиц, скверов и т.д., хорошо работающий общественный транспорт, достаточно рабочих мест, достойная зарплата, высокая культура (прежде всего общения)</v>
      </c>
      <c r="O427" s="6" t="str">
        <f>IFERROR(__xludf.DUMMYFUNCTION("""COMPUTED_VALUE"""),"Глобальные очистные сооружения!!! Дышать нечем в городе.")</f>
        <v>Глобальные очистные сооружения!!! Дышать нечем в городе.</v>
      </c>
      <c r="P427" s="6" t="str">
        <f>IFERROR(__xludf.DUMMYFUNCTION("""COMPUTED_VALUE"""),"по телевизору, в интернете, в соцсетях (Инстаграм, )")</f>
        <v>по телевизору, в интернете, в соцсетях (Инстаграм, )</v>
      </c>
      <c r="Q427" s="6" t="str">
        <f>IFERROR(__xludf.DUMMYFUNCTION("""COMPUTED_VALUE"""),"интервью с местными политиками, интервью с местными творческими личностями, результаты местных исследований (рейтинги/аналитика/тенденции)")</f>
        <v>интервью с местными политиками, интервью с местными творческими личностями, результаты местных исследований (рейтинги/аналитика/тенденции)</v>
      </c>
      <c r="R427" s="6" t="str">
        <f>IFERROR(__xludf.DUMMYFUNCTION("""COMPUTED_VALUE"""),"День Победы, День города.")</f>
        <v>День Победы, День города.</v>
      </c>
      <c r="S427" s="6" t="str">
        <f>IFERROR(__xludf.DUMMYFUNCTION("""COMPUTED_VALUE"""),"Через социальные сети (Какие? Укажите в графе другое), Инстаграм, Вконтакте")</f>
        <v>Через социальные сети (Какие? Укажите в графе другое), Инстаграм, Вконтакте</v>
      </c>
      <c r="T427" s="6" t="str">
        <f>IFERROR(__xludf.DUMMYFUNCTION("""COMPUTED_VALUE"""),"Уникальна история, и люди")</f>
        <v>Уникальна история, и люди</v>
      </c>
      <c r="U427" s="6" t="str">
        <f>IFERROR(__xludf.DUMMYFUNCTION("""COMPUTED_VALUE"""),"площадь Советов")</f>
        <v>площадь Советов</v>
      </c>
      <c r="V427" s="6" t="str">
        <f>IFERROR(__xludf.DUMMYFUNCTION("""COMPUTED_VALUE"""),"Строили, развивали, украшали")</f>
        <v>Строили, развивали, украшали</v>
      </c>
      <c r="W427" s="6" t="str">
        <f>IFERROR(__xludf.DUMMYFUNCTION("""COMPUTED_VALUE"""),"В большинстве хорошие добрые люди.")</f>
        <v>В большинстве хорошие добрые люди.</v>
      </c>
      <c r="X427" s="6" t="str">
        <f>IFERROR(__xludf.DUMMYFUNCTION("""COMPUTED_VALUE"""),"Набережная, ул.Весенняя, пр.Советский, пл.Советов")</f>
        <v>Набережная, ул.Весенняя, пр.Советский, пл.Советов</v>
      </c>
      <c r="Y427" s="6" t="str">
        <f>IFERROR(__xludf.DUMMYFUNCTION("""COMPUTED_VALUE"""),"Открытие месторождения каменного угля")</f>
        <v>Открытие месторождения каменного угля</v>
      </c>
      <c r="Z427" s="6" t="str">
        <f>IFERROR(__xludf.DUMMYFUNCTION("""COMPUTED_VALUE"""),"Различные праздничные мероприятия")</f>
        <v>Различные праздничные мероприятия</v>
      </c>
      <c r="AA427" s="6" t="str">
        <f>IFERROR(__xludf.DUMMYFUNCTION("""COMPUTED_VALUE"""),"Конфликты в общественном транспорте из-за масочного режима")</f>
        <v>Конфликты в общественном транспорте из-за масочного режима</v>
      </c>
      <c r="AB427" s="6" t="str">
        <f>IFERROR(__xludf.DUMMYFUNCTION("""COMPUTED_VALUE"""),"не могу ответить")</f>
        <v>не могу ответить</v>
      </c>
      <c r="AC427" s="6" t="str">
        <f>IFERROR(__xludf.DUMMYFUNCTION("""COMPUTED_VALUE"""),"не знаю")</f>
        <v>не знаю</v>
      </c>
      <c r="AD427" s="6" t="str">
        <f>IFERROR(__xludf.DUMMYFUNCTION("""COMPUTED_VALUE"""),"В основном наблюдателя")</f>
        <v>В основном наблюдателя</v>
      </c>
      <c r="AE427" s="6" t="str">
        <f>IFERROR(__xludf.DUMMYFUNCTION("""COMPUTED_VALUE"""),"Женский")</f>
        <v>Женский</v>
      </c>
      <c r="AF427" s="6" t="str">
        <f>IFERROR(__xludf.DUMMYFUNCTION("""COMPUTED_VALUE"""),"старше 55")</f>
        <v>старше 55</v>
      </c>
      <c r="AG427" s="6"/>
      <c r="AH427" s="6"/>
      <c r="AI427" s="6"/>
      <c r="AJ427" s="6"/>
      <c r="AK427" s="6"/>
      <c r="AL427" s="6"/>
      <c r="AM427" s="6"/>
    </row>
    <row r="428">
      <c r="A428" s="6">
        <v>427.0</v>
      </c>
      <c r="B428" s="6" t="str">
        <f>IFERROR(__xludf.DUMMYFUNCTION("""COMPUTED_VALUE"""),"Научная деятельность")</f>
        <v>Научная деятельность</v>
      </c>
      <c r="C428" s="6" t="str">
        <f>IFERROR(__xludf.DUMMYFUNCTION("""COMPUTED_VALUE"""),"Фитнес, чтение, интеллектуальные квизы")</f>
        <v>Фитнес, чтение, интеллектуальные квизы</v>
      </c>
      <c r="D428" s="6" t="str">
        <f>IFERROR(__xludf.DUMMYFUNCTION("""COMPUTED_VALUE"""),"Кемерово-Сити")</f>
        <v>Кемерово-Сити</v>
      </c>
      <c r="E428" s="6" t="str">
        <f>IFERROR(__xludf.DUMMYFUNCTION("""COMPUTED_VALUE"""),"Сквер")</f>
        <v>Сквер</v>
      </c>
      <c r="F428" s="6" t="str">
        <f>IFERROR(__xludf.DUMMYFUNCTION("""COMPUTED_VALUE"""),"Переехал сюда из другого места (откуда? укажите в графе другое), Из Киселевска ")</f>
        <v>Переехал сюда из другого места (откуда? укажите в графе другое), Из Киселевска </v>
      </c>
      <c r="G428" s="6" t="str">
        <f>IFERROR(__xludf.DUMMYFUNCTION("""COMPUTED_VALUE"""),"Рестораны, бары, парки ")</f>
        <v>Рестораны, бары, парки </v>
      </c>
      <c r="H428" s="6" t="str">
        <f>IFERROR(__xludf.DUMMYFUNCTION("""COMPUTED_VALUE"""),"Шахтёр, зелень, уют, ямы в асфальте, дым")</f>
        <v>Шахтёр, зелень, уют, ямы в асфальте, дым</v>
      </c>
      <c r="I428" s="6" t="str">
        <f>IFERROR(__xludf.DUMMYFUNCTION("""COMPUTED_VALUE"""),"Гришковец, Малышева, Виктор Логинов, Леонов, Вера Волошина, Двужильный Юрий, Андрей Панин")</f>
        <v>Гришковец, Малышева, Виктор Логинов, Леонов, Вера Волошина, Двужильный Юрий, Андрей Панин</v>
      </c>
      <c r="J428" s="6" t="str">
        <f>IFERROR(__xludf.DUMMYFUNCTION("""COMPUTED_VALUE"""),"Гришковец, Кранзеева Елена (преподаватель социологии в универе), мэр города, блогеры ")</f>
        <v>Гришковец, Кранзеева Елена (преподаватель социологии в универе), мэр города, блогеры </v>
      </c>
      <c r="K428" s="6" t="str">
        <f>IFERROR(__xludf.DUMMYFUNCTION("""COMPUTED_VALUE"""),"Музей-заповедник Красная Горка, памятник Шахтёр с горящим сердцем, Лесная поляна ")</f>
        <v>Музей-заповедник Красная Горка, памятник Шахтёр с горящим сердцем, Лесная поляна </v>
      </c>
      <c r="L428" s="6" t="str">
        <f>IFERROR(__xludf.DUMMYFUNCTION("""COMPUTED_VALUE"""),"Отдыхая заграницей и не только, люди, слыша, что мы из Сибири, спрашивают: ""У вас правда медведи по городу гуляют?""
В период весны люди на улицах выглядят колоритно и разношерстно, одевают, например: тёплое пальто и босоножки или туфли, лёгкая ветровка "&amp;"и тёплые высокие сапоги, шапки снимают уже в феврале
Сейчас город знают в мире по трагичной истории Зимней вишни... ")</f>
        <v>Отдыхая заграницей и не только, люди, слыша, что мы из Сибири, спрашивают: "У вас правда медведи по городу гуляют?"
В период весны люди на улицах выглядят колоритно и разношерстно, одевают, например: тёплое пальто и босоножки или туфли, лёгкая ветровка и тёплые высокие сапоги, шапки снимают уже в феврале
Сейчас город знают в мире по трагичной истории Зимней вишни... </v>
      </c>
      <c r="M428" s="6" t="str">
        <f>IFERROR(__xludf.DUMMYFUNCTION("""COMPUTED_VALUE"""),"Утром снег, днём жара
Это Сибирь, детка
")</f>
        <v>Утром снег, днём жара
Это Сибирь, детка
</v>
      </c>
      <c r="N428" s="6" t="str">
        <f>IFERROR(__xludf.DUMMYFUNCTION("""COMPUTED_VALUE"""),"Неразбросанность районов
Компактность города в целом
Уют 
Много зелени
Чистота ")</f>
        <v>Неразбросанность районов
Компактность города в целом
Уют 
Много зелени
Чистота </v>
      </c>
      <c r="O428" s="6" t="str">
        <f>IFERROR(__xludf.DUMMYFUNCTION("""COMPUTED_VALUE"""),"Дороги!! Парковки! Фасады старых домов! Убрать старые железные детские площадки! Облагородить дворы")</f>
        <v>Дороги!! Парковки! Фасады старых домов! Убрать старые железные детские площадки! Облагородить дворы</v>
      </c>
      <c r="P428" s="6" t="str">
        <f>IFERROR(__xludf.DUMMYFUNCTION("""COMPUTED_VALUE"""),"Инстаграм
ВКонтакте
Реклама в лифте ")</f>
        <v>Инстаграм
ВКонтакте
Реклама в лифте </v>
      </c>
      <c r="Q428"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428" s="6" t="str">
        <f>IFERROR(__xludf.DUMMYFUNCTION("""COMPUTED_VALUE"""),"9 Мая. Стоит уделять должное внимание этой дате. Это дань прошлому и Благодарность от живых людей ")</f>
        <v>9 Мая. Стоит уделять должное внимание этой дате. Это дань прошлому и Благодарность от живых людей </v>
      </c>
      <c r="S428" s="6" t="str">
        <f>IFERROR(__xludf.DUMMYFUNCTION("""COMPUTED_VALUE"""),"Нет, не приходилось")</f>
        <v>Нет, не приходилось</v>
      </c>
      <c r="T428" s="6" t="str">
        <f>IFERROR(__xludf.DUMMYFUNCTION("""COMPUTED_VALUE"""),"Томская писаница")</f>
        <v>Томская писаница</v>
      </c>
      <c r="U428" s="6" t="str">
        <f>IFERROR(__xludf.DUMMYFUNCTION("""COMPUTED_VALUE"""),"Парк Чудес ")</f>
        <v>Парк Чудес </v>
      </c>
      <c r="V428" s="6" t="str">
        <f>IFERROR(__xludf.DUMMYFUNCTION("""COMPUTED_VALUE"""),"Много трудились, работали в шахтах, возводили город ")</f>
        <v>Много трудились, работали в шахтах, возводили город </v>
      </c>
      <c r="W428" s="6" t="str">
        <f>IFERROR(__xludf.DUMMYFUNCTION("""COMPUTED_VALUE"""),"Открытость
Приветливость
Гостеприимность
Экономичность
")</f>
        <v>Открытость
Приветливость
Гостеприимность
Экономичность
</v>
      </c>
      <c r="X428" s="6" t="str">
        <f>IFERROR(__xludf.DUMMYFUNCTION("""COMPUTED_VALUE"""),"Набережная ")</f>
        <v>Набережная </v>
      </c>
      <c r="Y428" s="6" t="str">
        <f>IFERROR(__xludf.DUMMYFUNCTION("""COMPUTED_VALUE"""),"Происходит сейчас - строят новую набережную ")</f>
        <v>Происходит сейчас - строят новую набережную </v>
      </c>
      <c r="Z428" s="6" t="str">
        <f>IFERROR(__xludf.DUMMYFUNCTION("""COMPUTED_VALUE"""),"Концерт Руки вверх
")</f>
        <v>Концерт Руки вверх
</v>
      </c>
      <c r="AA428" s="6" t="str">
        <f>IFERROR(__xludf.DUMMYFUNCTION("""COMPUTED_VALUE"""),"Пожар ")</f>
        <v>Пожар </v>
      </c>
      <c r="AB428" s="6" t="str">
        <f>IFERROR(__xludf.DUMMYFUNCTION("""COMPUTED_VALUE"""),"Научных и любых групп по интересам, психологической помощи - однозначно не хватает! Группы волонтёров для помощи пожилым и инвалидам ")</f>
        <v>Научных и любых групп по интересам, психологической помощи - однозначно не хватает! Группы волонтёров для помощи пожилым и инвалидам </v>
      </c>
      <c r="AC428" s="6" t="str">
        <f>IFERROR(__xludf.DUMMYFUNCTION("""COMPUTED_VALUE"""),"Местные концерты, выступления ")</f>
        <v>Местные концерты, выступления </v>
      </c>
      <c r="AD428" s="6" t="str">
        <f>IFERROR(__xludf.DUMMYFUNCTION("""COMPUTED_VALUE"""),"Активной ")</f>
        <v>Активной </v>
      </c>
      <c r="AE428" s="6" t="str">
        <f>IFERROR(__xludf.DUMMYFUNCTION("""COMPUTED_VALUE"""),"Женский")</f>
        <v>Женский</v>
      </c>
      <c r="AF428" s="6" t="str">
        <f>IFERROR(__xludf.DUMMYFUNCTION("""COMPUTED_VALUE"""),"30-44")</f>
        <v>30-44</v>
      </c>
      <c r="AG428" s="6"/>
      <c r="AH428" s="6"/>
      <c r="AI428" s="6"/>
      <c r="AJ428" s="6"/>
      <c r="AK428" s="6"/>
      <c r="AL428" s="6"/>
      <c r="AM428" s="6"/>
    </row>
    <row r="429">
      <c r="A429" s="6">
        <v>428.0</v>
      </c>
      <c r="B429" s="6" t="str">
        <f>IFERROR(__xludf.DUMMYFUNCTION("""COMPUTED_VALUE"""),"Библиотекарь")</f>
        <v>Библиотекарь</v>
      </c>
      <c r="C429" s="6" t="str">
        <f>IFERROR(__xludf.DUMMYFUNCTION("""COMPUTED_VALUE"""),"Музыка")</f>
        <v>Музыка</v>
      </c>
      <c r="D429" s="6" t="str">
        <f>IFERROR(__xludf.DUMMYFUNCTION("""COMPUTED_VALUE"""),"Барзас ")</f>
        <v>Барзас </v>
      </c>
      <c r="E429" s="6" t="str">
        <f>IFERROR(__xludf.DUMMYFUNCTION("""COMPUTED_VALUE"""),"Место, где была шахта по добыче сапропелита")</f>
        <v>Место, где была шахта по добыче сапропелита</v>
      </c>
      <c r="F429" s="6" t="str">
        <f>IFERROR(__xludf.DUMMYFUNCTION("""COMPUTED_VALUE"""),"Живу здесь с рождения")</f>
        <v>Живу здесь с рождения</v>
      </c>
      <c r="G429" s="6" t="str">
        <f>IFERROR(__xludf.DUMMYFUNCTION("""COMPUTED_VALUE"""),"Никуда ")</f>
        <v>Никуда </v>
      </c>
      <c r="H429" s="6" t="str">
        <f>IFERROR(__xludf.DUMMYFUNCTION("""COMPUTED_VALUE"""),"Волков, Красная горка, Томь, вечный огонь, шахтёр ")</f>
        <v>Волков, Красная горка, Томь, вечный огонь, шахтёр </v>
      </c>
      <c r="I429" s="6" t="str">
        <f>IFERROR(__xludf.DUMMYFUNCTION("""COMPUTED_VALUE"""),"Волков")</f>
        <v>Волков</v>
      </c>
      <c r="J429" s="6" t="str">
        <f>IFERROR(__xludf.DUMMYFUNCTION("""COMPUTED_VALUE"""),"Завадская Галина Игнатьевна")</f>
        <v>Завадская Галина Игнатьевна</v>
      </c>
      <c r="K429" s="6" t="str">
        <f>IFERROR(__xludf.DUMMYFUNCTION("""COMPUTED_VALUE"""),"Нет")</f>
        <v>Нет</v>
      </c>
      <c r="L429" s="6" t="str">
        <f>IFERROR(__xludf.DUMMYFUNCTION("""COMPUTED_VALUE"""),"Нет")</f>
        <v>Нет</v>
      </c>
      <c r="M429" s="6" t="str">
        <f>IFERROR(__xludf.DUMMYFUNCTION("""COMPUTED_VALUE"""),"Нет")</f>
        <v>Нет</v>
      </c>
      <c r="N429" s="6" t="str">
        <f>IFERROR(__xludf.DUMMYFUNCTION("""COMPUTED_VALUE"""),"Больше парков, скверов, зон отдыха")</f>
        <v>Больше парков, скверов, зон отдыха</v>
      </c>
      <c r="O429" s="6" t="str">
        <f>IFERROR(__xludf.DUMMYFUNCTION("""COMPUTED_VALUE"""),"Серые дома перекрасить в яркие цвета")</f>
        <v>Серые дома перекрасить в яркие цвета</v>
      </c>
      <c r="P429" s="6" t="str">
        <f>IFERROR(__xludf.DUMMYFUNCTION("""COMPUTED_VALUE"""),"Газета Кузбасс ")</f>
        <v>Газета Кузбасс </v>
      </c>
      <c r="Q429"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429" s="6" t="str">
        <f>IFERROR(__xludf.DUMMYFUNCTION("""COMPUTED_VALUE"""),"День шахтёра")</f>
        <v>День шахтёра</v>
      </c>
      <c r="S429" s="6" t="str">
        <f>IFERROR(__xludf.DUMMYFUNCTION("""COMPUTED_VALUE"""),"Участник акции ""Белая береза""")</f>
        <v>Участник акции "Белая береза"</v>
      </c>
      <c r="T429" s="6" t="str">
        <f>IFERROR(__xludf.DUMMYFUNCTION("""COMPUTED_VALUE"""),"Жителями")</f>
        <v>Жителями</v>
      </c>
      <c r="U429" s="6" t="str">
        <f>IFERROR(__xludf.DUMMYFUNCTION("""COMPUTED_VALUE"""),"Кэмз ")</f>
        <v>Кэмз </v>
      </c>
      <c r="V429" s="6" t="str">
        <f>IFERROR(__xludf.DUMMYFUNCTION("""COMPUTED_VALUE"""),"Трудились, развивая все сферы деятельности ")</f>
        <v>Трудились, развивая все сферы деятельности </v>
      </c>
      <c r="W429" s="6" t="str">
        <f>IFERROR(__xludf.DUMMYFUNCTION("""COMPUTED_VALUE"""),"Самоотверженные, трудолюбивые, порядочные")</f>
        <v>Самоотверженные, трудолюбивые, порядочные</v>
      </c>
      <c r="X429" s="6" t="str">
        <f>IFERROR(__xludf.DUMMYFUNCTION("""COMPUTED_VALUE"""),"Не знаю")</f>
        <v>Не знаю</v>
      </c>
      <c r="Y429" s="6" t="str">
        <f>IFERROR(__xludf.DUMMYFUNCTION("""COMPUTED_VALUE"""),"Аэропорт Леонова")</f>
        <v>Аэропорт Леонова</v>
      </c>
      <c r="Z429" s="6" t="str">
        <f>IFERROR(__xludf.DUMMYFUNCTION("""COMPUTED_VALUE"""),"Открытие новых авиарейсов ")</f>
        <v>Открытие новых авиарейсов </v>
      </c>
      <c r="AA429" s="6" t="str">
        <f>IFERROR(__xludf.DUMMYFUNCTION("""COMPUTED_VALUE"""),"Трагедия в Зимней вишне")</f>
        <v>Трагедия в Зимней вишне</v>
      </c>
      <c r="AB429" s="6" t="str">
        <f>IFERROR(__xludf.DUMMYFUNCTION("""COMPUTED_VALUE"""),"Молодежных православных клубов")</f>
        <v>Молодежных православных клубов</v>
      </c>
      <c r="AC429" s="6" t="str">
        <f>IFERROR(__xludf.DUMMYFUNCTION("""COMPUTED_VALUE"""),"Экскурсии по городу")</f>
        <v>Экскурсии по городу</v>
      </c>
      <c r="AD429" s="6" t="str">
        <f>IFERROR(__xludf.DUMMYFUNCTION("""COMPUTED_VALUE"""),"Нет")</f>
        <v>Нет</v>
      </c>
      <c r="AE429" s="6" t="str">
        <f>IFERROR(__xludf.DUMMYFUNCTION("""COMPUTED_VALUE"""),"Женский")</f>
        <v>Женский</v>
      </c>
      <c r="AF429" s="6" t="str">
        <f>IFERROR(__xludf.DUMMYFUNCTION("""COMPUTED_VALUE"""),"45-55")</f>
        <v>45-55</v>
      </c>
      <c r="AG429" s="6"/>
      <c r="AH429" s="6"/>
      <c r="AI429" s="6"/>
      <c r="AJ429" s="6"/>
      <c r="AK429" s="6"/>
      <c r="AL429" s="6"/>
      <c r="AM429" s="6"/>
    </row>
    <row r="430">
      <c r="A430" s="6">
        <v>429.0</v>
      </c>
      <c r="B430" s="6" t="str">
        <f>IFERROR(__xludf.DUMMYFUNCTION("""COMPUTED_VALUE"""),"Сдача Недвижимости в аренду")</f>
        <v>Сдача Недвижимости в аренду</v>
      </c>
      <c r="C430" s="6" t="str">
        <f>IFERROR(__xludf.DUMMYFUNCTION("""COMPUTED_VALUE"""),"Сад, дизайн, птицеводство")</f>
        <v>Сад, дизайн, птицеводство</v>
      </c>
      <c r="D430" s="6" t="str">
        <f>IFERROR(__xludf.DUMMYFUNCTION("""COMPUTED_VALUE"""),"В Ленинском")</f>
        <v>В Ленинском</v>
      </c>
      <c r="E430" s="6" t="str">
        <f>IFERROR(__xludf.DUMMYFUNCTION("""COMPUTED_VALUE"""),"бульвар Строителей")</f>
        <v>бульвар Строителей</v>
      </c>
      <c r="F430" s="6" t="str">
        <f>IFERROR(__xludf.DUMMYFUNCTION("""COMPUTED_VALUE"""),"Живу здесь с рождения")</f>
        <v>Живу здесь с рождения</v>
      </c>
      <c r="G430" s="6" t="str">
        <f>IFERROR(__xludf.DUMMYFUNCTION("""COMPUTED_VALUE"""),"Елыкаево ")</f>
        <v>Елыкаево </v>
      </c>
      <c r="H430" s="6" t="str">
        <f>IFERROR(__xludf.DUMMYFUNCTION("""COMPUTED_VALUE"""),"Чистый, аккуратный, компактный, зелёный ( пока ещё),  светлый")</f>
        <v>Чистый, аккуратный, компактный, зелёный ( пока ещё),  светлый</v>
      </c>
      <c r="I430" s="6" t="str">
        <f>IFERROR(__xludf.DUMMYFUNCTION("""COMPUTED_VALUE"""),"Волков, Леонов")</f>
        <v>Волков, Леонов</v>
      </c>
      <c r="J430" s="6" t="str">
        <f>IFERROR(__xludf.DUMMYFUNCTION("""COMPUTED_VALUE"""),"Михайлов В.В.")</f>
        <v>Михайлов В.В.</v>
      </c>
      <c r="K430" s="6" t="str">
        <f>IFERROR(__xludf.DUMMYFUNCTION("""COMPUTED_VALUE"""),"Леса по Елыкаевской трассе")</f>
        <v>Леса по Елыкаевской трассе</v>
      </c>
      <c r="L430" s="6" t="str">
        <f>IFERROR(__xludf.DUMMYFUNCTION("""COMPUTED_VALUE"""),"Не знаю")</f>
        <v>Не знаю</v>
      </c>
      <c r="M430" s="6" t="str">
        <f>IFERROR(__xludf.DUMMYFUNCTION("""COMPUTED_VALUE"""),"Мультифора, бордюр, опонелка")</f>
        <v>Мультифора, бордюр, опонелка</v>
      </c>
      <c r="N430" s="6" t="str">
        <f>IFERROR(__xludf.DUMMYFUNCTION("""COMPUTED_VALUE"""),"Компактность, чистота,  зелёные насаждения( парки, северы), качественные дороги, тротуары, парковки( паркинги) в необходимых местах в достаточном количестве ")</f>
        <v>Компактность, чистота,  зелёные насаждения( парки, северы), качественные дороги, тротуары, парковки( паркинги) в необходимых местах в достаточном количестве </v>
      </c>
      <c r="O430" s="6" t="str">
        <f>IFERROR(__xludf.DUMMYFUNCTION("""COMPUTED_VALUE"""),"Отремонтировать дороги")</f>
        <v>Отремонтировать дороги</v>
      </c>
      <c r="P430" s="6" t="str">
        <f>IFERROR(__xludf.DUMMYFUNCTION("""COMPUTED_VALUE"""),"Фейсбук ")</f>
        <v>Фейсбук </v>
      </c>
      <c r="Q430" s="6" t="str">
        <f>IFERROR(__xludf.DUMMYFUNCTION("""COMPUTED_VALUE"""),"интервью с местными политиками, 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f>
        <v>интервью с местными политиками, 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430" s="6" t="str">
        <f>IFERROR(__xludf.DUMMYFUNCTION("""COMPUTED_VALUE"""),"Нет таких")</f>
        <v>Нет таких</v>
      </c>
      <c r="S430" s="6" t="str">
        <f>IFERROR(__xludf.DUMMYFUNCTION("""COMPUTED_VALUE"""),"Через социальные сети (Какие? Укажите в графе другое), Фейсбук ")</f>
        <v>Через социальные сети (Какие? Укажите в графе другое), Фейсбук </v>
      </c>
      <c r="T430" s="6" t="str">
        <f>IFERROR(__xludf.DUMMYFUNCTION("""COMPUTED_VALUE"""),"Длительность правления Тулеева))))")</f>
        <v>Длительность правления Тулеева))))</v>
      </c>
      <c r="U430" s="6" t="str">
        <f>IFERROR(__xludf.DUMMYFUNCTION("""COMPUTED_VALUE"""),"Драмтеатр ")</f>
        <v>Драмтеатр </v>
      </c>
      <c r="V430" s="6" t="str">
        <f>IFERROR(__xludf.DUMMYFUNCTION("""COMPUTED_VALUE"""),"Промстрой стал строить качественное жильё")</f>
        <v>Промстрой стал строить качественное жильё</v>
      </c>
      <c r="W430" s="6" t="str">
        <f>IFERROR(__xludf.DUMMYFUNCTION("""COMPUTED_VALUE"""),"Дружелюбные, открытые, ")</f>
        <v>Дружелюбные, открытые, </v>
      </c>
      <c r="X430" s="6" t="str">
        <f>IFERROR(__xludf.DUMMYFUNCTION("""COMPUTED_VALUE"""),"Драмтеатр, набережная, парк чудес")</f>
        <v>Драмтеатр, набережная, парк чудес</v>
      </c>
      <c r="Y430" s="6" t="str">
        <f>IFERROR(__xludf.DUMMYFUNCTION("""COMPUTED_VALUE"""),"Нет такого. Запомнилось только спортивное : Банди ( чемпионат по хоккею с мячём)")</f>
        <v>Нет такого. Запомнилось только спортивное : Банди ( чемпионат по хоккею с мячём)</v>
      </c>
      <c r="Z430" s="6" t="str">
        <f>IFERROR(__xludf.DUMMYFUNCTION("""COMPUTED_VALUE"""),"Нет таких")</f>
        <v>Нет таких</v>
      </c>
      <c r="AA430" s="6" t="str">
        <f>IFERROR(__xludf.DUMMYFUNCTION("""COMPUTED_VALUE"""),"Повысилась гпгазованность")</f>
        <v>Повысилась гпгазованность</v>
      </c>
      <c r="AB430" s="6" t="str">
        <f>IFERROR(__xludf.DUMMYFUNCTION("""COMPUTED_VALUE"""),"Сообщества взаимодействия Предпринимателей и власти, взаимовыгодного, для улучшения часества жизни всех.")</f>
        <v>Сообщества взаимодействия Предпринимателей и власти, взаимовыгодного, для улучшения часества жизни всех.</v>
      </c>
      <c r="AC430" s="6" t="str">
        <f>IFERROR(__xludf.DUMMYFUNCTION("""COMPUTED_VALUE"""),"Уличные фестивали, с площадками живой музыки, просмотры фильмов на больших уличных экранах")</f>
        <v>Уличные фестивали, с площадками живой музыки, просмотры фильмов на больших уличных экранах</v>
      </c>
      <c r="AD430" s="6" t="str">
        <f>IFERROR(__xludf.DUMMYFUNCTION("""COMPUTED_VALUE"""),"В конструктивной, созидательной ")</f>
        <v>В конструктивной, созидательной </v>
      </c>
      <c r="AE430" s="6" t="str">
        <f>IFERROR(__xludf.DUMMYFUNCTION("""COMPUTED_VALUE"""),"Женский")</f>
        <v>Женский</v>
      </c>
      <c r="AF430" s="6" t="str">
        <f>IFERROR(__xludf.DUMMYFUNCTION("""COMPUTED_VALUE"""),"45-55")</f>
        <v>45-55</v>
      </c>
      <c r="AG430" s="6"/>
      <c r="AH430" s="6"/>
      <c r="AI430" s="6"/>
      <c r="AJ430" s="6"/>
      <c r="AK430" s="6"/>
      <c r="AL430" s="6"/>
      <c r="AM430" s="6"/>
    </row>
    <row r="431">
      <c r="A431" s="6">
        <v>430.0</v>
      </c>
      <c r="B431" s="6" t="str">
        <f>IFERROR(__xludf.DUMMYFUNCTION("""COMPUTED_VALUE"""),"Руководитель учреждения")</f>
        <v>Руководитель учреждения</v>
      </c>
      <c r="C431" s="6" t="str">
        <f>IFERROR(__xludf.DUMMYFUNCTION("""COMPUTED_VALUE"""),"рыбалка, спорт, чтение")</f>
        <v>рыбалка, спорт, чтение</v>
      </c>
      <c r="D431" s="6" t="str">
        <f>IFERROR(__xludf.DUMMYFUNCTION("""COMPUTED_VALUE"""),"Кировский")</f>
        <v>Кировский</v>
      </c>
      <c r="E431" s="6" t="str">
        <f>IFERROR(__xludf.DUMMYFUNCTION("""COMPUTED_VALUE"""),"Набережная, Березовая роща, 21 мкрн")</f>
        <v>Набережная, Березовая роща, 21 мкрн</v>
      </c>
      <c r="F431" s="6" t="str">
        <f>IFERROR(__xludf.DUMMYFUNCTION("""COMPUTED_VALUE"""),"Переехал сюда из другого места (откуда? укажите в графе другое), из Юрги")</f>
        <v>Переехал сюда из другого места (откуда? укажите в графе другое), из Юрги</v>
      </c>
      <c r="G431" s="6" t="str">
        <f>IFERROR(__xludf.DUMMYFUNCTION("""COMPUTED_VALUE"""),"Центр, Ленинский район, Лесная поляна")</f>
        <v>Центр, Ленинский район, Лесная поляна</v>
      </c>
      <c r="H431" s="6" t="str">
        <f>IFERROR(__xludf.DUMMYFUNCTION("""COMPUTED_VALUE"""),"Столица, Кузбасс, Уголь, Губернатор, Цивилев")</f>
        <v>Столица, Кузбасс, Уголь, Губернатор, Цивилев</v>
      </c>
      <c r="I431" s="6" t="str">
        <f>IFERROR(__xludf.DUMMYFUNCTION("""COMPUTED_VALUE"""),"Волков, Рутгерс, Леонов, Радищев, ")</f>
        <v>Волков, Рутгерс, Леонов, Радищев, </v>
      </c>
      <c r="J431" s="6" t="str">
        <f>IFERROR(__xludf.DUMMYFUNCTION("""COMPUTED_VALUE"""),"Владимир Машков, Евгений Гришковец, Алексей Леонов")</f>
        <v>Владимир Машков, Евгений Гришковец, Алексей Леонов</v>
      </c>
      <c r="K431" s="6" t="str">
        <f>IFERROR(__xludf.DUMMYFUNCTION("""COMPUTED_VALUE"""),"КУЗБАСС в Сосновом бору,  Лесная поляна, Парк Ангелов")</f>
        <v>КУЗБАСС в Сосновом бору,  Лесная поляна, Парк Ангелов</v>
      </c>
      <c r="L431" s="6" t="str">
        <f>IFERROR(__xludf.DUMMYFUNCTION("""COMPUTED_VALUE"""),"Семь раз отмерь, один раз отрежь")</f>
        <v>Семь раз отмерь, один раз отрежь</v>
      </c>
      <c r="M431" s="6" t="str">
        <f>IFERROR(__xludf.DUMMYFUNCTION("""COMPUTED_VALUE"""),"Квартал")</f>
        <v>Квартал</v>
      </c>
      <c r="N431" s="6" t="str">
        <f>IFERROR(__xludf.DUMMYFUNCTION("""COMPUTED_VALUE"""),"экология, транспортная доступность, Качество дорог, Велосипедные дорожки, активный отдых")</f>
        <v>экология, транспортная доступность, Качество дорог, Велосипедные дорожки, активный отдых</v>
      </c>
      <c r="O431" s="6" t="str">
        <f>IFERROR(__xludf.DUMMYFUNCTION("""COMPUTED_VALUE"""),"Освежить внешний вид улицы")</f>
        <v>Освежить внешний вид улицы</v>
      </c>
      <c r="P431" s="6" t="str">
        <f>IFERROR(__xludf.DUMMYFUNCTION("""COMPUTED_VALUE"""),"Типичный Кемерово, Инциндент Кемерово, официальный сайт города, все 42, а42, сибдепо")</f>
        <v>Типичный Кемерово, Инциндент Кемерово, официальный сайт города, все 42, а42, сибдепо</v>
      </c>
      <c r="Q431"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431" s="6" t="str">
        <f>IFERROR(__xludf.DUMMYFUNCTION("""COMPUTED_VALUE"""),"День Победы, День города")</f>
        <v>День Победы, День города</v>
      </c>
      <c r="S431" s="6" t="str">
        <f>IFERROR(__xludf.DUMMYFUNCTION("""COMPUTED_VALUE"""),"Через социальные сети (Какие? Укажите в графе другое)")</f>
        <v>Через социальные сети (Какие? Укажите в графе другое)</v>
      </c>
      <c r="T431" s="6" t="str">
        <f>IFERROR(__xludf.DUMMYFUNCTION("""COMPUTED_VALUE"""),"Люди")</f>
        <v>Люди</v>
      </c>
      <c r="U431" s="6" t="str">
        <f>IFERROR(__xludf.DUMMYFUNCTION("""COMPUTED_VALUE"""),"Весенняя, учреждения культуры")</f>
        <v>Весенняя, учреждения культуры</v>
      </c>
      <c r="V431" s="6" t="str">
        <f>IFERROR(__xludf.DUMMYFUNCTION("""COMPUTED_VALUE"""),"строили и развивали город")</f>
        <v>строили и развивали город</v>
      </c>
      <c r="W431" s="6" t="str">
        <f>IFERROR(__xludf.DUMMYFUNCTION("""COMPUTED_VALUE"""),"добродушные, отзывчивые, позитивные")</f>
        <v>добродушные, отзывчивые, позитивные</v>
      </c>
      <c r="X431" s="6" t="str">
        <f>IFERROR(__xludf.DUMMYFUNCTION("""COMPUTED_VALUE"""),"Набережная, Весенняя, Советский")</f>
        <v>Набережная, Весенняя, Советский</v>
      </c>
      <c r="Y431" s="6" t="str">
        <f>IFERROR(__xludf.DUMMYFUNCTION("""COMPUTED_VALUE"""),"Бессмертный полк")</f>
        <v>Бессмертный полк</v>
      </c>
      <c r="Z431" s="6" t="str">
        <f>IFERROR(__xludf.DUMMYFUNCTION("""COMPUTED_VALUE"""),"Детализация, День победы")</f>
        <v>Детализация, День победы</v>
      </c>
      <c r="AA431" s="6" t="str">
        <f>IFERROR(__xludf.DUMMYFUNCTION("""COMPUTED_VALUE"""),"Пожар в ТЦ Зимяя вишня")</f>
        <v>Пожар в ТЦ Зимяя вишня</v>
      </c>
      <c r="AB431" s="6" t="str">
        <f>IFERROR(__xludf.DUMMYFUNCTION("""COMPUTED_VALUE"""),"все нормально")</f>
        <v>все нормально</v>
      </c>
      <c r="AC431" s="6" t="str">
        <f>IFERROR(__xludf.DUMMYFUNCTION("""COMPUTED_VALUE"""),"культурные, разнообразные, например строительство нового театра кукол в городе, это то место, куда приходит кемеровчанин в первый раз....а на сегодняшний день такой театр не долен находиться в жилом доме")</f>
        <v>культурные, разнообразные, например строительство нового театра кукол в городе, это то место, куда приходит кемеровчанин в первый раз....а на сегодняшний день такой театр не долен находиться в жилом доме</v>
      </c>
      <c r="AD431" s="6" t="str">
        <f>IFERROR(__xludf.DUMMYFUNCTION("""COMPUTED_VALUE"""),"нет")</f>
        <v>нет</v>
      </c>
      <c r="AE431" s="6" t="str">
        <f>IFERROR(__xludf.DUMMYFUNCTION("""COMPUTED_VALUE"""),"Мужской")</f>
        <v>Мужской</v>
      </c>
      <c r="AF431" s="6" t="str">
        <f>IFERROR(__xludf.DUMMYFUNCTION("""COMPUTED_VALUE"""),"30-44")</f>
        <v>30-44</v>
      </c>
      <c r="AG431" s="6"/>
      <c r="AH431" s="6"/>
      <c r="AI431" s="6"/>
      <c r="AJ431" s="6"/>
      <c r="AK431" s="6"/>
      <c r="AL431" s="6"/>
      <c r="AM431" s="6"/>
    </row>
    <row r="432">
      <c r="A432" s="6">
        <v>431.0</v>
      </c>
      <c r="B432" s="6" t="str">
        <f>IFERROR(__xludf.DUMMYFUNCTION("""COMPUTED_VALUE"""),"Библиотекарь")</f>
        <v>Библиотекарь</v>
      </c>
      <c r="C432" s="6" t="str">
        <f>IFERROR(__xludf.DUMMYFUNCTION("""COMPUTED_VALUE"""),"Читаю")</f>
        <v>Читаю</v>
      </c>
      <c r="D432" s="6" t="str">
        <f>IFERROR(__xludf.DUMMYFUNCTION("""COMPUTED_VALUE"""),"город Березовский")</f>
        <v>город Березовский</v>
      </c>
      <c r="E432" s="6" t="str">
        <f>IFERROR(__xludf.DUMMYFUNCTION("""COMPUTED_VALUE"""),"центр")</f>
        <v>центр</v>
      </c>
      <c r="F432" s="6" t="str">
        <f>IFERROR(__xludf.DUMMYFUNCTION("""COMPUTED_VALUE"""),"Живу здесь с рождения")</f>
        <v>Живу здесь с рождения</v>
      </c>
      <c r="G432" s="6" t="str">
        <f>IFERROR(__xludf.DUMMYFUNCTION("""COMPUTED_VALUE"""),"По аллее на улице А. Лужбина")</f>
        <v>По аллее на улице А. Лужбина</v>
      </c>
      <c r="H432" s="6" t="str">
        <f>IFERROR(__xludf.DUMMYFUNCTION("""COMPUTED_VALUE"""),"Маленький, уютный, деревня,")</f>
        <v>Маленький, уютный, деревня,</v>
      </c>
      <c r="I432" s="6" t="str">
        <f>IFERROR(__xludf.DUMMYFUNCTION("""COMPUTED_VALUE"""),"Герой Советского Союза Резвых Л. С.")</f>
        <v>Герой Советского Союза Резвых Л. С.</v>
      </c>
      <c r="J432" s="6" t="str">
        <f>IFERROR(__xludf.DUMMYFUNCTION("""COMPUTED_VALUE"""),"Анферов Н. А.")</f>
        <v>Анферов Н. А.</v>
      </c>
      <c r="K432" s="6" t="str">
        <f>IFERROR(__xludf.DUMMYFUNCTION("""COMPUTED_VALUE"""),"Мемориал воинам-землякам погибшим в годы ВОв")</f>
        <v>Мемориал воинам-землякам погибшим в годы ВОв</v>
      </c>
      <c r="L432" s="6" t="str">
        <f>IFERROR(__xludf.DUMMYFUNCTION("""COMPUTED_VALUE"""),"В одном углу свиснет в другом уже знают")</f>
        <v>В одном углу свиснет в другом уже знают</v>
      </c>
      <c r="M432" s="6" t="str">
        <f>IFERROR(__xludf.DUMMYFUNCTION("""COMPUTED_VALUE"""),"Нет")</f>
        <v>Нет</v>
      </c>
      <c r="N432" s="6" t="str">
        <f>IFERROR(__xludf.DUMMYFUNCTION("""COMPUTED_VALUE"""),"Чистота, порядок, много зелени и деревьев")</f>
        <v>Чистота, порядок, много зелени и деревьев</v>
      </c>
      <c r="O432" s="6" t="str">
        <f>IFERROR(__xludf.DUMMYFUNCTION("""COMPUTED_VALUE"""),"Навести порядок на улицах")</f>
        <v>Навести порядок на улицах</v>
      </c>
      <c r="P432" s="6" t="str">
        <f>IFERROR(__xludf.DUMMYFUNCTION("""COMPUTED_VALUE"""),"Из интернета")</f>
        <v>Из интернета</v>
      </c>
      <c r="Q432" s="6" t="str">
        <f>IFERROR(__xludf.DUMMYFUNCTION("""COMPUTED_VALUE"""),"культурные новинки (что почитать/что послушать), 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f>
        <v>культурные новинки (что почитать/что послушать), 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v>
      </c>
      <c r="R432" s="6" t="str">
        <f>IFERROR(__xludf.DUMMYFUNCTION("""COMPUTED_VALUE"""),"День шахтера")</f>
        <v>День шахтера</v>
      </c>
      <c r="S432" s="6" t="str">
        <f>IFERROR(__xludf.DUMMYFUNCTION("""COMPUTED_VALUE"""),"Проводил мероприятия")</f>
        <v>Проводил мероприятия</v>
      </c>
      <c r="T432" s="6" t="str">
        <f>IFERROR(__xludf.DUMMYFUNCTION("""COMPUTED_VALUE"""),"Сосновый бор")</f>
        <v>Сосновый бор</v>
      </c>
      <c r="U432" s="6" t="str">
        <f>IFERROR(__xludf.DUMMYFUNCTION("""COMPUTED_VALUE"""),"В каждом районе города свой центр")</f>
        <v>В каждом районе города свой центр</v>
      </c>
      <c r="V432" s="6" t="str">
        <f>IFERROR(__xludf.DUMMYFUNCTION("""COMPUTED_VALUE"""),"Многое")</f>
        <v>Многое</v>
      </c>
      <c r="W432" s="6" t="str">
        <f>IFERROR(__xludf.DUMMYFUNCTION("""COMPUTED_VALUE"""),"Люди группы риска")</f>
        <v>Люди группы риска</v>
      </c>
      <c r="X432" s="6" t="str">
        <f>IFERROR(__xludf.DUMMYFUNCTION("""COMPUTED_VALUE"""),"ул. Весенняя")</f>
        <v>ул. Весенняя</v>
      </c>
      <c r="Y432" s="6" t="str">
        <f>IFERROR(__xludf.DUMMYFUNCTION("""COMPUTED_VALUE"""),"Промышленное развитие после ВОв")</f>
        <v>Промышленное развитие после ВОв</v>
      </c>
      <c r="Z432" s="6" t="str">
        <f>IFERROR(__xludf.DUMMYFUNCTION("""COMPUTED_VALUE"""),"Нет")</f>
        <v>Нет</v>
      </c>
      <c r="AA432" s="6" t="str">
        <f>IFERROR(__xludf.DUMMYFUNCTION("""COMPUTED_VALUE"""),"Нет")</f>
        <v>Нет</v>
      </c>
      <c r="AB432" s="6" t="str">
        <f>IFERROR(__xludf.DUMMYFUNCTION("""COMPUTED_VALUE"""),"Культурное")</f>
        <v>Культурное</v>
      </c>
      <c r="AC432" s="6" t="str">
        <f>IFERROR(__xludf.DUMMYFUNCTION("""COMPUTED_VALUE"""),"Общегородские")</f>
        <v>Общегородские</v>
      </c>
      <c r="AD432" s="6" t="str">
        <f>IFERROR(__xludf.DUMMYFUNCTION("""COMPUTED_VALUE"""),"Голосующего")</f>
        <v>Голосующего</v>
      </c>
      <c r="AE432" s="6" t="str">
        <f>IFERROR(__xludf.DUMMYFUNCTION("""COMPUTED_VALUE"""),"Женский")</f>
        <v>Женский</v>
      </c>
      <c r="AF432" s="6" t="str">
        <f>IFERROR(__xludf.DUMMYFUNCTION("""COMPUTED_VALUE"""),"45-55")</f>
        <v>45-55</v>
      </c>
      <c r="AG432" s="6"/>
      <c r="AH432" s="6"/>
      <c r="AI432" s="6"/>
      <c r="AJ432" s="6"/>
      <c r="AK432" s="6"/>
      <c r="AL432" s="6"/>
      <c r="AM432" s="6"/>
    </row>
    <row r="433">
      <c r="A433" s="6">
        <v>432.0</v>
      </c>
      <c r="B433" s="6" t="str">
        <f>IFERROR(__xludf.DUMMYFUNCTION("""COMPUTED_VALUE"""),"Программист")</f>
        <v>Программист</v>
      </c>
      <c r="C433" s="6" t="str">
        <f>IFERROR(__xludf.DUMMYFUNCTION("""COMPUTED_VALUE"""),"Солнечная энергетика")</f>
        <v>Солнечная энергетика</v>
      </c>
      <c r="D433" s="6" t="str">
        <f>IFERROR(__xludf.DUMMYFUNCTION("""COMPUTED_VALUE"""),"Кировский")</f>
        <v>Кировский</v>
      </c>
      <c r="E433" s="6" t="str">
        <f>IFERROR(__xludf.DUMMYFUNCTION("""COMPUTED_VALUE"""),"Набережная")</f>
        <v>Набережная</v>
      </c>
      <c r="F433" s="6" t="str">
        <f>IFERROR(__xludf.DUMMYFUNCTION("""COMPUTED_VALUE"""),"Живу здесь с рождения")</f>
        <v>Живу здесь с рождения</v>
      </c>
      <c r="G433" s="6" t="str">
        <f>IFERROR(__xludf.DUMMYFUNCTION("""COMPUTED_VALUE"""),"Набережная")</f>
        <v>Набережная</v>
      </c>
      <c r="H433" s="6" t="str">
        <f>IFERROR(__xludf.DUMMYFUNCTION("""COMPUTED_VALUE"""),"Азот, ТЭЦ, унылость, бор, трубы")</f>
        <v>Азот, ТЭЦ, унылость, бор, трубы</v>
      </c>
      <c r="I433" s="6" t="str">
        <f>IFERROR(__xludf.DUMMYFUNCTION("""COMPUTED_VALUE"""),"Тулеев")</f>
        <v>Тулеев</v>
      </c>
      <c r="J433" s="6" t="str">
        <f>IFERROR(__xludf.DUMMYFUNCTION("""COMPUTED_VALUE"""),"Леонов")</f>
        <v>Леонов</v>
      </c>
      <c r="K433" s="6" t="str">
        <f>IFERROR(__xludf.DUMMYFUNCTION("""COMPUTED_VALUE"""),"Красная горка, Кировская набережная")</f>
        <v>Красная горка, Кировская набережная</v>
      </c>
      <c r="L433" s="6" t="str">
        <f>IFERROR(__xludf.DUMMYFUNCTION("""COMPUTED_VALUE"""),"Пьют")</f>
        <v>Пьют</v>
      </c>
      <c r="M433" s="6" t="str">
        <f>IFERROR(__xludf.DUMMYFUNCTION("""COMPUTED_VALUE"""),"нет")</f>
        <v>нет</v>
      </c>
      <c r="N433" s="6" t="str">
        <f>IFERROR(__xludf.DUMMYFUNCTION("""COMPUTED_VALUE"""),"Транспорт, чистый воздух, велодорожки, супермаркеты, банкоматы")</f>
        <v>Транспорт, чистый воздух, велодорожки, супермаркеты, банкоматы</v>
      </c>
      <c r="O433" s="6" t="str">
        <f>IFERROR(__xludf.DUMMYFUNCTION("""COMPUTED_VALUE"""),"Снести бараки")</f>
        <v>Снести бараки</v>
      </c>
      <c r="P433" s="6" t="str">
        <f>IFERROR(__xludf.DUMMYFUNCTION("""COMPUTED_VALUE"""),"В контакте")</f>
        <v>В контакте</v>
      </c>
      <c r="Q433"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433" s="6" t="str">
        <f>IFERROR(__xludf.DUMMYFUNCTION("""COMPUTED_VALUE"""),"День города")</f>
        <v>День города</v>
      </c>
      <c r="S433" s="6" t="str">
        <f>IFERROR(__xludf.DUMMYFUNCTION("""COMPUTED_VALUE"""),"Нет, не приходилось")</f>
        <v>Нет, не приходилось</v>
      </c>
      <c r="T433" s="6" t="str">
        <f>IFERROR(__xludf.DUMMYFUNCTION("""COMPUTED_VALUE"""),"Ничего")</f>
        <v>Ничего</v>
      </c>
      <c r="U433" s="6" t="str">
        <f>IFERROR(__xludf.DUMMYFUNCTION("""COMPUTED_VALUE"""),"КемГУ")</f>
        <v>КемГУ</v>
      </c>
      <c r="V433" s="6" t="str">
        <f>IFERROR(__xludf.DUMMYFUNCTION("""COMPUTED_VALUE"""),"Не знаю")</f>
        <v>Не знаю</v>
      </c>
      <c r="W433" s="6" t="str">
        <f>IFERROR(__xludf.DUMMYFUNCTION("""COMPUTED_VALUE"""),"По разному")</f>
        <v>По разному</v>
      </c>
      <c r="X433" s="6" t="str">
        <f>IFERROR(__xludf.DUMMYFUNCTION("""COMPUTED_VALUE"""),"пр. Советский - пр. Притомский")</f>
        <v>пр. Советский - пр. Притомский</v>
      </c>
      <c r="Y433" s="6" t="str">
        <f>IFERROR(__xludf.DUMMYFUNCTION("""COMPUTED_VALUE"""),"не знаю")</f>
        <v>не знаю</v>
      </c>
      <c r="Z433" s="6" t="str">
        <f>IFERROR(__xludf.DUMMYFUNCTION("""COMPUTED_VALUE"""),"День города (салют)")</f>
        <v>День города (салют)</v>
      </c>
      <c r="AA433" s="6" t="str">
        <f>IFERROR(__xludf.DUMMYFUNCTION("""COMPUTED_VALUE"""),"Никаких")</f>
        <v>Никаких</v>
      </c>
      <c r="AB433" s="6" t="str">
        <f>IFERROR(__xludf.DUMMYFUNCTION("""COMPUTED_VALUE"""),"Уличных музыкантов")</f>
        <v>Уличных музыкантов</v>
      </c>
      <c r="AC433" s="6" t="str">
        <f>IFERROR(__xludf.DUMMYFUNCTION("""COMPUTED_VALUE"""),"Уличных поэтов и музыкантов")</f>
        <v>Уличных поэтов и музыкантов</v>
      </c>
      <c r="AD433" s="6" t="str">
        <f>IFERROR(__xludf.DUMMYFUNCTION("""COMPUTED_VALUE"""),"Экоуборки, солнечная энергетика")</f>
        <v>Экоуборки, солнечная энергетика</v>
      </c>
      <c r="AE433" s="6" t="str">
        <f>IFERROR(__xludf.DUMMYFUNCTION("""COMPUTED_VALUE"""),"Мужской")</f>
        <v>Мужской</v>
      </c>
      <c r="AF433" s="6" t="str">
        <f>IFERROR(__xludf.DUMMYFUNCTION("""COMPUTED_VALUE"""),"30-44")</f>
        <v>30-44</v>
      </c>
      <c r="AG433" s="6"/>
      <c r="AH433" s="6"/>
      <c r="AI433" s="6"/>
      <c r="AJ433" s="6"/>
      <c r="AK433" s="6"/>
      <c r="AL433" s="6"/>
      <c r="AM433" s="6"/>
    </row>
    <row r="434">
      <c r="A434" s="6">
        <v>433.0</v>
      </c>
      <c r="B434" s="6" t="str">
        <f>IFERROR(__xludf.DUMMYFUNCTION("""COMPUTED_VALUE"""),"Офисный работник")</f>
        <v>Офисный работник</v>
      </c>
      <c r="C434" s="6" t="str">
        <f>IFERROR(__xludf.DUMMYFUNCTION("""COMPUTED_VALUE"""),"Велосипед ")</f>
        <v>Велосипед </v>
      </c>
      <c r="D434" s="6" t="str">
        <f>IFERROR(__xludf.DUMMYFUNCTION("""COMPUTED_VALUE"""),"Заводский. Сибиряки ")</f>
        <v>Заводский. Сибиряки </v>
      </c>
      <c r="E434" s="6" t="str">
        <f>IFERROR(__xludf.DUMMYFUNCTION("""COMPUTED_VALUE"""),"Никаких")</f>
        <v>Никаких</v>
      </c>
      <c r="F434" s="6" t="str">
        <f>IFERROR(__xludf.DUMMYFUNCTION("""COMPUTED_VALUE"""),"Родился здесь,но сейчас живу в другом городе")</f>
        <v>Родился здесь,но сейчас живу в другом городе</v>
      </c>
      <c r="G434" s="6" t="str">
        <f>IFERROR(__xludf.DUMMYFUNCTION("""COMPUTED_VALUE"""),"Улица весенняя, набережная")</f>
        <v>Улица весенняя, набережная</v>
      </c>
      <c r="H434" s="6" t="str">
        <f>IFERROR(__xludf.DUMMYFUNCTION("""COMPUTED_VALUE"""),"Грязь, скука, мрак, мой, родной")</f>
        <v>Грязь, скука, мрак, мой, родной</v>
      </c>
      <c r="I434" s="6" t="str">
        <f>IFERROR(__xludf.DUMMYFUNCTION("""COMPUTED_VALUE"""),"Волков")</f>
        <v>Волков</v>
      </c>
      <c r="J434" s="6" t="str">
        <f>IFERROR(__xludf.DUMMYFUNCTION("""COMPUTED_VALUE"""),"Гришковец")</f>
        <v>Гришковец</v>
      </c>
      <c r="K434" s="6" t="str">
        <f>IFERROR(__xludf.DUMMYFUNCTION("""COMPUTED_VALUE"""),"Красная горка")</f>
        <v>Красная горка</v>
      </c>
      <c r="L434" s="6" t="str">
        <f>IFERROR(__xludf.DUMMYFUNCTION("""COMPUTED_VALUE"""),"-")</f>
        <v>-</v>
      </c>
      <c r="M434" s="6" t="str">
        <f>IFERROR(__xludf.DUMMYFUNCTION("""COMPUTED_VALUE"""),"Мультифора, маленько")</f>
        <v>Мультифора, маленько</v>
      </c>
      <c r="N434" s="6" t="str">
        <f>IFERROR(__xludf.DUMMYFUNCTION("""COMPUTED_VALUE"""),"Чистота, уют, развлечение, места прогулок, развитая культура")</f>
        <v>Чистота, уют, развлечение, места прогулок, развитая культура</v>
      </c>
      <c r="O434" s="6" t="str">
        <f>IFERROR(__xludf.DUMMYFUNCTION("""COMPUTED_VALUE"""),"Навести чистоту, зимой чистить тротуары, невозможно ходить и ездит, ведь для этого не требуется больших затрат. Везде грязь, все облуплено, сходить некуда, вокруг мрак какой-то ")</f>
        <v>Навести чистоту, зимой чистить тротуары, невозможно ходить и ездит, ведь для этого не требуется больших затрат. Везде грязь, все облуплено, сходить некуда, вокруг мрак какой-то </v>
      </c>
      <c r="P434" s="6" t="str">
        <f>IFERROR(__xludf.DUMMYFUNCTION("""COMPUTED_VALUE"""),"Инстаграм")</f>
        <v>Инстаграм</v>
      </c>
      <c r="Q43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434" s="6" t="str">
        <f>IFERROR(__xludf.DUMMYFUNCTION("""COMPUTED_VALUE"""),"День города, день шахтера")</f>
        <v>День города, день шахтера</v>
      </c>
      <c r="S434" s="6" t="str">
        <f>IFERROR(__xludf.DUMMYFUNCTION("""COMPUTED_VALUE"""),"Нет, не приходилось")</f>
        <v>Нет, не приходилось</v>
      </c>
      <c r="T434" s="6" t="str">
        <f>IFERROR(__xludf.DUMMYFUNCTION("""COMPUTED_VALUE"""),"Угольная столица")</f>
        <v>Угольная столица</v>
      </c>
      <c r="U434" s="6" t="str">
        <f>IFERROR(__xludf.DUMMYFUNCTION("""COMPUTED_VALUE"""),"Весенняя ул")</f>
        <v>Весенняя ул</v>
      </c>
      <c r="V434" s="6" t="str">
        <f>IFERROR(__xludf.DUMMYFUNCTION("""COMPUTED_VALUE"""),"Ничего ")</f>
        <v>Ничего </v>
      </c>
      <c r="W434" s="6" t="str">
        <f>IFERROR(__xludf.DUMMYFUNCTION("""COMPUTED_VALUE"""),"Спокойные ")</f>
        <v>Спокойные </v>
      </c>
      <c r="X434" s="6" t="str">
        <f>IFERROR(__xludf.DUMMYFUNCTION("""COMPUTED_VALUE"""),"Да нет такого! Приезжали погостить с другом из Мск, даже некуда вывести и показать нечего")</f>
        <v>Да нет такого! Приезжали погостить с другом из Мск, даже некуда вывести и показать нечего</v>
      </c>
      <c r="Y434" s="6" t="str">
        <f>IFERROR(__xludf.DUMMYFUNCTION("""COMPUTED_VALUE"""),"Именно историческое - Зимняя вишня")</f>
        <v>Именно историческое - Зимняя вишня</v>
      </c>
      <c r="Z434" s="6" t="str">
        <f>IFERROR(__xludf.DUMMYFUNCTION("""COMPUTED_VALUE"""),"Никакие")</f>
        <v>Никакие</v>
      </c>
      <c r="AA434" s="6" t="str">
        <f>IFERROR(__xludf.DUMMYFUNCTION("""COMPUTED_VALUE"""),"Зимняя вишня")</f>
        <v>Зимняя вишня</v>
      </c>
      <c r="AB434" s="6" t="str">
        <f>IFERROR(__xludf.DUMMYFUNCTION("""COMPUTED_VALUE"""),"-")</f>
        <v>-</v>
      </c>
      <c r="AC434" s="6" t="str">
        <f>IFERROR(__xludf.DUMMYFUNCTION("""COMPUTED_VALUE"""),"Больше спортивных открытых мероприятий в городе на открытом воздухе")</f>
        <v>Больше спортивных открытых мероприятий в городе на открытом воздухе</v>
      </c>
      <c r="AD434" s="6" t="str">
        <f>IFERROR(__xludf.DUMMYFUNCTION("""COMPUTED_VALUE"""),"-")</f>
        <v>-</v>
      </c>
      <c r="AE434" s="6" t="str">
        <f>IFERROR(__xludf.DUMMYFUNCTION("""COMPUTED_VALUE"""),"Женский")</f>
        <v>Женский</v>
      </c>
      <c r="AF434" s="6" t="str">
        <f>IFERROR(__xludf.DUMMYFUNCTION("""COMPUTED_VALUE"""),"30-44")</f>
        <v>30-44</v>
      </c>
      <c r="AG434" s="6"/>
      <c r="AH434" s="6"/>
      <c r="AI434" s="6"/>
      <c r="AJ434" s="6"/>
      <c r="AK434" s="6"/>
      <c r="AL434" s="6"/>
      <c r="AM434" s="6"/>
    </row>
    <row r="435">
      <c r="A435" s="6">
        <v>434.0</v>
      </c>
      <c r="B435" s="6" t="str">
        <f>IFERROR(__xludf.DUMMYFUNCTION("""COMPUTED_VALUE"""),"сфера культуры")</f>
        <v>сфера культуры</v>
      </c>
      <c r="C435" s="6" t="str">
        <f>IFERROR(__xludf.DUMMYFUNCTION("""COMPUTED_VALUE"""),"чтение")</f>
        <v>чтение</v>
      </c>
      <c r="D435" s="6" t="str">
        <f>IFERROR(__xludf.DUMMYFUNCTION("""COMPUTED_VALUE"""),"Рудничный. Называю ""РАДУГА""")</f>
        <v>Рудничный. Называю "РАДУГА"</v>
      </c>
      <c r="E435" s="6" t="str">
        <f>IFERROR(__xludf.DUMMYFUNCTION("""COMPUTED_VALUE"""),"Сосновый бор,  аллея ""Дружбы народов"",  музей-заповедник ""Красная Горка"", памятник-монумент ""Память шахтерам Кузбасса"", Поклонный Крест на горе в сосновом бору, там же надпись КУЗБАСС, памятник ""Шахтер"" , ДК шахтеров, стадион Шахтер")</f>
        <v>Сосновый бор,  аллея "Дружбы народов",  музей-заповедник "Красная Горка", памятник-монумент "Память шахтерам Кузбасса", Поклонный Крест на горе в сосновом бору, там же надпись КУЗБАСС, памятник "Шахтер" , ДК шахтеров, стадион Шахтер</v>
      </c>
      <c r="F435" s="6" t="str">
        <f>IFERROR(__xludf.DUMMYFUNCTION("""COMPUTED_VALUE"""),"Переехал сюда из другого места (откуда? укажите в графе другое), По семейным обстоятельствам из Казахстана")</f>
        <v>Переехал сюда из другого места (откуда? укажите в графе другое), По семейным обстоятельствам из Казахстана</v>
      </c>
      <c r="G435" s="6" t="str">
        <f>IFERROR(__xludf.DUMMYFUNCTION("""COMPUTED_VALUE"""),"Сосновый бор, прогулки в своем районе по Сосновому бульвару, линейный парк бульвара Строителей")</f>
        <v>Сосновый бор, прогулки в своем районе по Сосновому бульвару, линейный парк бульвара Строителей</v>
      </c>
      <c r="H435" s="6" t="str">
        <f>IFERROR(__xludf.DUMMYFUNCTION("""COMPUTED_VALUE"""),"Шахтеры, столица,  промышленность, культура,  природа (реликтовый бор внутри города)")</f>
        <v>Шахтеры, столица,  промышленность, культура,  природа (реликтовый бор внутри города)</v>
      </c>
      <c r="I435" s="6" t="str">
        <f>IFERROR(__xludf.DUMMYFUNCTION("""COMPUTED_VALUE"""),"М. Волков, Б.Штоколов, А.Бобров, В.Волошина, А.Леонов")</f>
        <v>М. Волков, Б.Штоколов, А.Бобров, В.Волошина, А.Леонов</v>
      </c>
      <c r="J435" s="6" t="str">
        <f>IFERROR(__xludf.DUMMYFUNCTION("""COMPUTED_VALUE"""),"В.Михайлов, А. Тулеев, И.Курочкин, И.Федорова")</f>
        <v>В.Михайлов, А. Тулеев, И.Курочкин, И.Федорова</v>
      </c>
      <c r="K435" s="6" t="str">
        <f>IFERROR(__xludf.DUMMYFUNCTION("""COMPUTED_VALUE"""),"Лесная Поляна, страусиная ферма (ранчо) в д.Журавлево, Хаскилэнд, набережная со скульптурами ")</f>
        <v>Лесная Поляна, страусиная ферма (ранчо) в д.Журавлево, Хаскилэнд, набережная со скульптурами </v>
      </c>
      <c r="L435" s="6" t="str">
        <f>IFERROR(__xludf.DUMMYFUNCTION("""COMPUTED_VALUE"""),"пословиц и поговорок не знаю. Название Кемерово - предположительно от тюрк. ""Кемир"" - это значит ""берег"" или ""утес, обрыв.. , а начиналось всё с Щегловска ")</f>
        <v>пословиц и поговорок не знаю. Название Кемерово - предположительно от тюрк. "Кемир" - это значит "берег" или "утес, обрыв.. , а начиналось всё с Щегловска </v>
      </c>
      <c r="M435" s="6" t="str">
        <f>IFERROR(__xludf.DUMMYFUNCTION("""COMPUTED_VALUE"""),"скорее по-кузбасски - значит с размахом, вместе, сообща")</f>
        <v>скорее по-кузбасски - значит с размахом, вместе, сообща</v>
      </c>
      <c r="N435" s="6" t="str">
        <f>IFERROR(__xludf.DUMMYFUNCTION("""COMPUTED_VALUE"""),"чистый город; не выезжая за город можно погулять в чистом природном заповеднике (сосновый бор);  благоустроенные дворы, парки;  появляются новые арт-пространства,  озеленение")</f>
        <v>чистый город; не выезжая за город можно погулять в чистом природном заповеднике (сосновый бор);  благоустроенные дворы, парки;  появляются новые арт-пространства,  озеленение</v>
      </c>
      <c r="O435" s="6" t="str">
        <f>IFERROR(__xludf.DUMMYFUNCTION("""COMPUTED_VALUE"""),"всё устраивает. сейчас происходит много положительных изменений ")</f>
        <v>всё устраивает. сейчас происходит много положительных изменений </v>
      </c>
      <c r="P435" s="6" t="str">
        <f>IFERROR(__xludf.DUMMYFUNCTION("""COMPUTED_VALUE"""),"яндекс-новости (кемерово); новости культуры - сайт министерства культуры  и нац.политики Кузбасса http://mincult-kuzbass.ru; новости Сибдепо, VSE42.")</f>
        <v>яндекс-новости (кемерово); новости культуры - сайт министерства культуры  и нац.политики Кузбасса http://mincult-kuzbass.ru; новости Сибдепо, VSE42.</v>
      </c>
      <c r="Q435"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435" s="6" t="str">
        <f>IFERROR(__xludf.DUMMYFUNCTION("""COMPUTED_VALUE"""),"день шахтера, Масленица,  день города Кемерово и День России,  в этом году - юбилей Кузбасса, новогодние и рождественские  праздники")</f>
        <v>день шахтера, Масленица,  день города Кемерово и День России,  в этом году - юбилей Кузбасса, новогодние и рождественские  праздники</v>
      </c>
      <c r="S435" s="6" t="str">
        <f>IFERROR(__xludf.DUMMYFUNCTION("""COMPUTED_VALUE"""),"Через социальные сети (Какие? Укажите в графе другое), Обращался в редакции городских газет, телевидения, радио, фестивали и конкурсы, народные праздники в области самодеятельного народного творчества")</f>
        <v>Через социальные сети (Какие? Укажите в графе другое), Обращался в редакции городских газет, телевидения, радио, фестивали и конкурсы, народные праздники в области самодеятельного народного творчества</v>
      </c>
      <c r="T435" s="6" t="str">
        <f>IFERROR(__xludf.DUMMYFUNCTION("""COMPUTED_VALUE"""),"мощный промышленный центр, проживает большое число национальностей (в целом в Кузбассе более 150)")</f>
        <v>мощный промышленный центр, проживает большое число национальностей (в целом в Кузбассе более 150)</v>
      </c>
      <c r="U435" s="6" t="str">
        <f>IFERROR(__xludf.DUMMYFUNCTION("""COMPUTED_VALUE"""),"площадь Советов")</f>
        <v>площадь Советов</v>
      </c>
      <c r="V435" s="6" t="str">
        <f>IFERROR(__xludf.DUMMYFUNCTION("""COMPUTED_VALUE"""),"преобразование города. город очень сильно преобразился за последние десятилетия")</f>
        <v>преобразование города. город очень сильно преобразился за последние десятилетия</v>
      </c>
      <c r="W435" s="6" t="str">
        <f>IFERROR(__xludf.DUMMYFUNCTION("""COMPUTED_VALUE"""),"отзывчивые, мрачные и озабоченные,  но в то же время искренние")</f>
        <v>отзывчивые, мрачные и озабоченные,  но в то же время искренние</v>
      </c>
      <c r="X435" s="6" t="str">
        <f>IFERROR(__xludf.DUMMYFUNCTION("""COMPUTED_VALUE"""),"Красная Горка, место с чего все начиналось. ")</f>
        <v>Красная Горка, место с чего все начиналось. </v>
      </c>
      <c r="Y435" s="6" t="str">
        <f>IFERROR(__xludf.DUMMYFUNCTION("""COMPUTED_VALUE"""),"Чемпионат мира по бенди, Открытого регионального чемпионата «Молодые профессионалы (WorldSkills Russia)», международный женский форум")</f>
        <v>Чемпионат мира по бенди, Открытого регионального чемпионата «Молодые профессионалы (WorldSkills Russia)», международный женский форум</v>
      </c>
      <c r="Z435" s="6" t="str">
        <f>IFERROR(__xludf.DUMMYFUNCTION("""COMPUTED_VALUE"""),"Рок фестиваль в Кемерово летом 2019 г.")</f>
        <v>Рок фестиваль в Кемерово летом 2019 г.</v>
      </c>
      <c r="AA435" s="6" t="str">
        <f>IFERROR(__xludf.DUMMYFUNCTION("""COMPUTED_VALUE"""),"стараюсь не запоминать негативные события")</f>
        <v>стараюсь не запоминать негативные события</v>
      </c>
      <c r="AB435" s="6" t="str">
        <f>IFERROR(__xludf.DUMMYFUNCTION("""COMPUTED_VALUE"""),"- ")</f>
        <v>- </v>
      </c>
      <c r="AC435" s="6" t="str">
        <f>IFERROR(__xludf.DUMMYFUNCTION("""COMPUTED_VALUE"""),"побольше ярких креативных пространств для молодежи и студентов")</f>
        <v>побольше ярких креативных пространств для молодежи и студентов</v>
      </c>
      <c r="AD435" s="6" t="str">
        <f>IFERROR(__xludf.DUMMYFUNCTION("""COMPUTED_VALUE"""),"участник")</f>
        <v>участник</v>
      </c>
      <c r="AE435" s="6" t="str">
        <f>IFERROR(__xludf.DUMMYFUNCTION("""COMPUTED_VALUE"""),"Женский")</f>
        <v>Женский</v>
      </c>
      <c r="AF435" s="6" t="str">
        <f>IFERROR(__xludf.DUMMYFUNCTION("""COMPUTED_VALUE"""),"45-55")</f>
        <v>45-55</v>
      </c>
      <c r="AG435" s="6"/>
      <c r="AH435" s="6"/>
      <c r="AI435" s="6"/>
      <c r="AJ435" s="6"/>
      <c r="AK435" s="6"/>
      <c r="AL435" s="6"/>
      <c r="AM435" s="6"/>
    </row>
    <row r="436">
      <c r="A436" s="6">
        <v>435.0</v>
      </c>
      <c r="B436" s="6" t="str">
        <f>IFERROR(__xludf.DUMMYFUNCTION("""COMPUTED_VALUE"""),"Работаю")</f>
        <v>Работаю</v>
      </c>
      <c r="C436" s="6" t="str">
        <f>IFERROR(__xludf.DUMMYFUNCTION("""COMPUTED_VALUE"""),"Музыка, рукоделию")</f>
        <v>Музыка, рукоделию</v>
      </c>
      <c r="D436" s="6" t="str">
        <f>IFERROR(__xludf.DUMMYFUNCTION("""COMPUTED_VALUE"""),"работаю в Центральном районе")</f>
        <v>работаю в Центральном районе</v>
      </c>
      <c r="E436" s="6" t="str">
        <f>IFERROR(__xludf.DUMMYFUNCTION("""COMPUTED_VALUE"""),"Набережная")</f>
        <v>Набережная</v>
      </c>
      <c r="F436" s="6" t="str">
        <f>IFERROR(__xludf.DUMMYFUNCTION("""COMPUTED_VALUE"""),"Приезжаю на работу")</f>
        <v>Приезжаю на работу</v>
      </c>
      <c r="G436" s="6" t="str">
        <f>IFERROR(__xludf.DUMMYFUNCTION("""COMPUTED_VALUE"""),"Ул. Весенняя")</f>
        <v>Ул. Весенняя</v>
      </c>
      <c r="H436" s="6" t="str">
        <f>IFERROR(__xludf.DUMMYFUNCTION("""COMPUTED_VALUE"""),"Сибирь, шахтеры, зима, тайга")</f>
        <v>Сибирь, шахтеры, зима, тайга</v>
      </c>
      <c r="I436" s="6" t="str">
        <f>IFERROR(__xludf.DUMMYFUNCTION("""COMPUTED_VALUE"""),"М. Волков")</f>
        <v>М. Волков</v>
      </c>
      <c r="J436" s="6" t="str">
        <f>IFERROR(__xludf.DUMMYFUNCTION("""COMPUTED_VALUE"""),"М. Небогатов")</f>
        <v>М. Небогатов</v>
      </c>
      <c r="K436" s="6" t="str">
        <f>IFERROR(__xludf.DUMMYFUNCTION("""COMPUTED_VALUE"""),"Поселок Боровой")</f>
        <v>Поселок Боровой</v>
      </c>
      <c r="L436" s="6" t="str">
        <f>IFERROR(__xludf.DUMMYFUNCTION("""COMPUTED_VALUE"""),"Не знаю")</f>
        <v>Не знаю</v>
      </c>
      <c r="M436" s="6" t="str">
        <f>IFERROR(__xludf.DUMMYFUNCTION("""COMPUTED_VALUE"""),"Не знаю")</f>
        <v>Не знаю</v>
      </c>
      <c r="N436" s="6" t="str">
        <f>IFERROR(__xludf.DUMMYFUNCTION("""COMPUTED_VALUE"""),"Чистота, много зелени, цветы, фонтаны, развитая транспортная система")</f>
        <v>Чистота, много зелени, цветы, фонтаны, развитая транспортная система</v>
      </c>
      <c r="O436" s="6" t="str">
        <f>IFERROR(__xludf.DUMMYFUNCTION("""COMPUTED_VALUE"""),"Отремонтировать дороги, тротуары")</f>
        <v>Отремонтировать дороги, тротуары</v>
      </c>
      <c r="P436" s="6" t="str">
        <f>IFERROR(__xludf.DUMMYFUNCTION("""COMPUTED_VALUE"""),"Интернет")</f>
        <v>Интернет</v>
      </c>
      <c r="Q436" s="6" t="str">
        <f>IFERROR(__xludf.DUMMYFUNCTION("""COMPUTED_VALUE"""),"интервью с местными творческими личностями, интервью с экспертами на разные темы (напишите в разделе Другое свои предложения)")</f>
        <v>интервью с местными творческими личностями, интервью с экспертами на разные темы (напишите в разделе Другое свои предложения)</v>
      </c>
      <c r="R436" s="6" t="str">
        <f>IFERROR(__xludf.DUMMYFUNCTION("""COMPUTED_VALUE"""),"9 Мая, Новый год, День города")</f>
        <v>9 Мая, Новый год, День города</v>
      </c>
      <c r="S436" s="6" t="str">
        <f>IFERROR(__xludf.DUMMYFUNCTION("""COMPUTED_VALUE"""),"Нет, не приходилось")</f>
        <v>Нет, не приходилось</v>
      </c>
      <c r="T436" s="6" t="str">
        <f>IFERROR(__xludf.DUMMYFUNCTION("""COMPUTED_VALUE"""),"Столица шахтерского края")</f>
        <v>Столица шахтерского края</v>
      </c>
      <c r="U436" s="6" t="str">
        <f>IFERROR(__xludf.DUMMYFUNCTION("""COMPUTED_VALUE"""),"пр. Советский")</f>
        <v>пр. Советский</v>
      </c>
      <c r="V436" s="6" t="str">
        <f>IFERROR(__xludf.DUMMYFUNCTION("""COMPUTED_VALUE"""),"Работали, строили")</f>
        <v>Работали, строили</v>
      </c>
      <c r="W436" s="6" t="str">
        <f>IFERROR(__xludf.DUMMYFUNCTION("""COMPUTED_VALUE"""),"обычные хорошие люди")</f>
        <v>обычные хорошие люди</v>
      </c>
      <c r="X436" s="6" t="str">
        <f>IFERROR(__xludf.DUMMYFUNCTION("""COMPUTED_VALUE"""),"музей Красная Горка")</f>
        <v>музей Красная Горка</v>
      </c>
      <c r="Y436" s="6" t="str">
        <f>IFERROR(__xludf.DUMMYFUNCTION("""COMPUTED_VALUE"""),"Не могу ответить")</f>
        <v>Не могу ответить</v>
      </c>
      <c r="Z436" s="6" t="str">
        <f>IFERROR(__xludf.DUMMYFUNCTION("""COMPUTED_VALUE"""),"100-летие города")</f>
        <v>100-летие города</v>
      </c>
      <c r="AA436" s="6" t="str">
        <f>IFERROR(__xludf.DUMMYFUNCTION("""COMPUTED_VALUE"""),"Никакие ")</f>
        <v>Никакие </v>
      </c>
      <c r="AB436" s="6" t="str">
        <f>IFERROR(__xludf.DUMMYFUNCTION("""COMPUTED_VALUE"""),"я здесь не живу")</f>
        <v>я здесь не живу</v>
      </c>
      <c r="AC436" s="6" t="str">
        <f>IFERROR(__xludf.DUMMYFUNCTION("""COMPUTED_VALUE"""),"я здесь не живу")</f>
        <v>я здесь не живу</v>
      </c>
      <c r="AD436" s="6" t="str">
        <f>IFERROR(__xludf.DUMMYFUNCTION("""COMPUTED_VALUE"""),"я здесь не живу")</f>
        <v>я здесь не живу</v>
      </c>
      <c r="AE436" s="6" t="str">
        <f>IFERROR(__xludf.DUMMYFUNCTION("""COMPUTED_VALUE"""),"Женский")</f>
        <v>Женский</v>
      </c>
      <c r="AF436" s="6" t="str">
        <f>IFERROR(__xludf.DUMMYFUNCTION("""COMPUTED_VALUE"""),"45-55")</f>
        <v>45-55</v>
      </c>
      <c r="AG436" s="6"/>
      <c r="AH436" s="6"/>
      <c r="AI436" s="6"/>
      <c r="AJ436" s="6"/>
      <c r="AK436" s="6"/>
      <c r="AL436" s="6"/>
      <c r="AM436" s="6"/>
    </row>
    <row r="437">
      <c r="A437" s="6">
        <v>436.0</v>
      </c>
      <c r="B437" s="6" t="str">
        <f>IFERROR(__xludf.DUMMYFUNCTION("""COMPUTED_VALUE"""),"Сфера культура")</f>
        <v>Сфера культура</v>
      </c>
      <c r="C437" s="6" t="str">
        <f>IFERROR(__xludf.DUMMYFUNCTION("""COMPUTED_VALUE"""),"Чтение книг")</f>
        <v>Чтение книг</v>
      </c>
      <c r="D437" s="6" t="str">
        <f>IFERROR(__xludf.DUMMYFUNCTION("""COMPUTED_VALUE"""),"Центральный")</f>
        <v>Центральный</v>
      </c>
      <c r="E437" s="6" t="str">
        <f>IFERROR(__xludf.DUMMYFUNCTION("""COMPUTED_VALUE"""),"Музыкальный театр, театр драмы, филармония, краеведческий музей, музей ИЗО, стадион ""Химик"", ЦУМ, набережная, пл.Советов и.т.д")</f>
        <v>Музыкальный театр, театр драмы, филармония, краеведческий музей, музей ИЗО, стадион "Химик", ЦУМ, набережная, пл.Советов и.т.д</v>
      </c>
      <c r="F437" s="6" t="str">
        <f>IFERROR(__xludf.DUMMYFUNCTION("""COMPUTED_VALUE"""),"Переехал сюда из другого места (откуда? укажите в графе другое),  Кемеровская обл.- Кузбасс г.Юрга")</f>
        <v>Переехал сюда из другого места (откуда? укажите в графе другое),  Кемеровская обл.- Кузбасс г.Юрга</v>
      </c>
      <c r="G437" s="6" t="str">
        <f>IFERROR(__xludf.DUMMYFUNCTION("""COMPUTED_VALUE"""),"на набережную")</f>
        <v>на набережную</v>
      </c>
      <c r="H437" s="6" t="str">
        <f>IFERROR(__xludf.DUMMYFUNCTION("""COMPUTED_VALUE"""),"Чистота, уют, понятность навигации.")</f>
        <v>Чистота, уют, понятность навигации.</v>
      </c>
      <c r="I437" s="6" t="str">
        <f>IFERROR(__xludf.DUMMYFUNCTION("""COMPUTED_VALUE"""),"М.Волков, Б.Штоколов, А.Бобров.")</f>
        <v>М.Волков, Б.Штоколов, А.Бобров.</v>
      </c>
      <c r="J437" s="6" t="str">
        <f>IFERROR(__xludf.DUMMYFUNCTION("""COMPUTED_VALUE"""),"В.В.Михайлов, А.Г.Тулеев, И.Ф.Фёдорова.")</f>
        <v>В.В.Михайлов, А.Г.Тулеев, И.Ф.Фёдорова.</v>
      </c>
      <c r="K437" s="6" t="str">
        <f>IFERROR(__xludf.DUMMYFUNCTION("""COMPUTED_VALUE"""),"музей ""Красна горка"".")</f>
        <v>музей "Красна горка".</v>
      </c>
      <c r="L437" s="6" t="str">
        <f>IFERROR(__xludf.DUMMYFUNCTION("""COMPUTED_VALUE"""),"Человек из Кемерова")</f>
        <v>Человек из Кемерова</v>
      </c>
      <c r="M437" s="6" t="str">
        <f>IFERROR(__xludf.DUMMYFUNCTION("""COMPUTED_VALUE"""),"_//_//_//")</f>
        <v>_//_//_//</v>
      </c>
      <c r="N437" s="6" t="str">
        <f>IFERROR(__xludf.DUMMYFUNCTION("""COMPUTED_VALUE"""),"Чистота,транспорт, освещение в вечернее время, безопасность, наличие туалетов.")</f>
        <v>Чистота,транспорт, освещение в вечернее время, безопасность, наличие туалетов.</v>
      </c>
      <c r="O437" s="6" t="str">
        <f>IFERROR(__xludf.DUMMYFUNCTION("""COMPUTED_VALUE"""),"Ремонт исторических памятников архитектуры,благоустройство зон отдыха.")</f>
        <v>Ремонт исторических памятников архитектуры,благоустройство зон отдыха.</v>
      </c>
      <c r="P437" s="6" t="str">
        <f>IFERROR(__xludf.DUMMYFUNCTION("""COMPUTED_VALUE"""),"Инстаграм, ТВ, радио.")</f>
        <v>Инстаграм, ТВ, радио.</v>
      </c>
      <c r="Q437"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437" s="6" t="str">
        <f>IFERROR(__xludf.DUMMYFUNCTION("""COMPUTED_VALUE"""),"День Победы, Новый год, День независимости, День города.")</f>
        <v>День Победы, Новый год, День независимости, День города.</v>
      </c>
      <c r="S437" s="6" t="str">
        <f>IFERROR(__xludf.DUMMYFUNCTION("""COMPUTED_VALUE"""),"Через социальные сети (Какие? Укажите в графе другое), Обращался в редакции городских газет, телевидения, радио, Инстаграм, ТВ")</f>
        <v>Через социальные сети (Какие? Укажите в графе другое), Обращался в редакции городских газет, телевидения, радио, Инстаграм, ТВ</v>
      </c>
      <c r="T437" s="6" t="str">
        <f>IFERROR(__xludf.DUMMYFUNCTION("""COMPUTED_VALUE"""),"Памятник ШАХТЁРУ-автор Э.Неизвестный, музей Красная горка")</f>
        <v>Памятник ШАХТЁРУ-автор Э.Неизвестный, музей Красная горка</v>
      </c>
      <c r="U437" s="6" t="str">
        <f>IFERROR(__xludf.DUMMYFUNCTION("""COMPUTED_VALUE"""),"Советский проспект")</f>
        <v>Советский проспект</v>
      </c>
      <c r="V437" s="6" t="str">
        <f>IFERROR(__xludf.DUMMYFUNCTION("""COMPUTED_VALUE"""),"/_/_/_/_")</f>
        <v>/_/_/_/_</v>
      </c>
      <c r="W437" s="6" t="str">
        <f>IFERROR(__xludf.DUMMYFUNCTION("""COMPUTED_VALUE"""),"Добрые, отзывчивые.")</f>
        <v>Добрые, отзывчивые.</v>
      </c>
      <c r="X437" s="6" t="str">
        <f>IFERROR(__xludf.DUMMYFUNCTION("""COMPUTED_VALUE"""),"Набережная.")</f>
        <v>Набережная.</v>
      </c>
      <c r="Y437" s="6" t="str">
        <f>IFERROR(__xludf.DUMMYFUNCTION("""COMPUTED_VALUE"""),"Рок концерт")</f>
        <v>Рок концерт</v>
      </c>
      <c r="Z437" s="6" t="str">
        <f>IFERROR(__xludf.DUMMYFUNCTION("""COMPUTED_VALUE"""),"День победы, Лето с доставкой на дом")</f>
        <v>День победы, Лето с доставкой на дом</v>
      </c>
      <c r="AA437" s="6" t="str">
        <f>IFERROR(__xludf.DUMMYFUNCTION("""COMPUTED_VALUE"""),"не качественная Уборка снега.")</f>
        <v>не качественная Уборка снега.</v>
      </c>
      <c r="AB437" s="6" t="str">
        <f>IFERROR(__xludf.DUMMYFUNCTION("""COMPUTED_VALUE"""),"Бардовской песни")</f>
        <v>Бардовской песни</v>
      </c>
      <c r="AC437" s="6" t="str">
        <f>IFERROR(__xludf.DUMMYFUNCTION("""COMPUTED_VALUE"""),"Молодёжные")</f>
        <v>Молодёжные</v>
      </c>
      <c r="AD437" s="6" t="str">
        <f>IFERROR(__xludf.DUMMYFUNCTION("""COMPUTED_VALUE"""),"Организатор")</f>
        <v>Организатор</v>
      </c>
      <c r="AE437" s="6" t="str">
        <f>IFERROR(__xludf.DUMMYFUNCTION("""COMPUTED_VALUE"""),"Мужской")</f>
        <v>Мужской</v>
      </c>
      <c r="AF437" s="6" t="str">
        <f>IFERROR(__xludf.DUMMYFUNCTION("""COMPUTED_VALUE"""),"30-44")</f>
        <v>30-44</v>
      </c>
      <c r="AG437" s="6"/>
      <c r="AH437" s="6"/>
      <c r="AI437" s="6"/>
      <c r="AJ437" s="6"/>
      <c r="AK437" s="6"/>
      <c r="AL437" s="6"/>
      <c r="AM437" s="6"/>
    </row>
    <row r="438">
      <c r="A438" s="6">
        <v>437.0</v>
      </c>
      <c r="B438" s="6" t="str">
        <f>IFERROR(__xludf.DUMMYFUNCTION("""COMPUTED_VALUE"""),"Экологическое образование")</f>
        <v>Экологическое образование</v>
      </c>
      <c r="C438" s="6" t="str">
        <f>IFERROR(__xludf.DUMMYFUNCTION("""COMPUTED_VALUE"""),"Ландшафтный дизайн")</f>
        <v>Ландшафтный дизайн</v>
      </c>
      <c r="D438" s="6" t="str">
        <f>IFERROR(__xludf.DUMMYFUNCTION("""COMPUTED_VALUE"""),"Центральный")</f>
        <v>Центральный</v>
      </c>
      <c r="E438" s="6" t="str">
        <f>IFERROR(__xludf.DUMMYFUNCTION("""COMPUTED_VALUE"""),"Набережная, площадь Пушкина, Рудничный бор")</f>
        <v>Набережная, площадь Пушкина, Рудничный бор</v>
      </c>
      <c r="F438" s="6" t="str">
        <f>IFERROR(__xludf.DUMMYFUNCTION("""COMPUTED_VALUE"""),"Живу здесь с рождения")</f>
        <v>Живу здесь с рождения</v>
      </c>
      <c r="G438" s="6" t="str">
        <f>IFERROR(__xludf.DUMMYFUNCTION("""COMPUTED_VALUE"""),"Рудничный бор, набережная")</f>
        <v>Рудничный бор, набережная</v>
      </c>
      <c r="H438" s="6" t="str">
        <f>IFERROR(__xludf.DUMMYFUNCTION("""COMPUTED_VALUE"""),"Любимый, загазованный, запущенный, не для пешеходов, непродуманный")</f>
        <v>Любимый, загазованный, запущенный, не для пешеходов, непродуманный</v>
      </c>
      <c r="I438" s="6" t="str">
        <f>IFERROR(__xludf.DUMMYFUNCTION("""COMPUTED_VALUE"""),"Рутгерс, Ван-Лохем, Парамонов, Юров, Донбай")</f>
        <v>Рутгерс, Ван-Лохем, Парамонов, Юров, Донбай</v>
      </c>
      <c r="J438" s="6" t="str">
        <f>IFERROR(__xludf.DUMMYFUNCTION("""COMPUTED_VALUE"""),"Владимир Александрович Сухацкий, Борис Бурмистров")</f>
        <v>Владимир Александрович Сухацкий, Борис Бурмистров</v>
      </c>
      <c r="K438" s="6" t="str">
        <f>IFERROR(__xludf.DUMMYFUNCTION("""COMPUTED_VALUE"""),"Рудничный бор, площадь Пушкина, раньше Набережная")</f>
        <v>Рудничный бор, площадь Пушкина, раньше Набережная</v>
      </c>
      <c r="L438" s="6" t="str">
        <f>IFERROR(__xludf.DUMMYFUNCTION("""COMPUTED_VALUE"""),"На Красной Горке обретаем вновь,
Нам данное на радость иль страданье,
Святое чувство - больше, чем любовь, 
Корому покамест нет названия...
(Г. Юров)")</f>
        <v>На Красной Горке обретаем вновь,
Нам данное на радость иль страданье,
Святое чувство - больше, чем любовь, 
Корому покамест нет названия...
(Г. Юров)</v>
      </c>
      <c r="M438" s="6" t="str">
        <f>IFERROR(__xludf.DUMMYFUNCTION("""COMPUTED_VALUE"""),"Швейка, лисий хвост, зоокузбасс")</f>
        <v>Швейка, лисий хвост, зоокузбасс</v>
      </c>
      <c r="N438" s="6" t="str">
        <f>IFERROR(__xludf.DUMMYFUNCTION("""COMPUTED_VALUE"""),"Зелёный в целом и наличие зелёных зон, чистый, приоритет пешеходов, продуманный по архитектуре, наличие интересных мест и заведений.")</f>
        <v>Зелёный в целом и наличие зелёных зон, чистый, приоритет пешеходов, продуманный по архитектуре, наличие интересных мест и заведений.</v>
      </c>
      <c r="O438" s="6" t="str">
        <f>IFERROR(__xludf.DUMMYFUNCTION("""COMPUTED_VALUE"""),"Навести чистоту, убрать грязь с дорог и тротуаров, создать парки и скверы")</f>
        <v>Навести чистоту, убрать грязь с дорог и тротуаров, создать парки и скверы</v>
      </c>
      <c r="P438" s="6" t="str">
        <f>IFERROR(__xludf.DUMMYFUNCTION("""COMPUTED_VALUE"""),"Газета Кемерово, Сибдепо, Ваш город")</f>
        <v>Газета Кемерово, Сибдепо, Ваш город</v>
      </c>
      <c r="Q438" s="6" t="str">
        <f>IFERROR(__xludf.DUMMYFUNCTION("""COMPUTED_VALUE"""),"городская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438" s="6" t="str">
        <f>IFERROR(__xludf.DUMMYFUNCTION("""COMPUTED_VALUE"""),"Для меня - День Победы, день рождения Пушкина. Для других день шахтера ")</f>
        <v>Для меня - День Победы, день рождения Пушкина. Для других день шахтера </v>
      </c>
      <c r="S438"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Facebook")</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Facebook</v>
      </c>
      <c r="T438" s="6" t="str">
        <f>IFERROR(__xludf.DUMMYFUNCTION("""COMPUTED_VALUE"""),"АИК, промышленность, Рудничный бор, скульптура Эрнста Неизвестного")</f>
        <v>АИК, промышленность, Рудничный бор, скульптура Эрнста Неизвестного</v>
      </c>
      <c r="U438" s="6" t="str">
        <f>IFERROR(__xludf.DUMMYFUNCTION("""COMPUTED_VALUE"""),"Советский проспект")</f>
        <v>Советский проспект</v>
      </c>
      <c r="V438" s="6" t="str">
        <f>IFERROR(__xludf.DUMMYFUNCTION("""COMPUTED_VALUE"""),"Постройки сталинских времен")</f>
        <v>Постройки сталинских времен</v>
      </c>
      <c r="W438" s="6" t="str">
        <f>IFERROR(__xludf.DUMMYFUNCTION("""COMPUTED_VALUE"""),"Разные. Есть очень патриотичные и принципиальные, есть равнодушные и приспосабливающиеся")</f>
        <v>Разные. Есть очень патриотичные и принципиальные, есть равнодушные и приспосабливающиеся</v>
      </c>
      <c r="X438" s="6" t="str">
        <f>IFERROR(__xludf.DUMMYFUNCTION("""COMPUTED_VALUE"""),"От Филармонии через площадь Советов через Набережную на Весеннюю улицу к Драмтеатру")</f>
        <v>От Филармонии через площадь Советов через Набережную на Весеннюю улицу к Драмтеатру</v>
      </c>
      <c r="Y438" s="6" t="str">
        <f>IFERROR(__xludf.DUMMYFUNCTION("""COMPUTED_VALUE"""),"АИК")</f>
        <v>АИК</v>
      </c>
      <c r="Z438" s="6" t="str">
        <f>IFERROR(__xludf.DUMMYFUNCTION("""COMPUTED_VALUE"""),"Сохранение Рудничного бора")</f>
        <v>Сохранение Рудничного бора</v>
      </c>
      <c r="AA438" s="6" t="str">
        <f>IFERROR(__xludf.DUMMYFUNCTION("""COMPUTED_VALUE"""),"Вырубка деревьев повсеместная")</f>
        <v>Вырубка деревьев повсеместная</v>
      </c>
      <c r="AB438" s="6" t="str">
        <f>IFERROR(__xludf.DUMMYFUNCTION("""COMPUTED_VALUE"""),"Сообщества активных горожан")</f>
        <v>Сообщества активных горожан</v>
      </c>
      <c r="AC438" s="6" t="str">
        <f>IFERROR(__xludf.DUMMYFUNCTION("""COMPUTED_VALUE"""),"Творческие встречи с экспертами, с интересными учёными и творческими людьмм")</f>
        <v>Творческие встречи с экспертами, с интересными учёными и творческими людьмм</v>
      </c>
      <c r="AD438" s="6" t="str">
        <f>IFERROR(__xludf.DUMMYFUNCTION("""COMPUTED_VALUE"""),"Озеленение")</f>
        <v>Озеленение</v>
      </c>
      <c r="AE438" s="6" t="str">
        <f>IFERROR(__xludf.DUMMYFUNCTION("""COMPUTED_VALUE"""),"Женский")</f>
        <v>Женский</v>
      </c>
      <c r="AF438" s="6" t="str">
        <f>IFERROR(__xludf.DUMMYFUNCTION("""COMPUTED_VALUE"""),"45-55")</f>
        <v>45-55</v>
      </c>
      <c r="AG438" s="6"/>
      <c r="AH438" s="6"/>
      <c r="AI438" s="6"/>
      <c r="AJ438" s="6"/>
      <c r="AK438" s="6"/>
      <c r="AL438" s="6"/>
      <c r="AM438" s="6"/>
    </row>
    <row r="439">
      <c r="A439" s="6">
        <v>438.0</v>
      </c>
      <c r="B439" s="6" t="str">
        <f>IFERROR(__xludf.DUMMYFUNCTION("""COMPUTED_VALUE"""),"Музееведение")</f>
        <v>Музееведение</v>
      </c>
      <c r="C439" s="6" t="str">
        <f>IFERROR(__xludf.DUMMYFUNCTION("""COMPUTED_VALUE"""),"Кулинария")</f>
        <v>Кулинария</v>
      </c>
      <c r="D439" s="6" t="str">
        <f>IFERROR(__xludf.DUMMYFUNCTION("""COMPUTED_VALUE"""),"Ленинский")</f>
        <v>Ленинский</v>
      </c>
      <c r="E439" s="6" t="str">
        <f>IFERROR(__xludf.DUMMYFUNCTION("""COMPUTED_VALUE"""),"Парк")</f>
        <v>Парк</v>
      </c>
      <c r="F439" s="6" t="str">
        <f>IFERROR(__xludf.DUMMYFUNCTION("""COMPUTED_VALUE"""),"Живу здесь с рождения")</f>
        <v>Живу здесь с рождения</v>
      </c>
      <c r="G439" s="6" t="str">
        <f>IFERROR(__xludf.DUMMYFUNCTION("""COMPUTED_VALUE"""),"Театр, Парк Чудес, Бульвар Строителей")</f>
        <v>Театр, Парк Чудес, Бульвар Строителей</v>
      </c>
      <c r="H439" s="6" t="str">
        <f>IFERROR(__xludf.DUMMYFUNCTION("""COMPUTED_VALUE"""),"Уютный, интересный, светлый, зеленый, яркий")</f>
        <v>Уютный, интересный, светлый, зеленый, яркий</v>
      </c>
      <c r="I439" s="6" t="str">
        <f>IFERROR(__xludf.DUMMYFUNCTION("""COMPUTED_VALUE"""),"М. Волков, А.А. Леонов, С.Х. Марковцев, В. Волошина")</f>
        <v>М. Волков, А.А. Леонов, С.Х. Марковцев, В. Волошина</v>
      </c>
      <c r="J439" s="6" t="str">
        <f>IFERROR(__xludf.DUMMYFUNCTION("""COMPUTED_VALUE"""),"Е.В. Гришковец")</f>
        <v>Е.В. Гришковец</v>
      </c>
      <c r="K439" s="6" t="str">
        <f>IFERROR(__xludf.DUMMYFUNCTION("""COMPUTED_VALUE"""),"город-спутник Поляна")</f>
        <v>город-спутник Поляна</v>
      </c>
      <c r="L439" s="6" t="str">
        <f>IFERROR(__xludf.DUMMYFUNCTION("""COMPUTED_VALUE"""),"не интересуюсь этой темой")</f>
        <v>не интересуюсь этой темой</v>
      </c>
      <c r="M439" s="6" t="str">
        <f>IFERROR(__xludf.DUMMYFUNCTION("""COMPUTED_VALUE"""),"нет")</f>
        <v>нет</v>
      </c>
      <c r="N439" s="6" t="str">
        <f>IFERROR(__xludf.DUMMYFUNCTION("""COMPUTED_VALUE"""),"Озеленение, хорошие дороги, освещение, детские и спортивные площадки")</f>
        <v>Озеленение, хорошие дороги, освещение, детские и спортивные площадки</v>
      </c>
      <c r="O439" s="6" t="str">
        <f>IFERROR(__xludf.DUMMYFUNCTION("""COMPUTED_VALUE"""),"Фасад зданий")</f>
        <v>Фасад зданий</v>
      </c>
      <c r="P439" s="6" t="str">
        <f>IFERROR(__xludf.DUMMYFUNCTION("""COMPUTED_VALUE"""),"социальные сети")</f>
        <v>социальные сети</v>
      </c>
      <c r="Q439" s="6" t="str">
        <f>IFERROR(__xludf.DUMMYFUNCTION("""COMPUTED_VALUE"""),"куда пойти в свободное время,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f>
        <v>куда пойти в свободное время,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439" s="6" t="str">
        <f>IFERROR(__xludf.DUMMYFUNCTION("""COMPUTED_VALUE"""),"День Победы, день города")</f>
        <v>День Победы, день города</v>
      </c>
      <c r="S439" s="6" t="str">
        <f>IFERROR(__xludf.DUMMYFUNCTION("""COMPUTED_VALUE"""),"Нет, не приходилось")</f>
        <v>Нет, не приходилось</v>
      </c>
      <c r="T439" s="6" t="str">
        <f>IFERROR(__xludf.DUMMYFUNCTION("""COMPUTED_VALUE"""),"ничего")</f>
        <v>ничего</v>
      </c>
      <c r="U439" s="6" t="str">
        <f>IFERROR(__xludf.DUMMYFUNCTION("""COMPUTED_VALUE"""),"ул. Весенняя")</f>
        <v>ул. Весенняя</v>
      </c>
      <c r="V439" s="6" t="str">
        <f>IFERROR(__xludf.DUMMYFUNCTION("""COMPUTED_VALUE"""),"Построили город")</f>
        <v>Построили город</v>
      </c>
      <c r="W439" s="6" t="str">
        <f>IFERROR(__xludf.DUMMYFUNCTION("""COMPUTED_VALUE"""),"Добрые")</f>
        <v>Добрые</v>
      </c>
      <c r="X439" s="6" t="str">
        <f>IFERROR(__xludf.DUMMYFUNCTION("""COMPUTED_VALUE"""),"Набережная, Весенняя")</f>
        <v>Набережная, Весенняя</v>
      </c>
      <c r="Y439" s="6" t="str">
        <f>IFERROR(__xludf.DUMMYFUNCTION("""COMPUTED_VALUE"""),"Переименование из Щегловска в Кемерово")</f>
        <v>Переименование из Щегловска в Кемерово</v>
      </c>
      <c r="Z439" s="6" t="str">
        <f>IFERROR(__xludf.DUMMYFUNCTION("""COMPUTED_VALUE"""),"Благоустройство улиц города")</f>
        <v>Благоустройство улиц города</v>
      </c>
      <c r="AA439" s="6" t="str">
        <f>IFERROR(__xludf.DUMMYFUNCTION("""COMPUTED_VALUE"""),"Пожар в Зимней вишне")</f>
        <v>Пожар в Зимней вишне</v>
      </c>
      <c r="AB439" s="6" t="str">
        <f>IFERROR(__xludf.DUMMYFUNCTION("""COMPUTED_VALUE"""),"не интересует")</f>
        <v>не интересует</v>
      </c>
      <c r="AC439" s="6" t="str">
        <f>IFERROR(__xludf.DUMMYFUNCTION("""COMPUTED_VALUE"""),"Мероприятия связанные с объединением поколений")</f>
        <v>Мероприятия связанные с объединением поколений</v>
      </c>
      <c r="AD439" s="6" t="str">
        <f>IFERROR(__xludf.DUMMYFUNCTION("""COMPUTED_VALUE"""),"социальная роль")</f>
        <v>социальная роль</v>
      </c>
      <c r="AE439" s="6" t="str">
        <f>IFERROR(__xludf.DUMMYFUNCTION("""COMPUTED_VALUE"""),"Женский")</f>
        <v>Женский</v>
      </c>
      <c r="AF439" s="6" t="str">
        <f>IFERROR(__xludf.DUMMYFUNCTION("""COMPUTED_VALUE"""),"30-44")</f>
        <v>30-44</v>
      </c>
      <c r="AG439" s="6"/>
      <c r="AH439" s="6"/>
      <c r="AI439" s="6"/>
      <c r="AJ439" s="6"/>
      <c r="AK439" s="6"/>
      <c r="AL439" s="6"/>
      <c r="AM439" s="6"/>
    </row>
    <row r="440">
      <c r="A440" s="6">
        <v>439.0</v>
      </c>
      <c r="B440" s="6" t="str">
        <f>IFERROR(__xludf.DUMMYFUNCTION("""COMPUTED_VALUE"""),"культура")</f>
        <v>культура</v>
      </c>
      <c r="C440" s="6" t="str">
        <f>IFERROR(__xludf.DUMMYFUNCTION("""COMPUTED_VALUE"""),"путешествия")</f>
        <v>путешествия</v>
      </c>
      <c r="D440" s="6" t="str">
        <f>IFERROR(__xludf.DUMMYFUNCTION("""COMPUTED_VALUE"""),"Дзержинский")</f>
        <v>Дзержинский</v>
      </c>
      <c r="E440" s="6" t="str">
        <f>IFERROR(__xludf.DUMMYFUNCTION("""COMPUTED_VALUE"""),"памятник Волкову, областная библиотека")</f>
        <v>памятник Волкову, областная библиотека</v>
      </c>
      <c r="F440" s="6" t="str">
        <f>IFERROR(__xludf.DUMMYFUNCTION("""COMPUTED_VALUE"""),"переехал")</f>
        <v>переехал</v>
      </c>
      <c r="G440" s="6" t="str">
        <f>IFERROR(__xludf.DUMMYFUNCTION("""COMPUTED_VALUE"""),"парк Ангелов, притомская набережная")</f>
        <v>парк Ангелов, притомская набережная</v>
      </c>
      <c r="H440" s="6" t="str">
        <f>IFERROR(__xludf.DUMMYFUNCTION("""COMPUTED_VALUE"""),"развивающийся, современный, яркий, молодой, перспективный")</f>
        <v>развивающийся, современный, яркий, молодой, перспективный</v>
      </c>
      <c r="I440" s="6" t="str">
        <f>IFERROR(__xludf.DUMMYFUNCTION("""COMPUTED_VALUE""")," В.Волошина, М.Волков")</f>
        <v> В.Волошина, М.Волков</v>
      </c>
      <c r="J440" s="6" t="str">
        <f>IFERROR(__xludf.DUMMYFUNCTION("""COMPUTED_VALUE"""),"А.К.Бобров, А.А. Леонов")</f>
        <v>А.К.Бобров, А.А. Леонов</v>
      </c>
      <c r="K440" s="6" t="str">
        <f>IFERROR(__xludf.DUMMYFUNCTION("""COMPUTED_VALUE"""),"Красная горка")</f>
        <v>Красная горка</v>
      </c>
      <c r="L440" s="6" t="str">
        <f>IFERROR(__xludf.DUMMYFUNCTION("""COMPUTED_VALUE"""),"не знаю")</f>
        <v>не знаю</v>
      </c>
      <c r="M440" s="6" t="str">
        <f>IFERROR(__xludf.DUMMYFUNCTION("""COMPUTED_VALUE"""),"не знаю")</f>
        <v>не знаю</v>
      </c>
      <c r="N440" s="6" t="str">
        <f>IFERROR(__xludf.DUMMYFUNCTION("""COMPUTED_VALUE"""),"чистота, безопасность, озеленение, зоны отдыха, мобильность")</f>
        <v>чистота, безопасность, озеленение, зоны отдыха, мобильность</v>
      </c>
      <c r="O440" s="6" t="str">
        <f>IFERROR(__xludf.DUMMYFUNCTION("""COMPUTED_VALUE"""),"район вокзала отремонтировать фасады, навести чистоту - это визитная карточка")</f>
        <v>район вокзала отремонтировать фасады, навести чистоту - это визитная карточка</v>
      </c>
      <c r="P440" s="6" t="str">
        <f>IFERROR(__xludf.DUMMYFUNCTION("""COMPUTED_VALUE"""),"новости")</f>
        <v>новости</v>
      </c>
      <c r="Q440"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440" s="6" t="str">
        <f>IFERROR(__xludf.DUMMYFUNCTION("""COMPUTED_VALUE"""),"день города, 9 мая")</f>
        <v>день города, 9 мая</v>
      </c>
      <c r="S440"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440" s="6" t="str">
        <f>IFERROR(__xludf.DUMMYFUNCTION("""COMPUTED_VALUE"""),"будет центром культуры Сибири")</f>
        <v>будет центром культуры Сибири</v>
      </c>
      <c r="U440" s="6" t="str">
        <f>IFERROR(__xludf.DUMMYFUNCTION("""COMPUTED_VALUE"""),"Драмтеатр")</f>
        <v>Драмтеатр</v>
      </c>
      <c r="V440" s="6" t="str">
        <f>IFERROR(__xludf.DUMMYFUNCTION("""COMPUTED_VALUE"""),"построили этот город")</f>
        <v>построили этот город</v>
      </c>
      <c r="W440" s="6" t="str">
        <f>IFERROR(__xludf.DUMMYFUNCTION("""COMPUTED_VALUE"""),"такие же как и все жители больших городов, заццикленные на своих проблемах")</f>
        <v>такие же как и все жители больших городов, заццикленные на своих проблемах</v>
      </c>
      <c r="X440" s="6" t="str">
        <f>IFERROR(__xludf.DUMMYFUNCTION("""COMPUTED_VALUE"""),"центр, набережная, парк ангелов")</f>
        <v>центр, набережная, парк ангелов</v>
      </c>
      <c r="Y440" s="6" t="str">
        <f>IFERROR(__xludf.DUMMYFUNCTION("""COMPUTED_VALUE"""),"стало столицей области")</f>
        <v>стало столицей области</v>
      </c>
      <c r="Z440" s="6" t="str">
        <f>IFERROR(__xludf.DUMMYFUNCTION("""COMPUTED_VALUE"""),"ремонт дорог и дворов")</f>
        <v>ремонт дорог и дворов</v>
      </c>
      <c r="AA440" s="6" t="str">
        <f>IFERROR(__xludf.DUMMYFUNCTION("""COMPUTED_VALUE"""),"грязь и скученность о дворах")</f>
        <v>грязь и скученность о дворах</v>
      </c>
      <c r="AB440" s="6" t="str">
        <f>IFERROR(__xludf.DUMMYFUNCTION("""COMPUTED_VALUE"""),"реконструкторов ")</f>
        <v>реконструкторов </v>
      </c>
      <c r="AC440" s="6" t="str">
        <f>IFERROR(__xludf.DUMMYFUNCTION("""COMPUTED_VALUE"""),"общественные гуляния")</f>
        <v>общественные гуляния</v>
      </c>
      <c r="AD440" s="6" t="str">
        <f>IFERROR(__xludf.DUMMYFUNCTION("""COMPUTED_VALUE"""),"участник")</f>
        <v>участник</v>
      </c>
      <c r="AE440" s="6" t="str">
        <f>IFERROR(__xludf.DUMMYFUNCTION("""COMPUTED_VALUE"""),"Женский")</f>
        <v>Женский</v>
      </c>
      <c r="AF440" s="6" t="str">
        <f>IFERROR(__xludf.DUMMYFUNCTION("""COMPUTED_VALUE"""),"старше 55")</f>
        <v>старше 55</v>
      </c>
      <c r="AG440" s="6"/>
      <c r="AH440" s="6"/>
      <c r="AI440" s="6"/>
      <c r="AJ440" s="6"/>
      <c r="AK440" s="6"/>
      <c r="AL440" s="6"/>
      <c r="AM440" s="6"/>
    </row>
    <row r="441">
      <c r="A441" s="6">
        <v>440.0</v>
      </c>
      <c r="B441" s="6" t="str">
        <f>IFERROR(__xludf.DUMMYFUNCTION("""COMPUTED_VALUE"""),"Работаю в сфере культуры")</f>
        <v>Работаю в сфере культуры</v>
      </c>
      <c r="C441" s="6" t="str">
        <f>IFERROR(__xludf.DUMMYFUNCTION("""COMPUTED_VALUE"""),"Музыка")</f>
        <v>Музыка</v>
      </c>
      <c r="D441" s="6" t="str">
        <f>IFERROR(__xludf.DUMMYFUNCTION("""COMPUTED_VALUE"""),"Центр")</f>
        <v>Центр</v>
      </c>
      <c r="E441" s="6" t="str">
        <f>IFERROR(__xludf.DUMMYFUNCTION("""COMPUTED_VALUE"""),"Площадь у филармонии")</f>
        <v>Площадь у филармонии</v>
      </c>
      <c r="F441" s="6" t="str">
        <f>IFERROR(__xludf.DUMMYFUNCTION("""COMPUTED_VALUE"""),"Не живу,но приезжаю сюда (к родственникам/друзьям), Бываю как турист")</f>
        <v>Не живу,но приезжаю сюда (к родственникам/друзьям), Бываю как турист</v>
      </c>
      <c r="G441" s="6" t="str">
        <f>IFERROR(__xludf.DUMMYFUNCTION("""COMPUTED_VALUE"""),"Театры, филармония")</f>
        <v>Театры, филармония</v>
      </c>
      <c r="H441" s="6" t="str">
        <f>IFERROR(__xludf.DUMMYFUNCTION("""COMPUTED_VALUE"""),"Пробки, проносящиеся маршрутки, областная больница")</f>
        <v>Пробки, проносящиеся маршрутки, областная больница</v>
      </c>
      <c r="I441" s="6" t="str">
        <f>IFERROR(__xludf.DUMMYFUNCTION("""COMPUTED_VALUE"""),"Михайло Волков, Рутгерс")</f>
        <v>Михайло Волков, Рутгерс</v>
      </c>
      <c r="J441" s="6" t="str">
        <f>IFERROR(__xludf.DUMMYFUNCTION("""COMPUTED_VALUE"""),"Профессора Ю. А. Захаров, А. Мартынов
")</f>
        <v>Профессора Ю. А. Захаров, А. Мартынов
</v>
      </c>
      <c r="K441" s="6" t="str">
        <f>IFERROR(__xludf.DUMMYFUNCTION("""COMPUTED_VALUE"""),"Парк Ангелов ")</f>
        <v>Парк Ангелов </v>
      </c>
      <c r="L441" s="6" t="str">
        <f>IFERROR(__xludf.DUMMYFUNCTION("""COMPUTED_VALUE"""),"Не знаю")</f>
        <v>Не знаю</v>
      </c>
      <c r="M441" s="6" t="str">
        <f>IFERROR(__xludf.DUMMYFUNCTION("""COMPUTED_VALUE"""),"Кедрач, пимы, тормозок")</f>
        <v>Кедрач, пимы, тормозок</v>
      </c>
      <c r="N441" s="6" t="str">
        <f>IFERROR(__xludf.DUMMYFUNCTION("""COMPUTED_VALUE"""),"Чистый воздух, удобный транспорт, зоны отдыха и спорта во дворах")</f>
        <v>Чистый воздух, удобный транспорт, зоны отдыха и спорта во дворах</v>
      </c>
      <c r="O441" s="6" t="str">
        <f>IFERROR(__xludf.DUMMYFUNCTION("""COMPUTED_VALUE"""),"Отремонтировать или снести старые дома")</f>
        <v>Отремонтировать или снести старые дома</v>
      </c>
      <c r="P441" s="6" t="str">
        <f>IFERROR(__xludf.DUMMYFUNCTION("""COMPUTED_VALUE"""),"ТВ")</f>
        <v>ТВ</v>
      </c>
      <c r="Q441"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441" s="6" t="str">
        <f>IFERROR(__xludf.DUMMYFUNCTION("""COMPUTED_VALUE"""),"Бессмертный полк")</f>
        <v>Бессмертный полк</v>
      </c>
      <c r="S441" s="6" t="str">
        <f>IFERROR(__xludf.DUMMYFUNCTION("""COMPUTED_VALUE"""),"Нет, не приходилось")</f>
        <v>Нет, не приходилось</v>
      </c>
      <c r="T441" s="6" t="str">
        <f>IFERROR(__xludf.DUMMYFUNCTION("""COMPUTED_VALUE"""),"Центр химической промышленности ")</f>
        <v>Центр химической промышленности </v>
      </c>
      <c r="U441" s="6" t="str">
        <f>IFERROR(__xludf.DUMMYFUNCTION("""COMPUTED_VALUE"""),"Площадь у филармонии")</f>
        <v>Площадь у филармонии</v>
      </c>
      <c r="V441" s="6" t="str">
        <f>IFERROR(__xludf.DUMMYFUNCTION("""COMPUTED_VALUE"""),"Трудились")</f>
        <v>Трудились</v>
      </c>
      <c r="W441" s="6" t="str">
        <f>IFERROR(__xludf.DUMMYFUNCTION("""COMPUTED_VALUE"""),"Жители разные")</f>
        <v>Жители разные</v>
      </c>
      <c r="X441" s="6" t="str">
        <f>IFERROR(__xludf.DUMMYFUNCTION("""COMPUTED_VALUE"""),"Театр доя детей и молодёжи ")</f>
        <v>Театр доя детей и молодёжи </v>
      </c>
      <c r="Y441" s="6" t="str">
        <f>IFERROR(__xludf.DUMMYFUNCTION("""COMPUTED_VALUE"""),"Создание телецентра")</f>
        <v>Создание телецентра</v>
      </c>
      <c r="Z441" s="6" t="str">
        <f>IFERROR(__xludf.DUMMYFUNCTION("""COMPUTED_VALUE"""),"Открытие филиала Гнесинки и строительство культурного кластера, форум Акколада")</f>
        <v>Открытие филиала Гнесинки и строительство культурного кластера, форум Акколада</v>
      </c>
      <c r="AA441" s="6" t="str">
        <f>IFERROR(__xludf.DUMMYFUNCTION("""COMPUTED_VALUE"""),"Разгром системы высшего образования, изгнание из опорного вуза цвета профессуры ректором Просековым")</f>
        <v>Разгром системы высшего образования, изгнание из опорного вуза цвета профессуры ректором Просековым</v>
      </c>
      <c r="AB441" s="6" t="str">
        <f>IFERROR(__xludf.DUMMYFUNCTION("""COMPUTED_VALUE"""),"Бесплатных центров досуга для детей и пенсионеров ")</f>
        <v>Бесплатных центров досуга для детей и пенсионеров </v>
      </c>
      <c r="AC441" s="6" t="str">
        <f>IFERROR(__xludf.DUMMYFUNCTION("""COMPUTED_VALUE"""),"Интерактивные, чтобы были интересны детям и молодёжи ")</f>
        <v>Интерактивные, чтобы были интересны детям и молодёжи </v>
      </c>
      <c r="AD441" s="6" t="str">
        <f>IFERROR(__xludf.DUMMYFUNCTION("""COMPUTED_VALUE"""),"В обсуждении и оолосованиниях")</f>
        <v>В обсуждении и оолосованиниях</v>
      </c>
      <c r="AE441" s="6" t="str">
        <f>IFERROR(__xludf.DUMMYFUNCTION("""COMPUTED_VALUE"""),"Женский")</f>
        <v>Женский</v>
      </c>
      <c r="AF441" s="6" t="str">
        <f>IFERROR(__xludf.DUMMYFUNCTION("""COMPUTED_VALUE"""),"45-55")</f>
        <v>45-55</v>
      </c>
      <c r="AG441" s="6"/>
      <c r="AH441" s="6"/>
      <c r="AI441" s="6"/>
      <c r="AJ441" s="6"/>
      <c r="AK441" s="6"/>
      <c r="AL441" s="6"/>
      <c r="AM441" s="6"/>
    </row>
    <row r="442">
      <c r="A442" s="6">
        <v>441.0</v>
      </c>
      <c r="B442" s="6" t="str">
        <f>IFERROR(__xludf.DUMMYFUNCTION("""COMPUTED_VALUE"""),"служащая, работник культуры")</f>
        <v>служащая, работник культуры</v>
      </c>
      <c r="C442" s="6" t="str">
        <f>IFERROR(__xludf.DUMMYFUNCTION("""COMPUTED_VALUE"""),"шитье - пэчворк")</f>
        <v>шитье - пэчворк</v>
      </c>
      <c r="D442" s="6" t="str">
        <f>IFERROR(__xludf.DUMMYFUNCTION("""COMPUTED_VALUE"""),"Березовский городской округ")</f>
        <v>Березовский городской округ</v>
      </c>
      <c r="E442" s="6" t="str">
        <f>IFERROR(__xludf.DUMMYFUNCTION("""COMPUTED_VALUE"""),"Церковь Иоанна Кронштадтского ")</f>
        <v>Церковь Иоанна Кронштадтского </v>
      </c>
      <c r="F442" s="6" t="str">
        <f>IFERROR(__xludf.DUMMYFUNCTION("""COMPUTED_VALUE"""),"Живу здесь с рождения")</f>
        <v>Живу здесь с рождения</v>
      </c>
      <c r="G442" s="6" t="str">
        <f>IFERROR(__xludf.DUMMYFUNCTION("""COMPUTED_VALUE"""),"Магазины, ДК ""Шахтеров""")</f>
        <v>Магазины, ДК "Шахтеров"</v>
      </c>
      <c r="H442" s="6" t="str">
        <f>IFERROR(__xludf.DUMMYFUNCTION("""COMPUTED_VALUE"""),"ш. Березовская, ДК Шахтеров, Центральная библиотека, Фонтан")</f>
        <v>ш. Березовская, ДК Шахтеров, Центральная библиотека, Фонтан</v>
      </c>
      <c r="I442" s="6" t="str">
        <f>IFERROR(__xludf.DUMMYFUNCTION("""COMPUTED_VALUE"""),"Ткаченко В.А, Тонковид И. Г., Конончук Г. И., Гержидович ")</f>
        <v>Ткаченко В.А, Тонковид И. Г., Конончук Г. И., Гержидович </v>
      </c>
      <c r="J442" s="6" t="str">
        <f>IFERROR(__xludf.DUMMYFUNCTION("""COMPUTED_VALUE"""),"Ткаченко В.А, Тонковид И. Г., Конончук Г. И., Гержидович Л.")</f>
        <v>Ткаченко В.А, Тонковид И. Г., Конончук Г. И., Гержидович Л.</v>
      </c>
      <c r="K442" s="6" t="str">
        <f>IFERROR(__xludf.DUMMYFUNCTION("""COMPUTED_VALUE"""),"Церковь Иоанна Кронштадского")</f>
        <v>Церковь Иоанна Кронштадского</v>
      </c>
      <c r="L442" s="6" t="str">
        <f>IFERROR(__xludf.DUMMYFUNCTION("""COMPUTED_VALUE"""),"нет")</f>
        <v>нет</v>
      </c>
      <c r="M442" s="6" t="str">
        <f>IFERROR(__xludf.DUMMYFUNCTION("""COMPUTED_VALUE"""),"нет")</f>
        <v>нет</v>
      </c>
      <c r="N442" s="6" t="str">
        <f>IFERROR(__xludf.DUMMYFUNCTION("""COMPUTED_VALUE"""),"ремонт дорог, поликлиник, чистота")</f>
        <v>ремонт дорог, поликлиник, чистота</v>
      </c>
      <c r="O442" s="6" t="str">
        <f>IFERROR(__xludf.DUMMYFUNCTION("""COMPUTED_VALUE"""),"ремонт дорог")</f>
        <v>ремонт дорог</v>
      </c>
      <c r="P442" s="6" t="str">
        <f>IFERROR(__xludf.DUMMYFUNCTION("""COMPUTED_VALUE"""),"газета Мой город")</f>
        <v>газета Мой город</v>
      </c>
      <c r="Q442"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442" s="6" t="str">
        <f>IFERROR(__xludf.DUMMYFUNCTION("""COMPUTED_VALUE"""),"День города, День Шахтера")</f>
        <v>День города, День Шахтера</v>
      </c>
      <c r="S442" s="6" t="str">
        <f>IFERROR(__xludf.DUMMYFUNCTION("""COMPUTED_VALUE"""),"Через социальные сети (Какие? Укажите в графе другое), Обращался в редакции городских газет, телевидения, радио")</f>
        <v>Через социальные сети (Какие? Укажите в графе другое), Обращался в редакции городских газет, телевидения, радио</v>
      </c>
      <c r="T442" s="6" t="str">
        <f>IFERROR(__xludf.DUMMYFUNCTION("""COMPUTED_VALUE"""),"загазованность ")</f>
        <v>загазованность </v>
      </c>
      <c r="U442" s="6" t="str">
        <f>IFERROR(__xludf.DUMMYFUNCTION("""COMPUTED_VALUE"""),"площадь Советов ")</f>
        <v>площадь Советов </v>
      </c>
      <c r="V442" s="6" t="str">
        <f>IFERROR(__xludf.DUMMYFUNCTION("""COMPUTED_VALUE"""),"не знаю")</f>
        <v>не знаю</v>
      </c>
      <c r="W442" s="6" t="str">
        <f>IFERROR(__xludf.DUMMYFUNCTION("""COMPUTED_VALUE"""),"не знаю")</f>
        <v>не знаю</v>
      </c>
      <c r="X442" s="6" t="str">
        <f>IFERROR(__xludf.DUMMYFUNCTION("""COMPUTED_VALUE"""),"не знаю")</f>
        <v>не знаю</v>
      </c>
      <c r="Y442" s="6" t="str">
        <f>IFERROR(__xludf.DUMMYFUNCTION("""COMPUTED_VALUE"""),"не знаю")</f>
        <v>не знаю</v>
      </c>
      <c r="Z442" s="6" t="str">
        <f>IFERROR(__xludf.DUMMYFUNCTION("""COMPUTED_VALUE"""),"не знаю")</f>
        <v>не знаю</v>
      </c>
      <c r="AA442" s="6" t="str">
        <f>IFERROR(__xludf.DUMMYFUNCTION("""COMPUTED_VALUE"""),"не знаю")</f>
        <v>не знаю</v>
      </c>
      <c r="AB442" s="6" t="str">
        <f>IFERROR(__xludf.DUMMYFUNCTION("""COMPUTED_VALUE"""),"не знаю ")</f>
        <v>не знаю </v>
      </c>
      <c r="AC442" s="6" t="str">
        <f>IFERROR(__xludf.DUMMYFUNCTION("""COMPUTED_VALUE"""),"не знаю")</f>
        <v>не знаю</v>
      </c>
      <c r="AD442" s="6" t="str">
        <f>IFERROR(__xludf.DUMMYFUNCTION("""COMPUTED_VALUE"""),"не знаю")</f>
        <v>не знаю</v>
      </c>
      <c r="AE442" s="6" t="str">
        <f>IFERROR(__xludf.DUMMYFUNCTION("""COMPUTED_VALUE"""),"Женский")</f>
        <v>Женский</v>
      </c>
      <c r="AF442" s="6" t="str">
        <f>IFERROR(__xludf.DUMMYFUNCTION("""COMPUTED_VALUE"""),"старше 55")</f>
        <v>старше 55</v>
      </c>
      <c r="AG442" s="6"/>
      <c r="AH442" s="6"/>
      <c r="AI442" s="6"/>
      <c r="AJ442" s="6"/>
      <c r="AK442" s="6"/>
      <c r="AL442" s="6"/>
      <c r="AM442" s="6"/>
    </row>
    <row r="443">
      <c r="A443" s="6">
        <v>442.0</v>
      </c>
      <c r="B443" s="6" t="str">
        <f>IFERROR(__xludf.DUMMYFUNCTION("""COMPUTED_VALUE"""),"Работаю")</f>
        <v>Работаю</v>
      </c>
      <c r="C443" s="6" t="str">
        <f>IFERROR(__xludf.DUMMYFUNCTION("""COMPUTED_VALUE"""),"Есть,обработка различных матерьялов")</f>
        <v>Есть,обработка различных матерьялов</v>
      </c>
      <c r="D443" s="6" t="str">
        <f>IFERROR(__xludf.DUMMYFUNCTION("""COMPUTED_VALUE"""),"Ценр ")</f>
        <v>Ценр </v>
      </c>
      <c r="E443" s="6" t="str">
        <f>IFERROR(__xludf.DUMMYFUNCTION("""COMPUTED_VALUE"""),"Горсад,драма,площадь советов ")</f>
        <v>Горсад,драма,площадь советов </v>
      </c>
      <c r="F443" s="6" t="str">
        <f>IFERROR(__xludf.DUMMYFUNCTION("""COMPUTED_VALUE"""),"Переехал сюда из другого места (откуда? укажите в графе другое), Якутск")</f>
        <v>Переехал сюда из другого места (откуда? укажите в графе другое), Якутск</v>
      </c>
      <c r="G443" s="6" t="str">
        <f>IFERROR(__xludf.DUMMYFUNCTION("""COMPUTED_VALUE"""),"набережная")</f>
        <v>набережная</v>
      </c>
      <c r="H443" s="6" t="str">
        <f>IFERROR(__xludf.DUMMYFUNCTION("""COMPUTED_VALUE"""),"Уголь,пыль,каска,сдс,хорошие дороги ")</f>
        <v>Уголь,пыль,каска,сдс,хорошие дороги </v>
      </c>
      <c r="I443" s="6" t="str">
        <f>IFERROR(__xludf.DUMMYFUNCTION("""COMPUTED_VALUE"""),"Тулеев,Волков ")</f>
        <v>Тулеев,Волков </v>
      </c>
      <c r="J443" s="6" t="str">
        <f>IFERROR(__xludf.DUMMYFUNCTION("""COMPUTED_VALUE"""),"Тулеев ")</f>
        <v>Тулеев </v>
      </c>
      <c r="K443" s="6" t="str">
        <f>IFERROR(__xludf.DUMMYFUNCTION("""COMPUTED_VALUE"""),"Трудно сказать ")</f>
        <v>Трудно сказать </v>
      </c>
      <c r="L443" s="6" t="str">
        <f>IFERROR(__xludf.DUMMYFUNCTION("""COMPUTED_VALUE"""),"Нет таких ")</f>
        <v>Нет таких </v>
      </c>
      <c r="M443" s="6" t="str">
        <f>IFERROR(__xludf.DUMMYFUNCTION("""COMPUTED_VALUE"""),"Нет ")</f>
        <v>Нет </v>
      </c>
      <c r="N443" s="6" t="str">
        <f>IFERROR(__xludf.DUMMYFUNCTION("""COMPUTED_VALUE"""),"Низкое жкх,высокие зарплаты,различие мероприятия ")</f>
        <v>Низкое жкх,высокие зарплаты,различие мероприятия </v>
      </c>
      <c r="O443" s="6" t="str">
        <f>IFERROR(__xludf.DUMMYFUNCTION("""COMPUTED_VALUE"""),"Дворы ")</f>
        <v>Дворы </v>
      </c>
      <c r="P443" s="6" t="str">
        <f>IFERROR(__xludf.DUMMYFUNCTION("""COMPUTED_VALUE"""),"Сибдепо,новости кузбасса")</f>
        <v>Сибдепо,новости кузбасса</v>
      </c>
      <c r="Q443" s="6" t="str">
        <f>IFERROR(__xludf.DUMMYFUNCTION("""COMPUTED_VALUE"""),"куда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 и"&amp;"нтервью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443" s="6" t="str">
        <f>IFERROR(__xludf.DUMMYFUNCTION("""COMPUTED_VALUE"""),"День города,9мая")</f>
        <v>День города,9мая</v>
      </c>
      <c r="S443" s="6" t="str">
        <f>IFERROR(__xludf.DUMMYFUNCTION("""COMPUTED_VALUE"""),"Нет, не приходилось")</f>
        <v>Нет, не приходилось</v>
      </c>
      <c r="T443" s="6" t="str">
        <f>IFERROR(__xludf.DUMMYFUNCTION("""COMPUTED_VALUE"""),"Не могу ответить ")</f>
        <v>Не могу ответить </v>
      </c>
      <c r="U443" s="6" t="str">
        <f>IFERROR(__xludf.DUMMYFUNCTION("""COMPUTED_VALUE"""),"Советский ")</f>
        <v>Советский </v>
      </c>
      <c r="V443" s="6" t="str">
        <f>IFERROR(__xludf.DUMMYFUNCTION("""COMPUTED_VALUE"""),"Не знаю ")</f>
        <v>Не знаю </v>
      </c>
      <c r="W443" s="6" t="str">
        <f>IFERROR(__xludf.DUMMYFUNCTION("""COMPUTED_VALUE"""),"Обычный ")</f>
        <v>Обычный </v>
      </c>
      <c r="X443" s="6" t="str">
        <f>IFERROR(__xludf.DUMMYFUNCTION("""COMPUTED_VALUE"""),"Весенняя ")</f>
        <v>Весенняя </v>
      </c>
      <c r="Y443" s="6" t="str">
        <f>IFERROR(__xludf.DUMMYFUNCTION("""COMPUTED_VALUE"""),"Не знаю ")</f>
        <v>Не знаю </v>
      </c>
      <c r="Z443" s="6" t="str">
        <f>IFERROR(__xludf.DUMMYFUNCTION("""COMPUTED_VALUE"""),"Только негативные")</f>
        <v>Только негативные</v>
      </c>
      <c r="AA443" s="6" t="str">
        <f>IFERROR(__xludf.DUMMYFUNCTION("""COMPUTED_VALUE"""),"Зимняя вишня ")</f>
        <v>Зимняя вишня </v>
      </c>
      <c r="AB443" s="6" t="str">
        <f>IFERROR(__xludf.DUMMYFUNCTION("""COMPUTED_VALUE"""),"Не могу ответить ")</f>
        <v>Не могу ответить </v>
      </c>
      <c r="AC443" s="6" t="str">
        <f>IFERROR(__xludf.DUMMYFUNCTION("""COMPUTED_VALUE"""),"Не задумывался ")</f>
        <v>Не задумывался </v>
      </c>
      <c r="AD443" s="6" t="str">
        <f>IFERROR(__xludf.DUMMYFUNCTION("""COMPUTED_VALUE"""),"Не в каких ")</f>
        <v>Не в каких </v>
      </c>
      <c r="AE443" s="6" t="str">
        <f>IFERROR(__xludf.DUMMYFUNCTION("""COMPUTED_VALUE"""),"Мужской")</f>
        <v>Мужской</v>
      </c>
      <c r="AF443" s="6" t="str">
        <f>IFERROR(__xludf.DUMMYFUNCTION("""COMPUTED_VALUE"""),"30-44")</f>
        <v>30-44</v>
      </c>
      <c r="AG443" s="6"/>
      <c r="AH443" s="6"/>
      <c r="AI443" s="6"/>
      <c r="AJ443" s="6"/>
      <c r="AK443" s="6"/>
      <c r="AL443" s="6"/>
      <c r="AM443" s="6"/>
    </row>
    <row r="444">
      <c r="A444" s="6">
        <v>443.0</v>
      </c>
      <c r="B444" s="6" t="str">
        <f>IFERROR(__xludf.DUMMYFUNCTION("""COMPUTED_VALUE"""),"Хранитель отдела фондов")</f>
        <v>Хранитель отдела фондов</v>
      </c>
      <c r="C444" s="6" t="str">
        <f>IFERROR(__xludf.DUMMYFUNCTION("""COMPUTED_VALUE"""),"Становиться человеком")</f>
        <v>Становиться человеком</v>
      </c>
      <c r="D444" s="6" t="str">
        <f>IFERROR(__xludf.DUMMYFUNCTION("""COMPUTED_VALUE"""),"Центральный")</f>
        <v>Центральный</v>
      </c>
      <c r="E444" s="6" t="str">
        <f>IFERROR(__xludf.DUMMYFUNCTION("""COMPUTED_VALUE"""),"Главпочтампт, площадь Советов")</f>
        <v>Главпочтампт, площадь Советов</v>
      </c>
      <c r="F44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444" s="6" t="str">
        <f>IFERROR(__xludf.DUMMYFUNCTION("""COMPUTED_VALUE"""),"Рынок, магазин")</f>
        <v>Рынок, магазин</v>
      </c>
      <c r="H444" s="6" t="str">
        <f>IFERROR(__xludf.DUMMYFUNCTION("""COMPUTED_VALUE"""),"Промышленный, шумный, нелюдимый по выходным,  местами уютный")</f>
        <v>Промышленный, шумный, нелюдимый по выходным,  местами уютный</v>
      </c>
      <c r="I444" s="6" t="str">
        <f>IFERROR(__xludf.DUMMYFUNCTION("""COMPUTED_VALUE"""),"Патриса Лумумбы (конголезского политического деятеля левонационалистического толка), Федоров, Бобров, Леонов, Волошина, Волынов")</f>
        <v>Патриса Лумумбы (конголезского политического деятеля левонационалистического толка), Федоров, Бобров, Леонов, Волошина, Волынов</v>
      </c>
      <c r="J444" s="6" t="str">
        <f>IFERROR(__xludf.DUMMYFUNCTION("""COMPUTED_VALUE"""),"Федоров, Бобров, Леонов, Масалов, ")</f>
        <v>Федоров, Бобров, Леонов, Масалов, </v>
      </c>
      <c r="K444" s="6" t="str">
        <f>IFERROR(__xludf.DUMMYFUNCTION("""COMPUTED_VALUE"""),"Прогулки по центральным улицам")</f>
        <v>Прогулки по центральным улицам</v>
      </c>
      <c r="L444" s="6" t="str">
        <f>IFERROR(__xludf.DUMMYFUNCTION("""COMPUTED_VALUE"""),"Не знаю")</f>
        <v>Не знаю</v>
      </c>
      <c r="M444" s="6" t="str">
        <f>IFERROR(__xludf.DUMMYFUNCTION("""COMPUTED_VALUE"""),"Нет")</f>
        <v>Нет</v>
      </c>
      <c r="N444" s="6" t="str">
        <f>IFERROR(__xludf.DUMMYFUNCTION("""COMPUTED_VALUE"""),"Чистота атмосферы, чистая вода, отсутствие плевков на асфальте, какашек собачьих, мусора и неадектватных злых людей, зимой отсутствие льда на асфальте")</f>
        <v>Чистота атмосферы, чистая вода, отсутствие плевков на асфальте, какашек собачьих, мусора и неадектватных злых людей, зимой отсутствие льда на асфальте</v>
      </c>
      <c r="O444" s="6" t="str">
        <f>IFERROR(__xludf.DUMMYFUNCTION("""COMPUTED_VALUE"""),"Отношение властей к людям, тогда уже говорить об изменение отношение людей к городу")</f>
        <v>Отношение властей к людям, тогда уже говорить об изменение отношение людей к городу</v>
      </c>
      <c r="P444" s="6" t="str">
        <f>IFERROR(__xludf.DUMMYFUNCTION("""COMPUTED_VALUE"""),"гугл новости")</f>
        <v>гугл новости</v>
      </c>
      <c r="Q444" s="6" t="str">
        <f>IFERROR(__xludf.DUMMYFUNCTION("""COMPUTED_VALUE"""),"культурные новинки (что почитать/что послушать), интервью с местными политиками, интервью с местными творческими личностями")</f>
        <v>культурные новинки (что почитать/что послушать), интервью с местными политиками, интервью с местными творческими личностями</v>
      </c>
      <c r="R444" s="6" t="str">
        <f>IFERROR(__xludf.DUMMYFUNCTION("""COMPUTED_VALUE"""),"Новый год")</f>
        <v>Новый год</v>
      </c>
      <c r="S444" s="6" t="str">
        <f>IFERROR(__xludf.DUMMYFUNCTION("""COMPUTED_VALUE"""),"Нет, не приходилось")</f>
        <v>Нет, не приходилось</v>
      </c>
      <c r="T444" s="6" t="str">
        <f>IFERROR(__xludf.DUMMYFUNCTION("""COMPUTED_VALUE"""),"Не знаю")</f>
        <v>Не знаю</v>
      </c>
      <c r="U444" s="6" t="str">
        <f>IFERROR(__xludf.DUMMYFUNCTION("""COMPUTED_VALUE"""),"Памятник Ленина")</f>
        <v>Памятник Ленина</v>
      </c>
      <c r="V444" s="6" t="str">
        <f>IFERROR(__xludf.DUMMYFUNCTION("""COMPUTED_VALUE"""),"Не уехали еще")</f>
        <v>Не уехали еще</v>
      </c>
      <c r="W444" s="6" t="str">
        <f>IFERROR(__xludf.DUMMYFUNCTION("""COMPUTED_VALUE"""),"Злые, жесткие, порой неадекватны, - потому что по-другому нельзя. Только БОГ дает успокоение!!!!!!!")</f>
        <v>Злые, жесткие, порой неадекватны, - потому что по-другому нельзя. Только БОГ дает успокоение!!!!!!!</v>
      </c>
      <c r="X444" s="6" t="str">
        <f>IFERROR(__xludf.DUMMYFUNCTION("""COMPUTED_VALUE"""),"Не знаю")</f>
        <v>Не знаю</v>
      </c>
      <c r="Y444" s="6" t="str">
        <f>IFERROR(__xludf.DUMMYFUNCTION("""COMPUTED_VALUE"""),"Когда люди начинают высказывать свое мнение")</f>
        <v>Когда люди начинают высказывать свое мнение</v>
      </c>
      <c r="Z444" s="6" t="str">
        <f>IFERROR(__xludf.DUMMYFUNCTION("""COMPUTED_VALUE"""),"Не знаю")</f>
        <v>Не знаю</v>
      </c>
      <c r="AA444" s="6" t="str">
        <f>IFERROR(__xludf.DUMMYFUNCTION("""COMPUTED_VALUE"""),"Зимняя вишня 25 марта 2018 года")</f>
        <v>Зимняя вишня 25 марта 2018 года</v>
      </c>
      <c r="AB444" s="6" t="str">
        <f>IFERROR(__xludf.DUMMYFUNCTION("""COMPUTED_VALUE"""),"Где беспрепятственно можно было быть в доме Божьем, но, увы.... ")</f>
        <v>Где беспрепятственно можно было быть в доме Божьем, но, увы.... </v>
      </c>
      <c r="AC444" s="6" t="str">
        <f>IFERROR(__xludf.DUMMYFUNCTION("""COMPUTED_VALUE"""),"Мероприятия не на рекламу, а для людей")</f>
        <v>Мероприятия не на рекламу, а для людей</v>
      </c>
      <c r="AD444" s="6" t="str">
        <f>IFERROR(__xludf.DUMMYFUNCTION("""COMPUTED_VALUE"""),"Не мешать городу")</f>
        <v>Не мешать городу</v>
      </c>
      <c r="AE444" s="6" t="str">
        <f>IFERROR(__xludf.DUMMYFUNCTION("""COMPUTED_VALUE"""),"Женский")</f>
        <v>Женский</v>
      </c>
      <c r="AF444" s="6" t="str">
        <f>IFERROR(__xludf.DUMMYFUNCTION("""COMPUTED_VALUE"""),"30-44")</f>
        <v>30-44</v>
      </c>
      <c r="AG444" s="6"/>
      <c r="AH444" s="6"/>
      <c r="AI444" s="6"/>
      <c r="AJ444" s="6"/>
      <c r="AK444" s="6"/>
      <c r="AL444" s="6"/>
      <c r="AM444" s="6"/>
    </row>
    <row r="445">
      <c r="A445" s="6">
        <v>444.0</v>
      </c>
      <c r="B445" s="6" t="str">
        <f>IFERROR(__xludf.DUMMYFUNCTION("""COMPUTED_VALUE"""),"Руководитель образовательного учреждения в сфере культуры")</f>
        <v>Руководитель образовательного учреждения в сфере культуры</v>
      </c>
      <c r="C445" s="6" t="str">
        <f>IFERROR(__xludf.DUMMYFUNCTION("""COMPUTED_VALUE"""),"Есть, много разных - читать, петь, занятия спортом, общение с друзьями")</f>
        <v>Есть, много разных - читать, петь, занятия спортом, общение с друзьями</v>
      </c>
      <c r="D445" s="6" t="str">
        <f>IFERROR(__xludf.DUMMYFUNCTION("""COMPUTED_VALUE"""),"Центральный")</f>
        <v>Центральный</v>
      </c>
      <c r="E445" s="6" t="str">
        <f>IFERROR(__xludf.DUMMYFUNCTION("""COMPUTED_VALUE"""),"Площадь Советов, парк им. Жукова, театры, филармония, кинотеатры, стадион, набережная ... все в шаговой доступности")</f>
        <v>Площадь Советов, парк им. Жукова, театры, филармония, кинотеатры, стадион, набережная ... все в шаговой доступности</v>
      </c>
      <c r="F445" s="6" t="str">
        <f>IFERROR(__xludf.DUMMYFUNCTION("""COMPUTED_VALUE"""),"Живу здесь с рождения")</f>
        <v>Живу здесь с рождения</v>
      </c>
      <c r="G445" s="6" t="str">
        <f>IFERROR(__xludf.DUMMYFUNCTION("""COMPUTED_VALUE"""),"В зависимости от цели: в театры, вечером просто по улицам в своем районе, в парковой зоне на берегу Ушайки, вокруг филармонии, набережная Томи...")</f>
        <v>В зависимости от цели: в театры, вечером просто по улицам в своем районе, в парковой зоне на берегу Ушайки, вокруг филармонии, набережная Томи...</v>
      </c>
      <c r="H445" s="6" t="str">
        <f>IFERROR(__xludf.DUMMYFUNCTION("""COMPUTED_VALUE"""),"Уют, тепло, свет, улыбка, воздух")</f>
        <v>Уют, тепло, свет, улыбка, воздух</v>
      </c>
      <c r="I445" s="6" t="str">
        <f>IFERROR(__xludf.DUMMYFUNCTION("""COMPUTED_VALUE"""),"Не знаю")</f>
        <v>Не знаю</v>
      </c>
      <c r="J445" s="6" t="str">
        <f>IFERROR(__xludf.DUMMYFUNCTION("""COMPUTED_VALUE"""),"Не знаю")</f>
        <v>Не знаю</v>
      </c>
      <c r="K445" s="6" t="str">
        <f>IFERROR(__xludf.DUMMYFUNCTION("""COMPUTED_VALUE"""),"Очень много чего можно показать официального и неофициального, есть куда пойти, посмотреть и получить удовольствие")</f>
        <v>Очень много чего можно показать официального и неофициального, есть куда пойти, посмотреть и получить удовольствие</v>
      </c>
      <c r="L445" s="6" t="str">
        <f>IFERROR(__xludf.DUMMYFUNCTION("""COMPUTED_VALUE"""),"Артелью города берут....Без денег в город -сам себе ворог...Город деревней кормится....Город затейный: что ни шаг, то дом съестной да питейный...")</f>
        <v>Артелью города берут....Без денег в город -сам себе ворог...Город деревней кормится....Город затейный: что ни шаг, то дом съестной да питейный...</v>
      </c>
      <c r="M445" s="6" t="str">
        <f>IFERROR(__xludf.DUMMYFUNCTION("""COMPUTED_VALUE"""),"Нет")</f>
        <v>Нет</v>
      </c>
      <c r="N445" s="6" t="str">
        <f>IFERROR(__xludf.DUMMYFUNCTION("""COMPUTED_VALUE"""),"Четкий график движения транспорта, чистый воздух и территория, удобная инфраструктура - шаговая доступность магазинов, аптек, детсадов, школ, мфц и т.д.")</f>
        <v>Четкий график движения транспорта, чистый воздух и территория, удобная инфраструктура - шаговая доступность магазинов, аптек, детсадов, школ, мфц и т.д.</v>
      </c>
      <c r="O445" s="6" t="str">
        <f>IFERROR(__xludf.DUMMYFUNCTION("""COMPUTED_VALUE"""),"Решить вопрос с рабочими местами и достойными зарплатами")</f>
        <v>Решить вопрос с рабочими местами и достойными зарплатами</v>
      </c>
      <c r="P445" s="6" t="str">
        <f>IFERROR(__xludf.DUMMYFUNCTION("""COMPUTED_VALUE"""),"Инстаграмм, официальные сайты учреждений и организаций")</f>
        <v>Инстаграмм, официальные сайты учреждений и организаций</v>
      </c>
      <c r="Q445"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445" s="6" t="str">
        <f>IFERROR(__xludf.DUMMYFUNCTION("""COMPUTED_VALUE"""),"День города, новый год, День шахтера, 9 мая")</f>
        <v>День города, новый год, День шахтера, 9 мая</v>
      </c>
      <c r="S445" s="6" t="str">
        <f>IFERROR(__xludf.DUMMYFUNCTION("""COMPUTED_VALUE"""),"Обращался в редакции городских газет, телевидения, радио")</f>
        <v>Обращался в редакции городских газет, телевидения, радио</v>
      </c>
      <c r="T445" s="6" t="str">
        <f>IFERROR(__xludf.DUMMYFUNCTION("""COMPUTED_VALUE"""),"Уникален, как любой другой город своей историей, не похожей ни на какой другой, укладом жизни, можно много чего назвать, но это тема для беседы...")</f>
        <v>Уникален, как любой другой город своей историей, не похожей ни на какой другой, укладом жизни, можно много чего назвать, но это тема для беседы...</v>
      </c>
      <c r="U445" s="6" t="str">
        <f>IFERROR(__xludf.DUMMYFUNCTION("""COMPUTED_VALUE"""),"Центральный район со старинными домами и набережная, дом по ул. Шестакова, 60...")</f>
        <v>Центральный район со старинными домами и набережная, дом по ул. Шестакова, 60...</v>
      </c>
      <c r="V445" s="6" t="str">
        <f>IFERROR(__xludf.DUMMYFUNCTION("""COMPUTED_VALUE"""),"Много было сделано в анкете не перечислить, но много и утеряно -преприятия крупные разрушены...")</f>
        <v>Много было сделано в анкете не перечислить, но много и утеряно -преприятия крупные разрушены...</v>
      </c>
      <c r="W445" s="6" t="str">
        <f>IFERROR(__xludf.DUMMYFUNCTION("""COMPUTED_VALUE"""),"Обычные люди")</f>
        <v>Обычные люди</v>
      </c>
      <c r="X445" s="6" t="str">
        <f>IFERROR(__xludf.DUMMYFUNCTION("""COMPUTED_VALUE"""),"Пр. Советский: от пр. Кузнецкого до цирка, ул. Весенняя-от набережной и закончить в центральной библиотеке на Дзержинского и парк Ангелов...это на закуску...")</f>
        <v>Пр. Советский: от пр. Кузнецкого до цирка, ул. Весенняя-от набережной и закончить в центральной библиотеке на Дзержинского и парк Ангелов...это на закуску...</v>
      </c>
      <c r="Y445" s="6" t="str">
        <f>IFERROR(__xludf.DUMMYFUNCTION("""COMPUTED_VALUE"""),"Образование города Кемерово")</f>
        <v>Образование города Кемерово</v>
      </c>
      <c r="Z445" s="6" t="str">
        <f>IFERROR(__xludf.DUMMYFUNCTION("""COMPUTED_VALUE"""),"Реконструкции театров, филармонии, строительство новых объектов, благоустройство территорий, реконструкция дорог, да много, много чего...")</f>
        <v>Реконструкции театров, филармонии, строительство новых объектов, благоустройство территорий, реконструкция дорог, да много, много чего...</v>
      </c>
      <c r="AA445" s="6" t="str">
        <f>IFERROR(__xludf.DUMMYFUNCTION("""COMPUTED_VALUE"""),"Пожар в ""Зимней вишне"", отток жителей в другие города...")</f>
        <v>Пожар в "Зимней вишне", отток жителей в другие города...</v>
      </c>
      <c r="AB445" s="6" t="str">
        <f>IFERROR(__xludf.DUMMYFUNCTION("""COMPUTED_VALUE"""),"Мне, кажется, их слишком много...")</f>
        <v>Мне, кажется, их слишком много...</v>
      </c>
      <c r="AC445" s="6" t="str">
        <f>IFERROR(__xludf.DUMMYFUNCTION("""COMPUTED_VALUE"""),"Организация рабочих мест с достойной зарплатой, не плодить офисный планктон, необходимы предприятия производящие..")</f>
        <v>Организация рабочих мест с достойной зарплатой, не плодить офисный планктон, необходимы предприятия производящие..</v>
      </c>
      <c r="AD445" s="6" t="str">
        <f>IFERROR(__xludf.DUMMYFUNCTION("""COMPUTED_VALUE"""),"Смотря какой проект, готова принять активное участие")</f>
        <v>Смотря какой проект, готова принять активное участие</v>
      </c>
      <c r="AE445" s="6" t="str">
        <f>IFERROR(__xludf.DUMMYFUNCTION("""COMPUTED_VALUE"""),"Женский")</f>
        <v>Женский</v>
      </c>
      <c r="AF445" s="6" t="str">
        <f>IFERROR(__xludf.DUMMYFUNCTION("""COMPUTED_VALUE"""),"45-55")</f>
        <v>45-55</v>
      </c>
      <c r="AG445" s="6"/>
      <c r="AH445" s="6"/>
      <c r="AI445" s="6"/>
      <c r="AJ445" s="6"/>
      <c r="AK445" s="6"/>
      <c r="AL445" s="6"/>
      <c r="AM445" s="6"/>
    </row>
    <row r="446">
      <c r="A446" s="6">
        <v>445.0</v>
      </c>
      <c r="B446" s="6" t="str">
        <f>IFERROR(__xludf.DUMMYFUNCTION("""COMPUTED_VALUE"""),"Лингвист")</f>
        <v>Лингвист</v>
      </c>
      <c r="C446" s="6" t="str">
        <f>IFERROR(__xludf.DUMMYFUNCTION("""COMPUTED_VALUE"""),"Дизайн")</f>
        <v>Дизайн</v>
      </c>
      <c r="D446" s="6" t="str">
        <f>IFERROR(__xludf.DUMMYFUNCTION("""COMPUTED_VALUE"""),"Ленинский район, бульвар")</f>
        <v>Ленинский район, бульвар</v>
      </c>
      <c r="E446" s="6" t="str">
        <f>IFERROR(__xludf.DUMMYFUNCTION("""COMPUTED_VALUE"""),"Аллея, прогулочные дороги около кадетского училища")</f>
        <v>Аллея, прогулочные дороги около кадетского училища</v>
      </c>
      <c r="F446" s="6" t="str">
        <f>IFERROR(__xludf.DUMMYFUNCTION("""COMPUTED_VALUE"""),"Переехал сюда из другого места (откуда? укажите в графе другое), Переехала для учебы")</f>
        <v>Переехал сюда из другого места (откуда? укажите в графе другое), Переехала для учебы</v>
      </c>
      <c r="G446" s="6" t="str">
        <f>IFERROR(__xludf.DUMMYFUNCTION("""COMPUTED_VALUE"""),"Прогулка по улицам в тёплое время года, кафе, кино")</f>
        <v>Прогулка по улицам в тёплое время года, кафе, кино</v>
      </c>
      <c r="H446" s="6" t="str">
        <f>IFERROR(__xludf.DUMMYFUNCTION("""COMPUTED_VALUE"""),"Грязно, загазованность, солнечный закат, холодно, разломанный асфальт ")</f>
        <v>Грязно, загазованность, солнечный закат, холодно, разломанный асфальт </v>
      </c>
      <c r="I446" s="6" t="str">
        <f>IFERROR(__xludf.DUMMYFUNCTION("""COMPUTED_VALUE"""),"Не знаю таких")</f>
        <v>Не знаю таких</v>
      </c>
      <c r="J446" s="6" t="str">
        <f>IFERROR(__xludf.DUMMYFUNCTION("""COMPUTED_VALUE"""),"Не знаю, нет таких")</f>
        <v>Не знаю, нет таких</v>
      </c>
      <c r="K446" s="6" t="str">
        <f>IFERROR(__xludf.DUMMYFUNCTION("""COMPUTED_VALUE"""),"Нет таких мест, просто прогулка в центре города")</f>
        <v>Нет таких мест, просто прогулка в центре города</v>
      </c>
      <c r="L446" s="6" t="str">
        <f>IFERROR(__xludf.DUMMYFUNCTION("""COMPUTED_VALUE"""),"-")</f>
        <v>-</v>
      </c>
      <c r="M446" s="6" t="str">
        <f>IFERROR(__xludf.DUMMYFUNCTION("""COMPUTED_VALUE"""),"Нет")</f>
        <v>Нет</v>
      </c>
      <c r="N446" s="6" t="str">
        <f>IFERROR(__xludf.DUMMYFUNCTION("""COMPUTED_VALUE"""),"Метро, чистота, паркинг, развитая транспортная система, удобные развязки дорог")</f>
        <v>Метро, чистота, паркинг, развитая транспортная система, удобные развязки дорог</v>
      </c>
      <c r="O446" s="6" t="str">
        <f>IFERROR(__xludf.DUMMYFUNCTION("""COMPUTED_VALUE"""),"Развязки дорог, тротуары, паркинг в центре города, отделка старых фасадов домой (реставрация)")</f>
        <v>Развязки дорог, тротуары, паркинг в центре города, отделка старых фасадов домой (реставрация)</v>
      </c>
      <c r="P446" s="6" t="str">
        <f>IFERROR(__xludf.DUMMYFUNCTION("""COMPUTED_VALUE"""),"Группа ВКонтакте «Инцидент Кемерово»")</f>
        <v>Группа ВКонтакте «Инцидент Кемерово»</v>
      </c>
      <c r="Q446" s="6" t="str">
        <f>IFERROR(__xludf.DUMMYFUNCTION("""COMPUTED_VALUE"""),"новости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f>
        <v>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446" s="6" t="str">
        <f>IFERROR(__xludf.DUMMYFUNCTION("""COMPUTED_VALUE"""),"Никакие, праздников нет в городе")</f>
        <v>Никакие, праздников нет в городе</v>
      </c>
      <c r="S446" s="6" t="str">
        <f>IFERROR(__xludf.DUMMYFUNCTION("""COMPUTED_VALUE"""),"Нет, не приходилось")</f>
        <v>Нет, не приходилось</v>
      </c>
      <c r="T446" s="6" t="str">
        <f>IFERROR(__xludf.DUMMYFUNCTION("""COMPUTED_VALUE"""),"Добыча угла = загрязнённая атмосфера")</f>
        <v>Добыча угла = загрязнённая атмосфера</v>
      </c>
      <c r="U446" s="6" t="str">
        <f>IFERROR(__xludf.DUMMYFUNCTION("""COMPUTED_VALUE"""),"Театр Драмы ")</f>
        <v>Театр Драмы </v>
      </c>
      <c r="V446" s="6" t="str">
        <f>IFERROR(__xludf.DUMMYFUNCTION("""COMPUTED_VALUE"""),"-")</f>
        <v>-</v>
      </c>
      <c r="W446" s="6" t="str">
        <f>IFERROR(__xludf.DUMMYFUNCTION("""COMPUTED_VALUE"""),"Обычные, как все в России ")</f>
        <v>Обычные, как все в России </v>
      </c>
      <c r="X446" s="6" t="str">
        <f>IFERROR(__xludf.DUMMYFUNCTION("""COMPUTED_VALUE"""),"Нет такого, просто прогулка по центру летом/зимой. В весной/осенью везде грязно, лучше пойти в заведение. ")</f>
        <v>Нет такого, просто прогулка по центру летом/зимой. В весной/осенью везде грязно, лучше пойти в заведение. </v>
      </c>
      <c r="Y446" s="6" t="str">
        <f>IFERROR(__xludf.DUMMYFUNCTION("""COMPUTED_VALUE"""),"Образование Кемерово")</f>
        <v>Образование Кемерово</v>
      </c>
      <c r="Z446" s="6" t="str">
        <f>IFERROR(__xludf.DUMMYFUNCTION("""COMPUTED_VALUE"""),"Никакие, не было таких")</f>
        <v>Никакие, не было таких</v>
      </c>
      <c r="AA446" s="6" t="str">
        <f>IFERROR(__xludf.DUMMYFUNCTION("""COMPUTED_VALUE"""),"Негде оставить машину около КемГУ, являясь его студентом")</f>
        <v>Негде оставить машину около КемГУ, являясь его студентом</v>
      </c>
      <c r="AB446" s="6" t="str">
        <f>IFERROR(__xludf.DUMMYFUNCTION("""COMPUTED_VALUE"""),"-")</f>
        <v>-</v>
      </c>
      <c r="AC446" s="6" t="str">
        <f>IFERROR(__xludf.DUMMYFUNCTION("""COMPUTED_VALUE"""),"Фестиваль музыки ")</f>
        <v>Фестиваль музыки </v>
      </c>
      <c r="AD446" s="6" t="str">
        <f>IFERROR(__xludf.DUMMYFUNCTION("""COMPUTED_VALUE"""),"Градостроение")</f>
        <v>Градостроение</v>
      </c>
      <c r="AE446" s="6" t="str">
        <f>IFERROR(__xludf.DUMMYFUNCTION("""COMPUTED_VALUE"""),"Женский")</f>
        <v>Женский</v>
      </c>
      <c r="AF446" s="6" t="str">
        <f>IFERROR(__xludf.DUMMYFUNCTION("""COMPUTED_VALUE"""),"18-29")</f>
        <v>18-29</v>
      </c>
      <c r="AG446" s="6"/>
      <c r="AH446" s="6"/>
      <c r="AI446" s="6"/>
      <c r="AJ446" s="6"/>
      <c r="AK446" s="6"/>
      <c r="AL446" s="6"/>
      <c r="AM446" s="6"/>
    </row>
    <row r="447">
      <c r="A447" s="6">
        <v>446.0</v>
      </c>
      <c r="B447" s="6" t="str">
        <f>IFERROR(__xludf.DUMMYFUNCTION("""COMPUTED_VALUE"""),"Финансовая деятельность")</f>
        <v>Финансовая деятельность</v>
      </c>
      <c r="C447" s="6" t="str">
        <f>IFERROR(__xludf.DUMMYFUNCTION("""COMPUTED_VALUE"""),"Путешествия, поездки, прогулки")</f>
        <v>Путешествия, поездки, прогулки</v>
      </c>
      <c r="D447" s="6" t="str">
        <f>IFERROR(__xludf.DUMMYFUNCTION("""COMPUTED_VALUE"""),"Ленинский район, так и называю")</f>
        <v>Ленинский район, так и называю</v>
      </c>
      <c r="E447" s="6" t="str">
        <f>IFERROR(__xludf.DUMMYFUNCTION("""COMPUTED_VALUE"""),"Бульвар Строителей и бульварное кольцо, Красное озеро, Президентское кадетское училище, Мечеть Мунира, Храм Святой Троицы, Кузбасский парк, Легкоатлетический манеж, Храм Казанской иконы Божией Матери")</f>
        <v>Бульвар Строителей и бульварное кольцо, Красное озеро, Президентское кадетское училище, Мечеть Мунира, Храм Святой Троицы, Кузбасский парк, Легкоатлетический манеж, Храм Казанской иконы Божией Матери</v>
      </c>
      <c r="F447" s="6" t="str">
        <f>IFERROR(__xludf.DUMMYFUNCTION("""COMPUTED_VALUE"""),"Живу здесь с рождения")</f>
        <v>Живу здесь с рождения</v>
      </c>
      <c r="G447" s="6" t="str">
        <f>IFERROR(__xludf.DUMMYFUNCTION("""COMPUTED_VALUE"""),"Бульвар Строителей, территория вокруг Президентского училища, центр города (Весенняя, пр. Советский, ул. Кирова, Набережная, Горсад, площадь Советов и Пушкина, Парк Жукова), Наш Парк в Кемеровском районе, набережная в Кировском, Лесная Поляна")</f>
        <v>Бульвар Строителей, территория вокруг Президентского училища, центр города (Весенняя, пр. Советский, ул. Кирова, Набережная, Горсад, площадь Советов и Пушкина, Парк Жукова), Наш Парк в Кемеровском районе, набережная в Кировском, Лесная Поляна</v>
      </c>
      <c r="H447" s="6" t="str">
        <f>IFERROR(__xludf.DUMMYFUNCTION("""COMPUTED_VALUE"""),"Площадь Советов, Весенняя, Фонтан, большая деревня, город-шкатулка")</f>
        <v>Площадь Советов, Весенняя, Фонтан, большая деревня, город-шкатулка</v>
      </c>
      <c r="I447" s="6" t="str">
        <f>IFERROR(__xludf.DUMMYFUNCTION("""COMPUTED_VALUE"""),"Михайло Волков, Подгорбунский, Штоколов ")</f>
        <v>Михайло Волков, Подгорбунский, Штоколов </v>
      </c>
      <c r="J447" s="6" t="str">
        <f>IFERROR(__xludf.DUMMYFUNCTION("""COMPUTED_VALUE"""),"Михайлов, Заузелков, Раздаев")</f>
        <v>Михайлов, Заузелков, Раздаев</v>
      </c>
      <c r="K447" s="6" t="str">
        <f>IFERROR(__xludf.DUMMYFUNCTION("""COMPUTED_VALUE"""),"Набережная, Драмтеатр, Фонтан, Весенняя, памятник Шахтерам, Красная горка, бульвар Строителей, площадь Советов и Пушкина, Лесная Поляна")</f>
        <v>Набережная, Драмтеатр, Фонтан, Весенняя, памятник Шахтерам, Красная горка, бульвар Строителей, площадь Советов и Пушкина, Лесная Поляна</v>
      </c>
      <c r="L447" s="6" t="str">
        <f>IFERROR(__xludf.DUMMYFUNCTION("""COMPUTED_VALUE"""),"Человек из Кемерова, ""Это вам не хрен в стакане, это мы - кемеровчане""")</f>
        <v>Человек из Кемерова, "Это вам не хрен в стакане, это мы - кемеровчане"</v>
      </c>
      <c r="M447" s="6" t="str">
        <f>IFERROR(__xludf.DUMMYFUNCTION("""COMPUTED_VALUE"""),"жить/отдыхать по-кемеровски")</f>
        <v>жить/отдыхать по-кемеровски</v>
      </c>
      <c r="N447" s="6" t="str">
        <f>IFERROR(__xludf.DUMMYFUNCTION("""COMPUTED_VALUE"""),"Удобство передвижения (качественные дороги, транспорт, в т.ч. возможность передвигаться на велосипедах, самокатах); 
места для свободного времяпровождения, прогулок, игр с детьми (парки, скверы, бульвары, улицы, детские и спортивные площадки); 
современны"&amp;"й дизайн деревьев, растений и пр.; уютные кафе и пр. заведения общественного питания и пребывания; 
красивое современное освещение/подсветка зданий, памятников, отремонтированные фасады зданий.")</f>
        <v>Удобство передвижения (качественные дороги, транспорт, в т.ч. возможность передвигаться на велосипедах, самокатах); 
места для свободного времяпровождения, прогулок, игр с детьми (парки, скверы, бульвары, улицы, детские и спортивные площадки); 
современный дизайн деревьев, растений и пр.; уютные кафе и пр. заведения общественного питания и пребывания; 
красивое современное освещение/подсветка зданий, памятников, отремонтированные фасады зданий.</v>
      </c>
      <c r="O447" s="6" t="str">
        <f>IFERROR(__xludf.DUMMYFUNCTION("""COMPUTED_VALUE"""),"Для начала нужно понять в чём особенность, уникальность города. Создать брендбук города.
Создать единый уникальный стиль города, дизайн (цвет) зданий, вывесок, указателей, подсветки и т.д. 
Пример оранжевых диодных светофоров!
Уйти от ""разноцветности"" н"&amp;"овых построек (домов, дет. садов, школ).
")</f>
        <v>Для начала нужно понять в чём особенность, уникальность города. Создать брендбук города.
Создать единый уникальный стиль города, дизайн (цвет) зданий, вывесок, указателей, подсветки и т.д. 
Пример оранжевых диодных светофоров!
Уйти от "разноцветности" новых построек (домов, дет. садов, школ).
</v>
      </c>
      <c r="P447" s="6" t="str">
        <f>IFERROR(__xludf.DUMMYFUNCTION("""COMPUTED_VALUE"""),"Афишы на сайтах vse42, а42, инстаграмм мэра.")</f>
        <v>Афишы на сайтах vse42, а42, инстаграмм мэра.</v>
      </c>
      <c r="Q447" s="6" t="str">
        <f>IFERROR(__xludf.DUMMYFUNCTION("""COMPUTED_VALUE"""),"куда пойти в свободное время, интервью с местными предпринимателями, результаты местных исследований (рейтинги/аналитика/тенденции)")</f>
        <v>куда пойти в свободное время, интервью с местными предпринимателями, результаты местных исследований (рейтинги/аналитика/тенденции)</v>
      </c>
      <c r="R447" s="6" t="str">
        <f>IFERROR(__xludf.DUMMYFUNCTION("""COMPUTED_VALUE"""),"День города, Новый год, День Победы")</f>
        <v>День города, Новый год, День Победы</v>
      </c>
      <c r="S447" s="6" t="str">
        <f>IFERROR(__xludf.DUMMYFUNCTION("""COMPUTED_VALUE"""),"Нет, не приходилось")</f>
        <v>Нет, не приходилось</v>
      </c>
      <c r="T447" s="6" t="str">
        <f>IFERROR(__xludf.DUMMYFUNCTION("""COMPUTED_VALUE"""),"Печально известен пожаром в Зимней Вишне. Талантливыми людьми, родившимися тут. Чистотой и аккуратностью. ")</f>
        <v>Печально известен пожаром в Зимней Вишне. Талантливыми людьми, родившимися тут. Чистотой и аккуратностью. </v>
      </c>
      <c r="U447" s="6" t="str">
        <f>IFERROR(__xludf.DUMMYFUNCTION("""COMPUTED_VALUE"""),"Площадь Советов, Набережная, Весенняя")</f>
        <v>Площадь Советов, Набережная, Весенняя</v>
      </c>
      <c r="V447" s="6" t="str">
        <f>IFERROR(__xludf.DUMMYFUNCTION("""COMPUTED_VALUE"""),"Строили заводы, дороги, мосты проспекты, жильё, культурные, социальные объекты, объекты здравооохранения, места отдыха, развивали спорт")</f>
        <v>Строили заводы, дороги, мосты проспекты, жильё, культурные, социальные объекты, объекты здравооохранения, места отдыха, развивали спорт</v>
      </c>
      <c r="W447" s="6" t="str">
        <f>IFERROR(__xludf.DUMMYFUNCTION("""COMPUTED_VALUE"""),"Задумчивые, отзывчивые, продвинутые и современные, умные, спокойные, медлительные, жизнерадостные")</f>
        <v>Задумчивые, отзывчивые, продвинутые и современные, умные, спокойные, медлительные, жизнерадостные</v>
      </c>
      <c r="X447" s="6" t="str">
        <f>IFERROR(__xludf.DUMMYFUNCTION("""COMPUTED_VALUE"""),"Центр города - Весенняя, Набережная, площади Советов и Пушкина, пр. Советский")</f>
        <v>Центр города - Весенняя, Набережная, площади Советов и Пушкина, пр. Советский</v>
      </c>
      <c r="Y447" s="6" t="str">
        <f>IFERROR(__xludf.DUMMYFUNCTION("""COMPUTED_VALUE"""),"Чемпионат мира по хоккею с мячом (если не считать трагедию в Зимней Вишне)")</f>
        <v>Чемпионат мира по хоккею с мячом (если не считать трагедию в Зимней Вишне)</v>
      </c>
      <c r="Z447" s="6" t="str">
        <f>IFERROR(__xludf.DUMMYFUNCTION("""COMPUTED_VALUE"""),"Строительство Президентского училища, Строительство площади Московская")</f>
        <v>Строительство Президентского училища, Строительство площади Московская</v>
      </c>
      <c r="AA447" s="6" t="str">
        <f>IFERROR(__xludf.DUMMYFUNCTION("""COMPUTED_VALUE"""),"Пожар в Зимней Вишне. Низкое качество дорог после зимы (постоянные переделки одних и тех же участков), пыль и грязь после зимы, режим черного неба - отвратительное качество воздуха в это время")</f>
        <v>Пожар в Зимней Вишне. Низкое качество дорог после зимы (постоянные переделки одних и тех же участков), пыль и грязь после зимы, режим черного неба - отвратительное качество воздуха в это время</v>
      </c>
      <c r="AB447" s="6" t="str">
        <f>IFERROR(__xludf.DUMMYFUNCTION("""COMPUTED_VALUE"""),"Сообщество любителей электросамокатов")</f>
        <v>Сообщество любителей электросамокатов</v>
      </c>
      <c r="AC447" s="6" t="str">
        <f>IFERROR(__xludf.DUMMYFUNCTION("""COMPUTED_VALUE"""),"Футбольные матчи российского уровня. Выставки, форумы межрегионального/мирового уровня. ")</f>
        <v>Футбольные матчи российского уровня. Выставки, форумы межрегионального/мирового уровня. </v>
      </c>
      <c r="AD447" s="6" t="str">
        <f>IFERROR(__xludf.DUMMYFUNCTION("""COMPUTED_VALUE"""),"Организация, помощь, консультирование, непосредственная реализация (возможно).")</f>
        <v>Организация, помощь, консультирование, непосредственная реализация (возможно).</v>
      </c>
      <c r="AE447" s="6" t="str">
        <f>IFERROR(__xludf.DUMMYFUNCTION("""COMPUTED_VALUE"""),"Мужской")</f>
        <v>Мужской</v>
      </c>
      <c r="AF447" s="6" t="str">
        <f>IFERROR(__xludf.DUMMYFUNCTION("""COMPUTED_VALUE"""),"30-44")</f>
        <v>30-44</v>
      </c>
      <c r="AG447" s="6"/>
      <c r="AH447" s="6"/>
      <c r="AI447" s="6"/>
      <c r="AJ447" s="6"/>
      <c r="AK447" s="6"/>
      <c r="AL447" s="6"/>
      <c r="AM447" s="6"/>
    </row>
    <row r="448">
      <c r="A448" s="6">
        <v>447.0</v>
      </c>
      <c r="B448" s="6" t="str">
        <f>IFERROR(__xludf.DUMMYFUNCTION("""COMPUTED_VALUE"""),"Работник культуры")</f>
        <v>Работник культуры</v>
      </c>
      <c r="C448" s="6" t="str">
        <f>IFERROR(__xludf.DUMMYFUNCTION("""COMPUTED_VALUE"""),"Сад")</f>
        <v>Сад</v>
      </c>
      <c r="D448" s="6" t="str">
        <f>IFERROR(__xludf.DUMMYFUNCTION("""COMPUTED_VALUE"""),"Пионер")</f>
        <v>Пионер</v>
      </c>
      <c r="E448" s="6" t="str">
        <f>IFERROR(__xludf.DUMMYFUNCTION("""COMPUTED_VALUE"""),"Южный")</f>
        <v>Южный</v>
      </c>
      <c r="F448" s="6" t="str">
        <f>IFERROR(__xludf.DUMMYFUNCTION("""COMPUTED_VALUE"""),"Родился здесь,но сейчас живу в другом городе")</f>
        <v>Родился здесь,но сейчас живу в другом городе</v>
      </c>
      <c r="G448" s="6" t="str">
        <f>IFERROR(__xludf.DUMMYFUNCTION("""COMPUTED_VALUE"""),"Парк Победы")</f>
        <v>Парк Победы</v>
      </c>
      <c r="H448" s="6" t="str">
        <f>IFERROR(__xludf.DUMMYFUNCTION("""COMPUTED_VALUE"""),"Родина, семья, дети, друзья, дом")</f>
        <v>Родина, семья, дети, друзья, дом</v>
      </c>
      <c r="I448" s="6" t="str">
        <f>IFERROR(__xludf.DUMMYFUNCTION("""COMPUTED_VALUE"""),"Леонов А. А. ")</f>
        <v>Леонов А. А. </v>
      </c>
      <c r="J448" s="6" t="str">
        <f>IFERROR(__xludf.DUMMYFUNCTION("""COMPUTED_VALUE"""),"Гришковец Е. В. ")</f>
        <v>Гришковец Е. В. </v>
      </c>
      <c r="K448" s="6" t="str">
        <f>IFERROR(__xludf.DUMMYFUNCTION("""COMPUTED_VALUE"""),"Парк Победы")</f>
        <v>Парк Победы</v>
      </c>
      <c r="L448" s="6" t="str">
        <f>IFERROR(__xludf.DUMMYFUNCTION("""COMPUTED_VALUE"""),"Уголек, как золото: и блестит и ценится")</f>
        <v>Уголек, как золото: и блестит и ценится</v>
      </c>
      <c r="M448" s="6" t="str">
        <f>IFERROR(__xludf.DUMMYFUNCTION("""COMPUTED_VALUE"""),"Нет")</f>
        <v>Нет</v>
      </c>
      <c r="N448" s="6" t="str">
        <f>IFERROR(__xludf.DUMMYFUNCTION("""COMPUTED_VALUE"""),"Хорошая экология, транспортной доступность, удобная планирование уличной сети, повышение доходов горожан, качество жизни")</f>
        <v>Хорошая экология, транспортной доступность, удобная планирование уличной сети, повышение доходов горожан, качество жизни</v>
      </c>
      <c r="O448" s="6" t="str">
        <f>IFERROR(__xludf.DUMMYFUNCTION("""COMPUTED_VALUE"""),"Выбирать единый стиль по оформлению праздников")</f>
        <v>Выбирать единый стиль по оформлению праздников</v>
      </c>
      <c r="P448" s="6" t="str">
        <f>IFERROR(__xludf.DUMMYFUNCTION("""COMPUTED_VALUE"""),"Типичный кемерово")</f>
        <v>Типичный кемерово</v>
      </c>
      <c r="Q448"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448" s="6" t="str">
        <f>IFERROR(__xludf.DUMMYFUNCTION("""COMPUTED_VALUE"""),"День города ")</f>
        <v>День города </v>
      </c>
      <c r="S448" s="6" t="str">
        <f>IFERROR(__xludf.DUMMYFUNCTION("""COMPUTED_VALUE"""),"Нет, не приходилось")</f>
        <v>Нет, не приходилось</v>
      </c>
      <c r="T448" s="6" t="str">
        <f>IFERROR(__xludf.DUMMYFUNCTION("""COMPUTED_VALUE"""),"Шахтёрский труд")</f>
        <v>Шахтёрский труд</v>
      </c>
      <c r="U448" s="6" t="str">
        <f>IFERROR(__xludf.DUMMYFUNCTION("""COMPUTED_VALUE"""),"""Память шахтёрам Кузбасса"" ")</f>
        <v>"Память шахтёрам Кузбасса" </v>
      </c>
      <c r="V448" s="6" t="str">
        <f>IFERROR(__xludf.DUMMYFUNCTION("""COMPUTED_VALUE"""),"Музей ""Красная горка"" ")</f>
        <v>Музей "Красная горка" </v>
      </c>
      <c r="W448" s="6" t="str">
        <f>IFERROR(__xludf.DUMMYFUNCTION("""COMPUTED_VALUE"""),"Выносливость и терпеливость, доброта")</f>
        <v>Выносливость и терпеливость, доброта</v>
      </c>
      <c r="X448" s="6" t="str">
        <f>IFERROR(__xludf.DUMMYFUNCTION("""COMPUTED_VALUE"""),"Лесная поляна")</f>
        <v>Лесная поляна</v>
      </c>
      <c r="Y448" s="6" t="str">
        <f>IFERROR(__xludf.DUMMYFUNCTION("""COMPUTED_VALUE"""),"В 1721 г Волков обнаружил пласт угля")</f>
        <v>В 1721 г Волков обнаружил пласт угля</v>
      </c>
      <c r="Z448" s="6" t="str">
        <f>IFERROR(__xludf.DUMMYFUNCTION("""COMPUTED_VALUE"""),"Затрудняюсь ответить")</f>
        <v>Затрудняюсь ответить</v>
      </c>
      <c r="AA448" s="6" t="str">
        <f>IFERROR(__xludf.DUMMYFUNCTION("""COMPUTED_VALUE"""),"Затрудняюсь ответить")</f>
        <v>Затрудняюсь ответить</v>
      </c>
      <c r="AB448" s="6" t="str">
        <f>IFERROR(__xludf.DUMMYFUNCTION("""COMPUTED_VALUE"""),"Затрудняюсь ответить")</f>
        <v>Затрудняюсь ответить</v>
      </c>
      <c r="AC448" s="6" t="str">
        <f>IFERROR(__xludf.DUMMYFUNCTION("""COMPUTED_VALUE"""),"Не знаю ")</f>
        <v>Не знаю </v>
      </c>
      <c r="AD448" s="6" t="str">
        <f>IFERROR(__xludf.DUMMYFUNCTION("""COMPUTED_VALUE"""),"Затрудняюсь ответить")</f>
        <v>Затрудняюсь ответить</v>
      </c>
      <c r="AE448" s="6" t="str">
        <f>IFERROR(__xludf.DUMMYFUNCTION("""COMPUTED_VALUE"""),"Женский")</f>
        <v>Женский</v>
      </c>
      <c r="AF448" s="6" t="str">
        <f>IFERROR(__xludf.DUMMYFUNCTION("""COMPUTED_VALUE"""),"30-44")</f>
        <v>30-44</v>
      </c>
      <c r="AG448" s="6"/>
      <c r="AH448" s="6"/>
      <c r="AI448" s="6"/>
      <c r="AJ448" s="6"/>
      <c r="AK448" s="6"/>
      <c r="AL448" s="6"/>
      <c r="AM448" s="6"/>
    </row>
    <row r="449">
      <c r="A449" s="6">
        <v>448.0</v>
      </c>
      <c r="B449" s="6" t="str">
        <f>IFERROR(__xludf.DUMMYFUNCTION("""COMPUTED_VALUE"""),"Образование и наука")</f>
        <v>Образование и наука</v>
      </c>
      <c r="C449" s="6" t="str">
        <f>IFERROR(__xludf.DUMMYFUNCTION("""COMPUTED_VALUE"""),"садоводство, ЗОЖ")</f>
        <v>садоводство, ЗОЖ</v>
      </c>
      <c r="D449" s="6" t="str">
        <f>IFERROR(__xludf.DUMMYFUNCTION("""COMPUTED_VALUE"""),"Центральный")</f>
        <v>Центральный</v>
      </c>
      <c r="E449" s="6" t="str">
        <f>IFERROR(__xludf.DUMMYFUNCTION("""COMPUTED_VALUE"""),"Набережная")</f>
        <v>Набережная</v>
      </c>
      <c r="F449" s="6" t="str">
        <f>IFERROR(__xludf.DUMMYFUNCTION("""COMPUTED_VALUE"""),"Живу здесь с рождения")</f>
        <v>Живу здесь с рождения</v>
      </c>
      <c r="G449" s="6" t="str">
        <f>IFERROR(__xludf.DUMMYFUNCTION("""COMPUTED_VALUE"""),"Набережная, парки")</f>
        <v>Набережная, парки</v>
      </c>
      <c r="H449" s="6" t="str">
        <f>IFERROR(__xludf.DUMMYFUNCTION("""COMPUTED_VALUE"""),"химпредприятия, режим НМУ, столица, центр, зимняя вишня")</f>
        <v>химпредприятия, режим НМУ, столица, центр, зимняя вишня</v>
      </c>
      <c r="I449" s="6" t="str">
        <f>IFERROR(__xludf.DUMMYFUNCTION("""COMPUTED_VALUE"""),"Михайло Волков, Рутгерс")</f>
        <v>Михайло Волков, Рутгерс</v>
      </c>
      <c r="J449" s="6" t="str">
        <f>IFERROR(__xludf.DUMMYFUNCTION("""COMPUTED_VALUE"""),"В.В. Михайлов")</f>
        <v>В.В. Михайлов</v>
      </c>
      <c r="K449" s="6" t="str">
        <f>IFERROR(__xludf.DUMMYFUNCTION("""COMPUTED_VALUE"""),"Утки в Парке Жукова, Кировская набережная, Лесная Поляна, Красная Горка")</f>
        <v>Утки в Парке Жукова, Кировская набережная, Лесная Поляна, Красная Горка</v>
      </c>
      <c r="L449" s="6" t="str">
        <f>IFERROR(__xludf.DUMMYFUNCTION("""COMPUTED_VALUE"""),"не хочу писать")</f>
        <v>не хочу писать</v>
      </c>
      <c r="M449" s="6" t="str">
        <f>IFERROR(__xludf.DUMMYFUNCTION("""COMPUTED_VALUE"""),"швейка, сотка, ")</f>
        <v>швейка, сотка, </v>
      </c>
      <c r="N449" s="6" t="str">
        <f>IFERROR(__xludf.DUMMYFUNCTION("""COMPUTED_VALUE"""),"благоприятная экологическая обстановка, ответственное и гуманное отношение к животным, культура общения и поведения, возможность самореализации по интересам, ответственность перед будущими поколениями")</f>
        <v>благоприятная экологическая обстановка, ответственное и гуманное отношение к животным, культура общения и поведения, возможность самореализации по интересам, ответственность перед будущими поколениями</v>
      </c>
      <c r="O449" s="6" t="str">
        <f>IFERROR(__xludf.DUMMYFUNCTION("""COMPUTED_VALUE"""),"экологическую обстановку и отношение к животным - это внешний облик города")</f>
        <v>экологическую обстановку и отношение к животным - это внешний облик города</v>
      </c>
      <c r="P449" s="6" t="str">
        <f>IFERROR(__xludf.DUMMYFUNCTION("""COMPUTED_VALUE"""),"новостные ленты в интернете")</f>
        <v>новостные ленты в интернете</v>
      </c>
      <c r="Q449" s="6" t="str">
        <f>IFERROR(__xludf.DUMMYFUNCTION("""COMPUTED_VALUE"""),"куда пойти в свободное время, культурные новинки (что почитать/что послушать), криминальные новости (происшествия/преступления)")</f>
        <v>куда пойти в свободное время, культурные новинки (что почитать/что послушать), криминальные новости (происшествия/преступления)</v>
      </c>
      <c r="R449" s="6" t="str">
        <f>IFERROR(__xludf.DUMMYFUNCTION("""COMPUTED_VALUE"""),"день города")</f>
        <v>день города</v>
      </c>
      <c r="S449" s="6" t="str">
        <f>IFERROR(__xludf.DUMMYFUNCTION("""COMPUTED_VALUE"""),"Нет, не приходилось")</f>
        <v>Нет, не приходилось</v>
      </c>
      <c r="T449" s="6" t="str">
        <f>IFERROR(__xludf.DUMMYFUNCTION("""COMPUTED_VALUE"""),"знаменит печальными событиями, уникального - близость реки и бора")</f>
        <v>знаменит печальными событиями, уникального - близость реки и бора</v>
      </c>
      <c r="U449" s="6" t="str">
        <f>IFERROR(__xludf.DUMMYFUNCTION("""COMPUTED_VALUE"""),"Красная горка")</f>
        <v>Красная горка</v>
      </c>
      <c r="V449" s="6" t="str">
        <f>IFERROR(__xludf.DUMMYFUNCTION("""COMPUTED_VALUE"""),"построили город")</f>
        <v>построили город</v>
      </c>
      <c r="W449" s="6" t="str">
        <f>IFERROR(__xludf.DUMMYFUNCTION("""COMPUTED_VALUE"""),"разные по человеческим качествам до крайностей")</f>
        <v>разные по человеческим качествам до крайностей</v>
      </c>
      <c r="X449" s="6" t="str">
        <f>IFERROR(__xludf.DUMMYFUNCTION("""COMPUTED_VALUE"""),"Проспект Ленина от начала до конца со всеми остановками и поворотами по перекресткам")</f>
        <v>Проспект Ленина от начала до конца со всеми остановками и поворотами по перекресткам</v>
      </c>
      <c r="Y449" s="6" t="str">
        <f>IFERROR(__xludf.DUMMYFUNCTION("""COMPUTED_VALUE"""),"Придание статуса областного центра")</f>
        <v>Придание статуса областного центра</v>
      </c>
      <c r="Z449" s="6" t="str">
        <f>IFERROR(__xludf.DUMMYFUNCTION("""COMPUTED_VALUE"""),"реновация пассажирского автопарка")</f>
        <v>реновация пассажирского автопарка</v>
      </c>
      <c r="AA449" s="6" t="str">
        <f>IFERROR(__xludf.DUMMYFUNCTION("""COMPUTED_VALUE"""),"пожар в Зимней Вишне, закрытие бассейна ""Лазурный"", пожар в приюте ""Верный""")</f>
        <v>пожар в Зимней Вишне, закрытие бассейна "Лазурный", пожар в приюте "Верный"</v>
      </c>
      <c r="AB449" s="6" t="str">
        <f>IFERROR(__xludf.DUMMYFUNCTION("""COMPUTED_VALUE"""),"экологосбережение")</f>
        <v>экологосбережение</v>
      </c>
      <c r="AC449" s="6" t="str">
        <f>IFERROR(__xludf.DUMMYFUNCTION("""COMPUTED_VALUE"""),"мероприятия экологического характера и мероприятий по помощи бездомным животным")</f>
        <v>мероприятия экологического характера и мероприятий по помощи бездомным животным</v>
      </c>
      <c r="AD449" s="6" t="str">
        <f>IFERROR(__xludf.DUMMYFUNCTION("""COMPUTED_VALUE"""),"участник")</f>
        <v>участник</v>
      </c>
      <c r="AE449" s="6" t="str">
        <f>IFERROR(__xludf.DUMMYFUNCTION("""COMPUTED_VALUE"""),"Женский")</f>
        <v>Женский</v>
      </c>
      <c r="AF449" s="6" t="str">
        <f>IFERROR(__xludf.DUMMYFUNCTION("""COMPUTED_VALUE"""),"30-44")</f>
        <v>30-44</v>
      </c>
      <c r="AG449" s="6"/>
      <c r="AH449" s="6"/>
      <c r="AI449" s="6"/>
      <c r="AJ449" s="6"/>
      <c r="AK449" s="6"/>
      <c r="AL449" s="6"/>
      <c r="AM449" s="6"/>
    </row>
    <row r="450">
      <c r="A450" s="6">
        <v>449.0</v>
      </c>
      <c r="B450" s="6" t="str">
        <f>IFERROR(__xludf.DUMMYFUNCTION("""COMPUTED_VALUE"""),"преподаватель")</f>
        <v>преподаватель</v>
      </c>
      <c r="C450" s="6" t="str">
        <f>IFERROR(__xludf.DUMMYFUNCTION("""COMPUTED_VALUE"""),"нет")</f>
        <v>нет</v>
      </c>
      <c r="D450" s="6" t="str">
        <f>IFERROR(__xludf.DUMMYFUNCTION("""COMPUTED_VALUE"""),"центральный")</f>
        <v>центральный</v>
      </c>
      <c r="E450" s="6" t="str">
        <f>IFERROR(__xludf.DUMMYFUNCTION("""COMPUTED_VALUE"""),"улица Весенняя")</f>
        <v>улица Весенняя</v>
      </c>
      <c r="F450" s="6" t="str">
        <f>IFERROR(__xludf.DUMMYFUNCTION("""COMPUTED_VALUE"""),"Переехал сюда из другого места (откуда? укажите в графе другое), г. Ленинск-кузнецкий")</f>
        <v>Переехал сюда из другого места (откуда? укажите в графе другое), г. Ленинск-кузнецкий</v>
      </c>
      <c r="G450" s="6" t="str">
        <f>IFERROR(__xludf.DUMMYFUNCTION("""COMPUTED_VALUE"""),"центральный район")</f>
        <v>центральный район</v>
      </c>
      <c r="H450" s="6" t="str">
        <f>IFERROR(__xludf.DUMMYFUNCTION("""COMPUTED_VALUE"""),"родина, семья, жилье, дом, квартира")</f>
        <v>родина, семья, жилье, дом, квартира</v>
      </c>
      <c r="I450" s="6" t="str">
        <f>IFERROR(__xludf.DUMMYFUNCTION("""COMPUTED_VALUE"""),"не знаю")</f>
        <v>не знаю</v>
      </c>
      <c r="J450" s="6" t="str">
        <f>IFERROR(__xludf.DUMMYFUNCTION("""COMPUTED_VALUE"""),"не знаю")</f>
        <v>не знаю</v>
      </c>
      <c r="K450" s="6" t="str">
        <f>IFERROR(__xludf.DUMMYFUNCTION("""COMPUTED_VALUE"""),"набережная, ул. весенняя")</f>
        <v>набережная, ул. весенняя</v>
      </c>
      <c r="L450" s="6" t="str">
        <f>IFERROR(__xludf.DUMMYFUNCTION("""COMPUTED_VALUE"""),"не знаю")</f>
        <v>не знаю</v>
      </c>
      <c r="M450" s="6" t="str">
        <f>IFERROR(__xludf.DUMMYFUNCTION("""COMPUTED_VALUE"""),"не знаю")</f>
        <v>не знаю</v>
      </c>
      <c r="N450" s="6" t="str">
        <f>IFERROR(__xludf.DUMMYFUNCTION("""COMPUTED_VALUE"""),"чистый воздух")</f>
        <v>чистый воздух</v>
      </c>
      <c r="O450" s="6" t="str">
        <f>IFERROR(__xludf.DUMMYFUNCTION("""COMPUTED_VALUE"""),"не знаю")</f>
        <v>не знаю</v>
      </c>
      <c r="P450" s="6" t="str">
        <f>IFERROR(__xludf.DUMMYFUNCTION("""COMPUTED_VALUE"""),"теленовости")</f>
        <v>теленовости</v>
      </c>
      <c r="Q450" s="6" t="str">
        <f>IFERROR(__xludf.DUMMYFUNCTION("""COMPUTED_VALUE"""),"криминальные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f>
        <v>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450" s="6" t="str">
        <f>IFERROR(__xludf.DUMMYFUNCTION("""COMPUTED_VALUE"""),"день шахтера")</f>
        <v>день шахтера</v>
      </c>
      <c r="S450" s="6" t="str">
        <f>IFERROR(__xludf.DUMMYFUNCTION("""COMPUTED_VALUE"""),"Нет, не приходилось")</f>
        <v>Нет, не приходилось</v>
      </c>
      <c r="T450" s="6" t="str">
        <f>IFERROR(__xludf.DUMMYFUNCTION("""COMPUTED_VALUE"""),"Зимняя вишня, плохая экология")</f>
        <v>Зимняя вишня, плохая экология</v>
      </c>
      <c r="U450" s="6" t="str">
        <f>IFERROR(__xludf.DUMMYFUNCTION("""COMPUTED_VALUE"""),"площадь советов")</f>
        <v>площадь советов</v>
      </c>
      <c r="V450" s="6" t="str">
        <f>IFERROR(__xludf.DUMMYFUNCTION("""COMPUTED_VALUE"""),"не знаю")</f>
        <v>не знаю</v>
      </c>
      <c r="W450" s="6" t="str">
        <f>IFERROR(__xludf.DUMMYFUNCTION("""COMPUTED_VALUE"""),"как и другие россияне")</f>
        <v>как и другие россияне</v>
      </c>
      <c r="X450" s="6" t="str">
        <f>IFERROR(__xludf.DUMMYFUNCTION("""COMPUTED_VALUE"""),"центр города")</f>
        <v>центр города</v>
      </c>
      <c r="Y450" s="6" t="str">
        <f>IFERROR(__xludf.DUMMYFUNCTION("""COMPUTED_VALUE"""),"не знаю")</f>
        <v>не знаю</v>
      </c>
      <c r="Z450" s="6" t="str">
        <f>IFERROR(__xludf.DUMMYFUNCTION("""COMPUTED_VALUE"""),"никаких")</f>
        <v>никаких</v>
      </c>
      <c r="AA450" s="6" t="str">
        <f>IFERROR(__xludf.DUMMYFUNCTION("""COMPUTED_VALUE"""),"не знаю")</f>
        <v>не знаю</v>
      </c>
      <c r="AB450" s="6" t="str">
        <f>IFERROR(__xludf.DUMMYFUNCTION("""COMPUTED_VALUE"""),"не знаю")</f>
        <v>не знаю</v>
      </c>
      <c r="AC450" s="6" t="str">
        <f>IFERROR(__xludf.DUMMYFUNCTION("""COMPUTED_VALUE"""),"не знаю")</f>
        <v>не знаю</v>
      </c>
      <c r="AD450" s="6" t="str">
        <f>IFERROR(__xludf.DUMMYFUNCTION("""COMPUTED_VALUE"""),"ни в какой")</f>
        <v>ни в какой</v>
      </c>
      <c r="AE450" s="6" t="str">
        <f>IFERROR(__xludf.DUMMYFUNCTION("""COMPUTED_VALUE"""),"Женский")</f>
        <v>Женский</v>
      </c>
      <c r="AF450" s="6" t="str">
        <f>IFERROR(__xludf.DUMMYFUNCTION("""COMPUTED_VALUE"""),"старше 55")</f>
        <v>старше 55</v>
      </c>
      <c r="AG450" s="6"/>
      <c r="AH450" s="6"/>
      <c r="AI450" s="6"/>
      <c r="AJ450" s="6"/>
      <c r="AK450" s="6"/>
      <c r="AL450" s="6"/>
      <c r="AM450" s="6"/>
    </row>
    <row r="451">
      <c r="A451" s="6">
        <v>450.0</v>
      </c>
      <c r="B451" s="6" t="str">
        <f>IFERROR(__xludf.DUMMYFUNCTION("""COMPUTED_VALUE"""),"Дизайн")</f>
        <v>Дизайн</v>
      </c>
      <c r="C451" s="6" t="str">
        <f>IFERROR(__xludf.DUMMYFUNCTION("""COMPUTED_VALUE"""),"Фотография")</f>
        <v>Фотография</v>
      </c>
      <c r="D451" s="6" t="str">
        <f>IFERROR(__xludf.DUMMYFUNCTION("""COMPUTED_VALUE"""),"Поляна")</f>
        <v>Поляна</v>
      </c>
      <c r="E451" s="6" t="str">
        <f>IFERROR(__xludf.DUMMYFUNCTION("""COMPUTED_VALUE"""),"Биг Бен")</f>
        <v>Биг Бен</v>
      </c>
      <c r="F451" s="6" t="str">
        <f>IFERROR(__xludf.DUMMYFUNCTION("""COMPUTED_VALUE"""),"Живу здесь с рождения")</f>
        <v>Живу здесь с рождения</v>
      </c>
      <c r="G451" s="6" t="str">
        <f>IFERROR(__xludf.DUMMYFUNCTION("""COMPUTED_VALUE"""),"Весенняя")</f>
        <v>Весенняя</v>
      </c>
      <c r="H451" s="6" t="str">
        <f>IFERROR(__xludf.DUMMYFUNCTION("""COMPUTED_VALUE"""),"Жара, остров, пробки, дым, детство ")</f>
        <v>Жара, остров, пробки, дым, детство </v>
      </c>
      <c r="I451" s="6" t="str">
        <f>IFERROR(__xludf.DUMMYFUNCTION("""COMPUTED_VALUE"""),"Леонов, Малышева, Гришковец, Бабенко, Сытый")</f>
        <v>Леонов, Малышева, Гришковец, Бабенко, Сытый</v>
      </c>
      <c r="J451" s="6" t="str">
        <f>IFERROR(__xludf.DUMMYFUNCTION("""COMPUTED_VALUE"""),"Равняться надо на Леонова, круче него никого нет")</f>
        <v>Равняться надо на Леонова, круче него никого нет</v>
      </c>
      <c r="K451" s="6" t="str">
        <f>IFERROR(__xludf.DUMMYFUNCTION("""COMPUTED_VALUE"""),"Обрыв на Лысой горе с видом на город")</f>
        <v>Обрыв на Лысой горе с видом на город</v>
      </c>
      <c r="L451" s="6" t="str">
        <f>IFERROR(__xludf.DUMMYFUNCTION("""COMPUTED_VALUE"""),"из -40С в +40С")</f>
        <v>из -40С в +40С</v>
      </c>
      <c r="M451" s="6" t="str">
        <f>IFERROR(__xludf.DUMMYFUNCTION("""COMPUTED_VALUE"""),"Кока-кола мэн")</f>
        <v>Кока-кола мэн</v>
      </c>
      <c r="N451" s="6" t="str">
        <f>IFERROR(__xludf.DUMMYFUNCTION("""COMPUTED_VALUE"""),"Транспорт, воздух, рестораны, культура, чистота")</f>
        <v>Транспорт, воздух, рестораны, культура, чистота</v>
      </c>
      <c r="O451" s="6" t="str">
        <f>IFERROR(__xludf.DUMMYFUNCTION("""COMPUTED_VALUE"""),"убрать мусор, освежить фасады, облагородить дворы")</f>
        <v>убрать мусор, освежить фасады, облагородить дворы</v>
      </c>
      <c r="P451" s="6" t="str">
        <f>IFERROR(__xludf.DUMMYFUNCTION("""COMPUTED_VALUE"""),"вк, Инстаграм")</f>
        <v>вк, Инстаграм</v>
      </c>
      <c r="Q451" s="6" t="str">
        <f>IFERROR(__xludf.DUMMYFUNCTION("""COMPUTED_VALUE"""),"где вкусно поесть/открытие новых кафе/ресторанов, новости про новые профессии/куда поступать/вакансии, результаты местных исследований (рейтинги/аналитика/тенденции)")</f>
        <v>где вкусно поесть/открытие новых кафе/ресторанов, новости про новые профессии/куда поступать/вакансии, результаты местных исследований (рейтинги/аналитика/тенденции)</v>
      </c>
      <c r="R451" s="6" t="str">
        <f>IFERROR(__xludf.DUMMYFUNCTION("""COMPUTED_VALUE"""),"9 мая")</f>
        <v>9 мая</v>
      </c>
      <c r="S451" s="6" t="str">
        <f>IFERROR(__xludf.DUMMYFUNCTION("""COMPUTED_VALUE"""),"Нет, не приходилось")</f>
        <v>Нет, не приходилось</v>
      </c>
      <c r="T451" s="6" t="str">
        <f>IFERROR(__xludf.DUMMYFUNCTION("""COMPUTED_VALUE"""),"Очень логичный и красивый город")</f>
        <v>Очень логичный и красивый город</v>
      </c>
      <c r="U451" s="6" t="str">
        <f>IFERROR(__xludf.DUMMYFUNCTION("""COMPUTED_VALUE"""),"Площадь Советов")</f>
        <v>Площадь Советов</v>
      </c>
      <c r="V451" s="6" t="str">
        <f>IFERROR(__xludf.DUMMYFUNCTION("""COMPUTED_VALUE"""),"Сохранили архитектуру в центре города")</f>
        <v>Сохранили архитектуру в центре города</v>
      </c>
      <c r="W451" s="6" t="str">
        <f>IFERROR(__xludf.DUMMYFUNCTION("""COMPUTED_VALUE"""),"Обычные люди, слегка напряженные и зажатые")</f>
        <v>Обычные люди, слегка напряженные и зажатые</v>
      </c>
      <c r="X451" s="6" t="str">
        <f>IFERROR(__xludf.DUMMYFUNCTION("""COMPUTED_VALUE"""),"Весенняя, от Красноармейской до набережной")</f>
        <v>Весенняя, от Красноармейской до набережной</v>
      </c>
      <c r="Y451" s="6" t="str">
        <f>IFERROR(__xludf.DUMMYFUNCTION("""COMPUTED_VALUE"""),"100-летний юбилей")</f>
        <v>100-летний юбилей</v>
      </c>
      <c r="Z451" s="6" t="str">
        <f>IFERROR(__xludf.DUMMYFUNCTION("""COMPUTED_VALUE"""),"Последние 2 года я не участвовала в жизни города")</f>
        <v>Последние 2 года я не участвовала в жизни города</v>
      </c>
      <c r="AA451" s="6" t="str">
        <f>IFERROR(__xludf.DUMMYFUNCTION("""COMPUTED_VALUE"""),"Сокращение количества маршрутов общественного транспорта")</f>
        <v>Сокращение количества маршрутов общественного транспорта</v>
      </c>
      <c r="AB451" s="6" t="str">
        <f>IFERROR(__xludf.DUMMYFUNCTION("""COMPUTED_VALUE"""),"мне магазинов хороших не хватает")</f>
        <v>мне магазинов хороших не хватает</v>
      </c>
      <c r="AC451" s="6" t="str">
        <f>IFERROR(__xludf.DUMMYFUNCTION("""COMPUTED_VALUE"""),"Волонтерских движений")</f>
        <v>Волонтерских движений</v>
      </c>
      <c r="AD451" s="6" t="str">
        <f>IFERROR(__xludf.DUMMYFUNCTION("""COMPUTED_VALUE"""),"Хотела бы сделать портфолио для детей из домов ребенка")</f>
        <v>Хотела бы сделать портфолио для детей из домов ребенка</v>
      </c>
      <c r="AE451" s="6" t="str">
        <f>IFERROR(__xludf.DUMMYFUNCTION("""COMPUTED_VALUE"""),"Женский")</f>
        <v>Женский</v>
      </c>
      <c r="AF451" s="6" t="str">
        <f>IFERROR(__xludf.DUMMYFUNCTION("""COMPUTED_VALUE"""),"30-44")</f>
        <v>30-44</v>
      </c>
      <c r="AG451" s="6"/>
      <c r="AH451" s="6"/>
      <c r="AI451" s="6"/>
      <c r="AJ451" s="6"/>
      <c r="AK451" s="6"/>
      <c r="AL451" s="6"/>
      <c r="AM451" s="6"/>
    </row>
    <row r="452">
      <c r="A452" s="6">
        <v>451.0</v>
      </c>
      <c r="B452" s="6" t="str">
        <f>IFERROR(__xludf.DUMMYFUNCTION("""COMPUTED_VALUE"""),"бухгалтер")</f>
        <v>бухгалтер</v>
      </c>
      <c r="C452" s="6" t="str">
        <f>IFERROR(__xludf.DUMMYFUNCTION("""COMPUTED_VALUE"""),"кинология")</f>
        <v>кинология</v>
      </c>
      <c r="D452" s="6" t="str">
        <f>IFERROR(__xludf.DUMMYFUNCTION("""COMPUTED_VALUE"""),"Южный")</f>
        <v>Южный</v>
      </c>
      <c r="E452" s="6" t="str">
        <f>IFERROR(__xludf.DUMMYFUNCTION("""COMPUTED_VALUE"""),"Сквер на ул. Патриотов")</f>
        <v>Сквер на ул. Патриотов</v>
      </c>
      <c r="F452" s="6" t="str">
        <f>IFERROR(__xludf.DUMMYFUNCTION("""COMPUTED_VALUE"""),"Переехал сюда из другого места (откуда? укажите в графе другое), из г. Белово")</f>
        <v>Переехал сюда из другого места (откуда? укажите в графе другое), из г. Белово</v>
      </c>
      <c r="G452" s="6" t="str">
        <f>IFERROR(__xludf.DUMMYFUNCTION("""COMPUTED_VALUE"""),"по району")</f>
        <v>по району</v>
      </c>
      <c r="H452" s="6" t="str">
        <f>IFERROR(__xludf.DUMMYFUNCTION("""COMPUTED_VALUE"""),"грязный, неухоженный, недоступный, дорогой. удобный")</f>
        <v>грязный, неухоженный, недоступный, дорогой. удобный</v>
      </c>
      <c r="I452" s="6" t="str">
        <f>IFERROR(__xludf.DUMMYFUNCTION("""COMPUTED_VALUE"""),"Тулеев А. Г.")</f>
        <v>Тулеев А. Г.</v>
      </c>
      <c r="J452" s="6" t="str">
        <f>IFERROR(__xludf.DUMMYFUNCTION("""COMPUTED_VALUE"""),"не знаю")</f>
        <v>не знаю</v>
      </c>
      <c r="K452" s="6" t="str">
        <f>IFERROR(__xludf.DUMMYFUNCTION("""COMPUTED_VALUE"""),"Краеведческий музей")</f>
        <v>Краеведческий музей</v>
      </c>
      <c r="L452" s="6" t="str">
        <f>IFERROR(__xludf.DUMMYFUNCTION("""COMPUTED_VALUE"""),"не знаю")</f>
        <v>не знаю</v>
      </c>
      <c r="M452" s="6" t="str">
        <f>IFERROR(__xludf.DUMMYFUNCTION("""COMPUTED_VALUE"""),"не знаю")</f>
        <v>не знаю</v>
      </c>
      <c r="N452" s="6" t="str">
        <f>IFERROR(__xludf.DUMMYFUNCTION("""COMPUTED_VALUE"""),"нет таких критериев")</f>
        <v>нет таких критериев</v>
      </c>
      <c r="O452" s="6" t="str">
        <f>IFERROR(__xludf.DUMMYFUNCTION("""COMPUTED_VALUE"""),"Помыть")</f>
        <v>Помыть</v>
      </c>
      <c r="P452" s="6" t="str">
        <f>IFERROR(__xludf.DUMMYFUNCTION("""COMPUTED_VALUE"""),"телевидение")</f>
        <v>телевидение</v>
      </c>
      <c r="Q452" s="6" t="str">
        <f>IFERROR(__xludf.DUMMYFUNCTION("""COMPUTED_VALUE"""),"городская афиша (кино/театр/концерты)")</f>
        <v>городская афиша (кино/театр/концерты)</v>
      </c>
      <c r="R452" s="6" t="str">
        <f>IFERROR(__xludf.DUMMYFUNCTION("""COMPUTED_VALUE"""),"День города")</f>
        <v>День города</v>
      </c>
      <c r="S452" s="6" t="str">
        <f>IFERROR(__xludf.DUMMYFUNCTION("""COMPUTED_VALUE"""),"Нет, не приходилось")</f>
        <v>Нет, не приходилось</v>
      </c>
      <c r="T452" s="6" t="str">
        <f>IFERROR(__xludf.DUMMYFUNCTION("""COMPUTED_VALUE"""),"является столицей Кузбасса")</f>
        <v>является столицей Кузбасса</v>
      </c>
      <c r="U452" s="6" t="str">
        <f>IFERROR(__xludf.DUMMYFUNCTION("""COMPUTED_VALUE"""),"Площадь Волкова")</f>
        <v>Площадь Волкова</v>
      </c>
      <c r="V452" s="6" t="str">
        <f>IFERROR(__xludf.DUMMYFUNCTION("""COMPUTED_VALUE"""),"Работали")</f>
        <v>Работали</v>
      </c>
      <c r="W452" s="6" t="str">
        <f>IFERROR(__xludf.DUMMYFUNCTION("""COMPUTED_VALUE"""),"Хмурые, невоспитанные")</f>
        <v>Хмурые, невоспитанные</v>
      </c>
      <c r="X452" s="6" t="str">
        <f>IFERROR(__xludf.DUMMYFUNCTION("""COMPUTED_VALUE"""),"Из центра города в Рудничный район")</f>
        <v>Из центра города в Рудничный район</v>
      </c>
      <c r="Y452" s="6" t="str">
        <f>IFERROR(__xludf.DUMMYFUNCTION("""COMPUTED_VALUE"""),"Присвоен статус города областного значения")</f>
        <v>Присвоен статус города областного значения</v>
      </c>
      <c r="Z452" s="6" t="str">
        <f>IFERROR(__xludf.DUMMYFUNCTION("""COMPUTED_VALUE"""),"никакие")</f>
        <v>никакие</v>
      </c>
      <c r="AA452" s="6" t="str">
        <f>IFERROR(__xludf.DUMMYFUNCTION("""COMPUTED_VALUE"""),"Сокращение общественного транспорта")</f>
        <v>Сокращение общественного транспорта</v>
      </c>
      <c r="AB452" s="6" t="str">
        <f>IFERROR(__xludf.DUMMYFUNCTION("""COMPUTED_VALUE"""),"Интеллектуальных")</f>
        <v>Интеллектуальных</v>
      </c>
      <c r="AC452" s="6" t="str">
        <f>IFERROR(__xludf.DUMMYFUNCTION("""COMPUTED_VALUE"""),"Творческие фестивали")</f>
        <v>Творческие фестивали</v>
      </c>
      <c r="AD452" s="6" t="str">
        <f>IFERROR(__xludf.DUMMYFUNCTION("""COMPUTED_VALUE"""),"Эксперта")</f>
        <v>Эксперта</v>
      </c>
      <c r="AE452" s="6" t="str">
        <f>IFERROR(__xludf.DUMMYFUNCTION("""COMPUTED_VALUE"""),"Женский")</f>
        <v>Женский</v>
      </c>
      <c r="AF452" s="6" t="str">
        <f>IFERROR(__xludf.DUMMYFUNCTION("""COMPUTED_VALUE"""),"30-44")</f>
        <v>30-44</v>
      </c>
      <c r="AG452" s="6"/>
      <c r="AH452" s="6"/>
      <c r="AI452" s="6"/>
      <c r="AJ452" s="6"/>
      <c r="AK452" s="6"/>
      <c r="AL452" s="6"/>
      <c r="AM452" s="6"/>
    </row>
    <row r="453">
      <c r="A453" s="6">
        <v>452.0</v>
      </c>
      <c r="B453" s="6" t="str">
        <f>IFERROR(__xludf.DUMMYFUNCTION("""COMPUTED_VALUE"""),"IT")</f>
        <v>IT</v>
      </c>
      <c r="C453" s="6" t="str">
        <f>IFERROR(__xludf.DUMMYFUNCTION("""COMPUTED_VALUE"""),"Сноубординг и работа моё хобби ")</f>
        <v>Сноубординг и работа моё хобби </v>
      </c>
      <c r="D453" s="6" t="str">
        <f>IFERROR(__xludf.DUMMYFUNCTION("""COMPUTED_VALUE"""),"Ленинский (новый район за комсомольским) ")</f>
        <v>Ленинский (новый район за комсомольским) </v>
      </c>
      <c r="E453" s="6" t="str">
        <f>IFERROR(__xludf.DUMMYFUNCTION("""COMPUTED_VALUE"""),"Бульвар, парк Тулеева, парк на металлке")</f>
        <v>Бульвар, парк Тулеева, парк на металлке</v>
      </c>
      <c r="F453" s="6" t="str">
        <f>IFERROR(__xludf.DUMMYFUNCTION("""COMPUTED_VALUE"""),"Переехал сюда из другого места (откуда? укажите в графе другое), Из Ленинск-Кузнецкого")</f>
        <v>Переехал сюда из другого места (откуда? укажите в графе другое), Из Ленинск-Кузнецкого</v>
      </c>
      <c r="G453" s="6" t="str">
        <f>IFERROR(__xludf.DUMMYFUNCTION("""COMPUTED_VALUE"""),"Гуляем в парках города. Во всех, начиная от наших, заканчивая центром и даже лесной поляной")</f>
        <v>Гуляем в парках города. Во всех, начиная от наших, заканчивая центром и даже лесной поляной</v>
      </c>
      <c r="H453" s="6" t="str">
        <f>IFERROR(__xludf.DUMMYFUNCTION("""COMPUTED_VALUE"""),"Шахтерскся столица без шахт")</f>
        <v>Шахтерскся столица без шахт</v>
      </c>
      <c r="I453" s="6" t="str">
        <f>IFERROR(__xludf.DUMMYFUNCTION("""COMPUTED_VALUE"""),"Леонов, Волков")</f>
        <v>Леонов, Волков</v>
      </c>
      <c r="J453" s="6" t="str">
        <f>IFERROR(__xludf.DUMMYFUNCTION("""COMPUTED_VALUE"""),"Таких нет, или они мне неизвестны")</f>
        <v>Таких нет, или они мне неизвестны</v>
      </c>
      <c r="K453" s="6" t="str">
        <f>IFERROR(__xludf.DUMMYFUNCTION("""COMPUTED_VALUE"""),"Парк ангелов ")</f>
        <v>Парк ангелов </v>
      </c>
      <c r="L453" s="6" t="str">
        <f>IFERROR(__xludf.DUMMYFUNCTION("""COMPUTED_VALUE"""),"Нет таких ")</f>
        <v>Нет таких </v>
      </c>
      <c r="M453" s="6" t="str">
        <f>IFERROR(__xludf.DUMMYFUNCTION("""COMPUTED_VALUE"""),"Нет")</f>
        <v>Нет</v>
      </c>
      <c r="N453" s="6" t="str">
        <f>IFERROR(__xludf.DUMMYFUNCTION("""COMPUTED_VALUE"""),"Чистота в первую очередь (это чистые дороги, тротуары, дворы, парки). И это самая большая проблема, все очень грязное и загаженное.
Второе - это комфорт перемещений. ")</f>
        <v>Чистота в первую очередь (это чистые дороги, тротуары, дворы, парки). И это самая большая проблема, все очень грязное и загаженное.
Второе - это комфорт перемещений. </v>
      </c>
      <c r="O453" s="6" t="str">
        <f>IFERROR(__xludf.DUMMYFUNCTION("""COMPUTED_VALUE"""),"Смотри выше, нужна чистота! У нас сильно грязный город")</f>
        <v>Смотри выше, нужна чистота! У нас сильно грязный город</v>
      </c>
      <c r="P453" s="6" t="str">
        <f>IFERROR(__xludf.DUMMYFUNCTION("""COMPUTED_VALUE"""),"От знакомых и родственников ")</f>
        <v>От знакомых и родственников </v>
      </c>
      <c r="Q453" s="6" t="str">
        <f>IFERROR(__xludf.DUMMYFUNCTION("""COMPUTED_VALUE"""),"куда пойти в свободное время, где вкусно поесть/открытие новых кафе/ресторанов, бизнес-новости (средний чек/рекламные акции/запуск новых предприятий)")</f>
        <v>куда пойти в свободное время, где вкусно поесть/открытие новых кафе/ресторанов, бизнес-новости (средний чек/рекламные акции/запуск новых предприятий)</v>
      </c>
      <c r="R453" s="6" t="str">
        <f>IFERROR(__xludf.DUMMYFUNCTION("""COMPUTED_VALUE"""),"Да никакие особо ")</f>
        <v>Да никакие особо </v>
      </c>
      <c r="S453" s="6" t="str">
        <f>IFERROR(__xludf.DUMMYFUNCTION("""COMPUTED_VALUE"""),"Нет, не приходилось")</f>
        <v>Нет, не приходилось</v>
      </c>
      <c r="T453" s="6" t="str">
        <f>IFERROR(__xludf.DUMMYFUNCTION("""COMPUTED_VALUE"""),"Известен криминалом. В области столько зон и тюрем, что все люди из других регионов страны в первую очередь говорят тебе об этом же")</f>
        <v>Известен криминалом. В области столько зон и тюрем, что все люди из других регионов страны в первую очередь говорят тебе об этом же</v>
      </c>
      <c r="U453" s="6" t="str">
        <f>IFERROR(__xludf.DUMMYFUNCTION("""COMPUTED_VALUE"""),"Площадь советов ")</f>
        <v>Площадь советов </v>
      </c>
      <c r="V453" s="6" t="str">
        <f>IFERROR(__xludf.DUMMYFUNCTION("""COMPUTED_VALUE"""),"Не знаю, не силен в истории")</f>
        <v>Не знаю, не силен в истории</v>
      </c>
      <c r="W453" s="6" t="str">
        <f>IFERROR(__xludf.DUMMYFUNCTION("""COMPUTED_VALUE"""),"Чаще всего зашоренные, к сожалению. Но далеко не все конечно. Я работаю в it с разными людьми и тут IT из Кемерово сами не зашоренные, но технически всеравно сильно отстают от европейского рынка. Но если копнуть за пределы it сообщества, то вот там зашоре"&amp;"нность людей сильно ощущается. ")</f>
        <v>Чаще всего зашоренные, к сожалению. Но далеко не все конечно. Я работаю в it с разными людьми и тут IT из Кемерово сами не зашоренные, но технически всеравно сильно отстают от европейского рынка. Но если копнуть за пределы it сообщества, то вот там зашоренность людей сильно ощущается. </v>
      </c>
      <c r="X453" s="6" t="str">
        <f>IFERROR(__xludf.DUMMYFUNCTION("""COMPUTED_VALUE"""),"В парке ангелов можно погулять, остальное нигде не пройти так чтобы было чисто, на улицах будет грязь и мусор(((
В лесной поляне ещё почище немного. А так что советский, что весенька грязные.
Бульвар строителей ещё почище ")</f>
        <v>В парке ангелов можно погулять, остальное нигде не пройти так чтобы было чисто, на улицах будет грязь и мусор(((
В лесной поляне ещё почище немного. А так что советский, что весенька грязные.
Бульвар строителей ещё почище </v>
      </c>
      <c r="Y453" s="6" t="str">
        <f>IFERROR(__xludf.DUMMYFUNCTION("""COMPUTED_VALUE"""),"Бэнди (хоккей с мячом, чемпионат мира) ")</f>
        <v>Бэнди (хоккей с мячом, чемпионат мира) </v>
      </c>
      <c r="Z453" s="6" t="str">
        <f>IFERROR(__xludf.DUMMYFUNCTION("""COMPUTED_VALUE"""),"Не помню ")</f>
        <v>Не помню </v>
      </c>
      <c r="AA453" s="6" t="str">
        <f>IFERROR(__xludf.DUMMYFUNCTION("""COMPUTED_VALUE"""),"Зимняя вишня ")</f>
        <v>Зимняя вишня </v>
      </c>
      <c r="AB453" s="6" t="str">
        <f>IFERROR(__xludf.DUMMYFUNCTION("""COMPUTED_VALUE"""),"Кому нужны сообщества? ")</f>
        <v>Кому нужны сообщества? </v>
      </c>
      <c r="AC453" s="6" t="str">
        <f>IFERROR(__xludf.DUMMYFUNCTION("""COMPUTED_VALUE"""),"Чистоту наведите, а не зрелищ давайте ")</f>
        <v>Чистоту наведите, а не зрелищ давайте </v>
      </c>
      <c r="AD453" s="6" t="str">
        <f>IFERROR(__xludf.DUMMYFUNCTION("""COMPUTED_VALUE"""),"-")</f>
        <v>-</v>
      </c>
      <c r="AE453" s="6" t="str">
        <f>IFERROR(__xludf.DUMMYFUNCTION("""COMPUTED_VALUE"""),"Мужской")</f>
        <v>Мужской</v>
      </c>
      <c r="AF453" s="6" t="str">
        <f>IFERROR(__xludf.DUMMYFUNCTION("""COMPUTED_VALUE"""),"30-44")</f>
        <v>30-44</v>
      </c>
      <c r="AG453" s="6"/>
      <c r="AH453" s="6"/>
      <c r="AI453" s="6"/>
      <c r="AJ453" s="6"/>
      <c r="AK453" s="6"/>
      <c r="AL453" s="6"/>
      <c r="AM453" s="6"/>
    </row>
    <row r="454">
      <c r="A454" s="6">
        <v>453.0</v>
      </c>
      <c r="B454" s="6" t="str">
        <f>IFERROR(__xludf.DUMMYFUNCTION("""COMPUTED_VALUE"""),"Работаю. Программист")</f>
        <v>Работаю. Программист</v>
      </c>
      <c r="C454" s="6" t="str">
        <f>IFERROR(__xludf.DUMMYFUNCTION("""COMPUTED_VALUE"""),"Web-дизайн")</f>
        <v>Web-дизайн</v>
      </c>
      <c r="D454" s="6" t="str">
        <f>IFERROR(__xludf.DUMMYFUNCTION("""COMPUTED_VALUE"""),"Ленинский район, бульвар")</f>
        <v>Ленинский район, бульвар</v>
      </c>
      <c r="E454" s="6" t="str">
        <f>IFERROR(__xludf.DUMMYFUNCTION("""COMPUTED_VALUE"""),"Бульвар Строителей")</f>
        <v>Бульвар Строителей</v>
      </c>
      <c r="F454" s="6" t="str">
        <f>IFERROR(__xludf.DUMMYFUNCTION("""COMPUTED_VALUE"""),"Не живу,но приезжаю сюда (к родственникам/друзьям)")</f>
        <v>Не живу,но приезжаю сюда (к родственникам/друзьям)</v>
      </c>
      <c r="G454" s="6" t="str">
        <f>IFERROR(__xludf.DUMMYFUNCTION("""COMPUTED_VALUE"""),"Бульвар Строителей, Набережная")</f>
        <v>Бульвар Строителей, Набережная</v>
      </c>
      <c r="H454" s="6" t="str">
        <f>IFERROR(__xludf.DUMMYFUNCTION("""COMPUTED_VALUE"""),"АЗОТ, набережная, Парк Чудес,мороз, грязь")</f>
        <v>АЗОТ, набережная, Парк Чудес,мороз, грязь</v>
      </c>
      <c r="I454" s="6" t="str">
        <f>IFERROR(__xludf.DUMMYFUNCTION("""COMPUTED_VALUE"""),"Рутгерс, Волков, Мызо")</f>
        <v>Рутгерс, Волков, Мызо</v>
      </c>
      <c r="J454" s="6" t="str">
        <f>IFERROR(__xludf.DUMMYFUNCTION("""COMPUTED_VALUE"""),"Тулеев")</f>
        <v>Тулеев</v>
      </c>
      <c r="K454" s="6" t="str">
        <f>IFERROR(__xludf.DUMMYFUNCTION("""COMPUTED_VALUE"""),"-")</f>
        <v>-</v>
      </c>
      <c r="L454" s="6" t="str">
        <f>IFERROR(__xludf.DUMMYFUNCTION("""COMPUTED_VALUE"""),"-")</f>
        <v>-</v>
      </c>
      <c r="M454" s="6" t="str">
        <f>IFERROR(__xludf.DUMMYFUNCTION("""COMPUTED_VALUE"""),"-")</f>
        <v>-</v>
      </c>
      <c r="N454" s="6" t="str">
        <f>IFERROR(__xludf.DUMMYFUNCTION("""COMPUTED_VALUE"""),"их нет")</f>
        <v>их нет</v>
      </c>
      <c r="O454" s="6" t="str">
        <f>IFERROR(__xludf.DUMMYFUNCTION("""COMPUTED_VALUE"""),"ничего")</f>
        <v>ничего</v>
      </c>
      <c r="P454" s="6" t="str">
        <f>IFERROR(__xludf.DUMMYFUNCTION("""COMPUTED_VALUE"""),"контакт инстаргамм")</f>
        <v>контакт инстаргамм</v>
      </c>
      <c r="Q454"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454" s="6" t="str">
        <f>IFERROR(__xludf.DUMMYFUNCTION("""COMPUTED_VALUE"""),"-")</f>
        <v>-</v>
      </c>
      <c r="S454" s="6" t="str">
        <f>IFERROR(__xludf.DUMMYFUNCTION("""COMPUTED_VALUE"""),"Нет, не приходилось")</f>
        <v>Нет, не приходилось</v>
      </c>
      <c r="T454" s="6" t="str">
        <f>IFERROR(__xludf.DUMMYFUNCTION("""COMPUTED_VALUE"""),"-")</f>
        <v>-</v>
      </c>
      <c r="U454" s="6" t="str">
        <f>IFERROR(__xludf.DUMMYFUNCTION("""COMPUTED_VALUE"""),"-")</f>
        <v>-</v>
      </c>
      <c r="V454" s="6" t="str">
        <f>IFERROR(__xludf.DUMMYFUNCTION("""COMPUTED_VALUE"""),"-")</f>
        <v>-</v>
      </c>
      <c r="W454" s="6" t="str">
        <f>IFERROR(__xludf.DUMMYFUNCTION("""COMPUTED_VALUE"""),"-")</f>
        <v>-</v>
      </c>
      <c r="X454" s="6" t="str">
        <f>IFERROR(__xludf.DUMMYFUNCTION("""COMPUTED_VALUE"""),"-")</f>
        <v>-</v>
      </c>
      <c r="Y454" s="6" t="str">
        <f>IFERROR(__xludf.DUMMYFUNCTION("""COMPUTED_VALUE"""),"-")</f>
        <v>-</v>
      </c>
      <c r="Z454" s="6" t="str">
        <f>IFERROR(__xludf.DUMMYFUNCTION("""COMPUTED_VALUE"""),"-")</f>
        <v>-</v>
      </c>
      <c r="AA454" s="6" t="str">
        <f>IFERROR(__xludf.DUMMYFUNCTION("""COMPUTED_VALUE"""),"-")</f>
        <v>-</v>
      </c>
      <c r="AB454" s="6" t="str">
        <f>IFERROR(__xludf.DUMMYFUNCTION("""COMPUTED_VALUE"""),"-")</f>
        <v>-</v>
      </c>
      <c r="AC454" s="6" t="str">
        <f>IFERROR(__xludf.DUMMYFUNCTION("""COMPUTED_VALUE"""),"-")</f>
        <v>-</v>
      </c>
      <c r="AD454" s="6" t="str">
        <f>IFERROR(__xludf.DUMMYFUNCTION("""COMPUTED_VALUE"""),"ни в какой")</f>
        <v>ни в какой</v>
      </c>
      <c r="AE454" s="6" t="str">
        <f>IFERROR(__xludf.DUMMYFUNCTION("""COMPUTED_VALUE"""),"Женский")</f>
        <v>Женский</v>
      </c>
      <c r="AF454" s="6" t="str">
        <f>IFERROR(__xludf.DUMMYFUNCTION("""COMPUTED_VALUE"""),"30-44")</f>
        <v>30-44</v>
      </c>
      <c r="AG454" s="6"/>
      <c r="AH454" s="6"/>
      <c r="AI454" s="6"/>
      <c r="AJ454" s="6"/>
      <c r="AK454" s="6"/>
      <c r="AL454" s="6"/>
      <c r="AM454" s="6"/>
    </row>
    <row r="455">
      <c r="A455" s="6">
        <v>454.0</v>
      </c>
      <c r="B455" s="6" t="str">
        <f>IFERROR(__xludf.DUMMYFUNCTION("""COMPUTED_VALUE"""),"Служащий ")</f>
        <v>Служащий </v>
      </c>
      <c r="C455" s="6" t="str">
        <f>IFERROR(__xludf.DUMMYFUNCTION("""COMPUTED_VALUE"""),"Садоводчествои фото? ")</f>
        <v>Садоводчествои фото? </v>
      </c>
      <c r="D455" s="6" t="str">
        <f>IFERROR(__xludf.DUMMYFUNCTION("""COMPUTED_VALUE"""),"4й микрорайон ")</f>
        <v>4й микрорайон </v>
      </c>
      <c r="E455" s="6" t="str">
        <f>IFERROR(__xludf.DUMMYFUNCTION("""COMPUTED_VALUE"""),"Аллея")</f>
        <v>Аллея</v>
      </c>
      <c r="F455" s="6" t="str">
        <f>IFERROR(__xludf.DUMMYFUNCTION("""COMPUTED_VALUE"""),"Живу здесь с рождения")</f>
        <v>Живу здесь с рождения</v>
      </c>
      <c r="G455" s="6" t="str">
        <f>IFERROR(__xludf.DUMMYFUNCTION("""COMPUTED_VALUE"""),"Нет свободного времени ")</f>
        <v>Нет свободного времени </v>
      </c>
      <c r="H455" s="6" t="str">
        <f>IFERROR(__xludf.DUMMYFUNCTION("""COMPUTED_VALUE"""),"Родина, память, деревня, мероприятия, люди")</f>
        <v>Родина, память, деревня, мероприятия, люди</v>
      </c>
      <c r="I455" s="6" t="str">
        <f>IFERROR(__xludf.DUMMYFUNCTION("""COMPUTED_VALUE"""),"Затрудняюсь ответить")</f>
        <v>Затрудняюсь ответить</v>
      </c>
      <c r="J455" s="6" t="str">
        <f>IFERROR(__xludf.DUMMYFUNCTION("""COMPUTED_VALUE"""),"?? ")</f>
        <v>?? </v>
      </c>
      <c r="K455" s="6" t="str">
        <f>IFERROR(__xludf.DUMMYFUNCTION("""COMPUTED_VALUE"""),"? ")</f>
        <v>? </v>
      </c>
      <c r="L455" s="6" t="str">
        <f>IFERROR(__xludf.DUMMYFUNCTION("""COMPUTED_VALUE"""),"-")</f>
        <v>-</v>
      </c>
      <c r="M455" s="6" t="str">
        <f>IFERROR(__xludf.DUMMYFUNCTION("""COMPUTED_VALUE"""),"-")</f>
        <v>-</v>
      </c>
      <c r="N455" s="6" t="str">
        <f>IFERROR(__xludf.DUMMYFUNCTION("""COMPUTED_VALUE"""),"Детские парки")</f>
        <v>Детские парки</v>
      </c>
      <c r="O455" s="6" t="str">
        <f>IFERROR(__xludf.DUMMYFUNCTION("""COMPUTED_VALUE"""),"-")</f>
        <v>-</v>
      </c>
      <c r="P455" s="6" t="str">
        <f>IFERROR(__xludf.DUMMYFUNCTION("""COMPUTED_VALUE"""),"Соц сети, новости")</f>
        <v>Соц сети, новости</v>
      </c>
      <c r="Q455"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455" s="6" t="str">
        <f>IFERROR(__xludf.DUMMYFUNCTION("""COMPUTED_VALUE"""),"-")</f>
        <v>-</v>
      </c>
      <c r="S455" s="6" t="str">
        <f>IFERROR(__xludf.DUMMYFUNCTION("""COMPUTED_VALUE"""),"Обращался в редакции электронных городских СМИ")</f>
        <v>Обращался в редакции электронных городских СМИ</v>
      </c>
      <c r="T455" s="6" t="str">
        <f>IFERROR(__xludf.DUMMYFUNCTION("""COMPUTED_VALUE"""),"Наличие культурных заведений и парков отдыха")</f>
        <v>Наличие культурных заведений и парков отдыха</v>
      </c>
      <c r="U455" s="6" t="str">
        <f>IFERROR(__xludf.DUMMYFUNCTION("""COMPUTED_VALUE"""),"-")</f>
        <v>-</v>
      </c>
      <c r="V455" s="6" t="str">
        <f>IFERROR(__xludf.DUMMYFUNCTION("""COMPUTED_VALUE"""),"-")</f>
        <v>-</v>
      </c>
      <c r="W455" s="6" t="str">
        <f>IFERROR(__xludf.DUMMYFUNCTION("""COMPUTED_VALUE"""),"Разные")</f>
        <v>Разные</v>
      </c>
      <c r="X455" s="6" t="str">
        <f>IFERROR(__xludf.DUMMYFUNCTION("""COMPUTED_VALUE"""),"? ")</f>
        <v>? </v>
      </c>
      <c r="Y455" s="6" t="str">
        <f>IFERROR(__xludf.DUMMYFUNCTION("""COMPUTED_VALUE"""),"? ")</f>
        <v>? </v>
      </c>
      <c r="Z455" s="6" t="str">
        <f>IFERROR(__xludf.DUMMYFUNCTION("""COMPUTED_VALUE"""),"-")</f>
        <v>-</v>
      </c>
      <c r="AA455" s="6" t="str">
        <f>IFERROR(__xludf.DUMMYFUNCTION("""COMPUTED_VALUE"""),"-")</f>
        <v>-</v>
      </c>
      <c r="AB455" s="6" t="str">
        <f>IFERROR(__xludf.DUMMYFUNCTION("""COMPUTED_VALUE"""),"-")</f>
        <v>-</v>
      </c>
      <c r="AC455" s="6" t="str">
        <f>IFERROR(__xludf.DUMMYFUNCTION("""COMPUTED_VALUE"""),"? ")</f>
        <v>? </v>
      </c>
      <c r="AD455" s="6" t="str">
        <f>IFERROR(__xludf.DUMMYFUNCTION("""COMPUTED_VALUE"""),"? ")</f>
        <v>? </v>
      </c>
      <c r="AE455" s="6" t="str">
        <f>IFERROR(__xludf.DUMMYFUNCTION("""COMPUTED_VALUE"""),"Женский")</f>
        <v>Женский</v>
      </c>
      <c r="AF455" s="6" t="str">
        <f>IFERROR(__xludf.DUMMYFUNCTION("""COMPUTED_VALUE"""),"30-44")</f>
        <v>30-44</v>
      </c>
      <c r="AG455" s="6"/>
      <c r="AH455" s="6"/>
      <c r="AI455" s="6"/>
      <c r="AJ455" s="6"/>
      <c r="AK455" s="6"/>
      <c r="AL455" s="6"/>
      <c r="AM455" s="6"/>
    </row>
    <row r="456">
      <c r="A456" s="6">
        <v>455.0</v>
      </c>
      <c r="B456" s="6" t="str">
        <f>IFERROR(__xludf.DUMMYFUNCTION("""COMPUTED_VALUE"""),"Сотрудник музея")</f>
        <v>Сотрудник музея</v>
      </c>
      <c r="C456" s="6" t="str">
        <f>IFERROR(__xludf.DUMMYFUNCTION("""COMPUTED_VALUE"""),"Компьютерные игры")</f>
        <v>Компьютерные игры</v>
      </c>
      <c r="D456" s="6" t="str">
        <f>IFERROR(__xludf.DUMMYFUNCTION("""COMPUTED_VALUE"""),"Кемерово")</f>
        <v>Кемерово</v>
      </c>
      <c r="E456" s="6" t="str">
        <f>IFERROR(__xludf.DUMMYFUNCTION("""COMPUTED_VALUE"""),"Набережные, мосты, парки и скверы")</f>
        <v>Набережные, мосты, парки и скверы</v>
      </c>
      <c r="F456" s="6" t="str">
        <f>IFERROR(__xludf.DUMMYFUNCTION("""COMPUTED_VALUE"""),"Живу здесь с рождения")</f>
        <v>Живу здесь с рождения</v>
      </c>
      <c r="G456" s="6" t="str">
        <f>IFERROR(__xludf.DUMMYFUNCTION("""COMPUTED_VALUE"""),"Парк Жукова, Парк Ангелов, торговые центры.")</f>
        <v>Парк Жукова, Парк Ангелов, торговые центры.</v>
      </c>
      <c r="H456" s="6" t="str">
        <f>IFERROR(__xludf.DUMMYFUNCTION("""COMPUTED_VALUE"""),"Площадь Советов, Кузнецкий, пыль, типовой.")</f>
        <v>Площадь Советов, Кузнецкий, пыль, типовой.</v>
      </c>
      <c r="I456" s="6" t="str">
        <f>IFERROR(__xludf.DUMMYFUNCTION("""COMPUTED_VALUE"""),"Подгорбунский, Заузелков, Рутгерс")</f>
        <v>Подгорбунский, Заузелков, Рутгерс</v>
      </c>
      <c r="J456" s="6" t="str">
        <f>IFERROR(__xludf.DUMMYFUNCTION("""COMPUTED_VALUE"""),"Не знаю")</f>
        <v>Не знаю</v>
      </c>
      <c r="K456" s="6" t="str">
        <f>IFERROR(__xludf.DUMMYFUNCTION("""COMPUTED_VALUE"""),"Не знаю")</f>
        <v>Не знаю</v>
      </c>
      <c r="L456" s="6" t="str">
        <f>IFERROR(__xludf.DUMMYFUNCTION("""COMPUTED_VALUE"""),"Что-нибудь про изоляцию от всего мира")</f>
        <v>Что-нибудь про изоляцию от всего мира</v>
      </c>
      <c r="M456" s="6" t="str">
        <f>IFERROR(__xludf.DUMMYFUNCTION("""COMPUTED_VALUE"""),"Нет")</f>
        <v>Нет</v>
      </c>
      <c r="N456" s="6" t="str">
        <f>IFERROR(__xludf.DUMMYFUNCTION("""COMPUTED_VALUE"""),"Чистый воздух. Чистые пешеходные зоны. Доступность транспорта. Доступность магазинов.  Наличие досуговых мест и организаций. ")</f>
        <v>Чистый воздух. Чистые пешеходные зоны. Доступность транспорта. Доступность магазинов.  Наличие досуговых мест и организаций. </v>
      </c>
      <c r="O456" s="6" t="str">
        <f>IFERROR(__xludf.DUMMYFUNCTION("""COMPUTED_VALUE"""),"Убрать кучу мусора и пыли.")</f>
        <v>Убрать кучу мусора и пыли.</v>
      </c>
      <c r="P456" s="6" t="str">
        <f>IFERROR(__xludf.DUMMYFUNCTION("""COMPUTED_VALUE"""),"Типичный Кемерово. Яндекс новости")</f>
        <v>Типичный Кемерово. Яндекс новости</v>
      </c>
      <c r="Q456" s="6" t="str">
        <f>IFERROR(__xludf.DUMMYFUNCTION("""COMPUTED_VALUE"""),"городская афиша (кино/театр/концерты), результаты местных исследований (рейтинги/аналитика/тенденции), Просто новости")</f>
        <v>городская афиша (кино/театр/концерты), результаты местных исследований (рейтинги/аналитика/тенденции), Просто новости</v>
      </c>
      <c r="R456" s="6" t="str">
        <f>IFERROR(__xludf.DUMMYFUNCTION("""COMPUTED_VALUE"""),"Нет таких")</f>
        <v>Нет таких</v>
      </c>
      <c r="S456" s="6" t="str">
        <f>IFERROR(__xludf.DUMMYFUNCTION("""COMPUTED_VALUE"""),"Нет, не приходилось")</f>
        <v>Нет, не приходилось</v>
      </c>
      <c r="T456" s="6" t="str">
        <f>IFERROR(__xludf.DUMMYFUNCTION("""COMPUTED_VALUE"""),"Сгоревшей Зимней Вишней и, как следствие, гиперактивным строительством для освоения выделенных средств.")</f>
        <v>Сгоревшей Зимней Вишней и, как следствие, гиперактивным строительством для освоения выделенных средств.</v>
      </c>
      <c r="U456" s="6" t="str">
        <f>IFERROR(__xludf.DUMMYFUNCTION("""COMPUTED_VALUE"""),"Площадь Советов. Драмтеатр. Парк Чудес. Парк Жукова")</f>
        <v>Площадь Советов. Драмтеатр. Парк Чудес. Парк Жукова</v>
      </c>
      <c r="V456" s="6" t="str">
        <f>IFERROR(__xludf.DUMMYFUNCTION("""COMPUTED_VALUE"""),"Советское время - построены предприятия, выстроена инфраструктура для работы жизни. Настоящее время - благоустройство города.")</f>
        <v>Советское время - построены предприятия, выстроена инфраструктура для работы жизни. Настоящее время - благоустройство города.</v>
      </c>
      <c r="W456" s="6" t="str">
        <f>IFERROR(__xludf.DUMMYFUNCTION("""COMPUTED_VALUE"""),"Разные. Возможно грубые, не самые оптимистичные. Готовые к неприятностям.")</f>
        <v>Разные. Возможно грубые, не самые оптимистичные. Готовые к неприятностям.</v>
      </c>
      <c r="X456" s="6" t="str">
        <f>IFERROR(__xludf.DUMMYFUNCTION("""COMPUTED_VALUE"""),"КузГТУ и Библиотека Федорова - Весенняя - Драмтеатр - Советский - Кирова - Парк Чудес - Набережная")</f>
        <v>КузГТУ и Библиотека Федорова - Весенняя - Драмтеатр - Советский - Кирова - Парк Чудес - Набережная</v>
      </c>
      <c r="Y456" s="6" t="str">
        <f>IFERROR(__xludf.DUMMYFUNCTION("""COMPUTED_VALUE"""),"Чемпионат мира по бэнди")</f>
        <v>Чемпионат мира по бэнди</v>
      </c>
      <c r="Z456" s="6" t="str">
        <f>IFERROR(__xludf.DUMMYFUNCTION("""COMPUTED_VALUE"""),"Удаленка")</f>
        <v>Удаленка</v>
      </c>
      <c r="AA456" s="6" t="str">
        <f>IFERROR(__xludf.DUMMYFUNCTION("""COMPUTED_VALUE"""),"Масочный режим, вообще ограничения из-за пандемии")</f>
        <v>Масочный режим, вообще ограничения из-за пандемии</v>
      </c>
      <c r="AB456" s="6" t="str">
        <f>IFERROR(__xludf.DUMMYFUNCTION("""COMPUTED_VALUE"""),"Мне всего хватает")</f>
        <v>Мне всего хватает</v>
      </c>
      <c r="AC456" s="6" t="str">
        <f>IFERROR(__xludf.DUMMYFUNCTION("""COMPUTED_VALUE"""),"Хотелось бы спокойнее и увереннее")</f>
        <v>Хотелось бы спокойнее и увереннее</v>
      </c>
      <c r="AD456" s="6" t="str">
        <f>IFERROR(__xludf.DUMMYFUNCTION("""COMPUTED_VALUE"""),"Наблюдатель")</f>
        <v>Наблюдатель</v>
      </c>
      <c r="AE456" s="6" t="str">
        <f>IFERROR(__xludf.DUMMYFUNCTION("""COMPUTED_VALUE"""),"Женский")</f>
        <v>Женский</v>
      </c>
      <c r="AF456" s="6" t="str">
        <f>IFERROR(__xludf.DUMMYFUNCTION("""COMPUTED_VALUE"""),"30-44")</f>
        <v>30-44</v>
      </c>
      <c r="AG456" s="6"/>
      <c r="AH456" s="6"/>
      <c r="AI456" s="6"/>
      <c r="AJ456" s="6"/>
      <c r="AK456" s="6"/>
      <c r="AL456" s="6"/>
      <c r="AM456" s="6"/>
    </row>
    <row r="457">
      <c r="A457" s="6">
        <v>456.0</v>
      </c>
      <c r="B457" s="6" t="str">
        <f>IFERROR(__xludf.DUMMYFUNCTION("""COMPUTED_VALUE"""),"Дополнительное профессиональное образование в сфере культуры")</f>
        <v>Дополнительное профессиональное образование в сфере культуры</v>
      </c>
      <c r="C457" s="6" t="str">
        <f>IFERROR(__xludf.DUMMYFUNCTION("""COMPUTED_VALUE"""),"Нет")</f>
        <v>Нет</v>
      </c>
      <c r="D457" s="6" t="str">
        <f>IFERROR(__xludf.DUMMYFUNCTION("""COMPUTED_VALUE"""),"Радуга")</f>
        <v>Радуга</v>
      </c>
      <c r="E457" s="6" t="str">
        <f>IFERROR(__xludf.DUMMYFUNCTION("""COMPUTED_VALUE"""),"Это_Офис")</f>
        <v>Это_Офис</v>
      </c>
      <c r="F457" s="6" t="str">
        <f>IFERROR(__xludf.DUMMYFUNCTION("""COMPUTED_VALUE"""),"Переехал сюда из другого места (откуда? укажите в графе другое), Переехала из Белово учиться в КемГУ, и осталась здесь")</f>
        <v>Переехал сюда из другого места (откуда? укажите в графе другое), Переехала из Белово учиться в КемГУ, и осталась здесь</v>
      </c>
      <c r="G457" s="6" t="str">
        <f>IFERROR(__xludf.DUMMYFUNCTION("""COMPUTED_VALUE"""),"В Бор")</f>
        <v>В Бор</v>
      </c>
      <c r="H457" s="6" t="str">
        <f>IFERROR(__xludf.DUMMYFUNCTION("""COMPUTED_VALUE"""),"Томь, Бор, волейбол, уголь, шахтер")</f>
        <v>Томь, Бор, волейбол, уголь, шахтер</v>
      </c>
      <c r="I457" s="6" t="str">
        <f>IFERROR(__xludf.DUMMYFUNCTION("""COMPUTED_VALUE"""),"Вера Волошина, Юрий Двужильный")</f>
        <v>Вера Волошина, Юрий Двужильный</v>
      </c>
      <c r="J457" s="6" t="str">
        <f>IFERROR(__xludf.DUMMYFUNCTION("""COMPUTED_VALUE"""),"Гришковец, Леонов")</f>
        <v>Гришковец, Леонов</v>
      </c>
      <c r="K457" s="6" t="str">
        <f>IFERROR(__xludf.DUMMYFUNCTION("""COMPUTED_VALUE"""),"Дом Губкиных")</f>
        <v>Дом Губкиных</v>
      </c>
      <c r="L457" s="6" t="str">
        <f>IFERROR(__xludf.DUMMYFUNCTION("""COMPUTED_VALUE"""),"-")</f>
        <v>-</v>
      </c>
      <c r="M457" s="6" t="str">
        <f>IFERROR(__xludf.DUMMYFUNCTION("""COMPUTED_VALUE"""),"-")</f>
        <v>-</v>
      </c>
      <c r="N457" s="6" t="str">
        <f>IFERROR(__xludf.DUMMYFUNCTION("""COMPUTED_VALUE"""),"Удобный транспорт, чистота, школы, детские сады, спорт")</f>
        <v>Удобный транспорт, чистота, школы, детские сады, спорт</v>
      </c>
      <c r="O457" s="6" t="str">
        <f>IFERROR(__xludf.DUMMYFUNCTION("""COMPUTED_VALUE"""),"Чистить снег вовремя")</f>
        <v>Чистить снег вовремя</v>
      </c>
      <c r="P457" s="6" t="str">
        <f>IFERROR(__xludf.DUMMYFUNCTION("""COMPUTED_VALUE"""),"Инстаграм")</f>
        <v>Инстаграм</v>
      </c>
      <c r="Q457"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457" s="6" t="str">
        <f>IFERROR(__xludf.DUMMYFUNCTION("""COMPUTED_VALUE"""),"День Победы")</f>
        <v>День Победы</v>
      </c>
      <c r="S457" s="6" t="str">
        <f>IFERROR(__xludf.DUMMYFUNCTION("""COMPUTED_VALUE"""),"Нет, не приходилось")</f>
        <v>Нет, не приходилось</v>
      </c>
      <c r="T457" s="6" t="str">
        <f>IFERROR(__xludf.DUMMYFUNCTION("""COMPUTED_VALUE"""),"Зимней Вишней")</f>
        <v>Зимней Вишней</v>
      </c>
      <c r="U457" s="6" t="str">
        <f>IFERROR(__xludf.DUMMYFUNCTION("""COMPUTED_VALUE"""),"Площадь Советов")</f>
        <v>Площадь Советов</v>
      </c>
      <c r="V457" s="6" t="str">
        <f>IFERROR(__xludf.DUMMYFUNCTION("""COMPUTED_VALUE"""),"Построили промышленный центр в самой Сибири")</f>
        <v>Построили промышленный центр в самой Сибири</v>
      </c>
      <c r="W457" s="6" t="str">
        <f>IFERROR(__xludf.DUMMYFUNCTION("""COMPUTED_VALUE"""),"Дружелюбие, любопытство")</f>
        <v>Дружелюбие, любопытство</v>
      </c>
      <c r="X457" s="6" t="str">
        <f>IFERROR(__xludf.DUMMYFUNCTION("""COMPUTED_VALUE"""),"Площадь Советов — Набережная — улица Весенняя")</f>
        <v>Площадь Советов — Набережная — улица Весенняя</v>
      </c>
      <c r="Y457" s="6" t="str">
        <f>IFERROR(__xludf.DUMMYFUNCTION("""COMPUTED_VALUE"""),"-")</f>
        <v>-</v>
      </c>
      <c r="Z457" s="6" t="str">
        <f>IFERROR(__xludf.DUMMYFUNCTION("""COMPUTED_VALUE"""),"-")</f>
        <v>-</v>
      </c>
      <c r="AA457" s="6" t="str">
        <f>IFERROR(__xludf.DUMMYFUNCTION("""COMPUTED_VALUE"""),"-")</f>
        <v>-</v>
      </c>
      <c r="AB457" s="6" t="str">
        <f>IFERROR(__xludf.DUMMYFUNCTION("""COMPUTED_VALUE"""),"-")</f>
        <v>-</v>
      </c>
      <c r="AC457" s="6" t="str">
        <f>IFERROR(__xludf.DUMMYFUNCTION("""COMPUTED_VALUE"""),"-")</f>
        <v>-</v>
      </c>
      <c r="AD457" s="6" t="str">
        <f>IFERROR(__xludf.DUMMYFUNCTION("""COMPUTED_VALUE"""),"-")</f>
        <v>-</v>
      </c>
      <c r="AE457" s="6" t="str">
        <f>IFERROR(__xludf.DUMMYFUNCTION("""COMPUTED_VALUE"""),"Женский")</f>
        <v>Женский</v>
      </c>
      <c r="AF457" s="6" t="str">
        <f>IFERROR(__xludf.DUMMYFUNCTION("""COMPUTED_VALUE"""),"30-44")</f>
        <v>30-44</v>
      </c>
      <c r="AG457" s="6"/>
      <c r="AH457" s="6"/>
      <c r="AI457" s="6"/>
      <c r="AJ457" s="6"/>
      <c r="AK457" s="6"/>
      <c r="AL457" s="6"/>
      <c r="AM457" s="6"/>
    </row>
    <row r="458">
      <c r="A458" s="6">
        <v>457.0</v>
      </c>
      <c r="B458" s="6" t="str">
        <f>IFERROR(__xludf.DUMMYFUNCTION("""COMPUTED_VALUE"""),"Работаю учителем ")</f>
        <v>Работаю учителем </v>
      </c>
      <c r="C458" s="6" t="str">
        <f>IFERROR(__xludf.DUMMYFUNCTION("""COMPUTED_VALUE"""),"Читать книги")</f>
        <v>Читать книги</v>
      </c>
      <c r="D458" s="6" t="str">
        <f>IFERROR(__xludf.DUMMYFUNCTION("""COMPUTED_VALUE"""),"Радуга")</f>
        <v>Радуга</v>
      </c>
      <c r="E458" s="6" t="str">
        <f>IFERROR(__xludf.DUMMYFUNCTION("""COMPUTED_VALUE"""),"Набережная")</f>
        <v>Набережная</v>
      </c>
      <c r="F458" s="6" t="str">
        <f>IFERROR(__xludf.DUMMYFUNCTION("""COMPUTED_VALUE"""),"Живу здесь с рождения")</f>
        <v>Живу здесь с рождения</v>
      </c>
      <c r="G458" s="6" t="str">
        <f>IFERROR(__xludf.DUMMYFUNCTION("""COMPUTED_VALUE"""),"Набережная Притомская и в Кировском, кафе")</f>
        <v>Набережная Притомская и в Кировском, кафе</v>
      </c>
      <c r="H458" s="6" t="str">
        <f>IFERROR(__xludf.DUMMYFUNCTION("""COMPUTED_VALUE"""),"Родной, маленький, уют, друзья, школа")</f>
        <v>Родной, маленький, уют, друзья, школа</v>
      </c>
      <c r="I458" s="6" t="str">
        <f>IFERROR(__xludf.DUMMYFUNCTION("""COMPUTED_VALUE"""),"А. А. Леонов, Ю. Гагарин, В. Волошина, Ю. Двужильный, Е. Малышева, Е. Гришковец, А. Панин")</f>
        <v>А. А. Леонов, Ю. Гагарин, В. Волошина, Ю. Двужильный, Е. Малышева, Е. Гришковец, А. Панин</v>
      </c>
      <c r="J458" s="6" t="str">
        <f>IFERROR(__xludf.DUMMYFUNCTION("""COMPUTED_VALUE"""),"А. Г. Тулеев")</f>
        <v>А. Г. Тулеев</v>
      </c>
      <c r="K458" s="6" t="str">
        <f>IFERROR(__xludf.DUMMYFUNCTION("""COMPUTED_VALUE"""),"Томская писаница")</f>
        <v>Томская писаница</v>
      </c>
      <c r="L458" s="6" t="str">
        <f>IFERROR(__xludf.DUMMYFUNCTION("""COMPUTED_VALUE"""),"Не имей 100 рублей, а имей 100 друзей. ")</f>
        <v>Не имей 100 рублей, а имей 100 друзей. </v>
      </c>
      <c r="M458" s="6" t="str">
        <f>IFERROR(__xludf.DUMMYFUNCTION("""COMPUTED_VALUE"""),"Лапа (Лапландия), Яшка (Я тц) ")</f>
        <v>Лапа (Лапландия), Яшка (Я тц) </v>
      </c>
      <c r="N458" s="6" t="str">
        <f>IFERROR(__xludf.DUMMYFUNCTION("""COMPUTED_VALUE"""),"Чистота, много вариантов транспорта ")</f>
        <v>Чистота, много вариантов транспорта </v>
      </c>
      <c r="O458" s="6" t="str">
        <f>IFERROR(__xludf.DUMMYFUNCTION("""COMPUTED_VALUE"""),"Сделать уборку улиц")</f>
        <v>Сделать уборку улиц</v>
      </c>
      <c r="P458" s="6" t="str">
        <f>IFERROR(__xludf.DUMMYFUNCTION("""COMPUTED_VALUE"""),"Инстаграм ")</f>
        <v>Инстаграм </v>
      </c>
      <c r="Q458"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458" s="6" t="str">
        <f>IFERROR(__xludf.DUMMYFUNCTION("""COMPUTED_VALUE"""),"День города, 9 мая")</f>
        <v>День города, 9 мая</v>
      </c>
      <c r="S458" s="6" t="str">
        <f>IFERROR(__xludf.DUMMYFUNCTION("""COMPUTED_VALUE"""),"Нет, не приходилось")</f>
        <v>Нет, не приходилось</v>
      </c>
      <c r="T458" s="6" t="str">
        <f>IFERROR(__xludf.DUMMYFUNCTION("""COMPUTED_VALUE"""),"Угольные шахты ")</f>
        <v>Угольные шахты </v>
      </c>
      <c r="U458" s="6" t="str">
        <f>IFERROR(__xludf.DUMMYFUNCTION("""COMPUTED_VALUE"""),"Драм театр")</f>
        <v>Драм театр</v>
      </c>
      <c r="V458" s="6" t="str">
        <f>IFERROR(__xludf.DUMMYFUNCTION("""COMPUTED_VALUE"""),"Трудились ")</f>
        <v>Трудились </v>
      </c>
      <c r="W458" s="6" t="str">
        <f>IFERROR(__xludf.DUMMYFUNCTION("""COMPUTED_VALUE"""),"Доброта, взаимовыручка, позитив")</f>
        <v>Доброта, взаимовыручка, позитив</v>
      </c>
      <c r="X458" s="6" t="str">
        <f>IFERROR(__xludf.DUMMYFUNCTION("""COMPUTED_VALUE"""),"Парк ангелов, весенняя, Кирова, парк чудес ")</f>
        <v>Парк ангелов, весенняя, Кирова, парк чудес </v>
      </c>
      <c r="Y458" s="6" t="str">
        <f>IFERROR(__xludf.DUMMYFUNCTION("""COMPUTED_VALUE"""),"Смена губернатора (не позитивное)")</f>
        <v>Смена губернатора (не позитивное)</v>
      </c>
      <c r="Z458" s="6" t="str">
        <f>IFERROR(__xludf.DUMMYFUNCTION("""COMPUTED_VALUE"""),"День города ")</f>
        <v>День города </v>
      </c>
      <c r="AA458" s="6" t="str">
        <f>IFERROR(__xludf.DUMMYFUNCTION("""COMPUTED_VALUE"""),"Зимняя Вишня ")</f>
        <v>Зимняя Вишня </v>
      </c>
      <c r="AB458" s="6" t="str">
        <f>IFERROR(__xludf.DUMMYFUNCTION("""COMPUTED_VALUE"""),"Затрудняюсь ответить ")</f>
        <v>Затрудняюсь ответить </v>
      </c>
      <c r="AC458" s="6" t="str">
        <f>IFERROR(__xludf.DUMMYFUNCTION("""COMPUTED_VALUE"""),"Зарплаты бы были выше, то любые мероприятия имели интерес ")</f>
        <v>Зарплаты бы были выше, то любые мероприятия имели интерес </v>
      </c>
      <c r="AD458" s="6" t="str">
        <f>IFERROR(__xludf.DUMMYFUNCTION("""COMPUTED_VALUE"""),"Участник ")</f>
        <v>Участник </v>
      </c>
      <c r="AE458" s="6" t="str">
        <f>IFERROR(__xludf.DUMMYFUNCTION("""COMPUTED_VALUE"""),"Женский")</f>
        <v>Женский</v>
      </c>
      <c r="AF458" s="6" t="str">
        <f>IFERROR(__xludf.DUMMYFUNCTION("""COMPUTED_VALUE"""),"18-29")</f>
        <v>18-29</v>
      </c>
      <c r="AG458" s="6"/>
      <c r="AH458" s="6"/>
      <c r="AI458" s="6"/>
      <c r="AJ458" s="6"/>
      <c r="AK458" s="6"/>
      <c r="AL458" s="6"/>
      <c r="AM458" s="6"/>
    </row>
    <row r="459">
      <c r="A459" s="6">
        <v>458.0</v>
      </c>
      <c r="B459" s="6" t="str">
        <f>IFERROR(__xludf.DUMMYFUNCTION("""COMPUTED_VALUE"""),"Студент")</f>
        <v>Студент</v>
      </c>
      <c r="C459" s="6" t="str">
        <f>IFERROR(__xludf.DUMMYFUNCTION("""COMPUTED_VALUE"""),"Как у всех чтение, компьютерные игры, работа, ничего принципиально выдающегося")</f>
        <v>Как у всех чтение, компьютерные игры, работа, ничего принципиально выдающегося</v>
      </c>
      <c r="D459" s="6" t="str">
        <f>IFERROR(__xludf.DUMMYFUNCTION("""COMPUTED_VALUE"""),"В центральном, сам никак не называю, так как не делю город на районы.")</f>
        <v>В центральном, сам никак не называю, так как не делю город на районы.</v>
      </c>
      <c r="E459" s="6" t="str">
        <f>IFERROR(__xludf.DUMMYFUNCTION("""COMPUTED_VALUE"""),"Как и везде есть зелёные насаждения(почти везде их пока не свели) есть парки.")</f>
        <v>Как и везде есть зелёные насаждения(почти везде их пока не свели) есть парки.</v>
      </c>
      <c r="F459" s="6" t="str">
        <f>IFERROR(__xludf.DUMMYFUNCTION("""COMPUTED_VALUE"""),"Живу здесь с рождения")</f>
        <v>Живу здесь с рождения</v>
      </c>
      <c r="G459" s="6" t="str">
        <f>IFERROR(__xludf.DUMMYFUNCTION("""COMPUTED_VALUE"""),"Почти никуда, по причине во первых  острого дефицита того самого свободного времени, а во вторых склонности к асоциальности. Хожу обычно в парки или на природу за город, где побольше свежего воздуха и поменьше людей и шума")</f>
        <v>Почти никуда, по причине во первых  острого дефицита того самого свободного времени, а во вторых склонности к асоциальности. Хожу обычно в парки или на природу за город, где побольше свежего воздуха и поменьше людей и шума</v>
      </c>
      <c r="H459" s="6" t="str">
        <f>IFERROR(__xludf.DUMMYFUNCTION("""COMPUTED_VALUE"""),"город чёрного снега(обидно, но зато правда)")</f>
        <v>город чёрного снега(обидно, но зато правда)</v>
      </c>
      <c r="I459" s="6" t="str">
        <f>IFERROR(__xludf.DUMMYFUNCTION("""COMPUTED_VALUE"""),"Выдающийся человек тем и выдающийся, что его личность перерастает местный уровень, так что вопрос странный")</f>
        <v>Выдающийся человек тем и выдающийся, что его личность перерастает местный уровень, так что вопрос странный</v>
      </c>
      <c r="J459" s="6" t="str">
        <f>IFERROR(__xludf.DUMMYFUNCTION("""COMPUTED_VALUE"""),"Смотри пункт 8")</f>
        <v>Смотри пункт 8</v>
      </c>
      <c r="K459" s="6" t="str">
        <f>IFERROR(__xludf.DUMMYFUNCTION("""COMPUTED_VALUE"""),"Центр,  театр драмы, исторические здания.")</f>
        <v>Центр,  театр драмы, исторические здания.</v>
      </c>
      <c r="L459" s="6" t="str">
        <f>IFERROR(__xludf.DUMMYFUNCTION("""COMPUTED_VALUE"""),"Позитивных не особо припомню, из негативных... Ну говорят был случай, когда при пожаре в Москве  много народу потравилось угарным газом, а наша делегация в полном составе прошла сквозь дым почти не закашлявшись, но это байка и уже неправда(формальдегидным"&amp;"и смолами на улице не пахнет уже чёрт знает сколь ко времени)")</f>
        <v>Позитивных не особо припомню, из негативных... Ну говорят был случай, когда при пожаре в Москве  много народу потравилось угарным газом, а наша делегация в полном составе прошла сквозь дым почти не закашлявшись, но это байка и уже неправда(формальдегидными смолами на улице не пахнет уже чёрт знает сколь ко времени)</v>
      </c>
      <c r="M459" s="6" t="str">
        <f>IFERROR(__xludf.DUMMYFUNCTION("""COMPUTED_VALUE"""),"Для того что бы оценить нужен  антрополог-исследователь не отсюда. Я же их употребляю даже не зная что они местный колорит. Спрашивайте приезжих!")</f>
        <v>Для того что бы оценить нужен  антрополог-исследователь не отсюда. Я же их употребляю даже не зная что они местный колорит. Спрашивайте приезжих!</v>
      </c>
      <c r="N459" s="6" t="str">
        <f>IFERROR(__xludf.DUMMYFUNCTION("""COMPUTED_VALUE"""),"1)чисто и не пыльно(да, я не оригинален)
 2)нормальная планировка, а не кривые узкие улочки(в целом вроде у нас нормально) 
3)отсутствие всяких коммивояжёров\циган\свидетелей иеговы и прочих интересных личностей, ломящихся в квартиры(вроде с девяностых та"&amp;"ких не особо вижу, так что опять соответствуем)
4)отсутствие криминала на улицах(вроде тоже потихоньку справляемся).
5)Хватит застраивать озеленение! верните белок в парк!(кто местный тот знает в какой)")</f>
        <v>1)чисто и не пыльно(да, я не оригинален)
 2)нормальная планировка, а не кривые узкие улочки(в целом вроде у нас нормально) 
3)отсутствие всяких коммивояжёров\циган\свидетелей иеговы и прочих интересных личностей, ломящихся в квартиры(вроде с девяностых таких не особо вижу, так что опять соответствуем)
4)отсутствие криминала на улицах(вроде тоже потихоньку справляемся).
5)Хватит застраивать озеленение! верните белок в парк!(кто местный тот знает в какой)</v>
      </c>
      <c r="O459" s="6" t="str">
        <f>IFERROR(__xludf.DUMMYFUNCTION("""COMPUTED_VALUE"""),"поднять дороги над зелёными насаждениями, чтоб каждую *цензура* весну  земля с клумб не оказывалась размазанной по всему тротуару. Да сложно, да дорого, но это нужно сделать, иначе 2 сезона из 4 в году у нас будет грязь болото и  фу нафиг так жить.")</f>
        <v>поднять дороги над зелёными насаждениями, чтоб каждую *цензура* весну  земля с клумб не оказывалась размазанной по всему тротуару. Да сложно, да дорого, но это нужно сделать, иначе 2 сезона из 4 в году у нас будет грязь болото и  фу нафиг так жить.</v>
      </c>
      <c r="P459" s="6" t="str">
        <f>IFERROR(__xludf.DUMMYFUNCTION("""COMPUTED_VALUE"""),"обычно  по радио(да, мы динозавры) В сети я просто не состою в соцсетях практически и тем более на ресурсах посвящённых городу.")</f>
        <v>обычно  по радио(да, мы динозавры) В сети я просто не состою в соцсетях практически и тем более на ресурсах посвящённых городу.</v>
      </c>
      <c r="Q459" s="6" t="str">
        <f>IFERROR(__xludf.DUMMYFUNCTION("""COMPUTED_VALUE"""),"культурные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 Интерв"&amp;"ью с творческими личнотями, но не от мира искуства а от мира науки, особенно точной(да, знаю таких днём с огнём не сыскать, потому  этих тем и зверски не хватает)")</f>
        <v>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 Интервью с творческими личнотями, но не от мира искуства а от мира науки, особенно точной(да, знаю таких днём с огнём не сыскать, потому  этих тем и зверски не хватает)</v>
      </c>
      <c r="R459" s="6" t="str">
        <f>IFERROR(__xludf.DUMMYFUNCTION("""COMPUTED_VALUE"""),"Никаких. для других день шахтёра и день города.")</f>
        <v>Никаких. для других день шахтёра и день города.</v>
      </c>
      <c r="S459" s="6" t="str">
        <f>IFERROR(__xludf.DUMMYFUNCTION("""COMPUTED_VALUE"""),"Нет, не приходилось")</f>
        <v>Нет, не приходилось</v>
      </c>
      <c r="T459" s="6" t="str">
        <f>IFERROR(__xludf.DUMMYFUNCTION("""COMPUTED_VALUE"""),"Раньше был знаменит химической промышленностью, но сейчас заметно сдал по этому показателю.")</f>
        <v>Раньше был знаменит химической промышленностью, но сейчас заметно сдал по этому показателю.</v>
      </c>
      <c r="U459" s="6" t="str">
        <f>IFERROR(__xludf.DUMMYFUNCTION("""COMPUTED_VALUE"""),"Площадь перед театром с фонтаном(все в курсе надеюсь?), площадь с вездесущим вождём революции")</f>
        <v>Площадь перед театром с фонтаном(все в курсе надеюсь?), площадь с вездесущим вождём революции</v>
      </c>
      <c r="V459" s="6" t="str">
        <f>IFERROR(__xludf.DUMMYFUNCTION("""COMPUTED_VALUE"""),"Работали. Серьёзно люди просто работали на совесть и этого оказалось достаточно.")</f>
        <v>Работали. Серьёзно люди просто работали на совесть и этого оказалось достаточно.</v>
      </c>
      <c r="W459" s="6" t="str">
        <f>IFERROR(__xludf.DUMMYFUNCTION("""COMPUTED_VALUE"""),"Да такие же как и везде мы продукт дружбы народов  у нас нет какой то местечковой идентичности.")</f>
        <v>Да такие же как и везде мы продукт дружбы народов  у нас нет какой то местечковой идентичности.</v>
      </c>
      <c r="X459" s="6" t="str">
        <f>IFERROR(__xludf.DUMMYFUNCTION("""COMPUTED_VALUE"""),"За пределами города. Внутри города ну музеи такие же как и везде, архитектура тоже такая же как и везде ничего тут прям достопримечательного нет. На природу надо ехать  в горную Шорию или в похожие места.")</f>
        <v>За пределами города. Внутри города ну музеи такие же как и везде, архитектура тоже такая же как и везде ничего тут прям достопримечательного нет. На природу надо ехать  в горную Шорию или в похожие места.</v>
      </c>
      <c r="Y459" s="6" t="str">
        <f>IFERROR(__xludf.DUMMYFUNCTION("""COMPUTED_VALUE"""),"У нас тут провинция, так что титанических свершений нет. мы же не город с историей, уходящей в века.")</f>
        <v>У нас тут провинция, так что титанических свершений нет. мы же не город с историей, уходящей в века.</v>
      </c>
      <c r="Z459" s="6" t="str">
        <f>IFERROR(__xludf.DUMMYFUNCTION("""COMPUTED_VALUE"""),"У нас тут зомби-апокалипсис глобальный какие вам события все сидят в капсулах!")</f>
        <v>У нас тут зомби-апокалипсис глобальный какие вам события все сидят в капсулах!</v>
      </c>
      <c r="AA459" s="6" t="str">
        <f>IFERROR(__xludf.DUMMYFUNCTION("""COMPUTED_VALUE"""),"Попытки ""облагородить"" город, приводящие к вырубке деревьев. Верните человеческое озеленение *цензура*! Коммунисты не просто так тут деревья садили они поглощает ядовитую взвесь из атмосферы посмотрите результаты там по ряду параметров превышение ПДК в "&amp;"десятки раз! исходя из этого и проектировали  такие непомерные зоны озеленения. Выгоните из группы разрабатывающей план облагораживания города архитекторов и дизайнеров и верните  экологов и инженеров!")</f>
        <v>Попытки "облагородить" город, приводящие к вырубке деревьев. Верните человеческое озеленение *цензура*! Коммунисты не просто так тут деревья садили они поглощает ядовитую взвесь из атмосферы посмотрите результаты там по ряду параметров превышение ПДК в десятки раз! исходя из этого и проектировали  такие непомерные зоны озеленения. Выгоните из группы разрабатывающей план облагораживания города архитекторов и дизайнеров и верните  экологов и инженеров!</v>
      </c>
      <c r="AB459" s="6" t="str">
        <f>IFERROR(__xludf.DUMMYFUNCTION("""COMPUTED_VALUE"""),"Никаких я же воробушек-социофобушек")</f>
        <v>Никаких я же воробушек-социофобушек</v>
      </c>
      <c r="AC459" s="6" t="str">
        <f>IFERROR(__xludf.DUMMYFUNCTION("""COMPUTED_VALUE"""),"Никаких. Нормальные мероприятия  возникают стихийно, а если организовывать на ровном месте очередной  фестиваль, то ничего не выйдет хорошего. Чего надо так это поощрять стихийные процессы в этой области.")</f>
        <v>Никаких. Нормальные мероприятия  возникают стихийно, а если организовывать на ровном месте очередной  фестиваль, то ничего не выйдет хорошего. Чего надо так это поощрять стихийные процессы в этой области.</v>
      </c>
      <c r="AD459" s="6" t="str">
        <f>IFERROR(__xludf.DUMMYFUNCTION("""COMPUTED_VALUE"""),"в роли созерцателя.")</f>
        <v>в роли созерцателя.</v>
      </c>
      <c r="AE459" s="6" t="str">
        <f>IFERROR(__xludf.DUMMYFUNCTION("""COMPUTED_VALUE"""),"Мужской")</f>
        <v>Мужской</v>
      </c>
      <c r="AF459" s="6" t="str">
        <f>IFERROR(__xludf.DUMMYFUNCTION("""COMPUTED_VALUE"""),"18-29")</f>
        <v>18-29</v>
      </c>
      <c r="AG459" s="6"/>
      <c r="AH459" s="6"/>
      <c r="AI459" s="6"/>
      <c r="AJ459" s="6"/>
      <c r="AK459" s="6"/>
      <c r="AL459" s="6"/>
      <c r="AM459" s="6"/>
    </row>
    <row r="460">
      <c r="A460" s="6">
        <v>459.0</v>
      </c>
      <c r="B460" s="6" t="str">
        <f>IFERROR(__xludf.DUMMYFUNCTION("""COMPUTED_VALUE"""),"Адм. персонал мед. учреждения")</f>
        <v>Адм. персонал мед. учреждения</v>
      </c>
      <c r="C460" s="6" t="str">
        <f>IFERROR(__xludf.DUMMYFUNCTION("""COMPUTED_VALUE"""),"Фотография")</f>
        <v>Фотография</v>
      </c>
      <c r="D460" s="6" t="str">
        <f>IFERROR(__xludf.DUMMYFUNCTION("""COMPUTED_VALUE"""),"Заводский. Заводский.")</f>
        <v>Заводский. Заводский.</v>
      </c>
      <c r="E460" s="6" t="str">
        <f>IFERROR(__xludf.DUMMYFUNCTION("""COMPUTED_VALUE"""),"Вокзал")</f>
        <v>Вокзал</v>
      </c>
      <c r="F460" s="6" t="str">
        <f>IFERROR(__xludf.DUMMYFUNCTION("""COMPUTED_VALUE"""),"Переехал сюда из другого места (откуда? укажите в графе другое), с Топкинского р-на на учебу в институт")</f>
        <v>Переехал сюда из другого места (откуда? укажите в графе другое), с Топкинского р-на на учебу в институт</v>
      </c>
      <c r="G460" s="6" t="str">
        <f>IFERROR(__xludf.DUMMYFUNCTION("""COMPUTED_VALUE"""),"Парк Жукова, парк Антошка")</f>
        <v>Парк Жукова, парк Антошка</v>
      </c>
      <c r="H460" s="6" t="str">
        <f>IFERROR(__xludf.DUMMYFUNCTION("""COMPUTED_VALUE"""),"Промзона, экология, среда (обитания), транспорт, вода")</f>
        <v>Промзона, экология, среда (обитания), транспорт, вода</v>
      </c>
      <c r="I460" s="6" t="str">
        <f>IFERROR(__xludf.DUMMYFUNCTION("""COMPUTED_VALUE"""),"Леонов Евгений, Волков Михайло")</f>
        <v>Леонов Евгений, Волков Михайло</v>
      </c>
      <c r="J460" s="6" t="str">
        <f>IFERROR(__xludf.DUMMYFUNCTION("""COMPUTED_VALUE"""),"Нет таких...")</f>
        <v>Нет таких...</v>
      </c>
      <c r="K460" s="6" t="str">
        <f>IFERROR(__xludf.DUMMYFUNCTION("""COMPUTED_VALUE"""),"Обзорная площадка Рудничного бора, б-р Строителей, набережная Горсада")</f>
        <v>Обзорная площадка Рудничного бора, б-р Строителей, набережная Горсада</v>
      </c>
      <c r="L460" s="6" t="str">
        <f>IFERROR(__xludf.DUMMYFUNCTION("""COMPUTED_VALUE"""),"Кемерово - город молодости и смеха!
Молодости, потому что до старости не доживают.
Смеха, потому что когда ветер дует на левый берег, смеется правый, а когда на правый, ржут левобережцы.")</f>
        <v>Кемерово - город молодости и смеха!
Молодости, потому что до старости не доживают.
Смеха, потому что когда ветер дует на левый берег, смеется правый, а когда на правый, ржут левобережцы.</v>
      </c>
      <c r="M460" s="6" t="str">
        <f>IFERROR(__xludf.DUMMYFUNCTION("""COMPUTED_VALUE"""),"Бутерброт по-кемеровски?")</f>
        <v>Бутерброт по-кемеровски?</v>
      </c>
      <c r="N460" s="6" t="str">
        <f>IFERROR(__xludf.DUMMYFUNCTION("""COMPUTED_VALUE"""),"Транспортная инфраструктура, социальная инфраструктура, экология, уровень жизни, трудовой потенциал")</f>
        <v>Транспортная инфраструктура, социальная инфраструктура, экология, уровень жизни, трудовой потенциал</v>
      </c>
      <c r="O460" s="6" t="str">
        <f>IFERROR(__xludf.DUMMYFUNCTION("""COMPUTED_VALUE"""),"Снести Кузнецкий мост (старый)")</f>
        <v>Снести Кузнецкий мост (старый)</v>
      </c>
      <c r="P460" s="6" t="str">
        <f>IFERROR(__xludf.DUMMYFUNCTION("""COMPUTED_VALUE"""),"Инстаграмм")</f>
        <v>Инстаграмм</v>
      </c>
      <c r="Q460" s="6" t="str">
        <f>IFERROR(__xludf.DUMMYFUNCTION("""COMPUTED_VALUE"""),"куда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f>
        <v>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460" s="6" t="str">
        <f>IFERROR(__xludf.DUMMYFUNCTION("""COMPUTED_VALUE"""),"Новый год")</f>
        <v>Новый год</v>
      </c>
      <c r="S460" s="6" t="str">
        <f>IFERROR(__xludf.DUMMYFUNCTION("""COMPUTED_VALUE"""),"Нет, не приходилось")</f>
        <v>Нет, не приходилось</v>
      </c>
      <c r="T460" s="6" t="str">
        <f>IFERROR(__xludf.DUMMYFUNCTION("""COMPUTED_VALUE"""),"Меньше Новокузнецка, но тем ни менее столица. Вся известность по стране связана с углем и пожаром в Зимней вишне.")</f>
        <v>Меньше Новокузнецка, но тем ни менее столица. Вся известность по стране связана с углем и пожаром в Зимней вишне.</v>
      </c>
      <c r="U460" s="6" t="str">
        <f>IFERROR(__xludf.DUMMYFUNCTION("""COMPUTED_VALUE"""),"Цирк")</f>
        <v>Цирк</v>
      </c>
      <c r="V460" s="6" t="str">
        <f>IFERROR(__xludf.DUMMYFUNCTION("""COMPUTED_VALUE"""),"Гордиться собой - больше смахивает на самодовольство. Тут сразу на ум приходит Тулеев. А все остальные достижения, как продолжения событий после эвакуации заводов в ВОВ.")</f>
        <v>Гордиться собой - больше смахивает на самодовольство. Тут сразу на ум приходит Тулеев. А все остальные достижения, как продолжения событий после эвакуации заводов в ВОВ.</v>
      </c>
      <c r="W460" s="6" t="str">
        <f>IFERROR(__xludf.DUMMYFUNCTION("""COMPUTED_VALUE"""),"Хмурые, нелюдимые, больные")</f>
        <v>Хмурые, нелюдимые, больные</v>
      </c>
      <c r="X460" s="6" t="str">
        <f>IFERROR(__xludf.DUMMYFUNCTION("""COMPUTED_VALUE"""),"Антошка-Жукова-Набережная")</f>
        <v>Антошка-Жукова-Набережная</v>
      </c>
      <c r="Y460" s="6" t="str">
        <f>IFERROR(__xludf.DUMMYFUNCTION("""COMPUTED_VALUE"""),"Кузнецкий мост")</f>
        <v>Кузнецкий мост</v>
      </c>
      <c r="Z460" s="6" t="str">
        <f>IFERROR(__xludf.DUMMYFUNCTION("""COMPUTED_VALUE"""),"Ремонт Кузнецкого проспекта (Автозаводская-Комиссарово)")</f>
        <v>Ремонт Кузнецкого проспекта (Автозаводская-Комиссарово)</v>
      </c>
      <c r="AA460" s="6" t="str">
        <f>IFERROR(__xludf.DUMMYFUNCTION("""COMPUTED_VALUE"""),"Зимняя вишня")</f>
        <v>Зимняя вишня</v>
      </c>
      <c r="AB460" s="6" t="str">
        <f>IFERROR(__xludf.DUMMYFUNCTION("""COMPUTED_VALUE"""),"Сообщества умных, честных и талантливых людей")</f>
        <v>Сообщества умных, честных и талантливых людей</v>
      </c>
      <c r="AC460" s="6" t="str">
        <f>IFERROR(__xludf.DUMMYFUNCTION("""COMPUTED_VALUE"""),"Может наоборот поменьше? Например перестать перекрывать центр неделями при подготовке к парадам.")</f>
        <v>Может наоборот поменьше? Например перестать перекрывать центр неделями при подготовке к парадам.</v>
      </c>
      <c r="AD460" s="6" t="str">
        <f>IFERROR(__xludf.DUMMYFUNCTION("""COMPUTED_VALUE"""),"Информационно-осветительной")</f>
        <v>Информационно-осветительной</v>
      </c>
      <c r="AE460" s="6" t="str">
        <f>IFERROR(__xludf.DUMMYFUNCTION("""COMPUTED_VALUE"""),"Мужской")</f>
        <v>Мужской</v>
      </c>
      <c r="AF460" s="6" t="str">
        <f>IFERROR(__xludf.DUMMYFUNCTION("""COMPUTED_VALUE"""),"30-44")</f>
        <v>30-44</v>
      </c>
      <c r="AG460" s="6"/>
      <c r="AH460" s="6"/>
      <c r="AI460" s="6"/>
      <c r="AJ460" s="6"/>
      <c r="AK460" s="6"/>
      <c r="AL460" s="6"/>
      <c r="AM460" s="6"/>
    </row>
    <row r="461">
      <c r="A461" s="6">
        <v>460.0</v>
      </c>
      <c r="B461" s="6" t="str">
        <f>IFERROR(__xludf.DUMMYFUNCTION("""COMPUTED_VALUE"""),"Госслужащая")</f>
        <v>Госслужащая</v>
      </c>
      <c r="C461" s="6" t="str">
        <f>IFERROR(__xludf.DUMMYFUNCTION("""COMPUTED_VALUE"""),"Шитье, мода, дизайн")</f>
        <v>Шитье, мода, дизайн</v>
      </c>
      <c r="D461" s="6" t="str">
        <f>IFERROR(__xludf.DUMMYFUNCTION("""COMPUTED_VALUE"""),"ФПК")</f>
        <v>ФПК</v>
      </c>
      <c r="E461" s="6" t="str">
        <f>IFERROR(__xludf.DUMMYFUNCTION("""COMPUTED_VALUE"""),"Церковь Святой Варвары")</f>
        <v>Церковь Святой Варвары</v>
      </c>
      <c r="F461" s="6" t="str">
        <f>IFERROR(__xludf.DUMMYFUNCTION("""COMPUTED_VALUE"""),"Живу здесь с рождения")</f>
        <v>Живу здесь с рождения</v>
      </c>
      <c r="G461" s="6" t="str">
        <f>IFERROR(__xludf.DUMMYFUNCTION("""COMPUTED_VALUE"""),"Притомская Набережная, Комсомольский парк, поселок Новостройка, улица Весенняя")</f>
        <v>Притомская Набережная, Комсомольский парк, поселок Новостройка, улица Весенняя</v>
      </c>
      <c r="H461" s="6" t="str">
        <f>IFERROR(__xludf.DUMMYFUNCTION("""COMPUTED_VALUE"""),"Шахтер, Уголь, Томь, Набережная, Весенняя")</f>
        <v>Шахтер, Уголь, Томь, Набережная, Весенняя</v>
      </c>
      <c r="I461" s="6" t="str">
        <f>IFERROR(__xludf.DUMMYFUNCTION("""COMPUTED_VALUE"""),"Алексей Леонов, Михайло Волков, Алена Бабенко, ")</f>
        <v>Алексей Леонов, Михайло Волков, Алена Бабенко, </v>
      </c>
      <c r="J461" s="6" t="str">
        <f>IFERROR(__xludf.DUMMYFUNCTION("""COMPUTED_VALUE"""),"Владимир Машков, Евгений Гришковец")</f>
        <v>Владимир Машков, Евгений Гришковец</v>
      </c>
      <c r="K461" s="6" t="str">
        <f>IFERROR(__xludf.DUMMYFUNCTION("""COMPUTED_VALUE"""),"Красная горка, Сосновый бор, Набережная Томи")</f>
        <v>Красная горка, Сосновый бор, Набережная Томи</v>
      </c>
      <c r="L461" s="6" t="str">
        <f>IFERROR(__xludf.DUMMYFUNCTION("""COMPUTED_VALUE"""),"С волками жить, по-волчьи выть")</f>
        <v>С волками жить, по-волчьи выть</v>
      </c>
      <c r="M461" s="6" t="str">
        <f>IFERROR(__xludf.DUMMYFUNCTION("""COMPUTED_VALUE"""),"Тормозок")</f>
        <v>Тормозок</v>
      </c>
      <c r="N461" s="6" t="str">
        <f>IFERROR(__xludf.DUMMYFUNCTION("""COMPUTED_VALUE"""),"Хорошие дороги, парки, велодорожки, пешеходные дорожки, чистота")</f>
        <v>Хорошие дороги, парки, велодорожки, пешеходные дорожки, чистота</v>
      </c>
      <c r="O461" s="6" t="str">
        <f>IFERROR(__xludf.DUMMYFUNCTION("""COMPUTED_VALUE"""),"Сделать дорогу с ФПК на Соборную, параллельную ул. Каменской, объездную дорогу, разбить место отдыха на ФПК с парковой зоной, наладить работу эвакуаторов, больше парковок")</f>
        <v>Сделать дорогу с ФПК на Соборную, параллельную ул. Каменской, объездную дорогу, разбить место отдыха на ФПК с парковой зоной, наладить работу эвакуаторов, больше парковок</v>
      </c>
      <c r="P461" s="6" t="str">
        <f>IFERROR(__xludf.DUMMYFUNCTION("""COMPUTED_VALUE"""),"Интернет, инстаграм")</f>
        <v>Интернет, инстаграм</v>
      </c>
      <c r="Q461"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предприятий),"&amp;"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461" s="6" t="str">
        <f>IFERROR(__xludf.DUMMYFUNCTION("""COMPUTED_VALUE"""),"День шахтера, День города")</f>
        <v>День шахтера, День города</v>
      </c>
      <c r="S461" s="6" t="str">
        <f>IFERROR(__xludf.DUMMYFUNCTION("""COMPUTED_VALUE"""),"Нет, не приходилось")</f>
        <v>Нет, не приходилось</v>
      </c>
      <c r="T461" s="6" t="str">
        <f>IFERROR(__xludf.DUMMYFUNCTION("""COMPUTED_VALUE"""),"Уголь, шахты, Зимняя вишня")</f>
        <v>Уголь, шахты, Зимняя вишня</v>
      </c>
      <c r="U461" s="6" t="str">
        <f>IFERROR(__xludf.DUMMYFUNCTION("""COMPUTED_VALUE"""),"Набережная Томи")</f>
        <v>Набережная Томи</v>
      </c>
      <c r="V461" s="6" t="str">
        <f>IFERROR(__xludf.DUMMYFUNCTION("""COMPUTED_VALUE"""),"Убирать за животными, перестать бросать машины во дворах")</f>
        <v>Убирать за животными, перестать бросать машины во дворах</v>
      </c>
      <c r="W461" s="6" t="str">
        <f>IFERROR(__xludf.DUMMYFUNCTION("""COMPUTED_VALUE"""),"Хамоватые, бескультурные, бывшие зэки")</f>
        <v>Хамоватые, бескультурные, бывшие зэки</v>
      </c>
      <c r="X461" s="6" t="str">
        <f>IFERROR(__xludf.DUMMYFUNCTION("""COMPUTED_VALUE"""),"Сосновый бор на Радуге")</f>
        <v>Сосновый бор на Радуге</v>
      </c>
      <c r="Y461" s="6" t="str">
        <f>IFERROR(__xludf.DUMMYFUNCTION("""COMPUTED_VALUE"""),"Фестваль звезд рока")</f>
        <v>Фестваль звезд рока</v>
      </c>
      <c r="Z461" s="6" t="str">
        <f>IFERROR(__xludf.DUMMYFUNCTION("""COMPUTED_VALUE"""),"Фестиваль звезд рока")</f>
        <v>Фестиваль звезд рока</v>
      </c>
      <c r="AA461" s="6" t="str">
        <f>IFERROR(__xludf.DUMMYFUNCTION("""COMPUTED_VALUE"""),"Зимняя вишня")</f>
        <v>Зимняя вишня</v>
      </c>
      <c r="AB461" s="6" t="str">
        <f>IFERROR(__xludf.DUMMYFUNCTION("""COMPUTED_VALUE"""),"Мне всего хватает")</f>
        <v>Мне всего хватает</v>
      </c>
      <c r="AC461" s="6" t="str">
        <f>IFERROR(__xludf.DUMMYFUNCTION("""COMPUTED_VALUE"""),"Концерт Теоны Квантридзе")</f>
        <v>Концерт Теоны Квантридзе</v>
      </c>
      <c r="AD461" s="6" t="str">
        <f>IFERROR(__xludf.DUMMYFUNCTION("""COMPUTED_VALUE"""),"Наблюдатель")</f>
        <v>Наблюдатель</v>
      </c>
      <c r="AE461" s="6" t="str">
        <f>IFERROR(__xludf.DUMMYFUNCTION("""COMPUTED_VALUE"""),"Женский")</f>
        <v>Женский</v>
      </c>
      <c r="AF461" s="6" t="str">
        <f>IFERROR(__xludf.DUMMYFUNCTION("""COMPUTED_VALUE"""),"45-55")</f>
        <v>45-55</v>
      </c>
      <c r="AG461" s="6"/>
      <c r="AH461" s="6"/>
      <c r="AI461" s="6"/>
      <c r="AJ461" s="6"/>
      <c r="AK461" s="6"/>
      <c r="AL461" s="6"/>
      <c r="AM461" s="6"/>
    </row>
    <row r="462">
      <c r="A462" s="6">
        <v>461.0</v>
      </c>
      <c r="B462" s="6" t="str">
        <f>IFERROR(__xludf.DUMMYFUNCTION("""COMPUTED_VALUE"""),"работаю")</f>
        <v>работаю</v>
      </c>
      <c r="C462" s="6" t="str">
        <f>IFERROR(__xludf.DUMMYFUNCTION("""COMPUTED_VALUE"""),"путешествия")</f>
        <v>путешествия</v>
      </c>
      <c r="D462" s="6" t="str">
        <f>IFERROR(__xludf.DUMMYFUNCTION("""COMPUTED_VALUE"""),"Кировский")</f>
        <v>Кировский</v>
      </c>
      <c r="E462" s="6" t="str">
        <f>IFERROR(__xludf.DUMMYFUNCTION("""COMPUTED_VALUE"""),"Не знаю.")</f>
        <v>Не знаю.</v>
      </c>
      <c r="F462" s="6" t="str">
        <f>IFERROR(__xludf.DUMMYFUNCTION("""COMPUTED_VALUE"""),"Не живу,но приезжаю сюда (к родственникам/друзьям)")</f>
        <v>Не живу,но приезжаю сюда (к родственникам/друзьям)</v>
      </c>
      <c r="G462" s="6" t="str">
        <f>IFERROR(__xludf.DUMMYFUNCTION("""COMPUTED_VALUE"""),"На набережную")</f>
        <v>На набережную</v>
      </c>
      <c r="H462" s="6" t="str">
        <f>IFERROR(__xludf.DUMMYFUNCTION("""COMPUTED_VALUE"""),"дом, семья, любовь, учеба, жизнь")</f>
        <v>дом, семья, любовь, учеба, жизнь</v>
      </c>
      <c r="I462" s="6" t="str">
        <f>IFERROR(__xludf.DUMMYFUNCTION("""COMPUTED_VALUE"""),"Не знаю")</f>
        <v>Не знаю</v>
      </c>
      <c r="J462" s="6" t="str">
        <f>IFERROR(__xludf.DUMMYFUNCTION("""COMPUTED_VALUE"""),"Не знаю")</f>
        <v>Не знаю</v>
      </c>
      <c r="K462" s="6" t="str">
        <f>IFERROR(__xludf.DUMMYFUNCTION("""COMPUTED_VALUE"""),"Не знаю")</f>
        <v>Не знаю</v>
      </c>
      <c r="L462" s="6" t="str">
        <f>IFERROR(__xludf.DUMMYFUNCTION("""COMPUTED_VALUE"""),"Нет таких")</f>
        <v>Нет таких</v>
      </c>
      <c r="M462" s="6" t="str">
        <f>IFERROR(__xludf.DUMMYFUNCTION("""COMPUTED_VALUE"""),"Нет")</f>
        <v>Нет</v>
      </c>
      <c r="N462" s="6" t="str">
        <f>IFERROR(__xludf.DUMMYFUNCTION("""COMPUTED_VALUE"""),"дороги, парковка, дворы, парки, безопасность")</f>
        <v>дороги, парковка, дворы, парки, безопасность</v>
      </c>
      <c r="O462" s="6" t="str">
        <f>IFERROR(__xludf.DUMMYFUNCTION("""COMPUTED_VALUE"""),"Дороги")</f>
        <v>Дороги</v>
      </c>
      <c r="P462" s="6" t="str">
        <f>IFERROR(__xludf.DUMMYFUNCTION("""COMPUTED_VALUE"""),"Интернет")</f>
        <v>Интернет</v>
      </c>
      <c r="Q462"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f>
        <v>где вкусно поесть/открытие новых кафе/ресторанов, городская афиша (кино/театр/концерты), культурные новинки (что почитать/что послушать)</v>
      </c>
      <c r="R462" s="6" t="str">
        <f>IFERROR(__xludf.DUMMYFUNCTION("""COMPUTED_VALUE"""),"День города")</f>
        <v>День города</v>
      </c>
      <c r="S462" s="6" t="str">
        <f>IFERROR(__xludf.DUMMYFUNCTION("""COMPUTED_VALUE"""),"Нет, не приходилось")</f>
        <v>Нет, не приходилось</v>
      </c>
      <c r="T462" s="6" t="str">
        <f>IFERROR(__xludf.DUMMYFUNCTION("""COMPUTED_VALUE"""),"Драматический театр, филармония, театр оперетты")</f>
        <v>Драматический театр, филармония, театр оперетты</v>
      </c>
      <c r="U462" s="6" t="str">
        <f>IFERROR(__xludf.DUMMYFUNCTION("""COMPUTED_VALUE"""),"Здание администрации")</f>
        <v>Здание администрации</v>
      </c>
      <c r="V462" s="6" t="str">
        <f>IFERROR(__xludf.DUMMYFUNCTION("""COMPUTED_VALUE"""),"Затрудняюсь ответить")</f>
        <v>Затрудняюсь ответить</v>
      </c>
      <c r="W462" s="6" t="str">
        <f>IFERROR(__xludf.DUMMYFUNCTION("""COMPUTED_VALUE"""),"Такие же как и жители других городов")</f>
        <v>Такие же как и жители других городов</v>
      </c>
      <c r="X462" s="6" t="str">
        <f>IFERROR(__xludf.DUMMYFUNCTION("""COMPUTED_VALUE"""),"Набережные")</f>
        <v>Набережные</v>
      </c>
      <c r="Y462" s="6" t="str">
        <f>IFERROR(__xludf.DUMMYFUNCTION("""COMPUTED_VALUE"""),"Затрудняюсь ответить")</f>
        <v>Затрудняюсь ответить</v>
      </c>
      <c r="Z462" s="6" t="str">
        <f>IFERROR(__xludf.DUMMYFUNCTION("""COMPUTED_VALUE"""),"Затрудняюсь ответить")</f>
        <v>Затрудняюсь ответить</v>
      </c>
      <c r="AA462" s="6" t="str">
        <f>IFERROR(__xludf.DUMMYFUNCTION("""COMPUTED_VALUE"""),"Не было таких")</f>
        <v>Не было таких</v>
      </c>
      <c r="AB462" s="6" t="str">
        <f>IFERROR(__xludf.DUMMYFUNCTION("""COMPUTED_VALUE"""),"Затрудняюсь ответить")</f>
        <v>Затрудняюсь ответить</v>
      </c>
      <c r="AC462" s="6" t="str">
        <f>IFERROR(__xludf.DUMMYFUNCTION("""COMPUTED_VALUE"""),"Затрудняюсь ответить")</f>
        <v>Затрудняюсь ответить</v>
      </c>
      <c r="AD462" s="6" t="str">
        <f>IFERROR(__xludf.DUMMYFUNCTION("""COMPUTED_VALUE"""),"Я не проживаю в Кемерово")</f>
        <v>Я не проживаю в Кемерово</v>
      </c>
      <c r="AE462" s="6" t="str">
        <f>IFERROR(__xludf.DUMMYFUNCTION("""COMPUTED_VALUE"""),"Женский")</f>
        <v>Женский</v>
      </c>
      <c r="AF462" s="6" t="str">
        <f>IFERROR(__xludf.DUMMYFUNCTION("""COMPUTED_VALUE"""),"45-55")</f>
        <v>45-55</v>
      </c>
      <c r="AG462" s="6"/>
      <c r="AH462" s="6"/>
      <c r="AI462" s="6"/>
      <c r="AJ462" s="6"/>
      <c r="AK462" s="6"/>
      <c r="AL462" s="6"/>
      <c r="AM462" s="6"/>
    </row>
    <row r="463">
      <c r="A463" s="6">
        <v>462.0</v>
      </c>
      <c r="B463" s="6" t="str">
        <f>IFERROR(__xludf.DUMMYFUNCTION("""COMPUTED_VALUE"""),"Работаю в интернет провайдере")</f>
        <v>Работаю в интернет провайдере</v>
      </c>
      <c r="C463" s="6" t="str">
        <f>IFERROR(__xludf.DUMMYFUNCTION("""COMPUTED_VALUE"""),"Компьютерные игры")</f>
        <v>Компьютерные игры</v>
      </c>
      <c r="D463" s="6" t="str">
        <f>IFERROR(__xludf.DUMMYFUNCTION("""COMPUTED_VALUE"""),"Кемерово Сити")</f>
        <v>Кемерово Сити</v>
      </c>
      <c r="E463" s="6" t="str">
        <f>IFERROR(__xludf.DUMMYFUNCTION("""COMPUTED_VALUE"""),"Парк Резникова")</f>
        <v>Парк Резникова</v>
      </c>
      <c r="F463" s="6" t="str">
        <f>IFERROR(__xludf.DUMMYFUNCTION("""COMPUTED_VALUE"""),"Живу здесь с рождения")</f>
        <v>Живу здесь с рождения</v>
      </c>
      <c r="G463" s="6" t="str">
        <f>IFERROR(__xludf.DUMMYFUNCTION("""COMPUTED_VALUE"""),"В центр, набережная, парк чудес и комсомольский")</f>
        <v>В центр, набережная, парк чудес и комсомольский</v>
      </c>
      <c r="H463" s="6" t="str">
        <f>IFERROR(__xludf.DUMMYFUNCTION("""COMPUTED_VALUE"""),"Уголь, Волков, Грязный воздух, Томь, Кузбасс")</f>
        <v>Уголь, Волков, Грязный воздух, Томь, Кузбасс</v>
      </c>
      <c r="I463" s="6" t="str">
        <f>IFERROR(__xludf.DUMMYFUNCTION("""COMPUTED_VALUE"""),"Волков")</f>
        <v>Волков</v>
      </c>
      <c r="J463" s="6" t="str">
        <f>IFERROR(__xludf.DUMMYFUNCTION("""COMPUTED_VALUE"""),"Гришковец, Тулеев, Михайлов")</f>
        <v>Гришковец, Тулеев, Михайлов</v>
      </c>
      <c r="K463" s="6" t="str">
        <f>IFERROR(__xludf.DUMMYFUNCTION("""COMPUTED_VALUE"""),"Набережная, красная горка, бульвар, парк жукова")</f>
        <v>Набережная, красная горка, бульвар, парк жукова</v>
      </c>
      <c r="L463" s="6" t="str">
        <f>IFERROR(__xludf.DUMMYFUNCTION("""COMPUTED_VALUE"""),"Кока кола мэн")</f>
        <v>Кока кола мэн</v>
      </c>
      <c r="M463" s="6" t="str">
        <f>IFERROR(__xludf.DUMMYFUNCTION("""COMPUTED_VALUE"""),"нет")</f>
        <v>нет</v>
      </c>
      <c r="N463" s="6" t="str">
        <f>IFERROR(__xludf.DUMMYFUNCTION("""COMPUTED_VALUE"""),"Чистый воздух, дороги и парковки, парки и места отдыха, большие ТЦ типа Планета, большие места развлечения типа Аквапарк, Парк аттракионов, зимние развитые типа Люскус и др. присущие городам миллионникам")</f>
        <v>Чистый воздух, дороги и парковки, парки и места отдыха, большие ТЦ типа Планета, большие места развлечения типа Аквапарк, Парк аттракионов, зимние развитые типа Люскус и др. присущие городам миллионникам</v>
      </c>
      <c r="O463" s="6" t="str">
        <f>IFERROR(__xludf.DUMMYFUNCTION("""COMPUTED_VALUE"""),"Архитектура в каком то едином стиле, а не как щас, каждый новый дом или здание кардинально отличается друг от друга. ")</f>
        <v>Архитектура в каком то едином стиле, а не как щас, каждый новый дом или здание кардинально отличается друг от друга. </v>
      </c>
      <c r="P463" s="6" t="str">
        <f>IFERROR(__xludf.DUMMYFUNCTION("""COMPUTED_VALUE"""),"ВК инста, паблики типа ТК")</f>
        <v>ВК инста, паблики типа ТК</v>
      </c>
      <c r="Q463"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463" s="6" t="str">
        <f>IFERROR(__xludf.DUMMYFUNCTION("""COMPUTED_VALUE"""),"День победы, новый год, день города, ")</f>
        <v>День победы, новый год, день города, </v>
      </c>
      <c r="S463"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v>
      </c>
      <c r="T463" s="6" t="str">
        <f>IFERROR(__xludf.DUMMYFUNCTION("""COMPUTED_VALUE"""),"Как отвечают люди: У вас Тулеев же там, шахты, уголь и Зимняя вишня")</f>
        <v>Как отвечают люди: У вас Тулеев же там, шахты, уголь и Зимняя вишня</v>
      </c>
      <c r="U463" s="6" t="str">
        <f>IFERROR(__xludf.DUMMYFUNCTION("""COMPUTED_VALUE"""),"Набережная и весенняя улица")</f>
        <v>Набережная и весенняя улица</v>
      </c>
      <c r="V463" s="6" t="str">
        <f>IFERROR(__xludf.DUMMYFUNCTION("""COMPUTED_VALUE"""),"-")</f>
        <v>-</v>
      </c>
      <c r="W463" s="6" t="str">
        <f>IFERROR(__xludf.DUMMYFUNCTION("""COMPUTED_VALUE"""),"Не вижу ярких отличий ")</f>
        <v>Не вижу ярких отличий </v>
      </c>
      <c r="X463" s="6" t="str">
        <f>IFERROR(__xludf.DUMMYFUNCTION("""COMPUTED_VALUE"""),"Весенняя, набережная, советский, площадь. ")</f>
        <v>Весенняя, набережная, советский, площадь. </v>
      </c>
      <c r="Y463" s="6" t="str">
        <f>IFERROR(__xludf.DUMMYFUNCTION("""COMPUTED_VALUE"""),"ЧМ по хоккею с мячем ")</f>
        <v>ЧМ по хоккею с мячем </v>
      </c>
      <c r="Z463" s="6" t="str">
        <f>IFERROR(__xludf.DUMMYFUNCTION("""COMPUTED_VALUE"""),"Строительства большого количесетва масштабных объектов, типа ледовой арены и др. ")</f>
        <v>Строительства большого количесетва масштабных объектов, типа ледовой арены и др. </v>
      </c>
      <c r="AA463" s="6" t="str">
        <f>IFERROR(__xludf.DUMMYFUNCTION("""COMPUTED_VALUE"""),"Зимняя вишня")</f>
        <v>Зимняя вишня</v>
      </c>
      <c r="AB463" s="6" t="str">
        <f>IFERROR(__xludf.DUMMYFUNCTION("""COMPUTED_VALUE"""),"-")</f>
        <v>-</v>
      </c>
      <c r="AC463" s="6" t="str">
        <f>IFERROR(__xludf.DUMMYFUNCTION("""COMPUTED_VALUE"""),"Большие концерты и фестивали различной тематики направленные на жителей 20-40 лет. Аналоги крупейших мероприятий, как были Герои рока. ")</f>
        <v>Большие концерты и фестивали различной тематики направленные на жителей 20-40 лет. Аналоги крупейших мероприятий, как были Герои рока. </v>
      </c>
      <c r="AD463" s="6" t="str">
        <f>IFERROR(__xludf.DUMMYFUNCTION("""COMPUTED_VALUE"""),"Участие в организации ")</f>
        <v>Участие в организации </v>
      </c>
      <c r="AE463" s="6" t="str">
        <f>IFERROR(__xludf.DUMMYFUNCTION("""COMPUTED_VALUE"""),"Мужской")</f>
        <v>Мужской</v>
      </c>
      <c r="AF463" s="6" t="str">
        <f>IFERROR(__xludf.DUMMYFUNCTION("""COMPUTED_VALUE"""),"30-44")</f>
        <v>30-44</v>
      </c>
      <c r="AG463" s="6"/>
      <c r="AH463" s="6"/>
      <c r="AI463" s="6"/>
      <c r="AJ463" s="6"/>
      <c r="AK463" s="6"/>
      <c r="AL463" s="6"/>
      <c r="AM463" s="6"/>
    </row>
    <row r="464">
      <c r="A464" s="6">
        <v>463.0</v>
      </c>
      <c r="B464" s="6" t="str">
        <f>IFERROR(__xludf.DUMMYFUNCTION("""COMPUTED_VALUE"""),"Работник библиотеки")</f>
        <v>Работник библиотеки</v>
      </c>
      <c r="C464" s="6" t="str">
        <f>IFERROR(__xludf.DUMMYFUNCTION("""COMPUTED_VALUE"""),"Чтение, кулинария, садоводство, путешествия")</f>
        <v>Чтение, кулинария, садоводство, путешествия</v>
      </c>
      <c r="D464" s="6" t="str">
        <f>IFERROR(__xludf.DUMMYFUNCTION("""COMPUTED_VALUE"""),"Центральный район")</f>
        <v>Центральный район</v>
      </c>
      <c r="E464" s="6" t="str">
        <f>IFERROR(__xludf.DUMMYFUNCTION("""COMPUTED_VALUE"""),"Памятник Михайло Волкову, Мемориал славы, Парк чудес")</f>
        <v>Памятник Михайло Волкову, Мемориал славы, Парк чудес</v>
      </c>
      <c r="F464" s="6" t="str">
        <f>IFERROR(__xludf.DUMMYFUNCTION("""COMPUTED_VALUE"""),"Не живу,но приезжаю сюда (к родственникам/друзьям)")</f>
        <v>Не живу,но приезжаю сюда (к родственникам/друзьям)</v>
      </c>
      <c r="G464" s="6" t="str">
        <f>IFERROR(__xludf.DUMMYFUNCTION("""COMPUTED_VALUE"""),"Парк культуры, набережная, Парк ангелов, Монумент «Память шахтерам Кузбасса»")</f>
        <v>Парк культуры, набережная, Парк ангелов, Монумент «Память шахтерам Кузбасса»</v>
      </c>
      <c r="H464" s="6" t="str">
        <f>IFERROR(__xludf.DUMMYFUNCTION("""COMPUTED_VALUE"""),"современный, молодежный, красивый, перспективный, спортивный")</f>
        <v>современный, молодежный, красивый, перспективный, спортивный</v>
      </c>
      <c r="I464" s="6" t="str">
        <f>IFERROR(__xludf.DUMMYFUNCTION("""COMPUTED_VALUE"""),"Вера Волошина, Николай Масалов")</f>
        <v>Вера Волошина, Николай Масалов</v>
      </c>
      <c r="J464" s="6" t="str">
        <f>IFERROR(__xludf.DUMMYFUNCTION("""COMPUTED_VALUE"""),"Евгений Гришковец, Василий Федоров, Алексей Леонов, Аман Тулеев, Сергей Цивилев ")</f>
        <v>Евгений Гришковец, Василий Федоров, Алексей Леонов, Аман Тулеев, Сергей Цивилев </v>
      </c>
      <c r="K464" s="6" t="str">
        <f>IFERROR(__xludf.DUMMYFUNCTION("""COMPUTED_VALUE"""),"музей-заповедник ""Красная горка"", Парк ангелов, Мемориал славы")</f>
        <v>музей-заповедник "Красная горка", Парк ангелов, Мемориал славы</v>
      </c>
      <c r="L464" s="6" t="str">
        <f>IFERROR(__xludf.DUMMYFUNCTION("""COMPUTED_VALUE"""),"Не знаю")</f>
        <v>Не знаю</v>
      </c>
      <c r="M464" s="6" t="str">
        <f>IFERROR(__xludf.DUMMYFUNCTION("""COMPUTED_VALUE"""),"Слово ""шибко""")</f>
        <v>Слово "шибко"</v>
      </c>
      <c r="N464" s="6" t="str">
        <f>IFERROR(__xludf.DUMMYFUNCTION("""COMPUTED_VALUE"""),"Много парков, скверов, уютных кафе")</f>
        <v>Много парков, скверов, уютных кафе</v>
      </c>
      <c r="O464" s="6" t="str">
        <f>IFERROR(__xludf.DUMMYFUNCTION("""COMPUTED_VALUE"""),"Заняться благоустройством старых районов, Заводского района, например")</f>
        <v>Заняться благоустройством старых районов, Заводского района, например</v>
      </c>
      <c r="P464" s="6" t="str">
        <f>IFERROR(__xludf.DUMMYFUNCTION("""COMPUTED_VALUE"""),"Телеканал ""Включайся""")</f>
        <v>Телеканал "Включайся"</v>
      </c>
      <c r="Q464"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464" s="6" t="str">
        <f>IFERROR(__xludf.DUMMYFUNCTION("""COMPUTED_VALUE"""),"День города, День шахтера, Новый год")</f>
        <v>День города, День шахтера, Новый год</v>
      </c>
      <c r="S464" s="6" t="str">
        <f>IFERROR(__xludf.DUMMYFUNCTION("""COMPUTED_VALUE"""),"Нет, не приходилось")</f>
        <v>Нет, не приходилось</v>
      </c>
      <c r="T464" s="6" t="str">
        <f>IFERROR(__xludf.DUMMYFUNCTION("""COMPUTED_VALUE"""),"Город имеет свою уникальную историю, много интересных памятников, музеев, современные здания")</f>
        <v>Город имеет свою уникальную историю, много интересных памятников, музеев, современные здания</v>
      </c>
      <c r="U464" s="6" t="str">
        <f>IFERROR(__xludf.DUMMYFUNCTION("""COMPUTED_VALUE"""),"Площадь Советов")</f>
        <v>Площадь Советов</v>
      </c>
      <c r="V464" s="6" t="str">
        <f>IFERROR(__xludf.DUMMYFUNCTION("""COMPUTED_VALUE"""),"Построили город, прославили его своими делами")</f>
        <v>Построили город, прославили его своими делами</v>
      </c>
      <c r="W464" s="6" t="str">
        <f>IFERROR(__xludf.DUMMYFUNCTION("""COMPUTED_VALUE"""),"Вечно спешащие куда-то, но готовые придти на помощь, если потребуется")</f>
        <v>Вечно спешащие куда-то, но готовые придти на помощь, если потребуется</v>
      </c>
      <c r="X464" s="6" t="str">
        <f>IFERROR(__xludf.DUMMYFUNCTION("""COMPUTED_VALUE"""),"начиная с Парка чудес, прогуляться по набережной, далее по улице Весенней до Парка Ангелов")</f>
        <v>начиная с Парка чудес, прогуляться по набережной, далее по улице Весенней до Парка Ангелов</v>
      </c>
      <c r="Y464" s="6" t="str">
        <f>IFERROR(__xludf.DUMMYFUNCTION("""COMPUTED_VALUE"""),"Строительство Парка Ангелов")</f>
        <v>Строительство Парка Ангелов</v>
      </c>
      <c r="Z464" s="6" t="str">
        <f>IFERROR(__xludf.DUMMYFUNCTION("""COMPUTED_VALUE"""),"Подготовка к 300-летию Кузбасса: строительство стадиона, новых культурных объектов, организация множества мероприятий, выставок к этой дате.")</f>
        <v>Подготовка к 300-летию Кузбасса: строительство стадиона, новых культурных объектов, организация множества мероприятий, выставок к этой дате.</v>
      </c>
      <c r="AA464" s="6" t="str">
        <f>IFERROR(__xludf.DUMMYFUNCTION("""COMPUTED_VALUE"""),"Не припомню")</f>
        <v>Не припомню</v>
      </c>
      <c r="AB464" s="6" t="str">
        <f>IFERROR(__xludf.DUMMYFUNCTION("""COMPUTED_VALUE"""),"Для людей пенсионного возраста")</f>
        <v>Для людей пенсионного возраста</v>
      </c>
      <c r="AC464" s="6" t="str">
        <f>IFERROR(__xludf.DUMMYFUNCTION("""COMPUTED_VALUE"""),"То же самое: хочется, чтобы проводились мероприятия конкретно для лиц пенсионного возраста: какие-то вечера, тематические вечеринки, встречи с интересными людьми")</f>
        <v>То же самое: хочется, чтобы проводились мероприятия конкретно для лиц пенсионного возраста: какие-то вечера, тематические вечеринки, встречи с интересными людьми</v>
      </c>
      <c r="AD464" s="6" t="str">
        <f>IFERROR(__xludf.DUMMYFUNCTION("""COMPUTED_VALUE"""),"В любой")</f>
        <v>В любой</v>
      </c>
      <c r="AE464" s="6" t="str">
        <f>IFERROR(__xludf.DUMMYFUNCTION("""COMPUTED_VALUE"""),"Женский")</f>
        <v>Женский</v>
      </c>
      <c r="AF464" s="6" t="str">
        <f>IFERROR(__xludf.DUMMYFUNCTION("""COMPUTED_VALUE"""),"старше 55")</f>
        <v>старше 55</v>
      </c>
      <c r="AG464" s="6"/>
      <c r="AH464" s="6"/>
      <c r="AI464" s="6"/>
      <c r="AJ464" s="6"/>
      <c r="AK464" s="6"/>
      <c r="AL464" s="6"/>
      <c r="AM464" s="6"/>
    </row>
    <row r="465">
      <c r="A465" s="6">
        <v>464.0</v>
      </c>
      <c r="B465" s="6" t="str">
        <f>IFERROR(__xludf.DUMMYFUNCTION("""COMPUTED_VALUE"""),"Разработка IT продуктов")</f>
        <v>Разработка IT продуктов</v>
      </c>
      <c r="C465" s="6" t="str">
        <f>IFERROR(__xludf.DUMMYFUNCTION("""COMPUTED_VALUE"""),"Программирование, туризм, спорт")</f>
        <v>Программирование, туризм, спорт</v>
      </c>
      <c r="D465" s="6" t="str">
        <f>IFERROR(__xludf.DUMMYFUNCTION("""COMPUTED_VALUE"""),"Центральный, центр")</f>
        <v>Центральный, центр</v>
      </c>
      <c r="E465" s="6" t="str">
        <f>IFERROR(__xludf.DUMMYFUNCTION("""COMPUTED_VALUE"""),"Парки")</f>
        <v>Парки</v>
      </c>
      <c r="F465" s="6" t="str">
        <f>IFERROR(__xludf.DUMMYFUNCTION("""COMPUTED_VALUE"""),"Переехал сюда из другого места (откуда? укажите в графе другое), Анжеро-Судженск ")</f>
        <v>Переехал сюда из другого места (откуда? укажите в графе другое), Анжеро-Судженск </v>
      </c>
      <c r="G465" s="6" t="str">
        <f>IFERROR(__xludf.DUMMYFUNCTION("""COMPUTED_VALUE"""),"Кионтеатр, театр, музеи")</f>
        <v>Кионтеатр, театр, музеи</v>
      </c>
      <c r="H465" s="6" t="str">
        <f>IFERROR(__xludf.DUMMYFUNCTION("""COMPUTED_VALUE"""),"Грязь, пыль, выбросы, грусть, тоска ")</f>
        <v>Грязь, пыль, выбросы, грусть, тоска </v>
      </c>
      <c r="I465" s="6" t="str">
        <f>IFERROR(__xludf.DUMMYFUNCTION("""COMPUTED_VALUE"""),"-")</f>
        <v>-</v>
      </c>
      <c r="J465" s="6" t="str">
        <f>IFERROR(__xludf.DUMMYFUNCTION("""COMPUTED_VALUE"""),"-")</f>
        <v>-</v>
      </c>
      <c r="K465" s="6" t="str">
        <f>IFERROR(__xludf.DUMMYFUNCTION("""COMPUTED_VALUE"""),"Крест, табличка Кемерово, набережная ")</f>
        <v>Крест, табличка Кемерово, набережная </v>
      </c>
      <c r="L465" s="6" t="str">
        <f>IFERROR(__xludf.DUMMYFUNCTION("""COMPUTED_VALUE"""),"-")</f>
        <v>-</v>
      </c>
      <c r="M465" s="6" t="str">
        <f>IFERROR(__xludf.DUMMYFUNCTION("""COMPUTED_VALUE"""),"Шаурмичка")</f>
        <v>Шаурмичка</v>
      </c>
      <c r="N465" s="6" t="str">
        <f>IFERROR(__xludf.DUMMYFUNCTION("""COMPUTED_VALUE"""),"Чистота, позитивные и добрые люди, цены на недвижимость, наличие развлечений")</f>
        <v>Чистота, позитивные и добрые люди, цены на недвижимость, наличие развлечений</v>
      </c>
      <c r="O465" s="6" t="str">
        <f>IFERROR(__xludf.DUMMYFUNCTION("""COMPUTED_VALUE"""),"Прибраться")</f>
        <v>Прибраться</v>
      </c>
      <c r="P465" s="6" t="str">
        <f>IFERROR(__xludf.DUMMYFUNCTION("""COMPUTED_VALUE"""),"Вк")</f>
        <v>Вк</v>
      </c>
      <c r="Q465" s="6" t="str">
        <f>IFERROR(__xludf.DUMMYFUNCTION("""COMPUTED_VALUE"""),"куда пойти в свободное время, где вкусно поесть/открытие новых кафе/ресторанов, результаты местных исследований (рейтинги/аналитика/тенденции)")</f>
        <v>куда пойти в свободное время, где вкусно поесть/открытие новых кафе/ресторанов, результаты местных исследований (рейтинги/аналитика/тенденции)</v>
      </c>
      <c r="R465" s="6" t="str">
        <f>IFERROR(__xludf.DUMMYFUNCTION("""COMPUTED_VALUE"""),"9 мая, день города, день шахтера")</f>
        <v>9 мая, день города, день шахтера</v>
      </c>
      <c r="S465" s="6" t="str">
        <f>IFERROR(__xludf.DUMMYFUNCTION("""COMPUTED_VALUE"""),"Нет, не приходилось")</f>
        <v>Нет, не приходилось</v>
      </c>
      <c r="T465" s="6" t="str">
        <f>IFERROR(__xludf.DUMMYFUNCTION("""COMPUTED_VALUE"""),"Уголь")</f>
        <v>Уголь</v>
      </c>
      <c r="U465" s="6" t="str">
        <f>IFERROR(__xludf.DUMMYFUNCTION("""COMPUTED_VALUE"""),"Место рядом с kfc")</f>
        <v>Место рядом с kfc</v>
      </c>
      <c r="V465" s="6" t="str">
        <f>IFERROR(__xludf.DUMMYFUNCTION("""COMPUTED_VALUE"""),"Шахтерское ремесло")</f>
        <v>Шахтерское ремесло</v>
      </c>
      <c r="W465" s="6" t="str">
        <f>IFERROR(__xludf.DUMMYFUNCTION("""COMPUTED_VALUE"""),"Грустные, недовольные, злые")</f>
        <v>Грустные, недовольные, злые</v>
      </c>
      <c r="X465" s="6" t="str">
        <f>IFERROR(__xludf.DUMMYFUNCTION("""COMPUTED_VALUE"""),"Набережная ")</f>
        <v>Набережная </v>
      </c>
      <c r="Y465" s="6" t="str">
        <f>IFERROR(__xludf.DUMMYFUNCTION("""COMPUTED_VALUE"""),"300 лет скоро")</f>
        <v>300 лет скоро</v>
      </c>
      <c r="Z465" s="6" t="str">
        <f>IFERROR(__xludf.DUMMYFUNCTION("""COMPUTED_VALUE"""),"-")</f>
        <v>-</v>
      </c>
      <c r="AA465" s="6" t="str">
        <f>IFERROR(__xludf.DUMMYFUNCTION("""COMPUTED_VALUE"""),"Зачем менять дороги каждые пол года, если они и так в порядке")</f>
        <v>Зачем менять дороги каждые пол года, если они и так в порядке</v>
      </c>
      <c r="AB465" s="6" t="str">
        <f>IFERROR(__xludf.DUMMYFUNCTION("""COMPUTED_VALUE"""),"-")</f>
        <v>-</v>
      </c>
      <c r="AC465" s="6" t="str">
        <f>IFERROR(__xludf.DUMMYFUNCTION("""COMPUTED_VALUE"""),"Больше мест развлечений ")</f>
        <v>Больше мест развлечений </v>
      </c>
      <c r="AD465" s="6" t="str">
        <f>IFERROR(__xludf.DUMMYFUNCTION("""COMPUTED_VALUE"""),"Не хотел бы")</f>
        <v>Не хотел бы</v>
      </c>
      <c r="AE465" s="6" t="str">
        <f>IFERROR(__xludf.DUMMYFUNCTION("""COMPUTED_VALUE"""),"Мужской")</f>
        <v>Мужской</v>
      </c>
      <c r="AF465" s="6" t="str">
        <f>IFERROR(__xludf.DUMMYFUNCTION("""COMPUTED_VALUE"""),"18-29")</f>
        <v>18-29</v>
      </c>
      <c r="AG465" s="6"/>
      <c r="AH465" s="6"/>
      <c r="AI465" s="6"/>
      <c r="AJ465" s="6"/>
      <c r="AK465" s="6"/>
      <c r="AL465" s="6"/>
      <c r="AM465" s="6"/>
    </row>
    <row r="466">
      <c r="A466" s="6">
        <v>465.0</v>
      </c>
      <c r="B466" s="6" t="str">
        <f>IFERROR(__xludf.DUMMYFUNCTION("""COMPUTED_VALUE"""),"дизайном")</f>
        <v>дизайном</v>
      </c>
      <c r="C466" s="6" t="str">
        <f>IFERROR(__xludf.DUMMYFUNCTION("""COMPUTED_VALUE"""),"рисование")</f>
        <v>рисование</v>
      </c>
      <c r="D466" s="6" t="str">
        <f>IFERROR(__xludf.DUMMYFUNCTION("""COMPUTED_VALUE"""),"Заводский, ""за вокзалом""")</f>
        <v>Заводский, "за вокзалом"</v>
      </c>
      <c r="E466" s="6" t="str">
        <f>IFERROR(__xludf.DUMMYFUNCTION("""COMPUTED_VALUE"""),"для меня их нет")</f>
        <v>для меня их нет</v>
      </c>
      <c r="F466" s="6" t="str">
        <f>IFERROR(__xludf.DUMMYFUNCTION("""COMPUTED_VALUE"""),"Живу здесь с рождения")</f>
        <v>Живу здесь с рождения</v>
      </c>
      <c r="G466" s="6" t="str">
        <f>IFERROR(__xludf.DUMMYFUNCTION("""COMPUTED_VALUE"""),"центр города")</f>
        <v>центр города</v>
      </c>
      <c r="H466" s="6" t="str">
        <f>IFERROR(__xludf.DUMMYFUNCTION("""COMPUTED_VALUE"""),"дым, грязный снег, умирающий, серость, надежда")</f>
        <v>дым, грязный снег, умирающий, серость, надежда</v>
      </c>
      <c r="I466" s="6" t="str">
        <f>IFERROR(__xludf.DUMMYFUNCTION("""COMPUTED_VALUE"""),"Подгорбунский, Мартемьянов, Кирчанов, Павел Чернов, Моисеенко ")</f>
        <v>Подгорбунский, Мартемьянов, Кирчанов, Павел Чернов, Моисеенко </v>
      </c>
      <c r="J466" s="6" t="str">
        <f>IFERROR(__xludf.DUMMYFUNCTION("""COMPUTED_VALUE"""),"В. Михайлов, И. Середюк")</f>
        <v>В. Михайлов, И. Середюк</v>
      </c>
      <c r="K466" s="6" t="str">
        <f>IFERROR(__xludf.DUMMYFUNCTION("""COMPUTED_VALUE"""),"памятник Шахтерам (Э. Неизвестный), Красная горка, ул. Весенняя, Набережная, пл. Волкова")</f>
        <v>памятник Шахтерам (Э. Неизвестный), Красная горка, ул. Весенняя, Набережная, пл. Волкова</v>
      </c>
      <c r="L466" s="6" t="str">
        <f>IFERROR(__xludf.DUMMYFUNCTION("""COMPUTED_VALUE"""),"не знаю")</f>
        <v>не знаю</v>
      </c>
      <c r="M466" s="6" t="str">
        <f>IFERROR(__xludf.DUMMYFUNCTION("""COMPUTED_VALUE"""),"не знаю")</f>
        <v>не знаю</v>
      </c>
      <c r="N466" s="6" t="str">
        <f>IFERROR(__xludf.DUMMYFUNCTION("""COMPUTED_VALUE"""),"чистота, зелень, детские площадки, удобные парковки, парки, чистые ровные дороги, красивые фасады домов (ухоженные) снаружи и с дворовой части, дворовые территории с отдельной или подземной парковкой, со спортивными и детскими площадками")</f>
        <v>чистота, зелень, детские площадки, удобные парковки, парки, чистые ровные дороги, красивые фасады домов (ухоженные) снаружи и с дворовой части, дворовые территории с отдельной или подземной парковкой, со спортивными и детскими площадками</v>
      </c>
      <c r="O466" s="6" t="str">
        <f>IFERROR(__xludf.DUMMYFUNCTION("""COMPUTED_VALUE"""),"дороги, места для парковки, ремонт фасадов зданий")</f>
        <v>дороги, места для парковки, ремонт фасадов зданий</v>
      </c>
      <c r="P466" s="6" t="str">
        <f>IFERROR(__xludf.DUMMYFUNCTION("""COMPUTED_VALUE"""),"яндекс, фейсбук")</f>
        <v>яндекс, фейсбук</v>
      </c>
      <c r="Q46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v>
      </c>
      <c r="R466" s="6" t="str">
        <f>IFERROR(__xludf.DUMMYFUNCTION("""COMPUTED_VALUE"""),"9 мая, день города, новый год, день шахтера")</f>
        <v>9 мая, день города, новый год, день шахтера</v>
      </c>
      <c r="S466" s="6" t="str">
        <f>IFERROR(__xludf.DUMMYFUNCTION("""COMPUTED_VALUE"""),"Делал рассылку по электронной почте, Обращался в редакции электронных городских СМИ, Обращался в редакции городских газет, телевидения, радио")</f>
        <v>Делал рассылку по электронной почте, Обращался в редакции электронных городских СМИ, Обращался в редакции городских газет, телевидения, радио</v>
      </c>
      <c r="T466" s="6" t="str">
        <f>IFERROR(__xludf.DUMMYFUNCTION("""COMPUTED_VALUE"""),"историей")</f>
        <v>историей</v>
      </c>
      <c r="U466" s="6" t="str">
        <f>IFERROR(__xludf.DUMMYFUNCTION("""COMPUTED_VALUE"""),"пл. Волкова")</f>
        <v>пл. Волкова</v>
      </c>
      <c r="V466" s="6" t="str">
        <f>IFERROR(__xludf.DUMMYFUNCTION("""COMPUTED_VALUE"""),"построили город, заводы")</f>
        <v>построили город, заводы</v>
      </c>
      <c r="W466" s="6" t="str">
        <f>IFERROR(__xludf.DUMMYFUNCTION("""COMPUTED_VALUE"""),"широта души, суровые, но в то же время добрые и справедливые")</f>
        <v>широта души, суровые, но в то же время добрые и справедливые</v>
      </c>
      <c r="X466" s="6" t="str">
        <f>IFERROR(__xludf.DUMMYFUNCTION("""COMPUTED_VALUE"""),"Красная горка")</f>
        <v>Красная горка</v>
      </c>
      <c r="Y466" s="6" t="str">
        <f>IFERROR(__xludf.DUMMYFUNCTION("""COMPUTED_VALUE"""),"работа заводов в ВОВ")</f>
        <v>работа заводов в ВОВ</v>
      </c>
      <c r="Z466" s="6" t="str">
        <f>IFERROR(__xludf.DUMMYFUNCTION("""COMPUTED_VALUE"""),"ворлдскиллс")</f>
        <v>ворлдскиллс</v>
      </c>
      <c r="AA466" s="6" t="str">
        <f>IFERROR(__xludf.DUMMYFUNCTION("""COMPUTED_VALUE"""),"лечение и постановка диагноза при коронавирусе")</f>
        <v>лечение и постановка диагноза при коронавирусе</v>
      </c>
      <c r="AB466" s="6" t="str">
        <f>IFERROR(__xludf.DUMMYFUNCTION("""COMPUTED_VALUE"""),"все хватает")</f>
        <v>все хватает</v>
      </c>
      <c r="AC466" s="6" t="str">
        <f>IFERROR(__xludf.DUMMYFUNCTION("""COMPUTED_VALUE"""),"благоустройства")</f>
        <v>благоустройства</v>
      </c>
      <c r="AD466" s="6" t="str">
        <f>IFERROR(__xludf.DUMMYFUNCTION("""COMPUTED_VALUE"""),"субботниках")</f>
        <v>субботниках</v>
      </c>
      <c r="AE466" s="6" t="str">
        <f>IFERROR(__xludf.DUMMYFUNCTION("""COMPUTED_VALUE"""),"Женский")</f>
        <v>Женский</v>
      </c>
      <c r="AF466" s="6" t="str">
        <f>IFERROR(__xludf.DUMMYFUNCTION("""COMPUTED_VALUE"""),"45-55")</f>
        <v>45-55</v>
      </c>
      <c r="AG466" s="6"/>
      <c r="AH466" s="6"/>
      <c r="AI466" s="6"/>
      <c r="AJ466" s="6"/>
      <c r="AK466" s="6"/>
      <c r="AL466" s="6"/>
      <c r="AM466" s="6"/>
    </row>
    <row r="467">
      <c r="A467" s="6">
        <v>466.0</v>
      </c>
      <c r="B467" s="6" t="str">
        <f>IFERROR(__xludf.DUMMYFUNCTION("""COMPUTED_VALUE"""),"работаю ")</f>
        <v>работаю </v>
      </c>
      <c r="C467" s="6" t="str">
        <f>IFERROR(__xludf.DUMMYFUNCTION("""COMPUTED_VALUE"""),"спорт")</f>
        <v>спорт</v>
      </c>
      <c r="D467" s="6" t="str">
        <f>IFERROR(__xludf.DUMMYFUNCTION("""COMPUTED_VALUE"""),"центр ")</f>
        <v>центр </v>
      </c>
      <c r="E467" s="6" t="str">
        <f>IFERROR(__xludf.DUMMYFUNCTION("""COMPUTED_VALUE"""),"набережная ")</f>
        <v>набережная </v>
      </c>
      <c r="F467" s="6" t="str">
        <f>IFERROR(__xludf.DUMMYFUNCTION("""COMPUTED_VALUE"""),"Переехал сюда из другого места (откуда? укажите в графе другое), Беловский район")</f>
        <v>Переехал сюда из другого места (откуда? укажите в графе другое), Беловский район</v>
      </c>
      <c r="G467" s="6" t="str">
        <f>IFERROR(__xludf.DUMMYFUNCTION("""COMPUTED_VALUE"""),"набережная")</f>
        <v>набережная</v>
      </c>
      <c r="H467" s="6" t="str">
        <f>IFERROR(__xludf.DUMMYFUNCTION("""COMPUTED_VALUE"""),"уголь шахтёр театр филармония ")</f>
        <v>уголь шахтёр театр филармония </v>
      </c>
      <c r="I467" s="6" t="str">
        <f>IFERROR(__xludf.DUMMYFUNCTION("""COMPUTED_VALUE"""),"нет")</f>
        <v>нет</v>
      </c>
      <c r="J467" s="6" t="str">
        <f>IFERROR(__xludf.DUMMYFUNCTION("""COMPUTED_VALUE"""),"нет")</f>
        <v>нет</v>
      </c>
      <c r="K467" s="6" t="str">
        <f>IFERROR(__xludf.DUMMYFUNCTION("""COMPUTED_VALUE"""),"красная горка")</f>
        <v>красная горка</v>
      </c>
      <c r="L467" s="6" t="str">
        <f>IFERROR(__xludf.DUMMYFUNCTION("""COMPUTED_VALUE"""),"нет")</f>
        <v>нет</v>
      </c>
      <c r="M467" s="6" t="str">
        <f>IFERROR(__xludf.DUMMYFUNCTION("""COMPUTED_VALUE"""),"нет")</f>
        <v>нет</v>
      </c>
      <c r="N467" s="6" t="str">
        <f>IFERROR(__xludf.DUMMYFUNCTION("""COMPUTED_VALUE"""),"нет")</f>
        <v>нет</v>
      </c>
      <c r="O467" s="6" t="str">
        <f>IFERROR(__xludf.DUMMYFUNCTION("""COMPUTED_VALUE"""),"чистота дорог и дворов ")</f>
        <v>чистота дорог и дворов </v>
      </c>
      <c r="P467" s="6" t="str">
        <f>IFERROR(__xludf.DUMMYFUNCTION("""COMPUTED_VALUE"""),"интернет")</f>
        <v>интернет</v>
      </c>
      <c r="Q467" s="6" t="str">
        <f>IFERROR(__xludf.DUMMYFUNCTION("""COMPUTED_VALUE"""),"новости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f>
        <v>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467" s="6" t="str">
        <f>IFERROR(__xludf.DUMMYFUNCTION("""COMPUTED_VALUE"""),"масленница ")</f>
        <v>масленница </v>
      </c>
      <c r="S467" s="6" t="str">
        <f>IFERROR(__xludf.DUMMYFUNCTION("""COMPUTED_VALUE"""),"Нет, не приходилось")</f>
        <v>Нет, не приходилось</v>
      </c>
      <c r="T467" s="6" t="str">
        <f>IFERROR(__xludf.DUMMYFUNCTION("""COMPUTED_VALUE"""),"площадь советов ")</f>
        <v>площадь советов </v>
      </c>
      <c r="U467" s="6" t="str">
        <f>IFERROR(__xludf.DUMMYFUNCTION("""COMPUTED_VALUE"""),"набережная ")</f>
        <v>набережная </v>
      </c>
      <c r="V467" s="6" t="str">
        <f>IFERROR(__xludf.DUMMYFUNCTION("""COMPUTED_VALUE"""),"нет ")</f>
        <v>нет </v>
      </c>
      <c r="W467" s="6" t="str">
        <f>IFERROR(__xludf.DUMMYFUNCTION("""COMPUTED_VALUE"""),"выносливые добрые смелые")</f>
        <v>выносливые добрые смелые</v>
      </c>
      <c r="X467" s="6" t="str">
        <f>IFERROR(__xludf.DUMMYFUNCTION("""COMPUTED_VALUE"""),"центр ")</f>
        <v>центр </v>
      </c>
      <c r="Y467" s="6" t="str">
        <f>IFERROR(__xludf.DUMMYFUNCTION("""COMPUTED_VALUE"""),"нет ")</f>
        <v>нет </v>
      </c>
      <c r="Z467" s="6" t="str">
        <f>IFERROR(__xludf.DUMMYFUNCTION("""COMPUTED_VALUE"""),"нет")</f>
        <v>нет</v>
      </c>
      <c r="AA467" s="6" t="str">
        <f>IFERROR(__xludf.DUMMYFUNCTION("""COMPUTED_VALUE"""),"зимняя вишня ")</f>
        <v>зимняя вишня </v>
      </c>
      <c r="AB467" s="6" t="str">
        <f>IFERROR(__xludf.DUMMYFUNCTION("""COMPUTED_VALUE"""),"нет")</f>
        <v>нет</v>
      </c>
      <c r="AC467" s="6" t="str">
        <f>IFERROR(__xludf.DUMMYFUNCTION("""COMPUTED_VALUE"""),"нет ")</f>
        <v>нет </v>
      </c>
      <c r="AD467" s="6" t="str">
        <f>IFERROR(__xludf.DUMMYFUNCTION("""COMPUTED_VALUE"""),"участник ")</f>
        <v>участник </v>
      </c>
      <c r="AE467" s="6" t="str">
        <f>IFERROR(__xludf.DUMMYFUNCTION("""COMPUTED_VALUE"""),"Женский")</f>
        <v>Женский</v>
      </c>
      <c r="AF467" s="6" t="str">
        <f>IFERROR(__xludf.DUMMYFUNCTION("""COMPUTED_VALUE"""),"45-55")</f>
        <v>45-55</v>
      </c>
      <c r="AG467" s="6"/>
      <c r="AH467" s="6"/>
      <c r="AI467" s="6"/>
      <c r="AJ467" s="6"/>
      <c r="AK467" s="6"/>
      <c r="AL467" s="6"/>
      <c r="AM467" s="6"/>
    </row>
    <row r="468">
      <c r="A468" s="6">
        <v>467.0</v>
      </c>
      <c r="B468" s="6" t="str">
        <f>IFERROR(__xludf.DUMMYFUNCTION("""COMPUTED_VALUE"""),"Студент")</f>
        <v>Студент</v>
      </c>
      <c r="C468" s="6" t="str">
        <f>IFERROR(__xludf.DUMMYFUNCTION("""COMPUTED_VALUE"""),"Спорт")</f>
        <v>Спорт</v>
      </c>
      <c r="D468" s="6" t="str">
        <f>IFERROR(__xludf.DUMMYFUNCTION("""COMPUTED_VALUE"""),"Кировский")</f>
        <v>Кировский</v>
      </c>
      <c r="E468" s="6" t="str">
        <f>IFERROR(__xludf.DUMMYFUNCTION("""COMPUTED_VALUE"""),"Набережная")</f>
        <v>Набережная</v>
      </c>
      <c r="F468" s="6" t="str">
        <f>IFERROR(__xludf.DUMMYFUNCTION("""COMPUTED_VALUE"""),"Живу здесь с рождения")</f>
        <v>Живу здесь с рождения</v>
      </c>
      <c r="G468" s="6" t="str">
        <f>IFERROR(__xludf.DUMMYFUNCTION("""COMPUTED_VALUE"""),"Парк")</f>
        <v>Парк</v>
      </c>
      <c r="H468" s="6" t="str">
        <f>IFERROR(__xludf.DUMMYFUNCTION("""COMPUTED_VALUE"""),"а б в г д")</f>
        <v>а б в г д</v>
      </c>
      <c r="I468" s="6" t="str">
        <f>IFERROR(__xludf.DUMMYFUNCTION("""COMPUTED_VALUE"""),"Гагарин")</f>
        <v>Гагарин</v>
      </c>
      <c r="J468" s="6" t="str">
        <f>IFERROR(__xludf.DUMMYFUNCTION("""COMPUTED_VALUE"""),"Не знаю")</f>
        <v>Не знаю</v>
      </c>
      <c r="K468" s="6" t="str">
        <f>IFERROR(__xludf.DUMMYFUNCTION("""COMPUTED_VALUE"""),"Парк чудес")</f>
        <v>Парк чудес</v>
      </c>
      <c r="L468" s="6" t="str">
        <f>IFERROR(__xludf.DUMMYFUNCTION("""COMPUTED_VALUE"""),"Не знаю")</f>
        <v>Не знаю</v>
      </c>
      <c r="M468" s="6" t="str">
        <f>IFERROR(__xludf.DUMMYFUNCTION("""COMPUTED_VALUE"""),"Не знаю")</f>
        <v>Не знаю</v>
      </c>
      <c r="N468" s="6" t="str">
        <f>IFERROR(__xludf.DUMMYFUNCTION("""COMPUTED_VALUE"""),"Не знаю")</f>
        <v>Не знаю</v>
      </c>
      <c r="O468" s="6" t="str">
        <f>IFERROR(__xludf.DUMMYFUNCTION("""COMPUTED_VALUE"""),"Не знаю")</f>
        <v>Не знаю</v>
      </c>
      <c r="P468" s="6" t="str">
        <f>IFERROR(__xludf.DUMMYFUNCTION("""COMPUTED_VALUE"""),"Не узнаю")</f>
        <v>Не узнаю</v>
      </c>
      <c r="Q468"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468" s="6" t="str">
        <f>IFERROR(__xludf.DUMMYFUNCTION("""COMPUTED_VALUE"""),"Не знаю")</f>
        <v>Не знаю</v>
      </c>
      <c r="S468" s="6" t="str">
        <f>IFERROR(__xludf.DUMMYFUNCTION("""COMPUTED_VALUE"""),"Нет, не приходилось")</f>
        <v>Нет, не приходилось</v>
      </c>
      <c r="T468" s="6" t="str">
        <f>IFERROR(__xludf.DUMMYFUNCTION("""COMPUTED_VALUE"""),"Не знаю")</f>
        <v>Не знаю</v>
      </c>
      <c r="U468" s="6" t="str">
        <f>IFERROR(__xludf.DUMMYFUNCTION("""COMPUTED_VALUE"""),"Не знаю")</f>
        <v>Не знаю</v>
      </c>
      <c r="V468" s="6" t="str">
        <f>IFERROR(__xludf.DUMMYFUNCTION("""COMPUTED_VALUE"""),"Не знаю")</f>
        <v>Не знаю</v>
      </c>
      <c r="W468" s="6" t="str">
        <f>IFERROR(__xludf.DUMMYFUNCTION("""COMPUTED_VALUE"""),"Не знаю")</f>
        <v>Не знаю</v>
      </c>
      <c r="X468" s="6" t="str">
        <f>IFERROR(__xludf.DUMMYFUNCTION("""COMPUTED_VALUE"""),"Не знаю")</f>
        <v>Не знаю</v>
      </c>
      <c r="Y468" s="6" t="str">
        <f>IFERROR(__xludf.DUMMYFUNCTION("""COMPUTED_VALUE"""),"Не знаю")</f>
        <v>Не знаю</v>
      </c>
      <c r="Z468" s="6" t="str">
        <f>IFERROR(__xludf.DUMMYFUNCTION("""COMPUTED_VALUE"""),"Не знаю")</f>
        <v>Не знаю</v>
      </c>
      <c r="AA468" s="6" t="str">
        <f>IFERROR(__xludf.DUMMYFUNCTION("""COMPUTED_VALUE"""),"Не знаю")</f>
        <v>Не знаю</v>
      </c>
      <c r="AB468" s="6" t="str">
        <f>IFERROR(__xludf.DUMMYFUNCTION("""COMPUTED_VALUE"""),"Не знаю")</f>
        <v>Не знаю</v>
      </c>
      <c r="AC468" s="6" t="str">
        <f>IFERROR(__xludf.DUMMYFUNCTION("""COMPUTED_VALUE"""),"Не знаю")</f>
        <v>Не знаю</v>
      </c>
      <c r="AD468" s="6" t="str">
        <f>IFERROR(__xludf.DUMMYFUNCTION("""COMPUTED_VALUE"""),"Не знаю")</f>
        <v>Не знаю</v>
      </c>
      <c r="AE468" s="6" t="str">
        <f>IFERROR(__xludf.DUMMYFUNCTION("""COMPUTED_VALUE"""),"Мужской")</f>
        <v>Мужской</v>
      </c>
      <c r="AF468" s="6" t="str">
        <f>IFERROR(__xludf.DUMMYFUNCTION("""COMPUTED_VALUE"""),"18-29")</f>
        <v>18-29</v>
      </c>
      <c r="AG468" s="6"/>
      <c r="AH468" s="6"/>
      <c r="AI468" s="6"/>
      <c r="AJ468" s="6"/>
      <c r="AK468" s="6"/>
      <c r="AL468" s="6"/>
      <c r="AM468" s="6"/>
    </row>
    <row r="469">
      <c r="A469" s="6">
        <v>468.0</v>
      </c>
      <c r="B469" s="6" t="str">
        <f>IFERROR(__xludf.DUMMYFUNCTION("""COMPUTED_VALUE"""),"Студент")</f>
        <v>Студент</v>
      </c>
      <c r="C469" s="6" t="str">
        <f>IFERROR(__xludf.DUMMYFUNCTION("""COMPUTED_VALUE"""),"Тренадерный зал")</f>
        <v>Тренадерный зал</v>
      </c>
      <c r="D469" s="6" t="str">
        <f>IFERROR(__xludf.DUMMYFUNCTION("""COMPUTED_VALUE"""),"Ленинский район")</f>
        <v>Ленинский район</v>
      </c>
      <c r="E469" s="6" t="str">
        <f>IFERROR(__xludf.DUMMYFUNCTION("""COMPUTED_VALUE"""),"Медведи")</f>
        <v>Медведи</v>
      </c>
      <c r="F469" s="6" t="str">
        <f>IFERROR(__xludf.DUMMYFUNCTION("""COMPUTED_VALUE"""),"Живу здесь с рождения")</f>
        <v>Живу здесь с рождения</v>
      </c>
      <c r="G469" s="6" t="str">
        <f>IFERROR(__xludf.DUMMYFUNCTION("""COMPUTED_VALUE"""),"Надережная")</f>
        <v>Надережная</v>
      </c>
      <c r="H469" s="6" t="str">
        <f>IFERROR(__xludf.DUMMYFUNCTION("""COMPUTED_VALUE"""),"Серый мрачный скучный унылый угрюмый")</f>
        <v>Серый мрачный скучный унылый угрюмый</v>
      </c>
      <c r="I469" s="6" t="str">
        <f>IFERROR(__xludf.DUMMYFUNCTION("""COMPUTED_VALUE"""),"Терешкова тулеев леонов")</f>
        <v>Терешкова тулеев леонов</v>
      </c>
      <c r="J469" s="6" t="str">
        <f>IFERROR(__xludf.DUMMYFUNCTION("""COMPUTED_VALUE"""),"Я")</f>
        <v>Я</v>
      </c>
      <c r="K469" s="6" t="str">
        <f>IFERROR(__xludf.DUMMYFUNCTION("""COMPUTED_VALUE"""),"Gorinych lounge, бар")</f>
        <v>Gorinych lounge, бар</v>
      </c>
      <c r="L469" s="6" t="str">
        <f>IFERROR(__xludf.DUMMYFUNCTION("""COMPUTED_VALUE"""),"Не знаб")</f>
        <v>Не знаб</v>
      </c>
      <c r="M469" s="6" t="str">
        <f>IFERROR(__xludf.DUMMYFUNCTION("""COMPUTED_VALUE"""),"Не знаю")</f>
        <v>Не знаю</v>
      </c>
      <c r="N469" s="6" t="str">
        <f>IFERROR(__xludf.DUMMYFUNCTION("""COMPUTED_VALUE"""),"Асфальт, тепло, красиво больше не знаб")</f>
        <v>Асфальт, тепло, красиво больше не знаб</v>
      </c>
      <c r="O469" s="6" t="str">
        <f>IFERROR(__xludf.DUMMYFUNCTION("""COMPUTED_VALUE"""),"Асфальт")</f>
        <v>Асфальт</v>
      </c>
      <c r="P469" s="6" t="str">
        <f>IFERROR(__xludf.DUMMYFUNCTION("""COMPUTED_VALUE"""),"Интернет")</f>
        <v>Интернет</v>
      </c>
      <c r="Q469"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469" s="6" t="str">
        <f>IFERROR(__xludf.DUMMYFUNCTION("""COMPUTED_VALUE"""),"Никакие")</f>
        <v>Никакие</v>
      </c>
      <c r="S469" s="6" t="str">
        <f>IFERROR(__xludf.DUMMYFUNCTION("""COMPUTED_VALUE"""),"Нет, не приходилось")</f>
        <v>Нет, не приходилось</v>
      </c>
      <c r="T469" s="6" t="str">
        <f>IFERROR(__xludf.DUMMYFUNCTION("""COMPUTED_VALUE"""),"Ужасная экология, Коламэн")</f>
        <v>Ужасная экология, Коламэн</v>
      </c>
      <c r="U469" s="6" t="str">
        <f>IFERROR(__xludf.DUMMYFUNCTION("""COMPUTED_VALUE"""),"Администрация")</f>
        <v>Администрация</v>
      </c>
      <c r="V469" s="6" t="str">
        <f>IFERROR(__xludf.DUMMYFUNCTION("""COMPUTED_VALUE"""),"Ничего")</f>
        <v>Ничего</v>
      </c>
      <c r="W469" s="6" t="str">
        <f>IFERROR(__xludf.DUMMYFUNCTION("""COMPUTED_VALUE"""),"Угрюмые, скучные, унылые, подавленные, больные")</f>
        <v>Угрюмые, скучные, унылые, подавленные, больные</v>
      </c>
      <c r="X469" s="6" t="str">
        <f>IFERROR(__xludf.DUMMYFUNCTION("""COMPUTED_VALUE"""),"Набернжная")</f>
        <v>Набернжная</v>
      </c>
      <c r="Y469" s="6" t="str">
        <f>IFERROR(__xludf.DUMMYFUNCTION("""COMPUTED_VALUE"""),"Зарождение")</f>
        <v>Зарождение</v>
      </c>
      <c r="Z469" s="6" t="str">
        <f>IFERROR(__xludf.DUMMYFUNCTION("""COMPUTED_VALUE"""),"Никакие")</f>
        <v>Никакие</v>
      </c>
      <c r="AA469" s="6" t="str">
        <f>IFERROR(__xludf.DUMMYFUNCTION("""COMPUTED_VALUE"""),"Черное небо")</f>
        <v>Черное небо</v>
      </c>
      <c r="AB469" s="6" t="str">
        <f>IFERROR(__xludf.DUMMYFUNCTION("""COMPUTED_VALUE"""),"Не знаю")</f>
        <v>Не знаю</v>
      </c>
      <c r="AC469" s="6" t="str">
        <f>IFERROR(__xludf.DUMMYFUNCTION("""COMPUTED_VALUE"""),"Никакие, не помогут")</f>
        <v>Никакие, не помогут</v>
      </c>
      <c r="AD469" s="6" t="str">
        <f>IFERROR(__xludf.DUMMYFUNCTION("""COMPUTED_VALUE"""),"Никакая")</f>
        <v>Никакая</v>
      </c>
      <c r="AE469" s="6" t="str">
        <f>IFERROR(__xludf.DUMMYFUNCTION("""COMPUTED_VALUE"""),"Мужской")</f>
        <v>Мужской</v>
      </c>
      <c r="AF469" s="6" t="str">
        <f>IFERROR(__xludf.DUMMYFUNCTION("""COMPUTED_VALUE"""),"18-29")</f>
        <v>18-29</v>
      </c>
      <c r="AG469" s="6"/>
      <c r="AH469" s="6"/>
      <c r="AI469" s="6"/>
      <c r="AJ469" s="6"/>
      <c r="AK469" s="6"/>
      <c r="AL469" s="6"/>
      <c r="AM469" s="6"/>
    </row>
    <row r="470">
      <c r="A470" s="6">
        <v>469.0</v>
      </c>
      <c r="B470" s="6" t="str">
        <f>IFERROR(__xludf.DUMMYFUNCTION("""COMPUTED_VALUE"""),"Студент")</f>
        <v>Студент</v>
      </c>
      <c r="C470" s="6" t="str">
        <f>IFERROR(__xludf.DUMMYFUNCTION("""COMPUTED_VALUE"""),"Нет")</f>
        <v>Нет</v>
      </c>
      <c r="D470" s="6" t="str">
        <f>IFERROR(__xludf.DUMMYFUNCTION("""COMPUTED_VALUE"""),"Заводский")</f>
        <v>Заводский</v>
      </c>
      <c r="E470" s="6" t="str">
        <f>IFERROR(__xludf.DUMMYFUNCTION("""COMPUTED_VALUE"""),"Аллея ")</f>
        <v>Аллея </v>
      </c>
      <c r="F470" s="6" t="str">
        <f>IFERROR(__xludf.DUMMYFUNCTION("""COMPUTED_VALUE"""),"Живу здесь с рождения")</f>
        <v>Живу здесь с рождения</v>
      </c>
      <c r="G470" s="6" t="str">
        <f>IFERROR(__xludf.DUMMYFUNCTION("""COMPUTED_VALUE"""),"Магазин")</f>
        <v>Магазин</v>
      </c>
      <c r="H470" s="6" t="str">
        <f>IFERROR(__xludf.DUMMYFUNCTION("""COMPUTED_VALUE"""),"Лужи, зимняя вишня, грязь, Томь ")</f>
        <v>Лужи, зимняя вишня, грязь, Томь </v>
      </c>
      <c r="I470" s="6" t="str">
        <f>IFERROR(__xludf.DUMMYFUNCTION("""COMPUTED_VALUE"""),"-")</f>
        <v>-</v>
      </c>
      <c r="J470" s="6" t="str">
        <f>IFERROR(__xludf.DUMMYFUNCTION("""COMPUTED_VALUE"""),"-")</f>
        <v>-</v>
      </c>
      <c r="K470" s="6" t="str">
        <f>IFERROR(__xludf.DUMMYFUNCTION("""COMPUTED_VALUE"""),"Зимняя вишня ")</f>
        <v>Зимняя вишня </v>
      </c>
      <c r="L470" s="6" t="str">
        <f>IFERROR(__xludf.DUMMYFUNCTION("""COMPUTED_VALUE"""),"-")</f>
        <v>-</v>
      </c>
      <c r="M470" s="6" t="str">
        <f>IFERROR(__xludf.DUMMYFUNCTION("""COMPUTED_VALUE"""),"Нет")</f>
        <v>Нет</v>
      </c>
      <c r="N470" s="6" t="str">
        <f>IFERROR(__xludf.DUMMYFUNCTION("""COMPUTED_VALUE"""),"Чистота, красивые улицы, доступный общественный транспорт ")</f>
        <v>Чистота, красивые улицы, доступный общественный транспорт </v>
      </c>
      <c r="O470" s="6" t="str">
        <f>IFERROR(__xludf.DUMMYFUNCTION("""COMPUTED_VALUE"""),"Атмосферу ")</f>
        <v>Атмосферу </v>
      </c>
      <c r="P470" s="6" t="str">
        <f>IFERROR(__xludf.DUMMYFUNCTION("""COMPUTED_VALUE"""),"Новости ")</f>
        <v>Новости </v>
      </c>
      <c r="Q470"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чек/рекла"&amp;"мные акции/запуск новых предприятий)")</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470" s="6" t="str">
        <f>IFERROR(__xludf.DUMMYFUNCTION("""COMPUTED_VALUE"""),"День города ")</f>
        <v>День города </v>
      </c>
      <c r="S470" s="6" t="str">
        <f>IFERROR(__xludf.DUMMYFUNCTION("""COMPUTED_VALUE"""),"Нет, не приходилось")</f>
        <v>Нет, не приходилось</v>
      </c>
      <c r="T470" s="6" t="str">
        <f>IFERROR(__xludf.DUMMYFUNCTION("""COMPUTED_VALUE"""),"Ничего ")</f>
        <v>Ничего </v>
      </c>
      <c r="U470" s="6" t="str">
        <f>IFERROR(__xludf.DUMMYFUNCTION("""COMPUTED_VALUE"""),"Центр ")</f>
        <v>Центр </v>
      </c>
      <c r="V470" s="6" t="str">
        <f>IFERROR(__xludf.DUMMYFUNCTION("""COMPUTED_VALUE"""),"-")</f>
        <v>-</v>
      </c>
      <c r="W470" s="6" t="str">
        <f>IFERROR(__xludf.DUMMYFUNCTION("""COMPUTED_VALUE"""),"Добрые ")</f>
        <v>Добрые </v>
      </c>
      <c r="X470" s="6" t="str">
        <f>IFERROR(__xludf.DUMMYFUNCTION("""COMPUTED_VALUE"""),"Советский ")</f>
        <v>Советский </v>
      </c>
      <c r="Y470" s="6" t="str">
        <f>IFERROR(__xludf.DUMMYFUNCTION("""COMPUTED_VALUE"""),"Пожар ")</f>
        <v>Пожар </v>
      </c>
      <c r="Z470" s="6" t="str">
        <f>IFERROR(__xludf.DUMMYFUNCTION("""COMPUTED_VALUE"""),"-")</f>
        <v>-</v>
      </c>
      <c r="AA470" s="6" t="str">
        <f>IFERROR(__xludf.DUMMYFUNCTION("""COMPUTED_VALUE"""),"-")</f>
        <v>-</v>
      </c>
      <c r="AB470" s="6" t="str">
        <f>IFERROR(__xludf.DUMMYFUNCTION("""COMPUTED_VALUE"""),"Никаких ")</f>
        <v>Никаких </v>
      </c>
      <c r="AC470" s="6" t="str">
        <f>IFERROR(__xludf.DUMMYFUNCTION("""COMPUTED_VALUE"""),"-")</f>
        <v>-</v>
      </c>
      <c r="AD470" s="6" t="str">
        <f>IFERROR(__xludf.DUMMYFUNCTION("""COMPUTED_VALUE"""),"-")</f>
        <v>-</v>
      </c>
      <c r="AE470" s="6" t="str">
        <f>IFERROR(__xludf.DUMMYFUNCTION("""COMPUTED_VALUE"""),"Женский")</f>
        <v>Женский</v>
      </c>
      <c r="AF470" s="6" t="str">
        <f>IFERROR(__xludf.DUMMYFUNCTION("""COMPUTED_VALUE"""),"18-29")</f>
        <v>18-29</v>
      </c>
      <c r="AG470" s="6"/>
      <c r="AH470" s="6"/>
      <c r="AI470" s="6"/>
      <c r="AJ470" s="6"/>
      <c r="AK470" s="6"/>
      <c r="AL470" s="6"/>
      <c r="AM470" s="6"/>
    </row>
    <row r="471">
      <c r="A471" s="6">
        <v>470.0</v>
      </c>
      <c r="B471" s="6" t="str">
        <f>IFERROR(__xludf.DUMMYFUNCTION("""COMPUTED_VALUE"""),"Студент")</f>
        <v>Студент</v>
      </c>
      <c r="C471" s="6" t="str">
        <f>IFERROR(__xludf.DUMMYFUNCTION("""COMPUTED_VALUE"""),"Тренировки")</f>
        <v>Тренировки</v>
      </c>
      <c r="D471" s="6" t="str">
        <f>IFERROR(__xludf.DUMMYFUNCTION("""COMPUTED_VALUE"""),"Ленинский")</f>
        <v>Ленинский</v>
      </c>
      <c r="E471" s="6" t="str">
        <f>IFERROR(__xludf.DUMMYFUNCTION("""COMPUTED_VALUE"""),"Тц лето")</f>
        <v>Тц лето</v>
      </c>
      <c r="F471" s="6" t="str">
        <f>IFERROR(__xludf.DUMMYFUNCTION("""COMPUTED_VALUE"""),"Живу здесь с рождения")</f>
        <v>Живу здесь с рождения</v>
      </c>
      <c r="G471" s="6" t="str">
        <f>IFERROR(__xludf.DUMMYFUNCTION("""COMPUTED_VALUE"""),"Набережная")</f>
        <v>Набережная</v>
      </c>
      <c r="H471" s="6" t="str">
        <f>IFERROR(__xludf.DUMMYFUNCTION("""COMPUTED_VALUE"""),"1 2 3 4 4")</f>
        <v>1 2 3 4 4</v>
      </c>
      <c r="I471" s="6" t="str">
        <f>IFERROR(__xludf.DUMMYFUNCTION("""COMPUTED_VALUE"""),"Леонтьев")</f>
        <v>Леонтьев</v>
      </c>
      <c r="J471" s="6" t="str">
        <f>IFERROR(__xludf.DUMMYFUNCTION("""COMPUTED_VALUE"""),"Цивилев")</f>
        <v>Цивилев</v>
      </c>
      <c r="K471" s="6" t="str">
        <f>IFERROR(__xludf.DUMMYFUNCTION("""COMPUTED_VALUE"""),"Вечный огонь")</f>
        <v>Вечный огонь</v>
      </c>
      <c r="L471" s="6" t="str">
        <f>IFERROR(__xludf.DUMMYFUNCTION("""COMPUTED_VALUE"""),"Волк не тот кто волк а тот кто волк")</f>
        <v>Волк не тот кто волк а тот кто волк</v>
      </c>
      <c r="M471" s="6" t="str">
        <f>IFERROR(__xludf.DUMMYFUNCTION("""COMPUTED_VALUE"""),"Вечер в хату")</f>
        <v>Вечер в хату</v>
      </c>
      <c r="N471" s="6" t="str">
        <f>IFERROR(__xludf.DUMMYFUNCTION("""COMPUTED_VALUE"""),"Жить можно")</f>
        <v>Жить можно</v>
      </c>
      <c r="O471" s="6" t="str">
        <f>IFERROR(__xludf.DUMMYFUNCTION("""COMPUTED_VALUE"""),"Все")</f>
        <v>Все</v>
      </c>
      <c r="P471" s="6" t="str">
        <f>IFERROR(__xludf.DUMMYFUNCTION("""COMPUTED_VALUE"""),"С неба")</f>
        <v>С неба</v>
      </c>
      <c r="Q47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471" s="6" t="str">
        <f>IFERROR(__xludf.DUMMYFUNCTION("""COMPUTED_VALUE"""),"Никакие")</f>
        <v>Никакие</v>
      </c>
      <c r="S471" s="6" t="str">
        <f>IFERROR(__xludf.DUMMYFUNCTION("""COMPUTED_VALUE"""),"Нет, не приходилось")</f>
        <v>Нет, не приходилось</v>
      </c>
      <c r="T471" s="6" t="str">
        <f>IFERROR(__xludf.DUMMYFUNCTION("""COMPUTED_VALUE"""),"Уголь")</f>
        <v>Уголь</v>
      </c>
      <c r="U471" s="6" t="str">
        <f>IFERROR(__xludf.DUMMYFUNCTION("""COMPUTED_VALUE"""),"Зимняя вишняй")</f>
        <v>Зимняя вишняй</v>
      </c>
      <c r="V471" s="6" t="str">
        <f>IFERROR(__xludf.DUMMYFUNCTION("""COMPUTED_VALUE"""),"Много чего")</f>
        <v>Много чего</v>
      </c>
      <c r="W471" s="6" t="str">
        <f>IFERROR(__xludf.DUMMYFUNCTION("""COMPUTED_VALUE"""),"Как и все")</f>
        <v>Как и все</v>
      </c>
      <c r="X471" s="6" t="str">
        <f>IFERROR(__xludf.DUMMYFUNCTION("""COMPUTED_VALUE"""),"Два раза вокруг и два раза мимо")</f>
        <v>Два раза вокруг и два раза мимо</v>
      </c>
      <c r="Y471" s="6" t="str">
        <f>IFERROR(__xludf.DUMMYFUNCTION("""COMPUTED_VALUE"""),"Сгорела зимняя вишня")</f>
        <v>Сгорела зимняя вишня</v>
      </c>
      <c r="Z471" s="6" t="str">
        <f>IFERROR(__xludf.DUMMYFUNCTION("""COMPUTED_VALUE"""),"Елка за 14 миллионов")</f>
        <v>Елка за 14 миллионов</v>
      </c>
      <c r="AA471" s="6" t="str">
        <f>IFERROR(__xludf.DUMMYFUNCTION("""COMPUTED_VALUE"""),"Серега себя начал плохо вести")</f>
        <v>Серега себя начал плохо вести</v>
      </c>
      <c r="AB471" s="6" t="str">
        <f>IFERROR(__xludf.DUMMYFUNCTION("""COMPUTED_VALUE"""),"Все четко")</f>
        <v>Все четко</v>
      </c>
      <c r="AC471" s="6" t="str">
        <f>IFERROR(__xludf.DUMMYFUNCTION("""COMPUTED_VALUE"""),"Больше мест для развлечения ")</f>
        <v>Больше мест для развлечения </v>
      </c>
      <c r="AD471" s="6" t="str">
        <f>IFERROR(__xludf.DUMMYFUNCTION("""COMPUTED_VALUE"""),"Никаких")</f>
        <v>Никаких</v>
      </c>
      <c r="AE471" s="6" t="str">
        <f>IFERROR(__xludf.DUMMYFUNCTION("""COMPUTED_VALUE"""),"Женский")</f>
        <v>Женский</v>
      </c>
      <c r="AF471" s="6" t="str">
        <f>IFERROR(__xludf.DUMMYFUNCTION("""COMPUTED_VALUE"""),"18-29")</f>
        <v>18-29</v>
      </c>
      <c r="AG471" s="6"/>
      <c r="AH471" s="6"/>
      <c r="AI471" s="6"/>
      <c r="AJ471" s="6"/>
      <c r="AK471" s="6"/>
      <c r="AL471" s="6"/>
      <c r="AM471" s="6"/>
    </row>
    <row r="472">
      <c r="A472" s="6">
        <v>471.0</v>
      </c>
      <c r="B472" s="6" t="str">
        <f>IFERROR(__xludf.DUMMYFUNCTION("""COMPUTED_VALUE"""),"Студент")</f>
        <v>Студент</v>
      </c>
      <c r="C472" s="6" t="str">
        <f>IFERROR(__xludf.DUMMYFUNCTION("""COMPUTED_VALUE"""),"Спать")</f>
        <v>Спать</v>
      </c>
      <c r="D472" s="6" t="str">
        <f>IFERROR(__xludf.DUMMYFUNCTION("""COMPUTED_VALUE"""),"Заводской ")</f>
        <v>Заводской </v>
      </c>
      <c r="E472" s="6" t="str">
        <f>IFERROR(__xludf.DUMMYFUNCTION("""COMPUTED_VALUE"""),"Нету")</f>
        <v>Нету</v>
      </c>
      <c r="F472" s="6" t="str">
        <f>IFERROR(__xludf.DUMMYFUNCTION("""COMPUTED_VALUE"""),"Учусь ")</f>
        <v>Учусь </v>
      </c>
      <c r="G472" s="6" t="str">
        <f>IFERROR(__xludf.DUMMYFUNCTION("""COMPUTED_VALUE"""),"Набережная ")</f>
        <v>Набережная </v>
      </c>
      <c r="H472" s="6" t="str">
        <f>IFERROR(__xludf.DUMMYFUNCTION("""COMPUTED_VALUE"""),"12345")</f>
        <v>12345</v>
      </c>
      <c r="I472" s="6" t="str">
        <f>IFERROR(__xludf.DUMMYFUNCTION("""COMPUTED_VALUE"""),"Леонтьев ")</f>
        <v>Леонтьев </v>
      </c>
      <c r="J472" s="6" t="str">
        <f>IFERROR(__xludf.DUMMYFUNCTION("""COMPUTED_VALUE"""),"Фидяев ")</f>
        <v>Фидяев </v>
      </c>
      <c r="K472" s="6" t="str">
        <f>IFERROR(__xludf.DUMMYFUNCTION("""COMPUTED_VALUE"""),"Нет таких ")</f>
        <v>Нет таких </v>
      </c>
      <c r="L472" s="6" t="str">
        <f>IFERROR(__xludf.DUMMYFUNCTION("""COMPUTED_VALUE"""),"Волк не тот кто волк, а волк тот кто волк")</f>
        <v>Волк не тот кто волк, а волк тот кто волк</v>
      </c>
      <c r="M472" s="6" t="str">
        <f>IFERROR(__xludf.DUMMYFUNCTION("""COMPUTED_VALUE"""),"Арестанский уклад един ")</f>
        <v>Арестанский уклад един </v>
      </c>
      <c r="N472" s="6" t="str">
        <f>IFERROR(__xludf.DUMMYFUNCTION("""COMPUTED_VALUE"""),"Чистота, метро, все в шаговой доступности")</f>
        <v>Чистота, метро, все в шаговой доступности</v>
      </c>
      <c r="O472" s="6" t="str">
        <f>IFERROR(__xludf.DUMMYFUNCTION("""COMPUTED_VALUE"""),"Людей")</f>
        <v>Людей</v>
      </c>
      <c r="P472" s="6" t="str">
        <f>IFERROR(__xludf.DUMMYFUNCTION("""COMPUTED_VALUE"""),"Не знаю ")</f>
        <v>Не знаю </v>
      </c>
      <c r="Q472"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472" s="6" t="str">
        <f>IFERROR(__xludf.DUMMYFUNCTION("""COMPUTED_VALUE"""),"Не знаю")</f>
        <v>Не знаю</v>
      </c>
      <c r="S472" s="6" t="str">
        <f>IFERROR(__xludf.DUMMYFUNCTION("""COMPUTED_VALUE"""),"Нет, не приходилось")</f>
        <v>Нет, не приходилось</v>
      </c>
      <c r="T472" s="6" t="str">
        <f>IFERROR(__xludf.DUMMYFUNCTION("""COMPUTED_VALUE"""),"Зимняя вишня ")</f>
        <v>Зимняя вишня </v>
      </c>
      <c r="U472" s="6" t="str">
        <f>IFERROR(__xludf.DUMMYFUNCTION("""COMPUTED_VALUE"""),"Дорогая ёлка за 14 лямов")</f>
        <v>Дорогая ёлка за 14 лямов</v>
      </c>
      <c r="V472" s="6" t="str">
        <f>IFERROR(__xludf.DUMMYFUNCTION("""COMPUTED_VALUE"""),"Шахтерский край ")</f>
        <v>Шахтерский край </v>
      </c>
      <c r="W472" s="6" t="str">
        <f>IFERROR(__xludf.DUMMYFUNCTION("""COMPUTED_VALUE"""),"Грубые")</f>
        <v>Грубые</v>
      </c>
      <c r="X472" s="6" t="str">
        <f>IFERROR(__xludf.DUMMYFUNCTION("""COMPUTED_VALUE"""),"Туда сюда обратно ")</f>
        <v>Туда сюда обратно </v>
      </c>
      <c r="Y472" s="6" t="str">
        <f>IFERROR(__xludf.DUMMYFUNCTION("""COMPUTED_VALUE"""),"Путин приезжал, когда тц сгорел")</f>
        <v>Путин приезжал, когда тц сгорел</v>
      </c>
      <c r="Z472" s="6" t="str">
        <f>IFERROR(__xludf.DUMMYFUNCTION("""COMPUTED_VALUE"""),"Кальян на набережной ")</f>
        <v>Кальян на набережной </v>
      </c>
      <c r="AA472" s="6" t="str">
        <f>IFERROR(__xludf.DUMMYFUNCTION("""COMPUTED_VALUE"""),"Полицейские лишили прав ")</f>
        <v>Полицейские лишили прав </v>
      </c>
      <c r="AB472" s="6" t="str">
        <f>IFERROR(__xludf.DUMMYFUNCTION("""COMPUTED_VALUE"""),"ЛГБТ ")</f>
        <v>ЛГБТ </v>
      </c>
      <c r="AC472" s="6" t="str">
        <f>IFERROR(__xludf.DUMMYFUNCTION("""COMPUTED_VALUE"""),"Не знаю")</f>
        <v>Не знаю</v>
      </c>
      <c r="AD472" s="6" t="str">
        <f>IFERROR(__xludf.DUMMYFUNCTION("""COMPUTED_VALUE"""),"Не знаю")</f>
        <v>Не знаю</v>
      </c>
      <c r="AE472" s="6" t="str">
        <f>IFERROR(__xludf.DUMMYFUNCTION("""COMPUTED_VALUE"""),"Мужской")</f>
        <v>Мужской</v>
      </c>
      <c r="AF472" s="6" t="str">
        <f>IFERROR(__xludf.DUMMYFUNCTION("""COMPUTED_VALUE"""),"старше 55")</f>
        <v>старше 55</v>
      </c>
      <c r="AG472" s="6"/>
      <c r="AH472" s="6"/>
      <c r="AI472" s="6"/>
      <c r="AJ472" s="6"/>
      <c r="AK472" s="6"/>
      <c r="AL472" s="6"/>
      <c r="AM472" s="6"/>
    </row>
    <row r="473">
      <c r="A473" s="6">
        <v>472.0</v>
      </c>
      <c r="B473" s="6" t="str">
        <f>IFERROR(__xludf.DUMMYFUNCTION("""COMPUTED_VALUE"""),"Студент ")</f>
        <v>Студент </v>
      </c>
      <c r="C473" s="6" t="str">
        <f>IFERROR(__xludf.DUMMYFUNCTION("""COMPUTED_VALUE"""),"Футбол")</f>
        <v>Футбол</v>
      </c>
      <c r="D473" s="6" t="str">
        <f>IFERROR(__xludf.DUMMYFUNCTION("""COMPUTED_VALUE"""),"ФПК")</f>
        <v>ФПК</v>
      </c>
      <c r="E473" s="6" t="str">
        <f>IFERROR(__xludf.DUMMYFUNCTION("""COMPUTED_VALUE"""),"Гринвич, парк возле гринвича")</f>
        <v>Гринвич, парк возле гринвича</v>
      </c>
      <c r="F473" s="6" t="str">
        <f>IFERROR(__xludf.DUMMYFUNCTION("""COMPUTED_VALUE"""),"Живу здесь с рождения")</f>
        <v>Живу здесь с рождения</v>
      </c>
      <c r="G473" s="6" t="str">
        <f>IFERROR(__xludf.DUMMYFUNCTION("""COMPUTED_VALUE"""),"Спорт зал")</f>
        <v>Спорт зал</v>
      </c>
      <c r="H473" s="6" t="str">
        <f>IFERROR(__xludf.DUMMYFUNCTION("""COMPUTED_VALUE"""),"Грязный, пыльный, маленький, скучный, уютный")</f>
        <v>Грязный, пыльный, маленький, скучный, уютный</v>
      </c>
      <c r="I473" s="6" t="str">
        <f>IFERROR(__xludf.DUMMYFUNCTION("""COMPUTED_VALUE"""),"Алексей Леонов ")</f>
        <v>Алексей Леонов </v>
      </c>
      <c r="J473" s="6" t="str">
        <f>IFERROR(__xludf.DUMMYFUNCTION("""COMPUTED_VALUE"""),"Тулеев, Федяев")</f>
        <v>Тулеев, Федяев</v>
      </c>
      <c r="K473" s="6" t="str">
        <f>IFERROR(__xludf.DUMMYFUNCTION("""COMPUTED_VALUE"""),"Центр города, филармония, драмтеатр, лесная поляна, парк ангелов")</f>
        <v>Центр города, филармония, драмтеатр, лесная поляна, парк ангелов</v>
      </c>
      <c r="L473" s="6" t="str">
        <f>IFERROR(__xludf.DUMMYFUNCTION("""COMPUTED_VALUE"""),"Не знаю")</f>
        <v>Не знаю</v>
      </c>
      <c r="M473" s="6" t="str">
        <f>IFERROR(__xludf.DUMMYFUNCTION("""COMPUTED_VALUE"""),"Нет")</f>
        <v>Нет</v>
      </c>
      <c r="N473" s="6" t="str">
        <f>IFERROR(__xludf.DUMMYFUNCTION("""COMPUTED_VALUE"""),"Дорожные развязки, качественные дороги, чистый воздух, высокая з/п, высокий уровень жизни, места доя прогулки")</f>
        <v>Дорожные развязки, качественные дороги, чистый воздух, высокая з/п, высокий уровень жизни, места доя прогулки</v>
      </c>
      <c r="O473" s="6" t="str">
        <f>IFERROR(__xludf.DUMMYFUNCTION("""COMPUTED_VALUE"""),"Дороги, экологию")</f>
        <v>Дороги, экологию</v>
      </c>
      <c r="P473" s="6" t="str">
        <f>IFERROR(__xludf.DUMMYFUNCTION("""COMPUTED_VALUE"""),"Тв, радио ")</f>
        <v>Тв, радио </v>
      </c>
      <c r="Q473"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473" s="6" t="str">
        <f>IFERROR(__xludf.DUMMYFUNCTION("""COMPUTED_VALUE"""),"Нет")</f>
        <v>Нет</v>
      </c>
      <c r="S473" s="6" t="str">
        <f>IFERROR(__xludf.DUMMYFUNCTION("""COMPUTED_VALUE"""),"Нет, не приходилось")</f>
        <v>Нет, не приходилось</v>
      </c>
      <c r="T473" s="6" t="str">
        <f>IFERROR(__xludf.DUMMYFUNCTION("""COMPUTED_VALUE"""),"Шахтами")</f>
        <v>Шахтами</v>
      </c>
      <c r="U473" s="6" t="str">
        <f>IFERROR(__xludf.DUMMYFUNCTION("""COMPUTED_VALUE"""),"Площадь советов")</f>
        <v>Площадь советов</v>
      </c>
      <c r="V473" s="6" t="str">
        <f>IFERROR(__xludf.DUMMYFUNCTION("""COMPUTED_VALUE"""),"Не знаю")</f>
        <v>Не знаю</v>
      </c>
      <c r="W473" s="6" t="str">
        <f>IFERROR(__xludf.DUMMYFUNCTION("""COMPUTED_VALUE"""),"Грубость, ")</f>
        <v>Грубость, </v>
      </c>
      <c r="X473" s="6" t="str">
        <f>IFERROR(__xludf.DUMMYFUNCTION("""COMPUTED_VALUE"""),"Советский, парк ангелов")</f>
        <v>Советский, парк ангелов</v>
      </c>
      <c r="Y473" s="6" t="str">
        <f>IFERROR(__xludf.DUMMYFUNCTION("""COMPUTED_VALUE"""),"Разгон шахтеров в 90ые")</f>
        <v>Разгон шахтеров в 90ые</v>
      </c>
      <c r="Z473" s="6" t="str">
        <f>IFERROR(__xludf.DUMMYFUNCTION("""COMPUTED_VALUE"""),"Стройка на московском ")</f>
        <v>Стройка на московском </v>
      </c>
      <c r="AA473" s="6" t="str">
        <f>IFERROR(__xludf.DUMMYFUNCTION("""COMPUTED_VALUE"""),"Назначение Цивелева, пожары в кадетском корпусе, плохие дороги")</f>
        <v>Назначение Цивелева, пожары в кадетском корпусе, плохие дороги</v>
      </c>
      <c r="AB473" s="6" t="str">
        <f>IFERROR(__xludf.DUMMYFUNCTION("""COMPUTED_VALUE"""),"Никаких")</f>
        <v>Никаких</v>
      </c>
      <c r="AC473" s="6" t="str">
        <f>IFERROR(__xludf.DUMMYFUNCTION("""COMPUTED_VALUE"""),"Больше концертов")</f>
        <v>Больше концертов</v>
      </c>
      <c r="AD473" s="6" t="str">
        <f>IFERROR(__xludf.DUMMYFUNCTION("""COMPUTED_VALUE"""),"Не знаю")</f>
        <v>Не знаю</v>
      </c>
      <c r="AE473" s="6" t="str">
        <f>IFERROR(__xludf.DUMMYFUNCTION("""COMPUTED_VALUE"""),"Мужской")</f>
        <v>Мужской</v>
      </c>
      <c r="AF473" s="6" t="str">
        <f>IFERROR(__xludf.DUMMYFUNCTION("""COMPUTED_VALUE"""),"18-29")</f>
        <v>18-29</v>
      </c>
      <c r="AG473" s="6"/>
      <c r="AH473" s="6"/>
      <c r="AI473" s="6"/>
      <c r="AJ473" s="6"/>
      <c r="AK473" s="6"/>
      <c r="AL473" s="6"/>
      <c r="AM473" s="6"/>
    </row>
    <row r="474">
      <c r="A474" s="6">
        <v>473.0</v>
      </c>
      <c r="B474" s="6" t="str">
        <f>IFERROR(__xludf.DUMMYFUNCTION("""COMPUTED_VALUE"""),"Обучающийся ")</f>
        <v>Обучающийся </v>
      </c>
      <c r="C474" s="6" t="str">
        <f>IFERROR(__xludf.DUMMYFUNCTION("""COMPUTED_VALUE"""),"Фото, путешествия ")</f>
        <v>Фото, путешествия </v>
      </c>
      <c r="D474" s="6" t="str">
        <f>IFERROR(__xludf.DUMMYFUNCTION("""COMPUTED_VALUE"""),"Ж-р Кедровка ")</f>
        <v>Ж-р Кедровка </v>
      </c>
      <c r="E474" s="6" t="str">
        <f>IFERROR(__xludf.DUMMYFUNCTION("""COMPUTED_VALUE"""),"Аллея")</f>
        <v>Аллея</v>
      </c>
      <c r="F47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474" s="6" t="str">
        <f>IFERROR(__xludf.DUMMYFUNCTION("""COMPUTED_VALUE"""),"Центральные улицы г. Кемерово")</f>
        <v>Центральные улицы г. Кемерово</v>
      </c>
      <c r="H474" s="6" t="str">
        <f>IFERROR(__xludf.DUMMYFUNCTION("""COMPUTED_VALUE"""),"Р. Томь")</f>
        <v>Р. Томь</v>
      </c>
      <c r="I474" s="6" t="str">
        <f>IFERROR(__xludf.DUMMYFUNCTION("""COMPUTED_VALUE"""),"Елена Малышева ")</f>
        <v>Елена Малышева </v>
      </c>
      <c r="J474" s="6" t="str">
        <f>IFERROR(__xludf.DUMMYFUNCTION("""COMPUTED_VALUE"""),".")</f>
        <v>.</v>
      </c>
      <c r="K474" s="6" t="str">
        <f>IFERROR(__xludf.DUMMYFUNCTION("""COMPUTED_VALUE"""),"Набережная ")</f>
        <v>Набережная </v>
      </c>
      <c r="L474" s="6" t="str">
        <f>IFERROR(__xludf.DUMMYFUNCTION("""COMPUTED_VALUE"""),".")</f>
        <v>.</v>
      </c>
      <c r="M474" s="6" t="str">
        <f>IFERROR(__xludf.DUMMYFUNCTION("""COMPUTED_VALUE"""),"Мультифора ")</f>
        <v>Мультифора </v>
      </c>
      <c r="N474" s="6" t="str">
        <f>IFERROR(__xludf.DUMMYFUNCTION("""COMPUTED_VALUE"""),"Экология, освещённость, безопасность ")</f>
        <v>Экология, освещённость, безопасность </v>
      </c>
      <c r="O474" s="6" t="str">
        <f>IFERROR(__xludf.DUMMYFUNCTION("""COMPUTED_VALUE"""),"Дороги ")</f>
        <v>Дороги </v>
      </c>
      <c r="P474" s="6" t="str">
        <f>IFERROR(__xludf.DUMMYFUNCTION("""COMPUTED_VALUE"""),"Вконтакте ")</f>
        <v>Вконтакте </v>
      </c>
      <c r="Q474" s="6" t="str">
        <f>IFERROR(__xludf.DUMMYFUNCTION("""COMPUTED_VALUE"""),"куда пойти в свободное время, 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f>
        <v>куда пойти в свободное время, 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v>
      </c>
      <c r="R474" s="6" t="str">
        <f>IFERROR(__xludf.DUMMYFUNCTION("""COMPUTED_VALUE"""),"300-летие Кузбасса")</f>
        <v>300-летие Кузбасса</v>
      </c>
      <c r="S474" s="6" t="str">
        <f>IFERROR(__xludf.DUMMYFUNCTION("""COMPUTED_VALUE"""),"Нет, не приходилось")</f>
        <v>Нет, не приходилось</v>
      </c>
      <c r="T474" s="6" t="str">
        <f>IFERROR(__xludf.DUMMYFUNCTION("""COMPUTED_VALUE"""),"Спорткомплекс ")</f>
        <v>Спорткомплекс </v>
      </c>
      <c r="U474" s="6" t="str">
        <f>IFERROR(__xludf.DUMMYFUNCTION("""COMPUTED_VALUE"""),"Площадь Советов ")</f>
        <v>Площадь Советов </v>
      </c>
      <c r="V474" s="6" t="str">
        <f>IFERROR(__xludf.DUMMYFUNCTION("""COMPUTED_VALUE"""),"Строительство ")</f>
        <v>Строительство </v>
      </c>
      <c r="W474" s="6" t="str">
        <f>IFERROR(__xludf.DUMMYFUNCTION("""COMPUTED_VALUE"""),"Дружелюбные, добрые ")</f>
        <v>Дружелюбные, добрые </v>
      </c>
      <c r="X474" s="6" t="str">
        <f>IFERROR(__xludf.DUMMYFUNCTION("""COMPUTED_VALUE"""),"Набережная ")</f>
        <v>Набережная </v>
      </c>
      <c r="Y474" s="6" t="str">
        <f>IFERROR(__xludf.DUMMYFUNCTION("""COMPUTED_VALUE"""),".")</f>
        <v>.</v>
      </c>
      <c r="Z474" s="6" t="str">
        <f>IFERROR(__xludf.DUMMYFUNCTION("""COMPUTED_VALUE"""),"300-летие Кузбасса")</f>
        <v>300-летие Кузбасса</v>
      </c>
      <c r="AA474" s="6" t="str">
        <f>IFERROR(__xludf.DUMMYFUNCTION("""COMPUTED_VALUE"""),"Нет такого")</f>
        <v>Нет такого</v>
      </c>
      <c r="AB474" s="6" t="str">
        <f>IFERROR(__xludf.DUMMYFUNCTION("""COMPUTED_VALUE"""),"Хватает ")</f>
        <v>Хватает </v>
      </c>
      <c r="AC474" s="6" t="str">
        <f>IFERROR(__xludf.DUMMYFUNCTION("""COMPUTED_VALUE"""),".")</f>
        <v>.</v>
      </c>
      <c r="AD474" s="6" t="str">
        <f>IFERROR(__xludf.DUMMYFUNCTION("""COMPUTED_VALUE"""),".")</f>
        <v>.</v>
      </c>
      <c r="AE474" s="6" t="str">
        <f>IFERROR(__xludf.DUMMYFUNCTION("""COMPUTED_VALUE"""),"Женский")</f>
        <v>Женский</v>
      </c>
      <c r="AF474" s="6" t="str">
        <f>IFERROR(__xludf.DUMMYFUNCTION("""COMPUTED_VALUE"""),"18-29")</f>
        <v>18-29</v>
      </c>
      <c r="AG474" s="6"/>
      <c r="AH474" s="6"/>
      <c r="AI474" s="6"/>
      <c r="AJ474" s="6"/>
      <c r="AK474" s="6"/>
      <c r="AL474" s="6"/>
      <c r="AM474" s="6"/>
    </row>
    <row r="475">
      <c r="A475" s="6">
        <v>474.0</v>
      </c>
      <c r="B475" s="6" t="str">
        <f>IFERROR(__xludf.DUMMYFUNCTION("""COMPUTED_VALUE"""),"Студент ")</f>
        <v>Студент </v>
      </c>
      <c r="C475" s="6" t="str">
        <f>IFERROR(__xludf.DUMMYFUNCTION("""COMPUTED_VALUE"""),"Рукоделие ")</f>
        <v>Рукоделие </v>
      </c>
      <c r="D475" s="6" t="str">
        <f>IFERROR(__xludf.DUMMYFUNCTION("""COMPUTED_VALUE"""),"Центр")</f>
        <v>Центр</v>
      </c>
      <c r="E475" s="6" t="str">
        <f>IFERROR(__xludf.DUMMYFUNCTION("""COMPUTED_VALUE"""),"Драма, набережная, гор.сад, красная горка")</f>
        <v>Драма, набережная, гор.сад, красная горка</v>
      </c>
      <c r="F475" s="6" t="str">
        <f>IFERROR(__xludf.DUMMYFUNCTION("""COMPUTED_VALUE"""),"Живу здесь с рождения")</f>
        <v>Живу здесь с рождения</v>
      </c>
      <c r="G475" s="6" t="str">
        <f>IFERROR(__xludf.DUMMYFUNCTION("""COMPUTED_VALUE"""),"Лента, Набережная, лесная поляна ")</f>
        <v>Лента, Набережная, лесная поляна </v>
      </c>
      <c r="H475" s="6" t="str">
        <f>IFERROR(__xludf.DUMMYFUNCTION("""COMPUTED_VALUE"""),"Деревня, Кузбасс, холод, уголь")</f>
        <v>Деревня, Кузбасс, холод, уголь</v>
      </c>
      <c r="I475" s="6" t="str">
        <f>IFERROR(__xludf.DUMMYFUNCTION("""COMPUTED_VALUE"""),"Леонов")</f>
        <v>Леонов</v>
      </c>
      <c r="J475" s="6" t="str">
        <f>IFERROR(__xludf.DUMMYFUNCTION("""COMPUTED_VALUE"""),"Тулеев")</f>
        <v>Тулеев</v>
      </c>
      <c r="K475" s="6" t="str">
        <f>IFERROR(__xludf.DUMMYFUNCTION("""COMPUTED_VALUE"""),"Фонтан на драмтеатре, вечный огонь, набережная, ул.весенняя, дорога на лесную поляну, красная горка")</f>
        <v>Фонтан на драмтеатре, вечный огонь, набережная, ул.весенняя, дорога на лесную поляну, красная горка</v>
      </c>
      <c r="L475" s="6" t="str">
        <f>IFERROR(__xludf.DUMMYFUNCTION("""COMPUTED_VALUE"""),"Человек из Кемерово ")</f>
        <v>Человек из Кемерово </v>
      </c>
      <c r="M475" s="6" t="str">
        <f>IFERROR(__xludf.DUMMYFUNCTION("""COMPUTED_VALUE"""),"Мультифора, Кемас, Кем")</f>
        <v>Мультифора, Кемас, Кем</v>
      </c>
      <c r="N475" s="6" t="str">
        <f>IFERROR(__xludf.DUMMYFUNCTION("""COMPUTED_VALUE"""),"Хорошие дороги! ")</f>
        <v>Хорошие дороги! </v>
      </c>
      <c r="O475" s="6" t="str">
        <f>IFERROR(__xludf.DUMMYFUNCTION("""COMPUTED_VALUE"""),"Дороги")</f>
        <v>Дороги</v>
      </c>
      <c r="P475" s="6" t="str">
        <f>IFERROR(__xludf.DUMMYFUNCTION("""COMPUTED_VALUE"""),"Сарафанное радио, афиша Кемерово (А42)")</f>
        <v>Сарафанное радио, афиша Кемерово (А42)</v>
      </c>
      <c r="Q47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475" s="6" t="str">
        <f>IFERROR(__xludf.DUMMYFUNCTION("""COMPUTED_VALUE"""),"День города, 9 мая, 1 июня")</f>
        <v>День города, 9 мая, 1 июня</v>
      </c>
      <c r="S475" s="6" t="str">
        <f>IFERROR(__xludf.DUMMYFUNCTION("""COMPUTED_VALUE"""),"Нет, не приходилось")</f>
        <v>Нет, не приходилось</v>
      </c>
      <c r="T475" s="6" t="str">
        <f>IFERROR(__xludf.DUMMYFUNCTION("""COMPUTED_VALUE"""),"-")</f>
        <v>-</v>
      </c>
      <c r="U475" s="6" t="str">
        <f>IFERROR(__xludf.DUMMYFUNCTION("""COMPUTED_VALUE"""),"Центральный район")</f>
        <v>Центральный район</v>
      </c>
      <c r="V475" s="6" t="str">
        <f>IFERROR(__xludf.DUMMYFUNCTION("""COMPUTED_VALUE"""),"-")</f>
        <v>-</v>
      </c>
      <c r="W475" s="6" t="str">
        <f>IFERROR(__xludf.DUMMYFUNCTION("""COMPUTED_VALUE"""),"Ни чему не удивляются ")</f>
        <v>Ни чему не удивляются </v>
      </c>
      <c r="X475" s="6" t="str">
        <f>IFERROR(__xludf.DUMMYFUNCTION("""COMPUTED_VALUE"""),"Достопримечательности, которые перечислены выше.")</f>
        <v>Достопримечательности, которые перечислены выше.</v>
      </c>
      <c r="Y475" s="6" t="str">
        <f>IFERROR(__xludf.DUMMYFUNCTION("""COMPUTED_VALUE"""),"-")</f>
        <v>-</v>
      </c>
      <c r="Z475" s="6" t="str">
        <f>IFERROR(__xludf.DUMMYFUNCTION("""COMPUTED_VALUE"""),"-")</f>
        <v>-</v>
      </c>
      <c r="AA475" s="6" t="str">
        <f>IFERROR(__xludf.DUMMYFUNCTION("""COMPUTED_VALUE"""),"-")</f>
        <v>-</v>
      </c>
      <c r="AB475" s="6" t="str">
        <f>IFERROR(__xludf.DUMMYFUNCTION("""COMPUTED_VALUE"""),"-")</f>
        <v>-</v>
      </c>
      <c r="AC475" s="6" t="str">
        <f>IFERROR(__xludf.DUMMYFUNCTION("""COMPUTED_VALUE"""),"-")</f>
        <v>-</v>
      </c>
      <c r="AD475" s="6" t="str">
        <f>IFERROR(__xludf.DUMMYFUNCTION("""COMPUTED_VALUE"""),"-")</f>
        <v>-</v>
      </c>
      <c r="AE475" s="6" t="str">
        <f>IFERROR(__xludf.DUMMYFUNCTION("""COMPUTED_VALUE"""),"Женский")</f>
        <v>Женский</v>
      </c>
      <c r="AF475" s="6" t="str">
        <f>IFERROR(__xludf.DUMMYFUNCTION("""COMPUTED_VALUE"""),"18-29")</f>
        <v>18-29</v>
      </c>
      <c r="AG475" s="6"/>
      <c r="AH475" s="6"/>
      <c r="AI475" s="6"/>
      <c r="AJ475" s="6"/>
      <c r="AK475" s="6"/>
      <c r="AL475" s="6"/>
      <c r="AM475" s="6"/>
    </row>
    <row r="476">
      <c r="A476" s="6">
        <v>475.0</v>
      </c>
      <c r="B476" s="6" t="str">
        <f>IFERROR(__xludf.DUMMYFUNCTION("""COMPUTED_VALUE"""),"Работаю в сфере культуры")</f>
        <v>Работаю в сфере культуры</v>
      </c>
      <c r="C476" s="6" t="str">
        <f>IFERROR(__xludf.DUMMYFUNCTION("""COMPUTED_VALUE"""),"Пошив нижнего белья")</f>
        <v>Пошив нижнего белья</v>
      </c>
      <c r="D476" s="6" t="str">
        <f>IFERROR(__xludf.DUMMYFUNCTION("""COMPUTED_VALUE"""),"Центральный, 5 поликлиника")</f>
        <v>Центральный, 5 поликлиника</v>
      </c>
      <c r="E476" s="6" t="str">
        <f>IFERROR(__xludf.DUMMYFUNCTION("""COMPUTED_VALUE"""),"Театры, кинотеатры, парки, торговые центры")</f>
        <v>Театры, кинотеатры, парки, торговые центры</v>
      </c>
      <c r="F476" s="6" t="str">
        <f>IFERROR(__xludf.DUMMYFUNCTION("""COMPUTED_VALUE"""),"Живу здесь с рождения")</f>
        <v>Живу здесь с рождения</v>
      </c>
      <c r="G476" s="6" t="str">
        <f>IFERROR(__xludf.DUMMYFUNCTION("""COMPUTED_VALUE"""),"Кино, каток, парк")</f>
        <v>Кино, каток, парк</v>
      </c>
      <c r="H476" s="6" t="str">
        <f>IFERROR(__xludf.DUMMYFUNCTION("""COMPUTED_VALUE"""),"Уголь, снег, зима, кедр, Томь")</f>
        <v>Уголь, снег, зима, кедр, Томь</v>
      </c>
      <c r="I476" s="6" t="str">
        <f>IFERROR(__xludf.DUMMYFUNCTION("""COMPUTED_VALUE"""),"Волков")</f>
        <v>Волков</v>
      </c>
      <c r="J476" s="6" t="str">
        <f>IFERROR(__xludf.DUMMYFUNCTION("""COMPUTED_VALUE"""),"Леонов, Тулеев")</f>
        <v>Леонов, Тулеев</v>
      </c>
      <c r="K476" s="6" t="str">
        <f>IFERROR(__xludf.DUMMYFUNCTION("""COMPUTED_VALUE"""),"Томская писаница, красная горка")</f>
        <v>Томская писаница, красная горка</v>
      </c>
      <c r="L476" s="6" t="str">
        <f>IFERROR(__xludf.DUMMYFUNCTION("""COMPUTED_VALUE"""),"Сибиряк не тот, кто холода не боится, а тот, кто тепло одевается.")</f>
        <v>Сибиряк не тот, кто холода не боится, а тот, кто тепло одевается.</v>
      </c>
      <c r="M476" s="6" t="str">
        <f>IFERROR(__xludf.DUMMYFUNCTION("""COMPUTED_VALUE"""),"Нет")</f>
        <v>Нет</v>
      </c>
      <c r="N476" s="6" t="str">
        <f>IFERROR(__xludf.DUMMYFUNCTION("""COMPUTED_VALUE"""),"Достойная зарплата, бесплстное и достойное образование, качественные дороги, надёжный транспорт, бесплатная медицина.")</f>
        <v>Достойная зарплата, бесплстное и достойное образование, качественные дороги, надёжный транспорт, бесплатная медицина.</v>
      </c>
      <c r="O476" s="6" t="str">
        <f>IFERROR(__xludf.DUMMYFUNCTION("""COMPUTED_VALUE"""),"Да какой вид города, людей сначала зарплатой хорошей обеспечить!!!")</f>
        <v>Да какой вид города, людей сначала зарплатой хорошей обеспечить!!!</v>
      </c>
      <c r="P476" s="6" t="str">
        <f>IFERROR(__xludf.DUMMYFUNCTION("""COMPUTED_VALUE"""),"На работе узнаю от писем из министерства")</f>
        <v>На работе узнаю от писем из министерства</v>
      </c>
      <c r="Q476" s="6" t="str">
        <f>IFERROR(__xludf.DUMMYFUNCTION("""COMPUTED_VALUE"""),"результаты местных исследований (рейтинги/аналитика/тенденции)")</f>
        <v>результаты местных исследований (рейтинги/аналитика/тенденции)</v>
      </c>
      <c r="R476" s="6" t="str">
        <f>IFERROR(__xludf.DUMMYFUNCTION("""COMPUTED_VALUE"""),"Новый Год, Дни Рождения близких.
Для других-не знаю")</f>
        <v>Новый Год, Дни Рождения близких.
Для других-не знаю</v>
      </c>
      <c r="S476" s="6" t="str">
        <f>IFERROR(__xludf.DUMMYFUNCTION("""COMPUTED_VALUE"""),"Нет, не приходилось")</f>
        <v>Нет, не приходилось</v>
      </c>
      <c r="T476" s="6" t="str">
        <f>IFERROR(__xludf.DUMMYFUNCTION("""COMPUTED_VALUE"""),"Углем и пожаром в ""Зимней вишни""")</f>
        <v>Углем и пожаром в "Зимней вишни"</v>
      </c>
      <c r="U476" s="6" t="str">
        <f>IFERROR(__xludf.DUMMYFUNCTION("""COMPUTED_VALUE"""),"Набережная")</f>
        <v>Набережная</v>
      </c>
      <c r="V476" s="6" t="str">
        <f>IFERROR(__xludf.DUMMYFUNCTION("""COMPUTED_VALUE"""),"Тулеев много сделал! А Цивилев все сейчас разрушает")</f>
        <v>Тулеев много сделал! А Цивилев все сейчас разрушает</v>
      </c>
      <c r="W476" s="6" t="str">
        <f>IFERROR(__xludf.DUMMYFUNCTION("""COMPUTED_VALUE"""),"Добрые, по словам приезжих")</f>
        <v>Добрые, по словам приезжих</v>
      </c>
      <c r="X476" s="6" t="str">
        <f>IFERROR(__xludf.DUMMYFUNCTION("""COMPUTED_VALUE"""),"Набережная-сосновый бор, крест, Кузбасс")</f>
        <v>Набережная-сосновый бор, крест, Кузбасс</v>
      </c>
      <c r="Y476" s="6" t="str">
        <f>IFERROR(__xludf.DUMMYFUNCTION("""COMPUTED_VALUE"""),"Смена губернатора")</f>
        <v>Смена губернатора</v>
      </c>
      <c r="Z476" s="6" t="str">
        <f>IFERROR(__xludf.DUMMYFUNCTION("""COMPUTED_VALUE"""),"Никаких")</f>
        <v>Никаких</v>
      </c>
      <c r="AA476" s="6" t="str">
        <f>IFERROR(__xludf.DUMMYFUNCTION("""COMPUTED_VALUE"""),"Приход Цивилева")</f>
        <v>Приход Цивилева</v>
      </c>
      <c r="AB476" s="6" t="str">
        <f>IFERROR(__xludf.DUMMYFUNCTION("""COMPUTED_VALUE"""),"Которые будут проверять власть!")</f>
        <v>Которые будут проверять власть!</v>
      </c>
      <c r="AC476" s="6" t="str">
        <f>IFERROR(__xludf.DUMMYFUNCTION("""COMPUTED_VALUE"""),"Мероприятия по поднятию зарплат! Очень будет интересно жить с хорошей зарплатой, а не на 20000 в съемном жилье с ребёнком!!!")</f>
        <v>Мероприятия по поднятию зарплат! Очень будет интересно жить с хорошей зарплатой, а не на 20000 в съемном жилье с ребёнком!!!</v>
      </c>
      <c r="AD476" s="6" t="str">
        <f>IFERROR(__xludf.DUMMYFUNCTION("""COMPUTED_VALUE"""),"Ни в каких")</f>
        <v>Ни в каких</v>
      </c>
      <c r="AE476" s="6" t="str">
        <f>IFERROR(__xludf.DUMMYFUNCTION("""COMPUTED_VALUE"""),"Женский")</f>
        <v>Женский</v>
      </c>
      <c r="AF476" s="6" t="str">
        <f>IFERROR(__xludf.DUMMYFUNCTION("""COMPUTED_VALUE"""),"30-44")</f>
        <v>30-44</v>
      </c>
      <c r="AG476" s="6"/>
      <c r="AH476" s="6"/>
      <c r="AI476" s="6"/>
      <c r="AJ476" s="6"/>
      <c r="AK476" s="6"/>
      <c r="AL476" s="6"/>
      <c r="AM476" s="6"/>
    </row>
    <row r="477">
      <c r="A477" s="6">
        <v>476.0</v>
      </c>
      <c r="B477" s="6" t="str">
        <f>IFERROR(__xludf.DUMMYFUNCTION("""COMPUTED_VALUE"""),"Библиотекарь ")</f>
        <v>Библиотекарь </v>
      </c>
      <c r="C477" s="6" t="str">
        <f>IFERROR(__xludf.DUMMYFUNCTION("""COMPUTED_VALUE"""),"люблю заниматься цветами  ")</f>
        <v>люблю заниматься цветами  </v>
      </c>
      <c r="D477" s="6" t="str">
        <f>IFERROR(__xludf.DUMMYFUNCTION("""COMPUTED_VALUE"""),"Кемеровский район")</f>
        <v>Кемеровский район</v>
      </c>
      <c r="E477" s="6" t="str">
        <f>IFERROR(__xludf.DUMMYFUNCTION("""COMPUTED_VALUE"""),"никаких")</f>
        <v>никаких</v>
      </c>
      <c r="F477" s="6" t="str">
        <f>IFERROR(__xludf.DUMMYFUNCTION("""COMPUTED_VALUE"""),"Живу здесь с рождения")</f>
        <v>Живу здесь с рождения</v>
      </c>
      <c r="G477" s="6" t="str">
        <f>IFERROR(__xludf.DUMMYFUNCTION("""COMPUTED_VALUE"""),"никуда")</f>
        <v>никуда</v>
      </c>
      <c r="H477" s="6" t="str">
        <f>IFERROR(__xludf.DUMMYFUNCTION("""COMPUTED_VALUE"""),"дом, барзас, шахты,разрезы, плохие дороги")</f>
        <v>дом, барзас, шахты,разрезы, плохие дороги</v>
      </c>
      <c r="I477" s="6" t="str">
        <f>IFERROR(__xludf.DUMMYFUNCTION("""COMPUTED_VALUE"""),"Гержидович")</f>
        <v>Гержидович</v>
      </c>
      <c r="J477" s="6" t="str">
        <f>IFERROR(__xludf.DUMMYFUNCTION("""COMPUTED_VALUE"""),"Леонов Алексей Архипович")</f>
        <v>Леонов Алексей Архипович</v>
      </c>
      <c r="K477" s="6" t="str">
        <f>IFERROR(__xludf.DUMMYFUNCTION("""COMPUTED_VALUE"""),"Монумент «Память шахтерам Кузбасса»
Красная гора")</f>
        <v>Монумент «Память шахтерам Кузбасса»
Красная гора</v>
      </c>
      <c r="L477" s="6" t="str">
        <f>IFERROR(__xludf.DUMMYFUNCTION("""COMPUTED_VALUE"""),"Уголек, как золото: и блестит и ценится.")</f>
        <v>Уголек, как золото: и блестит и ценится.</v>
      </c>
      <c r="M477" s="6" t="str">
        <f>IFERROR(__xludf.DUMMYFUNCTION("""COMPUTED_VALUE"""),"нет")</f>
        <v>нет</v>
      </c>
      <c r="N477" s="6" t="str">
        <f>IFERROR(__xludf.DUMMYFUNCTION("""COMPUTED_VALUE"""),"экономические,социальные,экологические, развитие города, комфортность")</f>
        <v>экономические,социальные,экологические, развитие города, комфортность</v>
      </c>
      <c r="O477" s="6" t="str">
        <f>IFERROR(__xludf.DUMMYFUNCTION("""COMPUTED_VALUE"""),"уровень заработной платы")</f>
        <v>уровень заработной платы</v>
      </c>
      <c r="P477" s="6" t="str">
        <f>IFERROR(__xludf.DUMMYFUNCTION("""COMPUTED_VALUE"""),"по телевизору")</f>
        <v>по телевизору</v>
      </c>
      <c r="Q477"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477" s="6" t="str">
        <f>IFERROR(__xludf.DUMMYFUNCTION("""COMPUTED_VALUE"""),"день шахтера")</f>
        <v>день шахтера</v>
      </c>
      <c r="S477" s="6" t="str">
        <f>IFERROR(__xludf.DUMMYFUNCTION("""COMPUTED_VALUE"""),"Нет, не приходилось")</f>
        <v>Нет, не приходилось</v>
      </c>
      <c r="T477" s="6" t="str">
        <f>IFERROR(__xludf.DUMMYFUNCTION("""COMPUTED_VALUE"""),"ничегго")</f>
        <v>ничегго</v>
      </c>
      <c r="U477" s="6" t="str">
        <f>IFERROR(__xludf.DUMMYFUNCTION("""COMPUTED_VALUE"""),"площадь совета")</f>
        <v>площадь совета</v>
      </c>
      <c r="V477" s="6" t="str">
        <f>IFERROR(__xludf.DUMMYFUNCTION("""COMPUTED_VALUE"""),"не знаю")</f>
        <v>не знаю</v>
      </c>
      <c r="W477" s="6" t="str">
        <f>IFERROR(__xludf.DUMMYFUNCTION("""COMPUTED_VALUE"""),"трудолюбивые ")</f>
        <v>трудолюбивые </v>
      </c>
      <c r="X477" s="6" t="str">
        <f>IFERROR(__xludf.DUMMYFUNCTION("""COMPUTED_VALUE"""),"не знаю")</f>
        <v>не знаю</v>
      </c>
      <c r="Y477" s="6" t="str">
        <f>IFERROR(__xludf.DUMMYFUNCTION("""COMPUTED_VALUE"""),"не знаю")</f>
        <v>не знаю</v>
      </c>
      <c r="Z477" s="6" t="str">
        <f>IFERROR(__xludf.DUMMYFUNCTION("""COMPUTED_VALUE"""),"пока не знаю")</f>
        <v>пока не знаю</v>
      </c>
      <c r="AA477" s="6" t="str">
        <f>IFERROR(__xludf.DUMMYFUNCTION("""COMPUTED_VALUE"""),"затрудняюсь ответить")</f>
        <v>затрудняюсь ответить</v>
      </c>
      <c r="AB477" s="6" t="str">
        <f>IFERROR(__xludf.DUMMYFUNCTION("""COMPUTED_VALUE"""),"затрудняюсь ответить")</f>
        <v>затрудняюсь ответить</v>
      </c>
      <c r="AC477" s="6" t="str">
        <f>IFERROR(__xludf.DUMMYFUNCTION("""COMPUTED_VALUE"""),"поднять уровень жизни")</f>
        <v>поднять уровень жизни</v>
      </c>
      <c r="AD47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477" s="6" t="str">
        <f>IFERROR(__xludf.DUMMYFUNCTION("""COMPUTED_VALUE"""),"Женский")</f>
        <v>Женский</v>
      </c>
      <c r="AF477" s="6" t="str">
        <f>IFERROR(__xludf.DUMMYFUNCTION("""COMPUTED_VALUE"""),"30-44")</f>
        <v>30-44</v>
      </c>
      <c r="AG477" s="6"/>
      <c r="AH477" s="6"/>
      <c r="AI477" s="6"/>
      <c r="AJ477" s="6"/>
      <c r="AK477" s="6"/>
      <c r="AL477" s="6"/>
      <c r="AM477" s="6"/>
    </row>
    <row r="478">
      <c r="A478" s="6">
        <v>477.0</v>
      </c>
      <c r="B478" s="6" t="str">
        <f>IFERROR(__xludf.DUMMYFUNCTION("""COMPUTED_VALUE"""),"Образование (учитель ИЯ)")</f>
        <v>Образование (учитель ИЯ)</v>
      </c>
      <c r="C478" s="6" t="str">
        <f>IFERROR(__xludf.DUMMYFUNCTION("""COMPUTED_VALUE"""),"Чтение художественной литературы")</f>
        <v>Чтение художественной литературы</v>
      </c>
      <c r="D478" s="6" t="str">
        <f>IFERROR(__xludf.DUMMYFUNCTION("""COMPUTED_VALUE"""),"Ленинский (называю Ленинским)")</f>
        <v>Ленинский (называю Ленинским)</v>
      </c>
      <c r="E478" s="6" t="str">
        <f>IFERROR(__xludf.DUMMYFUNCTION("""COMPUTED_VALUE"""),"Бульвар Строителей")</f>
        <v>Бульвар Строителей</v>
      </c>
      <c r="F478" s="6" t="str">
        <f>IFERROR(__xludf.DUMMYFUNCTION("""COMPUTED_VALUE"""),"Живу здесь с рождения")</f>
        <v>Живу здесь с рождения</v>
      </c>
      <c r="G478" s="6" t="str">
        <f>IFERROR(__xludf.DUMMYFUNCTION("""COMPUTED_VALUE"""),"На бульвар Строителей, в центр города или на набережную, вокруг Медицинской академии и б. КемТИППа (для пеших прогулок)")</f>
        <v>На бульвар Строителей, в центр города или на набережную, вокруг Медицинской академии и б. КемТИППа (для пеших прогулок)</v>
      </c>
      <c r="H478" s="6" t="str">
        <f>IFERROR(__xludf.DUMMYFUNCTION("""COMPUTED_VALUE"""),"Унылый, однотипный, зеленый (в смысле деревьев и цветов), тихий, провинциальный")</f>
        <v>Унылый, однотипный, зеленый (в смысле деревьев и цветов), тихий, провинциальный</v>
      </c>
      <c r="I478" s="6" t="str">
        <f>IFERROR(__xludf.DUMMYFUNCTION("""COMPUTED_VALUE"""),"Михайло Волков, С. Рутгерс, В.Д. Федоров")</f>
        <v>Михайло Волков, С. Рутгерс, В.Д. Федоров</v>
      </c>
      <c r="J478" s="6" t="str">
        <f>IFERROR(__xludf.DUMMYFUNCTION("""COMPUTED_VALUE"""),"Евгений Гришковец (любимец моего учителя литературы, которая учила и самого писателя)")</f>
        <v>Евгений Гришковец (любимец моего учителя литературы, которая учила и самого писателя)</v>
      </c>
      <c r="K478" s="6" t="str">
        <f>IFERROR(__xludf.DUMMYFUNCTION("""COMPUTED_VALUE"""),"Памятник шахтеру (на Красной горке) и музей-заповедник АИК, комплекс зданий на площади Советов, театральная площадь и улица Весенняя с Вечным огнем, жилкомбинат Эрнста Мая и маленький памятник горняку, Дворец труда на Карболитовской")</f>
        <v>Памятник шахтеру (на Красной горке) и музей-заповедник АИК, комплекс зданий на площади Советов, театральная площадь и улица Весенняя с Вечным огнем, жилкомбинат Эрнста Мая и маленький памятник горняку, Дворец труда на Карболитовской</v>
      </c>
      <c r="L478" s="6" t="str">
        <f>IFERROR(__xludf.DUMMYFUNCTION("""COMPUTED_VALUE"""),"Даешь стране угля, мелкого, но много (так говорит мой папа о сомнительных достижениях), Нам не нужен уголь такой ценой! (так говорит мой папа о сомнительных предприятиях), Песня о коногоне (которую переделали в «По полю танки грохотали»)")</f>
        <v>Даешь стране угля, мелкого, но много (так говорит мой папа о сомнительных достижениях), Нам не нужен уголь такой ценой! (так говорит мой папа о сомнительных предприятиях), Песня о коногоне (которую переделали в «По полю танки грохотали»)</v>
      </c>
      <c r="M478" s="6" t="str">
        <f>IFERROR(__xludf.DUMMYFUNCTION("""COMPUTED_VALUE"""),"Пайка (в значении «еда с собой»), пластаться (в значении «работать»), мультифора (в значении «файл», но в Томске, Новосибирске и Барнауле тоже так называют)")</f>
        <v>Пайка (в значении «еда с собой»), пластаться (в значении «работать»), мультифора (в значении «файл», но в Томске, Новосибирске и Барнауле тоже так называют)</v>
      </c>
      <c r="N478" s="6" t="str">
        <f>IFERROR(__xludf.DUMMYFUNCTION("""COMPUTED_VALUE"""),"Убирают мусор и снег, понятная планировка улиц, общественный транспорт до 23:00-24:00 ходит во все районы города, хорошие очистные сооружения, с вокзала реально ходят поезда и электрички в другие города каждый день")</f>
        <v>Убирают мусор и снег, понятная планировка улиц, общественный транспорт до 23:00-24:00 ходит во все районы города, хорошие очистные сооружения, с вокзала реально ходят поезда и электрички в другие города каждый день</v>
      </c>
      <c r="O478" s="6" t="str">
        <f>IFERROR(__xludf.DUMMYFUNCTION("""COMPUTED_VALUE"""),"На Химиков покрасили одну старую хрущевку в цвета РЖД, стало привлекательнее, так что можно хотя бы покрасить унылые типовые дома")</f>
        <v>На Химиков покрасили одну старую хрущевку в цвета РЖД, стало привлекательнее, так что можно хотя бы покрасить унылые типовые дома</v>
      </c>
      <c r="P478" s="6" t="str">
        <f>IFERROR(__xludf.DUMMYFUNCTION("""COMPUTED_VALUE"""),"Газета 42, вКонтакте (сообщество Тотального диктанта)")</f>
        <v>Газета 42, вКонтакте (сообщество Тотального диктанта)</v>
      </c>
      <c r="Q478" s="6" t="str">
        <f>IFERROR(__xludf.DUMMYFUNCTION("""COMPUTED_VALUE"""),"городская афиша (кино/театр/концерты), результаты местных исследований (рейтинги/аналитика/тенденции), Новости про коронавирус")</f>
        <v>городская афиша (кино/театр/концерты), результаты местных исследований (рейтинги/аналитика/тенденции), Новости про коронавирус</v>
      </c>
      <c r="R478" s="6" t="str">
        <f>IFERROR(__xludf.DUMMYFUNCTION("""COMPUTED_VALUE"""),"Для меня – никакие, но некоторым нравится День города")</f>
        <v>Для меня – никакие, но некоторым нравится День города</v>
      </c>
      <c r="S478" s="6" t="str">
        <f>IFERROR(__xludf.DUMMYFUNCTION("""COMPUTED_VALUE"""),"Нет, не приходилось")</f>
        <v>Нет, не приходилось</v>
      </c>
      <c r="T478" s="6" t="str">
        <f>IFERROR(__xludf.DUMMYFUNCTION("""COMPUTED_VALUE"""),"Знакомые из других городов слышали, что в Кемерово был Тулеев, «Зимняя вишня» и что-то про уголь")</f>
        <v>Знакомые из других городов слышали, что в Кемерово был Тулеев, «Зимняя вишня» и что-то про уголь</v>
      </c>
      <c r="U478" s="6" t="str">
        <f>IFERROR(__xludf.DUMMYFUNCTION("""COMPUTED_VALUE"""),"Центр города на Весенней")</f>
        <v>Центр города на Весенней</v>
      </c>
      <c r="V478" s="6" t="str">
        <f>IFERROR(__xludf.DUMMYFUNCTION("""COMPUTED_VALUE"""),"Не бросали город, а оставались в нем жить и работать")</f>
        <v>Не бросали город, а оставались в нем жить и работать</v>
      </c>
      <c r="W478" s="6" t="str">
        <f>IFERROR(__xludf.DUMMYFUNCTION("""COMPUTED_VALUE"""),"Спокойные (по сравнению с новокузнечанами)")</f>
        <v>Спокойные (по сравнению с новокузнечанами)</v>
      </c>
      <c r="X478" s="6" t="str">
        <f>IFERROR(__xludf.DUMMYFUNCTION("""COMPUTED_VALUE"""),"По Советскому, Весенней, Островского")</f>
        <v>По Советскому, Весенней, Островского</v>
      </c>
      <c r="Y478" s="6" t="str">
        <f>IFERROR(__xludf.DUMMYFUNCTION("""COMPUTED_VALUE"""),"Основание АИК и строительство КХЗ")</f>
        <v>Основание АИК и строительство КХЗ</v>
      </c>
      <c r="Z478" s="6" t="str">
        <f>IFERROR(__xludf.DUMMYFUNCTION("""COMPUTED_VALUE"""),"Открытие отремонтированного бульвара Строителей (и голосование, какой объект финансировать)")</f>
        <v>Открытие отремонтированного бульвара Строителей (и голосование, какой объект финансировать)</v>
      </c>
      <c r="AA478" s="6" t="str">
        <f>IFERROR(__xludf.DUMMYFUNCTION("""COMPUTED_VALUE"""),"За последние 2 никаких")</f>
        <v>За последние 2 никаких</v>
      </c>
      <c r="AB478" s="6" t="str">
        <f>IFERROR(__xludf.DUMMYFUNCTION("""COMPUTED_VALUE"""),"Я интроверт, мне сообщества не особенно нужны, но хотелось бы, чтобы клуб «60 секунд» восстановился")</f>
        <v>Я интроверт, мне сообщества не особенно нужны, но хотелось бы, чтобы клуб «60 секунд» восстановился</v>
      </c>
      <c r="AC478" s="6" t="str">
        <f>IFERROR(__xludf.DUMMYFUNCTION("""COMPUTED_VALUE"""),"Акции типа Тотального диктанта, а не только бар-квизы")</f>
        <v>Акции типа Тотального диктанта, а не только бар-квизы</v>
      </c>
      <c r="AD478" s="6" t="str">
        <f>IFERROR(__xludf.DUMMYFUNCTION("""COMPUTED_VALUE"""),"Не готов принимать личное участие (укажите, пожалуйста, причину в поле «Другое»), Могу принимать участие в опросах, голосованиях и прочих поисках идей онлайн")</f>
        <v>Не готов принимать личное участие (укажите, пожалуйста, причину в поле «Другое»), Могу принимать участие в опросах, голосованиях и прочих поисках идей онлайн</v>
      </c>
      <c r="AE478" s="6" t="str">
        <f>IFERROR(__xludf.DUMMYFUNCTION("""COMPUTED_VALUE"""),"Женский")</f>
        <v>Женский</v>
      </c>
      <c r="AF478" s="6" t="str">
        <f>IFERROR(__xludf.DUMMYFUNCTION("""COMPUTED_VALUE"""),"30-44")</f>
        <v>30-44</v>
      </c>
      <c r="AG478" s="6"/>
      <c r="AH478" s="6"/>
      <c r="AI478" s="6"/>
      <c r="AJ478" s="6"/>
      <c r="AK478" s="6"/>
      <c r="AL478" s="6"/>
      <c r="AM478" s="6"/>
    </row>
    <row r="479">
      <c r="A479" s="6">
        <v>478.0</v>
      </c>
      <c r="B479" s="6" t="str">
        <f>IFERROR(__xludf.DUMMYFUNCTION("""COMPUTED_VALUE"""),"служащая")</f>
        <v>служащая</v>
      </c>
      <c r="C479" s="6" t="str">
        <f>IFERROR(__xludf.DUMMYFUNCTION("""COMPUTED_VALUE"""),"нет")</f>
        <v>нет</v>
      </c>
      <c r="D479" s="6" t="str">
        <f>IFERROR(__xludf.DUMMYFUNCTION("""COMPUTED_VALUE"""),"Березовский городской округ")</f>
        <v>Березовский городской округ</v>
      </c>
      <c r="E479" s="6" t="str">
        <f>IFERROR(__xludf.DUMMYFUNCTION("""COMPUTED_VALUE"""),"центральная площадь города")</f>
        <v>центральная площадь города</v>
      </c>
      <c r="F479" s="6" t="str">
        <f>IFERROR(__xludf.DUMMYFUNCTION("""COMPUTED_VALUE"""),"Переехал сюда из другого места (откуда? укажите в графе другое), из г. Ангарск")</f>
        <v>Переехал сюда из другого места (откуда? укажите в графе другое), из г. Ангарск</v>
      </c>
      <c r="G479" s="6" t="str">
        <f>IFERROR(__xludf.DUMMYFUNCTION("""COMPUTED_VALUE"""),"на лыжную базу")</f>
        <v>на лыжную базу</v>
      </c>
      <c r="H479" s="6" t="str">
        <f>IFERROR(__xludf.DUMMYFUNCTION("""COMPUTED_VALUE"""),"тайга, береза, природа, красота, работа")</f>
        <v>тайга, береза, природа, красота, работа</v>
      </c>
      <c r="I479" s="6" t="str">
        <f>IFERROR(__xludf.DUMMYFUNCTION("""COMPUTED_VALUE"""),"В.Д. Чворо")</f>
        <v>В.Д. Чворо</v>
      </c>
      <c r="J479" s="6" t="str">
        <f>IFERROR(__xludf.DUMMYFUNCTION("""COMPUTED_VALUE"""),"Подгорбунский")</f>
        <v>Подгорбунский</v>
      </c>
      <c r="K479" s="6" t="str">
        <f>IFERROR(__xludf.DUMMYFUNCTION("""COMPUTED_VALUE"""),"бассейн")</f>
        <v>бассейн</v>
      </c>
      <c r="L479" s="6" t="str">
        <f>IFERROR(__xludf.DUMMYFUNCTION("""COMPUTED_VALUE"""),"город с шахтерским характером")</f>
        <v>город с шахтерским характером</v>
      </c>
      <c r="M479" s="6" t="str">
        <f>IFERROR(__xludf.DUMMYFUNCTION("""COMPUTED_VALUE"""),"нет")</f>
        <v>нет</v>
      </c>
      <c r="N479" s="6" t="str">
        <f>IFERROR(__xludf.DUMMYFUNCTION("""COMPUTED_VALUE"""),"транспорт, поликлиники, больница, культура, спорт")</f>
        <v>транспорт, поликлиники, больница, культура, спорт</v>
      </c>
      <c r="O479" s="6" t="str">
        <f>IFERROR(__xludf.DUMMYFUNCTION("""COMPUTED_VALUE"""),"здравоохранение")</f>
        <v>здравоохранение</v>
      </c>
      <c r="P479" s="6" t="str">
        <f>IFERROR(__xludf.DUMMYFUNCTION("""COMPUTED_VALUE"""),"СМИ")</f>
        <v>СМИ</v>
      </c>
      <c r="Q479" s="6" t="str">
        <f>IFERROR(__xludf.DUMMYFUNCTION("""COMPUTED_VALUE"""),"куда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f>
        <v>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v>
      </c>
      <c r="R479" s="6" t="str">
        <f>IFERROR(__xludf.DUMMYFUNCTION("""COMPUTED_VALUE"""),"день города")</f>
        <v>день города</v>
      </c>
      <c r="S479" s="6" t="str">
        <f>IFERROR(__xludf.DUMMYFUNCTION("""COMPUTED_VALUE"""),"Через социальные сети (Какие? Укажите в графе другое)")</f>
        <v>Через социальные сети (Какие? Укажите в графе другое)</v>
      </c>
      <c r="T479" s="6" t="str">
        <f>IFERROR(__xludf.DUMMYFUNCTION("""COMPUTED_VALUE"""),"столица шахтерского труда")</f>
        <v>столица шахтерского труда</v>
      </c>
      <c r="U479" s="6" t="str">
        <f>IFERROR(__xludf.DUMMYFUNCTION("""COMPUTED_VALUE"""),"центральную площадь")</f>
        <v>центральную площадь</v>
      </c>
      <c r="V479" s="6" t="str">
        <f>IFERROR(__xludf.DUMMYFUNCTION("""COMPUTED_VALUE"""),"все: труд, спорт, культура и др.")</f>
        <v>все: труд, спорт, культура и др.</v>
      </c>
      <c r="W479" s="6" t="str">
        <f>IFERROR(__xludf.DUMMYFUNCTION("""COMPUTED_VALUE"""),"крепкие сибиряки")</f>
        <v>крепкие сибиряки</v>
      </c>
      <c r="X479" s="6" t="str">
        <f>IFERROR(__xludf.DUMMYFUNCTION("""COMPUTED_VALUE"""),"пр-т Ленина")</f>
        <v>пр-т Ленина</v>
      </c>
      <c r="Y479" s="6" t="str">
        <f>IFERROR(__xludf.DUMMYFUNCTION("""COMPUTED_VALUE"""),"рождение города")</f>
        <v>рождение города</v>
      </c>
      <c r="Z479" s="6" t="str">
        <f>IFERROR(__xludf.DUMMYFUNCTION("""COMPUTED_VALUE"""),"не посещала")</f>
        <v>не посещала</v>
      </c>
      <c r="AA479" s="6" t="str">
        <f>IFERROR(__xludf.DUMMYFUNCTION("""COMPUTED_VALUE"""),"нет таких")</f>
        <v>нет таких</v>
      </c>
      <c r="AB479" s="6" t="str">
        <f>IFERROR(__xludf.DUMMYFUNCTION("""COMPUTED_VALUE"""),"хватает всех")</f>
        <v>хватает всех</v>
      </c>
      <c r="AC479" s="6" t="str">
        <f>IFERROR(__xludf.DUMMYFUNCTION("""COMPUTED_VALUE"""),"все есть для интересной жизни")</f>
        <v>все есть для интересной жизни</v>
      </c>
      <c r="AD479" s="6" t="str">
        <f>IFERROR(__xludf.DUMMYFUNCTION("""COMPUTED_VALUE"""),"Не готов принимать личное участие (укажите, пожалуйста, причину в поле «Другое»), нет времени")</f>
        <v>Не готов принимать личное участие (укажите, пожалуйста, причину в поле «Другое»), нет времени</v>
      </c>
      <c r="AE479" s="6" t="str">
        <f>IFERROR(__xludf.DUMMYFUNCTION("""COMPUTED_VALUE"""),"Женский")</f>
        <v>Женский</v>
      </c>
      <c r="AF479" s="6" t="str">
        <f>IFERROR(__xludf.DUMMYFUNCTION("""COMPUTED_VALUE"""),"старше 55")</f>
        <v>старше 55</v>
      </c>
      <c r="AG479" s="6"/>
      <c r="AH479" s="6"/>
      <c r="AI479" s="6"/>
      <c r="AJ479" s="6"/>
      <c r="AK479" s="6"/>
      <c r="AL479" s="6"/>
      <c r="AM479" s="6"/>
    </row>
    <row r="480">
      <c r="A480" s="6">
        <v>479.0</v>
      </c>
      <c r="B480" s="6" t="str">
        <f>IFERROR(__xludf.DUMMYFUNCTION("""COMPUTED_VALUE"""),"работник библиотеки")</f>
        <v>работник библиотеки</v>
      </c>
      <c r="C480" s="6" t="str">
        <f>IFERROR(__xludf.DUMMYFUNCTION("""COMPUTED_VALUE"""),"люблю выращивать цветы")</f>
        <v>люблю выращивать цветы</v>
      </c>
      <c r="D480" s="6" t="str">
        <f>IFERROR(__xludf.DUMMYFUNCTION("""COMPUTED_VALUE"""),"Г.Березовский")</f>
        <v>Г.Березовский</v>
      </c>
      <c r="E480" s="6" t="str">
        <f>IFERROR(__xludf.DUMMYFUNCTION("""COMPUTED_VALUE"""),"Цирк, филармония, театр драмы")</f>
        <v>Цирк, филармония, театр драмы</v>
      </c>
      <c r="F480" s="6" t="str">
        <f>IFERROR(__xludf.DUMMYFUNCTION("""COMPUTED_VALUE"""),"Не живу,но приезжаю сюда (к родственникам/друзьям)")</f>
        <v>Не живу,но приезжаю сюда (к родственникам/друзьям)</v>
      </c>
      <c r="G480" s="6" t="str">
        <f>IFERROR(__xludf.DUMMYFUNCTION("""COMPUTED_VALUE"""),"В театры")</f>
        <v>В театры</v>
      </c>
      <c r="H480" s="6" t="str">
        <f>IFERROR(__xludf.DUMMYFUNCTION("""COMPUTED_VALUE"""),"ж.д.вокзал. Кемеровская филармония, цирк")</f>
        <v>ж.д.вокзал. Кемеровская филармония, цирк</v>
      </c>
      <c r="I480" s="6" t="str">
        <f>IFERROR(__xludf.DUMMYFUNCTION("""COMPUTED_VALUE"""),"затрудняюсь ответить")</f>
        <v>затрудняюсь ответить</v>
      </c>
      <c r="J480" s="6" t="str">
        <f>IFERROR(__xludf.DUMMYFUNCTION("""COMPUTED_VALUE"""),"А.Г.Тулеев ")</f>
        <v>А.Г.Тулеев </v>
      </c>
      <c r="K480" s="6" t="str">
        <f>IFERROR(__xludf.DUMMYFUNCTION("""COMPUTED_VALUE"""),"Парк Ангелов")</f>
        <v>Парк Ангелов</v>
      </c>
      <c r="L480" s="6" t="str">
        <f>IFERROR(__xludf.DUMMYFUNCTION("""COMPUTED_VALUE"""),"Мал золотник, да дорог")</f>
        <v>Мал золотник, да дорог</v>
      </c>
      <c r="M480" s="6" t="str">
        <f>IFERROR(__xludf.DUMMYFUNCTION("""COMPUTED_VALUE"""),"нет")</f>
        <v>нет</v>
      </c>
      <c r="N480" s="6" t="str">
        <f>IFERROR(__xludf.DUMMYFUNCTION("""COMPUTED_VALUE"""),"озеленение, парки, водоемы и пляжи")</f>
        <v>озеленение, парки, водоемы и пляжи</v>
      </c>
      <c r="O480" s="6" t="str">
        <f>IFERROR(__xludf.DUMMYFUNCTION("""COMPUTED_VALUE"""),"Устранить загазованность воздуха")</f>
        <v>Устранить загазованность воздуха</v>
      </c>
      <c r="P480" s="6" t="str">
        <f>IFERROR(__xludf.DUMMYFUNCTION("""COMPUTED_VALUE"""),"КУзбасс Онлайн")</f>
        <v>КУзбасс Онлайн</v>
      </c>
      <c r="Q480" s="6" t="str">
        <f>IFERROR(__xludf.DUMMYFUNCTION("""COMPUTED_VALUE"""),"куда пойти в свободное время, интервью с местными политиками, интервью с местными творческими личностями")</f>
        <v>куда пойти в свободное время, интервью с местными политиками, интервью с местными творческими личностями</v>
      </c>
      <c r="R480" s="6" t="str">
        <f>IFERROR(__xludf.DUMMYFUNCTION("""COMPUTED_VALUE"""),"9 мая, Н-год, Масленица")</f>
        <v>9 мая, Н-год, Масленица</v>
      </c>
      <c r="S480" s="6" t="str">
        <f>IFERROR(__xludf.DUMMYFUNCTION("""COMPUTED_VALUE"""),"Нет, не приходилось")</f>
        <v>Нет, не приходилось</v>
      </c>
      <c r="T480" s="6" t="str">
        <f>IFERROR(__xludf.DUMMYFUNCTION("""COMPUTED_VALUE"""),"Река Томь,  музей на Красной горке")</f>
        <v>Река Томь,  музей на Красной горке</v>
      </c>
      <c r="U480" s="6" t="str">
        <f>IFERROR(__xludf.DUMMYFUNCTION("""COMPUTED_VALUE"""),"Администрация Правительства Кузбасса")</f>
        <v>Администрация Правительства Кузбасса</v>
      </c>
      <c r="V480" s="6" t="str">
        <f>IFERROR(__xludf.DUMMYFUNCTION("""COMPUTED_VALUE"""),"Открытие угольных месторождений и строительство заводов")</f>
        <v>Открытие угольных месторождений и строительство заводов</v>
      </c>
      <c r="W480" s="6" t="str">
        <f>IFERROR(__xludf.DUMMYFUNCTION("""COMPUTED_VALUE"""),"Доброжелательные, гостеприимные, трудолюбивые")</f>
        <v>Доброжелательные, гостеприимные, трудолюбивые</v>
      </c>
      <c r="X480" s="6" t="str">
        <f>IFERROR(__xludf.DUMMYFUNCTION("""COMPUTED_VALUE"""),"Проспект Ленина")</f>
        <v>Проспект Ленина</v>
      </c>
      <c r="Y480" s="6" t="str">
        <f>IFERROR(__xludf.DUMMYFUNCTION("""COMPUTED_VALUE"""),"затрудняюсь ответить")</f>
        <v>затрудняюсь ответить</v>
      </c>
      <c r="Z480" s="6" t="str">
        <f>IFERROR(__xludf.DUMMYFUNCTION("""COMPUTED_VALUE"""),"Строительство Кадетского училища")</f>
        <v>Строительство Кадетского училища</v>
      </c>
      <c r="AA480" s="6" t="str">
        <f>IFERROR(__xludf.DUMMYFUNCTION("""COMPUTED_VALUE"""),"Гибель людей в  пожаре ""Зимней Вишни""")</f>
        <v>Гибель людей в  пожаре "Зимней Вишни"</v>
      </c>
      <c r="AB480" s="6" t="str">
        <f>IFERROR(__xludf.DUMMYFUNCTION("""COMPUTED_VALUE"""),"затрудняюсь ответить")</f>
        <v>затрудняюсь ответить</v>
      </c>
      <c r="AC480" s="6" t="str">
        <f>IFERROR(__xludf.DUMMYFUNCTION("""COMPUTED_VALUE"""),"Увеличить количество  зон отдыха в городе")</f>
        <v>Увеличить количество  зон отдыха в городе</v>
      </c>
      <c r="AD48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480" s="6" t="str">
        <f>IFERROR(__xludf.DUMMYFUNCTION("""COMPUTED_VALUE"""),"Женский")</f>
        <v>Женский</v>
      </c>
      <c r="AF480" s="6" t="str">
        <f>IFERROR(__xludf.DUMMYFUNCTION("""COMPUTED_VALUE"""),"старше 55")</f>
        <v>старше 55</v>
      </c>
      <c r="AG480" s="6"/>
      <c r="AH480" s="6"/>
      <c r="AI480" s="6"/>
      <c r="AJ480" s="6"/>
      <c r="AK480" s="6"/>
      <c r="AL480" s="6"/>
      <c r="AM480" s="6"/>
    </row>
    <row r="481">
      <c r="A481" s="6">
        <v>480.0</v>
      </c>
      <c r="B481" s="6" t="str">
        <f>IFERROR(__xludf.DUMMYFUNCTION("""COMPUTED_VALUE"""),"педагог")</f>
        <v>педагог</v>
      </c>
      <c r="C481" s="6" t="str">
        <f>IFERROR(__xludf.DUMMYFUNCTION("""COMPUTED_VALUE"""),"танцую")</f>
        <v>танцую</v>
      </c>
      <c r="D481" s="6" t="str">
        <f>IFERROR(__xludf.DUMMYFUNCTION("""COMPUTED_VALUE"""),"в Центральном. Центр")</f>
        <v>в Центральном. Центр</v>
      </c>
      <c r="E481" s="6" t="str">
        <f>IFERROR(__xludf.DUMMYFUNCTION("""COMPUTED_VALUE"""),"набережная с Вечным огнем, Драмтеатр с фонтаном")</f>
        <v>набережная с Вечным огнем, Драмтеатр с фонтаном</v>
      </c>
      <c r="F481" s="6" t="str">
        <f>IFERROR(__xludf.DUMMYFUNCTION("""COMPUTED_VALUE"""),"Переехал сюда из другого места (откуда? укажите в графе другое), переехала из Тайги в 1985 г.")</f>
        <v>Переехал сюда из другого места (откуда? укажите в графе другое), переехала из Тайги в 1985 г.</v>
      </c>
      <c r="G481" s="6" t="str">
        <f>IFERROR(__xludf.DUMMYFUNCTION("""COMPUTED_VALUE"""),"набережная, Красная горка, Парк чудес, ул. Весенняя, бульвар Строителей")</f>
        <v>набережная, Красная горка, Парк чудес, ул. Весенняя, бульвар Строителей</v>
      </c>
      <c r="H481" s="6" t="str">
        <f>IFERROR(__xludf.DUMMYFUNCTION("""COMPUTED_VALUE"""),"Томь, труженик, промышленность, химия, зелень")</f>
        <v>Томь, труженик, промышленность, химия, зелень</v>
      </c>
      <c r="I481" s="6" t="str">
        <f>IFERROR(__xludf.DUMMYFUNCTION("""COMPUTED_VALUE"""),"М. Волков, А. Панин, Рутгерс, Мартемьянов")</f>
        <v>М. Волков, А. Панин, Рутгерс, Мартемьянов</v>
      </c>
      <c r="J481" s="6" t="str">
        <f>IFERROR(__xludf.DUMMYFUNCTION("""COMPUTED_VALUE""")," Тулеев, Михайлов")</f>
        <v> Тулеев, Михайлов</v>
      </c>
      <c r="K481" s="6" t="str">
        <f>IFERROR(__xludf.DUMMYFUNCTION("""COMPUTED_VALUE"""),"памятник шахтерам Э. Неизвестного, Красная горка, скульптура рабочего во дворе по ул. Ермака, всю архитектуру центра (советскую), ")</f>
        <v>памятник шахтерам Э. Неизвестного, Красная горка, скульптура рабочего во дворе по ул. Ермака, всю архитектуру центра (советскую), </v>
      </c>
      <c r="L481" s="6" t="str">
        <f>IFERROR(__xludf.DUMMYFUNCTION("""COMPUTED_VALUE"""),"Суровая родина")</f>
        <v>Суровая родина</v>
      </c>
      <c r="M481" s="6" t="str">
        <f>IFERROR(__xludf.DUMMYFUNCTION("""COMPUTED_VALUE"""),"""на горе"" (универмаг), ""тухачи, терешки"", ")</f>
        <v>"на горе" (универмаг), "тухачи, терешки", </v>
      </c>
      <c r="N481" s="6" t="str">
        <f>IFERROR(__xludf.DUMMYFUNCTION("""COMPUTED_VALUE"""),"чистота, транспортная доступность, зелень, зоны отдыха на открытом воздухе, выбор мест для досуга")</f>
        <v>чистота, транспортная доступность, зелень, зоны отдыха на открытом воздухе, выбор мест для досуга</v>
      </c>
      <c r="O481" s="6" t="str">
        <f>IFERROR(__xludf.DUMMYFUNCTION("""COMPUTED_VALUE"""),"привести транспортную инфраструктура в соответствие с новыми грандиозными объектами; ограничить громоздкую наружную рекламу")</f>
        <v>привести транспортную инфраструктура в соответствие с новыми грандиозными объектами; ограничить громоздкую наружную рекламу</v>
      </c>
      <c r="P481" s="6" t="str">
        <f>IFERROR(__xludf.DUMMYFUNCTION("""COMPUTED_VALUE"""),"афиши, знакомые, яндекс-новости")</f>
        <v>афиши, знакомые, яндекс-новости</v>
      </c>
      <c r="Q481"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481" s="6" t="str">
        <f>IFERROR(__xludf.DUMMYFUNCTION("""COMPUTED_VALUE"""),"все мероприятия 9 мая; ")</f>
        <v>все мероприятия 9 мая; </v>
      </c>
      <c r="S481" s="6" t="str">
        <f>IFERROR(__xludf.DUMMYFUNCTION("""COMPUTED_VALUE"""),"Нет, не приходилось")</f>
        <v>Нет, не приходилось</v>
      </c>
      <c r="T481" s="6" t="str">
        <f>IFERROR(__xludf.DUMMYFUNCTION("""COMPUTED_VALUE"""),"""Прославились"" трагедией в ""Зимней вишне"". Уникальность - в сохранении исторического центра города с памятником Ленину; памятник погибшим шахтерам.")</f>
        <v>"Прославились" трагедией в "Зимней вишне". Уникальность - в сохранении исторического центра города с памятником Ленину; памятник погибшим шахтерам.</v>
      </c>
      <c r="U481" s="6" t="str">
        <f>IFERROR(__xludf.DUMMYFUNCTION("""COMPUTED_VALUE"""),"Символический - это Красная горка и набережная с памятником погибшим кузбассовцам")</f>
        <v>Символический - это Красная горка и набережная с памятником погибшим кузбассовцам</v>
      </c>
      <c r="V481" s="6" t="str">
        <f>IFERROR(__xludf.DUMMYFUNCTION("""COMPUTED_VALUE"""),"заложили Комсомольский парк;  выходили на традиционные весенние субботники по благоустройству города")</f>
        <v>заложили Комсомольский парк;  выходили на традиционные весенние субботники по благоустройству города</v>
      </c>
      <c r="W481" s="6" t="str">
        <f>IFERROR(__xludf.DUMMYFUNCTION("""COMPUTED_VALUE"""),"деловитый, но простоватый; наивный, как провинциал, но сметливый, сообразительный, быстро учится; неторопливый;")</f>
        <v>деловитый, но простоватый; наивный, как провинциал, но сметливый, сообразительный, быстро учится; неторопливый;</v>
      </c>
      <c r="X481" s="6" t="str">
        <f>IFERROR(__xludf.DUMMYFUNCTION("""COMPUTED_VALUE"""),"вокзал, площадь перед Драмтеатром, по Весенней до памятника погибшим кузбассовцам, по набережной; Красная горка с памятником погибшим шахтерам")</f>
        <v>вокзал, площадь перед Драмтеатром, по Весенней до памятника погибшим кузбассовцам, по набережной; Красная горка с памятником погибшим шахтерам</v>
      </c>
      <c r="Y481" s="6" t="str">
        <f>IFERROR(__xludf.DUMMYFUNCTION("""COMPUTED_VALUE"""),"строительство кластера культуры и искусств")</f>
        <v>строительство кластера культуры и искусств</v>
      </c>
      <c r="Z481" s="6" t="str">
        <f>IFERROR(__xludf.DUMMYFUNCTION("""COMPUTED_VALUE"""),"отремонтированные театры; гастроли Гришковца; новые форматы работы Кузбасского центра искусств и краеведческого музея")</f>
        <v>отремонтированные театры; гастроли Гришковца; новые форматы работы Кузбасского центра искусств и краеведческого музея</v>
      </c>
      <c r="AA481" s="6" t="str">
        <f>IFERROR(__xludf.DUMMYFUNCTION("""COMPUTED_VALUE"""),"выросшие цены на услуги учреждений культуры")</f>
        <v>выросшие цены на услуги учреждений культуры</v>
      </c>
      <c r="AB481" s="6" t="str">
        <f>IFERROR(__xludf.DUMMYFUNCTION("""COMPUTED_VALUE"""),"клубы по интересам, хобби для предпенсионного возраста для общения и творчества")</f>
        <v>клубы по интересам, хобби для предпенсионного возраста для общения и творчества</v>
      </c>
      <c r="AC481" s="6" t="str">
        <f>IFERROR(__xludf.DUMMYFUNCTION("""COMPUTED_VALUE"""),"больше уличных событий, мероприятий на открытом воздухе; нешаблонных экскурсионных маршрутов; открытых площадок для фестивалей, концертов, танцевальных вечеров")</f>
        <v>больше уличных событий, мероприятий на открытом воздухе; нешаблонных экскурсионных маршрутов; открытых площадок для фестивалей, концертов, танцевальных вечеров</v>
      </c>
      <c r="AD48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481" s="6" t="str">
        <f>IFERROR(__xludf.DUMMYFUNCTION("""COMPUTED_VALUE"""),"Женский")</f>
        <v>Женский</v>
      </c>
      <c r="AF481" s="6" t="str">
        <f>IFERROR(__xludf.DUMMYFUNCTION("""COMPUTED_VALUE"""),"45-55")</f>
        <v>45-55</v>
      </c>
      <c r="AG481" s="6"/>
      <c r="AH481" s="6"/>
      <c r="AI481" s="6"/>
      <c r="AJ481" s="6"/>
      <c r="AK481" s="6"/>
      <c r="AL481" s="6"/>
      <c r="AM481" s="6"/>
    </row>
    <row r="482">
      <c r="A482" s="6">
        <v>481.0</v>
      </c>
      <c r="B482" s="6" t="str">
        <f>IFERROR(__xludf.DUMMYFUNCTION("""COMPUTED_VALUE"""),"Сфера образования")</f>
        <v>Сфера образования</v>
      </c>
      <c r="C482" s="6" t="str">
        <f>IFERROR(__xludf.DUMMYFUNCTION("""COMPUTED_VALUE"""),"видео игры")</f>
        <v>видео игры</v>
      </c>
      <c r="D482" s="6" t="str">
        <f>IFERROR(__xludf.DUMMYFUNCTION("""COMPUTED_VALUE"""),"ФПК")</f>
        <v>ФПК</v>
      </c>
      <c r="E482" s="6" t="str">
        <f>IFERROR(__xludf.DUMMYFUNCTION("""COMPUTED_VALUE""")," только пруд с утками")</f>
        <v> только пруд с утками</v>
      </c>
      <c r="F482" s="6" t="str">
        <f>IFERROR(__xludf.DUMMYFUNCTION("""COMPUTED_VALUE"""),"Живу здесь с рождения")</f>
        <v>Живу здесь с рождения</v>
      </c>
      <c r="G482" s="6" t="str">
        <f>IFERROR(__xludf.DUMMYFUNCTION("""COMPUTED_VALUE"""),"Центр")</f>
        <v>Центр</v>
      </c>
      <c r="H482" s="6" t="str">
        <f>IFERROR(__xludf.DUMMYFUNCTION("""COMPUTED_VALUE"""),"уголь, производство, шахты, рабочие, грязь")</f>
        <v>уголь, производство, шахты, рабочие, грязь</v>
      </c>
      <c r="I482" s="6" t="str">
        <f>IFERROR(__xludf.DUMMYFUNCTION("""COMPUTED_VALUE"""),"Волошина, Шорников, Гришковец, Леонов, Двужильный")</f>
        <v>Волошина, Шорников, Гришковец, Леонов, Двужильный</v>
      </c>
      <c r="J482" s="6" t="str">
        <f>IFERROR(__xludf.DUMMYFUNCTION("""COMPUTED_VALUE"""),"Цивилев Сергей")</f>
        <v>Цивилев Сергей</v>
      </c>
      <c r="K482" s="6" t="str">
        <f>IFERROR(__xludf.DUMMYFUNCTION("""COMPUTED_VALUE"""),"музей Красная горка")</f>
        <v>музей Красная горка</v>
      </c>
      <c r="L482" s="6" t="str">
        <f>IFERROR(__xludf.DUMMYFUNCTION("""COMPUTED_VALUE"""),"Не знаю")</f>
        <v>Не знаю</v>
      </c>
      <c r="M482" s="6" t="str">
        <f>IFERROR(__xludf.DUMMYFUNCTION("""COMPUTED_VALUE"""),"Не знаю")</f>
        <v>Не знаю</v>
      </c>
      <c r="N482" s="6" t="str">
        <f>IFERROR(__xludf.DUMMYFUNCTION("""COMPUTED_VALUE"""),"Чистота, комфортный городской транспорт, возможность реализации творческого потенциала, рабочие места, качественное образование, информационная активность")</f>
        <v>Чистота, комфортный городской транспорт, возможность реализации творческого потенциала, рабочие места, качественное образование, информационная активность</v>
      </c>
      <c r="O482" s="6" t="str">
        <f>IFERROR(__xludf.DUMMYFUNCTION("""COMPUTED_VALUE"""),"Всю архитектуру города")</f>
        <v>Всю архитектуру города</v>
      </c>
      <c r="P482" s="6" t="str">
        <f>IFERROR(__xludf.DUMMYFUNCTION("""COMPUTED_VALUE"""),"на официальных каналах организаций")</f>
        <v>на официальных каналах организаций</v>
      </c>
      <c r="Q482" s="6" t="str">
        <f>IFERROR(__xludf.DUMMYFUNCTION("""COMPUTED_VALUE"""),"культурные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f>
        <v>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v>
      </c>
      <c r="R482" s="6" t="str">
        <f>IFERROR(__xludf.DUMMYFUNCTION("""COMPUTED_VALUE"""),"Чыл пажи")</f>
        <v>Чыл пажи</v>
      </c>
      <c r="S482" s="6" t="str">
        <f>IFERROR(__xludf.DUMMYFUNCTION("""COMPUTED_VALUE"""),"Да, приходилось")</f>
        <v>Да, приходилось</v>
      </c>
      <c r="T482" s="6" t="str">
        <f>IFERROR(__xludf.DUMMYFUNCTION("""COMPUTED_VALUE"""),"Ничего")</f>
        <v>Ничего</v>
      </c>
      <c r="U482" s="6" t="str">
        <f>IFERROR(__xludf.DUMMYFUNCTION("""COMPUTED_VALUE"""),"Кировский район")</f>
        <v>Кировский район</v>
      </c>
      <c r="V482" s="6" t="str">
        <f>IFERROR(__xludf.DUMMYFUNCTION("""COMPUTED_VALUE"""),"Пока ничего")</f>
        <v>Пока ничего</v>
      </c>
      <c r="W482" s="6" t="str">
        <f>IFERROR(__xludf.DUMMYFUNCTION("""COMPUTED_VALUE"""),"Обычные провинциальные люди")</f>
        <v>Обычные провинциальные люди</v>
      </c>
      <c r="X482" s="6" t="str">
        <f>IFERROR(__xludf.DUMMYFUNCTION("""COMPUTED_VALUE"""),"Пройтись по центру Советский- Весенняя")</f>
        <v>Пройтись по центру Советский- Весенняя</v>
      </c>
      <c r="Y482" s="6" t="str">
        <f>IFERROR(__xludf.DUMMYFUNCTION("""COMPUTED_VALUE"""),"Гражданская война")</f>
        <v>Гражданская война</v>
      </c>
      <c r="Z482" s="6" t="str">
        <f>IFERROR(__xludf.DUMMYFUNCTION("""COMPUTED_VALUE"""),"День шахтера в Белово")</f>
        <v>День шахтера в Белово</v>
      </c>
      <c r="AA482" s="6" t="str">
        <f>IFERROR(__xludf.DUMMYFUNCTION("""COMPUTED_VALUE"""),"Локдаун ")</f>
        <v>Локдаун </v>
      </c>
      <c r="AB482" s="6" t="str">
        <f>IFERROR(__xludf.DUMMYFUNCTION("""COMPUTED_VALUE"""),"Сообществ достаточно")</f>
        <v>Сообществ достаточно</v>
      </c>
      <c r="AC482" s="6" t="str">
        <f>IFERROR(__xludf.DUMMYFUNCTION("""COMPUTED_VALUE"""),"Главное поменьше ""бюрокративных"" мероприятий ")</f>
        <v>Главное поменьше "бюрокративных" мероприятий </v>
      </c>
      <c r="AD482"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482" s="6" t="str">
        <f>IFERROR(__xludf.DUMMYFUNCTION("""COMPUTED_VALUE"""),"Мужской")</f>
        <v>Мужской</v>
      </c>
      <c r="AF482" s="6" t="str">
        <f>IFERROR(__xludf.DUMMYFUNCTION("""COMPUTED_VALUE"""),"45-55")</f>
        <v>45-55</v>
      </c>
      <c r="AG482" s="6"/>
      <c r="AH482" s="6"/>
      <c r="AI482" s="6"/>
      <c r="AJ482" s="6"/>
      <c r="AK482" s="6"/>
      <c r="AL482" s="6"/>
      <c r="AM482" s="6"/>
    </row>
    <row r="483">
      <c r="A483" s="6">
        <v>482.0</v>
      </c>
      <c r="B483" s="6" t="str">
        <f>IFERROR(__xludf.DUMMYFUNCTION("""COMPUTED_VALUE"""),"Программист")</f>
        <v>Программист</v>
      </c>
      <c r="C483" s="6" t="str">
        <f>IFERROR(__xludf.DUMMYFUNCTION("""COMPUTED_VALUE"""),"Игры в компьютерные игры, гуляю по городу")</f>
        <v>Игры в компьютерные игры, гуляю по городу</v>
      </c>
      <c r="D483" s="6" t="str">
        <f>IFERROR(__xludf.DUMMYFUNCTION("""COMPUTED_VALUE"""),"Заводский, так и называю.")</f>
        <v>Заводский, так и называю.</v>
      </c>
      <c r="E483" s="6" t="str">
        <f>IFERROR(__xludf.DUMMYFUNCTION("""COMPUTED_VALUE"""),"Заводский район большой, но от знаковых мест остались одни названия остановок")</f>
        <v>Заводский район большой, но от знаковых мест остались одни названия остановок</v>
      </c>
      <c r="F483" s="6" t="str">
        <f>IFERROR(__xludf.DUMMYFUNCTION("""COMPUTED_VALUE"""),"Живу здесь с рождения")</f>
        <v>Живу здесь с рождения</v>
      </c>
      <c r="G483" s="6" t="str">
        <f>IFERROR(__xludf.DUMMYFUNCTION("""COMPUTED_VALUE"""),"Чаще всего в центр и рудничный бор. К сожалению, не все места в Кемерово оснащены удобными тротуарами. ")</f>
        <v>Чаще всего в центр и рудничный бор. К сожалению, не все места в Кемерово оснащены удобными тротуарами. </v>
      </c>
      <c r="H483" s="6" t="str">
        <f>IFERROR(__xludf.DUMMYFUNCTION("""COMPUTED_VALUE"""),"Трубы, уголь, бор, шахтёры, излишняя помпезность")</f>
        <v>Трубы, уголь, бор, шахтёры, излишняя помпезность</v>
      </c>
      <c r="I483" s="6" t="str">
        <f>IFERROR(__xludf.DUMMYFUNCTION("""COMPUTED_VALUE"""),"Таки наверное, фамилии? :)
Рукавишников, Двужильный, Волошина, Леонов, Волынов ")</f>
        <v>Таки наверное, фамилии? :)
Рукавишников, Двужильный, Волошина, Леонов, Волынов </v>
      </c>
      <c r="J483" s="6" t="str">
        <f>IFERROR(__xludf.DUMMYFUNCTION("""COMPUTED_VALUE"""),"Таких, которые бы были широко известны и которые бы подходили под «лучшие люди города» - не знаю.")</f>
        <v>Таких, которые бы были широко известны и которые бы подходили под «лучшие люди города» - не знаю.</v>
      </c>
      <c r="K483" s="6" t="str">
        <f>IFERROR(__xludf.DUMMYFUNCTION("""COMPUTED_VALUE"""),"Рудничный бор, площадь Советов, Весенняя и Томская набережная,  Центр в целом. В остальном кроме торговых центров примечательных мест и не осталось. ")</f>
        <v>Рудничный бор, площадь Советов, Весенняя и Томская набережная,  Центр в целом. В остальном кроме торговых центров примечательных мест и не осталось. </v>
      </c>
      <c r="L483" s="6" t="str">
        <f>IFERROR(__xludf.DUMMYFUNCTION("""COMPUTED_VALUE"""),"Торговый центр ""Зимняя вишня"", который стоял незарегестрированным в самом центре города очень неплохо характеризует администрацию города. Как там, ""Их пока жареный петух не клюнет — не хватятся.""")</f>
        <v>Торговый центр "Зимняя вишня", который стоял незарегестрированным в самом центре города очень неплохо характеризует администрацию города. Как там, "Их пока жареный петух не клюнет — не хватятся."</v>
      </c>
      <c r="M483" s="6" t="str">
        <f>IFERROR(__xludf.DUMMYFUNCTION("""COMPUTED_VALUE"""),"Нет, не знаю и не слышал.")</f>
        <v>Нет, не знаю и не слышал.</v>
      </c>
      <c r="N483" s="6" t="str">
        <f>IFERROR(__xludf.DUMMYFUNCTION("""COMPUTED_VALUE"""),"Счастливые жители, которым есть где работать и получать достойную зарплату. Которые при этом остаются в городе не потому что уехать не могут или не куда, а потому, что тут хорошо и не хуже, чем в других частях России.
Плюс есть вся необходимая инфраструкт"&amp;"ура (от отопления, воды, электричества и дорог до общественного транспорта, школ, детсадов, больниц).
Думаю, на 5 критериев наберётся. ")</f>
        <v>Счастливые жители, которым есть где работать и получать достойную зарплату. Которые при этом остаются в городе не потому что уехать не могут или не куда, а потому, что тут хорошо и не хуже, чем в других частях России.
Плюс есть вся необходимая инфраструктура (от отопления, воды, электричества и дорог до общественного транспорта, школ, детсадов, больниц).
Думаю, на 5 критериев наберётся. </v>
      </c>
      <c r="O483" s="6" t="str">
        <f>IFERROR(__xludf.DUMMYFUNCTION("""COMPUTED_VALUE"""),"Большое количество торговых центров и кривая застройка новых районов (начиная с ФПК) пока мало кого радовали. А вот количество производственных объектов и рабочих мест стоит увеличить.")</f>
        <v>Большое количество торговых центров и кривая застройка новых районов (начиная с ФПК) пока мало кого радовали. А вот количество производственных объектов и рабочих мест стоит увеличить.</v>
      </c>
      <c r="P483" s="6" t="str">
        <f>IFERROR(__xludf.DUMMYFUNCTION("""COMPUTED_VALUE"""),"VK, Telegram")</f>
        <v>VK, Telegram</v>
      </c>
      <c r="Q483" s="6" t="str">
        <f>IFERROR(__xludf.DUMMYFUNCTION("""COMPUTED_VALUE"""),"городская афиша (кино/театр/концерты), результаты местных исследований (рейтинги/аналитика/тенденции)")</f>
        <v>городская афиша (кино/театр/концерты), результаты местных исследований (рейтинги/аналитика/тенденции)</v>
      </c>
      <c r="R483" s="6" t="str">
        <f>IFERROR(__xludf.DUMMYFUNCTION("""COMPUTED_VALUE"""),"День города.
Приятно, что 12 июня можно отмечать день города, а не непонятный день независимости или день России.")</f>
        <v>День города.
Приятно, что 12 июня можно отмечать день города, а не непонятный день независимости или день России.</v>
      </c>
      <c r="S483" s="6" t="str">
        <f>IFERROR(__xludf.DUMMYFUNCTION("""COMPUTED_VALUE"""),"Нет, не приходилось")</f>
        <v>Нет, не приходилось</v>
      </c>
      <c r="T483" s="6" t="str">
        <f>IFERROR(__xludf.DUMMYFUNCTION("""COMPUTED_VALUE"""),"Известен он тем, что является столицей угольного края. К сожалению, несколько лет назад стал знаменит, как место одной из самых громких трагедий.")</f>
        <v>Известен он тем, что является столицей угольного края. К сожалению, несколько лет назад стал знаменит, как место одной из самых громких трагедий.</v>
      </c>
      <c r="U483" s="6" t="str">
        <f>IFERROR(__xludf.DUMMYFUNCTION("""COMPUTED_VALUE"""),"Площадь Советов.")</f>
        <v>Площадь Советов.</v>
      </c>
      <c r="V483" s="6" t="str">
        <f>IFERROR(__xludf.DUMMYFUNCTION("""COMPUTED_VALUE"""),"Шахты строили, промышленность поднимали. Много разного производили. Одни названия остановок остались с тех времён, да и те не все.")</f>
        <v>Шахты строили, промышленность поднимали. Много разного производили. Одни названия остановок остались с тех времён, да и те не все.</v>
      </c>
      <c r="W483" s="6" t="str">
        <f>IFERROR(__xludf.DUMMYFUNCTION("""COMPUTED_VALUE"""),"С одной стороны терпеливые, с другой разъединённые. ""Моя хата с краю"" - вот это всё. Хотя исключения, конечно, встречаются.")</f>
        <v>С одной стороны терпеливые, с другой разъединённые. "Моя хата с краю" - вот это всё. Хотя исключения, конечно, встречаются.</v>
      </c>
      <c r="X483" s="6" t="str">
        <f>IFERROR(__xludf.DUMMYFUNCTION("""COMPUTED_VALUE"""),"От вокзала по Ленина до цирка.")</f>
        <v>От вокзала по Ленина до цирка.</v>
      </c>
      <c r="Y483" s="6" t="str">
        <f>IFERROR(__xludf.DUMMYFUNCTION("""COMPUTED_VALUE"""),"Пока таким событием могу назвать только оформление Кемерово в город и столицу области.")</f>
        <v>Пока таким событием могу назвать только оформление Кемерово в город и столицу области.</v>
      </c>
      <c r="Z483" s="6" t="str">
        <f>IFERROR(__xludf.DUMMYFUNCTION("""COMPUTED_VALUE"""),"Губернатор иногда стал приструнивать угольщиков и пытаться хотя бы делать вид, что надо слушать население.")</f>
        <v>Губернатор иногда стал приструнивать угольщиков и пытаться хотя бы делать вид, что надо слушать население.</v>
      </c>
      <c r="AA483" s="6" t="str">
        <f>IFERROR(__xludf.DUMMYFUNCTION("""COMPUTED_VALUE"""),"Постепенное превращение Двужильного и Волошиной в некое подобие бренда и пихание куда можно и куда нельзя темы 300-летия Кузбасса считаю негативной тенденцией.")</f>
        <v>Постепенное превращение Двужильного и Волошиной в некое подобие бренда и пихание куда можно и куда нельзя темы 300-летия Кузбасса считаю негативной тенденцией.</v>
      </c>
      <c r="AB483" s="6" t="str">
        <f>IFERROR(__xludf.DUMMYFUNCTION("""COMPUTED_VALUE"""),"Общественно значимых. Почти всё хоть сколько-нибудь крупное находится под колпаком у администрации тем или иным путём.")</f>
        <v>Общественно значимых. Почти всё хоть сколько-нибудь крупное находится под колпаком у администрации тем или иным путём.</v>
      </c>
      <c r="AC483" s="6" t="str">
        <f>IFERROR(__xludf.DUMMYFUNCTION("""COMPUTED_VALUE"""),"Интереса-то хоть отбавляй, но положительного в этой массе дай Бог есть половина.")</f>
        <v>Интереса-то хоть отбавляй, но положительного в этой массе дай Бог есть половина.</v>
      </c>
      <c r="AD483" s="6" t="str">
        <f>IFERROR(__xludf.DUMMYFUNCTION("""COMPUTED_VALUE"""),"Волонтера: оказать любую посильную помощь непосредственно во время реализации проекта, Уже занят в одном из общественных движений")</f>
        <v>Волонтера: оказать любую посильную помощь непосредственно во время реализации проекта, Уже занят в одном из общественных движений</v>
      </c>
      <c r="AE483" s="6" t="str">
        <f>IFERROR(__xludf.DUMMYFUNCTION("""COMPUTED_VALUE"""),"Мужской")</f>
        <v>Мужской</v>
      </c>
      <c r="AF483" s="6" t="str">
        <f>IFERROR(__xludf.DUMMYFUNCTION("""COMPUTED_VALUE"""),"18-29")</f>
        <v>18-29</v>
      </c>
      <c r="AG483" s="6"/>
      <c r="AH483" s="6"/>
      <c r="AI483" s="6"/>
      <c r="AJ483" s="6"/>
      <c r="AK483" s="6"/>
      <c r="AL483" s="6"/>
      <c r="AM483" s="6"/>
    </row>
    <row r="484">
      <c r="A484" s="6">
        <v>483.0</v>
      </c>
      <c r="B484" s="6" t="str">
        <f>IFERROR(__xludf.DUMMYFUNCTION("""COMPUTED_VALUE"""),"Арт-директор Центра искусств")</f>
        <v>Арт-директор Центра искусств</v>
      </c>
      <c r="C484" s="6" t="str">
        <f>IFERROR(__xludf.DUMMYFUNCTION("""COMPUTED_VALUE"""),"Искусство")</f>
        <v>Искусство</v>
      </c>
      <c r="D484" s="6" t="str">
        <f>IFERROR(__xludf.DUMMYFUNCTION("""COMPUTED_VALUE"""),"Заводский район ")</f>
        <v>Заводский район </v>
      </c>
      <c r="E484" s="6" t="str">
        <f>IFERROR(__xludf.DUMMYFUNCTION("""COMPUTED_VALUE"""),"Бор, Горсад, бульвар Строителей, Клумба, Набережная ")</f>
        <v>Бор, Горсад, бульвар Строителей, Клумба, Набережная </v>
      </c>
      <c r="F484" s="6" t="str">
        <f>IFERROR(__xludf.DUMMYFUNCTION("""COMPUTED_VALUE"""),"Живу здесь с рождения")</f>
        <v>Живу здесь с рождения</v>
      </c>
      <c r="G484" s="6" t="str">
        <f>IFERROR(__xludf.DUMMYFUNCTION("""COMPUTED_VALUE"""),"Театр Ложа, бар Твин Пикс, Центр города, Сосновый бор, Клумба, городские скверы, Парк Жукова и Антошка")</f>
        <v>Театр Ложа, бар Твин Пикс, Центр города, Сосновый бор, Клумба, городские скверы, Парк Жукова и Антошка</v>
      </c>
      <c r="H484" s="6" t="str">
        <f>IFERROR(__xludf.DUMMYFUNCTION("""COMPUTED_VALUE"""),"Ложа, Томь, КузбассФМ, бар Твин Пикс, Дом")</f>
        <v>Ложа, Томь, КузбассФМ, бар Твин Пикс, Дом</v>
      </c>
      <c r="I484" s="6" t="str">
        <f>IFERROR(__xludf.DUMMYFUNCTION("""COMPUTED_VALUE"""),"Рудгерс, Михайло Волков, Подгорбунский, Луночарский, Штоклов ")</f>
        <v>Рудгерс, Михайло Волков, Подгорбунский, Луночарский, Штоклов </v>
      </c>
      <c r="J484" s="6" t="str">
        <f>IFERROR(__xludf.DUMMYFUNCTION("""COMPUTED_VALUE"""),"Евгений Гришковец, Евгений Сытый, Алексей Леонов, Владимир Михайлов ")</f>
        <v>Евгений Гришковец, Евгений Сытый, Алексей Леонов, Владимир Михайлов </v>
      </c>
      <c r="K484" s="6" t="str">
        <f>IFERROR(__xludf.DUMMYFUNCTION("""COMPUTED_VALUE"""),"Клумба, Сосновый бор, Набережная")</f>
        <v>Клумба, Сосновый бор, Набережная</v>
      </c>
      <c r="L484" s="6" t="str">
        <f>IFERROR(__xludf.DUMMYFUNCTION("""COMPUTED_VALUE"""),"Заходят как-то абитуриенты поступать в институт культуры, все вокруг веселые пьяные, песни поют, танцуют. Нет, подумали абитуриенты, сюда мы не пойдем, сильно шумно. 
Заходят рядом в медицинскую академию, там все стерильно, все ухоженные ходят. Вот, подум"&amp;"али они, сюда и пойдем поступать! С лестницы вываливаются пьяные веселые люди с песнями.
Нет, подумали абитуриенты, сюда тоже не пойдем.
- Правильно! приходите к нам в институт культуры, говорит веселая толпа и убегает с песнями дальше 
Какой-то такой ан"&amp;"екдот вспоминается) ")</f>
        <v>Заходят как-то абитуриенты поступать в институт культуры, все вокруг веселые пьяные, песни поют, танцуют. Нет, подумали абитуриенты, сюда мы не пойдем, сильно шумно. 
Заходят рядом в медицинскую академию, там все стерильно, все ухоженные ходят. Вот, подумали они, сюда и пойдем поступать! С лестницы вываливаются пьяные веселые люди с песнями.
Нет, подумали абитуриенты, сюда тоже не пойдем.
- Правильно! приходите к нам в институт культуры, говорит веселая толпа и убегает с песнями дальше 
Какой-то такой анекдот вспоминается) </v>
      </c>
      <c r="M484" s="6" t="str">
        <f>IFERROR(__xludf.DUMMYFUNCTION("""COMPUTED_VALUE"""),"Однажды в Красноярске мне сказали, что у меня кемеровский акцент. До сих пор не знаю что это.
Наверное еще мультифора что-то из кемеровского и ""Тормозок"" - еда для шахтеров")</f>
        <v>Однажды в Красноярске мне сказали, что у меня кемеровский акцент. До сих пор не знаю что это.
Наверное еще мультифора что-то из кемеровского и "Тормозок" - еда для шахтеров</v>
      </c>
      <c r="N484" s="6" t="str">
        <f>IFERROR(__xludf.DUMMYFUNCTION("""COMPUTED_VALUE"""),"чистые улицы, хорошее освещение, хорошее озеленение, чистый воздух, разумный поход к утилизации отходов ")</f>
        <v>чистые улицы, хорошее освещение, хорошее озеленение, чистый воздух, разумный поход к утилизации отходов </v>
      </c>
      <c r="O484" s="6" t="str">
        <f>IFERROR(__xludf.DUMMYFUNCTION("""COMPUTED_VALUE"""),"экология, частник в центре города (Сибиряки)")</f>
        <v>экология, частник в центре города (Сибиряки)</v>
      </c>
      <c r="P484" s="6" t="str">
        <f>IFERROR(__xludf.DUMMYFUNCTION("""COMPUTED_VALUE"""),"Яндекс. Афиша, разные инстаграмы ")</f>
        <v>Яндекс. Афиша, разные инстаграмы </v>
      </c>
      <c r="Q484"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484" s="6" t="str">
        <f>IFERROR(__xludf.DUMMYFUNCTION("""COMPUTED_VALUE"""),"День молодежи, различные молодежные фестивали, интересные выставки")</f>
        <v>День молодежи, различные молодежные фестивали, интересные выставки</v>
      </c>
      <c r="S484"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вк, инстаграм, фб")</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вк, инстаграм, фб</v>
      </c>
      <c r="T484" s="6" t="str">
        <f>IFERROR(__xludf.DUMMYFUNCTION("""COMPUTED_VALUE"""),"-")</f>
        <v>-</v>
      </c>
      <c r="U484" s="6" t="str">
        <f>IFERROR(__xludf.DUMMYFUNCTION("""COMPUTED_VALUE"""),"Набережная")</f>
        <v>Набережная</v>
      </c>
      <c r="V484" s="6" t="str">
        <f>IFERROR(__xludf.DUMMYFUNCTION("""COMPUTED_VALUE"""),"Гришковец создал театр Ложа")</f>
        <v>Гришковец создал театр Ложа</v>
      </c>
      <c r="W484" s="6" t="str">
        <f>IFERROR(__xludf.DUMMYFUNCTION("""COMPUTED_VALUE"""),"Кемеровчане сидят в своих шахтах, которые у них в голове, оттуда их приходится доставать ")</f>
        <v>Кемеровчане сидят в своих шахтах, которые у них в голове, оттуда их приходится доставать </v>
      </c>
      <c r="X484" s="6" t="str">
        <f>IFERROR(__xludf.DUMMYFUNCTION("""COMPUTED_VALUE"""),"Парк Ангелов - 50 лет Октября - Площадь Пушкина - Набережная - Орбита - Парк Жукова - Парк Антошка")</f>
        <v>Парк Ангелов - 50 лет Октября - Площадь Пушкина - Набережная - Орбита - Парк Жукова - Парк Антошка</v>
      </c>
      <c r="Y484" s="6" t="str">
        <f>IFERROR(__xludf.DUMMYFUNCTION("""COMPUTED_VALUE"""),"- ")</f>
        <v>- </v>
      </c>
      <c r="Z484" s="6" t="str">
        <f>IFERROR(__xludf.DUMMYFUNCTION("""COMPUTED_VALUE"""),"Фестиваль Детализация ")</f>
        <v>Фестиваль Детализация </v>
      </c>
      <c r="AA484" s="6" t="str">
        <f>IFERROR(__xludf.DUMMYFUNCTION("""COMPUTED_VALUE"""),"- ")</f>
        <v>- </v>
      </c>
      <c r="AB484" s="6" t="str">
        <f>IFERROR(__xludf.DUMMYFUNCTION("""COMPUTED_VALUE"""),"-")</f>
        <v>-</v>
      </c>
      <c r="AC484" s="6" t="str">
        <f>IFERROR(__xludf.DUMMYFUNCTION("""COMPUTED_VALUE"""),"Больше культурных событий, интересные выставки, городские фестивали ")</f>
        <v>Больше культурных событий, интересные выставки, городские фестивали </v>
      </c>
      <c r="AD484"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"&amp;"приглашения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484" s="6" t="str">
        <f>IFERROR(__xludf.DUMMYFUNCTION("""COMPUTED_VALUE"""),"Женский")</f>
        <v>Женский</v>
      </c>
      <c r="AF484" s="6" t="str">
        <f>IFERROR(__xludf.DUMMYFUNCTION("""COMPUTED_VALUE"""),"30-44")</f>
        <v>30-44</v>
      </c>
      <c r="AG484" s="6"/>
      <c r="AH484" s="6"/>
      <c r="AI484" s="6"/>
      <c r="AJ484" s="6"/>
      <c r="AK484" s="6"/>
      <c r="AL484" s="6"/>
      <c r="AM484" s="6"/>
    </row>
    <row r="485">
      <c r="A485" s="6">
        <v>484.0</v>
      </c>
      <c r="B485" s="6" t="str">
        <f>IFERROR(__xludf.DUMMYFUNCTION("""COMPUTED_VALUE"""),"Сфера культуры")</f>
        <v>Сфера культуры</v>
      </c>
      <c r="C485" s="6" t="str">
        <f>IFERROR(__xludf.DUMMYFUNCTION("""COMPUTED_VALUE"""),"Чтение")</f>
        <v>Чтение</v>
      </c>
      <c r="D485" s="6" t="str">
        <f>IFERROR(__xludf.DUMMYFUNCTION("""COMPUTED_VALUE"""),"Радуга")</f>
        <v>Радуга</v>
      </c>
      <c r="E485" s="6" t="str">
        <f>IFERROR(__xludf.DUMMYFUNCTION("""COMPUTED_VALUE"""),"Памятник шахтеру")</f>
        <v>Памятник шахтеру</v>
      </c>
      <c r="F485" s="6" t="str">
        <f>IFERROR(__xludf.DUMMYFUNCTION("""COMPUTED_VALUE"""),"Живу здесь с рождения")</f>
        <v>Живу здесь с рождения</v>
      </c>
      <c r="G485" s="6" t="str">
        <f>IFERROR(__xludf.DUMMYFUNCTION("""COMPUTED_VALUE"""),"В бор")</f>
        <v>В бор</v>
      </c>
      <c r="H485" s="6" t="str">
        <f>IFERROR(__xludf.DUMMYFUNCTION("""COMPUTED_VALUE"""),"Родной, красивый, труженик, суровый, с плохим воздухом, любимый")</f>
        <v>Родной, красивый, труженик, суровый, с плохим воздухом, любимый</v>
      </c>
      <c r="I485" s="6" t="str">
        <f>IFERROR(__xludf.DUMMYFUNCTION("""COMPUTED_VALUE"""),"Волков, Балибалов, Юрьев, Тулеев, Михайлов")</f>
        <v>Волков, Балибалов, Юрьев, Тулеев, Михайлов</v>
      </c>
      <c r="J485" s="6" t="str">
        <f>IFERROR(__xludf.DUMMYFUNCTION("""COMPUTED_VALUE"""),"Тулеев, Михайлов, Середюк")</f>
        <v>Тулеев, Михайлов, Середюк</v>
      </c>
      <c r="K485" s="6" t="str">
        <f>IFERROR(__xludf.DUMMYFUNCTION("""COMPUTED_VALUE"""),"Памятник Шахтерская слава. Музей- заповедник Красная горка")</f>
        <v>Памятник Шахтерская слава. Музей- заповедник Красная горка</v>
      </c>
      <c r="L485" s="6" t="str">
        <f>IFERROR(__xludf.DUMMYFUNCTION("""COMPUTED_VALUE"""),"Город труженик")</f>
        <v>Город труженик</v>
      </c>
      <c r="M485" s="6" t="str">
        <f>IFERROR(__xludf.DUMMYFUNCTION("""COMPUTED_VALUE"""),"Нет")</f>
        <v>Нет</v>
      </c>
      <c r="N485" s="6" t="str">
        <f>IFERROR(__xludf.DUMMYFUNCTION("""COMPUTED_VALUE"""),"Транспорт, чистые улицы и воздух, зеленые скверы, хорошие дороги, урны")</f>
        <v>Транспорт, чистые улицы и воздух, зеленые скверы, хорошие дороги, урны</v>
      </c>
      <c r="O485" s="6" t="str">
        <f>IFERROR(__xludf.DUMMYFUNCTION("""COMPUTED_VALUE"""),"Воздух, тротуары")</f>
        <v>Воздух, тротуары</v>
      </c>
      <c r="P485" s="6" t="str">
        <f>IFERROR(__xludf.DUMMYFUNCTION("""COMPUTED_VALUE"""),"Гугл новости Интернет")</f>
        <v>Гугл новости Интернет</v>
      </c>
      <c r="Q48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пост"&amp;"упать/вакансии")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v>
      </c>
      <c r="R485" s="6" t="str">
        <f>IFERROR(__xludf.DUMMYFUNCTION("""COMPUTED_VALUE"""),"9 мая, День города, День шахтера")</f>
        <v>9 мая, День города, День шахтера</v>
      </c>
      <c r="S485" s="6" t="str">
        <f>IFERROR(__xludf.DUMMYFUNCTION("""COMPUTED_VALUE"""),"Делал рассылку по электронной почте")</f>
        <v>Делал рассылку по электронной почте</v>
      </c>
      <c r="T485" s="6" t="str">
        <f>IFERROR(__xludf.DUMMYFUNCTION("""COMPUTED_VALUE"""),"Своей историей. АИК Кузбасс")</f>
        <v>Своей историей. АИК Кузбасс</v>
      </c>
      <c r="U485" s="6" t="str">
        <f>IFERROR(__xludf.DUMMYFUNCTION("""COMPUTED_VALUE"""),"Площадь Советов")</f>
        <v>Площадь Советов</v>
      </c>
      <c r="V485" s="6" t="str">
        <f>IFERROR(__xludf.DUMMYFUNCTION("""COMPUTED_VALUE"""),"Построили красивые дома и проспекты, театры, музеи")</f>
        <v>Построили красивые дома и проспекты, театры, музеи</v>
      </c>
      <c r="W485" s="6" t="str">
        <f>IFERROR(__xludf.DUMMYFUNCTION("""COMPUTED_VALUE"""),"Серьезные, деловые, культурные, образованные, модные")</f>
        <v>Серьезные, деловые, культурные, образованные, модные</v>
      </c>
      <c r="X485" s="6" t="str">
        <f>IFERROR(__xludf.DUMMYFUNCTION("""COMPUTED_VALUE"""),"Пр.Советский, Набережная, ")</f>
        <v>Пр.Советский, Набережная, </v>
      </c>
      <c r="Y485" s="6" t="str">
        <f>IFERROR(__xludf.DUMMYFUNCTION("""COMPUTED_VALUE"""),"Рок фестиваль на пр.Октябрьском")</f>
        <v>Рок фестиваль на пр.Октябрьском</v>
      </c>
      <c r="Z485" s="6" t="str">
        <f>IFERROR(__xludf.DUMMYFUNCTION("""COMPUTED_VALUE"""),"100-летие города")</f>
        <v>100-летие города</v>
      </c>
      <c r="AA485" s="6" t="str">
        <f>IFERROR(__xludf.DUMMYFUNCTION("""COMPUTED_VALUE"""),"Пожар в ТЦ Зимняя вишня")</f>
        <v>Пожар в ТЦ Зимняя вишня</v>
      </c>
      <c r="AB485" s="6" t="str">
        <f>IFERROR(__xludf.DUMMYFUNCTION("""COMPUTED_VALUE"""),"-")</f>
        <v>-</v>
      </c>
      <c r="AC485" s="6" t="str">
        <f>IFERROR(__xludf.DUMMYFUNCTION("""COMPUTED_VALUE"""),"-")</f>
        <v>-</v>
      </c>
      <c r="AD48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485" s="6" t="str">
        <f>IFERROR(__xludf.DUMMYFUNCTION("""COMPUTED_VALUE"""),"Женский")</f>
        <v>Женский</v>
      </c>
      <c r="AF485" s="6" t="str">
        <f>IFERROR(__xludf.DUMMYFUNCTION("""COMPUTED_VALUE"""),"45-55")</f>
        <v>45-55</v>
      </c>
      <c r="AG485" s="6"/>
      <c r="AH485" s="6"/>
      <c r="AI485" s="6"/>
      <c r="AJ485" s="6"/>
      <c r="AK485" s="6"/>
      <c r="AL485" s="6"/>
      <c r="AM485" s="6"/>
    </row>
    <row r="486">
      <c r="A486" s="6">
        <v>485.0</v>
      </c>
      <c r="B486" s="6" t="str">
        <f>IFERROR(__xludf.DUMMYFUNCTION("""COMPUTED_VALUE"""),"Работаю в IT")</f>
        <v>Работаю в IT</v>
      </c>
      <c r="C486" s="6" t="str">
        <f>IFERROR(__xludf.DUMMYFUNCTION("""COMPUTED_VALUE"""),"Игровые виды спорта, активный отдых, компьютерные игры")</f>
        <v>Игровые виды спорта, активный отдых, компьютерные игры</v>
      </c>
      <c r="D486" s="6" t="str">
        <f>IFERROR(__xludf.DUMMYFUNCTION("""COMPUTED_VALUE"""),"Шалготарьян")</f>
        <v>Шалготарьян</v>
      </c>
      <c r="E486" s="6" t="str">
        <f>IFERROR(__xludf.DUMMYFUNCTION("""COMPUTED_VALUE"""),"Школа, в которой учился")</f>
        <v>Школа, в которой учился</v>
      </c>
      <c r="F486" s="6" t="str">
        <f>IFERROR(__xludf.DUMMYFUNCTION("""COMPUTED_VALUE"""),"Живу здесь с рождения")</f>
        <v>Живу здесь с рождения</v>
      </c>
      <c r="G486" s="6" t="str">
        <f>IFERROR(__xludf.DUMMYFUNCTION("""COMPUTED_VALUE"""),"В ночные заведения, отдых за пределами города (дача)")</f>
        <v>В ночные заведения, отдых за пределами города (дача)</v>
      </c>
      <c r="H486" s="6" t="str">
        <f>IFERROR(__xludf.DUMMYFUNCTION("""COMPUTED_VALUE"""),"Грязный воздух и маленькие зарплаты")</f>
        <v>Грязный воздух и маленькие зарплаты</v>
      </c>
      <c r="I486" s="6" t="str">
        <f>IFERROR(__xludf.DUMMYFUNCTION("""COMPUTED_VALUE"""),"Не вижу смысла")</f>
        <v>Не вижу смысла</v>
      </c>
      <c r="J486" s="6" t="str">
        <f>IFERROR(__xludf.DUMMYFUNCTION("""COMPUTED_VALUE"""),"Михаил Федяев")</f>
        <v>Михаил Федяев</v>
      </c>
      <c r="K486" s="6" t="str">
        <f>IFERROR(__xludf.DUMMYFUNCTION("""COMPUTED_VALUE"""),"Парк Ангелов, Лесная поляна, сосновый бор, подъем на гору около Люскуса, набережная")</f>
        <v>Парк Ангелов, Лесная поляна, сосновый бор, подъем на гору около Люскуса, набережная</v>
      </c>
      <c r="L486" s="6" t="str">
        <f>IFERROR(__xludf.DUMMYFUNCTION("""COMPUTED_VALUE"""),"Люди были созданы для того, чтобы их любили, а вещи были созданы для того, чтобы ими пользовались. Мир в хаосе, потому что все наоборот")</f>
        <v>Люди были созданы для того, чтобы их любили, а вещи были созданы для того, чтобы ими пользовались. Мир в хаосе, потому что все наоборот</v>
      </c>
      <c r="M486" s="6" t="str">
        <f>IFERROR(__xludf.DUMMYFUNCTION("""COMPUTED_VALUE"""),"Нет")</f>
        <v>Нет</v>
      </c>
      <c r="N486" s="6" t="str">
        <f>IFERROR(__xludf.DUMMYFUNCTION("""COMPUTED_VALUE"""),"Экология, наличие и эффективность медицинской системы, развитая инфраструктура, наличие рынка труда, места для отдыха (рестораны, бары, театры, другие развлечения)")</f>
        <v>Экология, наличие и эффективность медицинской системы, развитая инфраструктура, наличие рынка труда, места для отдыха (рестораны, бары, театры, другие развлечения)</v>
      </c>
      <c r="O486" s="6" t="str">
        <f>IFERROR(__xludf.DUMMYFUNCTION("""COMPUTED_VALUE"""),"Экологию")</f>
        <v>Экологию</v>
      </c>
      <c r="P486" s="6" t="str">
        <f>IFERROR(__xludf.DUMMYFUNCTION("""COMPUTED_VALUE"""),"Друзья, знакомые, телеграм-каналы, новостные сайты")</f>
        <v>Друзья, знакомые, телеграм-каналы, новостные сайты</v>
      </c>
      <c r="Q486" s="6" t="str">
        <f>IFERROR(__xludf.DUMMYFUNCTION("""COMPUTED_VALUE"""),"интервью с местными творческими личностями, интервью с местными предпринимателями, новости про новые профессии/куда поступать/вакансии")</f>
        <v>интервью с местными творческими личностями, интервью с местными предпринимателями, новости про новые профессии/куда поступать/вакансии</v>
      </c>
      <c r="R486" s="6" t="str">
        <f>IFERROR(__xludf.DUMMYFUNCTION("""COMPUTED_VALUE"""),"Общегородских никаких. Из общих 9 мая")</f>
        <v>Общегородских никаких. Из общих 9 мая</v>
      </c>
      <c r="S486" s="6" t="str">
        <f>IFERROR(__xludf.DUMMYFUNCTION("""COMPUTED_VALUE"""),"Нет, не приходилось")</f>
        <v>Нет, не приходилось</v>
      </c>
      <c r="T486" s="6" t="str">
        <f>IFERROR(__xludf.DUMMYFUNCTION("""COMPUTED_VALUE"""),"Уникального, я считаю, здесь ничего нет. Известен лишь тем, что здесь много угля и много денег, но не для всех.")</f>
        <v>Уникального, я считаю, здесь ничего нет. Известен лишь тем, что здесь много угля и много денег, но не для всех.</v>
      </c>
      <c r="U486" s="6" t="str">
        <f>IFERROR(__xludf.DUMMYFUNCTION("""COMPUTED_VALUE"""),"Площадь советов")</f>
        <v>Площадь советов</v>
      </c>
      <c r="V486" s="6" t="str">
        <f>IFERROR(__xludf.DUMMYFUNCTION("""COMPUTED_VALUE"""),"Работали всю жизнь")</f>
        <v>Работали всю жизнь</v>
      </c>
      <c r="W486" s="6" t="str">
        <f>IFERROR(__xludf.DUMMYFUNCTION("""COMPUTED_VALUE"""),"Основываясь на тех наблюдениях, которых видишь в первых раз в общественных местах (магазины, очереди, парковки, подъезды, общественный транспорт и тд):
Серые, злые, наглые, жадные, ворчливые, бедные, жалкие, ядовитые (не все, а в целом)")</f>
        <v>Основываясь на тех наблюдениях, которых видишь в первых раз в общественных местах (магазины, очереди, парковки, подъезды, общественный транспорт и тд):
Серые, злые, наглые, жадные, ворчливые, бедные, жалкие, ядовитые (не все, а в целом)</v>
      </c>
      <c r="X486" s="6" t="str">
        <f>IFERROR(__xludf.DUMMYFUNCTION("""COMPUTED_VALUE"""),"Филармония, набережная, пар чудес, по Кирова до Советского, по советскому до Мичурина, через Парк победы до цирка")</f>
        <v>Филармония, набережная, пар чудес, по Кирова до Советского, по советскому до Мичурина, через Парк победы до цирка</v>
      </c>
      <c r="Y486" s="6" t="str">
        <f>IFERROR(__xludf.DUMMYFUNCTION("""COMPUTED_VALUE"""),"Концерт группы Scropions")</f>
        <v>Концерт группы Scropions</v>
      </c>
      <c r="Z486" s="6" t="str">
        <f>IFERROR(__xludf.DUMMYFUNCTION("""COMPUTED_VALUE"""),"Я не могу назвать таких")</f>
        <v>Я не могу назвать таких</v>
      </c>
      <c r="AA486" s="6" t="str">
        <f>IFERROR(__xludf.DUMMYFUNCTION("""COMPUTED_VALUE"""),"Что же вы не выбрали 3 года... За два не могу назвать таких")</f>
        <v>Что же вы не выбрали 3 года... За два не могу назвать таких</v>
      </c>
      <c r="AB486" s="6" t="str">
        <f>IFERROR(__xludf.DUMMYFUNCTION("""COMPUTED_VALUE"""),"Тот, кому надо быть в какой-то тусовке, везде ее найдет")</f>
        <v>Тот, кому надо быть в какой-то тусовке, везде ее найдет</v>
      </c>
      <c r="AC486" s="6" t="str">
        <f>IFERROR(__xludf.DUMMYFUNCTION("""COMPUTED_VALUE"""),"Тут не нужны события. Выпускникам ВУЗов нужна работа. Нормально работа, а не кассирами в сетевых магазинах. Поверьте, я знаю о чем говорю =)")</f>
        <v>Тут не нужны события. Выпускникам ВУЗов нужна работа. Нормально работа, а не кассирами в сетевых магазинах. Поверьте, я знаю о чем говорю =)</v>
      </c>
      <c r="AD486" s="6" t="str">
        <f>IFERROR(__xludf.DUMMYFUNCTION("""COMPUTED_VALUE"""),"Профессионала. Обучать, проводить занятия, мастер-классы, лекции, тренинги, оказать консультацию (укажите тему в поле ""Другое""), Хотел бы рассказать выпускникам школы каких ошибок не нужно совершать при поступлении в ВУЗ")</f>
        <v>Профессионала. Обучать, проводить занятия, мастер-классы, лекции, тренинги, оказать консультацию (укажите тему в поле "Другое"), Хотел бы рассказать выпускникам школы каких ошибок не нужно совершать при поступлении в ВУЗ</v>
      </c>
      <c r="AE486" s="6" t="str">
        <f>IFERROR(__xludf.DUMMYFUNCTION("""COMPUTED_VALUE"""),"Мужской")</f>
        <v>Мужской</v>
      </c>
      <c r="AF486" s="6" t="str">
        <f>IFERROR(__xludf.DUMMYFUNCTION("""COMPUTED_VALUE"""),"18-29")</f>
        <v>18-29</v>
      </c>
      <c r="AG486" s="6"/>
      <c r="AH486" s="6"/>
      <c r="AI486" s="6"/>
      <c r="AJ486" s="6"/>
      <c r="AK486" s="6"/>
      <c r="AL486" s="6"/>
      <c r="AM486" s="6"/>
    </row>
    <row r="487">
      <c r="A487" s="6">
        <v>486.0</v>
      </c>
      <c r="B487" s="6" t="str">
        <f>IFERROR(__xludf.DUMMYFUNCTION("""COMPUTED_VALUE"""),"сфера культуры")</f>
        <v>сфера культуры</v>
      </c>
      <c r="C487" s="6" t="str">
        <f>IFERROR(__xludf.DUMMYFUNCTION("""COMPUTED_VALUE"""),"вопросы истории")</f>
        <v>вопросы истории</v>
      </c>
      <c r="D487" s="6" t="str">
        <f>IFERROR(__xludf.DUMMYFUNCTION("""COMPUTED_VALUE"""),"Рудничный район;  Радуга")</f>
        <v>Рудничный район;  Радуга</v>
      </c>
      <c r="E487" s="6" t="str">
        <f>IFERROR(__xludf.DUMMYFUNCTION("""COMPUTED_VALUE"""),"Сосновый бор")</f>
        <v>Сосновый бор</v>
      </c>
      <c r="F487" s="6" t="str">
        <f>IFERROR(__xludf.DUMMYFUNCTION("""COMPUTED_VALUE"""),"Родился здесь,но сейчас живу в другом городе, Не живу,но приезжаю сюда (к родственникам/друзьям)")</f>
        <v>Родился здесь,но сейчас живу в другом городе, Не живу,но приезжаю сюда (к родственникам/друзьям)</v>
      </c>
      <c r="G487" s="6" t="str">
        <f>IFERROR(__xludf.DUMMYFUNCTION("""COMPUTED_VALUE"""),"в музеи города")</f>
        <v>в музеи города</v>
      </c>
      <c r="H487" s="6" t="str">
        <f>IFERROR(__xludf.DUMMYFUNCTION("""COMPUTED_VALUE"""),"Красная Горка, Набережная р. Томь, Сосновый бор")</f>
        <v>Красная Горка, Набережная р. Томь, Сосновый бор</v>
      </c>
      <c r="I487" s="6" t="str">
        <f>IFERROR(__xludf.DUMMYFUNCTION("""COMPUTED_VALUE"""),"Волков, Подгорбунский, Ештокин")</f>
        <v>Волков, Подгорбунский, Ештокин</v>
      </c>
      <c r="J487" s="6" t="str">
        <f>IFERROR(__xludf.DUMMYFUNCTION("""COMPUTED_VALUE"""),"Те, кто делают Кемерово современным городом")</f>
        <v>Те, кто делают Кемерово современным городом</v>
      </c>
      <c r="K487" s="6" t="str">
        <f>IFERROR(__xludf.DUMMYFUNCTION("""COMPUTED_VALUE"""),"музеи г. Кемерово")</f>
        <v>музеи г. Кемерово</v>
      </c>
      <c r="L487" s="6" t="str">
        <f>IFERROR(__xludf.DUMMYFUNCTION("""COMPUTED_VALUE"""),"не знаю")</f>
        <v>не знаю</v>
      </c>
      <c r="M487" s="6" t="str">
        <f>IFERROR(__xludf.DUMMYFUNCTION("""COMPUTED_VALUE"""),"не знаю")</f>
        <v>не знаю</v>
      </c>
      <c r="N487" s="6" t="str">
        <f>IFERROR(__xludf.DUMMYFUNCTION("""COMPUTED_VALUE"""),"удобный проезд по улицам, чистый воздух")</f>
        <v>удобный проезд по улицам, чистый воздух</v>
      </c>
      <c r="O487" s="6" t="str">
        <f>IFERROR(__xludf.DUMMYFUNCTION("""COMPUTED_VALUE"""),"убрать транзитный транспорт")</f>
        <v>убрать транзитный транспорт</v>
      </c>
      <c r="P487" s="6" t="str">
        <f>IFERROR(__xludf.DUMMYFUNCTION("""COMPUTED_VALUE"""),"газета Кузбасс")</f>
        <v>газета Кузбасс</v>
      </c>
      <c r="Q487" s="6" t="str">
        <f>IFERROR(__xludf.DUMMYFUNCTION("""COMPUTED_VALUE"""),"куда пойти в свободное время, культурные новинки (что почитать/что послушать), результаты местных исследований (рейтинги/аналитика/тенденции)")</f>
        <v>куда пойти в свободное время, культурные новинки (что почитать/что послушать), результаты местных исследований (рейтинги/аналитика/тенденции)</v>
      </c>
      <c r="R487" s="6" t="str">
        <f>IFERROR(__xludf.DUMMYFUNCTION("""COMPUTED_VALUE"""),"День городп Кемерово")</f>
        <v>День городп Кемерово</v>
      </c>
      <c r="S487" s="6" t="str">
        <f>IFERROR(__xludf.DUMMYFUNCTION("""COMPUTED_VALUE"""),"Нет, не приходилось")</f>
        <v>Нет, не приходилось</v>
      </c>
      <c r="T487" s="6" t="str">
        <f>IFERROR(__xludf.DUMMYFUNCTION("""COMPUTED_VALUE"""),"Красной Горкой и улицей Весенней")</f>
        <v>Красной Горкой и улицей Весенней</v>
      </c>
      <c r="U487" s="6" t="str">
        <f>IFERROR(__xludf.DUMMYFUNCTION("""COMPUTED_VALUE""")," где центр есть сейчас, пусть и остается. это наша история")</f>
        <v> где центр есть сейчас, пусть и остается. это наша история</v>
      </c>
      <c r="V487" s="6" t="str">
        <f>IFERROR(__xludf.DUMMYFUNCTION("""COMPUTED_VALUE"""),"сделали город более удобным для проживания")</f>
        <v>сделали город более удобным для проживания</v>
      </c>
      <c r="W487" s="6" t="str">
        <f>IFERROR(__xludf.DUMMYFUNCTION("""COMPUTED_VALUE"""),"надеемся, что отзывчивые")</f>
        <v>надеемся, что отзывчивые</v>
      </c>
      <c r="X487" s="6" t="str">
        <f>IFERROR(__xludf.DUMMYFUNCTION("""COMPUTED_VALUE"""),"Драмтеатр - набережная")</f>
        <v>Драмтеатр - набережная</v>
      </c>
      <c r="Y487" s="6" t="str">
        <f>IFERROR(__xludf.DUMMYFUNCTION("""COMPUTED_VALUE"""),".то будет еще впереди")</f>
        <v>.то будет еще впереди</v>
      </c>
      <c r="Z487" s="6" t="str">
        <f>IFERROR(__xludf.DUMMYFUNCTION("""COMPUTED_VALUE"""),"подготовка к 300 - летию Кузбасса")</f>
        <v>подготовка к 300 - летию Кузбасса</v>
      </c>
      <c r="AA487" s="6" t="str">
        <f>IFERROR(__xludf.DUMMYFUNCTION("""COMPUTED_VALUE"""),"воздух")</f>
        <v>воздух</v>
      </c>
      <c r="AB487" s="6" t="str">
        <f>IFERROR(__xludf.DUMMYFUNCTION("""COMPUTED_VALUE"""),"пока хватает всего")</f>
        <v>пока хватает всего</v>
      </c>
      <c r="AC487" s="6" t="str">
        <f>IFERROR(__xludf.DUMMYFUNCTION("""COMPUTED_VALUE"""),"городские и областные праздники")</f>
        <v>городские и областные праздники</v>
      </c>
      <c r="AD487"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487" s="6" t="str">
        <f>IFERROR(__xludf.DUMMYFUNCTION("""COMPUTED_VALUE"""),"Женский")</f>
        <v>Женский</v>
      </c>
      <c r="AF487" s="6" t="str">
        <f>IFERROR(__xludf.DUMMYFUNCTION("""COMPUTED_VALUE"""),"старше 55")</f>
        <v>старше 55</v>
      </c>
      <c r="AG487" s="6"/>
      <c r="AH487" s="6"/>
      <c r="AI487" s="6"/>
      <c r="AJ487" s="6"/>
      <c r="AK487" s="6"/>
      <c r="AL487" s="6"/>
      <c r="AM487" s="6"/>
    </row>
    <row r="488">
      <c r="A488" s="6">
        <v>487.0</v>
      </c>
      <c r="B488" s="6" t="str">
        <f>IFERROR(__xludf.DUMMYFUNCTION("""COMPUTED_VALUE"""),"СМИ")</f>
        <v>СМИ</v>
      </c>
      <c r="C488" s="6" t="str">
        <f>IFERROR(__xludf.DUMMYFUNCTION("""COMPUTED_VALUE"""),"Фото")</f>
        <v>Фото</v>
      </c>
      <c r="D488" s="6" t="str">
        <f>IFERROR(__xludf.DUMMYFUNCTION("""COMPUTED_VALUE"""),"Ленинский")</f>
        <v>Ленинский</v>
      </c>
      <c r="E488" s="6" t="str">
        <f>IFERROR(__xludf.DUMMYFUNCTION("""COMPUTED_VALUE"""),"Бульвар Строителей, парк Кузбасский, оз.Красное, Президентское кадетское")</f>
        <v>Бульвар Строителей, парк Кузбасский, оз.Красное, Президентское кадетское</v>
      </c>
      <c r="F488" s="6" t="str">
        <f>IFERROR(__xludf.DUMMYFUNCTION("""COMPUTED_VALUE"""),"Переехал сюда из другого места (откуда? укажите в графе другое), Ленинск-Кузнецкий")</f>
        <v>Переехал сюда из другого места (откуда? укажите в графе другое), Ленинск-Кузнецкий</v>
      </c>
      <c r="G488" s="6" t="str">
        <f>IFERROR(__xludf.DUMMYFUNCTION("""COMPUTED_VALUE"""),"Магазины")</f>
        <v>Магазины</v>
      </c>
      <c r="H488" s="6" t="str">
        <f>IFERROR(__xludf.DUMMYFUNCTION("""COMPUTED_VALUE"""),"Уголь. Шахты. Разрезы. Смог. Черное небо.")</f>
        <v>Уголь. Шахты. Разрезы. Смог. Черное небо.</v>
      </c>
      <c r="I488" s="6" t="str">
        <f>IFERROR(__xludf.DUMMYFUNCTION("""COMPUTED_VALUE"""),"Леонов, Терешкова, Тулеев, Подгорбунский, Машков, Волков, Михайлов...")</f>
        <v>Леонов, Терешкова, Тулеев, Подгорбунский, Машков, Волков, Михайлов...</v>
      </c>
      <c r="J488" s="6" t="str">
        <f>IFERROR(__xludf.DUMMYFUNCTION("""COMPUTED_VALUE"""),"Такие есть")</f>
        <v>Такие есть</v>
      </c>
      <c r="K488" s="6" t="str">
        <f>IFERROR(__xludf.DUMMYFUNCTION("""COMPUTED_VALUE"""),"Надпись Кузбасс в бору, памятник шахтерам (Неизвестного), Красная Горка")</f>
        <v>Надпись Кузбасс в бору, памятник шахтерам (Неизвестного), Красная Горка</v>
      </c>
      <c r="L488" s="6" t="str">
        <f>IFERROR(__xludf.DUMMYFUNCTION("""COMPUTED_VALUE"""),"Чистый уголь - Зеленый Кузбасс")</f>
        <v>Чистый уголь - Зеленый Кузбасс</v>
      </c>
      <c r="M488" s="6" t="str">
        <f>IFERROR(__xludf.DUMMYFUNCTION("""COMPUTED_VALUE"""),"нет")</f>
        <v>нет</v>
      </c>
      <c r="N488" s="6" t="str">
        <f>IFERROR(__xludf.DUMMYFUNCTION("""COMPUTED_VALUE"""),"Шаговая доступность магазинов, наличие здравоохранения, развитые места отдыха, чистота на улицах, безопасность")</f>
        <v>Шаговая доступность магазинов, наличие здравоохранения, развитые места отдыха, чистота на улицах, безопасность</v>
      </c>
      <c r="O488" s="6" t="str">
        <f>IFERROR(__xludf.DUMMYFUNCTION("""COMPUTED_VALUE"""),"Перекрасить дома в яркие цвета, больше неоновых и иных световых решений на зданиях и улицах, больше мелких лавочек и кафе")</f>
        <v>Перекрасить дома в яркие цвета, больше неоновых и иных световых решений на зданиях и улицах, больше мелких лавочек и кафе</v>
      </c>
      <c r="P488" s="6" t="str">
        <f>IFERROR(__xludf.DUMMYFUNCTION("""COMPUTED_VALUE"""),"а42, все42, тг-каналы")</f>
        <v>а42, все42, тг-каналы</v>
      </c>
      <c r="Q488" s="6" t="str">
        <f>IFERROR(__xludf.DUMMYFUNCTION("""COMPUTED_VALUE"""),"городская афиша (кино/театр/концерты),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исследовани"&amp;"й (рейтинги/аналитика/тенденции)")</f>
        <v>городская афиша (кино/театр/концерты),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488" s="6" t="str">
        <f>IFERROR(__xludf.DUMMYFUNCTION("""COMPUTED_VALUE"""),"-")</f>
        <v>-</v>
      </c>
      <c r="S488" s="6" t="str">
        <f>IFERROR(__xludf.DUMMYFUNCTION("""COMPUTED_VALUE"""),"Обращался в редакции городских газет, телевидения, радио")</f>
        <v>Обращался в редакции городских газет, телевидения, радио</v>
      </c>
      <c r="T488" s="6" t="str">
        <f>IFERROR(__xludf.DUMMYFUNCTION("""COMPUTED_VALUE"""),"Угольное и химическое производство")</f>
        <v>Угольное и химическое производство</v>
      </c>
      <c r="U488" s="6" t="str">
        <f>IFERROR(__xludf.DUMMYFUNCTION("""COMPUTED_VALUE"""),"Центральную площадь")</f>
        <v>Центральную площадь</v>
      </c>
      <c r="V488" s="6" t="str">
        <f>IFERROR(__xludf.DUMMYFUNCTION("""COMPUTED_VALUE"""),"Развивали промышленность")</f>
        <v>Развивали промышленность</v>
      </c>
      <c r="W488" s="6" t="str">
        <f>IFERROR(__xludf.DUMMYFUNCTION("""COMPUTED_VALUE"""),"Закрытые, угрюмые")</f>
        <v>Закрытые, угрюмые</v>
      </c>
      <c r="X488" s="6" t="str">
        <f>IFERROR(__xludf.DUMMYFUNCTION("""COMPUTED_VALUE"""),"Центр города")</f>
        <v>Центр города</v>
      </c>
      <c r="Y488" s="6" t="str">
        <f>IFERROR(__xludf.DUMMYFUNCTION("""COMPUTED_VALUE"""),"Рок-фестиваль ""Герои Рока"" от Стройсервиса")</f>
        <v>Рок-фестиваль "Герои Рока" от Стройсервиса</v>
      </c>
      <c r="Z488" s="6" t="str">
        <f>IFERROR(__xludf.DUMMYFUNCTION("""COMPUTED_VALUE"""),"рок-фест, строительство жилых районов")</f>
        <v>рок-фест, строительство жилых районов</v>
      </c>
      <c r="AA488" s="6" t="str">
        <f>IFERROR(__xludf.DUMMYFUNCTION("""COMPUTED_VALUE"""),"убийства")</f>
        <v>убийства</v>
      </c>
      <c r="AB488" s="6" t="str">
        <f>IFERROR(__xludf.DUMMYFUNCTION("""COMPUTED_VALUE"""),"-")</f>
        <v>-</v>
      </c>
      <c r="AC488" s="6" t="str">
        <f>IFERROR(__xludf.DUMMYFUNCTION("""COMPUTED_VALUE"""),"Побольше молодежных фестов и уличных артистов")</f>
        <v>Побольше молодежных фестов и уличных артистов</v>
      </c>
      <c r="AD488"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488" s="6" t="str">
        <f>IFERROR(__xludf.DUMMYFUNCTION("""COMPUTED_VALUE"""),"Мужской")</f>
        <v>Мужской</v>
      </c>
      <c r="AF488" s="6" t="str">
        <f>IFERROR(__xludf.DUMMYFUNCTION("""COMPUTED_VALUE"""),"30-44")</f>
        <v>30-44</v>
      </c>
      <c r="AG488" s="6"/>
      <c r="AH488" s="6"/>
      <c r="AI488" s="6"/>
      <c r="AJ488" s="6"/>
      <c r="AK488" s="6"/>
      <c r="AL488" s="6"/>
      <c r="AM488" s="6"/>
    </row>
    <row r="489">
      <c r="A489" s="6">
        <v>488.0</v>
      </c>
      <c r="B489" s="6" t="str">
        <f>IFERROR(__xludf.DUMMYFUNCTION("""COMPUTED_VALUE"""),"программист, иллюстратор")</f>
        <v>программист, иллюстратор</v>
      </c>
      <c r="C489" s="6" t="str">
        <f>IFERROR(__xludf.DUMMYFUNCTION("""COMPUTED_VALUE"""),"фотография, керамика, психология, кулинария")</f>
        <v>фотография, керамика, психология, кулинария</v>
      </c>
      <c r="D489" s="6" t="str">
        <f>IFERROR(__xludf.DUMMYFUNCTION("""COMPUTED_VALUE"""),"Центральный")</f>
        <v>Центральный</v>
      </c>
      <c r="E489" s="6" t="str">
        <f>IFERROR(__xludf.DUMMYFUNCTION("""COMPUTED_VALUE"""),"Ледовый дворец будет и, видимо, набережная невероятной красоты в будущем")</f>
        <v>Ледовый дворец будет и, видимо, набережная невероятной красоты в будущем</v>
      </c>
      <c r="F489" s="6" t="str">
        <f>IFERROR(__xludf.DUMMYFUNCTION("""COMPUTED_VALUE"""),"Переехал сюда из другого места (откуда? укажите в графе другое), из уютного села переехала")</f>
        <v>Переехал сюда из другого места (откуда? укажите в графе другое), из уютного села переехала</v>
      </c>
      <c r="G489" s="6" t="str">
        <f>IFERROR(__xludf.DUMMYFUNCTION("""COMPUTED_VALUE"""),"Гулять на Набережную, Пионерский, Весеннюю, Бор, Лесная. Закупаться - Я, Сити, Облака, Лапландия, случайные места. Кушать - куда желудок заведет.")</f>
        <v>Гулять на Набережную, Пионерский, Весеннюю, Бор, Лесная. Закупаться - Я, Сити, Облака, Лапландия, случайные места. Кушать - куда желудок заведет.</v>
      </c>
      <c r="H489" s="6" t="str">
        <f>IFERROR(__xludf.DUMMYFUNCTION("""COMPUTED_VALUE"""),"Уголь (простите), театр, кофе, утки, ремонт (дорог так вообще перманентный)")</f>
        <v>Уголь (простите), театр, кофе, утки, ремонт (дорог так вообще перманентный)</v>
      </c>
      <c r="I489" s="6" t="str">
        <f>IFERROR(__xludf.DUMMYFUNCTION("""COMPUTED_VALUE"""),"-")</f>
        <v>-</v>
      </c>
      <c r="J489" s="6" t="str">
        <f>IFERROR(__xludf.DUMMYFUNCTION("""COMPUTED_VALUE"""),"-")</f>
        <v>-</v>
      </c>
      <c r="K489" s="6" t="str">
        <f>IFERROR(__xludf.DUMMYFUNCTION("""COMPUTED_VALUE"""),"Зависит от сезона, вероятно сводила бы на пикник в сосновый или кедровый бор. Может к оленям бы завезла в слободу (если гостям такое в новинку) или в хаскилэнд")</f>
        <v>Зависит от сезона, вероятно сводила бы на пикник в сосновый или кедровый бор. Может к оленям бы завезла в слободу (если гостям такое в новинку) или в хаскилэнд</v>
      </c>
      <c r="L489" s="6" t="str">
        <f>IFERROR(__xludf.DUMMYFUNCTION("""COMPUTED_VALUE"""),"Молчи, за умного сойдешь")</f>
        <v>Молчи, за умного сойдешь</v>
      </c>
      <c r="M489" s="6" t="str">
        <f>IFERROR(__xludf.DUMMYFUNCTION("""COMPUTED_VALUE"""),"Кемерово не склоняется")</f>
        <v>Кемерово не склоняется</v>
      </c>
      <c r="N489" s="6" t="str">
        <f>IFERROR(__xludf.DUMMYFUNCTION("""COMPUTED_VALUE"""),"Чистота, порядок, внимание уязвимым слоям населения, поддержка стартапов на региональном уровне, собственное производство (овощи, молочка, колбасы, etc)")</f>
        <v>Чистота, порядок, внимание уязвимым слоям населения, поддержка стартапов на региональном уровне, собственное производство (овощи, молочка, колбасы, etc)</v>
      </c>
      <c r="O489" s="6" t="str">
        <f>IFERROR(__xludf.DUMMYFUNCTION("""COMPUTED_VALUE"""),"Набережную достроить, штрафовать за мусор")</f>
        <v>Набережную достроить, штрафовать за мусор</v>
      </c>
      <c r="P489" s="6" t="str">
        <f>IFERROR(__xludf.DUMMYFUNCTION("""COMPUTED_VALUE"""),"от друзей")</f>
        <v>от друзей</v>
      </c>
      <c r="Q489"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489" s="6" t="str">
        <f>IFERROR(__xludf.DUMMYFUNCTION("""COMPUTED_VALUE"""),"масленица")</f>
        <v>масленица</v>
      </c>
      <c r="S489" s="6" t="str">
        <f>IFERROR(__xludf.DUMMYFUNCTION("""COMPUTED_VALUE"""),"Нет, не приходилось")</f>
        <v>Нет, не приходилось</v>
      </c>
      <c r="T489" s="6" t="str">
        <f>IFERROR(__xludf.DUMMYFUNCTION("""COMPUTED_VALUE"""),"Маленький, но хороший. И люди приятные ( но не все)")</f>
        <v>Маленький, но хороший. И люди приятные ( но не все)</v>
      </c>
      <c r="U489" s="6" t="str">
        <f>IFERROR(__xludf.DUMMYFUNCTION("""COMPUTED_VALUE"""),"Площадь Советов")</f>
        <v>Площадь Советов</v>
      </c>
      <c r="V489" s="6" t="str">
        <f>IFERROR(__xludf.DUMMYFUNCTION("""COMPUTED_VALUE"""),"Жили достойно, верили в свой город, открывались, расширялись")</f>
        <v>Жили достойно, верили в свой город, открывались, расширялись</v>
      </c>
      <c r="W489" s="6" t="str">
        <f>IFERROR(__xludf.DUMMYFUNCTION("""COMPUTED_VALUE"""),"Суровые, смелые, веселые")</f>
        <v>Суровые, смелые, веселые</v>
      </c>
      <c r="X489" s="6" t="str">
        <f>IFERROR(__xludf.DUMMYFUNCTION("""COMPUTED_VALUE"""),"Маршрут в правильной компании по центральным улицам")</f>
        <v>Маршрут в правильной компании по центральным улицам</v>
      </c>
      <c r="Y489" s="6" t="str">
        <f>IFERROR(__xludf.DUMMYFUNCTION("""COMPUTED_VALUE"""),"-")</f>
        <v>-</v>
      </c>
      <c r="Z489" s="6" t="str">
        <f>IFERROR(__xludf.DUMMYFUNCTION("""COMPUTED_VALUE"""),"Люди склонны лучше запоминать плохое")</f>
        <v>Люди склонны лучше запоминать плохое</v>
      </c>
      <c r="AA489" s="6" t="str">
        <f>IFERROR(__xludf.DUMMYFUNCTION("""COMPUTED_VALUE"""),"Зимняя Вишня")</f>
        <v>Зимняя Вишня</v>
      </c>
      <c r="AB489" s="6" t="str">
        <f>IFERROR(__xludf.DUMMYFUNCTION("""COMPUTED_VALUE"""),"Не уверена")</f>
        <v>Не уверена</v>
      </c>
      <c r="AC489" s="6" t="str">
        <f>IFERROR(__xludf.DUMMYFUNCTION("""COMPUTED_VALUE"""),"Интересные")</f>
        <v>Интересные</v>
      </c>
      <c r="AD489"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489" s="6" t="str">
        <f>IFERROR(__xludf.DUMMYFUNCTION("""COMPUTED_VALUE"""),"Женский")</f>
        <v>Женский</v>
      </c>
      <c r="AF489" s="6" t="str">
        <f>IFERROR(__xludf.DUMMYFUNCTION("""COMPUTED_VALUE"""),"18-29")</f>
        <v>18-29</v>
      </c>
      <c r="AG489" s="6"/>
      <c r="AH489" s="6"/>
      <c r="AI489" s="6"/>
      <c r="AJ489" s="6"/>
      <c r="AK489" s="6"/>
      <c r="AL489" s="6"/>
      <c r="AM489" s="6"/>
    </row>
    <row r="490">
      <c r="A490" s="6">
        <v>489.0</v>
      </c>
      <c r="B490" s="6" t="str">
        <f>IFERROR(__xludf.DUMMYFUNCTION("""COMPUTED_VALUE"""),"Культурная деятельность, библиотечный работник")</f>
        <v>Культурная деятельность, библиотечный работник</v>
      </c>
      <c r="C490" s="6" t="str">
        <f>IFERROR(__xludf.DUMMYFUNCTION("""COMPUTED_VALUE"""),"нет")</f>
        <v>нет</v>
      </c>
      <c r="D490" s="6" t="str">
        <f>IFERROR(__xludf.DUMMYFUNCTION("""COMPUTED_VALUE"""),"Ленинский")</f>
        <v>Ленинский</v>
      </c>
      <c r="E490" s="6" t="str">
        <f>IFERROR(__xludf.DUMMYFUNCTION("""COMPUTED_VALUE"""),"Бульвар строителей, красное озеро")</f>
        <v>Бульвар строителей, красное озеро</v>
      </c>
      <c r="F490"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490" s="6" t="str">
        <f>IFERROR(__xludf.DUMMYFUNCTION("""COMPUTED_VALUE"""),"Комсомольский парк, Парк чудес, Набережная, Бульвар строителей, территория около Кадетского училища")</f>
        <v>Комсомольский парк, Парк чудес, Набережная, Бульвар строителей, территория около Кадетского училища</v>
      </c>
      <c r="H490" s="6" t="str">
        <f>IFERROR(__xludf.DUMMYFUNCTION("""COMPUTED_VALUE"""),"я не поняла вопрос")</f>
        <v>я не поняла вопрос</v>
      </c>
      <c r="I490" s="6" t="str">
        <f>IFERROR(__xludf.DUMMYFUNCTION("""COMPUTED_VALUE"""),"Аман Тулеев, Иван Балибалов, Владимир Михайлов")</f>
        <v>Аман Тулеев, Иван Балибалов, Владимир Михайлов</v>
      </c>
      <c r="J490" s="6" t="str">
        <f>IFERROR(__xludf.DUMMYFUNCTION("""COMPUTED_VALUE"""),"Я не знаю")</f>
        <v>Я не знаю</v>
      </c>
      <c r="K490" s="6" t="str">
        <f>IFERROR(__xludf.DUMMYFUNCTION("""COMPUTED_VALUE"""),"Красная горка, бульвар строителей, парк ангелов")</f>
        <v>Красная горка, бульвар строителей, парк ангелов</v>
      </c>
      <c r="L490" s="6" t="str">
        <f>IFERROR(__xludf.DUMMYFUNCTION("""COMPUTED_VALUE"""),"ЭЭЭЭЭЭЭЭЭЭ")</f>
        <v>ЭЭЭЭЭЭЭЭЭЭ</v>
      </c>
      <c r="M490" s="6" t="str">
        <f>IFERROR(__xludf.DUMMYFUNCTION("""COMPUTED_VALUE"""),"нет")</f>
        <v>нет</v>
      </c>
      <c r="N490" s="6" t="str">
        <f>IFERROR(__xludf.DUMMYFUNCTION("""COMPUTED_VALUE"""),"нет таких")</f>
        <v>нет таких</v>
      </c>
      <c r="O490" s="6" t="str">
        <f>IFERROR(__xludf.DUMMYFUNCTION("""COMPUTED_VALUE"""),"Отмыть город, очистить от грязи и пыти")</f>
        <v>Отмыть город, очистить от грязи и пыти</v>
      </c>
      <c r="P490" s="6" t="str">
        <f>IFERROR(__xludf.DUMMYFUNCTION("""COMPUTED_VALUE"""),"Из интернета, источникам значение не придают")</f>
        <v>Из интернета, источникам значение не придают</v>
      </c>
      <c r="Q490" s="6" t="str">
        <f>IFERROR(__xludf.DUMMYFUNCTION("""COMPUTED_VALUE"""),"новости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f>
        <v>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490" s="6" t="str">
        <f>IFERROR(__xludf.DUMMYFUNCTION("""COMPUTED_VALUE"""),"Таких нет")</f>
        <v>Таких нет</v>
      </c>
      <c r="S490" s="6" t="str">
        <f>IFERROR(__xludf.DUMMYFUNCTION("""COMPUTED_VALUE"""),"Нет, не приходилось")</f>
        <v>Нет, не приходилось</v>
      </c>
      <c r="T490" s="6" t="str">
        <f>IFERROR(__xludf.DUMMYFUNCTION("""COMPUTED_VALUE"""),"Самый криминальный город")</f>
        <v>Самый криминальный город</v>
      </c>
      <c r="U490" s="6" t="str">
        <f>IFERROR(__xludf.DUMMYFUNCTION("""COMPUTED_VALUE"""),"ничего")</f>
        <v>ничего</v>
      </c>
      <c r="V490" s="6" t="str">
        <f>IFERROR(__xludf.DUMMYFUNCTION("""COMPUTED_VALUE"""),"Развивали производство")</f>
        <v>Развивали производство</v>
      </c>
      <c r="W490" s="6" t="str">
        <f>IFERROR(__xludf.DUMMYFUNCTION("""COMPUTED_VALUE"""),"Злые")</f>
        <v>Злые</v>
      </c>
      <c r="X490" s="6" t="str">
        <f>IFERROR(__xludf.DUMMYFUNCTION("""COMPUTED_VALUE"""),"не знаю")</f>
        <v>не знаю</v>
      </c>
      <c r="Y490" s="6" t="str">
        <f>IFERROR(__xludf.DUMMYFUNCTION("""COMPUTED_VALUE"""),"Чемпионат по бенди")</f>
        <v>Чемпионат по бенди</v>
      </c>
      <c r="Z490" s="6" t="str">
        <f>IFERROR(__xludf.DUMMYFUNCTION("""COMPUTED_VALUE"""),"таких нет")</f>
        <v>таких нет</v>
      </c>
      <c r="AA490" s="6" t="str">
        <f>IFERROR(__xludf.DUMMYFUNCTION("""COMPUTED_VALUE"""),"ни какие ")</f>
        <v>ни какие </v>
      </c>
      <c r="AB490" s="6" t="str">
        <f>IFERROR(__xludf.DUMMYFUNCTION("""COMPUTED_VALUE"""),"без разницы")</f>
        <v>без разницы</v>
      </c>
      <c r="AC490" s="6" t="str">
        <f>IFERROR(__xludf.DUMMYFUNCTION("""COMPUTED_VALUE"""),"Что бы жить было интереснее, нужно развивать промышленность, производства, а не ваши мероприятия")</f>
        <v>Что бы жить было интереснее, нужно развивать промышленность, производства, а не ваши мероприятия</v>
      </c>
      <c r="AD49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490" s="6" t="str">
        <f>IFERROR(__xludf.DUMMYFUNCTION("""COMPUTED_VALUE"""),"Женский")</f>
        <v>Женский</v>
      </c>
      <c r="AF490" s="6" t="str">
        <f>IFERROR(__xludf.DUMMYFUNCTION("""COMPUTED_VALUE"""),"30-44")</f>
        <v>30-44</v>
      </c>
      <c r="AG490" s="6"/>
      <c r="AH490" s="6"/>
      <c r="AI490" s="6"/>
      <c r="AJ490" s="6"/>
      <c r="AK490" s="6"/>
      <c r="AL490" s="6"/>
      <c r="AM490" s="6"/>
    </row>
    <row r="491">
      <c r="A491" s="6">
        <v>490.0</v>
      </c>
      <c r="B491" s="6" t="str">
        <f>IFERROR(__xludf.DUMMYFUNCTION("""COMPUTED_VALUE"""),"воспитатель")</f>
        <v>воспитатель</v>
      </c>
      <c r="C491" s="6" t="str">
        <f>IFERROR(__xludf.DUMMYFUNCTION("""COMPUTED_VALUE"""),"читать книги")</f>
        <v>читать книги</v>
      </c>
      <c r="D491" s="6" t="str">
        <f>IFERROR(__xludf.DUMMYFUNCTION("""COMPUTED_VALUE"""),"Заводский")</f>
        <v>Заводский</v>
      </c>
      <c r="E491" s="6" t="str">
        <f>IFERROR(__xludf.DUMMYFUNCTION("""COMPUTED_VALUE"""),"никакие")</f>
        <v>никакие</v>
      </c>
      <c r="F491" s="6" t="str">
        <f>IFERROR(__xludf.DUMMYFUNCTION("""COMPUTED_VALUE"""),"Живу здесь с рождения")</f>
        <v>Живу здесь с рождения</v>
      </c>
      <c r="G491" s="6" t="str">
        <f>IFERROR(__xludf.DUMMYFUNCTION("""COMPUTED_VALUE"""),"парк Жукова")</f>
        <v>парк Жукова</v>
      </c>
      <c r="H491" s="6" t="str">
        <f>IFERROR(__xludf.DUMMYFUNCTION("""COMPUTED_VALUE"""),"центр, главный, большой. красивый, ")</f>
        <v>центр, главный, большой. красивый, </v>
      </c>
      <c r="I491" s="6" t="str">
        <f>IFERROR(__xludf.DUMMYFUNCTION("""COMPUTED_VALUE"""),"Михайло Волков, Алексей Леонов")</f>
        <v>Михайло Волков, Алексей Леонов</v>
      </c>
      <c r="J491" s="6" t="str">
        <f>IFERROR(__xludf.DUMMYFUNCTION("""COMPUTED_VALUE"""),"Тулеев")</f>
        <v>Тулеев</v>
      </c>
      <c r="K491" s="6" t="str">
        <f>IFERROR(__xludf.DUMMYFUNCTION("""COMPUTED_VALUE"""),"не знаю")</f>
        <v>не знаю</v>
      </c>
      <c r="L491" s="6" t="str">
        <f>IFERROR(__xludf.DUMMYFUNCTION("""COMPUTED_VALUE"""),"не помню")</f>
        <v>не помню</v>
      </c>
      <c r="M491" s="6" t="str">
        <f>IFERROR(__xludf.DUMMYFUNCTION("""COMPUTED_VALUE"""),"нет")</f>
        <v>нет</v>
      </c>
      <c r="N491" s="6" t="str">
        <f>IFERROR(__xludf.DUMMYFUNCTION("""COMPUTED_VALUE"""),"зоны отдыха")</f>
        <v>зоны отдыха</v>
      </c>
      <c r="O491" s="6" t="str">
        <f>IFERROR(__xludf.DUMMYFUNCTION("""COMPUTED_VALUE"""),"все")</f>
        <v>все</v>
      </c>
      <c r="P491" s="6" t="str">
        <f>IFERROR(__xludf.DUMMYFUNCTION("""COMPUTED_VALUE"""),"Газеты, соц. сети")</f>
        <v>Газеты, соц. сети</v>
      </c>
      <c r="Q491" s="6" t="str">
        <f>IFERROR(__xludf.DUMMYFUNCTION("""COMPUTED_VALUE"""),"куда пойти в свободное время, новости про новые профессии/куда поступать/вакансии")</f>
        <v>куда пойти в свободное время, новости про новые профессии/куда поступать/вакансии</v>
      </c>
      <c r="R491" s="6" t="str">
        <f>IFERROR(__xludf.DUMMYFUNCTION("""COMPUTED_VALUE"""),"все")</f>
        <v>все</v>
      </c>
      <c r="S491" s="6" t="str">
        <f>IFERROR(__xludf.DUMMYFUNCTION("""COMPUTED_VALUE"""),"Нет, не приходилось")</f>
        <v>Нет, не приходилось</v>
      </c>
      <c r="T491" s="6" t="str">
        <f>IFERROR(__xludf.DUMMYFUNCTION("""COMPUTED_VALUE"""),"н")</f>
        <v>н</v>
      </c>
      <c r="U491" s="6" t="str">
        <f>IFERROR(__xludf.DUMMYFUNCTION("""COMPUTED_VALUE"""),"площадь советов")</f>
        <v>площадь советов</v>
      </c>
      <c r="V491" s="6" t="str">
        <f>IFERROR(__xludf.DUMMYFUNCTION("""COMPUTED_VALUE"""),"н")</f>
        <v>н</v>
      </c>
      <c r="W491" s="6" t="str">
        <f>IFERROR(__xludf.DUMMYFUNCTION("""COMPUTED_VALUE"""),"доброжелательные, улыбчивые")</f>
        <v>доброжелательные, улыбчивые</v>
      </c>
      <c r="X491" s="6" t="str">
        <f>IFERROR(__xludf.DUMMYFUNCTION("""COMPUTED_VALUE"""),"в центр города")</f>
        <v>в центр города</v>
      </c>
      <c r="Y491" s="6" t="str">
        <f>IFERROR(__xludf.DUMMYFUNCTION("""COMPUTED_VALUE"""),"не помню")</f>
        <v>не помню</v>
      </c>
      <c r="Z491" s="6" t="str">
        <f>IFERROR(__xludf.DUMMYFUNCTION("""COMPUTED_VALUE"""),"затрудняюсь ответить")</f>
        <v>затрудняюсь ответить</v>
      </c>
      <c r="AA491" s="6" t="str">
        <f>IFERROR(__xludf.DUMMYFUNCTION("""COMPUTED_VALUE"""),"затрудняюсь ответить")</f>
        <v>затрудняюсь ответить</v>
      </c>
      <c r="AB491" s="6" t="str">
        <f>IFERROR(__xludf.DUMMYFUNCTION("""COMPUTED_VALUE"""),"затрудняюсь ответить")</f>
        <v>затрудняюсь ответить</v>
      </c>
      <c r="AC491" s="6" t="str">
        <f>IFERROR(__xludf.DUMMYFUNCTION("""COMPUTED_VALUE"""),"затрудняюсь ответить")</f>
        <v>затрудняюсь ответить</v>
      </c>
      <c r="AD49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491" s="6" t="str">
        <f>IFERROR(__xludf.DUMMYFUNCTION("""COMPUTED_VALUE"""),"Женский")</f>
        <v>Женский</v>
      </c>
      <c r="AF491" s="6" t="str">
        <f>IFERROR(__xludf.DUMMYFUNCTION("""COMPUTED_VALUE"""),"45-55")</f>
        <v>45-55</v>
      </c>
      <c r="AG491" s="6"/>
      <c r="AH491" s="6"/>
      <c r="AI491" s="6"/>
      <c r="AJ491" s="6"/>
      <c r="AK491" s="6"/>
      <c r="AL491" s="6"/>
      <c r="AM491" s="6"/>
    </row>
    <row r="492">
      <c r="A492" s="6">
        <v>491.0</v>
      </c>
      <c r="B492" s="6" t="str">
        <f>IFERROR(__xludf.DUMMYFUNCTION("""COMPUTED_VALUE"""),"работаю ")</f>
        <v>работаю </v>
      </c>
      <c r="C492" s="6" t="str">
        <f>IFERROR(__xludf.DUMMYFUNCTION("""COMPUTED_VALUE"""),"рыбалка ")</f>
        <v>рыбалка </v>
      </c>
      <c r="D492" s="6" t="str">
        <f>IFERROR(__xludf.DUMMYFUNCTION("""COMPUTED_VALUE"""),"ленинский район ")</f>
        <v>ленинский район </v>
      </c>
      <c r="E492" s="6" t="str">
        <f>IFERROR(__xludf.DUMMYFUNCTION("""COMPUTED_VALUE"""),"тц, парк ")</f>
        <v>тц, парк </v>
      </c>
      <c r="F49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492" s="6" t="str">
        <f>IFERROR(__xludf.DUMMYFUNCTION("""COMPUTED_VALUE"""),"в тц ""лапландия""")</f>
        <v>в тц "лапландия"</v>
      </c>
      <c r="H492" s="6" t="str">
        <f>IFERROR(__xludf.DUMMYFUNCTION("""COMPUTED_VALUE"""),"грязь, уголь, природа, смог, негатив ")</f>
        <v>грязь, уголь, природа, смог, негатив </v>
      </c>
      <c r="I492" s="6" t="str">
        <f>IFERROR(__xludf.DUMMYFUNCTION("""COMPUTED_VALUE"""),"Михайло Волков, Владимир Мартемьянов")</f>
        <v>Михайло Волков, Владимир Мартемьянов</v>
      </c>
      <c r="J492" s="6" t="str">
        <f>IFERROR(__xludf.DUMMYFUNCTION("""COMPUTED_VALUE"""),"не знаю ")</f>
        <v>не знаю </v>
      </c>
      <c r="K492" s="6" t="str">
        <f>IFERROR(__xludf.DUMMYFUNCTION("""COMPUTED_VALUE"""),"Красная горка, драмтеатр ")</f>
        <v>Красная горка, драмтеатр </v>
      </c>
      <c r="L492" s="6" t="str">
        <f>IFERROR(__xludf.DUMMYFUNCTION("""COMPUTED_VALUE"""),"негатив и недовольство во всем ")</f>
        <v>негатив и недовольство во всем </v>
      </c>
      <c r="M492" s="6" t="str">
        <f>IFERROR(__xludf.DUMMYFUNCTION("""COMPUTED_VALUE"""),"кемерОво, мультифорка ")</f>
        <v>кемерОво, мультифорка </v>
      </c>
      <c r="N492" s="6" t="str">
        <f>IFERROR(__xludf.DUMMYFUNCTION("""COMPUTED_VALUE"""),"чистота, тепло, доступная среда ")</f>
        <v>чистота, тепло, доступная среда </v>
      </c>
      <c r="O492" s="6" t="str">
        <f>IFERROR(__xludf.DUMMYFUNCTION("""COMPUTED_VALUE"""),"начать с себя - любить то место где живешь и не быть равнодушным ")</f>
        <v>начать с себя - любить то место где живешь и не быть равнодушным </v>
      </c>
      <c r="P492" s="6" t="str">
        <f>IFERROR(__xludf.DUMMYFUNCTION("""COMPUTED_VALUE"""),"Инстаграм ")</f>
        <v>Инстаграм </v>
      </c>
      <c r="Q49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v>
      </c>
      <c r="R492" s="6" t="str">
        <f>IFERROR(__xludf.DUMMYFUNCTION("""COMPUTED_VALUE"""),"все праздники важны, потому что это моя работа")</f>
        <v>все праздники важны, потому что это моя работа</v>
      </c>
      <c r="S492" s="6" t="str">
        <f>IFERROR(__xludf.DUMMYFUNCTION("""COMPUTED_VALUE"""),"Писал и расклеивал объявления/афиши, Через социальные сети (Какие? Укажите в графе другое), Делал рассылку по электронной почте")</f>
        <v>Писал и расклеивал объявления/афиши, Через социальные сети (Какие? Укажите в графе другое), Делал рассылку по электронной почте</v>
      </c>
      <c r="T492" s="6" t="str">
        <f>IFERROR(__xludf.DUMMYFUNCTION("""COMPUTED_VALUE"""),"обычный город ")</f>
        <v>обычный город </v>
      </c>
      <c r="U492" s="6" t="str">
        <f>IFERROR(__xludf.DUMMYFUNCTION("""COMPUTED_VALUE"""),"тц")</f>
        <v>тц</v>
      </c>
      <c r="V492" s="6" t="str">
        <f>IFERROR(__xludf.DUMMYFUNCTION("""COMPUTED_VALUE"""),"работали из последних сил ")</f>
        <v>работали из последних сил </v>
      </c>
      <c r="W492" s="6" t="str">
        <f>IFERROR(__xludf.DUMMYFUNCTION("""COMPUTED_VALUE"""),"уставшие и разочарованные ")</f>
        <v>уставшие и разочарованные </v>
      </c>
      <c r="X492" s="6" t="str">
        <f>IFERROR(__xludf.DUMMYFUNCTION("""COMPUTED_VALUE"""),"по набережной ")</f>
        <v>по набережной </v>
      </c>
      <c r="Y492" s="6" t="str">
        <f>IFERROR(__xludf.DUMMYFUNCTION("""COMPUTED_VALUE"""),"фестиваль Герои мирового рока ")</f>
        <v>фестиваль Герои мирового рока </v>
      </c>
      <c r="Z492" s="6" t="str">
        <f>IFERROR(__xludf.DUMMYFUNCTION("""COMPUTED_VALUE"""),"не помню ")</f>
        <v>не помню </v>
      </c>
      <c r="AA492" s="6" t="str">
        <f>IFERROR(__xludf.DUMMYFUNCTION("""COMPUTED_VALUE"""),"несчастнейшие случаи ")</f>
        <v>несчастнейшие случаи </v>
      </c>
      <c r="AB492" s="6" t="str">
        <f>IFERROR(__xludf.DUMMYFUNCTION("""COMPUTED_VALUE"""),"не интересует ")</f>
        <v>не интересует </v>
      </c>
      <c r="AC492" s="6" t="str">
        <f>IFERROR(__xludf.DUMMYFUNCTION("""COMPUTED_VALUE"""),"меньше праздников, медицина никакая, а тут ""культура"" всюду строится. кто будет ходить? процент раковых больных и ВИЧ????? ")</f>
        <v>меньше праздников, медицина никакая, а тут "культура" всюду строится. кто будет ходить? процент раковых больных и ВИЧ????? </v>
      </c>
      <c r="AD49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492" s="6" t="str">
        <f>IFERROR(__xludf.DUMMYFUNCTION("""COMPUTED_VALUE"""),"Мужской")</f>
        <v>Мужской</v>
      </c>
      <c r="AF492" s="6" t="str">
        <f>IFERROR(__xludf.DUMMYFUNCTION("""COMPUTED_VALUE"""),"18-29")</f>
        <v>18-29</v>
      </c>
      <c r="AG492" s="6"/>
      <c r="AH492" s="6"/>
      <c r="AI492" s="6"/>
      <c r="AJ492" s="6"/>
      <c r="AK492" s="6"/>
      <c r="AL492" s="6"/>
      <c r="AM492" s="6"/>
    </row>
    <row r="493">
      <c r="A493" s="6">
        <v>492.0</v>
      </c>
      <c r="B493" s="6" t="str">
        <f>IFERROR(__xludf.DUMMYFUNCTION("""COMPUTED_VALUE"""),"сейчас работаю")</f>
        <v>сейчас работаю</v>
      </c>
      <c r="C493" s="6" t="str">
        <f>IFERROR(__xludf.DUMMYFUNCTION("""COMPUTED_VALUE"""),"есть,это секрет")</f>
        <v>есть,это секрет</v>
      </c>
      <c r="D493" s="6" t="str">
        <f>IFERROR(__xludf.DUMMYFUNCTION("""COMPUTED_VALUE"""),"мой хороший район")</f>
        <v>мой хороший район</v>
      </c>
      <c r="E493" s="6" t="str">
        <f>IFERROR(__xludf.DUMMYFUNCTION("""COMPUTED_VALUE"""),"возле мусорки")</f>
        <v>возле мусорки</v>
      </c>
      <c r="F493" s="6" t="str">
        <f>IFERROR(__xludf.DUMMYFUNCTION("""COMPUTED_VALUE"""),"Живу здесь с рождения")</f>
        <v>Живу здесь с рождения</v>
      </c>
      <c r="G493" s="6" t="str">
        <f>IFERROR(__xludf.DUMMYFUNCTION("""COMPUTED_VALUE"""),"на работу, люблю свою работу")</f>
        <v>на работу, люблю свою работу</v>
      </c>
      <c r="H493" s="6" t="str">
        <f>IFERROR(__xludf.DUMMYFUNCTION("""COMPUTED_VALUE"""),"грязь, Михайло Волков, горки, голуби, окурки")</f>
        <v>грязь, Михайло Волков, горки, голуби, окурки</v>
      </c>
      <c r="I493" s="6" t="str">
        <f>IFERROR(__xludf.DUMMYFUNCTION("""COMPUTED_VALUE"""),"Волков")</f>
        <v>Волков</v>
      </c>
      <c r="J493" s="6" t="str">
        <f>IFERROR(__xludf.DUMMYFUNCTION("""COMPUTED_VALUE"""),"Тюшина Е.И.")</f>
        <v>Тюшина Е.И.</v>
      </c>
      <c r="K493" s="6" t="str">
        <f>IFERROR(__xludf.DUMMYFUNCTION("""COMPUTED_VALUE"""),"Библиотеку на Весенней")</f>
        <v>Библиотеку на Весенней</v>
      </c>
      <c r="L493" s="6" t="str">
        <f>IFERROR(__xludf.DUMMYFUNCTION("""COMPUTED_VALUE"""),"не помню, к сожалению")</f>
        <v>не помню, к сожалению</v>
      </c>
      <c r="M493" s="6" t="str">
        <f>IFERROR(__xludf.DUMMYFUNCTION("""COMPUTED_VALUE"""),"мультифора, и др.")</f>
        <v>мультифора, и др.</v>
      </c>
      <c r="N493" s="6" t="str">
        <f>IFERROR(__xludf.DUMMYFUNCTION("""COMPUTED_VALUE"""),"комфортная температура воздуха, море, чистый воздух, все улыбаются, вода без червей")</f>
        <v>комфортная температура воздуха, море, чистый воздух, все улыбаются, вода без червей</v>
      </c>
      <c r="O493" s="6" t="str">
        <f>IFERROR(__xludf.DUMMYFUNCTION("""COMPUTED_VALUE"""),"отношение людей ")</f>
        <v>отношение людей </v>
      </c>
      <c r="P493" s="6" t="str">
        <f>IFERROR(__xludf.DUMMYFUNCTION("""COMPUTED_VALUE"""),"от коллеги по любимой работе")</f>
        <v>от коллеги по любимой работе</v>
      </c>
      <c r="Q493"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493" s="6" t="str">
        <f>IFERROR(__xludf.DUMMYFUNCTION("""COMPUTED_VALUE"""),"все праздники, потому что мы к ним готовимся и участвуем с удовольствием")</f>
        <v>все праздники, потому что мы к ним готовимся и участвуем с удовольствием</v>
      </c>
      <c r="S493" s="6" t="str">
        <f>IFERROR(__xludf.DUMMYFUNCTION("""COMPUTED_VALUE"""),"Писал и расклеивал объявления/афиши, Через социальные сети (Какие? Укажите в графе другое)")</f>
        <v>Писал и расклеивал объявления/афиши, Через социальные сети (Какие? Укажите в графе другое)</v>
      </c>
      <c r="T493" s="6" t="str">
        <f>IFERROR(__xludf.DUMMYFUNCTION("""COMPUTED_VALUE"""),"экология и бизнес")</f>
        <v>экология и бизнес</v>
      </c>
      <c r="U493" s="6" t="str">
        <f>IFERROR(__xludf.DUMMYFUNCTION("""COMPUTED_VALUE"""),"памятник Волкову")</f>
        <v>памятник Волкову</v>
      </c>
      <c r="V493" s="6" t="str">
        <f>IFERROR(__xludf.DUMMYFUNCTION("""COMPUTED_VALUE"""),"угольная промышленность")</f>
        <v>угольная промышленность</v>
      </c>
      <c r="W493" s="6" t="str">
        <f>IFERROR(__xludf.DUMMYFUNCTION("""COMPUTED_VALUE"""),"хмурые, усталые, несчастные")</f>
        <v>хмурые, усталые, несчастные</v>
      </c>
      <c r="X493" s="6" t="str">
        <f>IFERROR(__xludf.DUMMYFUNCTION("""COMPUTED_VALUE"""),"село Кабаново")</f>
        <v>село Кабаново</v>
      </c>
      <c r="Y493" s="6" t="str">
        <f>IFERROR(__xludf.DUMMYFUNCTION("""COMPUTED_VALUE"""),"Крым наш!")</f>
        <v>Крым наш!</v>
      </c>
      <c r="Z493" s="6" t="str">
        <f>IFERROR(__xludf.DUMMYFUNCTION("""COMPUTED_VALUE"""),"Крым наш!!!")</f>
        <v>Крым наш!!!</v>
      </c>
      <c r="AA493" s="6" t="str">
        <f>IFERROR(__xludf.DUMMYFUNCTION("""COMPUTED_VALUE"""),"пожар...")</f>
        <v>пожар...</v>
      </c>
      <c r="AB493" s="6" t="str">
        <f>IFERROR(__xludf.DUMMYFUNCTION("""COMPUTED_VALUE"""),"Культурные кружки по интересам")</f>
        <v>Культурные кружки по интересам</v>
      </c>
      <c r="AC493" s="6" t="str">
        <f>IFERROR(__xludf.DUMMYFUNCTION("""COMPUTED_VALUE"""),"мне и так интересно, хватит праздников!")</f>
        <v>мне и так интересно, хватит праздников!</v>
      </c>
      <c r="AD493" s="6" t="str">
        <f>IFERROR(__xludf.DUMMYFUNCTION("""COMPUTED_VALUE"""),"Не готов принимать личное участие (укажите, пожалуйста, причину в поле «Другое»), ДОСТАТОЧНО")</f>
        <v>Не готов принимать личное участие (укажите, пожалуйста, причину в поле «Другое»), ДОСТАТОЧНО</v>
      </c>
      <c r="AE493" s="6" t="str">
        <f>IFERROR(__xludf.DUMMYFUNCTION("""COMPUTED_VALUE"""),"Женский")</f>
        <v>Женский</v>
      </c>
      <c r="AF493" s="6" t="str">
        <f>IFERROR(__xludf.DUMMYFUNCTION("""COMPUTED_VALUE"""),"18-29")</f>
        <v>18-29</v>
      </c>
      <c r="AG493" s="6"/>
      <c r="AH493" s="6"/>
      <c r="AI493" s="6"/>
      <c r="AJ493" s="6"/>
      <c r="AK493" s="6"/>
      <c r="AL493" s="6"/>
      <c r="AM493" s="6"/>
    </row>
    <row r="494">
      <c r="A494" s="6">
        <v>493.0</v>
      </c>
      <c r="B494" s="6" t="str">
        <f>IFERROR(__xludf.DUMMYFUNCTION("""COMPUTED_VALUE"""),"Библиотекарь")</f>
        <v>Библиотекарь</v>
      </c>
      <c r="C494" s="6" t="str">
        <f>IFERROR(__xludf.DUMMYFUNCTION("""COMPUTED_VALUE"""),"История, психология, рукоделие, собаководство")</f>
        <v>История, психология, рукоделие, собаководство</v>
      </c>
      <c r="D494" s="6" t="str">
        <f>IFERROR(__xludf.DUMMYFUNCTION("""COMPUTED_VALUE"""),"Заводский район")</f>
        <v>Заводский район</v>
      </c>
      <c r="E494" s="6" t="str">
        <f>IFERROR(__xludf.DUMMYFUNCTION("""COMPUTED_VALUE"""),"Парк Ангелов ")</f>
        <v>Парк Ангелов </v>
      </c>
      <c r="F494" s="6" t="str">
        <f>IFERROR(__xludf.DUMMYFUNCTION("""COMPUTED_VALUE"""),"Переехал сюда из другого места (откуда? укажите в графе другое), Санкт-Петербург ")</f>
        <v>Переехал сюда из другого места (откуда? укажите в графе другое), Санкт-Петербург </v>
      </c>
      <c r="G494" s="6" t="str">
        <f>IFERROR(__xludf.DUMMYFUNCTION("""COMPUTED_VALUE"""),"Музеи, театры, парки, кино")</f>
        <v>Музеи, театры, парки, кино</v>
      </c>
      <c r="H494" s="6" t="str">
        <f>IFERROR(__xludf.DUMMYFUNCTION("""COMPUTED_VALUE"""),"Уголь, Тулеев, Кузбасс, Природа, Истрия")</f>
        <v>Уголь, Тулеев, Кузбасс, Природа, Истрия</v>
      </c>
      <c r="I494" s="6" t="str">
        <f>IFERROR(__xludf.DUMMYFUNCTION("""COMPUTED_VALUE""")," Михайло Волков")</f>
        <v> Михайло Волков</v>
      </c>
      <c r="J494" s="6" t="str">
        <f>IFERROR(__xludf.DUMMYFUNCTION("""COMPUTED_VALUE"""),"Аман Тулеев")</f>
        <v>Аман Тулеев</v>
      </c>
      <c r="K494" s="6" t="str">
        <f>IFERROR(__xludf.DUMMYFUNCTION("""COMPUTED_VALUE"""),"Парк Ангелов")</f>
        <v>Парк Ангелов</v>
      </c>
      <c r="L494" s="6" t="str">
        <f>IFERROR(__xludf.DUMMYFUNCTION("""COMPUTED_VALUE"""),"Смел и бесстрашен, как шахтёр Кузбасса")</f>
        <v>Смел и бесстрашен, как шахтёр Кузбасса</v>
      </c>
      <c r="M494" s="6" t="str">
        <f>IFERROR(__xludf.DUMMYFUNCTION("""COMPUTED_VALUE"""),"Нет ")</f>
        <v>Нет </v>
      </c>
      <c r="N494" s="6" t="str">
        <f>IFERROR(__xludf.DUMMYFUNCTION("""COMPUTED_VALUE"""),"Уют, хорошие дороги, инфраструктура, чистота на улицах и в подьздах, высокая культура горожан")</f>
        <v>Уют, хорошие дороги, инфраструктура, чистота на улицах и в подьздах, высокая культура горожан</v>
      </c>
      <c r="O494" s="6" t="str">
        <f>IFERROR(__xludf.DUMMYFUNCTION("""COMPUTED_VALUE"""),"Научить людей не мусориить, сделать большие площадки для, выгула собак")</f>
        <v>Научить людей не мусориить, сделать большие площадки для, выгула собак</v>
      </c>
      <c r="P494" s="6" t="str">
        <f>IFERROR(__xludf.DUMMYFUNCTION("""COMPUTED_VALUE"""),"Все 42.ru")</f>
        <v>Все 42.ru</v>
      </c>
      <c r="Q494"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494" s="6" t="str">
        <f>IFERROR(__xludf.DUMMYFUNCTION("""COMPUTED_VALUE"""),"День шахтёра, день победы")</f>
        <v>День шахтёра, день победы</v>
      </c>
      <c r="S494" s="6" t="str">
        <f>IFERROR(__xludf.DUMMYFUNCTION("""COMPUTED_VALUE"""),"Через социальные сети (Какие? Укажите в графе другое), Одноклассники, Вк")</f>
        <v>Через социальные сети (Какие? Укажите в графе другое), Одноклассники, Вк</v>
      </c>
      <c r="T494" s="6" t="str">
        <f>IFERROR(__xludf.DUMMYFUNCTION("""COMPUTED_VALUE"""),"Природа, люди, история")</f>
        <v>Природа, люди, история</v>
      </c>
      <c r="U494" s="6" t="str">
        <f>IFERROR(__xludf.DUMMYFUNCTION("""COMPUTED_VALUE"""),"Площадь Советов")</f>
        <v>Площадь Советов</v>
      </c>
      <c r="V494" s="6" t="str">
        <f>IFERROR(__xludf.DUMMYFUNCTION("""COMPUTED_VALUE"""),"Жили, творили, создавали")</f>
        <v>Жили, творили, создавали</v>
      </c>
      <c r="W494" s="6" t="str">
        <f>IFERROR(__xludf.DUMMYFUNCTION("""COMPUTED_VALUE"""),"Разные")</f>
        <v>Разные</v>
      </c>
      <c r="X494" s="6" t="str">
        <f>IFERROR(__xludf.DUMMYFUNCTION("""COMPUTED_VALUE"""),"По пр Ленина")</f>
        <v>По пр Ленина</v>
      </c>
      <c r="Y494" s="6" t="str">
        <f>IFERROR(__xludf.DUMMYFUNCTION("""COMPUTED_VALUE"""),"Создание горда")</f>
        <v>Создание горда</v>
      </c>
      <c r="Z494" s="6" t="str">
        <f>IFERROR(__xludf.DUMMYFUNCTION("""COMPUTED_VALUE"""),"Все")</f>
        <v>Все</v>
      </c>
      <c r="AA494" s="6" t="str">
        <f>IFERROR(__xludf.DUMMYFUNCTION("""COMPUTED_VALUE"""),"-")</f>
        <v>-</v>
      </c>
      <c r="AB494" s="6" t="str">
        <f>IFERROR(__xludf.DUMMYFUNCTION("""COMPUTED_VALUE""")," - ")</f>
        <v> - </v>
      </c>
      <c r="AC494" s="6" t="str">
        <f>IFERROR(__xludf.DUMMYFUNCTION("""COMPUTED_VALUE"""),"Балет")</f>
        <v>Балет</v>
      </c>
      <c r="AD49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494" s="6" t="str">
        <f>IFERROR(__xludf.DUMMYFUNCTION("""COMPUTED_VALUE"""),"Женский")</f>
        <v>Женский</v>
      </c>
      <c r="AF494" s="6" t="str">
        <f>IFERROR(__xludf.DUMMYFUNCTION("""COMPUTED_VALUE"""),"30-44")</f>
        <v>30-44</v>
      </c>
      <c r="AG494" s="6"/>
      <c r="AH494" s="6"/>
      <c r="AI494" s="6"/>
      <c r="AJ494" s="6"/>
      <c r="AK494" s="6"/>
      <c r="AL494" s="6"/>
      <c r="AM494" s="6"/>
    </row>
    <row r="495">
      <c r="A495" s="6">
        <v>494.0</v>
      </c>
      <c r="B495" s="6" t="str">
        <f>IFERROR(__xludf.DUMMYFUNCTION("""COMPUTED_VALUE"""),"Культура. Библиотека")</f>
        <v>Культура. Библиотека</v>
      </c>
      <c r="C495" s="6" t="str">
        <f>IFERROR(__xludf.DUMMYFUNCTION("""COMPUTED_VALUE"""),"Чтение. Садоводство. ")</f>
        <v>Чтение. Садоводство. </v>
      </c>
      <c r="D495" s="6" t="str">
        <f>IFERROR(__xludf.DUMMYFUNCTION("""COMPUTED_VALUE"""),"Рудничный. Радуга")</f>
        <v>Рудничный. Радуга</v>
      </c>
      <c r="E495" s="6" t="str">
        <f>IFERROR(__xludf.DUMMYFUNCTION("""COMPUTED_VALUE"""),"Рудничный бор.")</f>
        <v>Рудничный бор.</v>
      </c>
      <c r="F495" s="6" t="str">
        <f>IFERROR(__xludf.DUMMYFUNCTION("""COMPUTED_VALUE"""),"Переехал сюда из другого места (откуда? укажите в графе другое), Кемеровская область")</f>
        <v>Переехал сюда из другого места (откуда? укажите в графе другое), Кемеровская область</v>
      </c>
      <c r="G495" s="6" t="str">
        <f>IFERROR(__xludf.DUMMYFUNCTION("""COMPUTED_VALUE"""),"линейный парк бульвара Строителей")</f>
        <v>линейный парк бульвара Строителей</v>
      </c>
      <c r="H495" s="6" t="str">
        <f>IFERROR(__xludf.DUMMYFUNCTION("""COMPUTED_VALUE"""),"геометрия. памятники. смог.")</f>
        <v>геометрия. памятники. смог.</v>
      </c>
      <c r="I495" s="6" t="str">
        <f>IFERROR(__xludf.DUMMYFUNCTION("""COMPUTED_VALUE"""),"Леонов, Вера Волошина")</f>
        <v>Леонов, Вера Волошина</v>
      </c>
      <c r="J495" s="6" t="str">
        <f>IFERROR(__xludf.DUMMYFUNCTION("""COMPUTED_VALUE"""),"Михайлов, Гришковец")</f>
        <v>Михайлов, Гришковец</v>
      </c>
      <c r="K495" s="6" t="str">
        <f>IFERROR(__xludf.DUMMYFUNCTION("""COMPUTED_VALUE"""),"Лесная поляна, Красная горка, бульвар Строителей, парк ангелов")</f>
        <v>Лесная поляна, Красная горка, бульвар Строителей, парк ангелов</v>
      </c>
      <c r="L495" s="6" t="str">
        <f>IFERROR(__xludf.DUMMYFUNCTION("""COMPUTED_VALUE"""),"не могу")</f>
        <v>не могу</v>
      </c>
      <c r="M495" s="6" t="str">
        <f>IFERROR(__xludf.DUMMYFUNCTION("""COMPUTED_VALUE"""),"нет")</f>
        <v>нет</v>
      </c>
      <c r="N495" s="6" t="str">
        <f>IFERROR(__xludf.DUMMYFUNCTION("""COMPUTED_VALUE"""),"дороги - качество, отсутствие пробок, наличие учреждений культуры и спорта во всех районах (библиотеки, кинотеатры, бассейны, спортзалы...)")</f>
        <v>дороги - качество, отсутствие пробок, наличие учреждений культуры и спорта во всех районах (библиотеки, кинотеатры, бассейны, спортзалы...)</v>
      </c>
      <c r="O495" s="6" t="str">
        <f>IFERROR(__xludf.DUMMYFUNCTION("""COMPUTED_VALUE"""),"объездная дорога, третий мост, зашоренность чиновников")</f>
        <v>объездная дорога, третий мост, зашоренность чиновников</v>
      </c>
      <c r="P495" s="6" t="str">
        <f>IFERROR(__xludf.DUMMYFUNCTION("""COMPUTED_VALUE"""),"А42, Ваш город, Открытый город")</f>
        <v>А42, Ваш город, Открытый город</v>
      </c>
      <c r="Q495"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495" s="6" t="str">
        <f>IFERROR(__xludf.DUMMYFUNCTION("""COMPUTED_VALUE"""),"новый год")</f>
        <v>новый год</v>
      </c>
      <c r="S495"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организация работы н"&amp;"а открытых площадках, в библиотеках и других УК")</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организация работы на открытых площадках, в библиотеках и других УК</v>
      </c>
      <c r="T495" s="6" t="str">
        <f>IFERROR(__xludf.DUMMYFUNCTION("""COMPUTED_VALUE"""),"к сожалению, ""Зимней вишней"" и Еленой Малышевой")</f>
        <v>к сожалению, "Зимней вишней" и Еленой Малышевой</v>
      </c>
      <c r="U495" s="6" t="str">
        <f>IFERROR(__xludf.DUMMYFUNCTION("""COMPUTED_VALUE"""),"площадь Советов")</f>
        <v>площадь Советов</v>
      </c>
      <c r="V495" s="6" t="str">
        <f>IFERROR(__xludf.DUMMYFUNCTION("""COMPUTED_VALUE"""),"построили")</f>
        <v>построили</v>
      </c>
      <c r="W495" s="6" t="str">
        <f>IFERROR(__xludf.DUMMYFUNCTION("""COMPUTED_VALUE"""),"многострадальные и равнодушные. ")</f>
        <v>многострадальные и равнодушные. </v>
      </c>
      <c r="X495" s="6" t="str">
        <f>IFERROR(__xludf.DUMMYFUNCTION("""COMPUTED_VALUE"""),"""Антошка"" - парк Победы - Филармония - набережная - горсад - Весенняя")</f>
        <v>"Антошка" - парк Победы - Филармония - набережная - горсад - Весенняя</v>
      </c>
      <c r="Y495" s="6" t="str">
        <f>IFERROR(__xludf.DUMMYFUNCTION("""COMPUTED_VALUE"""),"Копикуз, Бэнди")</f>
        <v>Копикуз, Бэнди</v>
      </c>
      <c r="Z495" s="6" t="str">
        <f>IFERROR(__xludf.DUMMYFUNCTION("""COMPUTED_VALUE"""),"открытие президентского училища?")</f>
        <v>открытие президентского училища?</v>
      </c>
      <c r="AA495" s="6" t="str">
        <f>IFERROR(__xludf.DUMMYFUNCTION("""COMPUTED_VALUE"""),"закрытие библиотек и уменьшение площади оставшихся")</f>
        <v>закрытие библиотек и уменьшение площади оставшихся</v>
      </c>
      <c r="AB495" s="6" t="str">
        <f>IFERROR(__xludf.DUMMYFUNCTION("""COMPUTED_VALUE"""),"любителей книги, попечителей библиотек")</f>
        <v>любителей книги, попечителей библиотек</v>
      </c>
      <c r="AC495" s="6" t="str">
        <f>IFERROR(__xludf.DUMMYFUNCTION("""COMPUTED_VALUE"""),"визиты популярных российских писателей, гастроли ведущих театров")</f>
        <v>визиты популярных российских писателей, гастроли ведущих театров</v>
      </c>
      <c r="AD495" s="6" t="str">
        <f>IFERROR(__xludf.DUMMYFUNCTION("""COMPUTED_VALUE"""),"открытие библиотек в районах-новостройках, перезагрузка библиотек")</f>
        <v>открытие библиотек в районах-новостройках, перезагрузка библиотек</v>
      </c>
      <c r="AE495" s="6" t="str">
        <f>IFERROR(__xludf.DUMMYFUNCTION("""COMPUTED_VALUE"""),"Женский")</f>
        <v>Женский</v>
      </c>
      <c r="AF495" s="6" t="str">
        <f>IFERROR(__xludf.DUMMYFUNCTION("""COMPUTED_VALUE"""),"45-55")</f>
        <v>45-55</v>
      </c>
      <c r="AG495" s="6"/>
      <c r="AH495" s="6"/>
      <c r="AI495" s="6"/>
      <c r="AJ495" s="6"/>
      <c r="AK495" s="6"/>
      <c r="AL495" s="6"/>
      <c r="AM495" s="6"/>
    </row>
    <row r="496">
      <c r="A496" s="6">
        <v>495.0</v>
      </c>
      <c r="B496" s="6" t="str">
        <f>IFERROR(__xludf.DUMMYFUNCTION("""COMPUTED_VALUE"""),"Режиссер видео монтажа")</f>
        <v>Режиссер видео монтажа</v>
      </c>
      <c r="C496" s="6" t="str">
        <f>IFERROR(__xludf.DUMMYFUNCTION("""COMPUTED_VALUE"""),"Фото съёмка, фото реставрация.")</f>
        <v>Фото съёмка, фото реставрация.</v>
      </c>
      <c r="D496" s="6" t="str">
        <f>IFERROR(__xludf.DUMMYFUNCTION("""COMPUTED_VALUE"""),"Рудничный")</f>
        <v>Рудничный</v>
      </c>
      <c r="E496" s="6" t="str">
        <f>IFERROR(__xludf.DUMMYFUNCTION("""COMPUTED_VALUE"""),"Сосновый бор")</f>
        <v>Сосновый бор</v>
      </c>
      <c r="F496" s="6" t="str">
        <f>IFERROR(__xludf.DUMMYFUNCTION("""COMPUTED_VALUE"""),"Живу здесь с рождения")</f>
        <v>Живу здесь с рождения</v>
      </c>
      <c r="G496" s="6" t="str">
        <f>IFERROR(__xludf.DUMMYFUNCTION("""COMPUTED_VALUE"""),"Сосновый бор, центр города, набережная")</f>
        <v>Сосновый бор, центр города, набережная</v>
      </c>
      <c r="H496" s="6" t="str">
        <f>IFERROR(__xludf.DUMMYFUNCTION("""COMPUTED_VALUE"""),"дом, семья, отчизна, учеба, работа")</f>
        <v>дом, семья, отчизна, учеба, работа</v>
      </c>
      <c r="I496" s="6" t="str">
        <f>IFERROR(__xludf.DUMMYFUNCTION("""COMPUTED_VALUE"""),"Себальд Рутгерс. Михайло Волков, Семья Коос. М. А. Подгорбунский. ")</f>
        <v>Себальд Рутгерс. Михайло Волков, Семья Коос. М. А. Подгорбунский. </v>
      </c>
      <c r="J496" s="6" t="str">
        <f>IFERROR(__xludf.DUMMYFUNCTION("""COMPUTED_VALUE"""),"Андрей Панин, А. Леонов, Владимир Машков, Юрий Арбачаков, Владимир Михайлов")</f>
        <v>Андрей Панин, А. Леонов, Владимир Машков, Юрий Арбачаков, Владимир Михайлов</v>
      </c>
      <c r="K496" s="6" t="str">
        <f>IFERROR(__xludf.DUMMYFUNCTION("""COMPUTED_VALUE"""),"Набережная, Сосновый бор, разные районы города, деревня Хаски, Алатау.")</f>
        <v>Набережная, Сосновый бор, разные районы города, деревня Хаски, Алатау.</v>
      </c>
      <c r="L496" s="6" t="str">
        <f>IFERROR(__xludf.DUMMYFUNCTION("""COMPUTED_VALUE"""),"над Томью плывут соловьиные зори... (слова из песни, что бьют куранты)")</f>
        <v>над Томью плывут соловьиные зори... (слова из песни, что бьют куранты)</v>
      </c>
      <c r="M496" s="6" t="str">
        <f>IFERROR(__xludf.DUMMYFUNCTION("""COMPUTED_VALUE"""),"большинство только для нашего региона")</f>
        <v>большинство только для нашего региона</v>
      </c>
      <c r="N496" s="6" t="str">
        <f>IFERROR(__xludf.DUMMYFUNCTION("""COMPUTED_VALUE"""),"больше прогулочных мест на велосипеде, ровные дороги, хорошая зарплата, меньше пивнух, больше парковых зон новых.")</f>
        <v>больше прогулочных мест на велосипеде, ровные дороги, хорошая зарплата, меньше пивнух, больше парковых зон новых.</v>
      </c>
      <c r="O496" s="6" t="str">
        <f>IFERROR(__xludf.DUMMYFUNCTION("""COMPUTED_VALUE"""),"Сократить пивные магазины.")</f>
        <v>Сократить пивные магазины.</v>
      </c>
      <c r="P496" s="6" t="str">
        <f>IFERROR(__xludf.DUMMYFUNCTION("""COMPUTED_VALUE"""),"Работаю на телевидении ")</f>
        <v>Работаю на телевидении </v>
      </c>
      <c r="Q496" s="6" t="str">
        <f>IFERROR(__xludf.DUMMYFUNCTION("""COMPUTED_VALUE"""),"городская афиша (кино/театр/концерты), интервью с местными творческими личностями, криминальные новости (происшествия/преступления)")</f>
        <v>городская афиша (кино/театр/концерты), интервью с местными творческими личностями, криминальные новости (происшествия/преступления)</v>
      </c>
      <c r="R496" s="6" t="str">
        <f>IFERROR(__xludf.DUMMYFUNCTION("""COMPUTED_VALUE"""),"День Победы.")</f>
        <v>День Победы.</v>
      </c>
      <c r="S496" s="6" t="str">
        <f>IFERROR(__xludf.DUMMYFUNCTION("""COMPUTED_VALUE"""),"Нет, не приходилось")</f>
        <v>Нет, не приходилось</v>
      </c>
      <c r="T496" s="6" t="str">
        <f>IFERROR(__xludf.DUMMYFUNCTION("""COMPUTED_VALUE"""),"Уголь, Красная горка")</f>
        <v>Уголь, Красная горка</v>
      </c>
      <c r="U496" s="6" t="str">
        <f>IFERROR(__xludf.DUMMYFUNCTION("""COMPUTED_VALUE"""),"Вечный огонь")</f>
        <v>Вечный огонь</v>
      </c>
      <c r="V496" s="6" t="str">
        <f>IFERROR(__xludf.DUMMYFUNCTION("""COMPUTED_VALUE"""),"Работали не покладая рук.")</f>
        <v>Работали не покладая рук.</v>
      </c>
      <c r="W496" s="6" t="str">
        <f>IFERROR(__xludf.DUMMYFUNCTION("""COMPUTED_VALUE"""),"Отзывчивость, сплоченность.")</f>
        <v>Отзывчивость, сплоченность.</v>
      </c>
      <c r="X496" s="6" t="str">
        <f>IFERROR(__xludf.DUMMYFUNCTION("""COMPUTED_VALUE"""),"Сосновый бор")</f>
        <v>Сосновый бор</v>
      </c>
      <c r="Y496" s="6" t="str">
        <f>IFERROR(__xludf.DUMMYFUNCTION("""COMPUTED_VALUE"""),"Зимняя Вишня, Концерт Легенды рока.")</f>
        <v>Зимняя Вишня, Концерт Легенды рока.</v>
      </c>
      <c r="Z496" s="6" t="str">
        <f>IFERROR(__xludf.DUMMYFUNCTION("""COMPUTED_VALUE"""),"Для  меня не было таковых.")</f>
        <v>Для  меня не было таковых.</v>
      </c>
      <c r="AA496" s="6" t="str">
        <f>IFERROR(__xludf.DUMMYFUNCTION("""COMPUTED_VALUE"""),"Зимняя Вишня")</f>
        <v>Зимняя Вишня</v>
      </c>
      <c r="AB496" s="6" t="str">
        <f>IFERROR(__xludf.DUMMYFUNCTION("""COMPUTED_VALUE"""),"Затрудняюсь с ответом.")</f>
        <v>Затрудняюсь с ответом.</v>
      </c>
      <c r="AC496" s="6" t="str">
        <f>IFERROR(__xludf.DUMMYFUNCTION("""COMPUTED_VALUE"""),"Затрудняюсь с ответом.")</f>
        <v>Затрудняюсь с ответом.</v>
      </c>
      <c r="AD496" s="6" t="str">
        <f>IFERROR(__xludf.DUMMYFUNCTION("""COMPUTED_VALUE"""),"Не готов принимать личное участие (укажите, пожалуйста, причину в поле «Другое»), Удаленно занимаюсь реставрацией старых фотографий нашего города.")</f>
        <v>Не готов принимать личное участие (укажите, пожалуйста, причину в поле «Другое»), Удаленно занимаюсь реставрацией старых фотографий нашего города.</v>
      </c>
      <c r="AE496" s="6" t="str">
        <f>IFERROR(__xludf.DUMMYFUNCTION("""COMPUTED_VALUE"""),"Мужской")</f>
        <v>Мужской</v>
      </c>
      <c r="AF496" s="6" t="str">
        <f>IFERROR(__xludf.DUMMYFUNCTION("""COMPUTED_VALUE"""),"30-44")</f>
        <v>30-44</v>
      </c>
      <c r="AG496" s="6"/>
      <c r="AH496" s="6"/>
      <c r="AI496" s="6"/>
      <c r="AJ496" s="6"/>
      <c r="AK496" s="6"/>
      <c r="AL496" s="6"/>
      <c r="AM496" s="6"/>
    </row>
    <row r="497">
      <c r="A497" s="6">
        <v>496.0</v>
      </c>
      <c r="B497" s="6" t="str">
        <f>IFERROR(__xludf.DUMMYFUNCTION("""COMPUTED_VALUE"""),"Работаю в библиотеке")</f>
        <v>Работаю в библиотеке</v>
      </c>
      <c r="C497" s="6" t="str">
        <f>IFERROR(__xludf.DUMMYFUNCTION("""COMPUTED_VALUE"""),"Выращиваю цветы")</f>
        <v>Выращиваю цветы</v>
      </c>
      <c r="D497" s="6" t="str">
        <f>IFERROR(__xludf.DUMMYFUNCTION("""COMPUTED_VALUE"""),"Пос. Пионер")</f>
        <v>Пос. Пионер</v>
      </c>
      <c r="E497" s="6" t="str">
        <f>IFERROR(__xludf.DUMMYFUNCTION("""COMPUTED_VALUE"""),"Новый парк")</f>
        <v>Новый парк</v>
      </c>
      <c r="F497" s="6" t="str">
        <f>IFERROR(__xludf.DUMMYFUNCTION("""COMPUTED_VALUE"""),"Живу здесь с рождения")</f>
        <v>Живу здесь с рождения</v>
      </c>
      <c r="G497" s="6" t="str">
        <f>IFERROR(__xludf.DUMMYFUNCTION("""COMPUTED_VALUE"""),"В кино или в лес на прогулку")</f>
        <v>В кино или в лес на прогулку</v>
      </c>
      <c r="H497" s="6" t="str">
        <f>IFERROR(__xludf.DUMMYFUNCTION("""COMPUTED_VALUE"""),"Родной, красивый, любимый, мой, ")</f>
        <v>Родной, красивый, любимый, мой, </v>
      </c>
      <c r="I497" s="6" t="str">
        <f>IFERROR(__xludf.DUMMYFUNCTION("""COMPUTED_VALUE"""),"Вера Волошина")</f>
        <v>Вера Волошина</v>
      </c>
      <c r="J497" s="6" t="str">
        <f>IFERROR(__xludf.DUMMYFUNCTION("""COMPUTED_VALUE"""),"Тулеев")</f>
        <v>Тулеев</v>
      </c>
      <c r="K497" s="6" t="str">
        <f>IFERROR(__xludf.DUMMYFUNCTION("""COMPUTED_VALUE"""),"Памятник шахтеру")</f>
        <v>Памятник шахтеру</v>
      </c>
      <c r="L497" s="6" t="str">
        <f>IFERROR(__xludf.DUMMYFUNCTION("""COMPUTED_VALUE"""),"Сделал дело, гуляй смело")</f>
        <v>Сделал дело, гуляй смело</v>
      </c>
      <c r="M497" s="6" t="str">
        <f>IFERROR(__xludf.DUMMYFUNCTION("""COMPUTED_VALUE"""),"Кузбасс")</f>
        <v>Кузбасс</v>
      </c>
      <c r="N497" s="6" t="str">
        <f>IFERROR(__xludf.DUMMYFUNCTION("""COMPUTED_VALUE"""),"Чистота, хорошие дороги, красивые дворы, ухоженные парки, транспорт по расписанию")</f>
        <v>Чистота, хорошие дороги, красивые дворы, ухоженные парки, транспорт по расписанию</v>
      </c>
      <c r="O497" s="6" t="str">
        <f>IFERROR(__xludf.DUMMYFUNCTION("""COMPUTED_VALUE"""),"Ремонтировать большее число дорог, поднять зарплату бюджетникам и вернуть прежний пенсионный возраст")</f>
        <v>Ремонтировать большее число дорог, поднять зарплату бюджетникам и вернуть прежний пенсионный возраст</v>
      </c>
      <c r="P497" s="6" t="str">
        <f>IFERROR(__xludf.DUMMYFUNCTION("""COMPUTED_VALUE"""),"Новости")</f>
        <v>Новости</v>
      </c>
      <c r="Q497" s="6" t="str">
        <f>IFERROR(__xludf.DUMMYFUNCTION("""COMPUTED_VALUE"""),"городская афиша (кино/театр/концерты), интервью с местными творческими личностями, бизнес-новости (средний чек/рекламные акции/запуск новых предприятий)")</f>
        <v>городская афиша (кино/театр/концерты), интервью с местными творческими личностями, бизнес-новости (средний чек/рекламные акции/запуск новых предприятий)</v>
      </c>
      <c r="R497" s="6" t="str">
        <f>IFERROR(__xludf.DUMMYFUNCTION("""COMPUTED_VALUE"""),"Масленица, день города")</f>
        <v>Масленица, день города</v>
      </c>
      <c r="S497" s="6" t="str">
        <f>IFERROR(__xludf.DUMMYFUNCTION("""COMPUTED_VALUE"""),"Писал и расклеивал объявления/афиши, Делал рассылку по электронной почте")</f>
        <v>Писал и расклеивал объявления/афиши, Делал рассылку по электронной почте</v>
      </c>
      <c r="T497" s="6" t="str">
        <f>IFERROR(__xludf.DUMMYFUNCTION("""COMPUTED_VALUE"""),"Памятник М. Волкову")</f>
        <v>Памятник М. Волкову</v>
      </c>
      <c r="U497" s="6" t="str">
        <f>IFERROR(__xludf.DUMMYFUNCTION("""COMPUTED_VALUE"""),"Проспект Советский и площадь советов")</f>
        <v>Проспект Советский и площадь советов</v>
      </c>
      <c r="V497" s="6" t="str">
        <f>IFERROR(__xludf.DUMMYFUNCTION("""COMPUTED_VALUE"""),"Архитиктура города")</f>
        <v>Архитиктура города</v>
      </c>
      <c r="W497" s="6" t="str">
        <f>IFERROR(__xludf.DUMMYFUNCTION("""COMPUTED_VALUE"""),"Добрые и отзывчивые")</f>
        <v>Добрые и отзывчивые</v>
      </c>
      <c r="X497" s="6" t="str">
        <f>IFERROR(__xludf.DUMMYFUNCTION("""COMPUTED_VALUE"""),"Парк чудес")</f>
        <v>Парк чудес</v>
      </c>
      <c r="Y497" s="6" t="str">
        <f>IFERROR(__xludf.DUMMYFUNCTION("""COMPUTED_VALUE"""),"День города")</f>
        <v>День города</v>
      </c>
      <c r="Z497" s="6" t="str">
        <f>IFERROR(__xludf.DUMMYFUNCTION("""COMPUTED_VALUE"""),"Нет таких")</f>
        <v>Нет таких</v>
      </c>
      <c r="AA497" s="6" t="str">
        <f>IFERROR(__xludf.DUMMYFUNCTION("""COMPUTED_VALUE"""),"Мероприятия с участием Новального")</f>
        <v>Мероприятия с участием Новального</v>
      </c>
      <c r="AB497" s="6" t="str">
        <f>IFERROR(__xludf.DUMMYFUNCTION("""COMPUTED_VALUE"""),"Мне всего хватает")</f>
        <v>Мне всего хватает</v>
      </c>
      <c r="AC497" s="6" t="str">
        <f>IFERROR(__xludf.DUMMYFUNCTION("""COMPUTED_VALUE"""),"Всего хватает")</f>
        <v>Всего хватает</v>
      </c>
      <c r="AD49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497" s="6" t="str">
        <f>IFERROR(__xludf.DUMMYFUNCTION("""COMPUTED_VALUE"""),"Женский")</f>
        <v>Женский</v>
      </c>
      <c r="AF497" s="6" t="str">
        <f>IFERROR(__xludf.DUMMYFUNCTION("""COMPUTED_VALUE"""),"45-55")</f>
        <v>45-55</v>
      </c>
      <c r="AG497" s="6"/>
      <c r="AH497" s="6"/>
      <c r="AI497" s="6"/>
      <c r="AJ497" s="6"/>
      <c r="AK497" s="6"/>
      <c r="AL497" s="6"/>
      <c r="AM497" s="6"/>
    </row>
    <row r="498">
      <c r="A498" s="6">
        <v>497.0</v>
      </c>
      <c r="B498" s="6" t="str">
        <f>IFERROR(__xludf.DUMMYFUNCTION("""COMPUTED_VALUE"""),"Преподаватель")</f>
        <v>Преподаватель</v>
      </c>
      <c r="C498" s="6" t="str">
        <f>IFERROR(__xludf.DUMMYFUNCTION("""COMPUTED_VALUE"""),"Люблю читать, рисовать")</f>
        <v>Люблю читать, рисовать</v>
      </c>
      <c r="D498" s="6" t="str">
        <f>IFERROR(__xludf.DUMMYFUNCTION("""COMPUTED_VALUE"""),"Центральный")</f>
        <v>Центральный</v>
      </c>
      <c r="E498" s="6" t="str">
        <f>IFERROR(__xludf.DUMMYFUNCTION("""COMPUTED_VALUE"""),"Площадь Советов, парк Жукова")</f>
        <v>Площадь Советов, парк Жукова</v>
      </c>
      <c r="F498" s="6" t="str">
        <f>IFERROR(__xludf.DUMMYFUNCTION("""COMPUTED_VALUE"""),"Переехал сюда из другого места (откуда? укажите в графе другое), Переехала из Белово")</f>
        <v>Переехал сюда из другого места (откуда? укажите в графе другое), Переехала из Белово</v>
      </c>
      <c r="G498" s="6" t="str">
        <f>IFERROR(__xludf.DUMMYFUNCTION("""COMPUTED_VALUE"""),"На набережную, на ул. Весеннюю")</f>
        <v>На набережную, на ул. Весеннюю</v>
      </c>
      <c r="H498" s="6" t="str">
        <f>IFERROR(__xludf.DUMMYFUNCTION("""COMPUTED_VALUE"""),"Дом, Родина, ")</f>
        <v>Дом, Родина, </v>
      </c>
      <c r="I498" s="6" t="str">
        <f>IFERROR(__xludf.DUMMYFUNCTION("""COMPUTED_VALUE"""),"Волков, Леонов, Волошина,Рутгерс,Мартемьянов, Бобров, Штоколов")</f>
        <v>Волков, Леонов, Волошина,Рутгерс,Мартемьянов, Бобров, Штоколов</v>
      </c>
      <c r="J498" s="6" t="str">
        <f>IFERROR(__xludf.DUMMYFUNCTION("""COMPUTED_VALUE"""),"В. Михайлов, Гришковец, Барбараш")</f>
        <v>В. Михайлов, Гришковец, Барбараш</v>
      </c>
      <c r="K498" s="6" t="str">
        <f>IFERROR(__xludf.DUMMYFUNCTION("""COMPUTED_VALUE"""),"Красная горка, Томская писаница, Елыкаевская слобода,Кедровый бор")</f>
        <v>Красная горка, Томская писаница, Елыкаевская слобода,Кедровый бор</v>
      </c>
      <c r="L498" s="6" t="str">
        <f>IFERROR(__xludf.DUMMYFUNCTION("""COMPUTED_VALUE"""),"К сожалению, не знаю")</f>
        <v>К сожалению, не знаю</v>
      </c>
      <c r="M498" s="6" t="str">
        <f>IFERROR(__xludf.DUMMYFUNCTION("""COMPUTED_VALUE"""),"Нет")</f>
        <v>Нет</v>
      </c>
      <c r="N498" s="6" t="str">
        <f>IFERROR(__xludf.DUMMYFUNCTION("""COMPUTED_VALUE"""),"Чистота, удобство, доступный  транспорт, театры, парки, цветы")</f>
        <v>Чистота, удобство, доступный  транспорт, театры, парки, цветы</v>
      </c>
      <c r="O498" s="6" t="str">
        <f>IFERROR(__xludf.DUMMYFUNCTION("""COMPUTED_VALUE"""),"Боагоустроить дворы и подходы к ним, убрать из дворов машины, убираиь не только центральные улицы, но и переулки")</f>
        <v>Боагоустроить дворы и подходы к ним, убрать из дворов машины, убираиь не только центральные улицы, но и переулки</v>
      </c>
      <c r="P498" s="6" t="str">
        <f>IFERROR(__xludf.DUMMYFUNCTION("""COMPUTED_VALUE"""),"Интернет, инстаграм, афиши")</f>
        <v>Интернет, инстаграм, афиши</v>
      </c>
      <c r="Q498"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интерв"&amp;"ью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498" s="6" t="str">
        <f>IFERROR(__xludf.DUMMYFUNCTION("""COMPUTED_VALUE"""),"День города")</f>
        <v>День города</v>
      </c>
      <c r="S498" s="6" t="str">
        <f>IFERROR(__xludf.DUMMYFUNCTION("""COMPUTED_VALUE"""),"Писал и расклеивал объявления/афиши, Через социальные сети (Какие? Укажите в графе другое), Обращался в редакции городских газет, телевидения, радио, Концерты")</f>
        <v>Писал и расклеивал объявления/афиши, Через социальные сети (Какие? Укажите в графе другое), Обращался в редакции городских газет, телевидения, радио, Концерты</v>
      </c>
      <c r="T498" s="6" t="str">
        <f>IFERROR(__xludf.DUMMYFUNCTION("""COMPUTED_VALUE"""),"Химическое производство
На счет уникальности затрудняюсь
")</f>
        <v>Химическое производство
На счет уникальности затрудняюсь
</v>
      </c>
      <c r="U498" s="6" t="str">
        <f>IFERROR(__xludf.DUMMYFUNCTION("""COMPUTED_VALUE"""),"Площадь Советов")</f>
        <v>Площадь Советов</v>
      </c>
      <c r="V498" s="6" t="str">
        <f>IFERROR(__xludf.DUMMYFUNCTION("""COMPUTED_VALUE"""),"Добросовестно трудились на своем рабочем месте")</f>
        <v>Добросовестно трудились на своем рабочем месте</v>
      </c>
      <c r="W498" s="6" t="str">
        <f>IFERROR(__xludf.DUMMYFUNCTION("""COMPUTED_VALUE"""),"Разные: приветливые и не очень, отзывчивые, раздраженные, добрые, веселые и не очень")</f>
        <v>Разные: приветливые и не очень, отзывчивые, раздраженные, добрые, веселые и не очень</v>
      </c>
      <c r="X498" s="6" t="str">
        <f>IFERROR(__xludf.DUMMYFUNCTION("""COMPUTED_VALUE"""),"Ул. Весенняя, набережная Томи")</f>
        <v>Ул. Весенняя, набережная Томи</v>
      </c>
      <c r="Y498" s="6" t="str">
        <f>IFERROR(__xludf.DUMMYFUNCTION("""COMPUTED_VALUE"""),"Рок фестиваль 2019")</f>
        <v>Рок фестиваль 2019</v>
      </c>
      <c r="Z498" s="6" t="str">
        <f>IFERROR(__xludf.DUMMYFUNCTION("""COMPUTED_VALUE"""),"Симфонический концерт в Томской писанице")</f>
        <v>Симфонический концерт в Томской писанице</v>
      </c>
      <c r="AA498" s="6" t="str">
        <f>IFERROR(__xludf.DUMMYFUNCTION("""COMPUTED_VALUE"""),"Никакие")</f>
        <v>Никакие</v>
      </c>
      <c r="AB498" s="6" t="str">
        <f>IFERROR(__xludf.DUMMYFUNCTION("""COMPUTED_VALUE"""),"Мне достаточно")</f>
        <v>Мне достаточно</v>
      </c>
      <c r="AC498" s="6" t="str">
        <f>IFERROR(__xludf.DUMMYFUNCTION("""COMPUTED_VALUE"""),"Мероприятий и так много")</f>
        <v>Мероприятий и так много</v>
      </c>
      <c r="AD498" s="6" t="str">
        <f>IFERROR(__xludf.DUMMYFUNCTION("""COMPUTED_VALUE"""),"Участвую во всех значимых мероприятиях в силу своей профессии")</f>
        <v>Участвую во всех значимых мероприятиях в силу своей профессии</v>
      </c>
      <c r="AE498" s="6" t="str">
        <f>IFERROR(__xludf.DUMMYFUNCTION("""COMPUTED_VALUE"""),"Женский")</f>
        <v>Женский</v>
      </c>
      <c r="AF498" s="6" t="str">
        <f>IFERROR(__xludf.DUMMYFUNCTION("""COMPUTED_VALUE"""),"старше 55")</f>
        <v>старше 55</v>
      </c>
      <c r="AG498" s="6"/>
      <c r="AH498" s="6"/>
      <c r="AI498" s="6"/>
      <c r="AJ498" s="6"/>
      <c r="AK498" s="6"/>
      <c r="AL498" s="6"/>
      <c r="AM498" s="6"/>
    </row>
    <row r="499">
      <c r="A499" s="6">
        <v>498.0</v>
      </c>
      <c r="B499" s="6" t="str">
        <f>IFERROR(__xludf.DUMMYFUNCTION("""COMPUTED_VALUE"""),"Библиотекарь")</f>
        <v>Библиотекарь</v>
      </c>
      <c r="C499" s="6" t="str">
        <f>IFERROR(__xludf.DUMMYFUNCTION("""COMPUTED_VALUE"""),"Мастерить с детьми")</f>
        <v>Мастерить с детьми</v>
      </c>
      <c r="D499" s="6" t="str">
        <f>IFERROR(__xludf.DUMMYFUNCTION("""COMPUTED_VALUE"""),"Центральный")</f>
        <v>Центральный</v>
      </c>
      <c r="E499" s="6" t="str">
        <f>IFERROR(__xludf.DUMMYFUNCTION("""COMPUTED_VALUE"""),"Памятник Петру и Февронии")</f>
        <v>Памятник Петру и Февронии</v>
      </c>
      <c r="F499" s="6" t="str">
        <f>IFERROR(__xludf.DUMMYFUNCTION("""COMPUTED_VALUE"""),"Переехал сюда из другого места (откуда? укажите в графе другое), Из Красноярского края")</f>
        <v>Переехал сюда из другого места (откуда? укажите в графе другое), Из Красноярского края</v>
      </c>
      <c r="G499" s="6" t="str">
        <f>IFERROR(__xludf.DUMMYFUNCTION("""COMPUTED_VALUE"""),"Парки (комсомольский, антошка,победы)")</f>
        <v>Парки (комсомольский, антошка,победы)</v>
      </c>
      <c r="H499" s="6" t="str">
        <f>IFERROR(__xludf.DUMMYFUNCTION("""COMPUTED_VALUE"""),"Кемерово - перемены , кемерово- развитие, кемерово- свобода и простор,  кемерово-будущее")</f>
        <v>Кемерово - перемены , кемерово- развитие, кемерово- свобода и простор,  кемерово-будущее</v>
      </c>
      <c r="I499" s="6" t="str">
        <f>IFERROR(__xludf.DUMMYFUNCTION("""COMPUTED_VALUE"""),"Волков, Федоров, Леонов, Гришковец, ")</f>
        <v>Волков, Федоров, Леонов, Гришковец, </v>
      </c>
      <c r="J499" s="6" t="str">
        <f>IFERROR(__xludf.DUMMYFUNCTION("""COMPUTED_VALUE"""),"А. Г. Тулеев. ")</f>
        <v>А. Г. Тулеев. </v>
      </c>
      <c r="K499" s="6" t="str">
        <f>IFERROR(__xludf.DUMMYFUNCTION("""COMPUTED_VALUE"""),"Парк Ангелов")</f>
        <v>Парк Ангелов</v>
      </c>
      <c r="L499" s="6" t="str">
        <f>IFERROR(__xludf.DUMMYFUNCTION("""COMPUTED_VALUE"""),"Семь раз отметь один раз отрежь ")</f>
        <v>Семь раз отметь один раз отрежь </v>
      </c>
      <c r="M499" s="6" t="str">
        <f>IFERROR(__xludf.DUMMYFUNCTION("""COMPUTED_VALUE"""),"Нет")</f>
        <v>Нет</v>
      </c>
      <c r="N499" s="6" t="str">
        <f>IFERROR(__xludf.DUMMYFUNCTION("""COMPUTED_VALUE"""),"Удобство, чистота, без пробок")</f>
        <v>Удобство, чистота, без пробок</v>
      </c>
      <c r="O499" s="6" t="str">
        <f>IFERROR(__xludf.DUMMYFUNCTION("""COMPUTED_VALUE"""),"Незнаю")</f>
        <v>Незнаю</v>
      </c>
      <c r="P499" s="6" t="str">
        <f>IFERROR(__xludf.DUMMYFUNCTION("""COMPUTED_VALUE"""),"Соц сети  вконтакте, все42")</f>
        <v>Соц сети  вконтакте, все42</v>
      </c>
      <c r="Q499" s="6" t="str">
        <f>IFERROR(__xludf.DUMMYFUNCTION("""COMPUTED_VALUE"""),"куда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f>
        <v>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v>
      </c>
      <c r="R499" s="6" t="str">
        <f>IFERROR(__xludf.DUMMYFUNCTION("""COMPUTED_VALUE"""),"День города")</f>
        <v>День города</v>
      </c>
      <c r="S499" s="6" t="str">
        <f>IFERROR(__xludf.DUMMYFUNCTION("""COMPUTED_VALUE"""),"Нет")</f>
        <v>Нет</v>
      </c>
      <c r="T499" s="6" t="str">
        <f>IFERROR(__xludf.DUMMYFUNCTION("""COMPUTED_VALUE"""),"Угледобывающими предприятиями")</f>
        <v>Угледобывающими предприятиями</v>
      </c>
      <c r="U499" s="6" t="str">
        <f>IFERROR(__xludf.DUMMYFUNCTION("""COMPUTED_VALUE"""),"Кемерово сити")</f>
        <v>Кемерово сити</v>
      </c>
      <c r="V499" s="6" t="str">
        <f>IFERROR(__xludf.DUMMYFUNCTION("""COMPUTED_VALUE"""),"Многое")</f>
        <v>Многое</v>
      </c>
      <c r="W499" s="6" t="str">
        <f>IFERROR(__xludf.DUMMYFUNCTION("""COMPUTED_VALUE"""),"Доброжелательность")</f>
        <v>Доброжелательность</v>
      </c>
      <c r="X499" s="6" t="str">
        <f>IFERROR(__xludf.DUMMYFUNCTION("""COMPUTED_VALUE"""),"Красная горка")</f>
        <v>Красная горка</v>
      </c>
      <c r="Y499" s="6" t="str">
        <f>IFERROR(__xludf.DUMMYFUNCTION("""COMPUTED_VALUE"""),"Много таких")</f>
        <v>Много таких</v>
      </c>
      <c r="Z499" s="6" t="str">
        <f>IFERROR(__xludf.DUMMYFUNCTION("""COMPUTED_VALUE"""),"Непомню")</f>
        <v>Непомню</v>
      </c>
      <c r="AA499" s="6" t="str">
        <f>IFERROR(__xludf.DUMMYFUNCTION("""COMPUTED_VALUE"""),"Зимняя вишня")</f>
        <v>Зимняя вишня</v>
      </c>
      <c r="AB499" s="6" t="str">
        <f>IFERROR(__xludf.DUMMYFUNCTION("""COMPUTED_VALUE"""),"Незнаю")</f>
        <v>Незнаю</v>
      </c>
      <c r="AC499" s="6" t="str">
        <f>IFERROR(__xludf.DUMMYFUNCTION("""COMPUTED_VALUE"""),"Незнаю")</f>
        <v>Незнаю</v>
      </c>
      <c r="AD499" s="6" t="str">
        <f>IFERROR(__xludf.DUMMYFUNCTION("""COMPUTED_VALUE"""),"Незнаю")</f>
        <v>Незнаю</v>
      </c>
      <c r="AE499" s="6" t="str">
        <f>IFERROR(__xludf.DUMMYFUNCTION("""COMPUTED_VALUE"""),"Женский")</f>
        <v>Женский</v>
      </c>
      <c r="AF499" s="6" t="str">
        <f>IFERROR(__xludf.DUMMYFUNCTION("""COMPUTED_VALUE"""),"30-44")</f>
        <v>30-44</v>
      </c>
      <c r="AG499" s="6"/>
      <c r="AH499" s="6"/>
      <c r="AI499" s="6"/>
      <c r="AJ499" s="6"/>
      <c r="AK499" s="6"/>
      <c r="AL499" s="6"/>
      <c r="AM499" s="6"/>
    </row>
    <row r="500">
      <c r="A500" s="6">
        <v>499.0</v>
      </c>
      <c r="B500" s="6" t="str">
        <f>IFERROR(__xludf.DUMMYFUNCTION("""COMPUTED_VALUE"""),"культура, библиотека")</f>
        <v>культура, библиотека</v>
      </c>
      <c r="C500" s="6" t="str">
        <f>IFERROR(__xludf.DUMMYFUNCTION("""COMPUTED_VALUE"""),"выращивание цветов")</f>
        <v>выращивание цветов</v>
      </c>
      <c r="D500" s="6" t="str">
        <f>IFERROR(__xludf.DUMMYFUNCTION("""COMPUTED_VALUE"""),"рудничный. Радуга")</f>
        <v>рудничный. Радуга</v>
      </c>
      <c r="E500" s="6" t="str">
        <f>IFERROR(__xludf.DUMMYFUNCTION("""COMPUTED_VALUE"""),"бор")</f>
        <v>бор</v>
      </c>
      <c r="F500" s="6" t="str">
        <f>IFERROR(__xludf.DUMMYFUNCTION("""COMPUTED_VALUE"""),"Живу здесь с рождения")</f>
        <v>Живу здесь с рождения</v>
      </c>
      <c r="G500" s="6" t="str">
        <f>IFERROR(__xludf.DUMMYFUNCTION("""COMPUTED_VALUE"""),"бор")</f>
        <v>бор</v>
      </c>
      <c r="H500" s="6" t="str">
        <f>IFERROR(__xludf.DUMMYFUNCTION("""COMPUTED_VALUE"""),"парк мать и дитя, бор, весенняя улица, площадь советов, цирк, красная горка")</f>
        <v>парк мать и дитя, бор, весенняя улица, площадь советов, цирк, красная горка</v>
      </c>
      <c r="I500" s="6" t="str">
        <f>IFERROR(__xludf.DUMMYFUNCTION("""COMPUTED_VALUE"""),"Юров, Киселев, Мазаев, Э.Неизвестный, А.Леонов, Тулеев А.Г.")</f>
        <v>Юров, Киселев, Мазаев, Э.Неизвестный, А.Леонов, Тулеев А.Г.</v>
      </c>
      <c r="J500" s="6" t="str">
        <f>IFERROR(__xludf.DUMMYFUNCTION("""COMPUTED_VALUE"""),"А.Г.Тулеев, В.Михайлов")</f>
        <v>А.Г.Тулеев, В.Михайлов</v>
      </c>
      <c r="K500" s="6" t="str">
        <f>IFERROR(__xludf.DUMMYFUNCTION("""COMPUTED_VALUE"""),"Парк чудес, Музей Красная горка, алея героев на улице весенней")</f>
        <v>Парк чудес, Музей Красная горка, алея героев на улице весенней</v>
      </c>
      <c r="L500" s="6" t="str">
        <f>IFERROR(__xludf.DUMMYFUNCTION("""COMPUTED_VALUE"""),"Радуга - большая деревня")</f>
        <v>Радуга - большая деревня</v>
      </c>
      <c r="M500" s="6" t="str">
        <f>IFERROR(__xludf.DUMMYFUNCTION("""COMPUTED_VALUE"""),"все будет хорошо")</f>
        <v>все будет хорошо</v>
      </c>
      <c r="N500" s="6" t="str">
        <f>IFERROR(__xludf.DUMMYFUNCTION("""COMPUTED_VALUE"""),"зелень, парк, бор")</f>
        <v>зелень, парк, бор</v>
      </c>
      <c r="O500" s="6" t="str">
        <f>IFERROR(__xludf.DUMMYFUNCTION("""COMPUTED_VALUE"""),"Завести дворников в каждом дворе, мусора стало столько, что просто кошмар")</f>
        <v>Завести дворников в каждом дворе, мусора стало столько, что просто кошмар</v>
      </c>
      <c r="P500" s="6" t="str">
        <f>IFERROR(__xludf.DUMMYFUNCTION("""COMPUTED_VALUE"""),"интернет, инстаграмм, фейсбук, новости кемерово, телевидение- Кемеровские новости")</f>
        <v>интернет, инстаграмм, фейсбук, новости кемерово, телевидение- Кемеровские новости</v>
      </c>
      <c r="Q500" s="6" t="str">
        <f>IFERROR(__xludf.DUMMYFUNCTION("""COMPUTED_VALUE"""),"куда пойти в свободное время, городская афиша (кино/театр/концерты), Культурная жизнь Кузбасса")</f>
        <v>куда пойти в свободное время, городская афиша (кино/театр/концерты), Культурная жизнь Кузбасса</v>
      </c>
      <c r="R500" s="6" t="str">
        <f>IFERROR(__xludf.DUMMYFUNCTION("""COMPUTED_VALUE"""),"День города, день шахтеров, день Победы")</f>
        <v>День города, день шахтеров, день Победы</v>
      </c>
      <c r="S500" s="6" t="str">
        <f>IFERROR(__xludf.DUMMYFUNCTION("""COMPUTED_VALUE"""),"Через социальные сети (Какие? Укажите в графе другое), Обращался в редакции электронных городских СМИ, Проводим мероприятия на городских площадках, юбилеи библиотек и знаменательные даты")</f>
        <v>Через социальные сети (Какие? Укажите в графе другое), Обращался в редакции электронных городских СМИ, Проводим мероприятия на городских площадках, юбилеи библиотек и знаменательные даты</v>
      </c>
      <c r="T500" s="6" t="str">
        <f>IFERROR(__xludf.DUMMYFUNCTION("""COMPUTED_VALUE"""),"Музей Красная горка, бор  в Рудничном районе, Парк чудес")</f>
        <v>Музей Красная горка, бор  в Рудничном районе, Парк чудес</v>
      </c>
      <c r="U500" s="6" t="str">
        <f>IFERROR(__xludf.DUMMYFUNCTION("""COMPUTED_VALUE"""),"Парк чудес")</f>
        <v>Парк чудес</v>
      </c>
      <c r="V500" s="6" t="str">
        <f>IFERROR(__xludf.DUMMYFUNCTION("""COMPUTED_VALUE"""),"Строительство памятников, дорог, домов")</f>
        <v>Строительство памятников, дорог, домов</v>
      </c>
      <c r="W500" s="6" t="str">
        <f>IFERROR(__xludf.DUMMYFUNCTION("""COMPUTED_VALUE"""),"добродушные, ответственные")</f>
        <v>добродушные, ответственные</v>
      </c>
      <c r="X500" s="6" t="str">
        <f>IFERROR(__xludf.DUMMYFUNCTION("""COMPUTED_VALUE"""),"улица весенняя, алея героев, парк чудес ")</f>
        <v>улица весенняя, алея героев, парк чудес </v>
      </c>
      <c r="Y500" s="6" t="str">
        <f>IFERROR(__xludf.DUMMYFUNCTION("""COMPUTED_VALUE"""),"Чемпионат по хоккею с мячом")</f>
        <v>Чемпионат по хоккею с мячом</v>
      </c>
      <c r="Z500" s="6" t="str">
        <f>IFERROR(__xludf.DUMMYFUNCTION("""COMPUTED_VALUE"""),"День города")</f>
        <v>День города</v>
      </c>
      <c r="AA500" s="6" t="str">
        <f>IFERROR(__xludf.DUMMYFUNCTION("""COMPUTED_VALUE"""),"Город стал грязным, выросли неимоверно цены на коммунальные услуги и бензин")</f>
        <v>Город стал грязным, выросли неимоверно цены на коммунальные услуги и бензин</v>
      </c>
      <c r="AB500" s="6" t="str">
        <f>IFERROR(__xludf.DUMMYFUNCTION("""COMPUTED_VALUE"""),"Всех хватает")</f>
        <v>Всех хватает</v>
      </c>
      <c r="AC500" s="6" t="str">
        <f>IFERROR(__xludf.DUMMYFUNCTION("""COMPUTED_VALUE"""),"Интересные праздники, встречи с артистами - но за реальные цены")</f>
        <v>Интересные праздники, встречи с артистами - но за реальные цены</v>
      </c>
      <c r="AD500" s="6" t="str">
        <f>IFERROR(__xludf.DUMMYFUNCTION("""COMPUTED_VALUE"""),"наблюдать и жить")</f>
        <v>наблюдать и жить</v>
      </c>
      <c r="AE500" s="6" t="str">
        <f>IFERROR(__xludf.DUMMYFUNCTION("""COMPUTED_VALUE"""),"Женский")</f>
        <v>Женский</v>
      </c>
      <c r="AF500" s="6" t="str">
        <f>IFERROR(__xludf.DUMMYFUNCTION("""COMPUTED_VALUE"""),"45-55")</f>
        <v>45-55</v>
      </c>
      <c r="AG500" s="6"/>
      <c r="AH500" s="6"/>
      <c r="AI500" s="6"/>
      <c r="AJ500" s="6"/>
      <c r="AK500" s="6"/>
      <c r="AL500" s="6"/>
      <c r="AM500" s="6"/>
    </row>
    <row r="501">
      <c r="A501" s="6">
        <v>500.0</v>
      </c>
      <c r="B501" s="6" t="str">
        <f>IFERROR(__xludf.DUMMYFUNCTION("""COMPUTED_VALUE"""),"Модель")</f>
        <v>Модель</v>
      </c>
      <c r="C501" s="6" t="str">
        <f>IFERROR(__xludf.DUMMYFUNCTION("""COMPUTED_VALUE"""),"Мода, косметика, рестораны")</f>
        <v>Мода, косметика, рестораны</v>
      </c>
      <c r="D501" s="6" t="str">
        <f>IFERROR(__xludf.DUMMYFUNCTION("""COMPUTED_VALUE"""),"Притомский")</f>
        <v>Притомский</v>
      </c>
      <c r="E501" s="6" t="str">
        <f>IFERROR(__xludf.DUMMYFUNCTION("""COMPUTED_VALUE"""),"Набережная, центр города, площадь Пушкина")</f>
        <v>Набережная, центр города, площадь Пушкина</v>
      </c>
      <c r="F501" s="6" t="str">
        <f>IFERROR(__xludf.DUMMYFUNCTION("""COMPUTED_VALUE"""),"Живу здесь с рождения")</f>
        <v>Живу здесь с рождения</v>
      </c>
      <c r="G501" s="6" t="str">
        <f>IFERROR(__xludf.DUMMYFUNCTION("""COMPUTED_VALUE"""),"Гуляю в центре города")</f>
        <v>Гуляю в центре города</v>
      </c>
      <c r="H501" s="6" t="str">
        <f>IFERROR(__xludf.DUMMYFUNCTION("""COMPUTED_VALUE"""),"Площадь советов, много грязи на улице")</f>
        <v>Площадь советов, много грязи на улице</v>
      </c>
      <c r="I501" s="6" t="str">
        <f>IFERROR(__xludf.DUMMYFUNCTION("""COMPUTED_VALUE"""),"Вера Волошина, Мартемьянов, А.Леонов")</f>
        <v>Вера Волошина, Мартемьянов, А.Леонов</v>
      </c>
      <c r="J501" s="6" t="str">
        <f>IFERROR(__xludf.DUMMYFUNCTION("""COMPUTED_VALUE"""),"Гришковец, В.Машков")</f>
        <v>Гришковец, В.Машков</v>
      </c>
      <c r="K501" s="6" t="str">
        <f>IFERROR(__xludf.DUMMYFUNCTION("""COMPUTED_VALUE"""),"Красная Горка")</f>
        <v>Красная Горка</v>
      </c>
      <c r="L501" s="6" t="str">
        <f>IFERROR(__xludf.DUMMYFUNCTION("""COMPUTED_VALUE"""),"не знаю")</f>
        <v>не знаю</v>
      </c>
      <c r="M501" s="6" t="str">
        <f>IFERROR(__xludf.DUMMYFUNCTION("""COMPUTED_VALUE"""),"не знаю")</f>
        <v>не знаю</v>
      </c>
      <c r="N501" s="6" t="str">
        <f>IFERROR(__xludf.DUMMYFUNCTION("""COMPUTED_VALUE"""),"Чистота, много транспорта")</f>
        <v>Чистота, много транспорта</v>
      </c>
      <c r="O501" s="6" t="str">
        <f>IFERROR(__xludf.DUMMYFUNCTION("""COMPUTED_VALUE"""),"Очистить город от грязи и мусора")</f>
        <v>Очистить город от грязи и мусора</v>
      </c>
      <c r="P501" s="6" t="str">
        <f>IFERROR(__xludf.DUMMYFUNCTION("""COMPUTED_VALUE"""),"нет такого")</f>
        <v>нет такого</v>
      </c>
      <c r="Q50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поступать/"&amp;"вакансии,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501" s="6" t="str">
        <f>IFERROR(__xludf.DUMMYFUNCTION("""COMPUTED_VALUE"""),"День города")</f>
        <v>День города</v>
      </c>
      <c r="S501" s="6" t="str">
        <f>IFERROR(__xludf.DUMMYFUNCTION("""COMPUTED_VALUE"""),"Нет, не приходилось")</f>
        <v>Нет, не приходилось</v>
      </c>
      <c r="T501" s="6" t="str">
        <f>IFERROR(__xludf.DUMMYFUNCTION("""COMPUTED_VALUE"""),"Шахты ")</f>
        <v>Шахты </v>
      </c>
      <c r="U501" s="6" t="str">
        <f>IFERROR(__xludf.DUMMYFUNCTION("""COMPUTED_VALUE"""),"улица Весенняя")</f>
        <v>улица Весенняя</v>
      </c>
      <c r="V501" s="6" t="str">
        <f>IFERROR(__xludf.DUMMYFUNCTION("""COMPUTED_VALUE"""),"совершили невозможное")</f>
        <v>совершили невозможное</v>
      </c>
      <c r="W501" s="6" t="str">
        <f>IFERROR(__xludf.DUMMYFUNCTION("""COMPUTED_VALUE"""),"Добрые")</f>
        <v>Добрые</v>
      </c>
      <c r="X501" s="6" t="str">
        <f>IFERROR(__xludf.DUMMYFUNCTION("""COMPUTED_VALUE"""),"Центр")</f>
        <v>Центр</v>
      </c>
      <c r="Y501" s="6" t="str">
        <f>IFERROR(__xludf.DUMMYFUNCTION("""COMPUTED_VALUE"""),"нет такого")</f>
        <v>нет такого</v>
      </c>
      <c r="Z501" s="6" t="str">
        <f>IFERROR(__xludf.DUMMYFUNCTION("""COMPUTED_VALUE"""),"нет такого")</f>
        <v>нет такого</v>
      </c>
      <c r="AA501" s="6" t="str">
        <f>IFERROR(__xludf.DUMMYFUNCTION("""COMPUTED_VALUE"""),"Пожар в Зимней вишне")</f>
        <v>Пожар в Зимней вишне</v>
      </c>
      <c r="AB501" s="6" t="str">
        <f>IFERROR(__xludf.DUMMYFUNCTION("""COMPUTED_VALUE"""),"Нет таких")</f>
        <v>Нет таких</v>
      </c>
      <c r="AC501" s="6" t="str">
        <f>IFERROR(__xludf.DUMMYFUNCTION("""COMPUTED_VALUE"""),"культурных мероприятий")</f>
        <v>культурных мероприятий</v>
      </c>
      <c r="AD50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01" s="6" t="str">
        <f>IFERROR(__xludf.DUMMYFUNCTION("""COMPUTED_VALUE"""),"Женский")</f>
        <v>Женский</v>
      </c>
      <c r="AF501" s="6" t="str">
        <f>IFERROR(__xludf.DUMMYFUNCTION("""COMPUTED_VALUE"""),"18-29")</f>
        <v>18-29</v>
      </c>
      <c r="AG501" s="6"/>
      <c r="AH501" s="6"/>
      <c r="AI501" s="6"/>
      <c r="AJ501" s="6"/>
      <c r="AK501" s="6"/>
      <c r="AL501" s="6"/>
      <c r="AM501" s="6"/>
    </row>
    <row r="502">
      <c r="A502" s="6">
        <v>501.0</v>
      </c>
      <c r="B502" s="6" t="str">
        <f>IFERROR(__xludf.DUMMYFUNCTION("""COMPUTED_VALUE"""),"Работаю")</f>
        <v>Работаю</v>
      </c>
      <c r="C502" s="6" t="str">
        <f>IFERROR(__xludf.DUMMYFUNCTION("""COMPUTED_VALUE"""),"путешествие")</f>
        <v>путешествие</v>
      </c>
      <c r="D502" s="6" t="str">
        <f>IFERROR(__xludf.DUMMYFUNCTION("""COMPUTED_VALUE"""),"Ленинский")</f>
        <v>Ленинский</v>
      </c>
      <c r="E502" s="6" t="str">
        <f>IFERROR(__xludf.DUMMYFUNCTION("""COMPUTED_VALUE"""),"Парк Тулеева")</f>
        <v>Парк Тулеева</v>
      </c>
      <c r="F502" s="6" t="str">
        <f>IFERROR(__xludf.DUMMYFUNCTION("""COMPUTED_VALUE"""),"Переехал сюда из другого места (откуда? укажите в графе другое), Мыски")</f>
        <v>Переехал сюда из другого места (откуда? укажите в графе другое), Мыски</v>
      </c>
      <c r="G502" s="6" t="str">
        <f>IFERROR(__xludf.DUMMYFUNCTION("""COMPUTED_VALUE"""),"бульвар Строителей")</f>
        <v>бульвар Строителей</v>
      </c>
      <c r="H502" s="6" t="str">
        <f>IFERROR(__xludf.DUMMYFUNCTION("""COMPUTED_VALUE"""),"Грязь, смог, ")</f>
        <v>Грязь, смог, </v>
      </c>
      <c r="I502" s="6" t="str">
        <f>IFERROR(__xludf.DUMMYFUNCTION("""COMPUTED_VALUE"""),"Подгорбунский")</f>
        <v>Подгорбунский</v>
      </c>
      <c r="J502" s="6" t="str">
        <f>IFERROR(__xludf.DUMMYFUNCTION("""COMPUTED_VALUE"""),"Гендина, Пилко, Донбай, Михайлов Владимир Васильевич")</f>
        <v>Гендина, Пилко, Донбай, Михайлов Владимир Васильевич</v>
      </c>
      <c r="K502" s="6" t="str">
        <f>IFERROR(__xludf.DUMMYFUNCTION("""COMPUTED_VALUE"""),"Красная Горка")</f>
        <v>Красная Горка</v>
      </c>
      <c r="L502" s="6" t="str">
        <f>IFERROR(__xludf.DUMMYFUNCTION("""COMPUTED_VALUE"""),"не знаю")</f>
        <v>не знаю</v>
      </c>
      <c r="M502" s="6" t="str">
        <f>IFERROR(__xludf.DUMMYFUNCTION("""COMPUTED_VALUE"""),"не знаю")</f>
        <v>не знаю</v>
      </c>
      <c r="N502" s="6" t="str">
        <f>IFERROR(__xludf.DUMMYFUNCTION("""COMPUTED_VALUE"""),"чистота, обслуживание в поликлиниках, транспорт,  экология, хорошие рабочие места и условия")</f>
        <v>чистота, обслуживание в поликлиниках, транспорт,  экология, хорошие рабочие места и условия</v>
      </c>
      <c r="O502" s="6" t="str">
        <f>IFERROR(__xludf.DUMMYFUNCTION("""COMPUTED_VALUE"""),"улучшить дороги во дворах и в поликлиниках улучшить качество обслуживания населения, достойные условия труда и отдыха")</f>
        <v>улучшить дороги во дворах и в поликлиниках улучшить качество обслуживания населения, достойные условия труда и отдыха</v>
      </c>
      <c r="P502" s="6" t="str">
        <f>IFERROR(__xludf.DUMMYFUNCTION("""COMPUTED_VALUE"""),"средства массовой информации")</f>
        <v>средства массовой информации</v>
      </c>
      <c r="Q502" s="6" t="str">
        <f>IFERROR(__xludf.DUMMYFUNCTION("""COMPUTED_VALUE"""),"новости про новые профессии/куда поступать/вакансии")</f>
        <v>новости про новые профессии/куда поступать/вакансии</v>
      </c>
      <c r="R502" s="6" t="str">
        <f>IFERROR(__xludf.DUMMYFUNCTION("""COMPUTED_VALUE"""),"День Победы")</f>
        <v>День Победы</v>
      </c>
      <c r="S502" s="6" t="str">
        <f>IFERROR(__xludf.DUMMYFUNCTION("""COMPUTED_VALUE"""),"Нет, не приходилось")</f>
        <v>Нет, не приходилось</v>
      </c>
      <c r="T502" s="6" t="str">
        <f>IFERROR(__xludf.DUMMYFUNCTION("""COMPUTED_VALUE"""),"Угольный бассейн")</f>
        <v>Угольный бассейн</v>
      </c>
      <c r="U502" s="6" t="str">
        <f>IFERROR(__xludf.DUMMYFUNCTION("""COMPUTED_VALUE"""),"Краеведческий музей")</f>
        <v>Краеведческий музей</v>
      </c>
      <c r="V502" s="6" t="str">
        <f>IFERROR(__xludf.DUMMYFUNCTION("""COMPUTED_VALUE"""),"развивали городскую среду")</f>
        <v>развивали городскую среду</v>
      </c>
      <c r="W502" s="6" t="str">
        <f>IFERROR(__xludf.DUMMYFUNCTION("""COMPUTED_VALUE"""),"доброжелательные")</f>
        <v>доброжелательные</v>
      </c>
      <c r="X502" s="6" t="str">
        <f>IFERROR(__xludf.DUMMYFUNCTION("""COMPUTED_VALUE"""),"Ул. Весенняя")</f>
        <v>Ул. Весенняя</v>
      </c>
      <c r="Y502" s="6" t="str">
        <f>IFERROR(__xludf.DUMMYFUNCTION("""COMPUTED_VALUE"""),"Самое печальное и очень грустное событие произошло пожар в ТЦ ""Зимняя Вишня""")</f>
        <v>Самое печальное и очень грустное событие произошло пожар в ТЦ "Зимняя Вишня"</v>
      </c>
      <c r="Z502" s="6" t="str">
        <f>IFERROR(__xludf.DUMMYFUNCTION("""COMPUTED_VALUE"""),"никакие")</f>
        <v>никакие</v>
      </c>
      <c r="AA502" s="6" t="str">
        <f>IFERROR(__xludf.DUMMYFUNCTION("""COMPUTED_VALUE"""),"пожар в ТЦ ""Зимняя Вишня""")</f>
        <v>пожар в ТЦ "Зимняя Вишня"</v>
      </c>
      <c r="AB502" s="6" t="str">
        <f>IFERROR(__xludf.DUMMYFUNCTION("""COMPUTED_VALUE"""),"мне всего хватает")</f>
        <v>мне всего хватает</v>
      </c>
      <c r="AC502" s="6" t="str">
        <f>IFERROR(__xludf.DUMMYFUNCTION("""COMPUTED_VALUE"""),"чтобы отношение к людям было человеческим")</f>
        <v>чтобы отношение к людям было человеческим</v>
      </c>
      <c r="AD502" s="6" t="str">
        <f>IFERROR(__xludf.DUMMYFUNCTION("""COMPUTED_VALUE"""),"ничего не поменяется")</f>
        <v>ничего не поменяется</v>
      </c>
      <c r="AE502" s="6" t="str">
        <f>IFERROR(__xludf.DUMMYFUNCTION("""COMPUTED_VALUE"""),"Женский")</f>
        <v>Женский</v>
      </c>
      <c r="AF502" s="6" t="str">
        <f>IFERROR(__xludf.DUMMYFUNCTION("""COMPUTED_VALUE"""),"старше 55")</f>
        <v>старше 55</v>
      </c>
      <c r="AG502" s="6"/>
      <c r="AH502" s="6"/>
      <c r="AI502" s="6"/>
      <c r="AJ502" s="6"/>
      <c r="AK502" s="6"/>
      <c r="AL502" s="6"/>
      <c r="AM502" s="6"/>
    </row>
    <row r="503">
      <c r="A503" s="6">
        <v>502.0</v>
      </c>
      <c r="B503" s="6" t="str">
        <f>IFERROR(__xludf.DUMMYFUNCTION("""COMPUTED_VALUE"""),"Работаю")</f>
        <v>Работаю</v>
      </c>
      <c r="C503" s="6" t="str">
        <f>IFERROR(__xludf.DUMMYFUNCTION("""COMPUTED_VALUE"""),"путешествия")</f>
        <v>путешествия</v>
      </c>
      <c r="D503" s="6" t="str">
        <f>IFERROR(__xludf.DUMMYFUNCTION("""COMPUTED_VALUE"""),"Центр")</f>
        <v>Центр</v>
      </c>
      <c r="E503" s="6" t="str">
        <f>IFERROR(__xludf.DUMMYFUNCTION("""COMPUTED_VALUE"""),"набережная")</f>
        <v>набережная</v>
      </c>
      <c r="F503" s="6" t="str">
        <f>IFERROR(__xludf.DUMMYFUNCTION("""COMPUTED_VALUE"""),"Живу здесь с рождения")</f>
        <v>Живу здесь с рождения</v>
      </c>
      <c r="G503" s="6" t="str">
        <f>IFERROR(__xludf.DUMMYFUNCTION("""COMPUTED_VALUE"""),"везде")</f>
        <v>везде</v>
      </c>
      <c r="H503" s="6" t="str">
        <f>IFERROR(__xludf.DUMMYFUNCTION("""COMPUTED_VALUE"""),"грязь, туман, смог, заводы, гололед")</f>
        <v>грязь, туман, смог, заводы, гололед</v>
      </c>
      <c r="I503" s="6" t="str">
        <f>IFERROR(__xludf.DUMMYFUNCTION("""COMPUTED_VALUE"""),"Волков")</f>
        <v>Волков</v>
      </c>
      <c r="J503" s="6" t="str">
        <f>IFERROR(__xludf.DUMMYFUNCTION("""COMPUTED_VALUE"""),"нет ответа")</f>
        <v>нет ответа</v>
      </c>
      <c r="K503" s="6" t="str">
        <f>IFERROR(__xludf.DUMMYFUNCTION("""COMPUTED_VALUE"""),"парк Жукова")</f>
        <v>парк Жукова</v>
      </c>
      <c r="L503" s="6" t="str">
        <f>IFERROR(__xludf.DUMMYFUNCTION("""COMPUTED_VALUE"""),"...")</f>
        <v>...</v>
      </c>
      <c r="M503" s="6" t="str">
        <f>IFERROR(__xludf.DUMMYFUNCTION("""COMPUTED_VALUE"""),"...")</f>
        <v>...</v>
      </c>
      <c r="N503" s="6" t="str">
        <f>IFERROR(__xludf.DUMMYFUNCTION("""COMPUTED_VALUE"""),"Чистый воздух, хорошие дороги, развитая инфраструктура, наличие рабочих мест, много зелени")</f>
        <v>Чистый воздух, хорошие дороги, развитая инфраструктура, наличие рабочих мест, много зелени</v>
      </c>
      <c r="O503" s="6" t="str">
        <f>IFERROR(__xludf.DUMMYFUNCTION("""COMPUTED_VALUE"""),"экологию")</f>
        <v>экологию</v>
      </c>
      <c r="P503" s="6" t="str">
        <f>IFERROR(__xludf.DUMMYFUNCTION("""COMPUTED_VALUE"""),"Вконтакте, Инстаграм")</f>
        <v>Вконтакте, Инстаграм</v>
      </c>
      <c r="Q503" s="6" t="str">
        <f>IFERROR(__xludf.DUMMYFUNCTION("""COMPUTED_VALUE"""),"где вкусно поесть/открытие новых кафе/ресторанов, городская афиша (кино/театр/концерты), новости про новые профессии/куда поступать/вакансии")</f>
        <v>где вкусно поесть/открытие новых кафе/ресторанов, городская афиша (кино/театр/концерты), новости про новые профессии/куда поступать/вакансии</v>
      </c>
      <c r="R503" s="6" t="str">
        <f>IFERROR(__xludf.DUMMYFUNCTION("""COMPUTED_VALUE"""),"9 мая")</f>
        <v>9 мая</v>
      </c>
      <c r="S503" s="6" t="str">
        <f>IFERROR(__xludf.DUMMYFUNCTION("""COMPUTED_VALUE"""),"Нет, не приходилось")</f>
        <v>Нет, не приходилось</v>
      </c>
      <c r="T503" s="6" t="str">
        <f>IFERROR(__xludf.DUMMYFUNCTION("""COMPUTED_VALUE"""),"открытием каменного угля")</f>
        <v>открытием каменного угля</v>
      </c>
      <c r="U503" s="6" t="str">
        <f>IFERROR(__xludf.DUMMYFUNCTION("""COMPUTED_VALUE"""),"...")</f>
        <v>...</v>
      </c>
      <c r="V503" s="6" t="str">
        <f>IFERROR(__xludf.DUMMYFUNCTION("""COMPUTED_VALUE"""),"...")</f>
        <v>...</v>
      </c>
      <c r="W503" s="6" t="str">
        <f>IFERROR(__xludf.DUMMYFUNCTION("""COMPUTED_VALUE"""),"хмурые")</f>
        <v>хмурые</v>
      </c>
      <c r="X503" s="6" t="str">
        <f>IFERROR(__xludf.DUMMYFUNCTION("""COMPUTED_VALUE"""),"улица весенняя - парк чудес - набережная")</f>
        <v>улица весенняя - парк чудес - набережная</v>
      </c>
      <c r="Y503" s="6" t="str">
        <f>IFERROR(__xludf.DUMMYFUNCTION("""COMPUTED_VALUE"""),"...")</f>
        <v>...</v>
      </c>
      <c r="Z503" s="6" t="str">
        <f>IFERROR(__xludf.DUMMYFUNCTION("""COMPUTED_VALUE"""),"...")</f>
        <v>...</v>
      </c>
      <c r="AA503" s="6" t="str">
        <f>IFERROR(__xludf.DUMMYFUNCTION("""COMPUTED_VALUE"""),"рост цен")</f>
        <v>рост цен</v>
      </c>
      <c r="AB503" s="6" t="str">
        <f>IFERROR(__xludf.DUMMYFUNCTION("""COMPUTED_VALUE"""),"...")</f>
        <v>...</v>
      </c>
      <c r="AC503" s="6" t="str">
        <f>IFERROR(__xludf.DUMMYFUNCTION("""COMPUTED_VALUE"""),"...")</f>
        <v>...</v>
      </c>
      <c r="AD50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03" s="6" t="str">
        <f>IFERROR(__xludf.DUMMYFUNCTION("""COMPUTED_VALUE"""),"Женский")</f>
        <v>Женский</v>
      </c>
      <c r="AF503" s="6" t="str">
        <f>IFERROR(__xludf.DUMMYFUNCTION("""COMPUTED_VALUE"""),"18-29")</f>
        <v>18-29</v>
      </c>
      <c r="AG503" s="6"/>
      <c r="AH503" s="6"/>
      <c r="AI503" s="6"/>
      <c r="AJ503" s="6"/>
      <c r="AK503" s="6"/>
      <c r="AL503" s="6"/>
      <c r="AM503" s="6"/>
    </row>
    <row r="504">
      <c r="A504" s="6">
        <v>503.0</v>
      </c>
      <c r="B504" s="6" t="str">
        <f>IFERROR(__xludf.DUMMYFUNCTION("""COMPUTED_VALUE"""),"Служащий")</f>
        <v>Служащий</v>
      </c>
      <c r="C504" s="6" t="str">
        <f>IFERROR(__xludf.DUMMYFUNCTION("""COMPUTED_VALUE"""),"Есть, чтение и вязание ")</f>
        <v>Есть, чтение и вязание </v>
      </c>
      <c r="D504" s="6" t="str">
        <f>IFERROR(__xludf.DUMMYFUNCTION("""COMPUTED_VALUE"""),"Рудничный район ")</f>
        <v>Рудничный район </v>
      </c>
      <c r="E504" s="6" t="str">
        <f>IFERROR(__xludf.DUMMYFUNCTION("""COMPUTED_VALUE"""),"Кинотеатр ""Рио"" ")</f>
        <v>Кинотеатр "Рио" </v>
      </c>
      <c r="F504" s="6" t="str">
        <f>IFERROR(__xludf.DUMMYFUNCTION("""COMPUTED_VALUE"""),"Живу здесь с рождения")</f>
        <v>Живу здесь с рождения</v>
      </c>
      <c r="G504" s="6" t="str">
        <f>IFERROR(__xludf.DUMMYFUNCTION("""COMPUTED_VALUE"""),"Сосновый бор ")</f>
        <v>Сосновый бор </v>
      </c>
      <c r="H504" s="6" t="str">
        <f>IFERROR(__xludf.DUMMYFUNCTION("""COMPUTED_VALUE"""),"Уголь, плохая экология, газ, дым, мусор")</f>
        <v>Уголь, плохая экология, газ, дым, мусор</v>
      </c>
      <c r="I504" s="6" t="str">
        <f>IFERROR(__xludf.DUMMYFUNCTION("""COMPUTED_VALUE"""),"Тулеев, Приставка А., Михайлов.")</f>
        <v>Тулеев, Приставка А., Михайлов.</v>
      </c>
      <c r="J504" s="6" t="str">
        <f>IFERROR(__xludf.DUMMYFUNCTION("""COMPUTED_VALUE"""),"-")</f>
        <v>-</v>
      </c>
      <c r="K504" s="6" t="str">
        <f>IFERROR(__xludf.DUMMYFUNCTION("""COMPUTED_VALUE"""),"Красная горка")</f>
        <v>Красная горка</v>
      </c>
      <c r="L504" s="6" t="str">
        <f>IFERROR(__xludf.DUMMYFUNCTION("""COMPUTED_VALUE"""),"-")</f>
        <v>-</v>
      </c>
      <c r="M504" s="6" t="str">
        <f>IFERROR(__xludf.DUMMYFUNCTION("""COMPUTED_VALUE"""),"Туман на улице ")</f>
        <v>Туман на улице </v>
      </c>
      <c r="N504" s="6" t="str">
        <f>IFERROR(__xludf.DUMMYFUNCTION("""COMPUTED_VALUE"""),"Дороги, транспорт, развитие культуры, зелёные наслаждения, достойные зарплаты ")</f>
        <v>Дороги, транспорт, развитие культуры, зелёные наслаждения, достойные зарплаты </v>
      </c>
      <c r="O504" s="6" t="str">
        <f>IFERROR(__xludf.DUMMYFUNCTION("""COMPUTED_VALUE"""),"Экологию")</f>
        <v>Экологию</v>
      </c>
      <c r="P504" s="6" t="str">
        <f>IFERROR(__xludf.DUMMYFUNCTION("""COMPUTED_VALUE"""),"Интернет: инцедент Кемерово ")</f>
        <v>Интернет: инцедент Кемерово </v>
      </c>
      <c r="Q504" s="6" t="str">
        <f>IFERROR(__xludf.DUMMYFUNCTION("""COMPUTED_VALUE"""),"культурные новинки (что почитать/что послушать), интервью с местными творческими личностями, результаты местных исследований (рейтинги/аналитика/тенденции)")</f>
        <v>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504" s="6" t="str">
        <f>IFERROR(__xludf.DUMMYFUNCTION("""COMPUTED_VALUE"""),"День города, день Шахтёра, ")</f>
        <v>День города, день Шахтёра, </v>
      </c>
      <c r="S504" s="6" t="str">
        <f>IFERROR(__xludf.DUMMYFUNCTION("""COMPUTED_VALUE"""),"Через социальные сети (Какие? Укажите в графе другое), Одноклассники ")</f>
        <v>Через социальные сети (Какие? Укажите в графе другое), Одноклассники </v>
      </c>
      <c r="T504" s="6" t="str">
        <f>IFERROR(__xludf.DUMMYFUNCTION("""COMPUTED_VALUE"""),"Угольной промышленностью")</f>
        <v>Угольной промышленностью</v>
      </c>
      <c r="U504" s="6" t="str">
        <f>IFERROR(__xludf.DUMMYFUNCTION("""COMPUTED_VALUE"""),"Площадь Советов")</f>
        <v>Площадь Советов</v>
      </c>
      <c r="V504" s="6" t="str">
        <f>IFERROR(__xludf.DUMMYFUNCTION("""COMPUTED_VALUE"""),"Трудились")</f>
        <v>Трудились</v>
      </c>
      <c r="W504" s="6" t="str">
        <f>IFERROR(__xludf.DUMMYFUNCTION("""COMPUTED_VALUE"""),"Замучанные, больные и желающие уехать из города ")</f>
        <v>Замучанные, больные и желающие уехать из города </v>
      </c>
      <c r="X504" s="6" t="str">
        <f>IFERROR(__xludf.DUMMYFUNCTION("""COMPUTED_VALUE"""),"Центральный, п-т Ленина, Бульвар Строителей, пр-т СОВЕТСКИЙ ")</f>
        <v>Центральный, п-т Ленина, Бульвар Строителей, пр-т СОВЕТСКИЙ </v>
      </c>
      <c r="Y504" s="6" t="str">
        <f>IFERROR(__xludf.DUMMYFUNCTION("""COMPUTED_VALUE"""),"Пожар в Зимней вишне ")</f>
        <v>Пожар в Зимней вишне </v>
      </c>
      <c r="Z504" s="6" t="str">
        <f>IFERROR(__xludf.DUMMYFUNCTION("""COMPUTED_VALUE"""),"-")</f>
        <v>-</v>
      </c>
      <c r="AA504" s="6" t="str">
        <f>IFERROR(__xludf.DUMMYFUNCTION("""COMPUTED_VALUE"""),"Смена губернатора, пандемия")</f>
        <v>Смена губернатора, пандемия</v>
      </c>
      <c r="AB504" s="6" t="str">
        <f>IFERROR(__xludf.DUMMYFUNCTION("""COMPUTED_VALUE"""),"Культурных")</f>
        <v>Культурных</v>
      </c>
      <c r="AC504" s="6" t="str">
        <f>IFERROR(__xludf.DUMMYFUNCTION("""COMPUTED_VALUE"""),"Доступности и бесплатного посещения культурных мероприятий")</f>
        <v>Доступности и бесплатного посещения культурных мероприятий</v>
      </c>
      <c r="AD504"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504" s="6" t="str">
        <f>IFERROR(__xludf.DUMMYFUNCTION("""COMPUTED_VALUE"""),"Женский")</f>
        <v>Женский</v>
      </c>
      <c r="AF504" s="6" t="str">
        <f>IFERROR(__xludf.DUMMYFUNCTION("""COMPUTED_VALUE"""),"30-44")</f>
        <v>30-44</v>
      </c>
      <c r="AG504" s="6"/>
      <c r="AH504" s="6"/>
      <c r="AI504" s="6"/>
      <c r="AJ504" s="6"/>
      <c r="AK504" s="6"/>
      <c r="AL504" s="6"/>
      <c r="AM504" s="6"/>
    </row>
    <row r="505">
      <c r="A505" s="6">
        <v>504.0</v>
      </c>
      <c r="B505" s="6" t="str">
        <f>IFERROR(__xludf.DUMMYFUNCTION("""COMPUTED_VALUE"""),"Работаю в библиотеке")</f>
        <v>Работаю в библиотеке</v>
      </c>
      <c r="C505" s="6" t="str">
        <f>IFERROR(__xludf.DUMMYFUNCTION("""COMPUTED_VALUE"""),"Много работать")</f>
        <v>Много работать</v>
      </c>
      <c r="D505" s="6" t="str">
        <f>IFERROR(__xludf.DUMMYFUNCTION("""COMPUTED_VALUE"""),"Рудничный")</f>
        <v>Рудничный</v>
      </c>
      <c r="E505" s="6" t="str">
        <f>IFERROR(__xludf.DUMMYFUNCTION("""COMPUTED_VALUE"""),"Библиотека им.Г.Е.Юрова, Бор.")</f>
        <v>Библиотека им.Г.Е.Юрова, Бор.</v>
      </c>
      <c r="F505" s="6" t="str">
        <f>IFERROR(__xludf.DUMMYFUNCTION("""COMPUTED_VALUE"""),"Живу здесь с рождения")</f>
        <v>Живу здесь с рождения</v>
      </c>
      <c r="G505" s="6" t="str">
        <f>IFERROR(__xludf.DUMMYFUNCTION("""COMPUTED_VALUE"""),"Гуляю везде")</f>
        <v>Гуляю везде</v>
      </c>
      <c r="H505" s="6" t="str">
        <f>IFERROR(__xludf.DUMMYFUNCTION("""COMPUTED_VALUE"""),"Красная Горка, Бор, Парк Чудес , весенька, Томская писаница, Смог, плохая экология, хмурые люди")</f>
        <v>Красная Горка, Бор, Парк Чудес , весенька, Томская писаница, Смог, плохая экология, хмурые люди</v>
      </c>
      <c r="I505" s="6" t="str">
        <f>IFERROR(__xludf.DUMMYFUNCTION("""COMPUTED_VALUE"""),"Г.Е.Юров, И.Киселев, Мазаев, Бурмистров.")</f>
        <v>Г.Е.Юров, И.Киселев, Мазаев, Бурмистров.</v>
      </c>
      <c r="J505" s="6" t="str">
        <f>IFERROR(__xludf.DUMMYFUNCTION("""COMPUTED_VALUE"""),"Тулеев")</f>
        <v>Тулеев</v>
      </c>
      <c r="K505" s="6" t="str">
        <f>IFERROR(__xludf.DUMMYFUNCTION("""COMPUTED_VALUE"""),"Библиотеки")</f>
        <v>Библиотеки</v>
      </c>
      <c r="L505" s="6" t="str">
        <f>IFERROR(__xludf.DUMMYFUNCTION("""COMPUTED_VALUE"""),"Не знаю")</f>
        <v>Не знаю</v>
      </c>
      <c r="M505" s="6" t="str">
        <f>IFERROR(__xludf.DUMMYFUNCTION("""COMPUTED_VALUE"""),"Не знаю")</f>
        <v>Не знаю</v>
      </c>
      <c r="N505" s="6" t="str">
        <f>IFERROR(__xludf.DUMMYFUNCTION("""COMPUTED_VALUE"""),"Хорошая экология, развитая инфраструктура, высокие зарплаты, наличие рабочих мест  ")</f>
        <v>Хорошая экология, развитая инфраструктура, высокие зарплаты, наличие рабочих мест  </v>
      </c>
      <c r="O505" s="6" t="str">
        <f>IFERROR(__xludf.DUMMYFUNCTION("""COMPUTED_VALUE"""),"понизить цены на продукты, повысить зарплаты, закрыть добычу угля открытым способом")</f>
        <v>понизить цены на продукты, повысить зарплаты, закрыть добычу угля открытым способом</v>
      </c>
      <c r="P505" s="6" t="str">
        <f>IFERROR(__xludf.DUMMYFUNCTION("""COMPUTED_VALUE"""),"вк и ок.ру")</f>
        <v>вк и ок.ру</v>
      </c>
      <c r="Q505" s="6" t="str">
        <f>IFERROR(__xludf.DUMMYFUNCTION("""COMPUTED_VALUE"""),"куда пойти в свободное время, где вкусно поесть/открытие новых кафе/ресторанов, культурные новинки (что почитать/что послушать)")</f>
        <v>куда пойти в свободное время, где вкусно поесть/открытие новых кафе/ресторанов, культурные новинки (что почитать/что послушать)</v>
      </c>
      <c r="R505" s="6" t="str">
        <f>IFERROR(__xludf.DUMMYFUNCTION("""COMPUTED_VALUE"""),"все")</f>
        <v>все</v>
      </c>
      <c r="S505" s="6" t="str">
        <f>IFERROR(__xludf.DUMMYFUNCTION("""COMPUTED_VALUE"""),"Писал и расклеивал объявления/афиши, Делал рассылку по электронной почте, Обращался в редакции электронных городских СМИ, Обращался в редакции городских газет, телевидения, радио")</f>
        <v>Писал и расклеивал объявления/афиши, Делал рассылку по электронной почте, Обращался в редакции электронных городских СМИ, Обращался в редакции городских газет, телевидения, радио</v>
      </c>
      <c r="T505" s="6" t="str">
        <f>IFERROR(__xludf.DUMMYFUNCTION("""COMPUTED_VALUE"""),"плохой экологией и катастрофой в зимней вишне")</f>
        <v>плохой экологией и катастрофой в зимней вишне</v>
      </c>
      <c r="U505" s="6" t="str">
        <f>IFERROR(__xludf.DUMMYFUNCTION("""COMPUTED_VALUE"""),"красная горка")</f>
        <v>красная горка</v>
      </c>
      <c r="V505" s="6" t="str">
        <f>IFERROR(__xludf.DUMMYFUNCTION("""COMPUTED_VALUE"""),"все")</f>
        <v>все</v>
      </c>
      <c r="W505" s="6" t="str">
        <f>IFERROR(__xludf.DUMMYFUNCTION("""COMPUTED_VALUE"""),"хмурые и жадные")</f>
        <v>хмурые и жадные</v>
      </c>
      <c r="X505" s="6" t="str">
        <f>IFERROR(__xludf.DUMMYFUNCTION("""COMPUTED_VALUE"""),"от вокзала до дома")</f>
        <v>от вокзала до дома</v>
      </c>
      <c r="Y505" s="6" t="str">
        <f>IFERROR(__xludf.DUMMYFUNCTION("""COMPUTED_VALUE"""),"строительство города")</f>
        <v>строительство города</v>
      </c>
      <c r="Z505" s="6" t="str">
        <f>IFERROR(__xludf.DUMMYFUNCTION("""COMPUTED_VALUE"""),"День города 2019")</f>
        <v>День города 2019</v>
      </c>
      <c r="AA505" s="6" t="str">
        <f>IFERROR(__xludf.DUMMYFUNCTION("""COMPUTED_VALUE"""),"пожар в зимней вишне")</f>
        <v>пожар в зимней вишне</v>
      </c>
      <c r="AB505" s="6" t="str">
        <f>IFERROR(__xludf.DUMMYFUNCTION("""COMPUTED_VALUE"""),"всего хватает")</f>
        <v>всего хватает</v>
      </c>
      <c r="AC505" s="6" t="str">
        <f>IFERROR(__xludf.DUMMYFUNCTION("""COMPUTED_VALUE"""),"выступления разных спкиеров")</f>
        <v>выступления разных спкиеров</v>
      </c>
      <c r="AD50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05" s="6" t="str">
        <f>IFERROR(__xludf.DUMMYFUNCTION("""COMPUTED_VALUE"""),"Женский")</f>
        <v>Женский</v>
      </c>
      <c r="AF505" s="6" t="str">
        <f>IFERROR(__xludf.DUMMYFUNCTION("""COMPUTED_VALUE"""),"30-44")</f>
        <v>30-44</v>
      </c>
      <c r="AG505" s="6"/>
      <c r="AH505" s="6"/>
      <c r="AI505" s="6"/>
      <c r="AJ505" s="6"/>
      <c r="AK505" s="6"/>
      <c r="AL505" s="6"/>
      <c r="AM505" s="6"/>
    </row>
    <row r="506">
      <c r="A506" s="6">
        <v>505.0</v>
      </c>
      <c r="B506" s="6" t="str">
        <f>IFERROR(__xludf.DUMMYFUNCTION("""COMPUTED_VALUE"""),"Работаю")</f>
        <v>Работаю</v>
      </c>
      <c r="C506" s="6" t="str">
        <f>IFERROR(__xludf.DUMMYFUNCTION("""COMPUTED_VALUE"""),"Волейбол, пение")</f>
        <v>Волейбол, пение</v>
      </c>
      <c r="D506" s="6" t="str">
        <f>IFERROR(__xludf.DUMMYFUNCTION("""COMPUTED_VALUE"""),"Микрашка")</f>
        <v>Микрашка</v>
      </c>
      <c r="E506" s="6" t="str">
        <f>IFERROR(__xludf.DUMMYFUNCTION("""COMPUTED_VALUE"""),"Фонтан, аллея")</f>
        <v>Фонтан, аллея</v>
      </c>
      <c r="F506" s="6" t="str">
        <f>IFERROR(__xludf.DUMMYFUNCTION("""COMPUTED_VALUE"""),"Не живу,но приезжаю сюда (к родственникам/друзьям)")</f>
        <v>Не живу,но приезжаю сюда (к родственникам/друзьям)</v>
      </c>
      <c r="G506" s="6" t="str">
        <f>IFERROR(__xludf.DUMMYFUNCTION("""COMPUTED_VALUE"""),"Караоке, бары")</f>
        <v>Караоке, бары</v>
      </c>
      <c r="H506" s="6" t="str">
        <f>IFERROR(__xludf.DUMMYFUNCTION("""COMPUTED_VALUE"""),"областной, развивающийся")</f>
        <v>областной, развивающийся</v>
      </c>
      <c r="I506" s="6" t="str">
        <f>IFERROR(__xludf.DUMMYFUNCTION("""COMPUTED_VALUE"""),"Минус")</f>
        <v>Минус</v>
      </c>
      <c r="J506" s="6" t="str">
        <f>IFERROR(__xludf.DUMMYFUNCTION("""COMPUTED_VALUE"""),"Минус")</f>
        <v>Минус</v>
      </c>
      <c r="K506" s="6" t="str">
        <f>IFERROR(__xludf.DUMMYFUNCTION("""COMPUTED_VALUE"""),"В мой или Кемерово? ")</f>
        <v>В мой или Кемерово? </v>
      </c>
      <c r="L506" s="6" t="str">
        <f>IFERROR(__xludf.DUMMYFUNCTION("""COMPUTED_VALUE"""),"Минус")</f>
        <v>Минус</v>
      </c>
      <c r="M506" s="6" t="str">
        <f>IFERROR(__xludf.DUMMYFUNCTION("""COMPUTED_VALUE"""),"Нет")</f>
        <v>Нет</v>
      </c>
      <c r="N506" s="6" t="str">
        <f>IFERROR(__xludf.DUMMYFUNCTION("""COMPUTED_VALUE"""),"ТРК, места для прогулок, чистота, архитектура, дороги")</f>
        <v>ТРК, места для прогулок, чистота, архитектура, дороги</v>
      </c>
      <c r="O506" s="6" t="str">
        <f>IFERROR(__xludf.DUMMYFUNCTION("""COMPUTED_VALUE"""),"ТРК")</f>
        <v>ТРК</v>
      </c>
      <c r="P506" s="6" t="str">
        <f>IFERROR(__xludf.DUMMYFUNCTION("""COMPUTED_VALUE"""),"От знакомых")</f>
        <v>От знакомых</v>
      </c>
      <c r="Q506"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506" s="6" t="str">
        <f>IFERROR(__xludf.DUMMYFUNCTION("""COMPUTED_VALUE"""),"День города, 9 мая")</f>
        <v>День города, 9 мая</v>
      </c>
      <c r="S506" s="6" t="str">
        <f>IFERROR(__xludf.DUMMYFUNCTION("""COMPUTED_VALUE"""),"Нет, не приходилось")</f>
        <v>Нет, не приходилось</v>
      </c>
      <c r="T506" s="6" t="str">
        <f>IFERROR(__xludf.DUMMYFUNCTION("""COMPUTED_VALUE"""),"Волейбольная команда КУЗБАСС")</f>
        <v>Волейбольная команда КУЗБАСС</v>
      </c>
      <c r="U506" s="6" t="str">
        <f>IFERROR(__xludf.DUMMYFUNCTION("""COMPUTED_VALUE"""),"минус")</f>
        <v>минус</v>
      </c>
      <c r="V506" s="6" t="str">
        <f>IFERROR(__xludf.DUMMYFUNCTION("""COMPUTED_VALUE"""),"Затрудняюсь")</f>
        <v>Затрудняюсь</v>
      </c>
      <c r="W506" s="6" t="str">
        <f>IFERROR(__xludf.DUMMYFUNCTION("""COMPUTED_VALUE"""),"Обычные и город самый обычный")</f>
        <v>Обычные и город самый обычный</v>
      </c>
      <c r="X506" s="6" t="str">
        <f>IFERROR(__xludf.DUMMYFUNCTION("""COMPUTED_VALUE"""),"На строителях классно гулять")</f>
        <v>На строителях классно гулять</v>
      </c>
      <c r="Y506" s="6" t="str">
        <f>IFERROR(__xludf.DUMMYFUNCTION("""COMPUTED_VALUE"""),"Затрудняюсь")</f>
        <v>Затрудняюсь</v>
      </c>
      <c r="Z506" s="6" t="str">
        <f>IFERROR(__xludf.DUMMYFUNCTION("""COMPUTED_VALUE"""),"Открыли парк Ангелов")</f>
        <v>Открыли парк Ангелов</v>
      </c>
      <c r="AA506" s="6" t="str">
        <f>IFERROR(__xludf.DUMMYFUNCTION("""COMPUTED_VALUE"""),"Трагедия на Зимней Вишне")</f>
        <v>Трагедия на Зимней Вишне</v>
      </c>
      <c r="AB506" s="6" t="str">
        <f>IFERROR(__xludf.DUMMYFUNCTION("""COMPUTED_VALUE"""),"КВН образования")</f>
        <v>КВН образования</v>
      </c>
      <c r="AC506" s="6" t="str">
        <f>IFERROR(__xludf.DUMMYFUNCTION("""COMPUTED_VALUE"""),"больше пространств для творчества и спорта на открытом воздухе")</f>
        <v>больше пространств для творчества и спорта на открытом воздухе</v>
      </c>
      <c r="AD506" s="6" t="str">
        <f>IFERROR(__xludf.DUMMYFUNCTION("""COMPUTED_VALUE"""),"Не готов принимать личное участие (укажите, пожалуйста, причину в поле «Другое»), Живу в Березовском")</f>
        <v>Не готов принимать личное участие (укажите, пожалуйста, причину в поле «Другое»), Живу в Березовском</v>
      </c>
      <c r="AE506" s="6" t="str">
        <f>IFERROR(__xludf.DUMMYFUNCTION("""COMPUTED_VALUE"""),"Мужской")</f>
        <v>Мужской</v>
      </c>
      <c r="AF506" s="6" t="str">
        <f>IFERROR(__xludf.DUMMYFUNCTION("""COMPUTED_VALUE"""),"18-29")</f>
        <v>18-29</v>
      </c>
      <c r="AG506" s="6"/>
      <c r="AH506" s="6"/>
      <c r="AI506" s="6"/>
      <c r="AJ506" s="6"/>
      <c r="AK506" s="6"/>
      <c r="AL506" s="6"/>
      <c r="AM506" s="6"/>
    </row>
    <row r="507">
      <c r="A507" s="6">
        <v>506.0</v>
      </c>
      <c r="B507" s="6" t="str">
        <f>IFERROR(__xludf.DUMMYFUNCTION("""COMPUTED_VALUE"""),"Работаю")</f>
        <v>Работаю</v>
      </c>
      <c r="C507" s="6" t="str">
        <f>IFERROR(__xludf.DUMMYFUNCTION("""COMPUTED_VALUE"""),"Чтение")</f>
        <v>Чтение</v>
      </c>
      <c r="D507" s="6" t="str">
        <f>IFERROR(__xludf.DUMMYFUNCTION("""COMPUTED_VALUE"""),"Центральный")</f>
        <v>Центральный</v>
      </c>
      <c r="E507" s="6" t="str">
        <f>IFERROR(__xludf.DUMMYFUNCTION("""COMPUTED_VALUE"""),"Парк Ангелов")</f>
        <v>Парк Ангелов</v>
      </c>
      <c r="F507" s="6" t="str">
        <f>IFERROR(__xludf.DUMMYFUNCTION("""COMPUTED_VALUE"""),"Живу здесь с рождения")</f>
        <v>Живу здесь с рождения</v>
      </c>
      <c r="G507" s="6" t="str">
        <f>IFERROR(__xludf.DUMMYFUNCTION("""COMPUTED_VALUE"""),"В Парк Антошка, Парк Чудес, Притомская набережная")</f>
        <v>В Парк Антошка, Парк Чудес, Притомская набережная</v>
      </c>
      <c r="H507" s="6" t="str">
        <f>IFERROR(__xludf.DUMMYFUNCTION("""COMPUTED_VALUE"""),"Смог, Томь , заводы, стройки, Красная горка")</f>
        <v>Смог, Томь , заводы, стройки, Красная горка</v>
      </c>
      <c r="I507" s="6" t="str">
        <f>IFERROR(__xludf.DUMMYFUNCTION("""COMPUTED_VALUE"""),"Бобров, Подгорбунский")</f>
        <v>Бобров, Подгорбунский</v>
      </c>
      <c r="J507" s="6" t="str">
        <f>IFERROR(__xludf.DUMMYFUNCTION("""COMPUTED_VALUE"""),"В. Михайлов")</f>
        <v>В. Михайлов</v>
      </c>
      <c r="K507" s="6" t="str">
        <f>IFERROR(__xludf.DUMMYFUNCTION("""COMPUTED_VALUE"""),"Музей Красная Горка")</f>
        <v>Музей Красная Горка</v>
      </c>
      <c r="L507" s="6" t="str">
        <f>IFERROR(__xludf.DUMMYFUNCTION("""COMPUTED_VALUE"""),"Не знаю")</f>
        <v>Не знаю</v>
      </c>
      <c r="M507" s="6" t="str">
        <f>IFERROR(__xludf.DUMMYFUNCTION("""COMPUTED_VALUE"""),"Не знаю")</f>
        <v>Не знаю</v>
      </c>
      <c r="N507" s="6" t="str">
        <f>IFERROR(__xludf.DUMMYFUNCTION("""COMPUTED_VALUE"""),"Чистота улиц, чистый воздух, хорошая экология, достойные условия труда и отдыха, качественное образование")</f>
        <v>Чистота улиц, чистый воздух, хорошая экология, достойные условия труда и отдыха, качественное образование</v>
      </c>
      <c r="O507" s="6" t="str">
        <f>IFERROR(__xludf.DUMMYFUNCTION("""COMPUTED_VALUE"""),"Экологию")</f>
        <v>Экологию</v>
      </c>
      <c r="P507" s="6" t="str">
        <f>IFERROR(__xludf.DUMMYFUNCTION("""COMPUTED_VALUE"""),"Интернет и пресса")</f>
        <v>Интернет и пресса</v>
      </c>
      <c r="Q507"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новости про новые профессии/куда поступать/вакансии, интервью с экспертами на разные темы (напишите в разделе Другое свои предложения)</v>
      </c>
      <c r="R507" s="6" t="str">
        <f>IFERROR(__xludf.DUMMYFUNCTION("""COMPUTED_VALUE"""),"День города")</f>
        <v>День города</v>
      </c>
      <c r="S507" s="6" t="str">
        <f>IFERROR(__xludf.DUMMYFUNCTION("""COMPUTED_VALUE"""),"Нет, не приходилось")</f>
        <v>Нет, не приходилось</v>
      </c>
      <c r="T507" s="6" t="str">
        <f>IFERROR(__xludf.DUMMYFUNCTION("""COMPUTED_VALUE"""),"Уголь")</f>
        <v>Уголь</v>
      </c>
      <c r="U507" s="6" t="str">
        <f>IFERROR(__xludf.DUMMYFUNCTION("""COMPUTED_VALUE"""),"Площадь Советов")</f>
        <v>Площадь Советов</v>
      </c>
      <c r="V507" s="6" t="str">
        <f>IFERROR(__xludf.DUMMYFUNCTION("""COMPUTED_VALUE"""),"Работали")</f>
        <v>Работали</v>
      </c>
      <c r="W507" s="6" t="str">
        <f>IFERROR(__xludf.DUMMYFUNCTION("""COMPUTED_VALUE"""),"Терпеливын")</f>
        <v>Терпеливын</v>
      </c>
      <c r="X507" s="6" t="str">
        <f>IFERROR(__xludf.DUMMYFUNCTION("""COMPUTED_VALUE"""),"По улице Весенней на Набережную")</f>
        <v>По улице Весенней на Набережную</v>
      </c>
      <c r="Y507" s="6" t="str">
        <f>IFERROR(__xludf.DUMMYFUNCTION("""COMPUTED_VALUE"""),"Победа в ВОВ")</f>
        <v>Победа в ВОВ</v>
      </c>
      <c r="Z507" s="6" t="str">
        <f>IFERROR(__xludf.DUMMYFUNCTION("""COMPUTED_VALUE"""),"Нет таких")</f>
        <v>Нет таких</v>
      </c>
      <c r="AA507" s="6" t="str">
        <f>IFERROR(__xludf.DUMMYFUNCTION("""COMPUTED_VALUE"""),"Пожар в ""Зимней вишне""")</f>
        <v>Пожар в "Зимней вишне"</v>
      </c>
      <c r="AB507" s="6" t="str">
        <f>IFERROR(__xludf.DUMMYFUNCTION("""COMPUTED_VALUE"""),"Не знаю")</f>
        <v>Не знаю</v>
      </c>
      <c r="AC507" s="6" t="str">
        <f>IFERROR(__xludf.DUMMYFUNCTION("""COMPUTED_VALUE"""),"Гастроли столичных артистоа")</f>
        <v>Гастроли столичных артистоа</v>
      </c>
      <c r="AD50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07" s="6" t="str">
        <f>IFERROR(__xludf.DUMMYFUNCTION("""COMPUTED_VALUE"""),"Женский")</f>
        <v>Женский</v>
      </c>
      <c r="AF507" s="6" t="str">
        <f>IFERROR(__xludf.DUMMYFUNCTION("""COMPUTED_VALUE"""),"30-44")</f>
        <v>30-44</v>
      </c>
      <c r="AG507" s="6"/>
      <c r="AH507" s="6"/>
      <c r="AI507" s="6"/>
      <c r="AJ507" s="6"/>
      <c r="AK507" s="6"/>
      <c r="AL507" s="6"/>
      <c r="AM507" s="6"/>
    </row>
    <row r="508">
      <c r="A508" s="6">
        <v>507.0</v>
      </c>
      <c r="B508" s="6" t="str">
        <f>IFERROR(__xludf.DUMMYFUNCTION("""COMPUTED_VALUE"""),"работаю")</f>
        <v>работаю</v>
      </c>
      <c r="C508" s="6" t="str">
        <f>IFERROR(__xludf.DUMMYFUNCTION("""COMPUTED_VALUE"""),"не скажу")</f>
        <v>не скажу</v>
      </c>
      <c r="D508" s="6" t="str">
        <f>IFERROR(__xludf.DUMMYFUNCTION("""COMPUTED_VALUE"""),"центральный")</f>
        <v>центральный</v>
      </c>
      <c r="E508" s="6" t="str">
        <f>IFERROR(__xludf.DUMMYFUNCTION("""COMPUTED_VALUE"""),"не когда ходить")</f>
        <v>не когда ходить</v>
      </c>
      <c r="F508" s="6" t="str">
        <f>IFERROR(__xludf.DUMMYFUNCTION("""COMPUTED_VALUE"""),"Живу здесь с рождения")</f>
        <v>Живу здесь с рождения</v>
      </c>
      <c r="G508" s="6" t="str">
        <f>IFERROR(__xludf.DUMMYFUNCTION("""COMPUTED_VALUE"""),"никуда")</f>
        <v>никуда</v>
      </c>
      <c r="H508" s="6" t="str">
        <f>IFERROR(__xludf.DUMMYFUNCTION("""COMPUTED_VALUE"""),"нет")</f>
        <v>нет</v>
      </c>
      <c r="I508" s="6" t="str">
        <f>IFERROR(__xludf.DUMMYFUNCTION("""COMPUTED_VALUE"""),"нет")</f>
        <v>нет</v>
      </c>
      <c r="J508" s="6" t="str">
        <f>IFERROR(__xludf.DUMMYFUNCTION("""COMPUTED_VALUE"""),"нет")</f>
        <v>нет</v>
      </c>
      <c r="K508" s="6" t="str">
        <f>IFERROR(__xludf.DUMMYFUNCTION("""COMPUTED_VALUE"""),"нет")</f>
        <v>нет</v>
      </c>
      <c r="L508" s="6" t="str">
        <f>IFERROR(__xludf.DUMMYFUNCTION("""COMPUTED_VALUE"""),"нет")</f>
        <v>нет</v>
      </c>
      <c r="M508" s="6" t="str">
        <f>IFERROR(__xludf.DUMMYFUNCTION("""COMPUTED_VALUE"""),"нет")</f>
        <v>нет</v>
      </c>
      <c r="N508" s="6" t="str">
        <f>IFERROR(__xludf.DUMMYFUNCTION("""COMPUTED_VALUE"""),"нескажу")</f>
        <v>нескажу</v>
      </c>
      <c r="O508" s="6" t="str">
        <f>IFERROR(__xludf.DUMMYFUNCTION("""COMPUTED_VALUE"""),"все")</f>
        <v>все</v>
      </c>
      <c r="P508" s="6" t="str">
        <f>IFERROR(__xludf.DUMMYFUNCTION("""COMPUTED_VALUE"""),"ниоткуда")</f>
        <v>ниоткуда</v>
      </c>
      <c r="Q508" s="6" t="str">
        <f>IFERROR(__xludf.DUMMYFUNCTION("""COMPUTED_VALUE"""),"нет")</f>
        <v>нет</v>
      </c>
      <c r="R508" s="6" t="str">
        <f>IFERROR(__xludf.DUMMYFUNCTION("""COMPUTED_VALUE"""),"нет")</f>
        <v>нет</v>
      </c>
      <c r="S508" s="6" t="str">
        <f>IFERROR(__xludf.DUMMYFUNCTION("""COMPUTED_VALUE"""),"нескажу")</f>
        <v>нескажу</v>
      </c>
      <c r="T508" s="6" t="str">
        <f>IFERROR(__xludf.DUMMYFUNCTION("""COMPUTED_VALUE"""),"ничем")</f>
        <v>ничем</v>
      </c>
      <c r="U508" s="6" t="str">
        <f>IFERROR(__xludf.DUMMYFUNCTION("""COMPUTED_VALUE"""),"нет")</f>
        <v>нет</v>
      </c>
      <c r="V508" s="6" t="str">
        <f>IFERROR(__xludf.DUMMYFUNCTION("""COMPUTED_VALUE"""),"нет")</f>
        <v>нет</v>
      </c>
      <c r="W508" s="6" t="str">
        <f>IFERROR(__xludf.DUMMYFUNCTION("""COMPUTED_VALUE"""),"нет")</f>
        <v>нет</v>
      </c>
      <c r="X508" s="6" t="str">
        <f>IFERROR(__xludf.DUMMYFUNCTION("""COMPUTED_VALUE"""),"нет")</f>
        <v>нет</v>
      </c>
      <c r="Y508" s="6" t="str">
        <f>IFERROR(__xludf.DUMMYFUNCTION("""COMPUTED_VALUE"""),"нет")</f>
        <v>нет</v>
      </c>
      <c r="Z508" s="6" t="str">
        <f>IFERROR(__xludf.DUMMYFUNCTION("""COMPUTED_VALUE"""),"нет")</f>
        <v>нет</v>
      </c>
      <c r="AA508" s="6" t="str">
        <f>IFERROR(__xludf.DUMMYFUNCTION("""COMPUTED_VALUE"""),"нет")</f>
        <v>нет</v>
      </c>
      <c r="AB508" s="6" t="str">
        <f>IFERROR(__xludf.DUMMYFUNCTION("""COMPUTED_VALUE"""),"нет")</f>
        <v>нет</v>
      </c>
      <c r="AC508" s="6" t="str">
        <f>IFERROR(__xludf.DUMMYFUNCTION("""COMPUTED_VALUE"""),"нет")</f>
        <v>нет</v>
      </c>
      <c r="AD508" s="6" t="str">
        <f>IFERROR(__xludf.DUMMYFUNCTION("""COMPUTED_VALUE"""),"нет")</f>
        <v>нет</v>
      </c>
      <c r="AE508" s="6" t="str">
        <f>IFERROR(__xludf.DUMMYFUNCTION("""COMPUTED_VALUE"""),"Женский")</f>
        <v>Женский</v>
      </c>
      <c r="AF508" s="6" t="str">
        <f>IFERROR(__xludf.DUMMYFUNCTION("""COMPUTED_VALUE"""),"30-44")</f>
        <v>30-44</v>
      </c>
      <c r="AG508" s="6"/>
      <c r="AH508" s="6"/>
      <c r="AI508" s="6"/>
      <c r="AJ508" s="6"/>
      <c r="AK508" s="6"/>
      <c r="AL508" s="6"/>
      <c r="AM508" s="6"/>
    </row>
    <row r="509">
      <c r="A509" s="6">
        <v>508.0</v>
      </c>
      <c r="B509" s="6" t="str">
        <f>IFERROR(__xludf.DUMMYFUNCTION("""COMPUTED_VALUE"""),"Работаю")</f>
        <v>Работаю</v>
      </c>
      <c r="C509" s="6" t="str">
        <f>IFERROR(__xludf.DUMMYFUNCTION("""COMPUTED_VALUE"""),"Нет")</f>
        <v>Нет</v>
      </c>
      <c r="D509" s="6" t="str">
        <f>IFERROR(__xludf.DUMMYFUNCTION("""COMPUTED_VALUE"""),"Ленинский, так и называю")</f>
        <v>Ленинский, так и называю</v>
      </c>
      <c r="E509" s="6" t="str">
        <f>IFERROR(__xludf.DUMMYFUNCTION("""COMPUTED_VALUE"""),"Не знаю")</f>
        <v>Не знаю</v>
      </c>
      <c r="F509" s="6" t="str">
        <f>IFERROR(__xludf.DUMMYFUNCTION("""COMPUTED_VALUE"""),"Переехал сюда из другого места (откуда? укажите в графе другое), Красноярский край")</f>
        <v>Переехал сюда из другого места (откуда? укажите в графе другое), Красноярский край</v>
      </c>
      <c r="G509" s="6" t="str">
        <f>IFERROR(__xludf.DUMMYFUNCTION("""COMPUTED_VALUE"""),"Бульвар Строителей, Притомская Набережная")</f>
        <v>Бульвар Строителей, Притомская Набережная</v>
      </c>
      <c r="H509" s="6" t="str">
        <f>IFERROR(__xludf.DUMMYFUNCTION("""COMPUTED_VALUE"""),"Культура, ")</f>
        <v>Культура, </v>
      </c>
      <c r="I509" s="6" t="str">
        <f>IFERROR(__xludf.DUMMYFUNCTION("""COMPUTED_VALUE"""),"Терешкова, Леонов, Волошина")</f>
        <v>Терешкова, Леонов, Волошина</v>
      </c>
      <c r="J509" s="6" t="str">
        <f>IFERROR(__xludf.DUMMYFUNCTION("""COMPUTED_VALUE"""),"-")</f>
        <v>-</v>
      </c>
      <c r="K509" s="6" t="str">
        <f>IFERROR(__xludf.DUMMYFUNCTION("""COMPUTED_VALUE"""),"-")</f>
        <v>-</v>
      </c>
      <c r="L509" s="6" t="str">
        <f>IFERROR(__xludf.DUMMYFUNCTION("""COMPUTED_VALUE"""),"-")</f>
        <v>-</v>
      </c>
      <c r="M509" s="6" t="str">
        <f>IFERROR(__xludf.DUMMYFUNCTION("""COMPUTED_VALUE"""),"-")</f>
        <v>-</v>
      </c>
      <c r="N509" s="6" t="str">
        <f>IFERROR(__xludf.DUMMYFUNCTION("""COMPUTED_VALUE"""),"Чистота, ")</f>
        <v>Чистота, </v>
      </c>
      <c r="O509" s="6" t="str">
        <f>IFERROR(__xludf.DUMMYFUNCTION("""COMPUTED_VALUE"""),"Снизить цены на жилье")</f>
        <v>Снизить цены на жилье</v>
      </c>
      <c r="P509" s="6" t="str">
        <f>IFERROR(__xludf.DUMMYFUNCTION("""COMPUTED_VALUE"""),"Социальные сети муниципальных библиотек (ВКонтакте, Инстаграм, Одноклассники)")</f>
        <v>Социальные сети муниципальных библиотек (ВКонтакте, Инстаграм, Одноклассники)</v>
      </c>
      <c r="Q509"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509" s="6" t="str">
        <f>IFERROR(__xludf.DUMMYFUNCTION("""COMPUTED_VALUE"""),"День города")</f>
        <v>День города</v>
      </c>
      <c r="S509" s="6" t="str">
        <f>IFERROR(__xludf.DUMMYFUNCTION("""COMPUTED_VALUE"""),"Нет, не приходилось")</f>
        <v>Нет, не приходилось</v>
      </c>
      <c r="T509" s="6" t="str">
        <f>IFERROR(__xludf.DUMMYFUNCTION("""COMPUTED_VALUE"""),"-")</f>
        <v>-</v>
      </c>
      <c r="U509" s="6" t="str">
        <f>IFERROR(__xludf.DUMMYFUNCTION("""COMPUTED_VALUE"""),"-")</f>
        <v>-</v>
      </c>
      <c r="V509" s="6" t="str">
        <f>IFERROR(__xludf.DUMMYFUNCTION("""COMPUTED_VALUE"""),"-")</f>
        <v>-</v>
      </c>
      <c r="W509" s="6" t="str">
        <f>IFERROR(__xludf.DUMMYFUNCTION("""COMPUTED_VALUE"""),"Озлобленные, нервные")</f>
        <v>Озлобленные, нервные</v>
      </c>
      <c r="X509" s="6" t="str">
        <f>IFERROR(__xludf.DUMMYFUNCTION("""COMPUTED_VALUE"""),"-")</f>
        <v>-</v>
      </c>
      <c r="Y509" s="6" t="str">
        <f>IFERROR(__xludf.DUMMYFUNCTION("""COMPUTED_VALUE"""),"-")</f>
        <v>-</v>
      </c>
      <c r="Z509" s="6" t="str">
        <f>IFERROR(__xludf.DUMMYFUNCTION("""COMPUTED_VALUE"""),"-")</f>
        <v>-</v>
      </c>
      <c r="AA509" s="6" t="str">
        <f>IFERROR(__xludf.DUMMYFUNCTION("""COMPUTED_VALUE"""),"Пандемия")</f>
        <v>Пандемия</v>
      </c>
      <c r="AB509" s="6" t="str">
        <f>IFERROR(__xludf.DUMMYFUNCTION("""COMPUTED_VALUE"""),"-")</f>
        <v>-</v>
      </c>
      <c r="AC509" s="6" t="str">
        <f>IFERROR(__xludf.DUMMYFUNCTION("""COMPUTED_VALUE"""),"Открытие новых библиотек или качественный ремонт имеющихся")</f>
        <v>Открытие новых библиотек или качественный ремонт имеющихся</v>
      </c>
      <c r="AD509" s="6" t="str">
        <f>IFERROR(__xludf.DUMMYFUNCTION("""COMPUTED_VALUE"""),"Не готов принимать личное участие (укажите, пожалуйста, причину в поле «Другое»), нет свободного времени")</f>
        <v>Не готов принимать личное участие (укажите, пожалуйста, причину в поле «Другое»), нет свободного времени</v>
      </c>
      <c r="AE509" s="6" t="str">
        <f>IFERROR(__xludf.DUMMYFUNCTION("""COMPUTED_VALUE"""),"Женский")</f>
        <v>Женский</v>
      </c>
      <c r="AF509" s="6" t="str">
        <f>IFERROR(__xludf.DUMMYFUNCTION("""COMPUTED_VALUE"""),"18-29")</f>
        <v>18-29</v>
      </c>
      <c r="AG509" s="6"/>
      <c r="AH509" s="6"/>
      <c r="AI509" s="6"/>
      <c r="AJ509" s="6"/>
      <c r="AK509" s="6"/>
      <c r="AL509" s="6"/>
      <c r="AM509" s="6"/>
    </row>
    <row r="510">
      <c r="A510" s="6">
        <v>509.0</v>
      </c>
      <c r="B510" s="6" t="str">
        <f>IFERROR(__xludf.DUMMYFUNCTION("""COMPUTED_VALUE"""),"Программист")</f>
        <v>Программист</v>
      </c>
      <c r="C510" s="6" t="str">
        <f>IFERROR(__xludf.DUMMYFUNCTION("""COMPUTED_VALUE"""),"Шахматы ")</f>
        <v>Шахматы </v>
      </c>
      <c r="D510" s="6" t="str">
        <f>IFERROR(__xludf.DUMMYFUNCTION("""COMPUTED_VALUE"""),"Центральный. Притомский")</f>
        <v>Центральный. Притомский</v>
      </c>
      <c r="E510" s="6" t="str">
        <f>IFERROR(__xludf.DUMMYFUNCTION("""COMPUTED_VALUE"""),"Сквер ")</f>
        <v>Сквер </v>
      </c>
      <c r="F510" s="6" t="str">
        <f>IFERROR(__xludf.DUMMYFUNCTION("""COMPUTED_VALUE"""),"Переехал сюда из другого места (откуда? укажите в графе другое), Из Яшкино")</f>
        <v>Переехал сюда из другого места (откуда? укажите в графе другое), Из Яшкино</v>
      </c>
      <c r="G510" s="6" t="str">
        <f>IFERROR(__xludf.DUMMYFUNCTION("""COMPUTED_VALUE"""),"Прогулки в центр, бор")</f>
        <v>Прогулки в центр, бор</v>
      </c>
      <c r="H510" s="6" t="str">
        <f>IFERROR(__xludf.DUMMYFUNCTION("""COMPUTED_VALUE"""),"Грязный воздух, пыль, грязь, смог, уголь")</f>
        <v>Грязный воздух, пыль, грязь, смог, уголь</v>
      </c>
      <c r="I510" s="6" t="str">
        <f>IFERROR(__xludf.DUMMYFUNCTION("""COMPUTED_VALUE"""),"Тулеев")</f>
        <v>Тулеев</v>
      </c>
      <c r="J510" s="6" t="str">
        <f>IFERROR(__xludf.DUMMYFUNCTION("""COMPUTED_VALUE"""),"Леха Поляков")</f>
        <v>Леха Поляков</v>
      </c>
      <c r="K510" s="6" t="str">
        <f>IFERROR(__xludf.DUMMYFUNCTION("""COMPUTED_VALUE"""),"Бор, кафе Завтра, кать")</f>
        <v>Бор, кафе Завтра, кать</v>
      </c>
      <c r="L510" s="6" t="str">
        <f>IFERROR(__xludf.DUMMYFUNCTION("""COMPUTED_VALUE"""),"-")</f>
        <v>-</v>
      </c>
      <c r="M510" s="6" t="str">
        <f>IFERROR(__xludf.DUMMYFUNCTION("""COMPUTED_VALUE"""),"Мультифора")</f>
        <v>Мультифора</v>
      </c>
      <c r="N510" s="6" t="str">
        <f>IFERROR(__xludf.DUMMYFUNCTION("""COMPUTED_VALUE"""),"Чистый воздух, чистые улицы, разные кафе, места для прогулок, ровные дороги")</f>
        <v>Чистый воздух, чистые улицы, разные кафе, места для прогулок, ровные дороги</v>
      </c>
      <c r="O510" s="6" t="str">
        <f>IFERROR(__xludf.DUMMYFUNCTION("""COMPUTED_VALUE"""),"Не загрязнять воздух")</f>
        <v>Не загрязнять воздух</v>
      </c>
      <c r="P510" s="6" t="str">
        <f>IFERROR(__xludf.DUMMYFUNCTION("""COMPUTED_VALUE"""),"А42, vse42")</f>
        <v>А42, vse42</v>
      </c>
      <c r="Q510" s="6" t="str">
        <f>IFERROR(__xludf.DUMMYFUNCTION("""COMPUTED_VALUE"""),"куда пойти в свободное время, где вкусно поесть/открытие новых кафе/ресторанов,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(средний чек/рекламные акци"&amp;"и/запуск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510" s="6" t="str">
        <f>IFERROR(__xludf.DUMMYFUNCTION("""COMPUTED_VALUE"""),"Новый год")</f>
        <v>Новый год</v>
      </c>
      <c r="S510" s="6" t="str">
        <f>IFERROR(__xludf.DUMMYFUNCTION("""COMPUTED_VALUE"""),"Нет, не приходилось")</f>
        <v>Нет, не приходилось</v>
      </c>
      <c r="T510" s="6" t="str">
        <f>IFERROR(__xludf.DUMMYFUNCTION("""COMPUTED_VALUE"""),"Смог, дорогая бесполезная елка")</f>
        <v>Смог, дорогая бесполезная елка</v>
      </c>
      <c r="U510" s="6" t="str">
        <f>IFERROR(__xludf.DUMMYFUNCTION("""COMPUTED_VALUE"""),"Площадь")</f>
        <v>Площадь</v>
      </c>
      <c r="V510" s="6" t="str">
        <f>IFERROR(__xludf.DUMMYFUNCTION("""COMPUTED_VALUE"""),"Расширяли")</f>
        <v>Расширяли</v>
      </c>
      <c r="W510" s="6" t="str">
        <f>IFERROR(__xludf.DUMMYFUNCTION("""COMPUTED_VALUE"""),"Мусорят")</f>
        <v>Мусорят</v>
      </c>
      <c r="X510" s="6" t="str">
        <f>IFERROR(__xludf.DUMMYFUNCTION("""COMPUTED_VALUE"""),"По набережной от арочной и обратно по Советскому")</f>
        <v>По набережной от арочной и обратно по Советскому</v>
      </c>
      <c r="Y510" s="6" t="str">
        <f>IFERROR(__xludf.DUMMYFUNCTION("""COMPUTED_VALUE"""),"Пожар в зимней вишне")</f>
        <v>Пожар в зимней вишне</v>
      </c>
      <c r="Z510" s="6" t="str">
        <f>IFERROR(__xludf.DUMMYFUNCTION("""COMPUTED_VALUE"""),"Открытие тортишной и завтра, Кать 😀")</f>
        <v>Открытие тортишной и завтра, Кать 😀</v>
      </c>
      <c r="AA510" s="6" t="str">
        <f>IFERROR(__xludf.DUMMYFUNCTION("""COMPUTED_VALUE"""),"Закрытие Лазурного, пожар в Зимней вишне, клоунада Тулеева, бесконечная грязь из-за строек")</f>
        <v>Закрытие Лазурного, пожар в Зимней вишне, клоунада Тулеева, бесконечная грязь из-за строек</v>
      </c>
      <c r="AB510" s="6" t="str">
        <f>IFERROR(__xludf.DUMMYFUNCTION("""COMPUTED_VALUE"""),"-")</f>
        <v>-</v>
      </c>
      <c r="AC510" s="6" t="str">
        <f>IFERROR(__xludf.DUMMYFUNCTION("""COMPUTED_VALUE"""),"Общественные конкурсы")</f>
        <v>Общественные конкурсы</v>
      </c>
      <c r="AD510" s="6" t="str">
        <f>IFERROR(__xludf.DUMMYFUNCTION("""COMPUTED_VALUE"""),"В роли голосующего")</f>
        <v>В роли голосующего</v>
      </c>
      <c r="AE510" s="6" t="str">
        <f>IFERROR(__xludf.DUMMYFUNCTION("""COMPUTED_VALUE"""),"Мужской")</f>
        <v>Мужской</v>
      </c>
      <c r="AF510" s="6" t="str">
        <f>IFERROR(__xludf.DUMMYFUNCTION("""COMPUTED_VALUE"""),"30-44")</f>
        <v>30-44</v>
      </c>
      <c r="AG510" s="6"/>
      <c r="AH510" s="6"/>
      <c r="AI510" s="6"/>
      <c r="AJ510" s="6"/>
      <c r="AK510" s="6"/>
      <c r="AL510" s="6"/>
      <c r="AM510" s="6"/>
    </row>
    <row r="511">
      <c r="A511" s="6">
        <v>510.0</v>
      </c>
      <c r="B511" s="6" t="str">
        <f>IFERROR(__xludf.DUMMYFUNCTION("""COMPUTED_VALUE"""),"Библиограф")</f>
        <v>Библиограф</v>
      </c>
      <c r="C511" s="6" t="str">
        <f>IFERROR(__xludf.DUMMYFUNCTION("""COMPUTED_VALUE"""),"рукоделие")</f>
        <v>рукоделие</v>
      </c>
      <c r="D511" s="6" t="str">
        <f>IFERROR(__xludf.DUMMYFUNCTION("""COMPUTED_VALUE"""),"Центральный район")</f>
        <v>Центральный район</v>
      </c>
      <c r="E511" s="6" t="str">
        <f>IFERROR(__xludf.DUMMYFUNCTION("""COMPUTED_VALUE"""),"Исторический центр города, много памятников истории, архитектуры")</f>
        <v>Исторический центр города, много памятников истории, архитектуры</v>
      </c>
      <c r="F511" s="6" t="str">
        <f>IFERROR(__xludf.DUMMYFUNCTION("""COMPUTED_VALUE"""),"Живу здесь с рождения")</f>
        <v>Живу здесь с рождения</v>
      </c>
      <c r="G511" s="6" t="str">
        <f>IFERROR(__xludf.DUMMYFUNCTION("""COMPUTED_VALUE"""),"за пределы города")</f>
        <v>за пределы города</v>
      </c>
      <c r="H511" s="6" t="str">
        <f>IFERROR(__xludf.DUMMYFUNCTION("""COMPUTED_VALUE"""),"дым, загазованность, неопрятность")</f>
        <v>дым, загазованность, неопрятность</v>
      </c>
      <c r="I511" s="6" t="str">
        <f>IFERROR(__xludf.DUMMYFUNCTION("""COMPUTED_VALUE"""),"М. Волков, Леонов А., Балибалов И., Юров Г., Подгорбунский М., В. Волошина")</f>
        <v>М. Волков, Леонов А., Балибалов И., Юров Г., Подгорбунский М., В. Волошина</v>
      </c>
      <c r="J511" s="6" t="str">
        <f>IFERROR(__xludf.DUMMYFUNCTION("""COMPUTED_VALUE"""),"Михайлов В., Юров Г., Балибалов И., Подгорбунский М., Вдовин Н.")</f>
        <v>Михайлов В., Юров Г., Балибалов И., Подгорбунский М., Вдовин Н.</v>
      </c>
      <c r="K511" s="6" t="str">
        <f>IFERROR(__xludf.DUMMYFUNCTION("""COMPUTED_VALUE"""),"сосновый бор")</f>
        <v>сосновый бор</v>
      </c>
      <c r="L511" s="6" t="str">
        <f>IFERROR(__xludf.DUMMYFUNCTION("""COMPUTED_VALUE"""),"не знаю таких")</f>
        <v>не знаю таких</v>
      </c>
      <c r="M511" s="6" t="str">
        <f>IFERROR(__xludf.DUMMYFUNCTION("""COMPUTED_VALUE"""),"нет")</f>
        <v>нет</v>
      </c>
      <c r="N511" s="6" t="str">
        <f>IFERROR(__xludf.DUMMYFUNCTION("""COMPUTED_VALUE"""),"удобные скверы, наличие лавочек, тротуаров, уличных туалетов, чистота")</f>
        <v>удобные скверы, наличие лавочек, тротуаров, уличных туалетов, чистота</v>
      </c>
      <c r="O511" s="6" t="str">
        <f>IFERROR(__xludf.DUMMYFUNCTION("""COMPUTED_VALUE"""),"объездную дорогу сделать")</f>
        <v>объездную дорогу сделать</v>
      </c>
      <c r="P511" s="6" t="str">
        <f>IFERROR(__xludf.DUMMYFUNCTION("""COMPUTED_VALUE"""),"Кемерово газета, ")</f>
        <v>Кемерово газета, </v>
      </c>
      <c r="Q511" s="6" t="str">
        <f>IFERROR(__xludf.DUMMYFUNCTION("""COMPUTED_VALUE"""),"городская афиша (кино/театр/концерты)")</f>
        <v>городская афиша (кино/театр/концерты)</v>
      </c>
      <c r="R511" s="6" t="str">
        <f>IFERROR(__xludf.DUMMYFUNCTION("""COMPUTED_VALUE"""),"день победы")</f>
        <v>день победы</v>
      </c>
      <c r="S511" s="6" t="str">
        <f>IFERROR(__xludf.DUMMYFUNCTION("""COMPUTED_VALUE"""),"Делал рассылку по электронной почте")</f>
        <v>Делал рассылку по электронной почте</v>
      </c>
      <c r="T511" s="6" t="str">
        <f>IFERROR(__xludf.DUMMYFUNCTION("""COMPUTED_VALUE"""),"горелая гора")</f>
        <v>горелая гора</v>
      </c>
      <c r="U511" s="6" t="str">
        <f>IFERROR(__xludf.DUMMYFUNCTION("""COMPUTED_VALUE"""),"территория музея красная горка")</f>
        <v>территория музея красная горка</v>
      </c>
      <c r="V511" s="6" t="str">
        <f>IFERROR(__xludf.DUMMYFUNCTION("""COMPUTED_VALUE"""),"жили")</f>
        <v>жили</v>
      </c>
      <c r="W511" s="6" t="str">
        <f>IFERROR(__xludf.DUMMYFUNCTION("""COMPUTED_VALUE"""),"-")</f>
        <v>-</v>
      </c>
      <c r="X511" s="6" t="str">
        <f>IFERROR(__xludf.DUMMYFUNCTION("""COMPUTED_VALUE"""),"набережная р. Томь")</f>
        <v>набережная р. Томь</v>
      </c>
      <c r="Y511" s="6" t="str">
        <f>IFERROR(__xludf.DUMMYFUNCTION("""COMPUTED_VALUE"""),"открытие кемеровского рудника")</f>
        <v>открытие кемеровского рудника</v>
      </c>
      <c r="Z511" s="6" t="str">
        <f>IFERROR(__xludf.DUMMYFUNCTION("""COMPUTED_VALUE"""),"-")</f>
        <v>-</v>
      </c>
      <c r="AA511" s="6" t="str">
        <f>IFERROR(__xludf.DUMMYFUNCTION("""COMPUTED_VALUE"""),"Пожар в Зимней вишне")</f>
        <v>Пожар в Зимней вишне</v>
      </c>
      <c r="AB511" s="6" t="str">
        <f>IFERROR(__xludf.DUMMYFUNCTION("""COMPUTED_VALUE"""),"-")</f>
        <v>-</v>
      </c>
      <c r="AC511" s="6" t="str">
        <f>IFERROR(__xludf.DUMMYFUNCTION("""COMPUTED_VALUE"""),"-")</f>
        <v>-</v>
      </c>
      <c r="AD511"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11" s="6" t="str">
        <f>IFERROR(__xludf.DUMMYFUNCTION("""COMPUTED_VALUE"""),"Женский")</f>
        <v>Женский</v>
      </c>
      <c r="AF511" s="6" t="str">
        <f>IFERROR(__xludf.DUMMYFUNCTION("""COMPUTED_VALUE"""),"45-55")</f>
        <v>45-55</v>
      </c>
      <c r="AG511" s="6"/>
      <c r="AH511" s="6"/>
      <c r="AI511" s="6"/>
      <c r="AJ511" s="6"/>
      <c r="AK511" s="6"/>
      <c r="AL511" s="6"/>
      <c r="AM511" s="6"/>
    </row>
    <row r="512">
      <c r="A512" s="6">
        <v>511.0</v>
      </c>
      <c r="B512" s="6" t="str">
        <f>IFERROR(__xludf.DUMMYFUNCTION("""COMPUTED_VALUE"""),"Библиотекарь")</f>
        <v>Библиотекарь</v>
      </c>
      <c r="C512" s="6" t="str">
        <f>IFERROR(__xludf.DUMMYFUNCTION("""COMPUTED_VALUE"""),"Рисование, чтение, наука")</f>
        <v>Рисование, чтение, наука</v>
      </c>
      <c r="D512" s="6" t="str">
        <f>IFERROR(__xludf.DUMMYFUNCTION("""COMPUTED_VALUE"""),"Ленинский район")</f>
        <v>Ленинский район</v>
      </c>
      <c r="E512" s="6" t="str">
        <f>IFERROR(__xludf.DUMMYFUNCTION("""COMPUTED_VALUE"""),"Линейный Парк На Бульваре Строителей")</f>
        <v>Линейный Парк На Бульваре Строителей</v>
      </c>
      <c r="F512" s="6" t="str">
        <f>IFERROR(__xludf.DUMMYFUNCTION("""COMPUTED_VALUE"""),"Живу здесь с рождения")</f>
        <v>Живу здесь с рождения</v>
      </c>
      <c r="G512" s="6" t="str">
        <f>IFERROR(__xludf.DUMMYFUNCTION("""COMPUTED_VALUE"""),"Библиотеки, музеи, парки, кинотеатры, Сосновый бор, берег Искитимки, Набережная")</f>
        <v>Библиотеки, музеи, парки, кинотеатры, Сосновый бор, берег Искитимки, Набережная</v>
      </c>
      <c r="H512" s="6" t="str">
        <f>IFERROR(__xludf.DUMMYFUNCTION("""COMPUTED_VALUE"""),"Уголь, шахты, бор, утки и мост")</f>
        <v>Уголь, шахты, бор, утки и мост</v>
      </c>
      <c r="I512" s="6" t="str">
        <f>IFERROR(__xludf.DUMMYFUNCTION("""COMPUTED_VALUE"""),"Владимир Мазаев, Вера Волошина, Юрий Двужильный, Алексей Леонов, Геннадий Юров, Александр Береснев и т.д.")</f>
        <v>Владимир Мазаев, Вера Волошина, Юрий Двужильный, Алексей Леонов, Геннадий Юров, Александр Береснев и т.д.</v>
      </c>
      <c r="J512" s="6" t="str">
        <f>IFERROR(__xludf.DUMMYFUNCTION("""COMPUTED_VALUE"""),"Писатель Юлия Лавряшина")</f>
        <v>Писатель Юлия Лавряшина</v>
      </c>
      <c r="K512" s="6" t="str">
        <f>IFERROR(__xludf.DUMMYFUNCTION("""COMPUTED_VALUE"""),"Сосновый Бор, Красная Горка")</f>
        <v>Сосновый Бор, Красная Горка</v>
      </c>
      <c r="L512" s="6" t="str">
        <f>IFERROR(__xludf.DUMMYFUNCTION("""COMPUTED_VALUE"""),"Песня Бориса Гребенщикова «Человек из Кемерова»")</f>
        <v>Песня Бориса Гребенщикова «Человек из Кемерова»</v>
      </c>
      <c r="M512" s="6" t="str">
        <f>IFERROR(__xludf.DUMMYFUNCTION("""COMPUTED_VALUE"""),"Нет")</f>
        <v>Нет</v>
      </c>
      <c r="N512" s="6" t="str">
        <f>IFERROR(__xludf.DUMMYFUNCTION("""COMPUTED_VALUE"""),"Уровень жизни, образование, культура, наличие рабочих мест и экология")</f>
        <v>Уровень жизни, образование, культура, наличие рабочих мест и экология</v>
      </c>
      <c r="O512" s="6" t="str">
        <f>IFERROR(__xludf.DUMMYFUNCTION("""COMPUTED_VALUE"""),"Необходимо обратить внимание на улучшение уровня жизни жителей и экологическую ситуацию")</f>
        <v>Необходимо обратить внимание на улучшение уровня жизни жителей и экологическую ситуацию</v>
      </c>
      <c r="P512" s="6" t="str">
        <f>IFERROR(__xludf.DUMMYFUNCTION("""COMPUTED_VALUE"""),"Социальная сеть ВКонтакте")</f>
        <v>Социальная сеть ВКонтакте</v>
      </c>
      <c r="Q512"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512" s="6" t="str">
        <f>IFERROR(__xludf.DUMMYFUNCTION("""COMPUTED_VALUE"""),"День Победы")</f>
        <v>День Победы</v>
      </c>
      <c r="S512" s="6" t="str">
        <f>IFERROR(__xludf.DUMMYFUNCTION("""COMPUTED_VALUE"""),"Писал и расклеивал объявления/афиши, Через социальные сети (Какие? Укажите в графе другое), Делал рассылку по электронной почте, ВКонтакте, Одноклассники, Twitter, Facebook")</f>
        <v>Писал и расклеивал объявления/афиши, Через социальные сети (Какие? Укажите в графе другое), Делал рассылку по электронной почте, ВКонтакте, Одноклассники, Twitter, Facebook</v>
      </c>
      <c r="T512" s="6" t="str">
        <f>IFERROR(__xludf.DUMMYFUNCTION("""COMPUTED_VALUE"""),"Шахты, Красная Горка и Сосновый бор")</f>
        <v>Шахты, Красная Горка и Сосновый бор</v>
      </c>
      <c r="U512" s="6" t="str">
        <f>IFERROR(__xludf.DUMMYFUNCTION("""COMPUTED_VALUE"""),"Площадь Советов")</f>
        <v>Площадь Советов</v>
      </c>
      <c r="V512" s="6" t="str">
        <f>IFERROR(__xludf.DUMMYFUNCTION("""COMPUTED_VALUE"""),"Не могу ответить на этот вопрос кратко")</f>
        <v>Не могу ответить на этот вопрос кратко</v>
      </c>
      <c r="W512" s="6" t="str">
        <f>IFERROR(__xludf.DUMMYFUNCTION("""COMPUTED_VALUE"""),"Все люди разные, как и жители нашего города. Особый отличительных качеств не вижу")</f>
        <v>Все люди разные, как и жители нашего города. Особый отличительных качеств не вижу</v>
      </c>
      <c r="X512" s="6" t="str">
        <f>IFERROR(__xludf.DUMMYFUNCTION("""COMPUTED_VALUE"""),"Прогулка по Сосновому Бору")</f>
        <v>Прогулка по Сосновому Бору</v>
      </c>
      <c r="Y512" s="6" t="str">
        <f>IFERROR(__xludf.DUMMYFUNCTION("""COMPUTED_VALUE"""),"На мой взгляд, интересен тот факт, что именем столицы Кузбасса назван небольшой астероид главного пояса. Строительство домов-колбас и «АИК Кузбасс» тоже интересные страницы в истории города.")</f>
        <v>На мой взгляд, интересен тот факт, что именем столицы Кузбасса назван небольшой астероид главного пояса. Строительство домов-колбас и «АИК Кузбасс» тоже интересные страницы в истории города.</v>
      </c>
      <c r="Z512" s="6" t="str">
        <f>IFERROR(__xludf.DUMMYFUNCTION("""COMPUTED_VALUE"""),"Затрудняюсь ответить.")</f>
        <v>Затрудняюсь ответить.</v>
      </c>
      <c r="AA512" s="6" t="str">
        <f>IFERROR(__xludf.DUMMYFUNCTION("""COMPUTED_VALUE"""),"Таких не было.")</f>
        <v>Таких не было.</v>
      </c>
      <c r="AB512" s="6" t="str">
        <f>IFERROR(__xludf.DUMMYFUNCTION("""COMPUTED_VALUE"""),"Гик-сообществ")</f>
        <v>Гик-сообществ</v>
      </c>
      <c r="AC512" s="6" t="str">
        <f>IFERROR(__xludf.DUMMYFUNCTION("""COMPUTED_VALUE"""),"Молодёжные фестивали")</f>
        <v>Молодёжные фестивали</v>
      </c>
      <c r="AD51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12" s="6" t="str">
        <f>IFERROR(__xludf.DUMMYFUNCTION("""COMPUTED_VALUE"""),"Женский")</f>
        <v>Женский</v>
      </c>
      <c r="AF512" s="6" t="str">
        <f>IFERROR(__xludf.DUMMYFUNCTION("""COMPUTED_VALUE"""),"18-29")</f>
        <v>18-29</v>
      </c>
      <c r="AG512" s="6"/>
      <c r="AH512" s="6"/>
      <c r="AI512" s="6"/>
      <c r="AJ512" s="6"/>
      <c r="AK512" s="6"/>
      <c r="AL512" s="6"/>
      <c r="AM512" s="6"/>
    </row>
    <row r="513">
      <c r="A513" s="6">
        <v>512.0</v>
      </c>
      <c r="B513" s="6" t="str">
        <f>IFERROR(__xludf.DUMMYFUNCTION("""COMPUTED_VALUE"""),"Работаю   в библиотеке")</f>
        <v>Работаю   в библиотеке</v>
      </c>
      <c r="C513" s="6" t="str">
        <f>IFERROR(__xludf.DUMMYFUNCTION("""COMPUTED_VALUE"""),"рукоделие, кулинария")</f>
        <v>рукоделие, кулинария</v>
      </c>
      <c r="D513" s="6" t="str">
        <f>IFERROR(__xludf.DUMMYFUNCTION("""COMPUTED_VALUE"""),"Радуга")</f>
        <v>Радуга</v>
      </c>
      <c r="E513" s="6" t="str">
        <f>IFERROR(__xludf.DUMMYFUNCTION("""COMPUTED_VALUE"""),"Сосновый бор")</f>
        <v>Сосновый бор</v>
      </c>
      <c r="F513" s="6" t="str">
        <f>IFERROR(__xludf.DUMMYFUNCTION("""COMPUTED_VALUE"""),"Переехал сюда из другого места (откуда? укажите в графе другое), из Ташкента")</f>
        <v>Переехал сюда из другого места (откуда? укажите в графе другое), из Ташкента</v>
      </c>
      <c r="G513" s="6" t="str">
        <f>IFERROR(__xludf.DUMMYFUNCTION("""COMPUTED_VALUE"""),"Бульвар Строителей, Парк Жукова, Парк Чудес, Улица Весеняя")</f>
        <v>Бульвар Строителей, Парк Жукова, Парк Чудес, Улица Весеняя</v>
      </c>
      <c r="H513" s="6" t="str">
        <f>IFERROR(__xludf.DUMMYFUNCTION("""COMPUTED_VALUE"""),"Город труженик, исследователь, искатель, строитель, ")</f>
        <v>Город труженик, исследователь, искатель, строитель, </v>
      </c>
      <c r="I513" s="6" t="str">
        <f>IFERROR(__xludf.DUMMYFUNCTION("""COMPUTED_VALUE"""),"Михайло Волков , Алексей Леонов, Геннадий Юров")</f>
        <v>Михайло Волков , Алексей Леонов, Геннадий Юров</v>
      </c>
      <c r="J513" s="6" t="str">
        <f>IFERROR(__xludf.DUMMYFUNCTION("""COMPUTED_VALUE"""),"А. Тулеев, В. Михайлов")</f>
        <v>А. Тулеев, В. Михайлов</v>
      </c>
      <c r="K513" s="6" t="str">
        <f>IFERROR(__xludf.DUMMYFUNCTION("""COMPUTED_VALUE"""),"ул. Сибиряков-Гвардейцев")</f>
        <v>ул. Сибиряков-Гвардейцев</v>
      </c>
      <c r="L513" s="6" t="str">
        <f>IFERROR(__xludf.DUMMYFUNCTION("""COMPUTED_VALUE"""),"Пошел  в лог, вышел на дорогу.")</f>
        <v>Пошел  в лог, вышел на дорогу.</v>
      </c>
      <c r="M513" s="6" t="str">
        <f>IFERROR(__xludf.DUMMYFUNCTION("""COMPUTED_VALUE"""),"озябнуть ")</f>
        <v>озябнуть </v>
      </c>
      <c r="N513" s="6" t="str">
        <f>IFERROR(__xludf.DUMMYFUNCTION("""COMPUTED_VALUE"""),"чистота, доступность, безопасность, наглядность, инфомативность")</f>
        <v>чистота, доступность, безопасность, наглядность, инфомативность</v>
      </c>
      <c r="O513" s="6" t="str">
        <f>IFERROR(__xludf.DUMMYFUNCTION("""COMPUTED_VALUE"""),"сферу  услуг жизнеобеспечения")</f>
        <v>сферу  услуг жизнеобеспечения</v>
      </c>
      <c r="P513" s="6" t="str">
        <f>IFERROR(__xludf.DUMMYFUNCTION("""COMPUTED_VALUE"""),"Афиша 42")</f>
        <v>Афиша 42</v>
      </c>
      <c r="Q513"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Др"&amp;"угое свои предложения)")</f>
        <v>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513" s="6" t="str">
        <f>IFERROR(__xludf.DUMMYFUNCTION("""COMPUTED_VALUE"""),"  премьеры театральных постановок")</f>
        <v>  премьеры театральных постановок</v>
      </c>
      <c r="S513" s="6" t="str">
        <f>IFERROR(__xludf.DUMMYFUNCTION("""COMPUTED_VALUE"""),"Писал и расклеивал объявления/афиши, Через социальные сети (Какие? Укажите в графе другое), Делал рассылку по электронной почте")</f>
        <v>Писал и расклеивал объявления/афиши, Через социальные сети (Какие? Укажите в графе другое), Делал рассылку по электронной почте</v>
      </c>
      <c r="T513" s="6" t="str">
        <f>IFERROR(__xludf.DUMMYFUNCTION("""COMPUTED_VALUE"""),"Красная Горка, музейный  комплекс  в городской среде")</f>
        <v>Красная Горка, музейный  комплекс  в городской среде</v>
      </c>
      <c r="U513" s="6" t="str">
        <f>IFERROR(__xludf.DUMMYFUNCTION("""COMPUTED_VALUE"""),"Парк Чудес")</f>
        <v>Парк Чудес</v>
      </c>
      <c r="V513" s="6" t="str">
        <f>IFERROR(__xludf.DUMMYFUNCTION("""COMPUTED_VALUE"""),"работали, строили город")</f>
        <v>работали, строили город</v>
      </c>
      <c r="W513" s="6" t="str">
        <f>IFERROR(__xludf.DUMMYFUNCTION("""COMPUTED_VALUE"""),"хмурые")</f>
        <v>хмурые</v>
      </c>
      <c r="X513" s="6" t="str">
        <f>IFERROR(__xludf.DUMMYFUNCTION("""COMPUTED_VALUE"""),"Пр. Советский")</f>
        <v>Пр. Советский</v>
      </c>
      <c r="Y513" s="6" t="str">
        <f>IFERROR(__xludf.DUMMYFUNCTION("""COMPUTED_VALUE"""),"Чемпионат  по хоккею с мячом")</f>
        <v>Чемпионат  по хоккею с мячом</v>
      </c>
      <c r="Z513" s="6" t="str">
        <f>IFERROR(__xludf.DUMMYFUNCTION("""COMPUTED_VALUE"""),"Открытие монумента Памяти Шахтерам Кузбасса")</f>
        <v>Открытие монумента Памяти Шахтерам Кузбасса</v>
      </c>
      <c r="AA513" s="6" t="str">
        <f>IFERROR(__xludf.DUMMYFUNCTION("""COMPUTED_VALUE"""),"Не слежу за криминальной хроникой")</f>
        <v>Не слежу за криминальной хроникой</v>
      </c>
      <c r="AB513" s="6" t="str">
        <f>IFERROR(__xludf.DUMMYFUNCTION("""COMPUTED_VALUE"""),"не знаю")</f>
        <v>не знаю</v>
      </c>
      <c r="AC513" s="6" t="str">
        <f>IFERROR(__xludf.DUMMYFUNCTION("""COMPUTED_VALUE"""),"кинофестивали")</f>
        <v>кинофестивали</v>
      </c>
      <c r="AD51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13" s="6" t="str">
        <f>IFERROR(__xludf.DUMMYFUNCTION("""COMPUTED_VALUE"""),"Женский")</f>
        <v>Женский</v>
      </c>
      <c r="AF513" s="6" t="str">
        <f>IFERROR(__xludf.DUMMYFUNCTION("""COMPUTED_VALUE"""),"45-55")</f>
        <v>45-55</v>
      </c>
      <c r="AG513" s="6"/>
      <c r="AH513" s="6"/>
      <c r="AI513" s="6"/>
      <c r="AJ513" s="6"/>
      <c r="AK513" s="6"/>
      <c r="AL513" s="6"/>
      <c r="AM513" s="6"/>
    </row>
    <row r="514">
      <c r="A514" s="6">
        <v>513.0</v>
      </c>
      <c r="B514" s="6" t="str">
        <f>IFERROR(__xludf.DUMMYFUNCTION("""COMPUTED_VALUE"""),"Культура")</f>
        <v>Культура</v>
      </c>
      <c r="C514" s="6" t="str">
        <f>IFERROR(__xludf.DUMMYFUNCTION("""COMPUTED_VALUE"""),"Нет")</f>
        <v>Нет</v>
      </c>
      <c r="D514" s="6" t="str">
        <f>IFERROR(__xludf.DUMMYFUNCTION("""COMPUTED_VALUE"""),"Ленинский")</f>
        <v>Ленинский</v>
      </c>
      <c r="E514" s="6" t="str">
        <f>IFERROR(__xludf.DUMMYFUNCTION("""COMPUTED_VALUE"""),"Бульвар строителей")</f>
        <v>Бульвар строителей</v>
      </c>
      <c r="F514" s="6" t="str">
        <f>IFERROR(__xludf.DUMMYFUNCTION("""COMPUTED_VALUE"""),"Переехал сюда из другого места (откуда? укажите в графе другое), Кызыл ")</f>
        <v>Переехал сюда из другого места (откуда? укажите в графе другое), Кызыл </v>
      </c>
      <c r="G514" s="6" t="str">
        <f>IFERROR(__xludf.DUMMYFUNCTION("""COMPUTED_VALUE"""),"Езжу на дачу")</f>
        <v>Езжу на дачу</v>
      </c>
      <c r="H514" s="6" t="str">
        <f>IFERROR(__xludf.DUMMYFUNCTION("""COMPUTED_VALUE"""),"Деревня, серость, показуха")</f>
        <v>Деревня, серость, показуха</v>
      </c>
      <c r="I514" s="6" t="str">
        <f>IFERROR(__xludf.DUMMYFUNCTION("""COMPUTED_VALUE"""),"Волков")</f>
        <v>Волков</v>
      </c>
      <c r="J514" s="6" t="str">
        <f>IFERROR(__xludf.DUMMYFUNCTION("""COMPUTED_VALUE"""),"Михайлов")</f>
        <v>Михайлов</v>
      </c>
      <c r="K514" s="6" t="str">
        <f>IFERROR(__xludf.DUMMYFUNCTION("""COMPUTED_VALUE"""),"Томская Писаница ")</f>
        <v>Томская Писаница </v>
      </c>
      <c r="L514" s="6" t="str">
        <f>IFERROR(__xludf.DUMMYFUNCTION("""COMPUTED_VALUE"""),"Не знаю")</f>
        <v>Не знаю</v>
      </c>
      <c r="M514" s="6" t="str">
        <f>IFERROR(__xludf.DUMMYFUNCTION("""COMPUTED_VALUE"""),"Нет")</f>
        <v>Нет</v>
      </c>
      <c r="N514" s="6" t="str">
        <f>IFERROR(__xludf.DUMMYFUNCTION("""COMPUTED_VALUE"""),"Нет")</f>
        <v>Нет</v>
      </c>
      <c r="O514" s="6" t="str">
        <f>IFERROR(__xludf.DUMMYFUNCTION("""COMPUTED_VALUE"""),"Руководсво")</f>
        <v>Руководсво</v>
      </c>
      <c r="P514" s="6" t="str">
        <f>IFERROR(__xludf.DUMMYFUNCTION("""COMPUTED_VALUE"""),"Интернет")</f>
        <v>Интернет</v>
      </c>
      <c r="Q514" s="6" t="str">
        <f>IFERROR(__xludf.DUMMYFUNCTION("""COMPUTED_VALUE"""),"интервью с экспертами на разные темы (напишите в разделе Другое свои предложения)")</f>
        <v>интервью с экспертами на разные темы (напишите в разделе Другое свои предложения)</v>
      </c>
      <c r="R514" s="6" t="str">
        <f>IFERROR(__xludf.DUMMYFUNCTION("""COMPUTED_VALUE"""),"День шахтера")</f>
        <v>День шахтера</v>
      </c>
      <c r="S514" s="6" t="str">
        <f>IFERROR(__xludf.DUMMYFUNCTION("""COMPUTED_VALUE"""),"Нет, не приходилось")</f>
        <v>Нет, не приходилось</v>
      </c>
      <c r="T514" s="6" t="str">
        <f>IFERROR(__xludf.DUMMYFUNCTION("""COMPUTED_VALUE"""),"Тулеевым")</f>
        <v>Тулеевым</v>
      </c>
      <c r="U514" s="6" t="str">
        <f>IFERROR(__xludf.DUMMYFUNCTION("""COMPUTED_VALUE"""),"Набережная")</f>
        <v>Набережная</v>
      </c>
      <c r="V514" s="6" t="str">
        <f>IFERROR(__xludf.DUMMYFUNCTION("""COMPUTED_VALUE"""),"Ничего")</f>
        <v>Ничего</v>
      </c>
      <c r="W514" s="6" t="str">
        <f>IFERROR(__xludf.DUMMYFUNCTION("""COMPUTED_VALUE"""),"Хмурые")</f>
        <v>Хмурые</v>
      </c>
      <c r="X514" s="6" t="str">
        <f>IFERROR(__xludf.DUMMYFUNCTION("""COMPUTED_VALUE"""),"Не знаю")</f>
        <v>Не знаю</v>
      </c>
      <c r="Y514" s="6" t="str">
        <f>IFERROR(__xludf.DUMMYFUNCTION("""COMPUTED_VALUE"""),"Не знаю ")</f>
        <v>Не знаю </v>
      </c>
      <c r="Z514" s="6" t="str">
        <f>IFERROR(__xludf.DUMMYFUNCTION("""COMPUTED_VALUE"""),"Нет")</f>
        <v>Нет</v>
      </c>
      <c r="AA514" s="6" t="str">
        <f>IFERROR(__xludf.DUMMYFUNCTION("""COMPUTED_VALUE"""),"Маразм губернатора ")</f>
        <v>Маразм губернатора </v>
      </c>
      <c r="AB514" s="6" t="str">
        <f>IFERROR(__xludf.DUMMYFUNCTION("""COMPUTED_VALUE"""),"Никаких ")</f>
        <v>Никаких </v>
      </c>
      <c r="AC514" s="6" t="str">
        <f>IFERROR(__xludf.DUMMYFUNCTION("""COMPUTED_VALUE"""),"Не знаю")</f>
        <v>Не знаю</v>
      </c>
      <c r="AD51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14" s="6" t="str">
        <f>IFERROR(__xludf.DUMMYFUNCTION("""COMPUTED_VALUE"""),"Женский")</f>
        <v>Женский</v>
      </c>
      <c r="AF514" s="6" t="str">
        <f>IFERROR(__xludf.DUMMYFUNCTION("""COMPUTED_VALUE"""),"30-44")</f>
        <v>30-44</v>
      </c>
      <c r="AG514" s="6"/>
      <c r="AH514" s="6"/>
      <c r="AI514" s="6"/>
      <c r="AJ514" s="6"/>
      <c r="AK514" s="6"/>
      <c r="AL514" s="6"/>
      <c r="AM514" s="6"/>
    </row>
    <row r="515">
      <c r="A515" s="6">
        <v>514.0</v>
      </c>
      <c r="B515" s="6" t="str">
        <f>IFERROR(__xludf.DUMMYFUNCTION("""COMPUTED_VALUE"""),"Культура")</f>
        <v>Культура</v>
      </c>
      <c r="C515" s="6" t="str">
        <f>IFERROR(__xludf.DUMMYFUNCTION("""COMPUTED_VALUE"""),"Затрудняюсь с ответом")</f>
        <v>Затрудняюсь с ответом</v>
      </c>
      <c r="D515" s="6" t="str">
        <f>IFERROR(__xludf.DUMMYFUNCTION("""COMPUTED_VALUE"""),"Заводский")</f>
        <v>Заводский</v>
      </c>
      <c r="E515" s="6" t="str">
        <f>IFERROR(__xludf.DUMMYFUNCTION("""COMPUTED_VALUE"""),"Променад 3")</f>
        <v>Променад 3</v>
      </c>
      <c r="F515" s="6" t="str">
        <f>IFERROR(__xludf.DUMMYFUNCTION("""COMPUTED_VALUE"""),"Живу здесь с рождения")</f>
        <v>Живу здесь с рождения</v>
      </c>
      <c r="G515" s="6" t="str">
        <f>IFERROR(__xludf.DUMMYFUNCTION("""COMPUTED_VALUE"""),"В бар")</f>
        <v>В бар</v>
      </c>
      <c r="H515" s="6" t="str">
        <f>IFERROR(__xludf.DUMMYFUNCTION("""COMPUTED_VALUE"""),"Грязь, уныние, быдло, село, безденежье")</f>
        <v>Грязь, уныние, быдло, село, безденежье</v>
      </c>
      <c r="I515" s="6" t="str">
        <f>IFERROR(__xludf.DUMMYFUNCTION("""COMPUTED_VALUE"""),"Леонов, Михайлов, Волошина")</f>
        <v>Леонов, Михайлов, Волошина</v>
      </c>
      <c r="J515" s="6" t="str">
        <f>IFERROR(__xludf.DUMMYFUNCTION("""COMPUTED_VALUE"""),"Таких не знаю")</f>
        <v>Таких не знаю</v>
      </c>
      <c r="K515" s="6" t="str">
        <f>IFERROR(__xludf.DUMMYFUNCTION("""COMPUTED_VALUE"""),"Театр драмы")</f>
        <v>Театр драмы</v>
      </c>
      <c r="L515" s="6" t="str">
        <f>IFERROR(__xludf.DUMMYFUNCTION("""COMPUTED_VALUE"""),"Сгорел сарай, гори и хата")</f>
        <v>Сгорел сарай, гори и хата</v>
      </c>
      <c r="M515" s="6" t="str">
        <f>IFERROR(__xludf.DUMMYFUNCTION("""COMPUTED_VALUE"""),"Нет")</f>
        <v>Нет</v>
      </c>
      <c r="N515" s="6" t="str">
        <f>IFERROR(__xludf.DUMMYFUNCTION("""COMPUTED_VALUE"""),"Зарплата, жилье, отдых, чистота, добрые люди")</f>
        <v>Зарплата, жилье, отдых, чистота, добрые люди</v>
      </c>
      <c r="O515" s="6" t="str">
        <f>IFERROR(__xludf.DUMMYFUNCTION("""COMPUTED_VALUE"""),"Руководство")</f>
        <v>Руководство</v>
      </c>
      <c r="P515" s="6" t="str">
        <f>IFERROR(__xludf.DUMMYFUNCTION("""COMPUTED_VALUE"""),"Все42, сибдепо")</f>
        <v>Все42, сибдепо</v>
      </c>
      <c r="Q515" s="6" t="str">
        <f>IFERROR(__xludf.DUMMYFUNCTION("""COMPUTED_VALUE"""),"куда пойти в свободное время, культурные новинки (что почитать/что послушать), результаты местных исследований (рейтинги/аналитика/тенденции)")</f>
        <v>куда пойти в свободное время, культурные новинки (что почитать/что послушать), результаты местных исследований (рейтинги/аналитика/тенденции)</v>
      </c>
      <c r="R515" s="6" t="str">
        <f>IFERROR(__xludf.DUMMYFUNCTION("""COMPUTED_VALUE"""),"День города")</f>
        <v>День города</v>
      </c>
      <c r="S515" s="6" t="str">
        <f>IFERROR(__xludf.DUMMYFUNCTION("""COMPUTED_VALUE"""),"Нет, не приходилось")</f>
        <v>Нет, не приходилось</v>
      </c>
      <c r="T515" s="6" t="str">
        <f>IFERROR(__xludf.DUMMYFUNCTION("""COMPUTED_VALUE"""),"Зимняя вишня")</f>
        <v>Зимняя вишня</v>
      </c>
      <c r="U515" s="6" t="str">
        <f>IFERROR(__xludf.DUMMYFUNCTION("""COMPUTED_VALUE"""),"Главпочтам")</f>
        <v>Главпочтам</v>
      </c>
      <c r="V515" s="6" t="str">
        <f>IFERROR(__xludf.DUMMYFUNCTION("""COMPUTED_VALUE"""),"Не в курсе")</f>
        <v>Не в курсе</v>
      </c>
      <c r="W515" s="6" t="str">
        <f>IFERROR(__xludf.DUMMYFUNCTION("""COMPUTED_VALUE"""),"Человечные")</f>
        <v>Человечные</v>
      </c>
      <c r="X515" s="6" t="str">
        <f>IFERROR(__xludf.DUMMYFUNCTION("""COMPUTED_VALUE"""),"Набережная")</f>
        <v>Набережная</v>
      </c>
      <c r="Y515" s="6" t="str">
        <f>IFERROR(__xludf.DUMMYFUNCTION("""COMPUTED_VALUE"""),"Приезд Scorpions ")</f>
        <v>Приезд Scorpions </v>
      </c>
      <c r="Z515" s="6" t="str">
        <f>IFERROR(__xludf.DUMMYFUNCTION("""COMPUTED_VALUE"""),"Таких нет")</f>
        <v>Таких нет</v>
      </c>
      <c r="AA515" s="6" t="str">
        <f>IFERROR(__xludf.DUMMYFUNCTION("""COMPUTED_VALUE"""),"Новая администрация")</f>
        <v>Новая администрация</v>
      </c>
      <c r="AB515" s="6" t="str">
        <f>IFERROR(__xludf.DUMMYFUNCTION("""COMPUTED_VALUE"""),"Затрудняюсь ответить")</f>
        <v>Затрудняюсь ответить</v>
      </c>
      <c r="AC515" s="6" t="str">
        <f>IFERROR(__xludf.DUMMYFUNCTION("""COMPUTED_VALUE"""),"Культурных")</f>
        <v>Культурных</v>
      </c>
      <c r="AD515"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515" s="6" t="str">
        <f>IFERROR(__xludf.DUMMYFUNCTION("""COMPUTED_VALUE"""),"Мужской")</f>
        <v>Мужской</v>
      </c>
      <c r="AF515" s="6" t="str">
        <f>IFERROR(__xludf.DUMMYFUNCTION("""COMPUTED_VALUE"""),"30-44")</f>
        <v>30-44</v>
      </c>
      <c r="AG515" s="6"/>
      <c r="AH515" s="6"/>
      <c r="AI515" s="6"/>
      <c r="AJ515" s="6"/>
      <c r="AK515" s="6"/>
      <c r="AL515" s="6"/>
      <c r="AM515" s="6"/>
    </row>
    <row r="516">
      <c r="A516" s="6">
        <v>515.0</v>
      </c>
      <c r="B516" s="6" t="str">
        <f>IFERROR(__xludf.DUMMYFUNCTION("""COMPUTED_VALUE"""),"Работник дошкольного учреждениями")</f>
        <v>Работник дошкольного учреждениями</v>
      </c>
      <c r="C516" s="6" t="str">
        <f>IFERROR(__xludf.DUMMYFUNCTION("""COMPUTED_VALUE"""),"Вязание, лыжи")</f>
        <v>Вязание, лыжи</v>
      </c>
      <c r="D516" s="6" t="str">
        <f>IFERROR(__xludf.DUMMYFUNCTION("""COMPUTED_VALUE"""),"Ж. Р. Ягуновский")</f>
        <v>Ж. Р. Ягуновский</v>
      </c>
      <c r="E516" s="6" t="str">
        <f>IFERROR(__xludf.DUMMYFUNCTION("""COMPUTED_VALUE"""),"Замечательный парк и бор")</f>
        <v>Замечательный парк и бор</v>
      </c>
      <c r="F516" s="6" t="str">
        <f>IFERROR(__xludf.DUMMYFUNCTION("""COMPUTED_VALUE"""),"Родилась в Кемеровской области")</f>
        <v>Родилась в Кемеровской области</v>
      </c>
      <c r="G516" s="6" t="str">
        <f>IFERROR(__xludf.DUMMYFUNCTION("""COMPUTED_VALUE"""),"Парк Победы, ТРЦ")</f>
        <v>Парк Победы, ТРЦ</v>
      </c>
      <c r="H516" s="6" t="str">
        <f>IFERROR(__xludf.DUMMYFUNCTION("""COMPUTED_VALUE"""),"Волков, Аик, Красная Горка, Федоров")</f>
        <v>Волков, Аик, Красная Горка, Федоров</v>
      </c>
      <c r="I516" s="6" t="str">
        <f>IFERROR(__xludf.DUMMYFUNCTION("""COMPUTED_VALUE"""),"Леонов, Федоров, Бобров, Мартемьянов")</f>
        <v>Леонов, Федоров, Бобров, Мартемьянов</v>
      </c>
      <c r="J516" s="6" t="str">
        <f>IFERROR(__xludf.DUMMYFUNCTION("""COMPUTED_VALUE"""),"Сухацкий, Усков, Гендина")</f>
        <v>Сухацкий, Усков, Гендина</v>
      </c>
      <c r="K516" s="6" t="str">
        <f>IFERROR(__xludf.DUMMYFUNCTION("""COMPUTED_VALUE"""),"Сосновый бор")</f>
        <v>Сосновый бор</v>
      </c>
      <c r="L516" s="6" t="str">
        <f>IFERROR(__xludf.DUMMYFUNCTION("""COMPUTED_VALUE"""),"Кузбассить - работать самоотверженно, не считаясь со временем, во имя высокой иди")</f>
        <v>Кузбассить - работать самоотверженно, не считаясь со временем, во имя высокой иди</v>
      </c>
      <c r="M516" s="6" t="str">
        <f>IFERROR(__xludf.DUMMYFUNCTION("""COMPUTED_VALUE"""),"Нет")</f>
        <v>Нет</v>
      </c>
      <c r="N516" s="6" t="str">
        <f>IFERROR(__xludf.DUMMYFUNCTION("""COMPUTED_VALUE"""),"Парки, книги, доступная социальная инфраструктура, досуг, детские площадки")</f>
        <v>Парки, книги, доступная социальная инфраструктура, досуг, детские площадки</v>
      </c>
      <c r="O516" s="6" t="str">
        <f>IFERROR(__xludf.DUMMYFUNCTION("""COMPUTED_VALUE"""),"Помыть, отштукатурить здания со всех сторон, убрать авто от подъездов, ")</f>
        <v>Помыть, отштукатурить здания со всех сторон, убрать авто от подъездов, </v>
      </c>
      <c r="P516" s="6" t="str">
        <f>IFERROR(__xludf.DUMMYFUNCTION("""COMPUTED_VALUE"""),"В контакте страницы библиотек, музыкального театра, музеев")</f>
        <v>В контакте страницы библиотек, музыкального театра, музеев</v>
      </c>
      <c r="Q516" s="6" t="str">
        <f>IFERROR(__xludf.DUMMYFUNCTION("""COMPUTED_VALUE"""),"культурные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f>
        <v>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516" s="6" t="str">
        <f>IFERROR(__xludf.DUMMYFUNCTION("""COMPUTED_VALUE"""),"День города, день победы")</f>
        <v>День города, день победы</v>
      </c>
      <c r="S516" s="6" t="str">
        <f>IFERROR(__xludf.DUMMYFUNCTION("""COMPUTED_VALUE"""),"Нет, не приходилось")</f>
        <v>Нет, не приходилось</v>
      </c>
      <c r="T516" s="6" t="str">
        <f>IFERROR(__xludf.DUMMYFUNCTION("""COMPUTED_VALUE"""),"Архитектура, музеи")</f>
        <v>Архитектура, музеи</v>
      </c>
      <c r="U516" s="6" t="str">
        <f>IFERROR(__xludf.DUMMYFUNCTION("""COMPUTED_VALUE"""),"Площадь волкова")</f>
        <v>Площадь волкова</v>
      </c>
      <c r="V516" s="6" t="str">
        <f>IFERROR(__xludf.DUMMYFUNCTION("""COMPUTED_VALUE"""),"Строили и облагораживали, сохраняли историю, трудились")</f>
        <v>Строили и облагораживали, сохраняли историю, трудились</v>
      </c>
      <c r="W516" s="6" t="str">
        <f>IFERROR(__xludf.DUMMYFUNCTION("""COMPUTED_VALUE"""),"Как и все")</f>
        <v>Как и все</v>
      </c>
      <c r="X516" s="6" t="str">
        <f>IFERROR(__xludf.DUMMYFUNCTION("""COMPUTED_VALUE"""),"В район Красной горки")</f>
        <v>В район Красной горки</v>
      </c>
      <c r="Y516" s="6" t="str">
        <f>IFERROR(__xludf.DUMMYFUNCTION("""COMPUTED_VALUE"""),"Аик, ежегодный гоголь-фест")</f>
        <v>Аик, ежегодный гоголь-фест</v>
      </c>
      <c r="Z516" s="6" t="str">
        <f>IFERROR(__xludf.DUMMYFUNCTION("""COMPUTED_VALUE"""),"Масленица, день шахтера")</f>
        <v>Масленица, день шахтера</v>
      </c>
      <c r="AA516" s="6" t="str">
        <f>IFERROR(__xludf.DUMMYFUNCTION("""COMPUTED_VALUE"""),"Нету")</f>
        <v>Нету</v>
      </c>
      <c r="AB516" s="6" t="str">
        <f>IFERROR(__xludf.DUMMYFUNCTION("""COMPUTED_VALUE"""),"Всего хватает")</f>
        <v>Всего хватает</v>
      </c>
      <c r="AC516" s="6" t="str">
        <f>IFERROR(__xludf.DUMMYFUNCTION("""COMPUTED_VALUE"""),"Открытые литературные площадки, массовые спортивные")</f>
        <v>Открытые литературные площадки, массовые спортивные</v>
      </c>
      <c r="AD51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16" s="6" t="str">
        <f>IFERROR(__xludf.DUMMYFUNCTION("""COMPUTED_VALUE"""),"Женский")</f>
        <v>Женский</v>
      </c>
      <c r="AF516" s="6" t="str">
        <f>IFERROR(__xludf.DUMMYFUNCTION("""COMPUTED_VALUE"""),"45-55")</f>
        <v>45-55</v>
      </c>
      <c r="AG516" s="6"/>
      <c r="AH516" s="6"/>
      <c r="AI516" s="6"/>
      <c r="AJ516" s="6"/>
      <c r="AK516" s="6"/>
      <c r="AL516" s="6"/>
      <c r="AM516" s="6"/>
    </row>
    <row r="517">
      <c r="A517" s="6">
        <v>516.0</v>
      </c>
      <c r="B517" s="6" t="str">
        <f>IFERROR(__xludf.DUMMYFUNCTION("""COMPUTED_VALUE"""),"Бездельник")</f>
        <v>Бездельник</v>
      </c>
      <c r="C517" s="6" t="str">
        <f>IFERROR(__xludf.DUMMYFUNCTION("""COMPUTED_VALUE"""),"Вязание")</f>
        <v>Вязание</v>
      </c>
      <c r="D517" s="6" t="str">
        <f>IFERROR(__xludf.DUMMYFUNCTION("""COMPUTED_VALUE"""),"Рудник")</f>
        <v>Рудник</v>
      </c>
      <c r="E517" s="6" t="str">
        <f>IFERROR(__xludf.DUMMYFUNCTION("""COMPUTED_VALUE"""),"Ахахаха")</f>
        <v>Ахахаха</v>
      </c>
      <c r="F517" s="6" t="str">
        <f>IFERROR(__xludf.DUMMYFUNCTION("""COMPUTED_VALUE"""),"Живу здесь с рождения")</f>
        <v>Живу здесь с рождения</v>
      </c>
      <c r="G517" s="6" t="str">
        <f>IFERROR(__xludf.DUMMYFUNCTION("""COMPUTED_VALUE"""),"Театр, кци, кинотеатры")</f>
        <v>Театр, кци, кинотеатры</v>
      </c>
      <c r="H517" s="6" t="str">
        <f>IFERROR(__xludf.DUMMYFUNCTION("""COMPUTED_VALUE"""),"Маленький, деревня, бедный, зелёный, скучный")</f>
        <v>Маленький, деревня, бедный, зелёный, скучный</v>
      </c>
      <c r="I517" s="6" t="str">
        <f>IFERROR(__xludf.DUMMYFUNCTION("""COMPUTED_VALUE"""),"Геннадий Юров, Аман Гумирович Тулеев, Михайло Волков, Сергей Донбай")</f>
        <v>Геннадий Юров, Аман Гумирович Тулеев, Михайло Волков, Сергей Донбай</v>
      </c>
      <c r="J517" s="6" t="str">
        <f>IFERROR(__xludf.DUMMYFUNCTION("""COMPUTED_VALUE"""),"Аман Гумирович Тулеев")</f>
        <v>Аман Гумирович Тулеев</v>
      </c>
      <c r="K517" s="6" t="str">
        <f>IFERROR(__xludf.DUMMYFUNCTION("""COMPUTED_VALUE"""),"Фонтан, горсад, весенняя. Всё.")</f>
        <v>Фонтан, горсад, весенняя. Всё.</v>
      </c>
      <c r="L517" s="6" t="str">
        <f>IFERROR(__xludf.DUMMYFUNCTION("""COMPUTED_VALUE"""),"---")</f>
        <v>---</v>
      </c>
      <c r="M517" s="6" t="str">
        <f>IFERROR(__xludf.DUMMYFUNCTION("""COMPUTED_VALUE"""),"Кемчик, Кем, вместо Кемерово")</f>
        <v>Кемчик, Кем, вместо Кемерово</v>
      </c>
      <c r="N517" s="6" t="str">
        <f>IFERROR(__xludf.DUMMYFUNCTION("""COMPUTED_VALUE"""),"Чистый, с рабочими местами, доступное жилье, парки для выгула собак, комфортные библиотеки")</f>
        <v>Чистый, с рабочими местами, доступное жилье, парки для выгула собак, комфортные библиотеки</v>
      </c>
      <c r="O517" s="6" t="str">
        <f>IFERROR(__xludf.DUMMYFUNCTION("""COMPUTED_VALUE"""),"---")</f>
        <v>---</v>
      </c>
      <c r="P517" s="6" t="str">
        <f>IFERROR(__xludf.DUMMYFUNCTION("""COMPUTED_VALUE"""),"Большая проблема. Нет достоверных источников, всё через сарафанное радио, а так, чтобы всё в одном месте - нет. Только ИП размещают о себе инфу на порталах типо всё42, а муниципальные учреждения в пролёте, нет рекламы.")</f>
        <v>Большая проблема. Нет достоверных источников, всё через сарафанное радио, а так, чтобы всё в одном месте - нет. Только ИП размещают о себе инфу на порталах типо всё42, а муниципальные учреждения в пролёте, нет рекламы.</v>
      </c>
      <c r="Q517"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517" s="6" t="str">
        <f>IFERROR(__xludf.DUMMYFUNCTION("""COMPUTED_VALUE"""),"9 мая, день шахтёров, новый год")</f>
        <v>9 мая, день шахтёров, новый год</v>
      </c>
      <c r="S517" s="6" t="str">
        <f>IFERROR(__xludf.DUMMYFUNCTION("""COMPUTED_VALUE"""),"Нет, не приходилось")</f>
        <v>Нет, не приходилось</v>
      </c>
      <c r="T517" s="6" t="str">
        <f>IFERROR(__xludf.DUMMYFUNCTION("""COMPUTED_VALUE"""),"Знаменит тем, что в нем сгорела зимняя вишня. А ещё есть Знаменский собор.")</f>
        <v>Знаменит тем, что в нем сгорела зимняя вишня. А ещё есть Знаменский собор.</v>
      </c>
      <c r="U517" s="6" t="str">
        <f>IFERROR(__xludf.DUMMYFUNCTION("""COMPUTED_VALUE"""),"Весенняя, кци, фонтан у драмы")</f>
        <v>Весенняя, кци, фонтан у драмы</v>
      </c>
      <c r="V517" s="6" t="str">
        <f>IFERROR(__xludf.DUMMYFUNCTION("""COMPUTED_VALUE"""),"Построили заводы, добывали уголь, строили дома и дороги")</f>
        <v>Построили заводы, добывали уголь, строили дома и дороги</v>
      </c>
      <c r="W517" s="6" t="str">
        <f>IFERROR(__xludf.DUMMYFUNCTION("""COMPUTED_VALUE"""),"Терпеливые, трудолюбивые, умные")</f>
        <v>Терпеливые, трудолюбивые, умные</v>
      </c>
      <c r="X517" s="6" t="str">
        <f>IFERROR(__xludf.DUMMYFUNCTION("""COMPUTED_VALUE"""),"Он, в общем-то, один))) от весенней до драмы, затем до набережной к вечному огню, парк чудес, затем идём обратно по набережной, мимо Томи, орбита и театр для детей и молодежи, потом мимо филармонии, через площадь советов, затем по советскому до фонтана. К"&amp;"руг)")</f>
        <v>Он, в общем-то, один))) от весенней до драмы, затем до набережной к вечному огню, парк чудес, затем идём обратно по набережной, мимо Томи, орбита и театр для детей и молодежи, потом мимо филармонии, через площадь советов, затем по советскому до фонтана. Круг)</v>
      </c>
      <c r="Y517" s="6" t="str">
        <f>IFERROR(__xludf.DUMMYFUNCTION("""COMPUTED_VALUE"""),"300 Кузбасс))))")</f>
        <v>300 Кузбасс))))</v>
      </c>
      <c r="Z517" s="6" t="str">
        <f>IFERROR(__xludf.DUMMYFUNCTION("""COMPUTED_VALUE"""),"Сделали набережную на том берегу, и бульвар строителей красивый ")</f>
        <v>Сделали набережную на том берегу, и бульвар строителей красивый </v>
      </c>
      <c r="AA517" s="6" t="str">
        <f>IFERROR(__xludf.DUMMYFUNCTION("""COMPUTED_VALUE"""),"Зимняя Вишня!!! Маски в трамваях и на кассе - не законно! ")</f>
        <v>Зимняя Вишня!!! Маски в трамваях и на кассе - не законно! </v>
      </c>
      <c r="AB517" s="6" t="str">
        <f>IFERROR(__xludf.DUMMYFUNCTION("""COMPUTED_VALUE"""),"Хороший вопрос!!!! Очень хочется какой-нибудь женский клуб, чтобы организовывали события, мастер-классы, прото встречи. Чтобы можно было найти подруг и единомышленниц")</f>
        <v>Хороший вопрос!!!! Очень хочется какой-нибудь женский клуб, чтобы организовывали события, мастер-классы, прото встречи. Чтобы можно было найти подруг и единомышленниц</v>
      </c>
      <c r="AC517" s="6" t="str">
        <f>IFERROR(__xludf.DUMMYFUNCTION("""COMPUTED_VALUE"""),"Фестиваль какой-нибудь культурный... ")</f>
        <v>Фестиваль какой-нибудь культурный... </v>
      </c>
      <c r="AD51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17" s="6" t="str">
        <f>IFERROR(__xludf.DUMMYFUNCTION("""COMPUTED_VALUE"""),"Женский")</f>
        <v>Женский</v>
      </c>
      <c r="AF517" s="6" t="str">
        <f>IFERROR(__xludf.DUMMYFUNCTION("""COMPUTED_VALUE"""),"18-29")</f>
        <v>18-29</v>
      </c>
      <c r="AG517" s="6"/>
      <c r="AH517" s="6"/>
      <c r="AI517" s="6"/>
      <c r="AJ517" s="6"/>
      <c r="AK517" s="6"/>
      <c r="AL517" s="6"/>
      <c r="AM517" s="6"/>
    </row>
    <row r="518">
      <c r="A518" s="6">
        <v>517.0</v>
      </c>
      <c r="B518" s="6" t="str">
        <f>IFERROR(__xludf.DUMMYFUNCTION("""COMPUTED_VALUE"""),"Работаю библиотекарем")</f>
        <v>Работаю библиотекарем</v>
      </c>
      <c r="C518" s="6" t="str">
        <f>IFERROR(__xludf.DUMMYFUNCTION("""COMPUTED_VALUE"""),"Да. Работа с эпоксидной смолой(делаю украшения), декупаж, картины по номерам")</f>
        <v>Да. Работа с эпоксидной смолой(делаю украшения), декупаж, картины по номерам</v>
      </c>
      <c r="D518" s="6" t="str">
        <f>IFERROR(__xludf.DUMMYFUNCTION("""COMPUTED_VALUE"""),"Южный район. Называю: Южный")</f>
        <v>Южный район. Называю: Южный</v>
      </c>
      <c r="E518" s="6" t="str">
        <f>IFERROR(__xludf.DUMMYFUNCTION("""COMPUTED_VALUE"""),"Красная горка, парк Ангелов, Горсад, Драмтеатр ")</f>
        <v>Красная горка, парк Ангелов, Горсад, Драмтеатр </v>
      </c>
      <c r="F518" s="6" t="str">
        <f>IFERROR(__xludf.DUMMYFUNCTION("""COMPUTED_VALUE"""),"Живу здесь с рождения")</f>
        <v>Живу здесь с рождения</v>
      </c>
      <c r="G518" s="6" t="str">
        <f>IFERROR(__xludf.DUMMYFUNCTION("""COMPUTED_VALUE"""),"Гуляю в парке(в разных)")</f>
        <v>Гуляю в парке(в разных)</v>
      </c>
      <c r="H518" s="6" t="str">
        <f>IFERROR(__xludf.DUMMYFUNCTION("""COMPUTED_VALUE"""),"Угол, завод, лес, томь, дом")</f>
        <v>Угол, завод, лес, томь, дом</v>
      </c>
      <c r="I518" s="6" t="str">
        <f>IFERROR(__xludf.DUMMYFUNCTION("""COMPUTED_VALUE"""),"Федоров в.")</f>
        <v>Федоров в.</v>
      </c>
      <c r="J518" s="6" t="str">
        <f>IFERROR(__xludf.DUMMYFUNCTION("""COMPUTED_VALUE"""),"Наши родители")</f>
        <v>Наши родители</v>
      </c>
      <c r="K518" s="6" t="str">
        <f>IFERROR(__xludf.DUMMYFUNCTION("""COMPUTED_VALUE"""),"Памятник «Память шахтерам Кузбасса»")</f>
        <v>Памятник «Память шахтерам Кузбасса»</v>
      </c>
      <c r="L518" s="6" t="str">
        <f>IFERROR(__xludf.DUMMYFUNCTION("""COMPUTED_VALUE"""),"Беда никогда не приходит одна. Бесплатный сыр бывает только в мышеловке.")</f>
        <v>Беда никогда не приходит одна. Бесплатный сыр бывает только в мышеловке.</v>
      </c>
      <c r="M518" s="6" t="str">
        <f>IFERROR(__xludf.DUMMYFUNCTION("""COMPUTED_VALUE"""),"нет")</f>
        <v>нет</v>
      </c>
      <c r="N518" s="6" t="str">
        <f>IFERROR(__xludf.DUMMYFUNCTION("""COMPUTED_VALUE"""),"работа, зарплата достойная, хорошие дороги, чистый город, беречь природу")</f>
        <v>работа, зарплата достойная, хорошие дороги, чистый город, беречь природу</v>
      </c>
      <c r="O518" s="6" t="str">
        <f>IFERROR(__xludf.DUMMYFUNCTION("""COMPUTED_VALUE"""),"Должны появиться новые рабочие места")</f>
        <v>Должны появиться новые рабочие места</v>
      </c>
      <c r="P518" s="7" t="str">
        <f>IFERROR(__xludf.DUMMYFUNCTION("""COMPUTED_VALUE"""),"https://vk.com/typical_kmr")</f>
        <v>https://vk.com/typical_kmr</v>
      </c>
      <c r="Q518" s="6" t="str">
        <f>IFERROR(__xludf.DUMMYFUNCTION("""COMPUTED_VALUE"""),"где вкусно поесть/открытие новых кафе/ресторанов, культурные новинки (что почитать/что послушать),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(рейтинги/аналитика/т"&amp;"енденции)")</f>
        <v>где вкусно поесть/открытие новых кафе/ресторанов, культурные новинки (что почитать/что послушать),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518" s="6" t="str">
        <f>IFERROR(__xludf.DUMMYFUNCTION("""COMPUTED_VALUE"""),"Новый год, 8 марта, 23 февраля, пасха")</f>
        <v>Новый год, 8 марта, 23 февраля, пасха</v>
      </c>
      <c r="S518" s="6" t="str">
        <f>IFERROR(__xludf.DUMMYFUNCTION("""COMPUTED_VALUE"""),"Через социальные сети (Какие? Укажите в графе другое)")</f>
        <v>Через социальные сети (Какие? Укажите в графе другое)</v>
      </c>
      <c r="T518" s="6" t="str">
        <f>IFERROR(__xludf.DUMMYFUNCTION("""COMPUTED_VALUE"""),"Шахты, уголь, природа")</f>
        <v>Шахты, уголь, природа</v>
      </c>
      <c r="U518" s="6" t="str">
        <f>IFERROR(__xludf.DUMMYFUNCTION("""COMPUTED_VALUE"""),"Драмтеатр")</f>
        <v>Драмтеатр</v>
      </c>
      <c r="V518" s="6" t="str">
        <f>IFERROR(__xludf.DUMMYFUNCTION("""COMPUTED_VALUE"""),".")</f>
        <v>.</v>
      </c>
      <c r="W518" s="6" t="str">
        <f>IFERROR(__xludf.DUMMYFUNCTION("""COMPUTED_VALUE"""),".")</f>
        <v>.</v>
      </c>
      <c r="X518" s="6" t="str">
        <f>IFERROR(__xludf.DUMMYFUNCTION("""COMPUTED_VALUE"""),"Парк Ангелов, Парк Чудес, Красная горка")</f>
        <v>Парк Ангелов, Парк Чудес, Красная горка</v>
      </c>
      <c r="Y518" s="6" t="str">
        <f>IFERROR(__xludf.DUMMYFUNCTION("""COMPUTED_VALUE"""),".")</f>
        <v>.</v>
      </c>
      <c r="Z518" s="6" t="str">
        <f>IFERROR(__xludf.DUMMYFUNCTION("""COMPUTED_VALUE"""),".")</f>
        <v>.</v>
      </c>
      <c r="AA518" s="6" t="str">
        <f>IFERROR(__xludf.DUMMYFUNCTION("""COMPUTED_VALUE"""),"Карантин")</f>
        <v>Карантин</v>
      </c>
      <c r="AB518" s="6" t="str">
        <f>IFERROR(__xludf.DUMMYFUNCTION("""COMPUTED_VALUE"""),"Нужны места для досуга молодежи")</f>
        <v>Нужны места для досуга молодежи</v>
      </c>
      <c r="AC518" s="6" t="str">
        <f>IFERROR(__xludf.DUMMYFUNCTION("""COMPUTED_VALUE"""),"Нужны места для досуга молодежи")</f>
        <v>Нужны места для досуга молодежи</v>
      </c>
      <c r="AD51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18" s="6" t="str">
        <f>IFERROR(__xludf.DUMMYFUNCTION("""COMPUTED_VALUE"""),"Женский")</f>
        <v>Женский</v>
      </c>
      <c r="AF518" s="6" t="str">
        <f>IFERROR(__xludf.DUMMYFUNCTION("""COMPUTED_VALUE"""),"18-29")</f>
        <v>18-29</v>
      </c>
      <c r="AG518" s="6"/>
      <c r="AH518" s="6"/>
      <c r="AI518" s="6"/>
      <c r="AJ518" s="6"/>
      <c r="AK518" s="6"/>
      <c r="AL518" s="6"/>
      <c r="AM518" s="6"/>
    </row>
    <row r="519">
      <c r="A519" s="6">
        <v>518.0</v>
      </c>
      <c r="B519" s="6" t="str">
        <f>IFERROR(__xludf.DUMMYFUNCTION("""COMPUTED_VALUE"""),"работаю в сфере обслуживания")</f>
        <v>работаю в сфере обслуживания</v>
      </c>
      <c r="C519" s="6" t="str">
        <f>IFERROR(__xludf.DUMMYFUNCTION("""COMPUTED_VALUE"""),"чтение")</f>
        <v>чтение</v>
      </c>
      <c r="D519" s="6" t="str">
        <f>IFERROR(__xludf.DUMMYFUNCTION("""COMPUTED_VALUE"""),"Центральный")</f>
        <v>Центральный</v>
      </c>
      <c r="E519" s="6" t="str">
        <f>IFERROR(__xludf.DUMMYFUNCTION("""COMPUTED_VALUE"""),"Набережная")</f>
        <v>Набережная</v>
      </c>
      <c r="F519" s="6" t="str">
        <f>IFERROR(__xludf.DUMMYFUNCTION("""COMPUTED_VALUE"""),"Переехал сюда из другого места (откуда? укажите в графе другое), Красноярск")</f>
        <v>Переехал сюда из другого места (откуда? укажите в графе другое), Красноярск</v>
      </c>
      <c r="G519" s="6" t="str">
        <f>IFERROR(__xludf.DUMMYFUNCTION("""COMPUTED_VALUE"""),"на Набережную")</f>
        <v>на Набережную</v>
      </c>
      <c r="H519" s="6" t="str">
        <f>IFERROR(__xludf.DUMMYFUNCTION("""COMPUTED_VALUE"""),"затрудняюсь ответить")</f>
        <v>затрудняюсь ответить</v>
      </c>
      <c r="I519" s="6" t="str">
        <f>IFERROR(__xludf.DUMMYFUNCTION("""COMPUTED_VALUE"""),"Вера Волошина")</f>
        <v>Вера Волошина</v>
      </c>
      <c r="J519" s="6" t="str">
        <f>IFERROR(__xludf.DUMMYFUNCTION("""COMPUTED_VALUE"""),"Тулеев А. Г.")</f>
        <v>Тулеев А. Г.</v>
      </c>
      <c r="K519" s="6" t="str">
        <f>IFERROR(__xludf.DUMMYFUNCTION("""COMPUTED_VALUE"""),"музей ""Красная горка""")</f>
        <v>музей "Красная горка"</v>
      </c>
      <c r="L519" s="6" t="str">
        <f>IFERROR(__xludf.DUMMYFUNCTION("""COMPUTED_VALUE"""),"-")</f>
        <v>-</v>
      </c>
      <c r="M519" s="6" t="str">
        <f>IFERROR(__xludf.DUMMYFUNCTION("""COMPUTED_VALUE"""),"нет")</f>
        <v>нет</v>
      </c>
      <c r="N519" s="6" t="str">
        <f>IFERROR(__xludf.DUMMYFUNCTION("""COMPUTED_VALUE"""),"функциональность, красота, чистота, историческая памать")</f>
        <v>функциональность, красота, чистота, историческая памать</v>
      </c>
      <c r="O519" s="6" t="str">
        <f>IFERROR(__xludf.DUMMYFUNCTION("""COMPUTED_VALUE"""),"убраться на улицах города")</f>
        <v>убраться на улицах города</v>
      </c>
      <c r="P519" s="6" t="str">
        <f>IFERROR(__xludf.DUMMYFUNCTION("""COMPUTED_VALUE"""),"сми")</f>
        <v>сми</v>
      </c>
      <c r="Q519" s="6" t="str">
        <f>IFERROR(__xludf.DUMMYFUNCTION("""COMPUTED_VALUE"""),"интервью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v>
      </c>
      <c r="R519" s="6" t="str">
        <f>IFERROR(__xludf.DUMMYFUNCTION("""COMPUTED_VALUE"""),"День города")</f>
        <v>День города</v>
      </c>
      <c r="S519" s="6" t="str">
        <f>IFERROR(__xludf.DUMMYFUNCTION("""COMPUTED_VALUE"""),"Нет, не приходилось")</f>
        <v>Нет, не приходилось</v>
      </c>
      <c r="T519" s="6" t="str">
        <f>IFERROR(__xludf.DUMMYFUNCTION("""COMPUTED_VALUE"""),"не знаю")</f>
        <v>не знаю</v>
      </c>
      <c r="U519" s="6" t="str">
        <f>IFERROR(__xludf.DUMMYFUNCTION("""COMPUTED_VALUE"""),"площадь Советов")</f>
        <v>площадь Советов</v>
      </c>
      <c r="V519" s="6" t="str">
        <f>IFERROR(__xludf.DUMMYFUNCTION("""COMPUTED_VALUE"""),"хорошо работали")</f>
        <v>хорошо работали</v>
      </c>
      <c r="W519" s="6" t="str">
        <f>IFERROR(__xludf.DUMMYFUNCTION("""COMPUTED_VALUE"""),"разные")</f>
        <v>разные</v>
      </c>
      <c r="X519" s="6" t="str">
        <f>IFERROR(__xludf.DUMMYFUNCTION("""COMPUTED_VALUE"""),"не знаю")</f>
        <v>не знаю</v>
      </c>
      <c r="Y519" s="6" t="str">
        <f>IFERROR(__xludf.DUMMYFUNCTION("""COMPUTED_VALUE"""),"не знаю")</f>
        <v>не знаю</v>
      </c>
      <c r="Z519" s="6" t="str">
        <f>IFERROR(__xludf.DUMMYFUNCTION("""COMPUTED_VALUE"""),"открытие обновленного бульвара Строителей")</f>
        <v>открытие обновленного бульвара Строителей</v>
      </c>
      <c r="AA519" s="6" t="str">
        <f>IFERROR(__xludf.DUMMYFUNCTION("""COMPUTED_VALUE"""),"не знаю")</f>
        <v>не знаю</v>
      </c>
      <c r="AB519" s="6" t="str">
        <f>IFERROR(__xludf.DUMMYFUNCTION("""COMPUTED_VALUE"""),"всего достаточно")</f>
        <v>всего достаточно</v>
      </c>
      <c r="AC519" s="6" t="str">
        <f>IFERROR(__xludf.DUMMYFUNCTION("""COMPUTED_VALUE"""),"
фестивали")</f>
        <v>
фестивали</v>
      </c>
      <c r="AD51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19" s="6" t="str">
        <f>IFERROR(__xludf.DUMMYFUNCTION("""COMPUTED_VALUE"""),"Женский")</f>
        <v>Женский</v>
      </c>
      <c r="AF519" s="6" t="str">
        <f>IFERROR(__xludf.DUMMYFUNCTION("""COMPUTED_VALUE"""),"45-55")</f>
        <v>45-55</v>
      </c>
      <c r="AG519" s="6"/>
      <c r="AH519" s="6"/>
      <c r="AI519" s="6"/>
      <c r="AJ519" s="6"/>
      <c r="AK519" s="6"/>
      <c r="AL519" s="6"/>
      <c r="AM519" s="6"/>
    </row>
    <row r="520">
      <c r="A520" s="6">
        <v>519.0</v>
      </c>
      <c r="B520" s="6" t="str">
        <f>IFERROR(__xludf.DUMMYFUNCTION("""COMPUTED_VALUE"""),"Культура")</f>
        <v>Культура</v>
      </c>
      <c r="C520" s="6" t="str">
        <f>IFERROR(__xludf.DUMMYFUNCTION("""COMPUTED_VALUE"""),"Спорт")</f>
        <v>Спорт</v>
      </c>
      <c r="D520" s="6" t="str">
        <f>IFERROR(__xludf.DUMMYFUNCTION("""COMPUTED_VALUE"""),"Ленинский")</f>
        <v>Ленинский</v>
      </c>
      <c r="E520" s="6" t="str">
        <f>IFERROR(__xludf.DUMMYFUNCTION("""COMPUTED_VALUE"""),"Бульвар строителей")</f>
        <v>Бульвар строителей</v>
      </c>
      <c r="F520"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520" s="6" t="str">
        <f>IFERROR(__xludf.DUMMYFUNCTION("""COMPUTED_VALUE"""),"Сосноаый бор")</f>
        <v>Сосноаый бор</v>
      </c>
      <c r="H520" s="6" t="str">
        <f>IFERROR(__xludf.DUMMYFUNCTION("""COMPUTED_VALUE"""),"Деревенька моя")</f>
        <v>Деревенька моя</v>
      </c>
      <c r="I520" s="6" t="str">
        <f>IFERROR(__xludf.DUMMYFUNCTION("""COMPUTED_VALUE"""),"Леонов")</f>
        <v>Леонов</v>
      </c>
      <c r="J520" s="6" t="str">
        <f>IFERROR(__xludf.DUMMYFUNCTION("""COMPUTED_VALUE"""),"Михайлов")</f>
        <v>Михайлов</v>
      </c>
      <c r="K520" s="6" t="str">
        <f>IFERROR(__xludf.DUMMYFUNCTION("""COMPUTED_VALUE"""),"Красная горкаи")</f>
        <v>Красная горкаи</v>
      </c>
      <c r="L520" s="6" t="str">
        <f>IFERROR(__xludf.DUMMYFUNCTION("""COMPUTED_VALUE"""),"И в забой лтправился парень молодой")</f>
        <v>И в забой лтправился парень молодой</v>
      </c>
      <c r="M520" s="6" t="str">
        <f>IFERROR(__xludf.DUMMYFUNCTION("""COMPUTED_VALUE"""),"Если ф чо")</f>
        <v>Если ф чо</v>
      </c>
      <c r="N520" s="6" t="str">
        <f>IFERROR(__xludf.DUMMYFUNCTION("""COMPUTED_VALUE"""),"Транспорт, беговые дорожки, освещение, чистота, система проката")</f>
        <v>Транспорт, беговые дорожки, освещение, чистота, система проката</v>
      </c>
      <c r="O520" s="6" t="str">
        <f>IFERROR(__xludf.DUMMYFUNCTION("""COMPUTED_VALUE"""),"Хотелось бы чистоты в глроде")</f>
        <v>Хотелось бы чистоты в глроде</v>
      </c>
      <c r="P520" s="6" t="str">
        <f>IFERROR(__xludf.DUMMYFUNCTION("""COMPUTED_VALUE"""),"Интергет. Кемероао культурный")</f>
        <v>Интергет. Кемероао культурный</v>
      </c>
      <c r="Q520"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520" s="6" t="str">
        <f>IFERROR(__xludf.DUMMYFUNCTION("""COMPUTED_VALUE"""),"Масленица, день города")</f>
        <v>Масленица, день города</v>
      </c>
      <c r="S520" s="6" t="str">
        <f>IFERROR(__xludf.DUMMYFUNCTION("""COMPUTED_VALUE"""),"Нет, не приходилось")</f>
        <v>Нет, не приходилось</v>
      </c>
      <c r="T520" s="6" t="str">
        <f>IFERROR(__xludf.DUMMYFUNCTION("""COMPUTED_VALUE"""),"Шахты")</f>
        <v>Шахты</v>
      </c>
      <c r="U520" s="6" t="str">
        <f>IFERROR(__xludf.DUMMYFUNCTION("""COMPUTED_VALUE"""),"Центр города")</f>
        <v>Центр города</v>
      </c>
      <c r="V520" s="6" t="str">
        <f>IFERROR(__xludf.DUMMYFUNCTION("""COMPUTED_VALUE"""),"Нравится, что сейчас строится много  в культурном направленит")</f>
        <v>Нравится, что сейчас строится много  в культурном направленит</v>
      </c>
      <c r="W520" s="6" t="str">
        <f>IFERROR(__xludf.DUMMYFUNCTION("""COMPUTED_VALUE"""),"Обыкновенные, спящие")</f>
        <v>Обыкновенные, спящие</v>
      </c>
      <c r="X520" s="6" t="str">
        <f>IFERROR(__xludf.DUMMYFUNCTION("""COMPUTED_VALUE"""),"Лесная поляна, красная горка, томская писаница")</f>
        <v>Лесная поляна, красная горка, томская писаница</v>
      </c>
      <c r="Y520" s="6" t="str">
        <f>IFERROR(__xludf.DUMMYFUNCTION("""COMPUTED_VALUE"""),"Бассейн в ленинском районе")</f>
        <v>Бассейн в ленинском районе</v>
      </c>
      <c r="Z520" s="6" t="str">
        <f>IFERROR(__xludf.DUMMYFUNCTION("""COMPUTED_VALUE"""),"Праздник города")</f>
        <v>Праздник города</v>
      </c>
      <c r="AA520" s="6" t="str">
        <f>IFERROR(__xludf.DUMMYFUNCTION("""COMPUTED_VALUE"""),"Пожар в зимней вишне")</f>
        <v>Пожар в зимней вишне</v>
      </c>
      <c r="AB520" s="6" t="str">
        <f>IFERROR(__xludf.DUMMYFUNCTION("""COMPUTED_VALUE"""),"Затрудняюсь")</f>
        <v>Затрудняюсь</v>
      </c>
      <c r="AC520" s="6" t="str">
        <f>IFERROR(__xludf.DUMMYFUNCTION("""COMPUTED_VALUE"""),"Хочу аквапарк")</f>
        <v>Хочу аквапарк</v>
      </c>
      <c r="AD52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20" s="6" t="str">
        <f>IFERROR(__xludf.DUMMYFUNCTION("""COMPUTED_VALUE"""),"Женский")</f>
        <v>Женский</v>
      </c>
      <c r="AF520" s="6" t="str">
        <f>IFERROR(__xludf.DUMMYFUNCTION("""COMPUTED_VALUE"""),"старше 55")</f>
        <v>старше 55</v>
      </c>
      <c r="AG520" s="6"/>
      <c r="AH520" s="6"/>
      <c r="AI520" s="6"/>
      <c r="AJ520" s="6"/>
      <c r="AK520" s="6"/>
      <c r="AL520" s="6"/>
      <c r="AM520" s="6"/>
    </row>
    <row r="521">
      <c r="A521" s="6">
        <v>520.0</v>
      </c>
      <c r="B521" s="6" t="str">
        <f>IFERROR(__xludf.DUMMYFUNCTION("""COMPUTED_VALUE"""),"служащая")</f>
        <v>служащая</v>
      </c>
      <c r="C521" s="6" t="str">
        <f>IFERROR(__xludf.DUMMYFUNCTION("""COMPUTED_VALUE"""),"читаю бумажные книги")</f>
        <v>читаю бумажные книги</v>
      </c>
      <c r="D521" s="6" t="str">
        <f>IFERROR(__xludf.DUMMYFUNCTION("""COMPUTED_VALUE"""),"Южный")</f>
        <v>Южный</v>
      </c>
      <c r="E521" s="6" t="str">
        <f>IFERROR(__xludf.DUMMYFUNCTION("""COMPUTED_VALUE"""),"церковь Утоли моя печали")</f>
        <v>церковь Утоли моя печали</v>
      </c>
      <c r="F521" s="6" t="str">
        <f>IFERROR(__xludf.DUMMYFUNCTION("""COMPUTED_VALUE"""),"Живу здесь с рождения")</f>
        <v>Живу здесь с рождения</v>
      </c>
      <c r="G521" s="6" t="str">
        <f>IFERROR(__xludf.DUMMYFUNCTION("""COMPUTED_VALUE"""),"музей Красная горка")</f>
        <v>музей Красная горка</v>
      </c>
      <c r="H521" s="6" t="str">
        <f>IFERROR(__xludf.DUMMYFUNCTION("""COMPUTED_VALUE"""),"родной любимый мой славный вечерний")</f>
        <v>родной любимый мой славный вечерний</v>
      </c>
      <c r="I521" s="6" t="str">
        <f>IFERROR(__xludf.DUMMYFUNCTION("""COMPUTED_VALUE"""),"Рутгерс  Леонов Волков Бобров ")</f>
        <v>Рутгерс  Леонов Волков Бобров </v>
      </c>
      <c r="J521" s="6" t="str">
        <f>IFERROR(__xludf.DUMMYFUNCTION("""COMPUTED_VALUE"""),"Тулеев Мартемьянов")</f>
        <v>Тулеев Мартемьянов</v>
      </c>
      <c r="K521" s="6" t="str">
        <f>IFERROR(__xludf.DUMMYFUNCTION("""COMPUTED_VALUE"""),"Памятик шахтеру Знаменский собор")</f>
        <v>Памятик шахтеру Знаменский собор</v>
      </c>
      <c r="L521" s="6" t="str">
        <f>IFERROR(__xludf.DUMMYFUNCTION("""COMPUTED_VALUE"""),"Город убегающих людей, стремящихся к теплу и морю.")</f>
        <v>Город убегающих людей, стремящихся к теплу и морю.</v>
      </c>
      <c r="M521" s="6" t="str">
        <f>IFERROR(__xludf.DUMMYFUNCTION("""COMPUTED_VALUE"""),"нет")</f>
        <v>нет</v>
      </c>
      <c r="N521" s="6" t="str">
        <f>IFERROR(__xludf.DUMMYFUNCTION("""COMPUTED_VALUE"""),"чтоб маршрутки и автобусы ходили, как в советское время допоздна, освещенность, дружинники чтоб дежурили, пивнушек бы не было, алкоголь из магазинов убрали ")</f>
        <v>чтоб маршрутки и автобусы ходили, как в советское время допоздна, освещенность, дружинники чтоб дежурили, пивнушек бы не было, алкоголь из магазинов убрали </v>
      </c>
      <c r="O521" s="6" t="str">
        <f>IFERROR(__xludf.DUMMYFUNCTION("""COMPUTED_VALUE"""),"убрать пивнушки ")</f>
        <v>убрать пивнушки </v>
      </c>
      <c r="P521" s="6" t="str">
        <f>IFERROR(__xludf.DUMMYFUNCTION("""COMPUTED_VALUE"""),"яндекс новости")</f>
        <v>яндекс новости</v>
      </c>
      <c r="Q521" s="6" t="str">
        <f>IFERROR(__xludf.DUMMYFUNCTION("""COMPUTED_VALUE"""),"городская афиша (кино/театр/концерты), культурные новинки (что почитать/что послушать)")</f>
        <v>городская афиша (кино/театр/концерты), культурные новинки (что почитать/что послушать)</v>
      </c>
      <c r="R521" s="6" t="str">
        <f>IFERROR(__xludf.DUMMYFUNCTION("""COMPUTED_VALUE"""),"9 мая. день города, день шахтера")</f>
        <v>9 мая. день города, день шахтера</v>
      </c>
      <c r="S521" s="6" t="str">
        <f>IFERROR(__xludf.DUMMYFUNCTION("""COMPUTED_VALUE"""),"Нет, не приходилось")</f>
        <v>Нет, не приходилось</v>
      </c>
      <c r="T521" s="6" t="str">
        <f>IFERROR(__xludf.DUMMYFUNCTION("""COMPUTED_VALUE"""),"Леса Тайга рядом на лыжах")</f>
        <v>Леса Тайга рядом на лыжах</v>
      </c>
      <c r="U521" s="6" t="str">
        <f>IFERROR(__xludf.DUMMYFUNCTION("""COMPUTED_VALUE"""),"Красная горка")</f>
        <v>Красная горка</v>
      </c>
      <c r="V521" s="6" t="str">
        <f>IFERROR(__xludf.DUMMYFUNCTION("""COMPUTED_VALUE"""),"Построили город")</f>
        <v>Построили город</v>
      </c>
      <c r="W521" s="6" t="str">
        <f>IFERROR(__xludf.DUMMYFUNCTION("""COMPUTED_VALUE"""),"Работяшие добрые любят животных порядочные талантливые")</f>
        <v>Работяшие добрые любят животных порядочные талантливые</v>
      </c>
      <c r="X521" s="6" t="str">
        <f>IFERROR(__xludf.DUMMYFUNCTION("""COMPUTED_VALUE"""),"театр оперетты")</f>
        <v>театр оперетты</v>
      </c>
      <c r="Y521" s="6" t="str">
        <f>IFERROR(__xludf.DUMMYFUNCTION("""COMPUTED_VALUE"""),"Пожар в Зимней вишни")</f>
        <v>Пожар в Зимней вишни</v>
      </c>
      <c r="Z521" s="6" t="str">
        <f>IFERROR(__xludf.DUMMYFUNCTION("""COMPUTED_VALUE"""),"Парад победы 24 июня")</f>
        <v>Парад победы 24 июня</v>
      </c>
      <c r="AA521" s="6" t="str">
        <f>IFERROR(__xludf.DUMMYFUNCTION("""COMPUTED_VALUE"""),"Уничожают библиотеки")</f>
        <v>Уничожают библиотеки</v>
      </c>
      <c r="AB521" s="6" t="str">
        <f>IFERROR(__xludf.DUMMYFUNCTION("""COMPUTED_VALUE"""),"все хватает")</f>
        <v>все хватает</v>
      </c>
      <c r="AC521" s="6" t="str">
        <f>IFERROR(__xludf.DUMMYFUNCTION("""COMPUTED_VALUE"""),"бесплатные концерты возле филармонии")</f>
        <v>бесплатные концерты возле филармонии</v>
      </c>
      <c r="AD521" s="6" t="str">
        <f>IFERROR(__xludf.DUMMYFUNCTION("""COMPUTED_VALUE"""),"в качестве горожанина")</f>
        <v>в качестве горожанина</v>
      </c>
      <c r="AE521" s="6" t="str">
        <f>IFERROR(__xludf.DUMMYFUNCTION("""COMPUTED_VALUE"""),"Женский")</f>
        <v>Женский</v>
      </c>
      <c r="AF521" s="6" t="str">
        <f>IFERROR(__xludf.DUMMYFUNCTION("""COMPUTED_VALUE"""),"45-55")</f>
        <v>45-55</v>
      </c>
      <c r="AG521" s="6"/>
      <c r="AH521" s="6"/>
      <c r="AI521" s="6"/>
      <c r="AJ521" s="6"/>
      <c r="AK521" s="6"/>
      <c r="AL521" s="6"/>
      <c r="AM521" s="6"/>
    </row>
    <row r="522">
      <c r="A522" s="6">
        <v>521.0</v>
      </c>
      <c r="B522" s="6" t="str">
        <f>IFERROR(__xludf.DUMMYFUNCTION("""COMPUTED_VALUE"""),"Культура ")</f>
        <v>Культура </v>
      </c>
      <c r="C522" s="6" t="str">
        <f>IFERROR(__xludf.DUMMYFUNCTION("""COMPUTED_VALUE"""),"Вышивка")</f>
        <v>Вышивка</v>
      </c>
      <c r="D522" s="6" t="str">
        <f>IFERROR(__xludf.DUMMYFUNCTION("""COMPUTED_VALUE"""),"Центральный")</f>
        <v>Центральный</v>
      </c>
      <c r="E522" s="6" t="str">
        <f>IFERROR(__xludf.DUMMYFUNCTION("""COMPUTED_VALUE"""),"Комсомольский парк")</f>
        <v>Комсомольский парк</v>
      </c>
      <c r="F52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522" s="6" t="str">
        <f>IFERROR(__xludf.DUMMYFUNCTION("""COMPUTED_VALUE"""),"Парк")</f>
        <v>Парк</v>
      </c>
      <c r="H522" s="6" t="str">
        <f>IFERROR(__xludf.DUMMYFUNCTION("""COMPUTED_VALUE"""),"Грязь, мусор, деревня, стройка, грязный воздух")</f>
        <v>Грязь, мусор, деревня, стройка, грязный воздух</v>
      </c>
      <c r="I522" s="6" t="str">
        <f>IFERROR(__xludf.DUMMYFUNCTION("""COMPUTED_VALUE"""),"Леонов")</f>
        <v>Леонов</v>
      </c>
      <c r="J522" s="6" t="str">
        <f>IFERROR(__xludf.DUMMYFUNCTION("""COMPUTED_VALUE"""),"Михайлов")</f>
        <v>Михайлов</v>
      </c>
      <c r="K522" s="6" t="str">
        <f>IFERROR(__xludf.DUMMYFUNCTION("""COMPUTED_VALUE"""),"Сосновый бор")</f>
        <v>Сосновый бор</v>
      </c>
      <c r="L522" s="6" t="str">
        <f>IFERROR(__xludf.DUMMYFUNCTION("""COMPUTED_VALUE"""),"Тиши едешь никуда не приедешь")</f>
        <v>Тиши едешь никуда не приедешь</v>
      </c>
      <c r="M522" s="6" t="str">
        <f>IFERROR(__xludf.DUMMYFUNCTION("""COMPUTED_VALUE"""),"Человек из кемерова")</f>
        <v>Человек из кемерова</v>
      </c>
      <c r="N522" s="6" t="str">
        <f>IFERROR(__xludf.DUMMYFUNCTION("""COMPUTED_VALUE"""),"Чистота, чистый воздух, много парков, доступное жильё, достойная работа")</f>
        <v>Чистота, чистый воздух, много парков, доступное жильё, достойная работа</v>
      </c>
      <c r="O522" s="6" t="str">
        <f>IFERROR(__xludf.DUMMYFUNCTION("""COMPUTED_VALUE"""),"губернатора и мэра")</f>
        <v>губернатора и мэра</v>
      </c>
      <c r="P522" s="6" t="str">
        <f>IFERROR(__xludf.DUMMYFUNCTION("""COMPUTED_VALUE"""),"Интернет")</f>
        <v>Интернет</v>
      </c>
      <c r="Q522"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22" s="6" t="str">
        <f>IFERROR(__xludf.DUMMYFUNCTION("""COMPUTED_VALUE"""),"9мая")</f>
        <v>9мая</v>
      </c>
      <c r="S522" s="6" t="str">
        <f>IFERROR(__xludf.DUMMYFUNCTION("""COMPUTED_VALUE"""),"Нет, не приходилось")</f>
        <v>Нет, не приходилось</v>
      </c>
      <c r="T522" s="6" t="str">
        <f>IFERROR(__xludf.DUMMYFUNCTION("""COMPUTED_VALUE"""),"Зимняя вишня")</f>
        <v>Зимняя вишня</v>
      </c>
      <c r="U522" s="6" t="str">
        <f>IFERROR(__xludf.DUMMYFUNCTION("""COMPUTED_VALUE"""),"Площадь советов")</f>
        <v>Площадь советов</v>
      </c>
      <c r="V522" s="6" t="str">
        <f>IFERROR(__xludf.DUMMYFUNCTION("""COMPUTED_VALUE"""),"Нет")</f>
        <v>Нет</v>
      </c>
      <c r="W522" s="6" t="str">
        <f>IFERROR(__xludf.DUMMYFUNCTION("""COMPUTED_VALUE"""),"Добрые и злые")</f>
        <v>Добрые и злые</v>
      </c>
      <c r="X522" s="6" t="str">
        <f>IFERROR(__xludf.DUMMYFUNCTION("""COMPUTED_VALUE"""),"40т")</f>
        <v>40т</v>
      </c>
      <c r="Y522" s="6" t="str">
        <f>IFERROR(__xludf.DUMMYFUNCTION("""COMPUTED_VALUE"""),"Хокей с мячом")</f>
        <v>Хокей с мячом</v>
      </c>
      <c r="Z522" s="6" t="str">
        <f>IFERROR(__xludf.DUMMYFUNCTION("""COMPUTED_VALUE"""),"Нет таких")</f>
        <v>Нет таких</v>
      </c>
      <c r="AA522" s="6" t="str">
        <f>IFERROR(__xludf.DUMMYFUNCTION("""COMPUTED_VALUE"""),"Зимняя вишня")</f>
        <v>Зимняя вишня</v>
      </c>
      <c r="AB522" s="6" t="str">
        <f>IFERROR(__xludf.DUMMYFUNCTION("""COMPUTED_VALUE"""),"Профсоюзов которые правильные")</f>
        <v>Профсоюзов которые правильные</v>
      </c>
      <c r="AC522" s="6" t="str">
        <f>IFERROR(__xludf.DUMMYFUNCTION("""COMPUTED_VALUE"""),"Культурно-массовые")</f>
        <v>Культурно-массовые</v>
      </c>
      <c r="AD52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22" s="6" t="str">
        <f>IFERROR(__xludf.DUMMYFUNCTION("""COMPUTED_VALUE"""),"Женский")</f>
        <v>Женский</v>
      </c>
      <c r="AF522" s="6" t="str">
        <f>IFERROR(__xludf.DUMMYFUNCTION("""COMPUTED_VALUE"""),"30-44")</f>
        <v>30-44</v>
      </c>
      <c r="AG522" s="6"/>
      <c r="AH522" s="6"/>
      <c r="AI522" s="6"/>
      <c r="AJ522" s="6"/>
      <c r="AK522" s="6"/>
      <c r="AL522" s="6"/>
      <c r="AM522" s="6"/>
    </row>
    <row r="523">
      <c r="A523" s="6">
        <v>522.0</v>
      </c>
      <c r="B523" s="6" t="str">
        <f>IFERROR(__xludf.DUMMYFUNCTION("""COMPUTED_VALUE"""),"общественная деятельность")</f>
        <v>общественная деятельность</v>
      </c>
      <c r="C523" s="6" t="str">
        <f>IFERROR(__xludf.DUMMYFUNCTION("""COMPUTED_VALUE"""),"искусство")</f>
        <v>искусство</v>
      </c>
      <c r="D523" s="6" t="str">
        <f>IFERROR(__xludf.DUMMYFUNCTION("""COMPUTED_VALUE"""),"Центральный (центр)")</f>
        <v>Центральный (центр)</v>
      </c>
      <c r="E523" s="6" t="str">
        <f>IFERROR(__xludf.DUMMYFUNCTION("""COMPUTED_VALUE"""),"Памятник Волкову")</f>
        <v>Памятник Волкову</v>
      </c>
      <c r="F523" s="6" t="str">
        <f>IFERROR(__xludf.DUMMYFUNCTION("""COMPUTED_VALUE"""),"Живу здесь с рождения")</f>
        <v>Живу здесь с рождения</v>
      </c>
      <c r="G523" s="6" t="str">
        <f>IFERROR(__xludf.DUMMYFUNCTION("""COMPUTED_VALUE"""),"у меня нет свободного времени")</f>
        <v>у меня нет свободного времени</v>
      </c>
      <c r="H523" s="6" t="str">
        <f>IFERROR(__xludf.DUMMYFUNCTION("""COMPUTED_VALUE"""),"сугробы, грязь, холод, хрущевки, общаги")</f>
        <v>сугробы, грязь, холод, хрущевки, общаги</v>
      </c>
      <c r="I523" s="6" t="str">
        <f>IFERROR(__xludf.DUMMYFUNCTION("""COMPUTED_VALUE"""),"Михайло Волков, Двужильный Юрий Михайлович, Вера Волошина, Заузелков Виктор Мартемьянов Владимир")</f>
        <v>Михайло Волков, Двужильный Юрий Михайлович, Вера Волошина, Заузелков Виктор Мартемьянов Владимир</v>
      </c>
      <c r="J523" s="6" t="str">
        <f>IFERROR(__xludf.DUMMYFUNCTION("""COMPUTED_VALUE"""),"Тюшина Екатерина")</f>
        <v>Тюшина Екатерина</v>
      </c>
      <c r="K523" s="6" t="str">
        <f>IFERROR(__xludf.DUMMYFUNCTION("""COMPUTED_VALUE"""),"Кировский")</f>
        <v>Кировский</v>
      </c>
      <c r="L523" s="6" t="str">
        <f>IFERROR(__xludf.DUMMYFUNCTION("""COMPUTED_VALUE"""),"Не знаю таких")</f>
        <v>Не знаю таких</v>
      </c>
      <c r="M523" s="6" t="str">
        <f>IFERROR(__xludf.DUMMYFUNCTION("""COMPUTED_VALUE"""),"Не знаю таких")</f>
        <v>Не знаю таких</v>
      </c>
      <c r="N523" s="6" t="str">
        <f>IFERROR(__xludf.DUMMYFUNCTION("""COMPUTED_VALUE"""),"Не знаю таких")</f>
        <v>Не знаю таких</v>
      </c>
      <c r="O523" s="6" t="str">
        <f>IFERROR(__xludf.DUMMYFUNCTION("""COMPUTED_VALUE"""),"Избавиться от общежитий на главных улицах")</f>
        <v>Избавиться от общежитий на главных улицах</v>
      </c>
      <c r="P523" s="6" t="str">
        <f>IFERROR(__xludf.DUMMYFUNCTION("""COMPUTED_VALUE"""),"от Кати")</f>
        <v>от Кати</v>
      </c>
      <c r="Q523" s="6" t="str">
        <f>IFERROR(__xludf.DUMMYFUNCTION("""COMPUTED_VALUE"""),"криминальные новости (происшествия/преступления)")</f>
        <v>криминальные новости (происшествия/преступления)</v>
      </c>
      <c r="R523" s="6" t="str">
        <f>IFERROR(__xludf.DUMMYFUNCTION("""COMPUTED_VALUE"""),"Хватит уже праздников")</f>
        <v>Хватит уже праздников</v>
      </c>
      <c r="S523" s="6" t="str">
        <f>IFERROR(__xludf.DUMMYFUNCTION("""COMPUTED_VALUE"""),"Писал и расклеивал объявления/афиши, Делал рассылку по электронной почте")</f>
        <v>Писал и расклеивал объявления/афиши, Делал рассылку по электронной почте</v>
      </c>
      <c r="T523" s="6" t="str">
        <f>IFERROR(__xludf.DUMMYFUNCTION("""COMPUTED_VALUE"""),"пожары, угледобыча, низкий уровень культуры")</f>
        <v>пожары, угледобыча, низкий уровень культуры</v>
      </c>
      <c r="U523" s="6" t="str">
        <f>IFERROR(__xludf.DUMMYFUNCTION("""COMPUTED_VALUE"""),"памятник Волкову, Тарелка.")</f>
        <v>памятник Волкову, Тарелка.</v>
      </c>
      <c r="V523" s="6" t="str">
        <f>IFERROR(__xludf.DUMMYFUNCTION("""COMPUTED_VALUE"""),"угледобыча, хим. промышленность")</f>
        <v>угледобыча, хим. промышленность</v>
      </c>
      <c r="W523" s="6" t="str">
        <f>IFERROR(__xludf.DUMMYFUNCTION("""COMPUTED_VALUE"""),"решительность, безапеляционность итд")</f>
        <v>решительность, безапеляционность итд</v>
      </c>
      <c r="X523" s="6" t="str">
        <f>IFERROR(__xludf.DUMMYFUNCTION("""COMPUTED_VALUE"""),"Кировский -  д. Пьяново - с. Кабаново")</f>
        <v>Кировский -  д. Пьяново - с. Кабаново</v>
      </c>
      <c r="Y523" s="6" t="str">
        <f>IFERROR(__xludf.DUMMYFUNCTION("""COMPUTED_VALUE"""),"открытие угольного бассеина, развитие хим промышленности")</f>
        <v>открытие угольного бассеина, развитие хим промышленности</v>
      </c>
      <c r="Z523" s="6" t="str">
        <f>IFERROR(__xludf.DUMMYFUNCTION("""COMPUTED_VALUE"""),"никаких")</f>
        <v>никаких</v>
      </c>
      <c r="AA523" s="6" t="str">
        <f>IFERROR(__xludf.DUMMYFUNCTION("""COMPUTED_VALUE"""),"пожар")</f>
        <v>пожар</v>
      </c>
      <c r="AB523" s="6" t="str">
        <f>IFERROR(__xludf.DUMMYFUNCTION("""COMPUTED_VALUE"""),"радиокружка для детей")</f>
        <v>радиокружка для детей</v>
      </c>
      <c r="AC523" s="6" t="str">
        <f>IFERROR(__xludf.DUMMYFUNCTION("""COMPUTED_VALUE"""),"У нас итак очень интересная жизнь")</f>
        <v>У нас итак очень интересная жизнь</v>
      </c>
      <c r="AD523" s="6" t="str">
        <f>IFERROR(__xludf.DUMMYFUNCTION("""COMPUTED_VALUE"""),"Не готов принимать личное участие (укажите, пожалуйста, причину в поле «Другое»), нет свободного времени (много работаю)")</f>
        <v>Не готов принимать личное участие (укажите, пожалуйста, причину в поле «Другое»), нет свободного времени (много работаю)</v>
      </c>
      <c r="AE523" s="6" t="str">
        <f>IFERROR(__xludf.DUMMYFUNCTION("""COMPUTED_VALUE"""),"Мужской")</f>
        <v>Мужской</v>
      </c>
      <c r="AF523" s="6" t="str">
        <f>IFERROR(__xludf.DUMMYFUNCTION("""COMPUTED_VALUE"""),"30-44")</f>
        <v>30-44</v>
      </c>
      <c r="AG523" s="6"/>
      <c r="AH523" s="6"/>
      <c r="AI523" s="6"/>
      <c r="AJ523" s="6"/>
      <c r="AK523" s="6"/>
      <c r="AL523" s="6"/>
      <c r="AM523" s="6"/>
    </row>
    <row r="524">
      <c r="A524" s="6">
        <v>523.0</v>
      </c>
      <c r="B524" s="6" t="str">
        <f>IFERROR(__xludf.DUMMYFUNCTION("""COMPUTED_VALUE"""),"Служащий")</f>
        <v>Служащий</v>
      </c>
      <c r="C524" s="6" t="str">
        <f>IFERROR(__xludf.DUMMYFUNCTION("""COMPUTED_VALUE"""),"Чтение")</f>
        <v>Чтение</v>
      </c>
      <c r="D524" s="6" t="str">
        <f>IFERROR(__xludf.DUMMYFUNCTION("""COMPUTED_VALUE"""),"Кировский")</f>
        <v>Кировский</v>
      </c>
      <c r="E524" s="6" t="str">
        <f>IFERROR(__xludf.DUMMYFUNCTION("""COMPUTED_VALUE"""),"Набережная, часовня Александра Невского")</f>
        <v>Набережная, часовня Александра Невского</v>
      </c>
      <c r="F524" s="6" t="str">
        <f>IFERROR(__xludf.DUMMYFUNCTION("""COMPUTED_VALUE"""),"Живу здесь с рождения")</f>
        <v>Живу здесь с рождения</v>
      </c>
      <c r="G524" s="6" t="str">
        <f>IFERROR(__xludf.DUMMYFUNCTION("""COMPUTED_VALUE"""),"Набережная района и города, парк чудес, Сосновый бор, памятник шахтёрам Э. Неизвестного, святая Варвара")</f>
        <v>Набережная района и города, парк чудес, Сосновый бор, памятник шахтёрам Э. Неизвестного, святая Варвара</v>
      </c>
      <c r="H524" s="6" t="str">
        <f>IFERROR(__xludf.DUMMYFUNCTION("""COMPUTED_VALUE"""),"Любимый, родной, светлый, теплый, чистый")</f>
        <v>Любимый, родной, светлый, теплый, чистый</v>
      </c>
      <c r="I524" s="6" t="str">
        <f>IFERROR(__xludf.DUMMYFUNCTION("""COMPUTED_VALUE"""),"Волков, Леонов, Подгорбунский, Александров")</f>
        <v>Волков, Леонов, Подгорбунский, Александров</v>
      </c>
      <c r="J524" s="6" t="str">
        <f>IFERROR(__xludf.DUMMYFUNCTION("""COMPUTED_VALUE"""),"Михайлов, Тулеев, Малышева")</f>
        <v>Михайлов, Тулеев, Малышева</v>
      </c>
      <c r="K524" s="6" t="str">
        <f>IFERROR(__xludf.DUMMYFUNCTION("""COMPUTED_VALUE"""),"Набережная района и города, парк чудес, Сосновый бор, памятник шахтёрам Э. Неизвестного, святая Варвара, Томская писаница, парк Ангелов")</f>
        <v>Набережная района и города, парк чудес, Сосновый бор, памятник шахтёрам Э. Неизвестного, святая Варвара, Томская писаница, парк Ангелов</v>
      </c>
      <c r="L524" s="6" t="str">
        <f>IFERROR(__xludf.DUMMYFUNCTION("""COMPUTED_VALUE"""),"Не помню")</f>
        <v>Не помню</v>
      </c>
      <c r="M524" s="6" t="str">
        <f>IFERROR(__xludf.DUMMYFUNCTION("""COMPUTED_VALUE"""),"Нет")</f>
        <v>Нет</v>
      </c>
      <c r="N524" s="6" t="str">
        <f>IFERROR(__xludf.DUMMYFUNCTION("""COMPUTED_VALUE"""),"Транспортная доступность, ЖКХ, наличие рабочих мест, ремонт фасадов домов, культура поведения горожан")</f>
        <v>Транспортная доступность, ЖКХ, наличие рабочих мест, ремонт фасадов домов, культура поведения горожан</v>
      </c>
      <c r="O524" s="6" t="str">
        <f>IFERROR(__xludf.DUMMYFUNCTION("""COMPUTED_VALUE"""),"Нет ответа")</f>
        <v>Нет ответа</v>
      </c>
      <c r="P524" s="6" t="str">
        <f>IFERROR(__xludf.DUMMYFUNCTION("""COMPUTED_VALUE"""),"Инстаграм, сайты администрации города, театров, кино, Афиша 42")</f>
        <v>Инстаграм, сайты администрации города, театров, кино, Афиша 42</v>
      </c>
      <c r="Q52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24" s="6" t="str">
        <f>IFERROR(__xludf.DUMMYFUNCTION("""COMPUTED_VALUE"""),"День города, 9 мая")</f>
        <v>День города, 9 мая</v>
      </c>
      <c r="S524" s="6" t="str">
        <f>IFERROR(__xludf.DUMMYFUNCTION("""COMPUTED_VALUE"""),"Нет, не приходилось")</f>
        <v>Нет, не приходилось</v>
      </c>
      <c r="T524" s="6" t="str">
        <f>IFERROR(__xludf.DUMMYFUNCTION("""COMPUTED_VALUE"""),"Не знаю")</f>
        <v>Не знаю</v>
      </c>
      <c r="U524" s="6" t="str">
        <f>IFERROR(__xludf.DUMMYFUNCTION("""COMPUTED_VALUE"""),"Площадь Советов")</f>
        <v>Площадь Советов</v>
      </c>
      <c r="V524" s="6" t="str">
        <f>IFERROR(__xludf.DUMMYFUNCTION("""COMPUTED_VALUE"""),"Сосновый бор остался прежним, музей Красная горка обновляется")</f>
        <v>Сосновый бор остался прежним, музей Красная горка обновляется</v>
      </c>
      <c r="W524" s="6" t="str">
        <f>IFERROR(__xludf.DUMMYFUNCTION("""COMPUTED_VALUE"""),"Оптимизм, вера в хорошее будущее")</f>
        <v>Оптимизм, вера в хорошее будущее</v>
      </c>
      <c r="X524" s="6" t="str">
        <f>IFERROR(__xludf.DUMMYFUNCTION("""COMPUTED_VALUE"""),"Красная горка, Э. Неизвестный, Варвара, Сосновый бор, парк чудес, набережная")</f>
        <v>Красная горка, Э. Неизвестный, Варвара, Сосновый бор, парк чудес, набережная</v>
      </c>
      <c r="Y524" s="6" t="str">
        <f>IFERROR(__xludf.DUMMYFUNCTION("""COMPUTED_VALUE"""),"АИК")</f>
        <v>АИК</v>
      </c>
      <c r="Z524" s="6" t="str">
        <f>IFERROR(__xludf.DUMMYFUNCTION("""COMPUTED_VALUE"""),"День города, 9 мая")</f>
        <v>День города, 9 мая</v>
      </c>
      <c r="AA524" s="6" t="str">
        <f>IFERROR(__xludf.DUMMYFUNCTION("""COMPUTED_VALUE"""),"Нет")</f>
        <v>Нет</v>
      </c>
      <c r="AB524" s="6" t="str">
        <f>IFERROR(__xludf.DUMMYFUNCTION("""COMPUTED_VALUE"""),"Нет")</f>
        <v>Нет</v>
      </c>
      <c r="AC524" s="6" t="str">
        <f>IFERROR(__xludf.DUMMYFUNCTION("""COMPUTED_VALUE"""),"Не знаю")</f>
        <v>Не знаю</v>
      </c>
      <c r="AD52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24" s="6" t="str">
        <f>IFERROR(__xludf.DUMMYFUNCTION("""COMPUTED_VALUE"""),"Женский")</f>
        <v>Женский</v>
      </c>
      <c r="AF524" s="6" t="str">
        <f>IFERROR(__xludf.DUMMYFUNCTION("""COMPUTED_VALUE"""),"45-55")</f>
        <v>45-55</v>
      </c>
      <c r="AG524" s="6"/>
      <c r="AH524" s="6"/>
      <c r="AI524" s="6"/>
      <c r="AJ524" s="6"/>
      <c r="AK524" s="6"/>
      <c r="AL524" s="6"/>
      <c r="AM524" s="6"/>
    </row>
    <row r="525">
      <c r="A525" s="6">
        <v>524.0</v>
      </c>
      <c r="B525" s="6" t="str">
        <f>IFERROR(__xludf.DUMMYFUNCTION("""COMPUTED_VALUE"""),"Научная деятельность")</f>
        <v>Научная деятельность</v>
      </c>
      <c r="C525" s="6" t="str">
        <f>IFERROR(__xludf.DUMMYFUNCTION("""COMPUTED_VALUE"""),"Нет")</f>
        <v>Нет</v>
      </c>
      <c r="D525" s="6" t="str">
        <f>IFERROR(__xludf.DUMMYFUNCTION("""COMPUTED_VALUE"""),"Центр")</f>
        <v>Центр</v>
      </c>
      <c r="E525" s="6" t="str">
        <f>IFERROR(__xludf.DUMMYFUNCTION("""COMPUTED_VALUE"""),"Памятник Петру и Февронии, Храм, парк Антошка, Цирк.")</f>
        <v>Памятник Петру и Февронии, Храм, парк Антошка, Цирк.</v>
      </c>
      <c r="F525" s="6" t="str">
        <f>IFERROR(__xludf.DUMMYFUNCTION("""COMPUTED_VALUE"""),"Переехал сюда из другого места (откуда? укажите в графе другое), Хабаровск")</f>
        <v>Переехал сюда из другого места (откуда? укажите в графе другое), Хабаровск</v>
      </c>
      <c r="G525" s="6" t="str">
        <f>IFERROR(__xludf.DUMMYFUNCTION("""COMPUTED_VALUE"""),"Набережная, Лесная Поляна, Сосновый Бор, У Петровича, Театр и музеи.")</f>
        <v>Набережная, Лесная Поляна, Сосновый Бор, У Петровича, Театр и музеи.</v>
      </c>
      <c r="H525" s="6" t="str">
        <f>IFERROR(__xludf.DUMMYFUNCTION("""COMPUTED_VALUE"""),"Дым (невыносимый запах гари), туман,  ямы на дорогах, уголь, Кардиоцентр.")</f>
        <v>Дым (невыносимый запах гари), туман,  ямы на дорогах, уголь, Кардиоцентр.</v>
      </c>
      <c r="I525" s="6" t="str">
        <f>IFERROR(__xludf.DUMMYFUNCTION("""COMPUTED_VALUE"""),"Не знаю")</f>
        <v>Не знаю</v>
      </c>
      <c r="J525" s="6" t="str">
        <f>IFERROR(__xludf.DUMMYFUNCTION("""COMPUTED_VALUE"""),"Тулеев, Семья Барбараш")</f>
        <v>Тулеев, Семья Барбараш</v>
      </c>
      <c r="K525" s="6" t="str">
        <f>IFERROR(__xludf.DUMMYFUNCTION("""COMPUTED_VALUE"""),"Ёлка (дорогая), Лесная Поляна, Набережная, ")</f>
        <v>Ёлка (дорогая), Лесная Поляна, Набережная, </v>
      </c>
      <c r="L525" s="6" t="str">
        <f>IFERROR(__xludf.DUMMYFUNCTION("""COMPUTED_VALUE"""),"Нет таких")</f>
        <v>Нет таких</v>
      </c>
      <c r="M525" s="6" t="str">
        <f>IFERROR(__xludf.DUMMYFUNCTION("""COMPUTED_VALUE"""),"Нет")</f>
        <v>Нет</v>
      </c>
      <c r="N525" s="6" t="str">
        <f>IFERROR(__xludf.DUMMYFUNCTION("""COMPUTED_VALUE"""),"Экология, дороги, достойная оплата труда, озеленение, объекты культуры, созданы условия для труда и самореализации, творчества и спорта ")</f>
        <v>Экология, дороги, достойная оплата труда, озеленение, объекты культуры, созданы условия для труда и самореализации, творчества и спорта </v>
      </c>
      <c r="O525" s="6" t="str">
        <f>IFERROR(__xludf.DUMMYFUNCTION("""COMPUTED_VALUE"""),"Экология, система здравоохранения, развитие инфраструктуры в т.ч. транспортная, коммунальная. ")</f>
        <v>Экология, система здравоохранения, развитие инфраструктуры в т.ч. транспортная, коммунальная. </v>
      </c>
      <c r="P525" s="6" t="str">
        <f>IFERROR(__xludf.DUMMYFUNCTION("""COMPUTED_VALUE"""),"От жены")</f>
        <v>От жены</v>
      </c>
      <c r="Q52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 Пробки, Погода, уровень загрязнение воздуха, сводка ореоштаба по болезням ( ковид, вич, ссз)")</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Пробки, Погода, уровень загрязнение воздуха, сводка ореоштаба по болезням ( ковид, вич, ссз)</v>
      </c>
      <c r="R525" s="6" t="str">
        <f>IFERROR(__xludf.DUMMYFUNCTION("""COMPUTED_VALUE"""),"9 мая, Новый год, Масленица, День семьи любви и верности, День России.")</f>
        <v>9 мая, Новый год, Масленица, День семьи любви и верности, День России.</v>
      </c>
      <c r="S525" s="6" t="str">
        <f>IFERROR(__xludf.DUMMYFUNCTION("""COMPUTED_VALUE"""),"Нет, не приходилось")</f>
        <v>Нет, не приходилось</v>
      </c>
      <c r="T525" s="6" t="str">
        <f>IFERROR(__xludf.DUMMYFUNCTION("""COMPUTED_VALUE"""),"Угольная промышленность, промышленный туризм.")</f>
        <v>Угольная промышленность, промышленный туризм.</v>
      </c>
      <c r="U525" s="6" t="str">
        <f>IFERROR(__xludf.DUMMYFUNCTION("""COMPUTED_VALUE"""),"Площадь Советов.")</f>
        <v>Площадь Советов.</v>
      </c>
      <c r="V525" s="6" t="str">
        <f>IFERROR(__xludf.DUMMYFUNCTION("""COMPUTED_VALUE"""),"Честно служили себе, людям, территории и РОССИИ.")</f>
        <v>Честно служили себе, людям, территории и РОССИИ.</v>
      </c>
      <c r="W525" s="6" t="str">
        <f>IFERROR(__xludf.DUMMYFUNCTION("""COMPUTED_VALUE"""),"Искренние, любящие, настоящие, отзывчивые, неулыбающиеся, умные, мудрые, смелые, добрые, молчаливые, нудные......разные")</f>
        <v>Искренние, любящие, настоящие, отзывчивые, неулыбающиеся, умные, мудрые, смелые, добрые, молчаливые, нудные......разные</v>
      </c>
      <c r="X525" s="6" t="str">
        <f>IFERROR(__xludf.DUMMYFUNCTION("""COMPUTED_VALUE"""),"Маршрут на Лесную Поляну")</f>
        <v>Маршрут на Лесную Поляну</v>
      </c>
      <c r="Y525" s="6" t="str">
        <f>IFERROR(__xludf.DUMMYFUNCTION("""COMPUTED_VALUE"""),"Не знаю.")</f>
        <v>Не знаю.</v>
      </c>
      <c r="Z525" s="6" t="str">
        <f>IFERROR(__xludf.DUMMYFUNCTION("""COMPUTED_VALUE"""),"Они прошли мимо меня.")</f>
        <v>Они прошли мимо меня.</v>
      </c>
      <c r="AA525" s="6" t="str">
        <f>IFERROR(__xludf.DUMMYFUNCTION("""COMPUTED_VALUE"""),"В конфликтах не участвую")</f>
        <v>В конфликтах не участвую</v>
      </c>
      <c r="AB525" s="6" t="str">
        <f>IFERROR(__xludf.DUMMYFUNCTION("""COMPUTED_VALUE"""),"Бизнес-завтраки ( неформальное общение с выдающимися учёными, представителями бизнеса, власти. Живое общение и обмен опытом и историями успеха). Патриотические объединения, творческие группы.")</f>
        <v>Бизнес-завтраки ( неформальное общение с выдающимися учёными, представителями бизнеса, власти. Живое общение и обмен опытом и историями успеха). Патриотические объединения, творческие группы.</v>
      </c>
      <c r="AC525" s="6" t="str">
        <f>IFERROR(__xludf.DUMMYFUNCTION("""COMPUTED_VALUE"""),"Праздничные шествия всех предприятий к Дню города (костюмированные представления, презентация достижений предприятий), творческие мероприятия), конкурс ""Кемеровчанин года"" к 23 года. ""Семья года"" к Дню семьи, ""Волонтер года"", Конкурс проектов по соц"&amp;"иальному предпринимательству и т.д.")</f>
        <v>Праздничные шествия всех предприятий к Дню города (костюмированные представления, презентация достижений предприятий), творческие мероприятия), конкурс "Кемеровчанин года" к 23 года. "Семья года" к Дню семьи, "Волонтер года", Конкурс проектов по социальному предпринимательству и т.д.</v>
      </c>
      <c r="AD52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Запустить свой предпринимательский проект, организовать компанию.</v>
      </c>
      <c r="AE525" s="6" t="str">
        <f>IFERROR(__xludf.DUMMYFUNCTION("""COMPUTED_VALUE"""),"Мужской")</f>
        <v>Мужской</v>
      </c>
      <c r="AF525" s="6" t="str">
        <f>IFERROR(__xludf.DUMMYFUNCTION("""COMPUTED_VALUE"""),"30-44")</f>
        <v>30-44</v>
      </c>
      <c r="AG525" s="6"/>
      <c r="AH525" s="6"/>
      <c r="AI525" s="6"/>
      <c r="AJ525" s="6"/>
      <c r="AK525" s="6"/>
      <c r="AL525" s="6"/>
      <c r="AM525" s="6"/>
    </row>
    <row r="526">
      <c r="A526" s="6">
        <v>525.0</v>
      </c>
      <c r="B526" s="6" t="str">
        <f>IFERROR(__xludf.DUMMYFUNCTION("""COMPUTED_VALUE"""),"Библиотекарь")</f>
        <v>Библиотекарь</v>
      </c>
      <c r="C526" s="6" t="str">
        <f>IFERROR(__xludf.DUMMYFUNCTION("""COMPUTED_VALUE"""),"Да")</f>
        <v>Да</v>
      </c>
      <c r="D526" s="6" t="str">
        <f>IFERROR(__xludf.DUMMYFUNCTION("""COMPUTED_VALUE"""),"Центральный ")</f>
        <v>Центральный </v>
      </c>
      <c r="E526" s="6" t="str">
        <f>IFERROR(__xludf.DUMMYFUNCTION("""COMPUTED_VALUE"""),"Хрущевки")</f>
        <v>Хрущевки</v>
      </c>
      <c r="F526" s="6" t="str">
        <f>IFERROR(__xludf.DUMMYFUNCTION("""COMPUTED_VALUE"""),"Переехал сюда из другого места (откуда? укажите в графе другое), Из области. Учиться. Работать")</f>
        <v>Переехал сюда из другого места (откуда? укажите в графе другое), Из области. Учиться. Работать</v>
      </c>
      <c r="G526" s="6" t="str">
        <f>IFERROR(__xludf.DUMMYFUNCTION("""COMPUTED_VALUE"""),"Просто гуляю ")</f>
        <v>Просто гуляю </v>
      </c>
      <c r="H526" s="6" t="str">
        <f>IFERROR(__xludf.DUMMYFUNCTION("""COMPUTED_VALUE"""),"Грязь. Серость. Нищета. Холод. Уголь. ")</f>
        <v>Грязь. Серость. Нищета. Холод. Уголь. </v>
      </c>
      <c r="I526" s="6" t="str">
        <f>IFERROR(__xludf.DUMMYFUNCTION("""COMPUTED_VALUE"""),"Леонов. Мартемьянов. Волошина и другие")</f>
        <v>Леонов. Мартемьянов. Волошина и другие</v>
      </c>
      <c r="J526" s="6" t="str">
        <f>IFERROR(__xludf.DUMMYFUNCTION("""COMPUTED_VALUE"""),"Не знаю таких горожан, которые бы на кого-то равнялись")</f>
        <v>Не знаю таких горожан, которые бы на кого-то равнялись</v>
      </c>
      <c r="K526" s="6" t="str">
        <f>IFERROR(__xludf.DUMMYFUNCTION("""COMPUTED_VALUE"""),"Бульвар Строителей")</f>
        <v>Бульвар Строителей</v>
      </c>
      <c r="L526" s="6" t="str">
        <f>IFERROR(__xludf.DUMMYFUNCTION("""COMPUTED_VALUE"""),"Не знаю ")</f>
        <v>Не знаю </v>
      </c>
      <c r="M526" s="6" t="str">
        <f>IFERROR(__xludf.DUMMYFUNCTION("""COMPUTED_VALUE"""),"Нет. Но звучит не привлекательно")</f>
        <v>Нет. Но звучит не привлекательно</v>
      </c>
      <c r="N526" s="6" t="str">
        <f>IFERROR(__xludf.DUMMYFUNCTION("""COMPUTED_VALUE"""),"Чистота. Много мест для пеших прогулок. Весной-осенью не прыгать через лужи.
Добираться до любой точки города быстро на общественном транспорте. И тп")</f>
        <v>Чистота. Много мест для пеших прогулок. Весной-осенью не прыгать через лужи.
Добираться до любой точки города быстро на общественном транспорте. И тп</v>
      </c>
      <c r="O526" s="6" t="str">
        <f>IFERROR(__xludf.DUMMYFUNCTION("""COMPUTED_VALUE"""),"Делать всё через отношение к простым людям")</f>
        <v>Делать всё через отношение к простым людям</v>
      </c>
      <c r="P526" s="6" t="str">
        <f>IFERROR(__xludf.DUMMYFUNCTION("""COMPUTED_VALUE"""),"По-разному ")</f>
        <v>По-разному </v>
      </c>
      <c r="Q526"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526" s="6" t="str">
        <f>IFERROR(__xludf.DUMMYFUNCTION("""COMPUTED_VALUE"""),"9 мая ")</f>
        <v>9 мая </v>
      </c>
      <c r="S526" s="6" t="str">
        <f>IFERROR(__xludf.DUMMYFUNCTION("""COMPUTED_VALUE"""),"Через социальные сети (Какие? Укажите в графе другое), ВК")</f>
        <v>Через социальные сети (Какие? Укажите в графе другое), ВК</v>
      </c>
      <c r="T526" s="6" t="str">
        <f>IFERROR(__xludf.DUMMYFUNCTION("""COMPUTED_VALUE"""),"Красная горка. Сосновый бор. Уголь")</f>
        <v>Красная горка. Сосновый бор. Уголь</v>
      </c>
      <c r="U526" s="6" t="str">
        <f>IFERROR(__xludf.DUMMYFUNCTION("""COMPUTED_VALUE"""),"Набережная")</f>
        <v>Набережная</v>
      </c>
      <c r="V526" s="6" t="str">
        <f>IFERROR(__xludf.DUMMYFUNCTION("""COMPUTED_VALUE"""),"Строили город. Но не знаю таких, кто бы гордился")</f>
        <v>Строили город. Но не знаю таких, кто бы гордился</v>
      </c>
      <c r="W526" s="6" t="str">
        <f>IFERROR(__xludf.DUMMYFUNCTION("""COMPUTED_VALUE"""),"Разные. Много недовольных и мрачных. Выживают одним словом")</f>
        <v>Разные. Много недовольных и мрачных. Выживают одним словом</v>
      </c>
      <c r="X526" s="6" t="str">
        <f>IFERROR(__xludf.DUMMYFUNCTION("""COMPUTED_VALUE"""),"Центр - мост-бор-красная горка")</f>
        <v>Центр - мост-бор-красная горка</v>
      </c>
      <c r="Y526" s="6" t="str">
        <f>IFERROR(__xludf.DUMMYFUNCTION("""COMPUTED_VALUE"""),"Копикуз")</f>
        <v>Копикуз</v>
      </c>
      <c r="Z526" s="6" t="str">
        <f>IFERROR(__xludf.DUMMYFUNCTION("""COMPUTED_VALUE"""),"Ремонт бульвара Строителей ")</f>
        <v>Ремонт бульвара Строителей </v>
      </c>
      <c r="AA526" s="6" t="str">
        <f>IFERROR(__xludf.DUMMYFUNCTION("""COMPUTED_VALUE"""),"Акции за Навального")</f>
        <v>Акции за Навального</v>
      </c>
      <c r="AB526" s="6" t="str">
        <f>IFERROR(__xludf.DUMMYFUNCTION("""COMPUTED_VALUE"""),"Трудно сказать ")</f>
        <v>Трудно сказать </v>
      </c>
      <c r="AC526" s="6" t="str">
        <f>IFERROR(__xludf.DUMMYFUNCTION("""COMPUTED_VALUE"""),"Доступные, типа ""герои рока"" и много,  чтобы был выбор")</f>
        <v>Доступные, типа "герои рока" и много,  чтобы был выбор</v>
      </c>
      <c r="AD526" s="6" t="str">
        <f>IFERROR(__xludf.DUMMYFUNCTION("""COMPUTED_VALUE"""),"Безпредметно трудно говорить")</f>
        <v>Безпредметно трудно говорить</v>
      </c>
      <c r="AE526" s="6" t="str">
        <f>IFERROR(__xludf.DUMMYFUNCTION("""COMPUTED_VALUE"""),"Женский")</f>
        <v>Женский</v>
      </c>
      <c r="AF526" s="6" t="str">
        <f>IFERROR(__xludf.DUMMYFUNCTION("""COMPUTED_VALUE"""),"45-55")</f>
        <v>45-55</v>
      </c>
      <c r="AG526" s="6"/>
      <c r="AH526" s="6"/>
      <c r="AI526" s="6"/>
      <c r="AJ526" s="6"/>
      <c r="AK526" s="6"/>
      <c r="AL526" s="6"/>
      <c r="AM526" s="6"/>
    </row>
    <row r="527">
      <c r="A527" s="6">
        <v>526.0</v>
      </c>
      <c r="B527" s="6" t="str">
        <f>IFERROR(__xludf.DUMMYFUNCTION("""COMPUTED_VALUE"""),"Библиотечным делом. Библиотечным и информационным обслуживанием горожан.")</f>
        <v>Библиотечным делом. Библиотечным и информационным обслуживанием горожан.</v>
      </c>
      <c r="C527" s="6" t="str">
        <f>IFERROR(__xludf.DUMMYFUNCTION("""COMPUTED_VALUE"""),"Путешествия")</f>
        <v>Путешествия</v>
      </c>
      <c r="D527" s="6" t="str">
        <f>IFERROR(__xludf.DUMMYFUNCTION("""COMPUTED_VALUE"""),"Заводский район, ФПК")</f>
        <v>Заводский район, ФПК</v>
      </c>
      <c r="E527" s="6" t="str">
        <f>IFERROR(__xludf.DUMMYFUNCTION("""COMPUTED_VALUE"""),"
ТЦ «Гринвич», Ледовая арена, церковь Святой Варвары")</f>
        <v>
ТЦ «Гринвич», Ледовая арена, церковь Святой Варвары</v>
      </c>
      <c r="F527" s="6" t="str">
        <f>IFERROR(__xludf.DUMMYFUNCTION("""COMPUTED_VALUE"""),"Переехал сюда из другого места (откуда? укажите в графе другое), После окончания школы я приехала в Кемерово, чтобы учиться здесь в вузе. По окончании вуза осталась здесь работать и жить. Всего в Кемерово прожила с 1972 года - 49 лет")</f>
        <v>Переехал сюда из другого места (откуда? укажите в графе другое), После окончания школы я приехала в Кемерово, чтобы учиться здесь в вузе. По окончании вуза осталась здесь работать и жить. Всего в Кемерово прожила с 1972 года - 49 лет</v>
      </c>
      <c r="G527" s="6" t="str">
        <f>IFERROR(__xludf.DUMMYFUNCTION("""COMPUTED_VALUE"""),"В учреждения культуры и искусства в центре города")</f>
        <v>В учреждения культуры и искусства в центре города</v>
      </c>
      <c r="H527" s="6" t="str">
        <f>IFERROR(__xludf.DUMMYFUNCTION("""COMPUTED_VALUE"""),"1. Река  2. Бор 3. Трубы 4. Набережная 5. Театр")</f>
        <v>1. Река  2. Бор 3. Трубы 4. Набережная 5. Театр</v>
      </c>
      <c r="I527" s="6" t="str">
        <f>IFERROR(__xludf.DUMMYFUNCTION("""COMPUTED_VALUE"""),"Михайло Волков, Алексей Леонов, Михаил Подгорбунский, Аман Тулеев, Вера Волошина, Себальд Рутгерс, Ван Лохем")</f>
        <v>Михайло Волков, Алексей Леонов, Михаил Подгорбунский, Аман Тулеев, Вера Волошина, Себальд Рутгерс, Ван Лохем</v>
      </c>
      <c r="J527" s="6" t="str">
        <f>IFERROR(__xludf.DUMMYFUNCTION("""COMPUTED_VALUE"""),"Владимир Михайлов, ")</f>
        <v>Владимир Михайлов, </v>
      </c>
      <c r="K527" s="6" t="str">
        <f>IFERROR(__xludf.DUMMYFUNCTION("""COMPUTED_VALUE"""),"Улицу Весеннюю и всё памятники и здания на ней. Проспект Советский, площадь Пушкина. Набережную. Красную Горку. Сосновый бор")</f>
        <v>Улицу Весеннюю и всё памятники и здания на ней. Проспект Советский, площадь Пушкина. Набережную. Красную Горку. Сосновый бор</v>
      </c>
      <c r="L527" s="6" t="str">
        <f>IFERROR(__xludf.DUMMYFUNCTION("""COMPUTED_VALUE"""),"Думаю, что город - а именно его климат - хорошо характеризует история о необычайно сильных морозах в конце 1960-х годов. Я тогда не жила в Кемерово, услышала это позже. Морозы были такими сильными, что разрушилось покрытие единственного тогда моста через "&amp;"Томь. Те, кто слушал зарубежное радио, услышали у китайцев: «В деревне Кемерово от сильных морозов лопнул мост». ")</f>
        <v>Думаю, что город - а именно его климат - хорошо характеризует история о необычайно сильных морозах в конце 1960-х годов. Я тогда не жила в Кемерово, услышала это позже. Морозы были такими сильными, что разрушилось покрытие единственного тогда моста через Томь. Те, кто слушал зарубежное радио, услышали у китайцев: «В деревне Кемерово от сильных морозов лопнул мост». </v>
      </c>
      <c r="M527" s="6" t="str">
        <f>IFERROR(__xludf.DUMMYFUNCTION("""COMPUTED_VALUE"""),"Тормозок (шахтерский). Колба (черемша)")</f>
        <v>Тормозок (шахтерский). Колба (черемша)</v>
      </c>
      <c r="N527" s="6" t="str">
        <f>IFERROR(__xludf.DUMMYFUNCTION("""COMPUTED_VALUE"""),"1. Хорошие дороги, которые зимой своевременно убирают. 2. Уборка улиц от мусора. 3. Чистый воздух и вода. 4. Доступный регулярный общественный транспорт 5. Хорошая медицина")</f>
        <v>1. Хорошие дороги, которые зимой своевременно убирают. 2. Уборка улиц от мусора. 3. Чистый воздух и вода. 4. Доступный регулярный общественный транспорт 5. Хорошая медицина</v>
      </c>
      <c r="O527" s="6" t="str">
        <f>IFERROR(__xludf.DUMMYFUNCTION("""COMPUTED_VALUE"""),"Ситуацию с общественным транспортом ")</f>
        <v>Ситуацию с общественным транспортом </v>
      </c>
      <c r="P527" s="6" t="str">
        <f>IFERROR(__xludf.DUMMYFUNCTION("""COMPUTED_VALUE"""),"Сайты городских театров, филармонии. Интернет-СМИ: Сибдепо, Авокадо и пр. Сайт Администрации города ")</f>
        <v>Сайты городских театров, филармонии. Интернет-СМИ: Сибдепо, Авокадо и пр. Сайт Администрации города </v>
      </c>
      <c r="Q527"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527" s="6" t="str">
        <f>IFERROR(__xludf.DUMMYFUNCTION("""COMPUTED_VALUE"""),"День города, День шахтеров")</f>
        <v>День города, День шахтеров</v>
      </c>
      <c r="S527" s="6" t="str">
        <f>IFERROR(__xludf.DUMMYFUNCTION("""COMPUTED_VALUE"""),"Через социальные сети (Какие? Укажите в графе другое), Вконтакте, Одноклассники, Фейсбук")</f>
        <v>Через социальные сети (Какие? Укажите в графе другое), Вконтакте, Одноклассники, Фейсбук</v>
      </c>
      <c r="T527" s="6" t="str">
        <f>IFERROR(__xludf.DUMMYFUNCTION("""COMPUTED_VALUE"""),"В 2006 году здесь проходил Чемпионат мира по хоккею с мячом. Уникальное - остатки зданий АИК «Кузбасс»")</f>
        <v>В 2006 году здесь проходил Чемпионат мира по хоккею с мячом. Уникальное - остатки зданий АИК «Кузбасс»</v>
      </c>
      <c r="U527" s="6" t="str">
        <f>IFERROR(__xludf.DUMMYFUNCTION("""COMPUTED_VALUE"""),"Драмтеатр и улицу Весеннюю")</f>
        <v>Драмтеатр и улицу Весеннюю</v>
      </c>
      <c r="V527" s="6" t="str">
        <f>IFERROR(__xludf.DUMMYFUNCTION("""COMPUTED_VALUE"""),"Работали в шахтах и на заводах")</f>
        <v>Работали в шахтах и на заводах</v>
      </c>
      <c r="W527" s="6" t="str">
        <f>IFERROR(__xludf.DUMMYFUNCTION("""COMPUTED_VALUE"""),"Они разные, в этом их прелесть ")</f>
        <v>Они разные, в этом их прелесть </v>
      </c>
      <c r="X527" s="6" t="str">
        <f>IFERROR(__xludf.DUMMYFUNCTION("""COMPUTED_VALUE"""),"Это маршрут на Красную горку")</f>
        <v>Это маршрут на Красную горку</v>
      </c>
      <c r="Y527" s="6" t="str">
        <f>IFERROR(__xludf.DUMMYFUNCTION("""COMPUTED_VALUE"""),"Концерт Хворостовского на площади Советов")</f>
        <v>Концерт Хворостовского на площади Советов</v>
      </c>
      <c r="Z527" s="6" t="str">
        <f>IFERROR(__xludf.DUMMYFUNCTION("""COMPUTED_VALUE"""),"Концерты в торговых центрах")</f>
        <v>Концерты в торговых центрах</v>
      </c>
      <c r="AA527" s="6" t="str">
        <f>IFERROR(__xludf.DUMMYFUNCTION("""COMPUTED_VALUE"""),"Ситуация с общественным транспортом и медициной")</f>
        <v>Ситуация с общественным транспортом и медициной</v>
      </c>
      <c r="AB527" s="6" t="str">
        <f>IFERROR(__xludf.DUMMYFUNCTION("""COMPUTED_VALUE"""),"Всего хватает")</f>
        <v>Всего хватает</v>
      </c>
      <c r="AC527" s="6" t="str">
        <f>IFERROR(__xludf.DUMMYFUNCTION("""COMPUTED_VALUE"""),"Концерты известных зарубежных исполнителей. А также побольше музыки на улицах города! ")</f>
        <v>Концерты известных зарубежных исполнителей. А также побольше музыки на улицах города! </v>
      </c>
      <c r="AD527"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527" s="6" t="str">
        <f>IFERROR(__xludf.DUMMYFUNCTION("""COMPUTED_VALUE"""),"Женский")</f>
        <v>Женский</v>
      </c>
      <c r="AF527" s="6" t="str">
        <f>IFERROR(__xludf.DUMMYFUNCTION("""COMPUTED_VALUE"""),"старше 55")</f>
        <v>старше 55</v>
      </c>
      <c r="AG527" s="6"/>
      <c r="AH527" s="6"/>
      <c r="AI527" s="6"/>
      <c r="AJ527" s="6"/>
      <c r="AK527" s="6"/>
      <c r="AL527" s="6"/>
      <c r="AM527" s="6"/>
    </row>
    <row r="528">
      <c r="A528" s="6">
        <v>527.0</v>
      </c>
      <c r="B528" s="6" t="str">
        <f>IFERROR(__xludf.DUMMYFUNCTION("""COMPUTED_VALUE"""),"Работаю")</f>
        <v>Работаю</v>
      </c>
      <c r="C528" s="6" t="str">
        <f>IFERROR(__xludf.DUMMYFUNCTION("""COMPUTED_VALUE"""),"Музыка")</f>
        <v>Музыка</v>
      </c>
      <c r="D528" s="6" t="str">
        <f>IFERROR(__xludf.DUMMYFUNCTION("""COMPUTED_VALUE"""),"Кировский")</f>
        <v>Кировский</v>
      </c>
      <c r="E528" s="6" t="str">
        <f>IFERROR(__xludf.DUMMYFUNCTION("""COMPUTED_VALUE"""),"Микраш")</f>
        <v>Микраш</v>
      </c>
      <c r="F528" s="6" t="str">
        <f>IFERROR(__xludf.DUMMYFUNCTION("""COMPUTED_VALUE"""),"Переехал сюда из другого места (откуда? укажите в графе другое), Переехала из Юрги")</f>
        <v>Переехал сюда из другого места (откуда? укажите в графе другое), Переехала из Юрги</v>
      </c>
      <c r="G528" s="6" t="str">
        <f>IFERROR(__xludf.DUMMYFUNCTION("""COMPUTED_VALUE"""),"Домой")</f>
        <v>Домой</v>
      </c>
      <c r="H528" s="6" t="str">
        <f>IFERROR(__xludf.DUMMYFUNCTION("""COMPUTED_VALUE"""),"Площадь советов, кемгу, красная горка, березовая роща")</f>
        <v>Площадь советов, кемгу, красная горка, березовая роща</v>
      </c>
      <c r="I528" s="6" t="str">
        <f>IFERROR(__xludf.DUMMYFUNCTION("""COMPUTED_VALUE"""),"Аман Гумирович")</f>
        <v>Аман Гумирович</v>
      </c>
      <c r="J528" s="6" t="str">
        <f>IFERROR(__xludf.DUMMYFUNCTION("""COMPUTED_VALUE"""),"-")</f>
        <v>-</v>
      </c>
      <c r="K528" s="6" t="str">
        <f>IFERROR(__xludf.DUMMYFUNCTION("""COMPUTED_VALUE"""),"Микраш")</f>
        <v>Микраш</v>
      </c>
      <c r="L528" s="6" t="str">
        <f>IFERROR(__xludf.DUMMYFUNCTION("""COMPUTED_VALUE"""),"«Прощай Кемерово»
--Пошёл на**й")</f>
        <v>«Прощай Кемерово»
--Пошёл на**й</v>
      </c>
      <c r="M528" s="6" t="str">
        <f>IFERROR(__xludf.DUMMYFUNCTION("""COMPUTED_VALUE"""),"Режим нму")</f>
        <v>Режим нму</v>
      </c>
      <c r="N528" s="6" t="str">
        <f>IFERROR(__xludf.DUMMYFUNCTION("""COMPUTED_VALUE"""),"Чистый воздух
Развитая инфраструктура
Чистые дороги
Зелёный город
Парковые зоны рядом с домом")</f>
        <v>Чистый воздух
Развитая инфраструктура
Чистые дороги
Зелёный город
Парковые зоны рядом с домом</v>
      </c>
      <c r="O528" s="6" t="str">
        <f>IFERROR(__xludf.DUMMYFUNCTION("""COMPUTED_VALUE"""),"Сферу промышленности")</f>
        <v>Сферу промышленности</v>
      </c>
      <c r="P528" s="6" t="str">
        <f>IFERROR(__xludf.DUMMYFUNCTION("""COMPUTED_VALUE"""),"Инцидент Кемерово")</f>
        <v>Инцидент Кемерово</v>
      </c>
      <c r="Q528"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528" s="6" t="str">
        <f>IFERROR(__xludf.DUMMYFUNCTION("""COMPUTED_VALUE"""),"Майские")</f>
        <v>Майские</v>
      </c>
      <c r="S528" s="6" t="str">
        <f>IFERROR(__xludf.DUMMYFUNCTION("""COMPUTED_VALUE"""),"Через социальные сети (Какие? Укажите в графе другое)")</f>
        <v>Через социальные сети (Какие? Укажите в графе другое)</v>
      </c>
      <c r="T528" s="6" t="str">
        <f>IFERROR(__xludf.DUMMYFUNCTION("""COMPUTED_VALUE"""),"Зимняя вишня")</f>
        <v>Зимняя вишня</v>
      </c>
      <c r="U528" s="6" t="str">
        <f>IFERROR(__xludf.DUMMYFUNCTION("""COMPUTED_VALUE"""),"Площадь советов")</f>
        <v>Площадь советов</v>
      </c>
      <c r="V528" s="6" t="str">
        <f>IFERROR(__xludf.DUMMYFUNCTION("""COMPUTED_VALUE"""),"Работали")</f>
        <v>Работали</v>
      </c>
      <c r="W528" s="6" t="str">
        <f>IFERROR(__xludf.DUMMYFUNCTION("""COMPUTED_VALUE"""),"Грустные")</f>
        <v>Грустные</v>
      </c>
      <c r="X528" s="6" t="str">
        <f>IFERROR(__xludf.DUMMYFUNCTION("""COMPUTED_VALUE"""),"Трамвай номер 3")</f>
        <v>Трамвай номер 3</v>
      </c>
      <c r="Y528" s="6" t="str">
        <f>IFERROR(__xludf.DUMMYFUNCTION("""COMPUTED_VALUE"""),"300 лет Кузбассу")</f>
        <v>300 лет Кузбассу</v>
      </c>
      <c r="Z528" s="6" t="str">
        <f>IFERROR(__xludf.DUMMYFUNCTION("""COMPUTED_VALUE"""),"Дороги сделали")</f>
        <v>Дороги сделали</v>
      </c>
      <c r="AA528" s="6" t="str">
        <f>IFERROR(__xludf.DUMMYFUNCTION("""COMPUTED_VALUE"""),"Дороги снова разбиты")</f>
        <v>Дороги снова разбиты</v>
      </c>
      <c r="AB528" s="6" t="str">
        <f>IFERROR(__xludf.DUMMYFUNCTION("""COMPUTED_VALUE"""),"Для адаптации маргинальных личностей")</f>
        <v>Для адаптации маргинальных личностей</v>
      </c>
      <c r="AC528" s="6" t="str">
        <f>IFERROR(__xludf.DUMMYFUNCTION("""COMPUTED_VALUE"""),"Экологические рейды")</f>
        <v>Экологические рейды</v>
      </c>
      <c r="AD52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528" s="6" t="str">
        <f>IFERROR(__xludf.DUMMYFUNCTION("""COMPUTED_VALUE"""),"Женский")</f>
        <v>Женский</v>
      </c>
      <c r="AF528" s="6" t="str">
        <f>IFERROR(__xludf.DUMMYFUNCTION("""COMPUTED_VALUE"""),"18-29")</f>
        <v>18-29</v>
      </c>
      <c r="AG528" s="6"/>
      <c r="AH528" s="6"/>
      <c r="AI528" s="6"/>
      <c r="AJ528" s="6"/>
      <c r="AK528" s="6"/>
      <c r="AL528" s="6"/>
      <c r="AM528" s="6"/>
    </row>
    <row r="529">
      <c r="A529" s="6">
        <v>528.0</v>
      </c>
      <c r="B529" s="6" t="str">
        <f>IFERROR(__xludf.DUMMYFUNCTION("""COMPUTED_VALUE"""),"Библиотекарь")</f>
        <v>Библиотекарь</v>
      </c>
      <c r="C529" s="6" t="str">
        <f>IFERROR(__xludf.DUMMYFUNCTION("""COMPUTED_VALUE"""),"Нет")</f>
        <v>Нет</v>
      </c>
      <c r="D529" s="6" t="str">
        <f>IFERROR(__xludf.DUMMYFUNCTION("""COMPUTED_VALUE"""),"Центр")</f>
        <v>Центр</v>
      </c>
      <c r="E529" s="6" t="str">
        <f>IFERROR(__xludf.DUMMYFUNCTION("""COMPUTED_VALUE"""),"Общежитие")</f>
        <v>Общежитие</v>
      </c>
      <c r="F52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529" s="6" t="str">
        <f>IFERROR(__xludf.DUMMYFUNCTION("""COMPUTED_VALUE"""),"Никуда")</f>
        <v>Никуда</v>
      </c>
      <c r="H529" s="6" t="str">
        <f>IFERROR(__xludf.DUMMYFUNCTION("""COMPUTED_VALUE"""),"Шахта, холод, пыль, работа, смог")</f>
        <v>Шахта, холод, пыль, работа, смог</v>
      </c>
      <c r="I529" s="6" t="str">
        <f>IFERROR(__xludf.DUMMYFUNCTION("""COMPUTED_VALUE"""),"Рутгерс, Тулеев, Волков, Лохем")</f>
        <v>Рутгерс, Тулеев, Волков, Лохем</v>
      </c>
      <c r="J529" s="6" t="str">
        <f>IFERROR(__xludf.DUMMYFUNCTION("""COMPUTED_VALUE"""),"Тулеев")</f>
        <v>Тулеев</v>
      </c>
      <c r="K529" s="6" t="str">
        <f>IFERROR(__xludf.DUMMYFUNCTION("""COMPUTED_VALUE"""),"Набережную")</f>
        <v>Набережную</v>
      </c>
      <c r="L529" s="6" t="str">
        <f>IFERROR(__xludf.DUMMYFUNCTION("""COMPUTED_VALUE"""),"Кто не с нами, тот против нас")</f>
        <v>Кто не с нами, тот против нас</v>
      </c>
      <c r="M529" s="6" t="str">
        <f>IFERROR(__xludf.DUMMYFUNCTION("""COMPUTED_VALUE"""),"Весенька, ""Встречаемся на драме"". ")</f>
        <v>Весенька, "Встречаемся на драме". </v>
      </c>
      <c r="N529" s="6" t="str">
        <f>IFERROR(__xludf.DUMMYFUNCTION("""COMPUTED_VALUE"""),"Метро, море, Золото, пляж, шаманское")</f>
        <v>Метро, море, Золото, пляж, шаманское</v>
      </c>
      <c r="O529" s="6" t="str">
        <f>IFERROR(__xludf.DUMMYFUNCTION("""COMPUTED_VALUE"""),"Геоположение")</f>
        <v>Геоположение</v>
      </c>
      <c r="P529" s="6" t="str">
        <f>IFERROR(__xludf.DUMMYFUNCTION("""COMPUTED_VALUE"""),"Через поисковики")</f>
        <v>Через поисковики</v>
      </c>
      <c r="Q529" s="6" t="str">
        <f>IFERROR(__xludf.DUMMYFUNCTION("""COMPUTED_VALUE"""),"Не интересны")</f>
        <v>Не интересны</v>
      </c>
      <c r="R529" s="6" t="str">
        <f>IFERROR(__xludf.DUMMYFUNCTION("""COMPUTED_VALUE"""),"Близкие тут не живут")</f>
        <v>Близкие тут не живут</v>
      </c>
      <c r="S529" s="6" t="str">
        <f>IFERROR(__xludf.DUMMYFUNCTION("""COMPUTED_VALUE"""),"Холодный обзвон")</f>
        <v>Холодный обзвон</v>
      </c>
      <c r="T529" s="6" t="str">
        <f>IFERROR(__xludf.DUMMYFUNCTION("""COMPUTED_VALUE"""),"Уголь")</f>
        <v>Уголь</v>
      </c>
      <c r="U529" s="6" t="str">
        <f>IFERROR(__xludf.DUMMYFUNCTION("""COMPUTED_VALUE"""),"Площадь Советов")</f>
        <v>Площадь Советов</v>
      </c>
      <c r="V529" s="6" t="str">
        <f>IFERROR(__xludf.DUMMYFUNCTION("""COMPUTED_VALUE"""),"Тулеев много сделал")</f>
        <v>Тулеев много сделал</v>
      </c>
      <c r="W529" s="6" t="str">
        <f>IFERROR(__xludf.DUMMYFUNCTION("""COMPUTED_VALUE"""),"добрые, подавленные, любящие. ")</f>
        <v>добрые, подавленные, любящие. </v>
      </c>
      <c r="X529" s="6" t="str">
        <f>IFERROR(__xludf.DUMMYFUNCTION("""COMPUTED_VALUE"""),"Набережная-весенняя-швейка")</f>
        <v>Набережная-весенняя-швейка</v>
      </c>
      <c r="Y529" s="6" t="str">
        <f>IFERROR(__xludf.DUMMYFUNCTION("""COMPUTED_VALUE"""),"Зимняя вишня")</f>
        <v>Зимняя вишня</v>
      </c>
      <c r="Z529" s="6" t="str">
        <f>IFERROR(__xludf.DUMMYFUNCTION("""COMPUTED_VALUE"""),"Новый год")</f>
        <v>Новый год</v>
      </c>
      <c r="AA529" s="6" t="str">
        <f>IFERROR(__xludf.DUMMYFUNCTION("""COMPUTED_VALUE"""),"Коронавирус")</f>
        <v>Коронавирус</v>
      </c>
      <c r="AB529" s="6" t="str">
        <f>IFERROR(__xludf.DUMMYFUNCTION("""COMPUTED_VALUE"""),"Все есть")</f>
        <v>Все есть</v>
      </c>
      <c r="AC529" s="6" t="str">
        <f>IFERROR(__xludf.DUMMYFUNCTION("""COMPUTED_VALUE"""),"Сончас")</f>
        <v>Сончас</v>
      </c>
      <c r="AD529" s="6" t="str">
        <f>IFERROR(__xludf.DUMMYFUNCTION("""COMPUTED_VALUE"""),"Мы участвуем в разных ролях")</f>
        <v>Мы участвуем в разных ролях</v>
      </c>
      <c r="AE529" s="6" t="str">
        <f>IFERROR(__xludf.DUMMYFUNCTION("""COMPUTED_VALUE"""),"Женский")</f>
        <v>Женский</v>
      </c>
      <c r="AF529" s="6" t="str">
        <f>IFERROR(__xludf.DUMMYFUNCTION("""COMPUTED_VALUE"""),"30-44")</f>
        <v>30-44</v>
      </c>
      <c r="AG529" s="6"/>
      <c r="AH529" s="6"/>
      <c r="AI529" s="6"/>
      <c r="AJ529" s="6"/>
      <c r="AK529" s="6"/>
      <c r="AL529" s="6"/>
      <c r="AM529" s="6"/>
    </row>
    <row r="530">
      <c r="A530" s="6">
        <v>529.0</v>
      </c>
      <c r="B530" s="6" t="str">
        <f>IFERROR(__xludf.DUMMYFUNCTION("""COMPUTED_VALUE"""),"Работаю в области культуры")</f>
        <v>Работаю в области культуры</v>
      </c>
      <c r="C530" s="6" t="str">
        <f>IFERROR(__xludf.DUMMYFUNCTION("""COMPUTED_VALUE"""),"Чтение")</f>
        <v>Чтение</v>
      </c>
      <c r="D530" s="6" t="str">
        <f>IFERROR(__xludf.DUMMYFUNCTION("""COMPUTED_VALUE"""),"Заводский район")</f>
        <v>Заводский район</v>
      </c>
      <c r="E530" s="6" t="str">
        <f>IFERROR(__xludf.DUMMYFUNCTION("""COMPUTED_VALUE"""),"Бульвар Патриотов")</f>
        <v>Бульвар Патриотов</v>
      </c>
      <c r="F530" s="6" t="str">
        <f>IFERROR(__xludf.DUMMYFUNCTION("""COMPUTED_VALUE"""),"Переехал сюда из другого места (откуда? укажите в графе другое), На учебу из области")</f>
        <v>Переехал сюда из другого места (откуда? укажите в графе другое), На учебу из области</v>
      </c>
      <c r="G530" s="6" t="str">
        <f>IFERROR(__xludf.DUMMYFUNCTION("""COMPUTED_VALUE"""),"Парк чудес, Бульвар Строителей, библиотеки")</f>
        <v>Парк чудес, Бульвар Строителей, библиотеки</v>
      </c>
      <c r="H530" s="6" t="str">
        <f>IFERROR(__xludf.DUMMYFUNCTION("""COMPUTED_VALUE"""),"Сибирь, уголь, река, шахтеры, химия")</f>
        <v>Сибирь, уголь, река, шахтеры, химия</v>
      </c>
      <c r="I530" s="6" t="str">
        <f>IFERROR(__xludf.DUMMYFUNCTION("""COMPUTED_VALUE"""),"Рутгерс, Леонов, Михайлов")</f>
        <v>Рутгерс, Леонов, Михайлов</v>
      </c>
      <c r="J530" s="6" t="str">
        <f>IFERROR(__xludf.DUMMYFUNCTION("""COMPUTED_VALUE"""),"В. Михайлов, А. Тулеев")</f>
        <v>В. Михайлов, А. Тулеев</v>
      </c>
      <c r="K530" s="6" t="str">
        <f>IFERROR(__xludf.DUMMYFUNCTION("""COMPUTED_VALUE"""),"Парк Ангелов")</f>
        <v>Парк Ангелов</v>
      </c>
      <c r="L530" s="6" t="str">
        <f>IFERROR(__xludf.DUMMYFUNCTION("""COMPUTED_VALUE"""),"Не знаю")</f>
        <v>Не знаю</v>
      </c>
      <c r="M530" s="6" t="str">
        <f>IFERROR(__xludf.DUMMYFUNCTION("""COMPUTED_VALUE"""),"Не знаю")</f>
        <v>Не знаю</v>
      </c>
      <c r="N530" s="6" t="str">
        <f>IFERROR(__xludf.DUMMYFUNCTION("""COMPUTED_VALUE"""),"Транспорт, чистота, культура, доступность жилья")</f>
        <v>Транспорт, чистота, культура, доступность жилья</v>
      </c>
      <c r="O530" s="6" t="str">
        <f>IFERROR(__xludf.DUMMYFUNCTION("""COMPUTED_VALUE"""),"Навести порядок в ЖКХ")</f>
        <v>Навести порядок в ЖКХ</v>
      </c>
      <c r="P530" s="6" t="str">
        <f>IFERROR(__xludf.DUMMYFUNCTION("""COMPUTED_VALUE"""),"Новости ТВ, газеты")</f>
        <v>Новости ТВ, газеты</v>
      </c>
      <c r="Q530" s="6" t="str">
        <f>IFERROR(__xludf.DUMMYFUNCTION("""COMPUTED_VALUE"""),"городская афиша (кино/театр/концерты), интервью с местными творческими личностями")</f>
        <v>городская афиша (кино/театр/концерты), интервью с местными творческими личностями</v>
      </c>
      <c r="R530" s="6" t="str">
        <f>IFERROR(__xludf.DUMMYFUNCTION("""COMPUTED_VALUE"""),"День Победы")</f>
        <v>День Победы</v>
      </c>
      <c r="S530" s="6" t="str">
        <f>IFERROR(__xludf.DUMMYFUNCTION("""COMPUTED_VALUE"""),"Делал рассылку по электронной почте")</f>
        <v>Делал рассылку по электронной почте</v>
      </c>
      <c r="T530" s="6" t="str">
        <f>IFERROR(__xludf.DUMMYFUNCTION("""COMPUTED_VALUE"""),"Ничем")</f>
        <v>Ничем</v>
      </c>
      <c r="U530" s="6" t="str">
        <f>IFERROR(__xludf.DUMMYFUNCTION("""COMPUTED_VALUE"""),"Улица Весенняя")</f>
        <v>Улица Весенняя</v>
      </c>
      <c r="V530" s="6" t="str">
        <f>IFERROR(__xludf.DUMMYFUNCTION("""COMPUTED_VALUE"""),"Построили город., заводы, парки")</f>
        <v>Построили город., заводы, парки</v>
      </c>
      <c r="W530" s="6" t="str">
        <f>IFERROR(__xludf.DUMMYFUNCTION("""COMPUTED_VALUE"""),"Простые, добрые")</f>
        <v>Простые, добрые</v>
      </c>
      <c r="X530" s="6" t="str">
        <f>IFERROR(__xludf.DUMMYFUNCTION("""COMPUTED_VALUE"""),"Парк Чудес, пр. Советский, набережная, площадь Советов, парк Жукова, цирк")</f>
        <v>Парк Чудес, пр. Советский, набережная, площадь Советов, парк Жукова, цирк</v>
      </c>
      <c r="Y530" s="6" t="str">
        <f>IFERROR(__xludf.DUMMYFUNCTION("""COMPUTED_VALUE"""),"Деятельность АИК Кузбасс")</f>
        <v>Деятельность АИК Кузбасс</v>
      </c>
      <c r="Z530" s="6" t="str">
        <f>IFERROR(__xludf.DUMMYFUNCTION("""COMPUTED_VALUE"""),"День города, день шахтера")</f>
        <v>День города, день шахтера</v>
      </c>
      <c r="AA530" s="6" t="str">
        <f>IFERROR(__xludf.DUMMYFUNCTION("""COMPUTED_VALUE"""),"""Оптимизация"" Медицины, образования, культуры")</f>
        <v>"Оптимизация" Медицины, образования, культуры</v>
      </c>
      <c r="AB530" s="6" t="str">
        <f>IFERROR(__xludf.DUMMYFUNCTION("""COMPUTED_VALUE"""),"Не знаю")</f>
        <v>Не знаю</v>
      </c>
      <c r="AC530" s="6" t="str">
        <f>IFERROR(__xludf.DUMMYFUNCTION("""COMPUTED_VALUE"""),"Не знаю")</f>
        <v>Не знаю</v>
      </c>
      <c r="AD53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30" s="6" t="str">
        <f>IFERROR(__xludf.DUMMYFUNCTION("""COMPUTED_VALUE"""),"Женский")</f>
        <v>Женский</v>
      </c>
      <c r="AF530" s="6" t="str">
        <f>IFERROR(__xludf.DUMMYFUNCTION("""COMPUTED_VALUE"""),"старше 55")</f>
        <v>старше 55</v>
      </c>
      <c r="AG530" s="6"/>
      <c r="AH530" s="6"/>
      <c r="AI530" s="6"/>
      <c r="AJ530" s="6"/>
      <c r="AK530" s="6"/>
      <c r="AL530" s="6"/>
      <c r="AM530" s="6"/>
    </row>
    <row r="531">
      <c r="A531" s="6">
        <v>530.0</v>
      </c>
      <c r="B531" s="6" t="str">
        <f>IFERROR(__xludf.DUMMYFUNCTION("""COMPUTED_VALUE"""),"Работаю заведующей библиотекой")</f>
        <v>Работаю заведующей библиотекой</v>
      </c>
      <c r="C531" s="6" t="str">
        <f>IFERROR(__xludf.DUMMYFUNCTION("""COMPUTED_VALUE"""),"Сбор книг по теме.")</f>
        <v>Сбор книг по теме.</v>
      </c>
      <c r="D531" s="6" t="str">
        <f>IFERROR(__xludf.DUMMYFUNCTION("""COMPUTED_VALUE"""),"Ж.р. Кедровка")</f>
        <v>Ж.р. Кедровка</v>
      </c>
      <c r="E531" s="6" t="str">
        <f>IFERROR(__xludf.DUMMYFUNCTION("""COMPUTED_VALUE"""),"Дк ""содружество """)</f>
        <v>Дк "содружество "</v>
      </c>
      <c r="F531" s="6" t="str">
        <f>IFERROR(__xludf.DUMMYFUNCTION("""COMPUTED_VALUE"""),"Живу здесь с рождения")</f>
        <v>Живу здесь с рождения</v>
      </c>
      <c r="G531" s="6" t="str">
        <f>IFERROR(__xludf.DUMMYFUNCTION("""COMPUTED_VALUE"""),"Набережная реки Томи.")</f>
        <v>Набережная реки Томи.</v>
      </c>
      <c r="H531" s="6" t="str">
        <f>IFERROR(__xludf.DUMMYFUNCTION("""COMPUTED_VALUE"""),"Советский проспект,  Ул. Кирова, филармония, универмаг, стадион.")</f>
        <v>Советский проспект,  Ул. Кирова, филармония, универмаг, стадион.</v>
      </c>
      <c r="I531" s="6" t="str">
        <f>IFERROR(__xludf.DUMMYFUNCTION("""COMPUTED_VALUE"""),"М. ВОЛКОВ, А.Г.ТУЛЕЕВ, ")</f>
        <v>М. ВОЛКОВ, А.Г.ТУЛЕЕВ, </v>
      </c>
      <c r="J531" s="6" t="str">
        <f>IFERROR(__xludf.DUMMYFUNCTION("""COMPUTED_VALUE"""),"Селиванов- художник, Юров - поэт, Тулеев А.Г.")</f>
        <v>Селиванов- художник, Юров - поэт, Тулеев А.Г.</v>
      </c>
      <c r="K531" s="6" t="str">
        <f>IFERROR(__xludf.DUMMYFUNCTION("""COMPUTED_VALUE"""),"Ул. Весенняя, драм театр, цирк..")</f>
        <v>Ул. Весенняя, драм театр, цирк..</v>
      </c>
      <c r="L531" s="6" t="str">
        <f>IFERROR(__xludf.DUMMYFUNCTION("""COMPUTED_VALUE"""),"Как Михайловна Волков нашёл Горюч. Камень.")</f>
        <v>Как Михайловна Волков нашёл Горюч. Камень.</v>
      </c>
      <c r="M531" s="6" t="str">
        <f>IFERROR(__xludf.DUMMYFUNCTION("""COMPUTED_VALUE"""),"Кемер от слова уголь.")</f>
        <v>Кемер от слова уголь.</v>
      </c>
      <c r="N531" s="6" t="str">
        <f>IFERROR(__xludf.DUMMYFUNCTION("""COMPUTED_VALUE"""),"Уютный, красивый, доступный, достопримечательный, комфортабельный.")</f>
        <v>Уютный, красивый, доступный, достопримечательный, комфортабельный.</v>
      </c>
      <c r="O531" s="6" t="str">
        <f>IFERROR(__xludf.DUMMYFUNCTION("""COMPUTED_VALUE"""),"Ремонт дорог, дворов, улиц, уборка снега.")</f>
        <v>Ремонт дорог, дворов, улиц, уборка снега.</v>
      </c>
      <c r="P531" s="6" t="str">
        <f>IFERROR(__xludf.DUMMYFUNCTION("""COMPUTED_VALUE"""),"В новостях по телевизору, в инстаграм..")</f>
        <v>В новостях по телевизору, в инстаграм..</v>
      </c>
      <c r="Q531" s="6" t="str">
        <f>IFERROR(__xludf.DUMMYFUNCTION("""COMPUTED_VALUE"""),"городская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f>
        <v>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v>
      </c>
      <c r="R531" s="6" t="str">
        <f>IFERROR(__xludf.DUMMYFUNCTION("""COMPUTED_VALUE"""),"День шахтёра   день библиотек, день города.")</f>
        <v>День шахтёра   день библиотек, день города.</v>
      </c>
      <c r="S531" s="6" t="str">
        <f>IFERROR(__xludf.DUMMYFUNCTION("""COMPUTED_VALUE"""),"Нет, не приходилось")</f>
        <v>Нет, не приходилось</v>
      </c>
      <c r="T531" s="6" t="str">
        <f>IFERROR(__xludf.DUMMYFUNCTION("""COMPUTED_VALUE"""),"Много вузов, учреждений культуры.")</f>
        <v>Много вузов, учреждений культуры.</v>
      </c>
      <c r="U531" s="6" t="str">
        <f>IFERROR(__xludf.DUMMYFUNCTION("""COMPUTED_VALUE"""),"Музей ""Красная горка"".")</f>
        <v>Музей "Красная горка".</v>
      </c>
      <c r="V531" s="6" t="str">
        <f>IFERROR(__xludf.DUMMYFUNCTION("""COMPUTED_VALUE"""),"Добивались уголь")</f>
        <v>Добивались уголь</v>
      </c>
      <c r="W531" s="6" t="str">
        <f>IFERROR(__xludf.DUMMYFUNCTION("""COMPUTED_VALUE"""),"Добрые, отзывчивые, талантливые.")</f>
        <v>Добрые, отзывчивые, талантливые.</v>
      </c>
      <c r="X531" s="6" t="str">
        <f>IFERROR(__xludf.DUMMYFUNCTION("""COMPUTED_VALUE"""),"Проспект Советский")</f>
        <v>Проспект Советский</v>
      </c>
      <c r="Y531" s="6" t="str">
        <f>IFERROR(__xludf.DUMMYFUNCTION("""COMPUTED_VALUE"""),"М. Волков нашёл горюч. Камень.")</f>
        <v>М. Волков нашёл горюч. Камень.</v>
      </c>
      <c r="Z531" s="6" t="str">
        <f>IFERROR(__xludf.DUMMYFUNCTION("""COMPUTED_VALUE"""),"Правление Цивилева.")</f>
        <v>Правление Цивилева.</v>
      </c>
      <c r="AA531" s="6" t="str">
        <f>IFERROR(__xludf.DUMMYFUNCTION("""COMPUTED_VALUE"""),"Нет.")</f>
        <v>Нет.</v>
      </c>
      <c r="AB531" s="6" t="str">
        <f>IFERROR(__xludf.DUMMYFUNCTION("""COMPUTED_VALUE"""),"Всё хватает.")</f>
        <v>Всё хватает.</v>
      </c>
      <c r="AC531" s="6" t="str">
        <f>IFERROR(__xludf.DUMMYFUNCTION("""COMPUTED_VALUE"""),"Праздник ко дню города.")</f>
        <v>Праздник ко дню города.</v>
      </c>
      <c r="AD53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v>
      </c>
      <c r="AE531" s="6" t="str">
        <f>IFERROR(__xludf.DUMMYFUNCTION("""COMPUTED_VALUE"""),"Женский")</f>
        <v>Женский</v>
      </c>
      <c r="AF531" s="6" t="str">
        <f>IFERROR(__xludf.DUMMYFUNCTION("""COMPUTED_VALUE"""),"старше 55")</f>
        <v>старше 55</v>
      </c>
      <c r="AG531" s="6"/>
      <c r="AH531" s="6"/>
      <c r="AI531" s="6"/>
      <c r="AJ531" s="6"/>
      <c r="AK531" s="6"/>
      <c r="AL531" s="6"/>
      <c r="AM531" s="6"/>
    </row>
    <row r="532">
      <c r="A532" s="6">
        <v>531.0</v>
      </c>
      <c r="B532" s="6" t="str">
        <f>IFERROR(__xludf.DUMMYFUNCTION("""COMPUTED_VALUE"""),"Айтишник")</f>
        <v>Айтишник</v>
      </c>
      <c r="C532" s="6" t="str">
        <f>IFERROR(__xludf.DUMMYFUNCTION("""COMPUTED_VALUE"""),"Гулять")</f>
        <v>Гулять</v>
      </c>
      <c r="D532" s="6" t="str">
        <f>IFERROR(__xludf.DUMMYFUNCTION("""COMPUTED_VALUE"""),"Заводские. Пентагон (жил) ")</f>
        <v>Заводские. Пентагон (жил) </v>
      </c>
      <c r="E532" s="6" t="str">
        <f>IFERROR(__xludf.DUMMYFUNCTION("""COMPUTED_VALUE"""),"Патриотов")</f>
        <v>Патриотов</v>
      </c>
      <c r="F532" s="6" t="str">
        <f>IFERROR(__xludf.DUMMYFUNCTION("""COMPUTED_VALUE"""),"Родился в Томске но жил с раннего  детства, сейчас за границей")</f>
        <v>Родился в Томске но жил с раннего  детства, сейчас за границей</v>
      </c>
      <c r="G532" s="6" t="str">
        <f>IFERROR(__xludf.DUMMYFUNCTION("""COMPUTED_VALUE"""),"Драм, весенька, горсад, пионеров")</f>
        <v>Драм, весенька, горсад, пионеров</v>
      </c>
      <c r="H532" s="6" t="str">
        <f>IFERROR(__xludf.DUMMYFUNCTION("""COMPUTED_VALUE"""),"Уголь, Шахта, Разрез, Хорошие дороги, Драмтеатр")</f>
        <v>Уголь, Шахта, Разрез, Хорошие дороги, Драмтеатр</v>
      </c>
      <c r="I532" s="6" t="str">
        <f>IFERROR(__xludf.DUMMYFUNCTION("""COMPUTED_VALUE"""),"Волков")</f>
        <v>Волков</v>
      </c>
      <c r="J532" s="6" t="str">
        <f>IFERROR(__xludf.DUMMYFUNCTION("""COMPUTED_VALUE"""),"Гришковец")</f>
        <v>Гришковец</v>
      </c>
      <c r="K532" s="6" t="str">
        <f>IFERROR(__xludf.DUMMYFUNCTION("""COMPUTED_VALUE"""),"Тарелка, набережная, драмтеатр")</f>
        <v>Тарелка, набережная, драмтеатр</v>
      </c>
      <c r="L532" s="6" t="str">
        <f>IFERROR(__xludf.DUMMYFUNCTION("""COMPUTED_VALUE"""),"Сложно")</f>
        <v>Сложно</v>
      </c>
      <c r="M532" s="6" t="str">
        <f>IFERROR(__xludf.DUMMYFUNCTION("""COMPUTED_VALUE"""),"Уже забыл 😀")</f>
        <v>Уже забыл 😀</v>
      </c>
      <c r="N532" s="6" t="str">
        <f>IFERROR(__xludf.DUMMYFUNCTION("""COMPUTED_VALUE"""),"Бульвары, тротуары, пешеходные пространства, возможность комфортно передвигаться между районами города (пешком, велосипед, общественный транспорт), наличие малого бизнеса (кафе, магазинчики) в пешей доступности вне зависимости от района, качественная архи"&amp;"тектура (наличие стилистики), отсутствие городской рекламы (нет лайтбоксов и реклама только на фасадах зданий) ")</f>
        <v>Бульвары, тротуары, пешеходные пространства, возможность комфортно передвигаться между районами города (пешком, велосипед, общественный транспорт), наличие малого бизнеса (кафе, магазинчики) в пешей доступности вне зависимости от района, качественная архитектура (наличие стилистики), отсутствие городской рекламы (нет лайтбоксов и реклама только на фасадах зданий) </v>
      </c>
      <c r="O532" s="6" t="str">
        <f>IFERROR(__xludf.DUMMYFUNCTION("""COMPUTED_VALUE"""),"Добавить красок, чуть чуть. Город уже имеет свой уникальный стиль, который стоит развивать, а не губить")</f>
        <v>Добавить красок, чуть чуть. Город уже имеет свой уникальный стиль, который стоит развивать, а не губить</v>
      </c>
      <c r="P532" s="6" t="str">
        <f>IFERROR(__xludf.DUMMYFUNCTION("""COMPUTED_VALUE"""),"Родственники ")</f>
        <v>Родственники </v>
      </c>
      <c r="Q53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532" s="6" t="str">
        <f>IFERROR(__xludf.DUMMYFUNCTION("""COMPUTED_VALUE"""),"День города, день шахтера")</f>
        <v>День города, день шахтера</v>
      </c>
      <c r="S532" s="6" t="str">
        <f>IFERROR(__xludf.DUMMYFUNCTION("""COMPUTED_VALUE"""),"Нет, не приходилось")</f>
        <v>Нет, не приходилось</v>
      </c>
      <c r="T532" s="6" t="str">
        <f>IFERROR(__xludf.DUMMYFUNCTION("""COMPUTED_VALUE"""),"Даёшь стране угля")</f>
        <v>Даёшь стране угля</v>
      </c>
      <c r="U532" s="6" t="str">
        <f>IFERROR(__xludf.DUMMYFUNCTION("""COMPUTED_VALUE"""),"Драмтеатр")</f>
        <v>Драмтеатр</v>
      </c>
      <c r="V532" s="6" t="str">
        <f>IFERROR(__xludf.DUMMYFUNCTION("""COMPUTED_VALUE"""),"Затрудняюсь")</f>
        <v>Затрудняюсь</v>
      </c>
      <c r="W532" s="6" t="str">
        <f>IFERROR(__xludf.DUMMYFUNCTION("""COMPUTED_VALUE"""),"Затрудняюсь")</f>
        <v>Затрудняюсь</v>
      </c>
      <c r="X532" s="6" t="str">
        <f>IFERROR(__xludf.DUMMYFUNCTION("""COMPUTED_VALUE"""),"От политеха через весеньку на набережную через горсад и до универа")</f>
        <v>От политеха через весеньку на набережную через горсад и до универа</v>
      </c>
      <c r="Y532" s="6" t="str">
        <f>IFERROR(__xludf.DUMMYFUNCTION("""COMPUTED_VALUE"""),"Дк Москва, Zavod (спасибо Лёше Гирову) ")</f>
        <v>Дк Москва, Zavod (спасибо Лёше Гирову) </v>
      </c>
      <c r="Z532" s="6" t="str">
        <f>IFERROR(__xludf.DUMMYFUNCTION("""COMPUTED_VALUE"""),"Набережную начали расширять наконец-то, дорогу на Новокузнецк домучали")</f>
        <v>Набережную начали расширять наконец-то, дорогу на Новокузнецк домучали</v>
      </c>
      <c r="AA532" s="6" t="str">
        <f>IFERROR(__xludf.DUMMYFUNCTION("""COMPUTED_VALUE"""),"Печальные ")</f>
        <v>Печальные </v>
      </c>
      <c r="AB532" s="6" t="str">
        <f>IFERROR(__xludf.DUMMYFUNCTION("""COMPUTED_VALUE"""),"Затрудняюсь. В свое время всех хватало :) ")</f>
        <v>Затрудняюсь. В свое время всех хватало :) </v>
      </c>
      <c r="AC532" s="6" t="str">
        <f>IFERROR(__xludf.DUMMYFUNCTION("""COMPUTED_VALUE"""),"Побуждающие молодёжь на созидание")</f>
        <v>Побуждающие молодёжь на созидание</v>
      </c>
      <c r="AD53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32" s="6" t="str">
        <f>IFERROR(__xludf.DUMMYFUNCTION("""COMPUTED_VALUE"""),"Мужской")</f>
        <v>Мужской</v>
      </c>
      <c r="AF532" s="6" t="str">
        <f>IFERROR(__xludf.DUMMYFUNCTION("""COMPUTED_VALUE"""),"30-44")</f>
        <v>30-44</v>
      </c>
      <c r="AG532" s="6"/>
      <c r="AH532" s="6"/>
      <c r="AI532" s="6"/>
      <c r="AJ532" s="6"/>
      <c r="AK532" s="6"/>
      <c r="AL532" s="6"/>
      <c r="AM532" s="6"/>
    </row>
    <row r="533">
      <c r="A533" s="6">
        <v>532.0</v>
      </c>
      <c r="B533" s="6" t="str">
        <f>IFERROR(__xludf.DUMMYFUNCTION("""COMPUTED_VALUE"""),"Работаю библиотекарем")</f>
        <v>Работаю библиотекарем</v>
      </c>
      <c r="C533" s="6" t="str">
        <f>IFERROR(__xludf.DUMMYFUNCTION("""COMPUTED_VALUE"""),"Дача")</f>
        <v>Дача</v>
      </c>
      <c r="D533" s="6" t="str">
        <f>IFERROR(__xludf.DUMMYFUNCTION("""COMPUTED_VALUE"""),"Кузбасс")</f>
        <v>Кузбасс</v>
      </c>
      <c r="E533" s="6" t="str">
        <f>IFERROR(__xludf.DUMMYFUNCTION("""COMPUTED_VALUE"""),"Томская писаница")</f>
        <v>Томская писаница</v>
      </c>
      <c r="F533" s="6" t="str">
        <f>IFERROR(__xludf.DUMMYFUNCTION("""COMPUTED_VALUE"""),"Живу здесь с рождения")</f>
        <v>Живу здесь с рождения</v>
      </c>
      <c r="G533" s="6" t="str">
        <f>IFERROR(__xludf.DUMMYFUNCTION("""COMPUTED_VALUE"""),"Набережная, парки")</f>
        <v>Набережная, парки</v>
      </c>
      <c r="H533" s="6" t="str">
        <f>IFERROR(__xludf.DUMMYFUNCTION("""COMPUTED_VALUE"""),"Столица мегаполис, люди, улица, центр")</f>
        <v>Столица мегаполис, люди, улица, центр</v>
      </c>
      <c r="I533" s="6" t="str">
        <f>IFERROR(__xludf.DUMMYFUNCTION("""COMPUTED_VALUE"""),"Михайлов В. М., ")</f>
        <v>Михайлов В. М., </v>
      </c>
      <c r="J533" s="6" t="str">
        <f>IFERROR(__xludf.DUMMYFUNCTION("""COMPUTED_VALUE"""),"Середюк И. В. Цивилевы А. Е. и С. Е. 
")</f>
        <v>Середюк И. В. Цивилевы А. Е. и С. Е. 
</v>
      </c>
      <c r="K533" s="6" t="str">
        <f>IFERROR(__xludf.DUMMYFUNCTION("""COMPUTED_VALUE"""),"Центр города")</f>
        <v>Центр города</v>
      </c>
      <c r="L533" s="6" t="str">
        <f>IFERROR(__xludf.DUMMYFUNCTION("""COMPUTED_VALUE"""),"Не знаю")</f>
        <v>Не знаю</v>
      </c>
      <c r="M533" s="6" t="str">
        <f>IFERROR(__xludf.DUMMYFUNCTION("""COMPUTED_VALUE"""),"Нет")</f>
        <v>Нет</v>
      </c>
      <c r="N533" s="6" t="str">
        <f>IFERROR(__xludf.DUMMYFUNCTION("""COMPUTED_VALUE"""),"Чистота, озеленение, цветы, парки, доброжелательность жителей")</f>
        <v>Чистота, озеленение, цветы, парки, доброжелательность жителей</v>
      </c>
      <c r="O533" s="6" t="str">
        <f>IFERROR(__xludf.DUMMYFUNCTION("""COMPUTED_VALUE"""),"Транспорт после 8 вечера плохо ходит, а культурная жизнь - спектакли, концерты до 10 вечера")</f>
        <v>Транспорт после 8 вечера плохо ходит, а культурная жизнь - спектакли, концерты до 10 вечера</v>
      </c>
      <c r="P533" s="6" t="str">
        <f>IFERROR(__xludf.DUMMYFUNCTION("""COMPUTED_VALUE"""),"Инстаграмм")</f>
        <v>Инстаграмм</v>
      </c>
      <c r="Q533" s="6" t="str">
        <f>IFERROR(__xludf.DUMMYFUNCTION("""COMPUTED_VALUE"""),"куда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f>
        <v>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v>
      </c>
      <c r="R533" s="6" t="str">
        <f>IFERROR(__xludf.DUMMYFUNCTION("""COMPUTED_VALUE"""),"День города, день Победы")</f>
        <v>День города, день Победы</v>
      </c>
      <c r="S533" s="6" t="str">
        <f>IFERROR(__xludf.DUMMYFUNCTION("""COMPUTED_VALUE"""),"Нет, не приходилось")</f>
        <v>Нет, не приходилось</v>
      </c>
      <c r="T533" s="6" t="str">
        <f>IFERROR(__xludf.DUMMYFUNCTION("""COMPUTED_VALUE"""),"Красная горка, парк Ангелов")</f>
        <v>Красная горка, парк Ангелов</v>
      </c>
      <c r="U533" s="6" t="str">
        <f>IFERROR(__xludf.DUMMYFUNCTION("""COMPUTED_VALUE"""),"Площадь Советов")</f>
        <v>Площадь Советов</v>
      </c>
      <c r="V533" s="6" t="str">
        <f>IFERROR(__xludf.DUMMYFUNCTION("""COMPUTED_VALUE"""),"Не знаю")</f>
        <v>Не знаю</v>
      </c>
      <c r="W533" s="6" t="str">
        <f>IFERROR(__xludf.DUMMYFUNCTION("""COMPUTED_VALUE"""),"Разные люди")</f>
        <v>Разные люди</v>
      </c>
      <c r="X533" s="6" t="str">
        <f>IFERROR(__xludf.DUMMYFUNCTION("""COMPUTED_VALUE"""),"Не знаю")</f>
        <v>Не знаю</v>
      </c>
      <c r="Y533" s="6" t="str">
        <f>IFERROR(__xludf.DUMMYFUNCTION("""COMPUTED_VALUE"""),"Рок-КОНЦЕРТ")</f>
        <v>Рок-КОНЦЕРТ</v>
      </c>
      <c r="Z533" s="6" t="str">
        <f>IFERROR(__xludf.DUMMYFUNCTION("""COMPUTED_VALUE"""),"Ответ 24")</f>
        <v>Ответ 24</v>
      </c>
      <c r="AA533" s="6" t="str">
        <f>IFERROR(__xludf.DUMMYFUNCTION("""COMPUTED_VALUE"""),"Не знаю таких")</f>
        <v>Не знаю таких</v>
      </c>
      <c r="AB533" s="6" t="str">
        <f>IFERROR(__xludf.DUMMYFUNCTION("""COMPUTED_VALUE"""),"Мне хватает")</f>
        <v>Мне хватает</v>
      </c>
      <c r="AC533" s="6" t="str">
        <f>IFERROR(__xludf.DUMMYFUNCTION("""COMPUTED_VALUE"""),"Концерты знаменитостей на открытых площадках, бесплатно")</f>
        <v>Концерты знаменитостей на открытых площадках, бесплатно</v>
      </c>
      <c r="AD53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33" s="6" t="str">
        <f>IFERROR(__xludf.DUMMYFUNCTION("""COMPUTED_VALUE"""),"Женский")</f>
        <v>Женский</v>
      </c>
      <c r="AF533" s="6" t="str">
        <f>IFERROR(__xludf.DUMMYFUNCTION("""COMPUTED_VALUE"""),"старше 55")</f>
        <v>старше 55</v>
      </c>
      <c r="AG533" s="6"/>
      <c r="AH533" s="6"/>
      <c r="AI533" s="6"/>
      <c r="AJ533" s="6"/>
      <c r="AK533" s="6"/>
      <c r="AL533" s="6"/>
      <c r="AM533" s="6"/>
    </row>
    <row r="534">
      <c r="A534" s="6">
        <v>533.0</v>
      </c>
      <c r="B534" s="6" t="str">
        <f>IFERROR(__xludf.DUMMYFUNCTION("""COMPUTED_VALUE"""),"работаю")</f>
        <v>работаю</v>
      </c>
      <c r="C534" s="6" t="str">
        <f>IFERROR(__xludf.DUMMYFUNCTION("""COMPUTED_VALUE"""),"книги, кино, театр")</f>
        <v>книги, кино, театр</v>
      </c>
      <c r="D534" s="6" t="str">
        <f>IFERROR(__xludf.DUMMYFUNCTION("""COMPUTED_VALUE"""),"Заводской")</f>
        <v>Заводской</v>
      </c>
      <c r="E534" s="6" t="str">
        <f>IFERROR(__xludf.DUMMYFUNCTION("""COMPUTED_VALUE"""),"знаковое место это??? ")</f>
        <v>знаковое место это??? </v>
      </c>
      <c r="F53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534" s="6" t="str">
        <f>IFERROR(__xludf.DUMMYFUNCTION("""COMPUTED_VALUE"""),"Сосновый бор, ""Апрелька""")</f>
        <v>Сосновый бор, "Апрелька"</v>
      </c>
      <c r="H534" s="6" t="str">
        <f>IFERROR(__xludf.DUMMYFUNCTION("""COMPUTED_VALUE"""),"смог, душно, будущее,  Лесная поляна, Азот")</f>
        <v>смог, душно, будущее,  Лесная поляна, Азот</v>
      </c>
      <c r="I534" s="6" t="str">
        <f>IFERROR(__xludf.DUMMYFUNCTION("""COMPUTED_VALUE"""),"Подгорбунский, Мартемьянов, ")</f>
        <v>Подгорбунский, Мартемьянов, </v>
      </c>
      <c r="J534" s="6" t="str">
        <f>IFERROR(__xludf.DUMMYFUNCTION("""COMPUTED_VALUE"""),"нет ответа")</f>
        <v>нет ответа</v>
      </c>
      <c r="K534" s="6" t="str">
        <f>IFERROR(__xludf.DUMMYFUNCTION("""COMPUTED_VALUE"""),"Красная горка, бор, художественный музей, набережная, театр молодёжи")</f>
        <v>Красная горка, бор, художественный музей, набережная, театр молодёжи</v>
      </c>
      <c r="L534" s="6" t="str">
        <f>IFERROR(__xludf.DUMMYFUNCTION("""COMPUTED_VALUE"""),"не знаю")</f>
        <v>не знаю</v>
      </c>
      <c r="M534" s="6" t="str">
        <f>IFERROR(__xludf.DUMMYFUNCTION("""COMPUTED_VALUE"""),"нет")</f>
        <v>нет</v>
      </c>
      <c r="N534" s="6" t="str">
        <f>IFERROR(__xludf.DUMMYFUNCTION("""COMPUTED_VALUE"""),"доступная среда, чистота, озеленение, удобные и безопасные остановки и дороги, большое количество бесплатных культурных заведений")</f>
        <v>доступная среда, чистота, озеленение, удобные и безопасные остановки и дороги, большое количество бесплатных культурных заведений</v>
      </c>
      <c r="O534" s="6" t="str">
        <f>IFERROR(__xludf.DUMMYFUNCTION("""COMPUTED_VALUE"""),"настроение людей")</f>
        <v>настроение людей</v>
      </c>
      <c r="P534" s="6" t="str">
        <f>IFERROR(__xludf.DUMMYFUNCTION("""COMPUTED_VALUE"""),"Вконтакте, объявления")</f>
        <v>Вконтакте, объявления</v>
      </c>
      <c r="Q534" s="6" t="str">
        <f>IFERROR(__xludf.DUMMYFUNCTION("""COMPUTED_VALUE"""),"культурные новинки (что почитать/что послушать), интервью с местными творческими личностями, результаты местных исследований (рейтинги/аналитика/тенденции)")</f>
        <v>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534" s="6" t="str">
        <f>IFERROR(__xludf.DUMMYFUNCTION("""COMPUTED_VALUE"""),"День города")</f>
        <v>День города</v>
      </c>
      <c r="S534" s="6" t="str">
        <f>IFERROR(__xludf.DUMMYFUNCTION("""COMPUTED_VALUE"""),"Писал и расклеивал объявления/афиши")</f>
        <v>Писал и расклеивал объявления/афиши</v>
      </c>
      <c r="T534" s="6" t="str">
        <f>IFERROR(__xludf.DUMMYFUNCTION("""COMPUTED_VALUE"""),"столица угольного края")</f>
        <v>столица угольного края</v>
      </c>
      <c r="U534" s="6" t="str">
        <f>IFERROR(__xludf.DUMMYFUNCTION("""COMPUTED_VALUE"""),"в каждом районе есть собственный центр")</f>
        <v>в каждом районе есть собственный центр</v>
      </c>
      <c r="V534" s="6" t="str">
        <f>IFERROR(__xludf.DUMMYFUNCTION("""COMPUTED_VALUE"""),"гордится собой - странное занятие. Люди строили город, работали")</f>
        <v>гордится собой - странное занятие. Люди строили город, работали</v>
      </c>
      <c r="W534" s="6" t="str">
        <f>IFERROR(__xludf.DUMMYFUNCTION("""COMPUTED_VALUE"""),"отличить кемеровчанина от томича или новосибирска не возьмусь")</f>
        <v>отличить кемеровчанина от томича или новосибирска не возьмусь</v>
      </c>
      <c r="X534" s="6" t="str">
        <f>IFERROR(__xludf.DUMMYFUNCTION("""COMPUTED_VALUE"""),"бор")</f>
        <v>бор</v>
      </c>
      <c r="Y534" s="6" t="str">
        <f>IFERROR(__xludf.DUMMYFUNCTION("""COMPUTED_VALUE"""),"забастовка шахтёров")</f>
        <v>забастовка шахтёров</v>
      </c>
      <c r="Z534" s="6" t="str">
        <f>IFERROR(__xludf.DUMMYFUNCTION("""COMPUTED_VALUE"""),"нет ответа")</f>
        <v>нет ответа</v>
      </c>
      <c r="AA534" s="6" t="str">
        <f>IFERROR(__xludf.DUMMYFUNCTION("""COMPUTED_VALUE"""),"скандал связанный с бором(и не один), закрытие моей любимой библиотеки.")</f>
        <v>скандал связанный с бором(и не один), закрытие моей любимой библиотеки.</v>
      </c>
      <c r="AB534" s="6" t="str">
        <f>IFERROR(__xludf.DUMMYFUNCTION("""COMPUTED_VALUE"""),"а какие есть??")</f>
        <v>а какие есть??</v>
      </c>
      <c r="AC534" s="6" t="str">
        <f>IFERROR(__xludf.DUMMYFUNCTION("""COMPUTED_VALUE"""),"не события и не мероприятия, а интересная и достойно оплачиваемая работа")</f>
        <v>не события и не мероприятия, а интересная и достойно оплачиваемая работа</v>
      </c>
      <c r="AD534"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534" s="6" t="str">
        <f>IFERROR(__xludf.DUMMYFUNCTION("""COMPUTED_VALUE"""),"Женский")</f>
        <v>Женский</v>
      </c>
      <c r="AF534" s="6" t="str">
        <f>IFERROR(__xludf.DUMMYFUNCTION("""COMPUTED_VALUE"""),"45-55")</f>
        <v>45-55</v>
      </c>
      <c r="AG534" s="6"/>
      <c r="AH534" s="6"/>
      <c r="AI534" s="6"/>
      <c r="AJ534" s="6"/>
      <c r="AK534" s="6"/>
      <c r="AL534" s="6"/>
      <c r="AM534" s="6"/>
    </row>
    <row r="535">
      <c r="A535" s="6">
        <v>534.0</v>
      </c>
      <c r="B535" s="6" t="str">
        <f>IFERROR(__xludf.DUMMYFUNCTION("""COMPUTED_VALUE"""),"Работаю")</f>
        <v>Работаю</v>
      </c>
      <c r="C535" s="6" t="str">
        <f>IFERROR(__xludf.DUMMYFUNCTION("""COMPUTED_VALUE"""),"Тратить бессмыслено своё время")</f>
        <v>Тратить бессмыслено своё время</v>
      </c>
      <c r="D535" s="6" t="str">
        <f>IFERROR(__xludf.DUMMYFUNCTION("""COMPUTED_VALUE"""),"Центр")</f>
        <v>Центр</v>
      </c>
      <c r="E535" s="6" t="str">
        <f>IFERROR(__xludf.DUMMYFUNCTION("""COMPUTED_VALUE"""),"Научная библиотека, вокзал")</f>
        <v>Научная библиотека, вокзал</v>
      </c>
      <c r="F535" s="6" t="str">
        <f>IFERROR(__xludf.DUMMYFUNCTION("""COMPUTED_VALUE"""),"Переехал сюда из другого места (откуда? укажите в графе другое), с. Борисово")</f>
        <v>Переехал сюда из другого места (откуда? укажите в графе другое), с. Борисово</v>
      </c>
      <c r="G535" s="6" t="str">
        <f>IFERROR(__xludf.DUMMYFUNCTION("""COMPUTED_VALUE"""),"Никуда")</f>
        <v>Никуда</v>
      </c>
      <c r="H535" s="6" t="str">
        <f>IFERROR(__xludf.DUMMYFUNCTION("""COMPUTED_VALUE"""),"Стена, дерево, мрак, газ, синий")</f>
        <v>Стена, дерево, мрак, газ, синий</v>
      </c>
      <c r="I535" s="6" t="str">
        <f>IFERROR(__xludf.DUMMYFUNCTION("""COMPUTED_VALUE"""),"В. Волошина, А. Леонов")</f>
        <v>В. Волошина, А. Леонов</v>
      </c>
      <c r="J535" s="6" t="str">
        <f>IFERROR(__xludf.DUMMYFUNCTION("""COMPUTED_VALUE"""),"Нет")</f>
        <v>Нет</v>
      </c>
      <c r="K535" s="6" t="str">
        <f>IFERROR(__xludf.DUMMYFUNCTION("""COMPUTED_VALUE"""),"Нет")</f>
        <v>Нет</v>
      </c>
      <c r="L535" s="6" t="str">
        <f>IFERROR(__xludf.DUMMYFUNCTION("""COMPUTED_VALUE"""),"Нет")</f>
        <v>Нет</v>
      </c>
      <c r="M535" s="6" t="str">
        <f>IFERROR(__xludf.DUMMYFUNCTION("""COMPUTED_VALUE"""),"Нет")</f>
        <v>Нет</v>
      </c>
      <c r="N535" s="6" t="str">
        <f>IFERROR(__xludf.DUMMYFUNCTION("""COMPUTED_VALUE"""),"Дружелюбность, зелень")</f>
        <v>Дружелюбность, зелень</v>
      </c>
      <c r="O535" s="6" t="str">
        <f>IFERROR(__xludf.DUMMYFUNCTION("""COMPUTED_VALUE"""),"Безработицу")</f>
        <v>Безработицу</v>
      </c>
      <c r="P535" s="6" t="str">
        <f>IFERROR(__xludf.DUMMYFUNCTION("""COMPUTED_VALUE"""),"От людей")</f>
        <v>От людей</v>
      </c>
      <c r="Q535" s="6" t="str">
        <f>IFERROR(__xludf.DUMMYFUNCTION("""COMPUTED_VALUE"""),"интервью с местными творческими личностями, криминальные новости (происшествия/преступления), новости про новые профессии/куда поступать/вакансии")</f>
        <v>интервью с местными творческими личностями, криминальные новости (происшествия/преступления), новости про новые профессии/куда поступать/вакансии</v>
      </c>
      <c r="R535" s="6" t="str">
        <f>IFERROR(__xludf.DUMMYFUNCTION("""COMPUTED_VALUE"""),"Новый год")</f>
        <v>Новый год</v>
      </c>
      <c r="S535" s="6" t="str">
        <f>IFERROR(__xludf.DUMMYFUNCTION("""COMPUTED_VALUE"""),"Писал и расклеивал объявления/афиши, Делал рассылку по электронной почте")</f>
        <v>Писал и расклеивал объявления/афиши, Делал рассылку по электронной почте</v>
      </c>
      <c r="T535" s="6" t="str">
        <f>IFERROR(__xludf.DUMMYFUNCTION("""COMPUTED_VALUE"""),"-")</f>
        <v>-</v>
      </c>
      <c r="U535" s="6" t="str">
        <f>IFERROR(__xludf.DUMMYFUNCTION("""COMPUTED_VALUE"""),"Парк чудес ")</f>
        <v>Парк чудес </v>
      </c>
      <c r="V535" s="6" t="str">
        <f>IFERROR(__xludf.DUMMYFUNCTION("""COMPUTED_VALUE"""),"Озеленение города")</f>
        <v>Озеленение города</v>
      </c>
      <c r="W535" s="6" t="str">
        <f>IFERROR(__xludf.DUMMYFUNCTION("""COMPUTED_VALUE"""),"Дружелюбные")</f>
        <v>Дружелюбные</v>
      </c>
      <c r="X535" s="6" t="str">
        <f>IFERROR(__xludf.DUMMYFUNCTION("""COMPUTED_VALUE"""),"-")</f>
        <v>-</v>
      </c>
      <c r="Y535" s="6" t="str">
        <f>IFERROR(__xludf.DUMMYFUNCTION("""COMPUTED_VALUE"""),"Елка")</f>
        <v>Елка</v>
      </c>
      <c r="Z535" s="6" t="str">
        <f>IFERROR(__xludf.DUMMYFUNCTION("""COMPUTED_VALUE"""),"-")</f>
        <v>-</v>
      </c>
      <c r="AA535" s="6" t="str">
        <f>IFERROR(__xludf.DUMMYFUNCTION("""COMPUTED_VALUE"""),"Сокращение людей")</f>
        <v>Сокращение людей</v>
      </c>
      <c r="AB535" s="6" t="str">
        <f>IFERROR(__xludf.DUMMYFUNCTION("""COMPUTED_VALUE"""),"-")</f>
        <v>-</v>
      </c>
      <c r="AC535" s="6" t="str">
        <f>IFERROR(__xludf.DUMMYFUNCTION("""COMPUTED_VALUE"""),"-")</f>
        <v>-</v>
      </c>
      <c r="AD535" s="6" t="str">
        <f>IFERROR(__xludf.DUMMYFUNCTION("""COMPUTED_VALUE"""),"Не готов принимать личное участие (укажите, пожалуйста, причину в поле «Другое»), Не планирую оставаться в городе")</f>
        <v>Не готов принимать личное участие (укажите, пожалуйста, причину в поле «Другое»), Не планирую оставаться в городе</v>
      </c>
      <c r="AE535" s="6" t="str">
        <f>IFERROR(__xludf.DUMMYFUNCTION("""COMPUTED_VALUE"""),"Женский")</f>
        <v>Женский</v>
      </c>
      <c r="AF535" s="6" t="str">
        <f>IFERROR(__xludf.DUMMYFUNCTION("""COMPUTED_VALUE"""),"18-29")</f>
        <v>18-29</v>
      </c>
      <c r="AG535" s="6"/>
      <c r="AH535" s="6"/>
      <c r="AI535" s="6"/>
      <c r="AJ535" s="6"/>
      <c r="AK535" s="6"/>
      <c r="AL535" s="6"/>
      <c r="AM535" s="6"/>
    </row>
    <row r="536">
      <c r="A536" s="6">
        <v>535.0</v>
      </c>
      <c r="B536" s="6" t="str">
        <f>IFERROR(__xludf.DUMMYFUNCTION("""COMPUTED_VALUE"""),"Служащий")</f>
        <v>Служащий</v>
      </c>
      <c r="C536" s="6" t="str">
        <f>IFERROR(__xludf.DUMMYFUNCTION("""COMPUTED_VALUE"""),"Массаж")</f>
        <v>Массаж</v>
      </c>
      <c r="D536" s="6" t="str">
        <f>IFERROR(__xludf.DUMMYFUNCTION("""COMPUTED_VALUE"""),"Центр")</f>
        <v>Центр</v>
      </c>
      <c r="E536" s="6" t="str">
        <f>IFERROR(__xludf.DUMMYFUNCTION("""COMPUTED_VALUE"""),"Площадь, вечный огонь, набережная")</f>
        <v>Площадь, вечный огонь, набережная</v>
      </c>
      <c r="F536" s="6" t="str">
        <f>IFERROR(__xludf.DUMMYFUNCTION("""COMPUTED_VALUE"""),"Живу здесь с рождения")</f>
        <v>Живу здесь с рождения</v>
      </c>
      <c r="G536" s="6" t="str">
        <f>IFERROR(__xludf.DUMMYFUNCTION("""COMPUTED_VALUE"""),"Рудничный бор")</f>
        <v>Рудничный бор</v>
      </c>
      <c r="H536" s="6" t="str">
        <f>IFERROR(__xludf.DUMMYFUNCTION("""COMPUTED_VALUE"""),"Тихо, спокойно,, достумно, чисто.")</f>
        <v>Тихо, спокойно,, достумно, чисто.</v>
      </c>
      <c r="I536" s="6" t="str">
        <f>IFERROR(__xludf.DUMMYFUNCTION("""COMPUTED_VALUE"""),"Волков, Рутгерс")</f>
        <v>Волков, Рутгерс</v>
      </c>
      <c r="J536" s="6" t="str">
        <f>IFERROR(__xludf.DUMMYFUNCTION("""COMPUTED_VALUE"""),"Подгорбунский, Бобров Тулеев")</f>
        <v>Подгорбунский, Бобров Тулеев</v>
      </c>
      <c r="K536" s="6" t="str">
        <f>IFERROR(__xludf.DUMMYFUNCTION("""COMPUTED_VALUE"""),"Красная горка")</f>
        <v>Красная горка</v>
      </c>
      <c r="L536" s="6" t="str">
        <f>IFERROR(__xludf.DUMMYFUNCTION("""COMPUTED_VALUE"""),"-------")</f>
        <v>-------</v>
      </c>
      <c r="M536" s="6" t="str">
        <f>IFERROR(__xludf.DUMMYFUNCTION("""COMPUTED_VALUE"""),"Как всегда, на набережной.
На кольце.")</f>
        <v>Как всегда, на набережной.
На кольце.</v>
      </c>
      <c r="N536" s="6" t="str">
        <f>IFERROR(__xludf.DUMMYFUNCTION("""COMPUTED_VALUE"""),"Пляж,  зелёные зоны
Доступное жилье
Качественная медицина
Клубы по интересам ")</f>
        <v>Пляж,  зелёные зоны
Доступное жилье
Качественная медицина
Клубы по интересам </v>
      </c>
      <c r="O536" s="6" t="str">
        <f>IFERROR(__xludf.DUMMYFUNCTION("""COMPUTED_VALUE"""),"Воздух")</f>
        <v>Воздух</v>
      </c>
      <c r="P536" s="6" t="str">
        <f>IFERROR(__xludf.DUMMYFUNCTION("""COMPUTED_VALUE"""),"Яндекс новости")</f>
        <v>Яндекс новости</v>
      </c>
      <c r="Q536"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536" s="6" t="str">
        <f>IFERROR(__xludf.DUMMYFUNCTION("""COMPUTED_VALUE"""),"День города")</f>
        <v>День города</v>
      </c>
      <c r="S536" s="6" t="str">
        <f>IFERROR(__xludf.DUMMYFUNCTION("""COMPUTED_VALUE"""),"Через социальные сети (Какие? Укажите в графе другое), ВК")</f>
        <v>Через социальные сети (Какие? Укажите в графе другое), ВК</v>
      </c>
      <c r="T536" s="6" t="str">
        <f>IFERROR(__xludf.DUMMYFUNCTION("""COMPUTED_VALUE"""),"Лесная поляна")</f>
        <v>Лесная поляна</v>
      </c>
      <c r="U536" s="6" t="str">
        <f>IFERROR(__xludf.DUMMYFUNCTION("""COMPUTED_VALUE"""),"Театр драмы")</f>
        <v>Театр драмы</v>
      </c>
      <c r="V536" s="6" t="str">
        <f>IFERROR(__xludf.DUMMYFUNCTION("""COMPUTED_VALUE"""),"Трудились")</f>
        <v>Трудились</v>
      </c>
      <c r="W536" s="6" t="str">
        <f>IFERROR(__xludf.DUMMYFUNCTION("""COMPUTED_VALUE"""),"Неулыбчивые")</f>
        <v>Неулыбчивые</v>
      </c>
      <c r="X536" s="6" t="str">
        <f>IFERROR(__xludf.DUMMYFUNCTION("""COMPUTED_VALUE"""),"Набережная -Весенняя")</f>
        <v>Набережная -Весенняя</v>
      </c>
      <c r="Y536" s="6" t="str">
        <f>IFERROR(__xludf.DUMMYFUNCTION("""COMPUTED_VALUE"""),"Переименование из Щегловска")</f>
        <v>Переименование из Щегловска</v>
      </c>
      <c r="Z536" s="6" t="str">
        <f>IFERROR(__xludf.DUMMYFUNCTION("""COMPUTED_VALUE"""),"Новый год на площади Советов")</f>
        <v>Новый год на площади Советов</v>
      </c>
      <c r="AA536" s="6" t="str">
        <f>IFERROR(__xludf.DUMMYFUNCTION("""COMPUTED_VALUE"""),"В моей реальности позитив")</f>
        <v>В моей реальности позитив</v>
      </c>
      <c r="AB536" s="6" t="str">
        <f>IFERROR(__xludf.DUMMYFUNCTION("""COMPUTED_VALUE"""),"Объединение жителей по возростам и интересам (не общепит)")</f>
        <v>Объединение жителей по возростам и интересам (не общепит)</v>
      </c>
      <c r="AC536" s="6" t="str">
        <f>IFERROR(__xludf.DUMMYFUNCTION("""COMPUTED_VALUE"""),"Выступления  творческих коллективов. Спортивные соревнованя в парке Побыды")</f>
        <v>Выступления  творческих коллективов. Спортивные соревнованя в парке Побыды</v>
      </c>
      <c r="AD53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36" s="6" t="str">
        <f>IFERROR(__xludf.DUMMYFUNCTION("""COMPUTED_VALUE"""),"Женский")</f>
        <v>Женский</v>
      </c>
      <c r="AF536" s="6" t="str">
        <f>IFERROR(__xludf.DUMMYFUNCTION("""COMPUTED_VALUE"""),"старше 55")</f>
        <v>старше 55</v>
      </c>
      <c r="AG536" s="6"/>
      <c r="AH536" s="6"/>
      <c r="AI536" s="6"/>
      <c r="AJ536" s="6"/>
      <c r="AK536" s="6"/>
      <c r="AL536" s="6"/>
      <c r="AM536" s="6"/>
    </row>
    <row r="537">
      <c r="A537" s="6">
        <v>536.0</v>
      </c>
      <c r="B537" s="6" t="str">
        <f>IFERROR(__xludf.DUMMYFUNCTION("""COMPUTED_VALUE"""),"Культура ")</f>
        <v>Культура </v>
      </c>
      <c r="C537" s="6" t="str">
        <f>IFERROR(__xludf.DUMMYFUNCTION("""COMPUTED_VALUE"""),"Чтение")</f>
        <v>Чтение</v>
      </c>
      <c r="D537" s="6" t="str">
        <f>IFERROR(__xludf.DUMMYFUNCTION("""COMPUTED_VALUE"""),"Кировский")</f>
        <v>Кировский</v>
      </c>
      <c r="E537" s="6" t="str">
        <f>IFERROR(__xludf.DUMMYFUNCTION("""COMPUTED_VALUE"""),"Набережная, берёзовая роща")</f>
        <v>Набережная, берёзовая роща</v>
      </c>
      <c r="F537" s="6" t="str">
        <f>IFERROR(__xludf.DUMMYFUNCTION("""COMPUTED_VALUE"""),"Переехал сюда из другого места (откуда? укажите в графе другое), Приехала получать высшее образование ")</f>
        <v>Переехал сюда из другого места (откуда? укажите в графе другое), Приехала получать высшее образование </v>
      </c>
      <c r="G537" s="6" t="str">
        <f>IFERROR(__xludf.DUMMYFUNCTION("""COMPUTED_VALUE"""),"Набережная ")</f>
        <v>Набережная </v>
      </c>
      <c r="H537" s="6" t="str">
        <f>IFERROR(__xludf.DUMMYFUNCTION("""COMPUTED_VALUE"""),"Малая Родина, вечный огонь, река, Красная Горка, Весенняя")</f>
        <v>Малая Родина, вечный огонь, река, Красная Горка, Весенняя</v>
      </c>
      <c r="I537" s="6" t="str">
        <f>IFERROR(__xludf.DUMMYFUNCTION("""COMPUTED_VALUE"""),"Михайло Волков, Рутгерс, Балибалов, ")</f>
        <v>Михайло Волков, Рутгерс, Балибалов, </v>
      </c>
      <c r="J537" s="6" t="str">
        <f>IFERROR(__xludf.DUMMYFUNCTION("""COMPUTED_VALUE"""),"Александров, Михайлов")</f>
        <v>Александров, Михайлов</v>
      </c>
      <c r="K537" s="6" t="str">
        <f>IFERROR(__xludf.DUMMYFUNCTION("""COMPUTED_VALUE"""),"Красная горка, Весенняя, набережная Центрального и Кировского районов, бульвар Строителей ")</f>
        <v>Красная горка, Весенняя, набережная Центрального и Кировского районов, бульвар Строителей </v>
      </c>
      <c r="L537" s="6" t="str">
        <f>IFERROR(__xludf.DUMMYFUNCTION("""COMPUTED_VALUE"""),"Не знаю ")</f>
        <v>Не знаю </v>
      </c>
      <c r="M537" s="6" t="str">
        <f>IFERROR(__xludf.DUMMYFUNCTION("""COMPUTED_VALUE"""),"Нет")</f>
        <v>Нет</v>
      </c>
      <c r="N537" s="6" t="str">
        <f>IFERROR(__xludf.DUMMYFUNCTION("""COMPUTED_VALUE"""),"Доступность инфраструктуры, чистота, безопасность, комфорт, красота")</f>
        <v>Доступность инфраструктуры, чистота, безопасность, комфорт, красота</v>
      </c>
      <c r="O537" s="6" t="str">
        <f>IFERROR(__xludf.DUMMYFUNCTION("""COMPUTED_VALUE"""),"Большее количество высокооплачиваемых рабочих мест все42")</f>
        <v>Большее количество высокооплачиваемых рабочих мест все42</v>
      </c>
      <c r="P537" s="6" t="str">
        <f>IFERROR(__xludf.DUMMYFUNCTION("""COMPUTED_VALUE"""),"Все 42, Россия1")</f>
        <v>Все 42, Россия1</v>
      </c>
      <c r="Q537" s="6" t="str">
        <f>IFERROR(__xludf.DUMMYFUNCTION("""COMPUTED_VALUE"""),"интервью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f>
        <v>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v>
      </c>
      <c r="R537" s="6" t="str">
        <f>IFERROR(__xludf.DUMMYFUNCTION("""COMPUTED_VALUE"""),"День Победы, День города")</f>
        <v>День Победы, День города</v>
      </c>
      <c r="S537" s="6" t="str">
        <f>IFERROR(__xludf.DUMMYFUNCTION("""COMPUTED_VALUE"""),"Через социальные сети (Какие? Укажите в графе другое), VK, Одноклассники ")</f>
        <v>Через социальные сети (Какие? Укажите в графе другое), VK, Одноклассники </v>
      </c>
      <c r="T537" s="6" t="str">
        <f>IFERROR(__xludf.DUMMYFUNCTION("""COMPUTED_VALUE"""),"Затрудняюсь ответить")</f>
        <v>Затрудняюсь ответить</v>
      </c>
      <c r="U537" s="6" t="str">
        <f>IFERROR(__xludf.DUMMYFUNCTION("""COMPUTED_VALUE"""),"Площадь Волкова")</f>
        <v>Площадь Волкова</v>
      </c>
      <c r="V537" s="6" t="str">
        <f>IFERROR(__xludf.DUMMYFUNCTION("""COMPUTED_VALUE"""),"Сохранили сосновый бор и березовую рощу")</f>
        <v>Сохранили сосновый бор и березовую рощу</v>
      </c>
      <c r="W537" s="6" t="str">
        <f>IFERROR(__xludf.DUMMYFUNCTION("""COMPUTED_VALUE"""),"Доброжелательные, отзывчивые, целеустремленные, трудолюбие, веселые")</f>
        <v>Доброжелательные, отзывчивые, целеустремленные, трудолюбие, веселые</v>
      </c>
      <c r="X537" s="6" t="str">
        <f>IFERROR(__xludf.DUMMYFUNCTION("""COMPUTED_VALUE"""),"Центр городапереименование")</f>
        <v>Центр городапереименование</v>
      </c>
      <c r="Y537" s="6" t="str">
        <f>IFERROR(__xludf.DUMMYFUNCTION("""COMPUTED_VALUE"""),"Переименование Щегловска в Кемерово в 1918 году")</f>
        <v>Переименование Щегловска в Кемерово в 1918 году</v>
      </c>
      <c r="Z537" s="6" t="str">
        <f>IFERROR(__xludf.DUMMYFUNCTION("""COMPUTED_VALUE"""),"День Победы, День шахтера")</f>
        <v>День Победы, День шахтера</v>
      </c>
      <c r="AA537" s="6" t="str">
        <f>IFERROR(__xludf.DUMMYFUNCTION("""COMPUTED_VALUE"""),"Митинг в поддержку Навального")</f>
        <v>Митинг в поддержку Навального</v>
      </c>
      <c r="AB537" s="6" t="str">
        <f>IFERROR(__xludf.DUMMYFUNCTION("""COMPUTED_VALUE"""),"Затрудняюсь ответить")</f>
        <v>Затрудняюсь ответить</v>
      </c>
      <c r="AC537" s="6" t="str">
        <f>IFERROR(__xludf.DUMMYFUNCTION("""COMPUTED_VALUE"""),"Затрудняюсь ответить")</f>
        <v>Затрудняюсь ответить</v>
      </c>
      <c r="AD53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37" s="6" t="str">
        <f>IFERROR(__xludf.DUMMYFUNCTION("""COMPUTED_VALUE"""),"Женский")</f>
        <v>Женский</v>
      </c>
      <c r="AF537" s="6" t="str">
        <f>IFERROR(__xludf.DUMMYFUNCTION("""COMPUTED_VALUE"""),"30-44")</f>
        <v>30-44</v>
      </c>
      <c r="AG537" s="6"/>
      <c r="AH537" s="6"/>
      <c r="AI537" s="6"/>
      <c r="AJ537" s="6"/>
      <c r="AK537" s="6"/>
      <c r="AL537" s="6"/>
      <c r="AM537" s="6"/>
    </row>
    <row r="538">
      <c r="A538" s="6">
        <v>537.0</v>
      </c>
      <c r="B538" s="6" t="str">
        <f>IFERROR(__xludf.DUMMYFUNCTION("""COMPUTED_VALUE"""),"Работаю")</f>
        <v>Работаю</v>
      </c>
      <c r="C538" s="6" t="str">
        <f>IFERROR(__xludf.DUMMYFUNCTION("""COMPUTED_VALUE"""),"да, домашнее животное")</f>
        <v>да, домашнее животное</v>
      </c>
      <c r="D538" s="6" t="str">
        <f>IFERROR(__xludf.DUMMYFUNCTION("""COMPUTED_VALUE"""),"В центральном")</f>
        <v>В центральном</v>
      </c>
      <c r="E538" s="6" t="str">
        <f>IFERROR(__xludf.DUMMYFUNCTION("""COMPUTED_VALUE"""),"парк ангелов")</f>
        <v>парк ангелов</v>
      </c>
      <c r="F538" s="6" t="str">
        <f>IFERROR(__xludf.DUMMYFUNCTION("""COMPUTED_VALUE"""),"Живу здесь с рождения")</f>
        <v>Живу здесь с рождения</v>
      </c>
      <c r="G538" s="6" t="str">
        <f>IFERROR(__xludf.DUMMYFUNCTION("""COMPUTED_VALUE"""),"Парк ангелов")</f>
        <v>Парк ангелов</v>
      </c>
      <c r="H538" s="6" t="str">
        <f>IFERROR(__xludf.DUMMYFUNCTION("""COMPUTED_VALUE"""),"зелень, чистота, порядок, цветы, набережная")</f>
        <v>зелень, чистота, порядок, цветы, набережная</v>
      </c>
      <c r="I538" s="6" t="str">
        <f>IFERROR(__xludf.DUMMYFUNCTION("""COMPUTED_VALUE""")," Волков")</f>
        <v> Волков</v>
      </c>
      <c r="J538" s="6" t="str">
        <f>IFERROR(__xludf.DUMMYFUNCTION("""COMPUTED_VALUE"""),"Подгорбунский")</f>
        <v>Подгорбунский</v>
      </c>
      <c r="K538" s="6" t="str">
        <f>IFERROR(__xludf.DUMMYFUNCTION("""COMPUTED_VALUE"""),"Не знаю")</f>
        <v>Не знаю</v>
      </c>
      <c r="L538" s="6" t="str">
        <f>IFERROR(__xludf.DUMMYFUNCTION("""COMPUTED_VALUE"""),"не знаю")</f>
        <v>не знаю</v>
      </c>
      <c r="M538" s="6" t="str">
        <f>IFERROR(__xludf.DUMMYFUNCTION("""COMPUTED_VALUE"""),"нет")</f>
        <v>нет</v>
      </c>
      <c r="N538" s="6" t="str">
        <f>IFERROR(__xludf.DUMMYFUNCTION("""COMPUTED_VALUE"""),"Не знаю")</f>
        <v>Не знаю</v>
      </c>
      <c r="O538" s="6" t="str">
        <f>IFERROR(__xludf.DUMMYFUNCTION("""COMPUTED_VALUE"""),"не знаю")</f>
        <v>не знаю</v>
      </c>
      <c r="P538" s="6" t="str">
        <f>IFERROR(__xludf.DUMMYFUNCTION("""COMPUTED_VALUE"""),"яндекс")</f>
        <v>яндекс</v>
      </c>
      <c r="Q538" s="6" t="str">
        <f>IFERROR(__xludf.DUMMYFUNCTION("""COMPUTED_VALUE"""),"культурные новинки (что почитать/что послушать)")</f>
        <v>культурные новинки (что почитать/что послушать)</v>
      </c>
      <c r="R538" s="6" t="str">
        <f>IFERROR(__xludf.DUMMYFUNCTION("""COMPUTED_VALUE"""),"День Победы")</f>
        <v>День Победы</v>
      </c>
      <c r="S538" s="6" t="str">
        <f>IFERROR(__xludf.DUMMYFUNCTION("""COMPUTED_VALUE"""),"Писал и расклеивал объявления/афиши")</f>
        <v>Писал и расклеивал объявления/афиши</v>
      </c>
      <c r="T538" s="6" t="str">
        <f>IFERROR(__xludf.DUMMYFUNCTION("""COMPUTED_VALUE"""),"Не знаю")</f>
        <v>Не знаю</v>
      </c>
      <c r="U538" s="6" t="str">
        <f>IFERROR(__xludf.DUMMYFUNCTION("""COMPUTED_VALUE"""),"не знаю")</f>
        <v>не знаю</v>
      </c>
      <c r="V538" s="6" t="str">
        <f>IFERROR(__xludf.DUMMYFUNCTION("""COMPUTED_VALUE"""),"не знаю")</f>
        <v>не знаю</v>
      </c>
      <c r="W538" s="6" t="str">
        <f>IFERROR(__xludf.DUMMYFUNCTION("""COMPUTED_VALUE"""),"не знаю")</f>
        <v>не знаю</v>
      </c>
      <c r="X538" s="6" t="str">
        <f>IFERROR(__xludf.DUMMYFUNCTION("""COMPUTED_VALUE"""),"не знаю")</f>
        <v>не знаю</v>
      </c>
      <c r="Y538" s="6" t="str">
        <f>IFERROR(__xludf.DUMMYFUNCTION("""COMPUTED_VALUE"""),"Трудно ответить")</f>
        <v>Трудно ответить</v>
      </c>
      <c r="Z538" s="6" t="str">
        <f>IFERROR(__xludf.DUMMYFUNCTION("""COMPUTED_VALUE"""),"трудно ответить")</f>
        <v>трудно ответить</v>
      </c>
      <c r="AA538" s="6" t="str">
        <f>IFERROR(__xludf.DUMMYFUNCTION("""COMPUTED_VALUE"""),"трудно ответить")</f>
        <v>трудно ответить</v>
      </c>
      <c r="AB538" s="6" t="str">
        <f>IFERROR(__xludf.DUMMYFUNCTION("""COMPUTED_VALUE"""),"Не знаю")</f>
        <v>Не знаю</v>
      </c>
      <c r="AC538" s="6" t="str">
        <f>IFERROR(__xludf.DUMMYFUNCTION("""COMPUTED_VALUE"""),"трудно сказать")</f>
        <v>трудно сказать</v>
      </c>
      <c r="AD53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38" s="6" t="str">
        <f>IFERROR(__xludf.DUMMYFUNCTION("""COMPUTED_VALUE"""),"Женский")</f>
        <v>Женский</v>
      </c>
      <c r="AF538" s="6" t="str">
        <f>IFERROR(__xludf.DUMMYFUNCTION("""COMPUTED_VALUE"""),"45-55")</f>
        <v>45-55</v>
      </c>
      <c r="AG538" s="6"/>
      <c r="AH538" s="6"/>
      <c r="AI538" s="6"/>
      <c r="AJ538" s="6"/>
      <c r="AK538" s="6"/>
      <c r="AL538" s="6"/>
      <c r="AM538" s="6"/>
    </row>
    <row r="539">
      <c r="A539" s="6">
        <v>538.0</v>
      </c>
      <c r="B539" s="6" t="str">
        <f>IFERROR(__xludf.DUMMYFUNCTION("""COMPUTED_VALUE"""),"Библиотекарь")</f>
        <v>Библиотекарь</v>
      </c>
      <c r="C539" s="6" t="str">
        <f>IFERROR(__xludf.DUMMYFUNCTION("""COMPUTED_VALUE"""),"Чтение")</f>
        <v>Чтение</v>
      </c>
      <c r="D539" s="6" t="str">
        <f>IFERROR(__xludf.DUMMYFUNCTION("""COMPUTED_VALUE"""),"Центральный. Старый центр")</f>
        <v>Центральный. Старый центр</v>
      </c>
      <c r="E539" s="6" t="str">
        <f>IFERROR(__xludf.DUMMYFUNCTION("""COMPUTED_VALUE"""),"Стадион Химик, парк Ангелов, парк с набережной")</f>
        <v>Стадион Химик, парк Ангелов, парк с набережной</v>
      </c>
      <c r="F539" s="6" t="str">
        <f>IFERROR(__xludf.DUMMYFUNCTION("""COMPUTED_VALUE"""),"Переехал сюда из другого места (откуда? укажите в графе другое), Яшкинский район, второй раз из Узбекистана")</f>
        <v>Переехал сюда из другого места (откуда? укажите в графе другое), Яшкинский район, второй раз из Узбекистана</v>
      </c>
      <c r="G539" s="6" t="str">
        <f>IFERROR(__xludf.DUMMYFUNCTION("""COMPUTED_VALUE"""),"К ТУЦР  в сквер, или парк Юности, иногда бор")</f>
        <v>К ТУЦР  в сквер, или парк Юности, иногда бор</v>
      </c>
      <c r="H539" s="6" t="str">
        <f>IFERROR(__xludf.DUMMYFUNCTION("""COMPUTED_VALUE"""),"Бедный, пустой, угольный, промышленный, злой")</f>
        <v>Бедный, пустой, угольный, промышленный, злой</v>
      </c>
      <c r="I539" s="6" t="str">
        <f>IFERROR(__xludf.DUMMYFUNCTION("""COMPUTED_VALUE"""),"Работники АИК, мэр Михайлов и Ирина Федорова, Подгорбунский, много знаю имен в разной деятельности")</f>
        <v>Работники АИК, мэр Михайлов и Ирина Федорова, Подгорбунский, много знаю имен в разной деятельности</v>
      </c>
      <c r="J539" s="6" t="str">
        <f>IFERROR(__xludf.DUMMYFUNCTION("""COMPUTED_VALUE"""),"Мэр Михайлов всегда пример, в библиотечной деле Донская Наталья Федоровна")</f>
        <v>Мэр Михайлов всегда пример, в библиотечной деле Донская Наталья Федоровна</v>
      </c>
      <c r="K539" s="6" t="str">
        <f>IFERROR(__xludf.DUMMYFUNCTION("""COMPUTED_VALUE"""),"Красная Горка, парк Ангелов, бор на правом берегу")</f>
        <v>Красная Горка, парк Ангелов, бор на правом берегу</v>
      </c>
      <c r="L539" s="6" t="str">
        <f>IFERROR(__xludf.DUMMYFUNCTION("""COMPUTED_VALUE"""),"Жила в Узбекистане, но и там рассказывали как шахтеры бастовали, стучали по рельсам")</f>
        <v>Жила в Узбекистане, но и там рассказывали как шахтеры бастовали, стучали по рельсам</v>
      </c>
      <c r="M539" s="6" t="str">
        <f>IFERROR(__xludf.DUMMYFUNCTION("""COMPUTED_VALUE"""),"Проезд рядом с парком Чудес называют Михайловском, в частном секторе месторасположение Плешки, магазин""Я"" - Яшка")</f>
        <v>Проезд рядом с парком Чудес называют Михайловском, в частном секторе месторасположение Плешки, магазин"Я" - Яшка</v>
      </c>
      <c r="N539" s="6" t="str">
        <f>IFERROR(__xludf.DUMMYFUNCTION("""COMPUTED_VALUE"""),"Зелень, чистота, ровные дороги, отремонтированный здания, удобный транспорт")</f>
        <v>Зелень, чистота, ровные дороги, отремонтированный здания, удобный транспорт</v>
      </c>
      <c r="O539" s="6" t="str">
        <f>IFERROR(__xludf.DUMMYFUNCTION("""COMPUTED_VALUE"""),"Убрать грязь, отремонтировать фасады зданий не только на улицу, но и во дворе")</f>
        <v>Убрать грязь, отремонтировать фасады зданий не только на улицу, но и во дворе</v>
      </c>
      <c r="P539" s="6" t="str">
        <f>IFERROR(__xludf.DUMMYFUNCTION("""COMPUTED_VALUE"""),"Местная пресса, все42новости, ВКонтакте, Одноклассники, браузер Яндекс")</f>
        <v>Местная пресса, все42новости, ВКонтакте, Одноклассники, браузер Яндекс</v>
      </c>
      <c r="Q539" s="6" t="str">
        <f>IFERROR(__xludf.DUMMYFUNCTION("""COMPUTED_VALUE"""),"культурные новинки (что почитать/что послушать), интервью с местными творческими личностями, новости про новые профессии/куда поступать/вакансии")</f>
        <v>культурные новинки (что почитать/что послушать), интервью с местными творческими личностями, новости про новые профессии/куда поступать/вакансии</v>
      </c>
      <c r="R539" s="6" t="str">
        <f>IFERROR(__xludf.DUMMYFUNCTION("""COMPUTED_VALUE"""),"9 мая, День города, День шахтера, Новый год")</f>
        <v>9 мая, День города, День шахтера, Новый год</v>
      </c>
      <c r="S539" s="6" t="str">
        <f>IFERROR(__xludf.DUMMYFUNCTION("""COMPUTED_VALUE"""),"Писал и расклеивал объявления/афиши, Делал рассылку по электронной почте, Обращался в редакции городских газет, телевидения, радио")</f>
        <v>Писал и расклеивал объявления/афиши, Делал рассылку по электронной почте, Обращался в редакции городских газет, телевидения, радио</v>
      </c>
      <c r="T539" s="6" t="str">
        <f>IFERROR(__xludf.DUMMYFUNCTION("""COMPUTED_VALUE"""),"Бор")</f>
        <v>Бор</v>
      </c>
      <c r="U539" s="6" t="str">
        <f>IFERROR(__xludf.DUMMYFUNCTION("""COMPUTED_VALUE"""),"Стадион Химик и кольцо на бульваре Строителей, Цирк, затрудняюсь ответить")</f>
        <v>Стадион Химик и кольцо на бульваре Строителей, Цирк, затрудняюсь ответить</v>
      </c>
      <c r="V539" s="6" t="str">
        <f>IFERROR(__xludf.DUMMYFUNCTION("""COMPUTED_VALUE"""),"Честно работали")</f>
        <v>Честно работали</v>
      </c>
      <c r="W539" s="6" t="str">
        <f>IFERROR(__xludf.DUMMYFUNCTION("""COMPUTED_VALUE"""),"Гостеприимный, доброжелательные, провинциальные, с хитринокой")</f>
        <v>Гостеприимный, доброжелательные, провинциальные, с хитринокой</v>
      </c>
      <c r="X539" s="6" t="str">
        <f>IFERROR(__xludf.DUMMYFUNCTION("""COMPUTED_VALUE"""),"Проспект Советский и улица Ленина")</f>
        <v>Проспект Советский и улица Ленина</v>
      </c>
      <c r="Y539" s="6" t="str">
        <f>IFERROR(__xludf.DUMMYFUNCTION("""COMPUTED_VALUE"""),"Чемпионат мира по  Бенди")</f>
        <v>Чемпионат мира по  Бенди</v>
      </c>
      <c r="Z539" s="6" t="str">
        <f>IFERROR(__xludf.DUMMYFUNCTION("""COMPUTED_VALUE"""),"Строительство жилья")</f>
        <v>Строительство жилья</v>
      </c>
      <c r="AA539" s="6" t="str">
        <f>IFERROR(__xludf.DUMMYFUNCTION("""COMPUTED_VALUE"""),"Есть такое")</f>
        <v>Есть такое</v>
      </c>
      <c r="AB539" s="6" t="str">
        <f>IFERROR(__xludf.DUMMYFUNCTION("""COMPUTED_VALUE"""),"Мне не нужны")</f>
        <v>Мне не нужны</v>
      </c>
      <c r="AC539" s="6" t="str">
        <f>IFERROR(__xludf.DUMMYFUNCTION("""COMPUTED_VALUE"""),"Праздничные демонстрации, бесплатные концерты на стадионах, показ уличных фильмов")</f>
        <v>Праздничные демонстрации, бесплатные концерты на стадионах, показ уличных фильмов</v>
      </c>
      <c r="AD53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539" s="6" t="str">
        <f>IFERROR(__xludf.DUMMYFUNCTION("""COMPUTED_VALUE"""),"Женский")</f>
        <v>Женский</v>
      </c>
      <c r="AF539" s="6" t="str">
        <f>IFERROR(__xludf.DUMMYFUNCTION("""COMPUTED_VALUE"""),"старше 55")</f>
        <v>старше 55</v>
      </c>
      <c r="AG539" s="6"/>
      <c r="AH539" s="6"/>
      <c r="AI539" s="6"/>
      <c r="AJ539" s="6"/>
      <c r="AK539" s="6"/>
      <c r="AL539" s="6"/>
      <c r="AM539" s="6"/>
    </row>
    <row r="540">
      <c r="A540" s="6">
        <v>539.0</v>
      </c>
      <c r="B540" s="6" t="str">
        <f>IFERROR(__xludf.DUMMYFUNCTION("""COMPUTED_VALUE"""),"Я повар")</f>
        <v>Я повар</v>
      </c>
      <c r="C540" s="6" t="str">
        <f>IFERROR(__xludf.DUMMYFUNCTION("""COMPUTED_VALUE"""),"Да ! Я коллекционер виниловых пластинок ")</f>
        <v>Да ! Я коллекционер виниловых пластинок </v>
      </c>
      <c r="D540" s="6" t="str">
        <f>IFERROR(__xludf.DUMMYFUNCTION("""COMPUTED_VALUE"""),"Южный ")</f>
        <v>Южный </v>
      </c>
      <c r="E540" s="6" t="str">
        <f>IFERROR(__xludf.DUMMYFUNCTION("""COMPUTED_VALUE"""),"Весенняя ")</f>
        <v>Весенняя </v>
      </c>
      <c r="F540" s="6" t="str">
        <f>IFERROR(__xludf.DUMMYFUNCTION("""COMPUTED_VALUE"""),"Живу здесь с рождения")</f>
        <v>Живу здесь с рождения</v>
      </c>
      <c r="G540" s="6" t="str">
        <f>IFERROR(__xludf.DUMMYFUNCTION("""COMPUTED_VALUE"""),"В центр города")</f>
        <v>В центр города</v>
      </c>
      <c r="H540" s="6" t="str">
        <f>IFERROR(__xludf.DUMMYFUNCTION("""COMPUTED_VALUE"""),"Скука , серость , грязь , злость , приезжие  ")</f>
        <v>Скука , серость , грязь , злость , приезжие  </v>
      </c>
      <c r="I540" s="6" t="str">
        <f>IFERROR(__xludf.DUMMYFUNCTION("""COMPUTED_VALUE"""),"Тулеев ")</f>
        <v>Тулеев </v>
      </c>
      <c r="J540" s="6" t="str">
        <f>IFERROR(__xludf.DUMMYFUNCTION("""COMPUTED_VALUE"""),"Тулеев")</f>
        <v>Тулеев</v>
      </c>
      <c r="K540" s="6" t="str">
        <f>IFERROR(__xludf.DUMMYFUNCTION("""COMPUTED_VALUE"""),"Ленина на площади ")</f>
        <v>Ленина на площади </v>
      </c>
      <c r="L540" s="6" t="str">
        <f>IFERROR(__xludf.DUMMYFUNCTION("""COMPUTED_VALUE"""),"Не торопись , а то успеешь ")</f>
        <v>Не торопись , а то успеешь </v>
      </c>
      <c r="M540" s="6" t="str">
        <f>IFERROR(__xludf.DUMMYFUNCTION("""COMPUTED_VALUE"""),"От души жиии есть ? Куртку поставь я сказал ")</f>
        <v>От души жиии есть ? Куртку поставь я сказал </v>
      </c>
      <c r="N540" s="6" t="str">
        <f>IFERROR(__xludf.DUMMYFUNCTION("""COMPUTED_VALUE"""),"Локации для молодежи , тематические бары , много площадок для танцев , современный транспорт , много стрит-арта")</f>
        <v>Локации для молодежи , тематические бары , много площадок для танцев , современный транспорт , много стрит-арта</v>
      </c>
      <c r="O540" s="6" t="str">
        <f>IFERROR(__xludf.DUMMYFUNCTION("""COMPUTED_VALUE"""),"Старую правящую администрацию .  ")</f>
        <v>Старую правящую администрацию .  </v>
      </c>
      <c r="P540" s="6" t="str">
        <f>IFERROR(__xludf.DUMMYFUNCTION("""COMPUTED_VALUE"""),"К счастью от друзей ")</f>
        <v>К счастью от друзей </v>
      </c>
      <c r="Q540"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540" s="6" t="str">
        <f>IFERROR(__xludf.DUMMYFUNCTION("""COMPUTED_VALUE"""),"День города ")</f>
        <v>День города </v>
      </c>
      <c r="S540" s="6" t="str">
        <f>IFERROR(__xludf.DUMMYFUNCTION("""COMPUTED_VALUE"""),"Писал и расклеивал объявления/афиши")</f>
        <v>Писал и расклеивал объявления/афиши</v>
      </c>
      <c r="T540" s="6" t="str">
        <f>IFERROR(__xludf.DUMMYFUNCTION("""COMPUTED_VALUE"""),"Уникальности нет ")</f>
        <v>Уникальности нет </v>
      </c>
      <c r="U540" s="6" t="str">
        <f>IFERROR(__xludf.DUMMYFUNCTION("""COMPUTED_VALUE"""),"Улица Весенняя ")</f>
        <v>Улица Весенняя </v>
      </c>
      <c r="V540" s="6" t="str">
        <f>IFERROR(__xludf.DUMMYFUNCTION("""COMPUTED_VALUE"""),"Содержали его в чистоте ")</f>
        <v>Содержали его в чистоте </v>
      </c>
      <c r="W540" s="6" t="str">
        <f>IFERROR(__xludf.DUMMYFUNCTION("""COMPUTED_VALUE"""),"Трусливый , недоверчивый , ")</f>
        <v>Трусливый , недоверчивый , </v>
      </c>
      <c r="X540" s="6" t="str">
        <f>IFERROR(__xludf.DUMMYFUNCTION("""COMPUTED_VALUE"""),"Вокзал -московский !!! ")</f>
        <v>Вокзал -московский !!! </v>
      </c>
      <c r="Y540" s="6" t="str">
        <f>IFERROR(__xludf.DUMMYFUNCTION("""COMPUTED_VALUE"""),"Концерт Тимати ! Когда вытоптали все газоны ")</f>
        <v>Концерт Тимати ! Когда вытоптали все газоны </v>
      </c>
      <c r="Z540" s="6" t="str">
        <f>IFERROR(__xludf.DUMMYFUNCTION("""COMPUTED_VALUE"""),"Не помню ")</f>
        <v>Не помню </v>
      </c>
      <c r="AA540" s="6" t="str">
        <f>IFERROR(__xludf.DUMMYFUNCTION("""COMPUTED_VALUE"""),"Они каждый день негативные ")</f>
        <v>Они каждый день негативные </v>
      </c>
      <c r="AB540" s="6" t="str">
        <f>IFERROR(__xludf.DUMMYFUNCTION("""COMPUTED_VALUE"""),"Умных людей ")</f>
        <v>Умных людей </v>
      </c>
      <c r="AC540" s="6" t="str">
        <f>IFERROR(__xludf.DUMMYFUNCTION("""COMPUTED_VALUE"""),"Все молодежные !!! Кроме песен рок групп , и кавер групп . Уже тошнит от них . Туда же , детские песни я пляски . ")</f>
        <v>Все молодежные !!! Кроме песен рок групп , и кавер групп . Уже тошнит от них . Туда же , детские песни я пляски . </v>
      </c>
      <c r="AD540" s="6" t="str">
        <f>IFERROR(__xludf.DUMMYFUNCTION("""COMPUTED_VALUE"""),"Коммуникатора: Готов задействовать свои знакомства для приглашения потенциально заинтересованных участников, Не готов принимать личное участие (укажите, пожалуйста, причину в поле «Другое»)")</f>
        <v>Коммуникатора: Готов задействовать свои знакомства для приглашения потенциально заинтересованных участников, Не готов принимать личное участие (укажите, пожалуйста, причину в поле «Другое»)</v>
      </c>
      <c r="AE540" s="6" t="str">
        <f>IFERROR(__xludf.DUMMYFUNCTION("""COMPUTED_VALUE"""),"Мужской")</f>
        <v>Мужской</v>
      </c>
      <c r="AF540" s="6" t="str">
        <f>IFERROR(__xludf.DUMMYFUNCTION("""COMPUTED_VALUE"""),"30-44")</f>
        <v>30-44</v>
      </c>
      <c r="AG540" s="6"/>
      <c r="AH540" s="6"/>
      <c r="AI540" s="6"/>
      <c r="AJ540" s="6"/>
      <c r="AK540" s="6"/>
      <c r="AL540" s="6"/>
      <c r="AM540" s="6"/>
    </row>
    <row r="541">
      <c r="A541" s="6">
        <v>540.0</v>
      </c>
      <c r="B541" s="6" t="str">
        <f>IFERROR(__xludf.DUMMYFUNCTION("""COMPUTED_VALUE"""),"Учеба ")</f>
        <v>Учеба </v>
      </c>
      <c r="C541" s="6" t="str">
        <f>IFERROR(__xludf.DUMMYFUNCTION("""COMPUTED_VALUE"""),"Изучение языков ")</f>
        <v>Изучение языков </v>
      </c>
      <c r="D541" s="6" t="str">
        <f>IFERROR(__xludf.DUMMYFUNCTION("""COMPUTED_VALUE"""),"Заводский р-он, ""за вокзалом"", ""аул""")</f>
        <v>Заводский р-он, "за вокзалом", "аул"</v>
      </c>
      <c r="E541" s="6" t="str">
        <f>IFERROR(__xludf.DUMMYFUNCTION("""COMPUTED_VALUE"""),"Вокзал, парк ангелов")</f>
        <v>Вокзал, парк ангелов</v>
      </c>
      <c r="F541" s="6" t="str">
        <f>IFERROR(__xludf.DUMMYFUNCTION("""COMPUTED_VALUE"""),"Живу здесь с рождения")</f>
        <v>Живу здесь с рождения</v>
      </c>
      <c r="G541" s="6" t="str">
        <f>IFERROR(__xludf.DUMMYFUNCTION("""COMPUTED_VALUE"""),"Парк чудес, набережная, просто прогулки по центральным улицам города.")</f>
        <v>Парк чудес, набережная, просто прогулки по центральным улицам города.</v>
      </c>
      <c r="H541" s="6" t="str">
        <f>IFERROR(__xludf.DUMMYFUNCTION("""COMPUTED_VALUE"""),"Уголь, дым, лес, апатия, серость.")</f>
        <v>Уголь, дым, лес, апатия, серость.</v>
      </c>
      <c r="I541" s="6" t="str">
        <f>IFERROR(__xludf.DUMMYFUNCTION("""COMPUTED_VALUE"""),"Волков.")</f>
        <v>Волков.</v>
      </c>
      <c r="J541" s="6" t="str">
        <f>IFERROR(__xludf.DUMMYFUNCTION("""COMPUTED_VALUE"""),"Не знаю ")</f>
        <v>Не знаю </v>
      </c>
      <c r="K541" s="6" t="str">
        <f>IFERROR(__xludf.DUMMYFUNCTION("""COMPUTED_VALUE"""),"Набережная, старый мост, ""Кузбасс"", Сосновый бор, парк Ангелов, парк Жукова, парк Чудес, Томская Писаница.")</f>
        <v>Набережная, старый мост, "Кузбасс", Сосновый бор, парк Ангелов, парк Жукова, парк Чудес, Томская Писаница.</v>
      </c>
      <c r="L541" s="6" t="str">
        <f>IFERROR(__xludf.DUMMYFUNCTION("""COMPUTED_VALUE"""),"Не знаю ")</f>
        <v>Не знаю </v>
      </c>
      <c r="M541" s="6" t="str">
        <f>IFERROR(__xludf.DUMMYFUNCTION("""COMPUTED_VALUE"""),"Зимняя вишня")</f>
        <v>Зимняя вишня</v>
      </c>
      <c r="N541" s="6" t="str">
        <f>IFERROR(__xludf.DUMMYFUNCTION("""COMPUTED_VALUE"""),"Экономическая стабильность, безопасность на улицах, чистые улицы, реставрация зданий, больше озеленения. ")</f>
        <v>Экономическая стабильность, безопасность на улицах, чистые улицы, реставрация зданий, больше озеленения. </v>
      </c>
      <c r="O541" s="6" t="str">
        <f>IFERROR(__xludf.DUMMYFUNCTION("""COMPUTED_VALUE"""),"Правительство и людей")</f>
        <v>Правительство и людей</v>
      </c>
      <c r="P541" s="6" t="str">
        <f>IFERROR(__xludf.DUMMYFUNCTION("""COMPUTED_VALUE"""),"Одногруппники, новости в VK.")</f>
        <v>Одногруппники, новости в VK.</v>
      </c>
      <c r="Q541" s="6" t="str">
        <f>IFERROR(__xludf.DUMMYFUNCTION("""COMPUTED_VALUE"""),"городская афиша (кино/театр/концерты), интервью с местными творческими личностями, криминальные новости (происшествия/преступления)")</f>
        <v>городская афиша (кино/театр/концерты), интервью с местными творческими личностями, криминальные новости (происшествия/преступления)</v>
      </c>
      <c r="R541" s="6" t="str">
        <f>IFERROR(__xludf.DUMMYFUNCTION("""COMPUTED_VALUE"""),"День города")</f>
        <v>День города</v>
      </c>
      <c r="S541" s="6" t="str">
        <f>IFERROR(__xludf.DUMMYFUNCTION("""COMPUTED_VALUE"""),"Нет, не приходилось")</f>
        <v>Нет, не приходилось</v>
      </c>
      <c r="T541" s="6" t="str">
        <f>IFERROR(__xludf.DUMMYFUNCTION("""COMPUTED_VALUE"""),"Угольные разрезы, пожар в Зимней Вишни, Томская Писаница.")</f>
        <v>Угольные разрезы, пожар в Зимней Вишни, Томская Писаница.</v>
      </c>
      <c r="U541" s="6" t="str">
        <f>IFERROR(__xludf.DUMMYFUNCTION("""COMPUTED_VALUE"""),"Томь, Сосновый бор, парк Ангелов ")</f>
        <v>Томь, Сосновый бор, парк Ангелов </v>
      </c>
      <c r="V541" s="6" t="str">
        <f>IFERROR(__xludf.DUMMYFUNCTION("""COMPUTED_VALUE"""),"-")</f>
        <v>-</v>
      </c>
      <c r="W541" s="6" t="str">
        <f>IFERROR(__xludf.DUMMYFUNCTION("""COMPUTED_VALUE"""),"Простые, грустные, агрессивные.")</f>
        <v>Простые, грустные, агрессивные.</v>
      </c>
      <c r="X541" s="6" t="str">
        <f>IFERROR(__xludf.DUMMYFUNCTION("""COMPUTED_VALUE"""),"Затрудняюсь ответить ")</f>
        <v>Затрудняюсь ответить </v>
      </c>
      <c r="Y541" s="6" t="str">
        <f>IFERROR(__xludf.DUMMYFUNCTION("""COMPUTED_VALUE"""),"Не знаю")</f>
        <v>Не знаю</v>
      </c>
      <c r="Z541" s="6" t="str">
        <f>IFERROR(__xludf.DUMMYFUNCTION("""COMPUTED_VALUE"""),"НЕБОФЕСТ")</f>
        <v>НЕБОФЕСТ</v>
      </c>
      <c r="AA541" s="6" t="str">
        <f>IFERROR(__xludf.DUMMYFUNCTION("""COMPUTED_VALUE"""),"В Кемерове полицейские не приехали на вызов в дом, где убивали девушку.")</f>
        <v>В Кемерове полицейские не приехали на вызов в дом, где убивали девушку.</v>
      </c>
      <c r="AB541" s="6" t="str">
        <f>IFERROR(__xludf.DUMMYFUNCTION("""COMPUTED_VALUE"""),"Больших культурных событий с активной оглаской, где меньше пропаганды и больше свободы самовыражения.")</f>
        <v>Больших культурных событий с активной оглаской, где меньше пропаганды и больше свободы самовыражения.</v>
      </c>
      <c r="AC541" s="6" t="str">
        <f>IFERROR(__xludf.DUMMYFUNCTION("""COMPUTED_VALUE"""),"Крупные ярмарки в эко-стиле, zerowaste, бесплатные концерты и лекции на открытом воздухе. ")</f>
        <v>Крупные ярмарки в эко-стиле, zerowaste, бесплатные концерты и лекции на открытом воздухе. </v>
      </c>
      <c r="AD541"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Коммуникатора: Готов задействовать свои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541" s="6" t="str">
        <f>IFERROR(__xludf.DUMMYFUNCTION("""COMPUTED_VALUE"""),"Женский")</f>
        <v>Женский</v>
      </c>
      <c r="AF541" s="6" t="str">
        <f>IFERROR(__xludf.DUMMYFUNCTION("""COMPUTED_VALUE"""),"18-29")</f>
        <v>18-29</v>
      </c>
      <c r="AG541" s="6"/>
      <c r="AH541" s="6"/>
      <c r="AI541" s="6"/>
      <c r="AJ541" s="6"/>
      <c r="AK541" s="6"/>
      <c r="AL541" s="6"/>
      <c r="AM541" s="6"/>
    </row>
    <row r="542">
      <c r="A542" s="6">
        <v>541.0</v>
      </c>
      <c r="B542" s="6" t="str">
        <f>IFERROR(__xludf.DUMMYFUNCTION("""COMPUTED_VALUE"""),"Самозанятость по специальностям Дизайн/Художник-оформитель/Фотограф")</f>
        <v>Самозанятость по специальностям Дизайн/Художник-оформитель/Фотограф</v>
      </c>
      <c r="C542" s="6" t="str">
        <f>IFERROR(__xludf.DUMMYFUNCTION("""COMPUTED_VALUE"""),"Рисование, вышивка, путешествия")</f>
        <v>Рисование, вышивка, путешествия</v>
      </c>
      <c r="D542" s="6" t="str">
        <f>IFERROR(__xludf.DUMMYFUNCTION("""COMPUTED_VALUE"""),"Южный")</f>
        <v>Южный</v>
      </c>
      <c r="E542" s="6" t="str">
        <f>IFERROR(__xludf.DUMMYFUNCTION("""COMPUTED_VALUE"""),"Никаких")</f>
        <v>Никаких</v>
      </c>
      <c r="F542" s="6" t="str">
        <f>IFERROR(__xludf.DUMMYFUNCTION("""COMPUTED_VALUE"""),"Живу здесь с рождения")</f>
        <v>Живу здесь с рождения</v>
      </c>
      <c r="G542" s="6" t="str">
        <f>IFERROR(__xludf.DUMMYFUNCTION("""COMPUTED_VALUE"""),"Гуляем в Парке Чудес, на Набережной, в Парке Жукова, Антошке. Уезжаем за город.")</f>
        <v>Гуляем в Парке Чудес, на Набережной, в Парке Жукова, Антошке. Уезжаем за город.</v>
      </c>
      <c r="H542" s="6" t="str">
        <f>IFERROR(__xludf.DUMMYFUNCTION("""COMPUTED_VALUE"""),"Если имеются в виду ассоциации с Кемерово, то это смог и грусть. Если имеется в вижу просто город, то Движение, Развитие, Инфраструктура, Прогулки, Парки, Архитектура.")</f>
        <v>Если имеются в виду ассоциации с Кемерово, то это смог и грусть. Если имеется в вижу просто город, то Движение, Развитие, Инфраструктура, Прогулки, Парки, Архитектура.</v>
      </c>
      <c r="I542" s="6" t="str">
        <f>IFERROR(__xludf.DUMMYFUNCTION("""COMPUTED_VALUE"""),"Вера Волошина")</f>
        <v>Вера Волошина</v>
      </c>
      <c r="J542" s="6" t="str">
        <f>IFERROR(__xludf.DUMMYFUNCTION("""COMPUTED_VALUE"""),"К сожалению, я не знаю таких людей. ")</f>
        <v>К сожалению, я не знаю таких людей. </v>
      </c>
      <c r="K542" s="6" t="str">
        <f>IFERROR(__xludf.DUMMYFUNCTION("""COMPUTED_VALUE"""),"Я бы хотела показать архитектурные достопримечательности, работы местных художников и других мастеров")</f>
        <v>Я бы хотела показать архитектурные достопримечательности, работы местных художников и других мастеров</v>
      </c>
      <c r="L542" s="6" t="str">
        <f>IFERROR(__xludf.DUMMYFUNCTION("""COMPUTED_VALUE"""),"""Денег нет, но вы держитесь!""")</f>
        <v>"Денег нет, но вы держитесь!"</v>
      </c>
      <c r="M542" s="6" t="str">
        <f>IFERROR(__xludf.DUMMYFUNCTION("""COMPUTED_VALUE"""),"Нет. ")</f>
        <v>Нет. </v>
      </c>
      <c r="N542" s="6" t="str">
        <f>IFERROR(__xludf.DUMMYFUNCTION("""COMPUTED_VALUE"""),"Современные и экологичные заводы и предприятия.
Наличие оборудованных мед учреждений и хороших врачей.
Качественное образование.
Развитие города и открытые вакансии в разных направлениях и сферах.
Неплотная застройка, как в старых районах, где большие дво"&amp;"ры, хватает школ и детских  садов.
Хорошие дороги.
")</f>
        <v>Современные и экологичные заводы и предприятия.
Наличие оборудованных мед учреждений и хороших врачей.
Качественное образование.
Развитие города и открытые вакансии в разных направлениях и сферах.
Неплотная застройка, как в старых районах, где большие дворы, хватает школ и детских  садов.
Хорошие дороги.
</v>
      </c>
      <c r="O542" s="6" t="str">
        <f>IFERROR(__xludf.DUMMYFUNCTION("""COMPUTED_VALUE"""),"Привлекать врачей и педагогов. ")</f>
        <v>Привлекать врачей и педагогов. </v>
      </c>
      <c r="P542" s="6" t="str">
        <f>IFERROR(__xludf.DUMMYFUNCTION("""COMPUTED_VALUE"""),"Инстаграм, В Контакте. 
Гугл. ")</f>
        <v>Инстаграм, В Контакте. 
Гугл. </v>
      </c>
      <c r="Q542" s="6" t="str">
        <f>IFERROR(__xludf.DUMMYFUNCTION("""COMPUTED_VALUE"""),"городская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542" s="6" t="str">
        <f>IFERROR(__xludf.DUMMYFUNCTION("""COMPUTED_VALUE"""),"Люди не умеют себя вести в общественных местах. Поэтому мы почти не ходим на такие мероприятия. ")</f>
        <v>Люди не умеют себя вести в общественных местах. Поэтому мы почти не ходим на такие мероприятия. </v>
      </c>
      <c r="S542" s="6" t="str">
        <f>IFERROR(__xludf.DUMMYFUNCTION("""COMPUTED_VALUE"""),"Нет, не приходилось")</f>
        <v>Нет, не приходилось</v>
      </c>
      <c r="T542" s="6" t="str">
        <f>IFERROR(__xludf.DUMMYFUNCTION("""COMPUTED_VALUE"""),"Кемерово прославился на весь мир пожаром в ""Зимней Вишне"". ")</f>
        <v>Кемерово прославился на весь мир пожаром в "Зимней Вишне". </v>
      </c>
      <c r="U542" s="6" t="str">
        <f>IFERROR(__xludf.DUMMYFUNCTION("""COMPUTED_VALUE"""),"Для меня это ""Парк Чудес""")</f>
        <v>Для меня это "Парк Чудес"</v>
      </c>
      <c r="V542" s="6" t="str">
        <f>IFERROR(__xludf.DUMMYFUNCTION("""COMPUTED_VALUE"""),"На мой взгляд, когда люди совершают какие-то благие поступки, они не преследуют цель испытать чувство гордости, они это делают просто от души. Формулировку вопроса считаю некорректной. ")</f>
        <v>На мой взгляд, когда люди совершают какие-то благие поступки, они не преследуют цель испытать чувство гордости, они это делают просто от души. Формулировку вопроса считаю некорректной. </v>
      </c>
      <c r="W542" s="6" t="str">
        <f>IFERROR(__xludf.DUMMYFUNCTION("""COMPUTED_VALUE"""),"Они разные. Есть добрые и весёлые, есть, мягко говоря, хамы. ")</f>
        <v>Они разные. Есть добрые и весёлые, есть, мягко говоря, хамы. </v>
      </c>
      <c r="X542" s="6" t="str">
        <f>IFERROR(__xludf.DUMMYFUNCTION("""COMPUTED_VALUE"""),"Мне нравится пристань Копикуза")</f>
        <v>Мне нравится пристань Копикуза</v>
      </c>
      <c r="Y542" s="6" t="str">
        <f>IFERROR(__xludf.DUMMYFUNCTION("""COMPUTED_VALUE"""),"Не знаю ")</f>
        <v>Не знаю </v>
      </c>
      <c r="Z542" s="6" t="str">
        <f>IFERROR(__xludf.DUMMYFUNCTION("""COMPUTED_VALUE"""),"За  последние 3 года газ на АГЗС города Кемерово подорожал в 2 раза. Позитивно было бы, если бы он этого НЕ делал. ")</f>
        <v>За  последние 3 года газ на АГЗС города Кемерово подорожал в 2 раза. Позитивно было бы, если бы он этого НЕ делал. </v>
      </c>
      <c r="AA542" s="6" t="str">
        <f>IFERROR(__xludf.DUMMYFUNCTION("""COMPUTED_VALUE"""),"Много где нет тротуаров, мало парков, кап ремонт дорог делается, спустя рукава и тд. ")</f>
        <v>Много где нет тротуаров, мало парков, кап ремонт дорог делается, спустя рукава и тд. </v>
      </c>
      <c r="AB542" s="6" t="str">
        <f>IFERROR(__xludf.DUMMYFUNCTION("""COMPUTED_VALUE"""),"Не испытываю нужды вступать в сообщества.")</f>
        <v>Не испытываю нужды вступать в сообщества.</v>
      </c>
      <c r="AC542" s="6" t="str">
        <f>IFERROR(__xludf.DUMMYFUNCTION("""COMPUTED_VALUE"""),"Выставки (техники, авто, ИЗО, антропологические и тд), культурно-познавательные мероприятия (возможно, в игровой форме для детей), физкульт соревнования.")</f>
        <v>Выставки (техники, авто, ИЗО, антропологические и тд), культурно-познавательные мероприятия (возможно, в игровой форме для детей), физкульт соревнования.</v>
      </c>
      <c r="AD542"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Возможно проведение мастер-классов по изготовлению изде"&amp;"лий из фанеры и дерева. ")</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Возможно проведение мастер-классов по изготовлению изделий из фанеры и дерева. </v>
      </c>
      <c r="AE542" s="6" t="str">
        <f>IFERROR(__xludf.DUMMYFUNCTION("""COMPUTED_VALUE"""),"Женский")</f>
        <v>Женский</v>
      </c>
      <c r="AF542" s="6" t="str">
        <f>IFERROR(__xludf.DUMMYFUNCTION("""COMPUTED_VALUE"""),"30-44")</f>
        <v>30-44</v>
      </c>
      <c r="AG542" s="6"/>
      <c r="AH542" s="6"/>
      <c r="AI542" s="6"/>
      <c r="AJ542" s="6"/>
      <c r="AK542" s="6"/>
      <c r="AL542" s="6"/>
      <c r="AM542" s="6"/>
    </row>
    <row r="543">
      <c r="A543" s="6">
        <v>542.0</v>
      </c>
      <c r="B543" s="6" t="str">
        <f>IFERROR(__xludf.DUMMYFUNCTION("""COMPUTED_VALUE"""),"Библиотекарь")</f>
        <v>Библиотекарь</v>
      </c>
      <c r="C543" s="6" t="str">
        <f>IFERROR(__xludf.DUMMYFUNCTION("""COMPUTED_VALUE"""),"Собаководство")</f>
        <v>Собаководство</v>
      </c>
      <c r="D543" s="6" t="str">
        <f>IFERROR(__xludf.DUMMYFUNCTION("""COMPUTED_VALUE"""),"Микрорайон Южный")</f>
        <v>Микрорайон Южный</v>
      </c>
      <c r="E543" s="6" t="str">
        <f>IFERROR(__xludf.DUMMYFUNCTION("""COMPUTED_VALUE"""),"Сквер у бюста Юрию Гагарину; бульвар Патриотов вообще, и в часности, место расположения бюста героя Якунина.")</f>
        <v>Сквер у бюста Юрию Гагарину; бульвар Патриотов вообще, и в часности, место расположения бюста героя Якунина.</v>
      </c>
      <c r="F543" s="6" t="str">
        <f>IFERROR(__xludf.DUMMYFUNCTION("""COMPUTED_VALUE"""),"Живу здесь с рождения")</f>
        <v>Живу здесь с рождения</v>
      </c>
      <c r="G543" s="6" t="str">
        <f>IFERROR(__xludf.DUMMYFUNCTION("""COMPUTED_VALUE"""),"Люблю проводить время в старой части застройки Южного, гулять с внучкой на детской площадке, расположенной на бульваре Патриотов.В выходные дни часто приезжаю в гости к сыну в поселок Ясногорский.")</f>
        <v>Люблю проводить время в старой части застройки Южного, гулять с внучкой на детской площадке, расположенной на бульваре Патриотов.В выходные дни часто приезжаю в гости к сыну в поселок Ясногорский.</v>
      </c>
      <c r="H543" s="6" t="str">
        <f>IFERROR(__xludf.DUMMYFUNCTION("""COMPUTED_VALUE"""),"Город-сад, город будущего, город удобный для жизни, город славных дел, город мастеров, город угольщиков")</f>
        <v>Город-сад, город будущего, город удобный для жизни, город славных дел, город мастеров, город угольщиков</v>
      </c>
      <c r="I543" s="6" t="str">
        <f>IFERROR(__xludf.DUMMYFUNCTION("""COMPUTED_VALUE"""),"Михайло Волков, Семен Федорович Иванов, Алексей Масалов, Вера Волошина, Алексей Архипович Леонов, доктор Подгорбунский, Владимир Мартемьянов")</f>
        <v>Михайло Волков, Семен Федорович Иванов, Алексей Масалов, Вера Волошина, Алексей Архипович Леонов, доктор Подгорбунский, Владимир Мартемьянов</v>
      </c>
      <c r="J543" s="6" t="str">
        <f>IFERROR(__xludf.DUMMYFUNCTION("""COMPUTED_VALUE"""),"Якунин, Михайлов - бывший мэр города")</f>
        <v>Якунин, Михайлов - бывший мэр города</v>
      </c>
      <c r="K543" s="6" t="str">
        <f>IFERROR(__xludf.DUMMYFUNCTION("""COMPUTED_VALUE"""),"Надпись Кузбасс; памятник павшим героям в ВОВ; портреты В. Волошиной и Ю. Двужильного на стенах домов Южного; фонтан на площади у Драмтеатра0")</f>
        <v>Надпись Кузбасс; памятник павшим героям в ВОВ; портреты В. Волошиной и Ю. Двужильного на стенах домов Южного; фонтан на площади у Драмтеатра0</v>
      </c>
      <c r="L543" s="6" t="str">
        <f>IFERROR(__xludf.DUMMYFUNCTION("""COMPUTED_VALUE"""),"Где родился, там и пригодился. ")</f>
        <v>Где родился, там и пригодился. </v>
      </c>
      <c r="M543" s="6" t="str">
        <f>IFERROR(__xludf.DUMMYFUNCTION("""COMPUTED_VALUE"""),"""Южный никому не нужный""")</f>
        <v>"Южный никому не нужный"</v>
      </c>
      <c r="N543" s="6" t="str">
        <f>IFERROR(__xludf.DUMMYFUNCTION("""COMPUTED_VALUE"""),"Уютный, зеленый, красивый, чистый")</f>
        <v>Уютный, зеленый, красивый, чистый</v>
      </c>
      <c r="O543" s="6" t="str">
        <f>IFERROR(__xludf.DUMMYFUNCTION("""COMPUTED_VALUE"""),"Не вырубать деревья, в том числе, под застройку. Места, где растут деревья надо облагораживать и разбивать в таких местах парки и другие зоны отдыха.")</f>
        <v>Не вырубать деревья, в том числе, под застройку. Места, где растут деревья надо облагораживать и разбивать в таких местах парки и другие зоны отдыха.</v>
      </c>
      <c r="P543" s="6" t="str">
        <f>IFERROR(__xludf.DUMMYFUNCTION("""COMPUTED_VALUE"""),"Из СМИ")</f>
        <v>Из СМИ</v>
      </c>
      <c r="Q543"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543" s="6" t="str">
        <f>IFERROR(__xludf.DUMMYFUNCTION("""COMPUTED_VALUE"""),"9 мая, День города, Масленица")</f>
        <v>9 мая, День города, Масленица</v>
      </c>
      <c r="S543" s="6" t="str">
        <f>IFERROR(__xludf.DUMMYFUNCTION("""COMPUTED_VALUE"""),"Через социальные сети (Какие? Укажите в графе другое)")</f>
        <v>Через социальные сети (Какие? Укажите в графе другое)</v>
      </c>
      <c r="T543" s="6" t="str">
        <f>IFERROR(__xludf.DUMMYFUNCTION("""COMPUTED_VALUE"""),"Знаменитыми людьми")</f>
        <v>Знаменитыми людьми</v>
      </c>
      <c r="U543" s="6" t="str">
        <f>IFERROR(__xludf.DUMMYFUNCTION("""COMPUTED_VALUE"""),"Городской сад")</f>
        <v>Городской сад</v>
      </c>
      <c r="V543" s="6" t="str">
        <f>IFERROR(__xludf.DUMMYFUNCTION("""COMPUTED_VALUE"""),"Кемеровчане прославили своими подвигами во время ВОВ,  братья Губкины своим домом, который они сплавляли по реке Томи, шахтеры, прославившие город своим трудом.")</f>
        <v>Кемеровчане прославили своими подвигами во время ВОВ,  братья Губкины своим домом, который они сплавляли по реке Томи, шахтеры, прославившие город своим трудом.</v>
      </c>
      <c r="W543" s="6" t="str">
        <f>IFERROR(__xludf.DUMMYFUNCTION("""COMPUTED_VALUE"""),"Гостеприимство, доброжелательность")</f>
        <v>Гостеприимство, доброжелательность</v>
      </c>
      <c r="X543" s="6" t="str">
        <f>IFERROR(__xludf.DUMMYFUNCTION("""COMPUTED_VALUE"""),"Проспект Ленина, проспект Притомский, проспект Советский, по коммунальному мосту, Красная горка.")</f>
        <v>Проспект Ленина, проспект Притомский, проспект Советский, по коммунальному мосту, Красная горка.</v>
      </c>
      <c r="Y543" s="6" t="str">
        <f>IFERROR(__xludf.DUMMYFUNCTION("""COMPUTED_VALUE"""),"Находка месторождения каменного угля")</f>
        <v>Находка месторождения каменного угля</v>
      </c>
      <c r="Z543" s="6" t="str">
        <f>IFERROR(__xludf.DUMMYFUNCTION("""COMPUTED_VALUE"""),"Фестиваль Свой голос, Конкурс чтецов ко Дню космонавтики")</f>
        <v>Фестиваль Свой голос, Конкурс чтецов ко Дню космонавтики</v>
      </c>
      <c r="AA543" s="6" t="str">
        <f>IFERROR(__xludf.DUMMYFUNCTION("""COMPUTED_VALUE"""),"События, связанные с пандемией")</f>
        <v>События, связанные с пандемией</v>
      </c>
      <c r="AB543" s="6" t="str">
        <f>IFERROR(__xludf.DUMMYFUNCTION("""COMPUTED_VALUE"""),"Творческих союзов")</f>
        <v>Творческих союзов</v>
      </c>
      <c r="AC543" s="6" t="str">
        <f>IFERROR(__xludf.DUMMYFUNCTION("""COMPUTED_VALUE"""),"Выставки, встречи с актерами, концерты на стадионах, чтобы все смогли посмотреть, а на площади Советов из-за большой толпы ничего не увидешь")</f>
        <v>Выставки, встречи с актерами, концерты на стадионах, чтобы все смогли посмотреть, а на площади Советов из-за большой толпы ничего не увидешь</v>
      </c>
      <c r="AD543"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543" s="6" t="str">
        <f>IFERROR(__xludf.DUMMYFUNCTION("""COMPUTED_VALUE"""),"Женский")</f>
        <v>Женский</v>
      </c>
      <c r="AF543" s="6" t="str">
        <f>IFERROR(__xludf.DUMMYFUNCTION("""COMPUTED_VALUE"""),"45-55")</f>
        <v>45-55</v>
      </c>
      <c r="AG543" s="6"/>
      <c r="AH543" s="6"/>
      <c r="AI543" s="6"/>
      <c r="AJ543" s="6"/>
      <c r="AK543" s="6"/>
      <c r="AL543" s="6"/>
      <c r="AM543" s="6"/>
    </row>
    <row r="544">
      <c r="A544" s="6">
        <v>543.0</v>
      </c>
      <c r="B544" s="6" t="str">
        <f>IFERROR(__xludf.DUMMYFUNCTION("""COMPUTED_VALUE"""),"продажи")</f>
        <v>продажи</v>
      </c>
      <c r="C544" s="6" t="str">
        <f>IFERROR(__xludf.DUMMYFUNCTION("""COMPUTED_VALUE"""),"кошки, путешествия")</f>
        <v>кошки, путешествия</v>
      </c>
      <c r="D544" s="6" t="str">
        <f>IFERROR(__xludf.DUMMYFUNCTION("""COMPUTED_VALUE"""),"центральный")</f>
        <v>центральный</v>
      </c>
      <c r="E544" s="6" t="str">
        <f>IFERROR(__xludf.DUMMYFUNCTION("""COMPUTED_VALUE"""),"комсомольский парк")</f>
        <v>комсомольский парк</v>
      </c>
      <c r="F544" s="6" t="str">
        <f>IFERROR(__xludf.DUMMYFUNCTION("""COMPUTED_VALUE"""),"Живу здесь с рождения")</f>
        <v>Живу здесь с рождения</v>
      </c>
      <c r="G544" s="6" t="str">
        <f>IFERROR(__xludf.DUMMYFUNCTION("""COMPUTED_VALUE"""),"в парк гулять")</f>
        <v>в парк гулять</v>
      </c>
      <c r="H544" s="6" t="str">
        <f>IFERROR(__xludf.DUMMYFUNCTION("""COMPUTED_VALUE"""),"шахты, холод, маски, безденежье, облака")</f>
        <v>шахты, холод, маски, безденежье, облака</v>
      </c>
      <c r="I544" s="6" t="str">
        <f>IFERROR(__xludf.DUMMYFUNCTION("""COMPUTED_VALUE"""),"волков")</f>
        <v>волков</v>
      </c>
      <c r="J544" s="6" t="str">
        <f>IFERROR(__xludf.DUMMYFUNCTION("""COMPUTED_VALUE"""),"леонов")</f>
        <v>леонов</v>
      </c>
      <c r="K544" s="6" t="str">
        <f>IFERROR(__xludf.DUMMYFUNCTION("""COMPUTED_VALUE"""),"собор, набережная, памятник шахтеру")</f>
        <v>собор, набережная, памятник шахтеру</v>
      </c>
      <c r="L544" s="6" t="str">
        <f>IFERROR(__xludf.DUMMYFUNCTION("""COMPUTED_VALUE"""),"не знаю")</f>
        <v>не знаю</v>
      </c>
      <c r="M544" s="6" t="str">
        <f>IFERROR(__xludf.DUMMYFUNCTION("""COMPUTED_VALUE"""),"нет")</f>
        <v>нет</v>
      </c>
      <c r="N544" s="6" t="str">
        <f>IFERROR(__xludf.DUMMYFUNCTION("""COMPUTED_VALUE"""),"хорошие дороги, шаговая доступность аптек и тц, чистота")</f>
        <v>хорошие дороги, шаговая доступность аптек и тц, чистота</v>
      </c>
      <c r="O544" s="6" t="str">
        <f>IFERROR(__xludf.DUMMYFUNCTION("""COMPUTED_VALUE"""),"зарплаты!")</f>
        <v>зарплаты!</v>
      </c>
      <c r="P544" s="6" t="str">
        <f>IFERROR(__xludf.DUMMYFUNCTION("""COMPUTED_VALUE"""),"от подруги")</f>
        <v>от подруги</v>
      </c>
      <c r="Q544" s="6" t="str">
        <f>IFERROR(__xludf.DUMMYFUNCTION("""COMPUTED_VALUE"""),"куда пойти в свободное время, где вкусно поесть/открытие новых кафе/ресторанов")</f>
        <v>куда пойти в свободное время, где вкусно поесть/открытие новых кафе/ресторанов</v>
      </c>
      <c r="R544" s="6" t="str">
        <f>IFERROR(__xludf.DUMMYFUNCTION("""COMPUTED_VALUE"""),"масленица,новый год")</f>
        <v>масленица,новый год</v>
      </c>
      <c r="S544" s="6" t="str">
        <f>IFERROR(__xludf.DUMMYFUNCTION("""COMPUTED_VALUE"""),"Нет, не приходилось")</f>
        <v>Нет, не приходилось</v>
      </c>
      <c r="T544" s="6" t="str">
        <f>IFERROR(__xludf.DUMMYFUNCTION("""COMPUTED_VALUE"""),"ничем")</f>
        <v>ничем</v>
      </c>
      <c r="U544" s="6" t="str">
        <f>IFERROR(__xludf.DUMMYFUNCTION("""COMPUTED_VALUE"""),"памятник солдатам")</f>
        <v>памятник солдатам</v>
      </c>
      <c r="V544" s="6" t="str">
        <f>IFERROR(__xludf.DUMMYFUNCTION("""COMPUTED_VALUE"""),"не знаю")</f>
        <v>не знаю</v>
      </c>
      <c r="W544" s="6" t="str">
        <f>IFERROR(__xludf.DUMMYFUNCTION("""COMPUTED_VALUE"""),"суровые, нелюдимые, пьющие")</f>
        <v>суровые, нелюдимые, пьющие</v>
      </c>
      <c r="X544" s="6" t="str">
        <f>IFERROR(__xludf.DUMMYFUNCTION("""COMPUTED_VALUE"""),"парк чудес, драмтеатр, краеведческий музей")</f>
        <v>парк чудес, драмтеатр, краеведческий музей</v>
      </c>
      <c r="Y544" s="6" t="str">
        <f>IFERROR(__xludf.DUMMYFUNCTION("""COMPUTED_VALUE"""),"зимняя вишня")</f>
        <v>зимняя вишня</v>
      </c>
      <c r="Z544" s="6" t="str">
        <f>IFERROR(__xludf.DUMMYFUNCTION("""COMPUTED_VALUE"""),"их нет")</f>
        <v>их нет</v>
      </c>
      <c r="AA544" s="6" t="str">
        <f>IFERROR(__xludf.DUMMYFUNCTION("""COMPUTED_VALUE"""),"зимняя вишня
ограничения из за короны")</f>
        <v>зимняя вишня
ограничения из за короны</v>
      </c>
      <c r="AB544" s="6" t="str">
        <f>IFERROR(__xludf.DUMMYFUNCTION("""COMPUTED_VALUE"""),"сообществ?")</f>
        <v>сообществ?</v>
      </c>
      <c r="AC544" s="6" t="str">
        <f>IFERROR(__xludf.DUMMYFUNCTION("""COMPUTED_VALUE"""),"уличные праздники")</f>
        <v>уличные праздники</v>
      </c>
      <c r="AD54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44" s="6" t="str">
        <f>IFERROR(__xludf.DUMMYFUNCTION("""COMPUTED_VALUE"""),"Женский")</f>
        <v>Женский</v>
      </c>
      <c r="AF544" s="6" t="str">
        <f>IFERROR(__xludf.DUMMYFUNCTION("""COMPUTED_VALUE"""),"45-55")</f>
        <v>45-55</v>
      </c>
      <c r="AG544" s="6"/>
      <c r="AH544" s="6"/>
      <c r="AI544" s="6"/>
      <c r="AJ544" s="6"/>
      <c r="AK544" s="6"/>
      <c r="AL544" s="6"/>
      <c r="AM544" s="6"/>
    </row>
    <row r="545">
      <c r="A545" s="6">
        <v>544.0</v>
      </c>
      <c r="B545" s="6" t="str">
        <f>IFERROR(__xludf.DUMMYFUNCTION("""COMPUTED_VALUE"""),"ПВХ конструкции")</f>
        <v>ПВХ конструкции</v>
      </c>
      <c r="C545" s="6" t="str">
        <f>IFERROR(__xludf.DUMMYFUNCTION("""COMPUTED_VALUE"""),"Рыбалка")</f>
        <v>Рыбалка</v>
      </c>
      <c r="D545" s="6" t="str">
        <f>IFERROR(__xludf.DUMMYFUNCTION("""COMPUTED_VALUE"""),"Ленинский")</f>
        <v>Ленинский</v>
      </c>
      <c r="E545" s="6" t="str">
        <f>IFERROR(__xludf.DUMMYFUNCTION("""COMPUTED_VALUE"""),"Бульвар строителей")</f>
        <v>Бульвар строителей</v>
      </c>
      <c r="F545"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545" s="6" t="str">
        <f>IFERROR(__xludf.DUMMYFUNCTION("""COMPUTED_VALUE"""),"Некуда")</f>
        <v>Некуда</v>
      </c>
      <c r="H545" s="6" t="str">
        <f>IFERROR(__xludf.DUMMYFUNCTION("""COMPUTED_VALUE"""),"Мрак,свалка,кочегарка,зона")</f>
        <v>Мрак,свалка,кочегарка,зона</v>
      </c>
      <c r="I545" s="6" t="str">
        <f>IFERROR(__xludf.DUMMYFUNCTION("""COMPUTED_VALUE"""),"Леонов Алексей")</f>
        <v>Леонов Алексей</v>
      </c>
      <c r="J545" s="6" t="str">
        <f>IFERROR(__xludf.DUMMYFUNCTION("""COMPUTED_VALUE"""),"Михайлов")</f>
        <v>Михайлов</v>
      </c>
      <c r="K545" s="6" t="str">
        <f>IFERROR(__xludf.DUMMYFUNCTION("""COMPUTED_VALUE"""),"Крест")</f>
        <v>Крест</v>
      </c>
      <c r="L545" s="6" t="str">
        <f>IFERROR(__xludf.DUMMYFUNCTION("""COMPUTED_VALUE"""),"Сразу не подбереш")</f>
        <v>Сразу не подбереш</v>
      </c>
      <c r="M545" s="6" t="str">
        <f>IFERROR(__xludf.DUMMYFUNCTION("""COMPUTED_VALUE"""),"Нет")</f>
        <v>Нет</v>
      </c>
      <c r="N545" s="6" t="str">
        <f>IFERROR(__xludf.DUMMYFUNCTION("""COMPUTED_VALUE"""),"Нет таких")</f>
        <v>Нет таких</v>
      </c>
      <c r="O545" s="6" t="str">
        <f>IFERROR(__xludf.DUMMYFUNCTION("""COMPUTED_VALUE"""),"Экологию,дать людям достойную зарплату.")</f>
        <v>Экологию,дать людям достойную зарплату.</v>
      </c>
      <c r="P545" s="6" t="str">
        <f>IFERROR(__xludf.DUMMYFUNCTION("""COMPUTED_VALUE"""),"Новости")</f>
        <v>Новости</v>
      </c>
      <c r="Q545" s="6" t="str">
        <f>IFERROR(__xludf.DUMMYFUNCTION("""COMPUTED_VALUE"""),"криминальные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f>
        <v>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545" s="6" t="str">
        <f>IFERROR(__xludf.DUMMYFUNCTION("""COMPUTED_VALUE"""),"Нет таких")</f>
        <v>Нет таких</v>
      </c>
      <c r="S545" s="6" t="str">
        <f>IFERROR(__xludf.DUMMYFUNCTION("""COMPUTED_VALUE"""),"Нет, не приходилось")</f>
        <v>Нет, не приходилось</v>
      </c>
      <c r="T545" s="6" t="str">
        <f>IFERROR(__xludf.DUMMYFUNCTION("""COMPUTED_VALUE"""),"Углём")</f>
        <v>Углём</v>
      </c>
      <c r="U545" s="6" t="str">
        <f>IFERROR(__xludf.DUMMYFUNCTION("""COMPUTED_VALUE"""),"Набережная")</f>
        <v>Набережная</v>
      </c>
      <c r="V545" s="6" t="str">
        <f>IFERROR(__xludf.DUMMYFUNCTION("""COMPUTED_VALUE"""),"Ничего")</f>
        <v>Ничего</v>
      </c>
      <c r="W545" s="6" t="str">
        <f>IFERROR(__xludf.DUMMYFUNCTION("""COMPUTED_VALUE"""),"Быдло одно!единоличник,наркоманы,алкоголики,короли")</f>
        <v>Быдло одно!единоличник,наркоманы,алкоголики,короли</v>
      </c>
      <c r="X545" s="6" t="str">
        <f>IFERROR(__xludf.DUMMYFUNCTION("""COMPUTED_VALUE"""),"Пройти вечером чтоб не ограбили")</f>
        <v>Пройти вечером чтоб не ограбили</v>
      </c>
      <c r="Y545" s="6" t="str">
        <f>IFERROR(__xludf.DUMMYFUNCTION("""COMPUTED_VALUE"""),"О")</f>
        <v>О</v>
      </c>
      <c r="Z545" s="6" t="str">
        <f>IFERROR(__xludf.DUMMYFUNCTION("""COMPUTED_VALUE"""),"Отмывание денег и разграбливание ресурсов")</f>
        <v>Отмывание денег и разграбливание ресурсов</v>
      </c>
      <c r="AA545" s="6" t="str">
        <f>IFERROR(__xludf.DUMMYFUNCTION("""COMPUTED_VALUE"""),"Очень долго писать,чернил не хватит")</f>
        <v>Очень долго писать,чернил не хватит</v>
      </c>
      <c r="AB545" s="6" t="str">
        <f>IFERROR(__xludf.DUMMYFUNCTION("""COMPUTED_VALUE"""),"Никаких")</f>
        <v>Никаких</v>
      </c>
      <c r="AC545" s="6" t="str">
        <f>IFERROR(__xludf.DUMMYFUNCTION("""COMPUTED_VALUE"""),"Привлечение властей к ответу за беспредел")</f>
        <v>Привлечение властей к ответу за беспредел</v>
      </c>
      <c r="AD545"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545" s="6" t="str">
        <f>IFERROR(__xludf.DUMMYFUNCTION("""COMPUTED_VALUE"""),"Мужской")</f>
        <v>Мужской</v>
      </c>
      <c r="AF545" s="6" t="str">
        <f>IFERROR(__xludf.DUMMYFUNCTION("""COMPUTED_VALUE"""),"30-44")</f>
        <v>30-44</v>
      </c>
      <c r="AG545" s="6"/>
      <c r="AH545" s="6"/>
      <c r="AI545" s="6"/>
      <c r="AJ545" s="6"/>
      <c r="AK545" s="6"/>
      <c r="AL545" s="6"/>
      <c r="AM545" s="6"/>
    </row>
    <row r="546">
      <c r="A546" s="6">
        <v>545.0</v>
      </c>
      <c r="B546" s="6" t="str">
        <f>IFERROR(__xludf.DUMMYFUNCTION("""COMPUTED_VALUE"""),"Студент, заканчиваю обучение. Параллельно работаю.")</f>
        <v>Студент, заканчиваю обучение. Параллельно работаю.</v>
      </c>
      <c r="C546" s="6" t="str">
        <f>IFERROR(__xludf.DUMMYFUNCTION("""COMPUTED_VALUE"""),"Иногда пытаюсь рисовать, люблю велопрогулки по городу.")</f>
        <v>Иногда пытаюсь рисовать, люблю велопрогулки по городу.</v>
      </c>
      <c r="D546" s="6" t="str">
        <f>IFERROR(__xludf.DUMMYFUNCTION("""COMPUTED_VALUE"""),"Ленинский")</f>
        <v>Ленинский</v>
      </c>
      <c r="E546" s="6" t="str">
        <f>IFERROR(__xludf.DUMMYFUNCTION("""COMPUTED_VALUE"""),"Кадетское училище, Бульвар строителей, культурный кластер (строится в данный момент).")</f>
        <v>Кадетское училище, Бульвар строителей, культурный кластер (строится в данный момент).</v>
      </c>
      <c r="F546" s="6" t="str">
        <f>IFERROR(__xludf.DUMMYFUNCTION("""COMPUTED_VALUE"""),"Живу здесь с рождения")</f>
        <v>Живу здесь с рождения</v>
      </c>
      <c r="G546" s="6" t="str">
        <f>IFERROR(__xludf.DUMMYFUNCTION("""COMPUTED_VALUE"""),"Бульвар строителей, Рудничный бор")</f>
        <v>Бульвар строителей, Рудничный бор</v>
      </c>
      <c r="H546" s="6" t="str">
        <f>IFERROR(__xludf.DUMMYFUNCTION("""COMPUTED_VALUE"""),"Пыльный, грязный, серый, уютный, тихий")</f>
        <v>Пыльный, грязный, серый, уютный, тихий</v>
      </c>
      <c r="I546" s="6" t="str">
        <f>IFERROR(__xludf.DUMMYFUNCTION("""COMPUTED_VALUE"""),"Вера Волошина, Михайло Волков, Алексей Леонов, Подгорбунский Михаил")</f>
        <v>Вера Волошина, Михайло Волков, Алексей Леонов, Подгорбунский Михаил</v>
      </c>
      <c r="J546" s="6" t="str">
        <f>IFERROR(__xludf.DUMMYFUNCTION("""COMPUTED_VALUE"""),"Считаю, что таких людей пока нет")</f>
        <v>Считаю, что таких людей пока нет</v>
      </c>
      <c r="K546" s="6" t="str">
        <f>IFERROR(__xludf.DUMMYFUNCTION("""COMPUTED_VALUE"""),"Парк Ангелов, Рудничный бор, Красная горка")</f>
        <v>Парк Ангелов, Рудничный бор, Красная горка</v>
      </c>
      <c r="L546" s="6" t="str">
        <f>IFERROR(__xludf.DUMMYFUNCTION("""COMPUTED_VALUE"""),"Разорвись надвое - скажет: а что не начетверо?")</f>
        <v>Разорвись надвое - скажет: а что не начетверо?</v>
      </c>
      <c r="M546" s="6" t="str">
        <f>IFERROR(__xludf.DUMMYFUNCTION("""COMPUTED_VALUE"""),"КолбА (черемша)")</f>
        <v>КолбА (черемша)</v>
      </c>
      <c r="N546" s="6" t="str">
        <f>IFERROR(__xludf.DUMMYFUNCTION("""COMPUTED_VALUE"""),"Двор без машин, ровные дороги (пешеходные в том числе), пешеходная доступность (правильно спроектированные дорожки, отсутствие заборов), большое количество ""зелени"", своевременная уборка улиц и общественных пространств.")</f>
        <v>Двор без машин, ровные дороги (пешеходные в том числе), пешеходная доступность (правильно спроектированные дорожки, отсутствие заборов), большое количество "зелени", своевременная уборка улиц и общественных пространств.</v>
      </c>
      <c r="O546" s="6" t="str">
        <f>IFERROR(__xludf.DUMMYFUNCTION("""COMPUTED_VALUE"""),"Избавить город от огромного количества рекламы.")</f>
        <v>Избавить город от огромного количества рекламы.</v>
      </c>
      <c r="P546" s="6" t="str">
        <f>IFERROR(__xludf.DUMMYFUNCTION("""COMPUTED_VALUE"""),"Кузбасс Онлайн, Все42, вашгород")</f>
        <v>Кузбасс Онлайн, Все42, вашгород</v>
      </c>
      <c r="Q546" s="6" t="str">
        <f>IFERROR(__xludf.DUMMYFUNCTION("""COMPUTED_VALUE"""),"Интересно читать про развитие города, градостроительные планы и тд.")</f>
        <v>Интересно читать про развитие города, градостроительные планы и тд.</v>
      </c>
      <c r="R546" s="6" t="str">
        <f>IFERROR(__xludf.DUMMYFUNCTION("""COMPUTED_VALUE"""),"День города")</f>
        <v>День города</v>
      </c>
      <c r="S546" s="6" t="str">
        <f>IFERROR(__xludf.DUMMYFUNCTION("""COMPUTED_VALUE"""),"Нет, не приходилось")</f>
        <v>Нет, не приходилось</v>
      </c>
      <c r="T546" s="6" t="str">
        <f>IFERROR(__xludf.DUMMYFUNCTION("""COMPUTED_VALUE"""),"На мой взгляд я не считаю наш город уникальным")</f>
        <v>На мой взгляд я не считаю наш город уникальным</v>
      </c>
      <c r="U546" s="6" t="str">
        <f>IFERROR(__xludf.DUMMYFUNCTION("""COMPUTED_VALUE"""),"Драмтеатр, площадь советов")</f>
        <v>Драмтеатр, площадь советов</v>
      </c>
      <c r="V546" s="6" t="str">
        <f>IFERROR(__xludf.DUMMYFUNCTION("""COMPUTED_VALUE"""),"Развили угольную промышленность, создали город на месте деревни за короткий срок")</f>
        <v>Развили угольную промышленность, создали город на месте деревни за короткий срок</v>
      </c>
      <c r="W546" s="6" t="str">
        <f>IFERROR(__xludf.DUMMYFUNCTION("""COMPUTED_VALUE"""),"Вечно недовольные")</f>
        <v>Вечно недовольные</v>
      </c>
      <c r="X546" s="6" t="str">
        <f>IFERROR(__xludf.DUMMYFUNCTION("""COMPUTED_VALUE"""),"Парк Ангелов, парк Антошка, парк Победы, Филармония, площадь Советов, улица Весенняя, набережная, парк Чудес.")</f>
        <v>Парк Ангелов, парк Антошка, парк Победы, Филармония, площадь Советов, улица Весенняя, набережная, парк Чудес.</v>
      </c>
      <c r="Y546" s="6" t="str">
        <f>IFERROR(__xludf.DUMMYFUNCTION("""COMPUTED_VALUE"""),"Самое значимое, но самое трагичное - Зимняя Вишня в 2018")</f>
        <v>Самое значимое, но самое трагичное - Зимняя Вишня в 2018</v>
      </c>
      <c r="Z546" s="6" t="str">
        <f>IFERROR(__xludf.DUMMYFUNCTION("""COMPUTED_VALUE"""),"""Герои мирового рока""")</f>
        <v>"Герои мирового рока"</v>
      </c>
      <c r="AA546" s="6" t="str">
        <f>IFERROR(__xludf.DUMMYFUNCTION("""COMPUTED_VALUE"""),"Не было таких")</f>
        <v>Не было таких</v>
      </c>
      <c r="AB546" s="6" t="str">
        <f>IFERROR(__xludf.DUMMYFUNCTION("""COMPUTED_VALUE"""),"Не могу ответить на этот вопрос")</f>
        <v>Не могу ответить на этот вопрос</v>
      </c>
      <c r="AC546" s="6" t="str">
        <f>IFERROR(__xludf.DUMMYFUNCTION("""COMPUTED_VALUE"""),"Больше фестивалей, подобных ""Герои мирового рока"". ")</f>
        <v>Больше фестивалей, подобных "Герои мирового рока". </v>
      </c>
      <c r="AD54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546" s="6" t="str">
        <f>IFERROR(__xludf.DUMMYFUNCTION("""COMPUTED_VALUE"""),"Мужской")</f>
        <v>Мужской</v>
      </c>
      <c r="AF546" s="6" t="str">
        <f>IFERROR(__xludf.DUMMYFUNCTION("""COMPUTED_VALUE"""),"18-29")</f>
        <v>18-29</v>
      </c>
      <c r="AG546" s="6"/>
      <c r="AH546" s="6"/>
      <c r="AI546" s="6"/>
      <c r="AJ546" s="6"/>
      <c r="AK546" s="6"/>
      <c r="AL546" s="6"/>
      <c r="AM546" s="6"/>
    </row>
    <row r="547">
      <c r="A547" s="6">
        <v>546.0</v>
      </c>
      <c r="B547" s="6" t="str">
        <f>IFERROR(__xludf.DUMMYFUNCTION("""COMPUTED_VALUE"""),"Пенсионер")</f>
        <v>Пенсионер</v>
      </c>
      <c r="C547" s="6" t="str">
        <f>IFERROR(__xludf.DUMMYFUNCTION("""COMPUTED_VALUE"""),"Занимаюсь огородм")</f>
        <v>Занимаюсь огородм</v>
      </c>
      <c r="D547" s="6" t="str">
        <f>IFERROR(__xludf.DUMMYFUNCTION("""COMPUTED_VALUE"""),"Заводской посёлок улус")</f>
        <v>Заводской посёлок улус</v>
      </c>
      <c r="E547" s="6" t="str">
        <f>IFERROR(__xludf.DUMMYFUNCTION("""COMPUTED_VALUE"""),"Ни каких")</f>
        <v>Ни каких</v>
      </c>
      <c r="F547" s="6" t="str">
        <f>IFERROR(__xludf.DUMMYFUNCTION("""COMPUTED_VALUE"""),"Переехал сюда из другого места (откуда? укажите в графе другое), Из томской области")</f>
        <v>Переехал сюда из другого места (откуда? укажите в графе другое), Из томской области</v>
      </c>
      <c r="G547" s="6" t="str">
        <f>IFERROR(__xludf.DUMMYFUNCTION("""COMPUTED_VALUE"""),"На набережную. Парк чудес")</f>
        <v>На набережную. Парк чудес</v>
      </c>
      <c r="H547" s="6" t="str">
        <f>IFERROR(__xludf.DUMMYFUNCTION("""COMPUTED_VALUE"""),"Зимой смог. ")</f>
        <v>Зимой смог. </v>
      </c>
      <c r="I547" s="6" t="str">
        <f>IFERROR(__xludf.DUMMYFUNCTION("""COMPUTED_VALUE"""),"А. Леонов космонавт")</f>
        <v>А. Леонов космонавт</v>
      </c>
      <c r="J547" s="6" t="str">
        <f>IFERROR(__xludf.DUMMYFUNCTION("""COMPUTED_VALUE"""),"Бывший мер Кемерово. Михайлов")</f>
        <v>Бывший мер Кемерово. Михайлов</v>
      </c>
      <c r="K547" s="6" t="str">
        <f>IFERROR(__xludf.DUMMYFUNCTION("""COMPUTED_VALUE"""),"Парк ангелов")</f>
        <v>Парк ангелов</v>
      </c>
      <c r="L547" s="6" t="str">
        <f>IFERROR(__xludf.DUMMYFUNCTION("""COMPUTED_VALUE"""),"Как Михайло волков нашел уголь в нашем крае")</f>
        <v>Как Михайло волков нашел уголь в нашем крае</v>
      </c>
      <c r="M547" s="6" t="str">
        <f>IFERROR(__xludf.DUMMYFUNCTION("""COMPUTED_VALUE"""),"Нет")</f>
        <v>Нет</v>
      </c>
      <c r="N547" s="6" t="str">
        <f>IFERROR(__xludf.DUMMYFUNCTION("""COMPUTED_VALUE"""),"Чисто. Уютно. Дороги не плохие
")</f>
        <v>Чисто. Уютно. Дороги не плохие
</v>
      </c>
      <c r="O547" s="6" t="str">
        <f>IFERROR(__xludf.DUMMYFUNCTION("""COMPUTED_VALUE"""),"В заводском районе п улусе нет детских площадок. Тротуаров. Нужен водопровод")</f>
        <v>В заводском районе п улусе нет детских площадок. Тротуаров. Нужен водопровод</v>
      </c>
      <c r="P547" s="6" t="str">
        <f>IFERROR(__xludf.DUMMYFUNCTION("""COMPUTED_VALUE"""),"Телевидение")</f>
        <v>Телевидение</v>
      </c>
      <c r="Q547" s="6" t="str">
        <f>IFERROR(__xludf.DUMMYFUNCTION("""COMPUTED_VALUE"""),"интервью с местными предпринимателями")</f>
        <v>интервью с местными предпринимателями</v>
      </c>
      <c r="R547" s="6" t="str">
        <f>IFERROR(__xludf.DUMMYFUNCTION("""COMPUTED_VALUE"""),"День города")</f>
        <v>День города</v>
      </c>
      <c r="S547" s="6" t="str">
        <f>IFERROR(__xludf.DUMMYFUNCTION("""COMPUTED_VALUE"""),"Нет, не приходилось")</f>
        <v>Нет, не приходилось</v>
      </c>
      <c r="T547" s="6" t="str">
        <f>IFERROR(__xludf.DUMMYFUNCTION("""COMPUTED_VALUE"""),"Угольный бассейн")</f>
        <v>Угольный бассейн</v>
      </c>
      <c r="U547" s="6" t="str">
        <f>IFERROR(__xludf.DUMMYFUNCTION("""COMPUTED_VALUE"""),"Вессеняя")</f>
        <v>Вессеняя</v>
      </c>
      <c r="V547" s="6" t="str">
        <f>IFERROR(__xludf.DUMMYFUNCTION("""COMPUTED_VALUE"""),"Благоустройство города")</f>
        <v>Благоустройство города</v>
      </c>
      <c r="W547" s="6" t="str">
        <f>IFERROR(__xludf.DUMMYFUNCTION("""COMPUTED_VALUE"""),"Разные как и везде")</f>
        <v>Разные как и везде</v>
      </c>
      <c r="X547" s="6" t="str">
        <f>IFERROR(__xludf.DUMMYFUNCTION("""COMPUTED_VALUE"""),"Вессеняя")</f>
        <v>Вессеняя</v>
      </c>
      <c r="Y547" s="6" t="str">
        <f>IFERROR(__xludf.DUMMYFUNCTION("""COMPUTED_VALUE"""),"Театр кукол")</f>
        <v>Театр кукол</v>
      </c>
      <c r="Z547" s="6" t="str">
        <f>IFERROR(__xludf.DUMMYFUNCTION("""COMPUTED_VALUE"""),"Зимние катки бесплатные")</f>
        <v>Зимние катки бесплатные</v>
      </c>
      <c r="AA547" s="6" t="str">
        <f>IFERROR(__xludf.DUMMYFUNCTION("""COMPUTED_VALUE"""),"Заводской район ул мозжухинская машины ездят с превышеной скоростью и часто сбивают домашних животных")</f>
        <v>Заводской район ул мозжухинская машины ездят с превышеной скоростью и часто сбивают домашних животных</v>
      </c>
      <c r="AB547" s="6" t="str">
        <f>IFERROR(__xludf.DUMMYFUNCTION("""COMPUTED_VALUE"""),"Все хватает")</f>
        <v>Все хватает</v>
      </c>
      <c r="AC547" s="6" t="str">
        <f>IFERROR(__xludf.DUMMYFUNCTION("""COMPUTED_VALUE"""),"Проводы весны")</f>
        <v>Проводы весны</v>
      </c>
      <c r="AD547"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547" s="6" t="str">
        <f>IFERROR(__xludf.DUMMYFUNCTION("""COMPUTED_VALUE"""),"Женский")</f>
        <v>Женский</v>
      </c>
      <c r="AF547" s="6" t="str">
        <f>IFERROR(__xludf.DUMMYFUNCTION("""COMPUTED_VALUE"""),"старше 55")</f>
        <v>старше 55</v>
      </c>
      <c r="AG547" s="6"/>
      <c r="AH547" s="6"/>
      <c r="AI547" s="6"/>
      <c r="AJ547" s="6"/>
      <c r="AK547" s="6"/>
      <c r="AL547" s="6"/>
      <c r="AM547" s="6"/>
    </row>
    <row r="548">
      <c r="A548" s="6">
        <v>547.0</v>
      </c>
      <c r="B548" s="6" t="str">
        <f>IFERROR(__xludf.DUMMYFUNCTION("""COMPUTED_VALUE"""),"Ремонт компьютеров")</f>
        <v>Ремонт компьютеров</v>
      </c>
      <c r="C548" s="6" t="str">
        <f>IFERROR(__xludf.DUMMYFUNCTION("""COMPUTED_VALUE"""),"Активные виды отдыха, экстремальный спорт")</f>
        <v>Активные виды отдыха, экстремальный спорт</v>
      </c>
      <c r="D548" s="6" t="str">
        <f>IFERROR(__xludf.DUMMYFUNCTION("""COMPUTED_VALUE"""),"Центральный")</f>
        <v>Центральный</v>
      </c>
      <c r="E548" s="6" t="str">
        <f>IFERROR(__xludf.DUMMYFUNCTION("""COMPUTED_VALUE"""),"Набережная, парк победы")</f>
        <v>Набережная, парк победы</v>
      </c>
      <c r="F548" s="6" t="str">
        <f>IFERROR(__xludf.DUMMYFUNCTION("""COMPUTED_VALUE"""),"Живу здесь с рождения")</f>
        <v>Живу здесь с рождения</v>
      </c>
      <c r="G548" s="6" t="str">
        <f>IFERROR(__xludf.DUMMYFUNCTION("""COMPUTED_VALUE"""),"Набережная, сосновый бор, кедровый бор (подъяково), гора люскус")</f>
        <v>Набережная, сосновый бор, кедровый бор (подъяково), гора люскус</v>
      </c>
      <c r="H548" s="6" t="str">
        <f>IFERROR(__xludf.DUMMYFUNCTION("""COMPUTED_VALUE"""),"Смог, уголь, транспортная доступность, промзона, жд-тупик")</f>
        <v>Смог, уголь, транспортная доступность, промзона, жд-тупик</v>
      </c>
      <c r="I548" s="6" t="str">
        <f>IFERROR(__xludf.DUMMYFUNCTION("""COMPUTED_VALUE"""),"Леонов, Кислюк")</f>
        <v>Леонов, Кислюк</v>
      </c>
      <c r="J548" s="6" t="str">
        <f>IFERROR(__xludf.DUMMYFUNCTION("""COMPUTED_VALUE"""),"Гришковец - писатель-драматург")</f>
        <v>Гришковец - писатель-драматург</v>
      </c>
      <c r="K548" s="6" t="str">
        <f>IFERROR(__xludf.DUMMYFUNCTION("""COMPUTED_VALUE"""),"Водопад Камышино, вид на промзону с набережной Кировского района, парк по проспекту химиков, улицу весеннюю, вечный огонь")</f>
        <v>Водопад Камышино, вид на промзону с набережной Кировского района, парк по проспекту химиков, улицу весеннюю, вечный огонь</v>
      </c>
      <c r="L548" s="6" t="str">
        <f>IFERROR(__xludf.DUMMYFUNCTION("""COMPUTED_VALUE"""),"Не приходят в голову сходу")</f>
        <v>Не приходят в голову сходу</v>
      </c>
      <c r="M548" s="6" t="str">
        <f>IFERROR(__xludf.DUMMYFUNCTION("""COMPUTED_VALUE"""),"Нет")</f>
        <v>Нет</v>
      </c>
      <c r="N548" s="6" t="str">
        <f>IFERROR(__xludf.DUMMYFUNCTION("""COMPUTED_VALUE"""),"Транспортная близость, хорошие светофоры, крупные номерные таблицы домов, широкие улицы, тихий центр по выходным зимой")</f>
        <v>Транспортная близость, хорошие светофоры, крупные номерные таблицы домов, широкие улицы, тихий центр по выходным зимой</v>
      </c>
      <c r="O548" s="6" t="str">
        <f>IFERROR(__xludf.DUMMYFUNCTION("""COMPUTED_VALUE"""),"Экологию, объездную дорогу вокруг города общего пользования (без оплаты), городские пляжи, благоустроить зоны отдыха: скверы и парки.")</f>
        <v>Экологию, объездную дорогу вокруг города общего пользования (без оплаты), городские пляжи, благоустроить зоны отдыха: скверы и парки.</v>
      </c>
      <c r="P548" s="6" t="str">
        <f>IFERROR(__xludf.DUMMYFUNCTION("""COMPUTED_VALUE"""),"От друзей, ВКонтакте, лента Google")</f>
        <v>От друзей, ВКонтакте, лента Google</v>
      </c>
      <c r="Q548"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 интервью с экспертами на ра"&amp;"зные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548" s="6" t="str">
        <f>IFERROR(__xludf.DUMMYFUNCTION("""COMPUTED_VALUE"""),"День города")</f>
        <v>День города</v>
      </c>
      <c r="S548" s="6" t="str">
        <f>IFERROR(__xludf.DUMMYFUNCTION("""COMPUTED_VALUE"""),"Писал и расклеивал объявления/афиши")</f>
        <v>Писал и расклеивал объявления/афиши</v>
      </c>
      <c r="T548" s="6" t="str">
        <f>IFERROR(__xludf.DUMMYFUNCTION("""COMPUTED_VALUE"""),"Уголь и его переработка, печальная история ""зимней вишни"", плохая экология, низкий уровень жизни, высокий уровень преступности")</f>
        <v>Уголь и его переработка, печальная история "зимней вишни", плохая экология, низкий уровень жизни, высокий уровень преступности</v>
      </c>
      <c r="U548" s="6" t="str">
        <f>IFERROR(__xludf.DUMMYFUNCTION("""COMPUTED_VALUE"""),"Площадь советов, площадь Кирова")</f>
        <v>Площадь советов, площадь Кирова</v>
      </c>
      <c r="V548" s="6" t="str">
        <f>IFERROR(__xludf.DUMMYFUNCTION("""COMPUTED_VALUE"""),"Нет ответа")</f>
        <v>Нет ответа</v>
      </c>
      <c r="W548" s="6" t="str">
        <f>IFERROR(__xludf.DUMMYFUNCTION("""COMPUTED_VALUE"""),"Отзывчивые, бережливые, сочувствующие")</f>
        <v>Отзывчивые, бережливые, сочувствующие</v>
      </c>
      <c r="X548" s="6" t="str">
        <f>IFERROR(__xludf.DUMMYFUNCTION("""COMPUTED_VALUE"""),"От площади Волкова до набережной")</f>
        <v>От площади Волкова до набережной</v>
      </c>
      <c r="Y548" s="6" t="str">
        <f>IFERROR(__xludf.DUMMYFUNCTION("""COMPUTED_VALUE"""),"Строительство ""лесной поляны""")</f>
        <v>Строительство "лесной поляны"</v>
      </c>
      <c r="Z548" s="6" t="str">
        <f>IFERROR(__xludf.DUMMYFUNCTION("""COMPUTED_VALUE"""),"Нет ответа")</f>
        <v>Нет ответа</v>
      </c>
      <c r="AA548" s="6" t="str">
        <f>IFERROR(__xludf.DUMMYFUNCTION("""COMPUTED_VALUE"""),"Высокий уровень коррупции, трагедия в тц""зимняя вишня"", частые режимы черного неба с дымом, увеличение количества онкологических заболеваний")</f>
        <v>Высокий уровень коррупции, трагедия в тц"зимняя вишня", частые режимы черного неба с дымом, увеличение количества онкологических заболеваний</v>
      </c>
      <c r="AB548" s="6" t="str">
        <f>IFERROR(__xludf.DUMMYFUNCTION("""COMPUTED_VALUE"""),"Ай-ти сообщества, парашютный спорт")</f>
        <v>Ай-ти сообщества, парашютный спорт</v>
      </c>
      <c r="AC548" s="6" t="str">
        <f>IFERROR(__xludf.DUMMYFUNCTION("""COMPUTED_VALUE"""),"Ежемесячные культурные события, зрелищные мероприятия из мира спорта, ")</f>
        <v>Ежемесячные культурные события, зрелищные мероприятия из мира спорта, </v>
      </c>
      <c r="AD548"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548" s="6" t="str">
        <f>IFERROR(__xludf.DUMMYFUNCTION("""COMPUTED_VALUE"""),"Мужской")</f>
        <v>Мужской</v>
      </c>
      <c r="AF548" s="6" t="str">
        <f>IFERROR(__xludf.DUMMYFUNCTION("""COMPUTED_VALUE"""),"30-44")</f>
        <v>30-44</v>
      </c>
      <c r="AG548" s="6"/>
      <c r="AH548" s="6"/>
      <c r="AI548" s="6"/>
      <c r="AJ548" s="6"/>
      <c r="AK548" s="6"/>
      <c r="AL548" s="6"/>
      <c r="AM548" s="6"/>
    </row>
    <row r="549">
      <c r="A549" s="6">
        <v>548.0</v>
      </c>
      <c r="B549" s="6" t="str">
        <f>IFERROR(__xludf.DUMMYFUNCTION("""COMPUTED_VALUE"""),"Недавно вышла на пенсию")</f>
        <v>Недавно вышла на пенсию</v>
      </c>
      <c r="C549" s="6" t="str">
        <f>IFERROR(__xludf.DUMMYFUNCTION("""COMPUTED_VALUE"""),"Гончарное ремесло")</f>
        <v>Гончарное ремесло</v>
      </c>
      <c r="D549" s="6" t="str">
        <f>IFERROR(__xludf.DUMMYFUNCTION("""COMPUTED_VALUE"""),"Кировский район")</f>
        <v>Кировский район</v>
      </c>
      <c r="E549" s="6" t="str">
        <f>IFERROR(__xludf.DUMMYFUNCTION("""COMPUTED_VALUE"""),"Архитектура ЖКС, набережная")</f>
        <v>Архитектура ЖКС, набережная</v>
      </c>
      <c r="F549" s="6" t="str">
        <f>IFERROR(__xludf.DUMMYFUNCTION("""COMPUTED_VALUE"""),"Живу здесь с рождения")</f>
        <v>Живу здесь с рождения</v>
      </c>
      <c r="G549" s="6" t="str">
        <f>IFERROR(__xludf.DUMMYFUNCTION("""COMPUTED_VALUE"""),"Сосновый бор, набережная Кировского района, городской сад,.")</f>
        <v>Сосновый бор, набережная Кировского района, городской сад,.</v>
      </c>
      <c r="H549" s="6" t="str">
        <f>IFERROR(__xludf.DUMMYFUNCTION("""COMPUTED_VALUE"""),"Красная горка.  .Режим ""черного неба"". Зимняя вишня.  Кокс. Лисий хвост.")</f>
        <v>Красная горка.  .Режим "черного неба". Зимняя вишня.  Кокс. Лисий хвост.</v>
      </c>
      <c r="I549" s="6" t="str">
        <f>IFERROR(__xludf.DUMMYFUNCTION("""COMPUTED_VALUE"""),"Михайло Волков, Рутгерс.")</f>
        <v>Михайло Волков, Рутгерс.</v>
      </c>
      <c r="J549" s="6" t="str">
        <f>IFERROR(__xludf.DUMMYFUNCTION("""COMPUTED_VALUE"""),"Тулеев, Михайлов.")</f>
        <v>Тулеев, Михайлов.</v>
      </c>
      <c r="K549" s="6" t="str">
        <f>IFERROR(__xludf.DUMMYFUNCTION("""COMPUTED_VALUE"""),"Самые красивые улицы Кировского района застраивались в 30-е – 50-е годы XX века,  ул. 40 лет Октября пересекается с улицами Назарова, Ушакова, Севастопольской, Инициативной. И все они – своеобразная энциклопедия архитектурных стилей советского периода: от"&amp;" функционализма, конструктивизма до неоклассики и сталинского ампира. После реставрации фасадов домов , этот уголок Кировского района стал бы настоящей достопримечательностью города Кемерово.")</f>
        <v>Самые красивые улицы Кировского района застраивались в 30-е – 50-е годы XX века,  ул. 40 лет Октября пересекается с улицами Назарова, Ушакова, Севастопольской, Инициативной. И все они – своеобразная энциклопедия архитектурных стилей советского периода: от функционализма, конструктивизма до неоклассики и сталинского ампира. После реставрации фасадов домов , этот уголок Кировского района стал бы настоящей достопримечательностью города Кемерово.</v>
      </c>
      <c r="L549" s="6" t="str">
        <f>IFERROR(__xludf.DUMMYFUNCTION("""COMPUTED_VALUE"""),"Нет ответа")</f>
        <v>Нет ответа</v>
      </c>
      <c r="M549" s="6" t="str">
        <f>IFERROR(__xludf.DUMMYFUNCTION("""COMPUTED_VALUE"""),"Увы")</f>
        <v>Увы</v>
      </c>
      <c r="N549" s="6" t="str">
        <f>IFERROR(__xludf.DUMMYFUNCTION("""COMPUTED_VALUE"""),"Ухоженные фасады домов, хорошие дороги, чистый воздух, развитая инфраструктура, доступная медицина.")</f>
        <v>Ухоженные фасады домов, хорошие дороги, чистый воздух, развитая инфраструктура, доступная медицина.</v>
      </c>
      <c r="O549" s="6" t="str">
        <f>IFERROR(__xludf.DUMMYFUNCTION("""COMPUTED_VALUE"""),"Медицину. Обеспечить поликлиники современным медицинским оборудованием и профессиональными кадрами.")</f>
        <v>Медицину. Обеспечить поликлиники современным медицинским оборудованием и профессиональными кадрами.</v>
      </c>
      <c r="P549" s="6" t="str">
        <f>IFERROR(__xludf.DUMMYFUNCTION("""COMPUTED_VALUE"""),"Google новости. Подписка ""местные новости""")</f>
        <v>Google новости. Подписка "местные новости"</v>
      </c>
      <c r="Q549"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549" s="6" t="str">
        <f>IFERROR(__xludf.DUMMYFUNCTION("""COMPUTED_VALUE"""),"День города.")</f>
        <v>День города.</v>
      </c>
      <c r="S549" s="6" t="str">
        <f>IFERROR(__xludf.DUMMYFUNCTION("""COMPUTED_VALUE"""),"Нет, не приходилось")</f>
        <v>Нет, не приходилось</v>
      </c>
      <c r="T549" s="6" t="str">
        <f>IFERROR(__xludf.DUMMYFUNCTION("""COMPUTED_VALUE"""),"""Зимняя вишня"". Тулеев. Монумент ""Память шахтерам Кузбасса"" Эрнст Неизвестный.")</f>
        <v>"Зимняя вишня". Тулеев. Монумент "Память шахтерам Кузбасса" Эрнст Неизвестный.</v>
      </c>
      <c r="U549" s="6" t="str">
        <f>IFERROR(__xludf.DUMMYFUNCTION("""COMPUTED_VALUE"""),"Драмтеатр")</f>
        <v>Драмтеатр</v>
      </c>
      <c r="V549" s="6" t="str">
        <f>IFERROR(__xludf.DUMMYFUNCTION("""COMPUTED_VALUE"""),"Любили и строили свой город")</f>
        <v>Любили и строили свой город</v>
      </c>
      <c r="W549" s="6" t="str">
        <f>IFERROR(__xludf.DUMMYFUNCTION("""COMPUTED_VALUE"""),"Разные. ")</f>
        <v>Разные. </v>
      </c>
      <c r="X549" s="6" t="str">
        <f>IFERROR(__xludf.DUMMYFUNCTION("""COMPUTED_VALUE"""),"Красная горка")</f>
        <v>Красная горка</v>
      </c>
      <c r="Y549" s="6" t="str">
        <f>IFERROR(__xludf.DUMMYFUNCTION("""COMPUTED_VALUE"""),"Переименование в город Кемерово.")</f>
        <v>Переименование в город Кемерово.</v>
      </c>
      <c r="Z549" s="6" t="str">
        <f>IFERROR(__xludf.DUMMYFUNCTION("""COMPUTED_VALUE"""),"Нет ответа")</f>
        <v>Нет ответа</v>
      </c>
      <c r="AA549" s="6" t="str">
        <f>IFERROR(__xludf.DUMMYFUNCTION("""COMPUTED_VALUE""")," Несостоятельность руководителей здравоохранения Кузбасса решать задачи в условиях пандемии. Это был полный провал! У заболевших людей отказывались брать мазок ПЦР на covid. Ставили диагноз ОРВИ.Полуживых посылали на флюорографию а выявленную пневмонию пр"&amp;"едлагали лечить антибиотиками которых не было в аптеках.")</f>
        <v> Несостоятельность руководителей здравоохранения Кузбасса решать задачи в условиях пандемии. Это был полный провал! У заболевших людей отказывались брать мазок ПЦР на covid. Ставили диагноз ОРВИ.Полуживых посылали на флюорографию а выявленную пневмонию предлагали лечить антибиотиками которых не было в аптеках.</v>
      </c>
      <c r="AB549" s="6" t="str">
        <f>IFERROR(__xludf.DUMMYFUNCTION("""COMPUTED_VALUE"""),"Нет ответа")</f>
        <v>Нет ответа</v>
      </c>
      <c r="AC549" s="6" t="str">
        <f>IFERROR(__xludf.DUMMYFUNCTION("""COMPUTED_VALUE"""),"Нет ответа")</f>
        <v>Нет ответа</v>
      </c>
      <c r="AD549"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549" s="6" t="str">
        <f>IFERROR(__xludf.DUMMYFUNCTION("""COMPUTED_VALUE"""),"Женский")</f>
        <v>Женский</v>
      </c>
      <c r="AF549" s="6" t="str">
        <f>IFERROR(__xludf.DUMMYFUNCTION("""COMPUTED_VALUE"""),"старше 55")</f>
        <v>старше 55</v>
      </c>
      <c r="AG549" s="6"/>
      <c r="AH549" s="6"/>
      <c r="AI549" s="6"/>
      <c r="AJ549" s="6"/>
      <c r="AK549" s="6"/>
      <c r="AL549" s="6"/>
      <c r="AM549" s="6"/>
    </row>
    <row r="550">
      <c r="A550" s="6">
        <v>549.0</v>
      </c>
      <c r="B550" s="6" t="str">
        <f>IFERROR(__xludf.DUMMYFUNCTION("""COMPUTED_VALUE"""),"служащая")</f>
        <v>служащая</v>
      </c>
      <c r="C550" s="6" t="str">
        <f>IFERROR(__xludf.DUMMYFUNCTION("""COMPUTED_VALUE"""),"развожу цветы")</f>
        <v>развожу цветы</v>
      </c>
      <c r="D550" s="6" t="str">
        <f>IFERROR(__xludf.DUMMYFUNCTION("""COMPUTED_VALUE"""),"центральный")</f>
        <v>центральный</v>
      </c>
      <c r="E550" s="6" t="str">
        <f>IFERROR(__xludf.DUMMYFUNCTION("""COMPUTED_VALUE"""),"площадь")</f>
        <v>площадь</v>
      </c>
      <c r="F550" s="6" t="str">
        <f>IFERROR(__xludf.DUMMYFUNCTION("""COMPUTED_VALUE"""),"Переехал сюда из другого места (откуда? укажите в графе другое), Кемерово")</f>
        <v>Переехал сюда из другого места (откуда? укажите в графе другое), Кемерово</v>
      </c>
      <c r="G550" s="6" t="str">
        <f>IFERROR(__xludf.DUMMYFUNCTION("""COMPUTED_VALUE"""),"магазин")</f>
        <v>магазин</v>
      </c>
      <c r="H550" s="6" t="str">
        <f>IFERROR(__xludf.DUMMYFUNCTION("""COMPUTED_VALUE"""),"фонтан, администрация, памятник Ленину, почтамт, светофор")</f>
        <v>фонтан, администрация, памятник Ленину, почтамт, светофор</v>
      </c>
      <c r="I550" s="6" t="str">
        <f>IFERROR(__xludf.DUMMYFUNCTION("""COMPUTED_VALUE"""),"Колесников, Шафранский, Чайковский")</f>
        <v>Колесников, Шафранский, Чайковский</v>
      </c>
      <c r="J550" s="6" t="str">
        <f>IFERROR(__xludf.DUMMYFUNCTION("""COMPUTED_VALUE"""),"Тулеев")</f>
        <v>Тулеев</v>
      </c>
      <c r="K550" s="6" t="str">
        <f>IFERROR(__xludf.DUMMYFUNCTION("""COMPUTED_VALUE"""),"храм, фонтан, лыжная база")</f>
        <v>храм, фонтан, лыжная база</v>
      </c>
      <c r="L550" s="6" t="str">
        <f>IFERROR(__xludf.DUMMYFUNCTION("""COMPUTED_VALUE"""),"Тамарин хутор")</f>
        <v>Тамарин хутор</v>
      </c>
      <c r="M550" s="6" t="str">
        <f>IFERROR(__xludf.DUMMYFUNCTION("""COMPUTED_VALUE"""),"еду в Березу")</f>
        <v>еду в Березу</v>
      </c>
      <c r="N550" s="6" t="str">
        <f>IFERROR(__xludf.DUMMYFUNCTION("""COMPUTED_VALUE"""),"баня")</f>
        <v>баня</v>
      </c>
      <c r="O550" s="6" t="str">
        <f>IFERROR(__xludf.DUMMYFUNCTION("""COMPUTED_VALUE"""),"дороги!")</f>
        <v>дороги!</v>
      </c>
      <c r="P550" s="6" t="str">
        <f>IFERROR(__xludf.DUMMYFUNCTION("""COMPUTED_VALUE"""),"Вконтакте")</f>
        <v>Вконтакте</v>
      </c>
      <c r="Q550" s="6" t="str">
        <f>IFERROR(__xludf.DUMMYFUNCTION("""COMPUTED_VALUE"""),"культурные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f>
        <v>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v>
      </c>
      <c r="R550" s="6" t="str">
        <f>IFERROR(__xludf.DUMMYFUNCTION("""COMPUTED_VALUE"""),"день города, день шахтера, библиотечный Арбат")</f>
        <v>день города, день шахтера, библиотечный Арбат</v>
      </c>
      <c r="S550" s="6" t="str">
        <f>IFERROR(__xludf.DUMMYFUNCTION("""COMPUTED_VALUE"""),"Писал и расклеивал объявления/афиши, Делал рассылку по электронной почте")</f>
        <v>Писал и расклеивал объявления/афиши, Делал рассылку по электронной почте</v>
      </c>
      <c r="T550" s="6" t="str">
        <f>IFERROR(__xludf.DUMMYFUNCTION("""COMPUTED_VALUE"""),"Красная горка, вечный огонь")</f>
        <v>Красная горка, вечный огонь</v>
      </c>
      <c r="U550" s="6" t="str">
        <f>IFERROR(__xludf.DUMMYFUNCTION("""COMPUTED_VALUE"""),"городская площадь")</f>
        <v>городская площадь</v>
      </c>
      <c r="V550" s="6" t="str">
        <f>IFERROR(__xludf.DUMMYFUNCTION("""COMPUTED_VALUE"""),"отремонтировали дороги")</f>
        <v>отремонтировали дороги</v>
      </c>
      <c r="W550" s="6" t="str">
        <f>IFERROR(__xludf.DUMMYFUNCTION("""COMPUTED_VALUE"""),"доброта")</f>
        <v>доброта</v>
      </c>
      <c r="X550" s="6" t="str">
        <f>IFERROR(__xludf.DUMMYFUNCTION("""COMPUTED_VALUE"""),"пр. Советский")</f>
        <v>пр. Советский</v>
      </c>
      <c r="Y550" s="6" t="str">
        <f>IFERROR(__xludf.DUMMYFUNCTION("""COMPUTED_VALUE"""),"гости из-за рубежа")</f>
        <v>гости из-за рубежа</v>
      </c>
      <c r="Z550" s="6" t="str">
        <f>IFERROR(__xludf.DUMMYFUNCTION("""COMPUTED_VALUE"""),"посещение аэропорта")</f>
        <v>посещение аэропорта</v>
      </c>
      <c r="AA550" s="6" t="str">
        <f>IFERROR(__xludf.DUMMYFUNCTION("""COMPUTED_VALUE"""),"пожар в ""Зимней вишне""")</f>
        <v>пожар в "Зимней вишне"</v>
      </c>
      <c r="AB550" s="6" t="str">
        <f>IFERROR(__xludf.DUMMYFUNCTION("""COMPUTED_VALUE"""),"культурных людей")</f>
        <v>культурных людей</v>
      </c>
      <c r="AC550" s="6" t="str">
        <f>IFERROR(__xludf.DUMMYFUNCTION("""COMPUTED_VALUE"""),"строительство библиотек")</f>
        <v>строительство библиотек</v>
      </c>
      <c r="AD55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50" s="6" t="str">
        <f>IFERROR(__xludf.DUMMYFUNCTION("""COMPUTED_VALUE"""),"Женский")</f>
        <v>Женский</v>
      </c>
      <c r="AF550" s="6" t="str">
        <f>IFERROR(__xludf.DUMMYFUNCTION("""COMPUTED_VALUE"""),"45-55")</f>
        <v>45-55</v>
      </c>
      <c r="AG550" s="6"/>
      <c r="AH550" s="6"/>
      <c r="AI550" s="6"/>
      <c r="AJ550" s="6"/>
      <c r="AK550" s="6"/>
      <c r="AL550" s="6"/>
      <c r="AM550" s="6"/>
    </row>
    <row r="551">
      <c r="A551" s="6">
        <v>550.0</v>
      </c>
      <c r="B551" s="6" t="str">
        <f>IFERROR(__xludf.DUMMYFUNCTION("""COMPUTED_VALUE"""),"Я библиотекарь")</f>
        <v>Я библиотекарь</v>
      </c>
      <c r="C551" s="6" t="str">
        <f>IFERROR(__xludf.DUMMYFUNCTION("""COMPUTED_VALUE"""),"Огород, фотография")</f>
        <v>Огород, фотография</v>
      </c>
      <c r="D551" s="6" t="str">
        <f>IFERROR(__xludf.DUMMYFUNCTION("""COMPUTED_VALUE"""),"В Ленинском")</f>
        <v>В Ленинском</v>
      </c>
      <c r="E551" s="6" t="str">
        <f>IFERROR(__xludf.DUMMYFUNCTION("""COMPUTED_VALUE"""),"Линейный парк, спорткомплекс")</f>
        <v>Линейный парк, спорткомплекс</v>
      </c>
      <c r="F551" s="6" t="str">
        <f>IFERROR(__xludf.DUMMYFUNCTION("""COMPUTED_VALUE"""),"Переехал сюда из другого места (откуда? укажите в графе другое), Из села по причине замужества")</f>
        <v>Переехал сюда из другого места (откуда? укажите в графе другое), Из села по причине замужества</v>
      </c>
      <c r="G551" s="6" t="str">
        <f>IFERROR(__xludf.DUMMYFUNCTION("""COMPUTED_VALUE"""),"На Набережную, в парки, на природу, в огород")</f>
        <v>На Набережную, в парки, на природу, в огород</v>
      </c>
      <c r="H551" s="6" t="str">
        <f>IFERROR(__xludf.DUMMYFUNCTION("""COMPUTED_VALUE"""),"Любовь, друзья, семья, работа, жизнь")</f>
        <v>Любовь, друзья, семья, работа, жизнь</v>
      </c>
      <c r="I551" s="6" t="str">
        <f>IFERROR(__xludf.DUMMYFUNCTION("""COMPUTED_VALUE"""),"Михайло Волков, Рутгерс, Вера Волршина, Юрий Двужильный, Масалов, Леонов, Волынов, Подгорбунский, Мартезмьянов")</f>
        <v>Михайло Волков, Рутгерс, Вера Волршина, Юрий Двужильный, Масалов, Леонов, Волынов, Подгорбунский, Мартезмьянов</v>
      </c>
      <c r="J551" s="6" t="str">
        <f>IFERROR(__xludf.DUMMYFUNCTION("""COMPUTED_VALUE"""),"Тулеев")</f>
        <v>Тулеев</v>
      </c>
      <c r="K551" s="6" t="str">
        <f>IFERROR(__xludf.DUMMYFUNCTION("""COMPUTED_VALUE"""),"Памятник героям ВОВ на Набережной, Красную Горку, Набережную, б. Строителей, ул. Весеннюю, парк В. Волошиной")</f>
        <v>Памятник героям ВОВ на Набережной, Красную Горку, Набережную, б. Строителей, ул. Весеннюю, парк В. Волошиной</v>
      </c>
      <c r="L551" s="6" t="str">
        <f>IFERROR(__xludf.DUMMYFUNCTION("""COMPUTED_VALUE"""),"Терпенье и труд все перетрут")</f>
        <v>Терпенье и труд все перетрут</v>
      </c>
      <c r="M551" s="6" t="str">
        <f>IFERROR(__xludf.DUMMYFUNCTION("""COMPUTED_VALUE"""),"Айда - пойдем, тормозок - шахтерский обед, виктория - клубника, калым - подработка, ")</f>
        <v>Айда - пойдем, тормозок - шахтерский обед, виктория - клубника, калым - подработка, </v>
      </c>
      <c r="N551" s="6" t="str">
        <f>IFERROR(__xludf.DUMMYFUNCTION("""COMPUTED_VALUE"""),"Благоустройство, тепло в квартирах, водители транпорта корректны по отношению к пешеходам, озеленение, вежливость всех людей")</f>
        <v>Благоустройство, тепло в квартирах, водители транпорта корректны по отношению к пешеходам, озеленение, вежливость всех людей</v>
      </c>
      <c r="O551" s="6" t="str">
        <f>IFERROR(__xludf.DUMMYFUNCTION("""COMPUTED_VALUE"""),"Заменить некоторых  руководителей")</f>
        <v>Заменить некоторых  руководителей</v>
      </c>
      <c r="P551" s="6" t="str">
        <f>IFERROR(__xludf.DUMMYFUNCTION("""COMPUTED_VALUE"""),"Из телевизора, ок, вк, из газет")</f>
        <v>Из телевизора, ок, вк, из газет</v>
      </c>
      <c r="Q551"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551" s="6" t="str">
        <f>IFERROR(__xludf.DUMMYFUNCTION("""COMPUTED_VALUE"""),"9 Мая")</f>
        <v>9 Мая</v>
      </c>
      <c r="S551" s="6" t="str">
        <f>IFERROR(__xludf.DUMMYFUNCTION("""COMPUTED_VALUE"""),"Нет, не приходилось")</f>
        <v>Нет, не приходилось</v>
      </c>
      <c r="T551" s="6" t="str">
        <f>IFERROR(__xludf.DUMMYFUNCTION("""COMPUTED_VALUE"""),"Людьми и их трудом. Уникальны люди, история города")</f>
        <v>Людьми и их трудом. Уникальны люди, история города</v>
      </c>
      <c r="U551" s="6" t="str">
        <f>IFERROR(__xludf.DUMMYFUNCTION("""COMPUTED_VALUE"""),"Площадь Советов, Набережная с монументом героям ВОВ, площадь Волкова с памятником рудознатцу Волкову, Сосновый бор")</f>
        <v>Площадь Советов, Набережная с монументом героям ВОВ, площадь Волкова с памятником рудознатцу Волкову, Сосновый бор</v>
      </c>
      <c r="V551" s="6" t="str">
        <f>IFERROR(__xludf.DUMMYFUNCTION("""COMPUTED_VALUE"""),"Трудились на благо города")</f>
        <v>Трудились на благо города</v>
      </c>
      <c r="W551" s="6" t="str">
        <f>IFERROR(__xludf.DUMMYFUNCTION("""COMPUTED_VALUE"""),"Умные, вежливые, добрые, трудолюбивыеэ")</f>
        <v>Умные, вежливые, добрые, трудолюбивыеэ</v>
      </c>
      <c r="X551" s="6" t="str">
        <f>IFERROR(__xludf.DUMMYFUNCTION("""COMPUTED_VALUE"""),"Ул. ВЕСЕННЯЯ, Набережная, Красная Горка")</f>
        <v>Ул. ВЕСЕННЯЯ, Набережная, Красная Горка</v>
      </c>
      <c r="Y551" s="6" t="str">
        <f>IFERROR(__xludf.DUMMYFUNCTION("""COMPUTED_VALUE"""),"Строительство филармонии")</f>
        <v>Строительство филармонии</v>
      </c>
      <c r="Z551" s="6" t="str">
        <f>IFERROR(__xludf.DUMMYFUNCTION("""COMPUTED_VALUE"""),"Не запомнились")</f>
        <v>Не запомнились</v>
      </c>
      <c r="AA551" s="6" t="str">
        <f>IFERROR(__xludf.DUMMYFUNCTION("""COMPUTED_VALUE"""),"Не запомнились")</f>
        <v>Не запомнились</v>
      </c>
      <c r="AB551" s="6" t="str">
        <f>IFERROR(__xludf.DUMMYFUNCTION("""COMPUTED_VALUE"""),"Всего мне хватает")</f>
        <v>Всего мне хватает</v>
      </c>
      <c r="AC551" s="6" t="str">
        <f>IFERROR(__xludf.DUMMYFUNCTION("""COMPUTED_VALUE"""),"Всего достаточно")</f>
        <v>Всего достаточно</v>
      </c>
      <c r="AD55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51" s="6" t="str">
        <f>IFERROR(__xludf.DUMMYFUNCTION("""COMPUTED_VALUE"""),"Женский")</f>
        <v>Женский</v>
      </c>
      <c r="AF551" s="6" t="str">
        <f>IFERROR(__xludf.DUMMYFUNCTION("""COMPUTED_VALUE"""),"старше 55")</f>
        <v>старше 55</v>
      </c>
      <c r="AG551" s="6"/>
      <c r="AH551" s="6"/>
      <c r="AI551" s="6"/>
      <c r="AJ551" s="6"/>
      <c r="AK551" s="6"/>
      <c r="AL551" s="6"/>
      <c r="AM551" s="6"/>
    </row>
    <row r="552">
      <c r="A552" s="6">
        <v>551.0</v>
      </c>
      <c r="B552" s="6" t="str">
        <f>IFERROR(__xludf.DUMMYFUNCTION("""COMPUTED_VALUE"""),"Работаю в сфере электроэнергетики")</f>
        <v>Работаю в сфере электроэнергетики</v>
      </c>
      <c r="C552" s="6" t="str">
        <f>IFERROR(__xludf.DUMMYFUNCTION("""COMPUTED_VALUE"""),"Люблю играть в баскетбол, слушать музыку, общаться с друзьями")</f>
        <v>Люблю играть в баскетбол, слушать музыку, общаться с друзьями</v>
      </c>
      <c r="D552" s="6" t="str">
        <f>IFERROR(__xludf.DUMMYFUNCTION("""COMPUTED_VALUE"""),"Центральный район города Кемерово. Называю его Центр.")</f>
        <v>Центральный район города Кемерово. Называю его Центр.</v>
      </c>
      <c r="E552" s="6" t="str">
        <f>IFERROR(__xludf.DUMMYFUNCTION("""COMPUTED_VALUE"""),"Улица Весенняя, городской сад, площадь перед бывшим клубом ГРЭС")</f>
        <v>Улица Весенняя, городской сад, площадь перед бывшим клубом ГРЭС</v>
      </c>
      <c r="F552" s="6" t="str">
        <f>IFERROR(__xludf.DUMMYFUNCTION("""COMPUTED_VALUE"""),"Живу здесь с рождения")</f>
        <v>Живу здесь с рождения</v>
      </c>
      <c r="G552" s="6" t="str">
        <f>IFERROR(__xludf.DUMMYFUNCTION("""COMPUTED_VALUE"""),"Сосновый бор, бульвар Строителей, Комсомольский парк, городской Сад.")</f>
        <v>Сосновый бор, бульвар Строителей, Комсомольский парк, городской Сад.</v>
      </c>
      <c r="H552" s="6" t="str">
        <f>IFERROR(__xludf.DUMMYFUNCTION("""COMPUTED_VALUE"""),"Город-сад")</f>
        <v>Город-сад</v>
      </c>
      <c r="I552" s="6" t="str">
        <f>IFERROR(__xludf.DUMMYFUNCTION("""COMPUTED_VALUE"""),"А.А, Леонов, С.Ю. Рутгерс, В.А. Раздаев")</f>
        <v>А.А, Леонов, С.Ю. Рутгерс, В.А. Раздаев</v>
      </c>
      <c r="J552" s="6" t="str">
        <f>IFERROR(__xludf.DUMMYFUNCTION("""COMPUTED_VALUE"""),"Владимир Васильевич Михайлов")</f>
        <v>Владимир Васильевич Михайлов</v>
      </c>
      <c r="K552" s="6" t="str">
        <f>IFERROR(__xludf.DUMMYFUNCTION("""COMPUTED_VALUE"""),"Красная горка")</f>
        <v>Красная горка</v>
      </c>
      <c r="L552" s="6" t="str">
        <f>IFERROR(__xludf.DUMMYFUNCTION("""COMPUTED_VALUE"""),"Не знаю")</f>
        <v>Не знаю</v>
      </c>
      <c r="M552" s="6" t="str">
        <f>IFERROR(__xludf.DUMMYFUNCTION("""COMPUTED_VALUE"""),"Не знаю")</f>
        <v>Не знаю</v>
      </c>
      <c r="N552" s="6" t="str">
        <f>IFERROR(__xludf.DUMMYFUNCTION("""COMPUTED_VALUE"""),"Порядок, благоустройство, места отдыха, хорошие дороги, безопасность")</f>
        <v>Порядок, благоустройство, места отдыха, хорошие дороги, безопасность</v>
      </c>
      <c r="O552" s="6" t="str">
        <f>IFERROR(__xludf.DUMMYFUNCTION("""COMPUTED_VALUE"""),"Подход ок благоустройству. Не хватает хозяйского подхода в поддержании порядка. Много строится нового, но при этом разрушается старое. Много непродуманных решений по благоустройству. Нет единого стиля города. Мелочи разрушают общую картину.")</f>
        <v>Подход ок благоустройству. Не хватает хозяйского подхода в поддержании порядка. Много строится нового, но при этом разрушается старое. Много непродуманных решений по благоустройству. Нет единого стиля города. Мелочи разрушают общую картину.</v>
      </c>
      <c r="P552" s="6" t="str">
        <f>IFERROR(__xludf.DUMMYFUNCTION("""COMPUTED_VALUE"""),"Сообщества Вконтакте ""Регион-42 Кемерово"", ""Типичный Кемерово""")</f>
        <v>Сообщества Вконтакте "Регион-42 Кемерово", "Типичный Кемерово"</v>
      </c>
      <c r="Q552" s="6" t="str">
        <f>IFERROR(__xludf.DUMMYFUNCTION("""COMPUTED_VALUE"""),"интервью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v>
      </c>
      <c r="R552" s="6" t="str">
        <f>IFERROR(__xludf.DUMMYFUNCTION("""COMPUTED_VALUE"""),"Никакие ")</f>
        <v>Никакие </v>
      </c>
      <c r="S552" s="6" t="str">
        <f>IFERROR(__xludf.DUMMYFUNCTION("""COMPUTED_VALUE"""),"Нет, не приходилось")</f>
        <v>Нет, не приходилось</v>
      </c>
      <c r="T552" s="6" t="str">
        <f>IFERROR(__xludf.DUMMYFUNCTION("""COMPUTED_VALUE"""),"Ничем")</f>
        <v>Ничем</v>
      </c>
      <c r="U552" s="6" t="str">
        <f>IFERROR(__xludf.DUMMYFUNCTION("""COMPUTED_VALUE"""),"Улица Весенняя")</f>
        <v>Улица Весенняя</v>
      </c>
      <c r="V552" s="6" t="str">
        <f>IFERROR(__xludf.DUMMYFUNCTION("""COMPUTED_VALUE"""),"Построили город Кемерово")</f>
        <v>Построили город Кемерово</v>
      </c>
      <c r="W552" s="6" t="str">
        <f>IFERROR(__xludf.DUMMYFUNCTION("""COMPUTED_VALUE"""),"Недовольные")</f>
        <v>Недовольные</v>
      </c>
      <c r="X552" s="6" t="str">
        <f>IFERROR(__xludf.DUMMYFUNCTION("""COMPUTED_VALUE"""),"Прогулка по центральной, исторической части города")</f>
        <v>Прогулка по центральной, исторической части города</v>
      </c>
      <c r="Y552" s="6" t="str">
        <f>IFERROR(__xludf.DUMMYFUNCTION("""COMPUTED_VALUE"""),"КОПИКУЗ")</f>
        <v>КОПИКУЗ</v>
      </c>
      <c r="Z552" s="6" t="str">
        <f>IFERROR(__xludf.DUMMYFUNCTION("""COMPUTED_VALUE"""),"Ремонт дорог, ремонт бульвара Строителей")</f>
        <v>Ремонт дорог, ремонт бульвара Строителей</v>
      </c>
      <c r="AA552" s="6" t="str">
        <f>IFERROR(__xludf.DUMMYFUNCTION("""COMPUTED_VALUE"""),"Трагедия в ""Зимней вишне""")</f>
        <v>Трагедия в "Зимней вишне"</v>
      </c>
      <c r="AB552" s="6" t="str">
        <f>IFERROR(__xludf.DUMMYFUNCTION("""COMPUTED_VALUE"""),"Всего хватает")</f>
        <v>Всего хватает</v>
      </c>
      <c r="AC552" s="6" t="str">
        <f>IFERROR(__xludf.DUMMYFUNCTION("""COMPUTED_VALUE"""),"Спортивных")</f>
        <v>Спортивных</v>
      </c>
      <c r="AD552"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552" s="6" t="str">
        <f>IFERROR(__xludf.DUMMYFUNCTION("""COMPUTED_VALUE"""),"Мужской")</f>
        <v>Мужской</v>
      </c>
      <c r="AF552" s="6" t="str">
        <f>IFERROR(__xludf.DUMMYFUNCTION("""COMPUTED_VALUE"""),"30-44")</f>
        <v>30-44</v>
      </c>
      <c r="AG552" s="6"/>
      <c r="AH552" s="6"/>
      <c r="AI552" s="6"/>
      <c r="AJ552" s="6"/>
      <c r="AK552" s="6"/>
      <c r="AL552" s="6"/>
      <c r="AM552" s="6"/>
    </row>
    <row r="553">
      <c r="A553" s="6">
        <v>552.0</v>
      </c>
      <c r="B553" s="6" t="str">
        <f>IFERROR(__xludf.DUMMYFUNCTION("""COMPUTED_VALUE"""),"Работаю")</f>
        <v>Работаю</v>
      </c>
      <c r="C553" s="6" t="str">
        <f>IFERROR(__xludf.DUMMYFUNCTION("""COMPUTED_VALUE"""),"Шитье, вязание")</f>
        <v>Шитье, вязание</v>
      </c>
      <c r="D553" s="6" t="str">
        <f>IFERROR(__xludf.DUMMYFUNCTION("""COMPUTED_VALUE"""),"Фпк Заводский")</f>
        <v>Фпк Заводский</v>
      </c>
      <c r="E553" s="6" t="str">
        <f>IFERROR(__xludf.DUMMYFUNCTION("""COMPUTED_VALUE"""),"Пятая зона")</f>
        <v>Пятая зона</v>
      </c>
      <c r="F553" s="6" t="str">
        <f>IFERROR(__xludf.DUMMYFUNCTION("""COMPUTED_VALUE"""),"ЖИву в Кемерово с 1974г")</f>
        <v>ЖИву в Кемерово с 1974г</v>
      </c>
      <c r="G553" s="6" t="str">
        <f>IFERROR(__xludf.DUMMYFUNCTION("""COMPUTED_VALUE"""),"Центр, пос. Улус, дер. Журавлево. ")</f>
        <v>Центр, пос. Улус, дер. Журавлево. </v>
      </c>
      <c r="H553" s="6" t="str">
        <f>IFERROR(__xludf.DUMMYFUNCTION("""COMPUTED_VALUE"""),"Пр. Ленина, бульвар Строителей, площадь Советов, ул. Кирова, ул Красноармейская")</f>
        <v>Пр. Ленина, бульвар Строителей, площадь Советов, ул. Кирова, ул Красноармейская</v>
      </c>
      <c r="I553" s="6" t="str">
        <f>IFERROR(__xludf.DUMMYFUNCTION("""COMPUTED_VALUE"""),"Леонов А.А. , В.Волошина, Б. Двужильный,... ")</f>
        <v>Леонов А.А. , В.Волошина, Б. Двужильный,... </v>
      </c>
      <c r="J553" s="6" t="str">
        <f>IFERROR(__xludf.DUMMYFUNCTION("""COMPUTED_VALUE"""),"Мой папа Касимов Фаим Касимович, ")</f>
        <v>Мой папа Касимов Фаим Касимович, </v>
      </c>
      <c r="K553" s="6" t="str">
        <f>IFERROR(__xludf.DUMMYFUNCTION("""COMPUTED_VALUE"""),"Красная горка, музей и памятник, церковь Варвары Питербургжской и парк, городской сад, набережная р. Томи, фпк")</f>
        <v>Красная горка, музей и памятник, церковь Варвары Питербургжской и парк, городской сад, набережная р. Томи, фпк</v>
      </c>
      <c r="L553" s="6" t="str">
        <f>IFERROR(__xludf.DUMMYFUNCTION("""COMPUTED_VALUE"""),"Человек из Кемерова")</f>
        <v>Человек из Кемерова</v>
      </c>
      <c r="M553" s="6" t="str">
        <f>IFERROR(__xludf.DUMMYFUNCTION("""COMPUTED_VALUE"""),"Нет")</f>
        <v>Нет</v>
      </c>
      <c r="N553" s="6" t="str">
        <f>IFERROR(__xludf.DUMMYFUNCTION("""COMPUTED_VALUE"""),"Регулярный комфортный, современный общественный транспорт по расписанию, чистота  улиц и дворов, ровные дороги, тротуары, современное озеленение и не только в центре, но и во всех районах. ")</f>
        <v>Регулярный комфортный, современный общественный транспорт по расписанию, чистота  улиц и дворов, ровные дороги, тротуары, современное озеленение и не только в центре, но и во всех районах. </v>
      </c>
      <c r="O553" s="6" t="str">
        <f>IFERROR(__xludf.DUMMYFUNCTION("""COMPUTED_VALUE"""),"Экологию, расширить некоторые улицы(Каменскую) убрать бараки на ул. ТУХАЧЕВСКОГО И ГАГАРИНА, соединить ул Свободы с ул Радищева")</f>
        <v>Экологию, расширить некоторые улицы(Каменскую) убрать бараки на ул. ТУХАЧЕВСКОГО И ГАГАРИНА, соединить ул Свободы с ул Радищева</v>
      </c>
      <c r="P553" s="6" t="str">
        <f>IFERROR(__xludf.DUMMYFUNCTION("""COMPUTED_VALUE"""),"Вк, регион 42, ")</f>
        <v>Вк, регион 42, </v>
      </c>
      <c r="Q553" s="6" t="str">
        <f>IFERROR(__xludf.DUMMYFUNCTION("""COMPUTED_VALUE"""),"городская афиша (кино/театр/концерты), интервью с местными творческими личностями, новости про новые профессии/куда поступать/вакансии")</f>
        <v>городская афиша (кино/театр/концерты), интервью с местными творческими личностями, новости про новые профессии/куда поступать/вакансии</v>
      </c>
      <c r="R553" s="6" t="str">
        <f>IFERROR(__xludf.DUMMYFUNCTION("""COMPUTED_VALUE"""),"День города, день Победы, день шахтера")</f>
        <v>День города, день Победы, день шахтера</v>
      </c>
      <c r="S553" s="6" t="str">
        <f>IFERROR(__xludf.DUMMYFUNCTION("""COMPUTED_VALUE"""),"Нет")</f>
        <v>Нет</v>
      </c>
      <c r="T553" s="6" t="str">
        <f>IFERROR(__xludf.DUMMYFUNCTION("""COMPUTED_VALUE""")," Столица Кузбасса. Продукцией Коксохима, Азота. Малым количеством предприятий для развития региона и привлечения образованный молодежи")</f>
        <v> Столица Кузбасса. Продукцией Коксохима, Азота. Малым количеством предприятий для развития региона и привлечения образованный молодежи</v>
      </c>
      <c r="U553" s="6" t="str">
        <f>IFERROR(__xludf.DUMMYFUNCTION("""COMPUTED_VALUE"""),"Площадь Советов")</f>
        <v>Площадь Советов</v>
      </c>
      <c r="V553" s="6" t="str">
        <f>IFERROR(__xludf.DUMMYFUNCTION("""COMPUTED_VALUE"""),"Трудились")</f>
        <v>Трудились</v>
      </c>
      <c r="W553" s="6" t="str">
        <f>IFERROR(__xludf.DUMMYFUNCTION("""COMPUTED_VALUE"""),"Угрюмые и многие из Кемерова экономные и скромные из-за низких зарплат и пенсий")</f>
        <v>Угрюмые и многие из Кемерова экономные и скромные из-за низких зарплат и пенсий</v>
      </c>
      <c r="X553" s="6" t="str">
        <f>IFERROR(__xludf.DUMMYFUNCTION("""COMPUTED_VALUE"""),"Пр. Ленина, в ночное время - проезд по мосту ул. Терешковой с района Радуги до пр. Октябрьского")</f>
        <v>Пр. Ленина, в ночное время - проезд по мосту ул. Терешковой с района Радуги до пр. Октябрьского</v>
      </c>
      <c r="Y553" s="6" t="str">
        <f>IFERROR(__xludf.DUMMYFUNCTION("""COMPUTED_VALUE"""),"Открытие бассейна, Драм театра, театра Оперетты, филармонии, Диагностического центра. 
")</f>
        <v>Открытие бассейна, Драм театра, театра Оперетты, филармонии, Диагностического центра. 
</v>
      </c>
      <c r="Z553" s="6" t="str">
        <f>IFERROR(__xludf.DUMMYFUNCTION("""COMPUTED_VALUE"""),"Празднование дня города в 2019")</f>
        <v>Празднование дня города в 2019</v>
      </c>
      <c r="AA553" s="6" t="str">
        <f>IFERROR(__xludf.DUMMYFUNCTION("""COMPUTED_VALUE"""),"Отсутствие водопровода, детских площадок, тротуаров в посёлке Улус, Заводского района г. КЕМЕРОВО. ")</f>
        <v>Отсутствие водопровода, детских площадок, тротуаров в посёлке Улус, Заводского района г. КЕМЕРОВО. </v>
      </c>
      <c r="AB553" s="6" t="str">
        <f>IFERROR(__xludf.DUMMYFUNCTION("""COMPUTED_VALUE"""),"Хватает, если поискать, не хватает времени")</f>
        <v>Хватает, если поискать, не хватает времени</v>
      </c>
      <c r="AC553" s="6" t="str">
        <f>IFERROR(__xludf.DUMMYFUNCTION("""COMPUTED_VALUE"""),"Улучшать комфортность не только в центре, но и на фпк, больше скверов, прогулочных зон. ")</f>
        <v>Улучшать комфортность не только в центре, но и на фпк, больше скверов, прогулочных зон. </v>
      </c>
      <c r="AD553"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"&amp;"приглашения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553" s="6" t="str">
        <f>IFERROR(__xludf.DUMMYFUNCTION("""COMPUTED_VALUE"""),"Женский")</f>
        <v>Женский</v>
      </c>
      <c r="AF553" s="6" t="str">
        <f>IFERROR(__xludf.DUMMYFUNCTION("""COMPUTED_VALUE"""),"45-55")</f>
        <v>45-55</v>
      </c>
      <c r="AG553" s="6"/>
      <c r="AH553" s="6"/>
      <c r="AI553" s="6"/>
      <c r="AJ553" s="6"/>
      <c r="AK553" s="6"/>
      <c r="AL553" s="6"/>
      <c r="AM553" s="6"/>
    </row>
    <row r="554">
      <c r="A554" s="6">
        <v>553.0</v>
      </c>
      <c r="B554" s="6" t="str">
        <f>IFERROR(__xludf.DUMMYFUNCTION("""COMPUTED_VALUE"""),"Услуги, ремонт аппаратуры")</f>
        <v>Услуги, ремонт аппаратуры</v>
      </c>
      <c r="C554" s="6" t="str">
        <f>IFERROR(__xludf.DUMMYFUNCTION("""COMPUTED_VALUE"""),"Чтение, it технологии")</f>
        <v>Чтение, it технологии</v>
      </c>
      <c r="D554" s="6" t="str">
        <f>IFERROR(__xludf.DUMMYFUNCTION("""COMPUTED_VALUE"""),"Кировский")</f>
        <v>Кировский</v>
      </c>
      <c r="E554" s="6" t="str">
        <f>IFERROR(__xludf.DUMMYFUNCTION("""COMPUTED_VALUE"""),"Набережная")</f>
        <v>Набережная</v>
      </c>
      <c r="F554" s="6" t="str">
        <f>IFERROR(__xludf.DUMMYFUNCTION("""COMPUTED_VALUE"""),"Живу здесь с рождения")</f>
        <v>Живу здесь с рождения</v>
      </c>
      <c r="G554" s="6" t="str">
        <f>IFERROR(__xludf.DUMMYFUNCTION("""COMPUTED_VALUE"""),"На набережную кировского либо центральную")</f>
        <v>На набережную кировского либо центральную</v>
      </c>
      <c r="H554" s="6" t="str">
        <f>IFERROR(__xludf.DUMMYFUNCTION("""COMPUTED_VALUE"""),"Серость, загазованность, простор, безразличие, родина")</f>
        <v>Серость, загазованность, простор, безразличие, родина</v>
      </c>
      <c r="I554" s="6" t="str">
        <f>IFERROR(__xludf.DUMMYFUNCTION("""COMPUTED_VALUE"""),"Волков")</f>
        <v>Волков</v>
      </c>
      <c r="J554" s="6" t="str">
        <f>IFERROR(__xludf.DUMMYFUNCTION("""COMPUTED_VALUE"""),"Тулеев")</f>
        <v>Тулеев</v>
      </c>
      <c r="K554" s="6" t="str">
        <f>IFERROR(__xludf.DUMMYFUNCTION("""COMPUTED_VALUE"""),"Сердце шахтёра (Неизвестный Э.), фонтан, парк Жукова")</f>
        <v>Сердце шахтёра (Неизвестный Э.), фонтан, парк Жукова</v>
      </c>
      <c r="L554" s="6" t="str">
        <f>IFERROR(__xludf.DUMMYFUNCTION("""COMPUTED_VALUE"""),"Фольклор не мое")</f>
        <v>Фольклор не мое</v>
      </c>
      <c r="M554" s="6" t="str">
        <f>IFERROR(__xludf.DUMMYFUNCTION("""COMPUTED_VALUE"""),"Мультифора)), да везде почти одинаковый сленг")</f>
        <v>Мультифора)), да везде почти одинаковый сленг</v>
      </c>
      <c r="N554" s="6" t="str">
        <f>IFERROR(__xludf.DUMMYFUNCTION("""COMPUTED_VALUE"""),"Безопасность, медицина, свобода, экология, рынок труда")</f>
        <v>Безопасность, медицина, свобода, экология, рынок труда</v>
      </c>
      <c r="O554" s="6" t="str">
        <f>IFERROR(__xludf.DUMMYFUNCTION("""COMPUTED_VALUE"""),"Вид серых хрущевок, Центральная площадь теперь вообще не привлекает, делать там совершенно нечего, оцепленный квадрат с неясно для чего установленными лайт боксами и тв панелями")</f>
        <v>Вид серых хрущевок, Центральная площадь теперь вообще не привлекает, делать там совершенно нечего, оцепленный квадрат с неясно для чего установленными лайт боксами и тв панелями</v>
      </c>
      <c r="P554" s="6" t="str">
        <f>IFERROR(__xludf.DUMMYFUNCTION("""COMPUTED_VALUE"""),"Типичный кемерово, инцидент Кузбасс, наблюдаю самостоятельно ежедневно")</f>
        <v>Типичный кемерово, инцидент Кузбасс, наблюдаю самостоятельно ежедневно</v>
      </c>
      <c r="Q554" s="6" t="str">
        <f>IFERROR(__xludf.DUMMYFUNCTION("""COMPUTED_VALUE"""),"куда пойти в свободное время, интервью с местными творческими личностями, криминальные новости (происшествия/преступления)")</f>
        <v>куда пойти в свободное время, интервью с местными творческими личностями, криминальные новости (происшествия/преступления)</v>
      </c>
      <c r="R554" s="6" t="str">
        <f>IFERROR(__xludf.DUMMYFUNCTION("""COMPUTED_VALUE"""),"9 мая, новый год, день города, день шахтера")</f>
        <v>9 мая, новый год, день города, день шахтера</v>
      </c>
      <c r="S554" s="6" t="str">
        <f>IFERROR(__xludf.DUMMYFUNCTION("""COMPUTED_VALUE"""),"Нет, не приходилось")</f>
        <v>Нет, не приходилось</v>
      </c>
      <c r="T554" s="6" t="str">
        <f>IFERROR(__xludf.DUMMYFUNCTION("""COMPUTED_VALUE"""),"Когда-то был уютен, особо уникальных вещей  не заметил")</f>
        <v>Когда-то был уютен, особо уникальных вещей  не заметил</v>
      </c>
      <c r="U554" s="6" t="str">
        <f>IFERROR(__xludf.DUMMYFUNCTION("""COMPUTED_VALUE"""),"От центра ""я"" до Кемгу, бульвар Строителей")</f>
        <v>От центра "я" до Кемгу, бульвар Строителей</v>
      </c>
      <c r="V554" s="6" t="str">
        <f>IFERROR(__xludf.DUMMYFUNCTION("""COMPUTED_VALUE"""),"Добывали ресурс для необъятной Родины, обеспечивали отличный тыл во время ВОВ")</f>
        <v>Добывали ресурс для необъятной Родины, обеспечивали отличный тыл во время ВОВ</v>
      </c>
      <c r="W554" s="6" t="str">
        <f>IFERROR(__xludf.DUMMYFUNCTION("""COMPUTED_VALUE"""),"Эмоциональные, пафосные, бедные-спокойно терпеливый, богатые-с пеной у рта, интеллигенции не много")</f>
        <v>Эмоциональные, пафосные, бедные-спокойно терпеливый, богатые-с пеной у рта, интеллигенции не много</v>
      </c>
      <c r="X554" s="6" t="str">
        <f>IFERROR(__xludf.DUMMYFUNCTION("""COMPUTED_VALUE"""),"Фонтан, часовня, красная горка")</f>
        <v>Фонтан, часовня, красная горка</v>
      </c>
      <c r="Y554" s="6" t="str">
        <f>IFERROR(__xludf.DUMMYFUNCTION("""COMPUTED_VALUE"""),"Уголек нашли")</f>
        <v>Уголек нашли</v>
      </c>
      <c r="Z554" s="6" t="str">
        <f>IFERROR(__xludf.DUMMYFUNCTION("""COMPUTED_VALUE"""),"Не запомнилось")</f>
        <v>Не запомнилось</v>
      </c>
      <c r="AA554" s="6" t="str">
        <f>IFERROR(__xludf.DUMMYFUNCTION("""COMPUTED_VALUE"""),"Зимняя вишня")</f>
        <v>Зимняя вишня</v>
      </c>
      <c r="AB554" s="6" t="str">
        <f>IFERROR(__xludf.DUMMYFUNCTION("""COMPUTED_VALUE"""),"Не ясен вопрос/туристов, активного отдыха")</f>
        <v>Не ясен вопрос/туристов, активного отдыха</v>
      </c>
      <c r="AC554" s="6" t="str">
        <f>IFERROR(__xludf.DUMMYFUNCTION("""COMPUTED_VALUE"""),"Соревнования, конкурсы, с вовлечение не только отдельных слоев населения, но всех ")</f>
        <v>Соревнования, конкурсы, с вовлечение не только отдельных слоев населения, но всех </v>
      </c>
      <c r="AD554" s="6" t="str">
        <f>IFERROR(__xludf.DUMMYFUNCTION("""COMPUTED_VALUE"""),"Группа поддержки")</f>
        <v>Группа поддержки</v>
      </c>
      <c r="AE554" s="6" t="str">
        <f>IFERROR(__xludf.DUMMYFUNCTION("""COMPUTED_VALUE"""),"Мужской")</f>
        <v>Мужской</v>
      </c>
      <c r="AF554" s="6" t="str">
        <f>IFERROR(__xludf.DUMMYFUNCTION("""COMPUTED_VALUE"""),"30-44")</f>
        <v>30-44</v>
      </c>
      <c r="AG554" s="6"/>
      <c r="AH554" s="6"/>
      <c r="AI554" s="6"/>
      <c r="AJ554" s="6"/>
      <c r="AK554" s="6"/>
      <c r="AL554" s="6"/>
      <c r="AM554" s="6"/>
    </row>
    <row r="555">
      <c r="A555" s="6">
        <v>554.0</v>
      </c>
      <c r="B555" s="6" t="str">
        <f>IFERROR(__xludf.DUMMYFUNCTION("""COMPUTED_VALUE"""),"издательская")</f>
        <v>издательская</v>
      </c>
      <c r="C555" s="6" t="str">
        <f>IFERROR(__xludf.DUMMYFUNCTION("""COMPUTED_VALUE"""),"дача")</f>
        <v>дача</v>
      </c>
      <c r="D555" s="6" t="str">
        <f>IFERROR(__xludf.DUMMYFUNCTION("""COMPUTED_VALUE"""),"рудничный ""на радуге""")</f>
        <v>рудничный "на радуге"</v>
      </c>
      <c r="E555" s="6" t="str">
        <f>IFERROR(__xludf.DUMMYFUNCTION("""COMPUTED_VALUE"""),"бор, сквер у шахтера, дк ""шахтеров"", красная горка, сквер у церкви")</f>
        <v>бор, сквер у шахтера, дк "шахтеров", красная горка, сквер у церкви</v>
      </c>
      <c r="F555" s="6" t="str">
        <f>IFERROR(__xludf.DUMMYFUNCTION("""COMPUTED_VALUE"""),"Живу здесь с рождения")</f>
        <v>Живу здесь с рождения</v>
      </c>
      <c r="G555" s="6" t="str">
        <f>IFERROR(__xludf.DUMMYFUNCTION("""COMPUTED_VALUE"""),"бор, стадион ""шахтер"", набережная, парк ""жукова""")</f>
        <v>бор, стадион "шахтер", набережная, парк "жукова"</v>
      </c>
      <c r="H555" s="6" t="str">
        <f>IFERROR(__xludf.DUMMYFUNCTION("""COMPUTED_VALUE"""),"лестница возле старого моста и орел на горе, памятник волкову")</f>
        <v>лестница возле старого моста и орел на горе, памятник волкову</v>
      </c>
      <c r="I555" s="6" t="str">
        <f>IFERROR(__xludf.DUMMYFUNCTION("""COMPUTED_VALUE"""),"михайло волков, трепов в.ф.")</f>
        <v>михайло волков, трепов в.ф.</v>
      </c>
      <c r="J555" s="6" t="str">
        <f>IFERROR(__xludf.DUMMYFUNCTION("""COMPUTED_VALUE"""),"михайлов в.в., тулеев а.г., приставка а.г.")</f>
        <v>михайлов в.в., тулеев а.г., приставка а.г.</v>
      </c>
      <c r="K555" s="6" t="str">
        <f>IFERROR(__xludf.DUMMYFUNCTION("""COMPUTED_VALUE"""),"томская писаница, набережную, красная грка")</f>
        <v>томская писаница, набережную, красная грка</v>
      </c>
      <c r="L555" s="6" t="str">
        <f>IFERROR(__xludf.DUMMYFUNCTION("""COMPUTED_VALUE"""),"взорвано, уложено, сколото черное надежное золото")</f>
        <v>взорвано, уложено, сколото черное надежное золото</v>
      </c>
      <c r="M555" s="6" t="str">
        <f>IFERROR(__xludf.DUMMYFUNCTION("""COMPUTED_VALUE"""),"кемеровчанин")</f>
        <v>кемеровчанин</v>
      </c>
      <c r="N555" s="6" t="str">
        <f>IFERROR(__xludf.DUMMYFUNCTION("""COMPUTED_VALUE"""),"доступность, уют, этажность, трамвай/метро, мост через реку")</f>
        <v>доступность, уют, этажность, трамвай/метро, мост через реку</v>
      </c>
      <c r="O555" s="6" t="str">
        <f>IFERROR(__xludf.DUMMYFUNCTION("""COMPUTED_VALUE"""),"объездная дорога для грузовиков")</f>
        <v>объездная дорога для грузовиков</v>
      </c>
      <c r="P555" s="6" t="str">
        <f>IFERROR(__xludf.DUMMYFUNCTION("""COMPUTED_VALUE"""),"тв, радио, интернет (a42, vse42, mail, yandex)")</f>
        <v>тв, радио, интернет (a42, vse42, mail, yandex)</v>
      </c>
      <c r="Q555"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555" s="6" t="str">
        <f>IFERROR(__xludf.DUMMYFUNCTION("""COMPUTED_VALUE"""),"день шахтера, 9 мая, новый год")</f>
        <v>день шахтера, 9 мая, новый год</v>
      </c>
      <c r="S555" s="6" t="str">
        <f>IFERROR(__xludf.DUMMYFUNCTION("""COMPUTED_VALUE"""),"Писал и расклеивал объявления/афиши")</f>
        <v>Писал и расклеивал объявления/афиши</v>
      </c>
      <c r="T555" s="6" t="str">
        <f>IFERROR(__xludf.DUMMYFUNCTION("""COMPUTED_VALUE"""),"своими людьми")</f>
        <v>своими людьми</v>
      </c>
      <c r="U555" s="6" t="str">
        <f>IFERROR(__xludf.DUMMYFUNCTION("""COMPUTED_VALUE"""),"музей на красной горке")</f>
        <v>музей на красной горке</v>
      </c>
      <c r="V555" s="6" t="str">
        <f>IFERROR(__xludf.DUMMYFUNCTION("""COMPUTED_VALUE"""),"своим трудом")</f>
        <v>своим трудом</v>
      </c>
      <c r="W555" s="6" t="str">
        <f>IFERROR(__xludf.DUMMYFUNCTION("""COMPUTED_VALUE"""),"такие же люди как и все")</f>
        <v>такие же люди как и все</v>
      </c>
      <c r="X555" s="6" t="str">
        <f>IFERROR(__xludf.DUMMYFUNCTION("""COMPUTED_VALUE"""),"через мост")</f>
        <v>через мост</v>
      </c>
      <c r="Y555" s="6" t="str">
        <f>IFERROR(__xludf.DUMMYFUNCTION("""COMPUTED_VALUE"""),"уголь, троллейбус стал ходить на правый берег")</f>
        <v>уголь, троллейбус стал ходить на правый берег</v>
      </c>
      <c r="Z555" s="6" t="str">
        <f>IFERROR(__xludf.DUMMYFUNCTION("""COMPUTED_VALUE"""),"-")</f>
        <v>-</v>
      </c>
      <c r="AA555" s="6" t="str">
        <f>IFERROR(__xludf.DUMMYFUNCTION("""COMPUTED_VALUE"""),"-")</f>
        <v>-</v>
      </c>
      <c r="AB555" s="6" t="str">
        <f>IFERROR(__xludf.DUMMYFUNCTION("""COMPUTED_VALUE"""),"хватает всего")</f>
        <v>хватает всего</v>
      </c>
      <c r="AC555" s="6" t="str">
        <f>IFERROR(__xludf.DUMMYFUNCTION("""COMPUTED_VALUE"""),"-")</f>
        <v>-</v>
      </c>
      <c r="AD55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55" s="6" t="str">
        <f>IFERROR(__xludf.DUMMYFUNCTION("""COMPUTED_VALUE"""),"Мужской")</f>
        <v>Мужской</v>
      </c>
      <c r="AF555" s="6" t="str">
        <f>IFERROR(__xludf.DUMMYFUNCTION("""COMPUTED_VALUE"""),"30-44")</f>
        <v>30-44</v>
      </c>
      <c r="AG555" s="6"/>
      <c r="AH555" s="6"/>
      <c r="AI555" s="6"/>
      <c r="AJ555" s="6"/>
      <c r="AK555" s="6"/>
      <c r="AL555" s="6"/>
      <c r="AM555" s="6"/>
    </row>
    <row r="556">
      <c r="A556" s="6">
        <v>555.0</v>
      </c>
      <c r="B556" s="6" t="str">
        <f>IFERROR(__xludf.DUMMYFUNCTION("""COMPUTED_VALUE"""),"Своя компания в IT")</f>
        <v>Своя компания в IT</v>
      </c>
      <c r="C556" s="6" t="str">
        <f>IFERROR(__xludf.DUMMYFUNCTION("""COMPUTED_VALUE"""),"Сноуборд, ролики")</f>
        <v>Сноуборд, ролики</v>
      </c>
      <c r="D556" s="6" t="str">
        <f>IFERROR(__xludf.DUMMYFUNCTION("""COMPUTED_VALUE"""),"Центральный (жил ранее, но сейчас в Москва-Питере)")</f>
        <v>Центральный (жил ранее, но сейчас в Москва-Питере)</v>
      </c>
      <c r="E556" s="6" t="str">
        <f>IFERROR(__xludf.DUMMYFUNCTION("""COMPUTED_VALUE"""),"""Тарелка"", ""Часовня"", ""Универ"", ""Площадь"" (Советов)")</f>
        <v>"Тарелка", "Часовня", "Универ", "Площадь" (Советов)</v>
      </c>
      <c r="F556" s="6" t="str">
        <f>IFERROR(__xludf.DUMMYFUNCTION("""COMPUTED_VALUE"""),"Родился здесь,но сейчас живу в другом городе")</f>
        <v>Родился здесь,но сейчас живу в другом городе</v>
      </c>
      <c r="G556" s="6" t="str">
        <f>IFERROR(__xludf.DUMMYFUNCTION("""COMPUTED_VALUE"""),"В знаковые места + рестораны")</f>
        <v>В знаковые места + рестораны</v>
      </c>
      <c r="H556" s="6" t="str">
        <f>IFERROR(__xludf.DUMMYFUNCTION("""COMPUTED_VALUE"""),"Чистый, уютный, домашний")</f>
        <v>Чистый, уютный, домашний</v>
      </c>
      <c r="I556" s="6" t="str">
        <f>IFERROR(__xludf.DUMMYFUNCTION("""COMPUTED_VALUE"""),"Леонов")</f>
        <v>Леонов</v>
      </c>
      <c r="J556" s="6" t="str">
        <f>IFERROR(__xludf.DUMMYFUNCTION("""COMPUTED_VALUE"""),"Не знаю")</f>
        <v>Не знаю</v>
      </c>
      <c r="K556" s="6" t="str">
        <f>IFERROR(__xludf.DUMMYFUNCTION("""COMPUTED_VALUE"""),"Набережную, Кировский в заброшенных местах (бывший корт, стадион, дома), центр, Харатс)")</f>
        <v>Набережную, Кировский в заброшенных местах (бывший корт, стадион, дома), центр, Харатс)</v>
      </c>
      <c r="L556" s="6" t="str">
        <f>IFERROR(__xludf.DUMMYFUNCTION("""COMPUTED_VALUE"""),"Знаю только ""Над Томью плывут соловьиные зори"", основную мелодию часов Почтамта, стихи которой написал мой родственник.")</f>
        <v>Знаю только "Над Томью плывут соловьиные зори", основную мелодию часов Почтамта, стихи которой написал мой родственник.</v>
      </c>
      <c r="M556" s="6" t="str">
        <f>IFERROR(__xludf.DUMMYFUNCTION("""COMPUTED_VALUE"""),"Мультифора, но это в целом про Сибирь) ")</f>
        <v>Мультифора, но это в целом про Сибирь) </v>
      </c>
      <c r="N556" s="6" t="str">
        <f>IFERROR(__xludf.DUMMYFUNCTION("""COMPUTED_VALUE"""),"Безопасность, чистота, развитость культурно-развлекательной жизни, развитие города в целом (интерес для карьеры и для оставаться)")</f>
        <v>Безопасность, чистота, развитость культурно-развлекательной жизни, развитие города в целом (интерес для карьеры и для оставаться)</v>
      </c>
      <c r="O556" s="6" t="str">
        <f>IFERROR(__xludf.DUMMYFUNCTION("""COMPUTED_VALUE"""),"Не строить типовые ""цветные"" многоэтажки, как на Притомском и в районе бывшей Пудры. Сохранить аутентичность низкой застройки центра с элементами ""старой"" архитектуры, в других районах уже можно по-другому.")</f>
        <v>Не строить типовые "цветные" многоэтажки, как на Притомском и в районе бывшей Пудры. Сохранить аутентичность низкой застройки центра с элементами "старой" архитектуры, в других районах уже можно по-другому.</v>
      </c>
      <c r="P556" s="6" t="str">
        <f>IFERROR(__xludf.DUMMYFUNCTION("""COMPUTED_VALUE"""),"Типичный Кемерово раньше. А так не особо слежу, только когда приезжаю смотрю афишу Харатса или слушаю знакомых-друзей")</f>
        <v>Типичный Кемерово раньше. А так не особо слежу, только когда приезжаю смотрю афишу Харатса или слушаю знакомых-друзей</v>
      </c>
      <c r="Q556" s="6" t="str">
        <f>IFERROR(__xludf.DUMMYFUNCTION("""COMPUTED_VALUE"""),"где вкусно поесть/открытие новых кафе/ресторанов, интервью с местными предпринимателями, криминальные новости (происшествия/преступления)")</f>
        <v>где вкусно поесть/открытие новых кафе/ресторанов, интервью с местными предпринимателями, криминальные новости (происшествия/преступления)</v>
      </c>
      <c r="R556" s="6" t="str">
        <f>IFERROR(__xludf.DUMMYFUNCTION("""COMPUTED_VALUE"""),"День Шахтера как обычно, и День города")</f>
        <v>День Шахтера как обычно, и День города</v>
      </c>
      <c r="S556" s="6" t="str">
        <f>IFERROR(__xludf.DUMMYFUNCTION("""COMPUTED_VALUE"""),"Писал и расклеивал объявления/афиши, Через социальные сети (Какие? Укажите в графе другое), Обращался в редакции электронных городских СМИ, Организовывал самый массовый заезд на роликах в 2013, делали пиар через СМИ")</f>
        <v>Писал и расклеивал объявления/афиши, Через социальные сети (Какие? Укажите в графе другое), Обращался в редакции электронных городских СМИ, Организовывал самый массовый заезд на роликах в 2013, делали пиар через СМИ</v>
      </c>
      <c r="T556" s="6" t="str">
        <f>IFERROR(__xludf.DUMMYFUNCTION("""COMPUTED_VALUE"""),"История открытия угля, Прогресс и в целом сочетание индустриальной направленности и самобытности + архитектура")</f>
        <v>История открытия угля, Прогресс и в целом сочетание индустриальной направленности и самобытности + архитектура</v>
      </c>
      <c r="U556" s="6" t="str">
        <f>IFERROR(__xludf.DUMMYFUNCTION("""COMPUTED_VALUE"""),"Площадь и Часовня. Вообще для меня центр это от Кирова до Лазурного, между набережной и Красноармейской")</f>
        <v>Площадь и Часовня. Вообще для меня центр это от Кирова до Лазурного, между набережной и Красноармейской</v>
      </c>
      <c r="V556" s="6" t="str">
        <f>IFERROR(__xludf.DUMMYFUNCTION("""COMPUTED_VALUE"""),"Построили город таким, какой он есть.")</f>
        <v>Построили город таким, какой он есть.</v>
      </c>
      <c r="W556" s="6" t="str">
        <f>IFERROR(__xludf.DUMMYFUNCTION("""COMPUTED_VALUE"""),"Интересные, родные) ")</f>
        <v>Интересные, родные) </v>
      </c>
      <c r="X556" s="6" t="str">
        <f>IFERROR(__xludf.DUMMYFUNCTION("""COMPUTED_VALUE"""),"Драмтеатр, набережная, тарелка, часовня, КемГУ, Лазурный, Парк Жукова-Парк Антошка-Цирк. Потом Бульвар Строителей и назад в центр")</f>
        <v>Драмтеатр, набережная, тарелка, часовня, КемГУ, Лазурный, Парк Жукова-Парк Антошка-Цирк. Потом Бульвар Строителей и назад в центр</v>
      </c>
      <c r="Y556" s="6" t="str">
        <f>IFERROR(__xludf.DUMMYFUNCTION("""COMPUTED_VALUE"""),"Бэнди)) Потом открытие Макдоналдса)")</f>
        <v>Бэнди)) Потом открытие Макдоналдса)</v>
      </c>
      <c r="Z556" s="6" t="str">
        <f>IFERROR(__xludf.DUMMYFUNCTION("""COMPUTED_VALUE"""),"Развитие больше, чем за предыдушие десятилетия. Кассационный суд, планы по застройке Притомского проспекта (и в целом градостроительный план на ближайшие)")</f>
        <v>Развитие больше, чем за предыдушие десятилетия. Кассационный суд, планы по застройке Притомского проспекта (и в целом градостроительный план на ближайшие)</v>
      </c>
      <c r="AA556" s="6" t="str">
        <f>IFERROR(__xludf.DUMMYFUNCTION("""COMPUTED_VALUE"""),"Стало много машин на парковках. Весь центр в авто, раньше такого не было.")</f>
        <v>Стало много машин на парковках. Весь центр в авто, раньше такого не было.</v>
      </c>
      <c r="AB556" s="6" t="str">
        <f>IFERROR(__xludf.DUMMYFUNCTION("""COMPUTED_VALUE"""),"Предпринимательских (не про политически настроенных), спортивно-направленных (типа давней Урбании)")</f>
        <v>Предпринимательских (не про политически настроенных), спортивно-направленных (типа давней Урбании)</v>
      </c>
      <c r="AC556" s="6" t="str">
        <f>IFERROR(__xludf.DUMMYFUNCTION("""COMPUTED_VALUE"""),"Концерты групп, досуговые темы типа клубов-баров, в целом перспективные мероприятия для профессионалос")</f>
        <v>Концерты групп, досуговые темы типа клубов-баров, в целом перспективные мероприятия для профессионалос</v>
      </c>
      <c r="AD556"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556" s="6" t="str">
        <f>IFERROR(__xludf.DUMMYFUNCTION("""COMPUTED_VALUE"""),"Мужской")</f>
        <v>Мужской</v>
      </c>
      <c r="AF556" s="6" t="str">
        <f>IFERROR(__xludf.DUMMYFUNCTION("""COMPUTED_VALUE"""),"30-44")</f>
        <v>30-44</v>
      </c>
      <c r="AG556" s="6"/>
      <c r="AH556" s="6"/>
      <c r="AI556" s="6"/>
      <c r="AJ556" s="6"/>
      <c r="AK556" s="6"/>
      <c r="AL556" s="6"/>
      <c r="AM556" s="6"/>
    </row>
    <row r="557">
      <c r="A557" s="6">
        <v>556.0</v>
      </c>
      <c r="B557" s="6" t="str">
        <f>IFERROR(__xludf.DUMMYFUNCTION("""COMPUTED_VALUE"""),"Библиотекарь ")</f>
        <v>Библиотекарь </v>
      </c>
      <c r="C557" s="6" t="str">
        <f>IFERROR(__xludf.DUMMYFUNCTION("""COMPUTED_VALUE"""),"Автомобили")</f>
        <v>Автомобили</v>
      </c>
      <c r="D557" s="6" t="str">
        <f>IFERROR(__xludf.DUMMYFUNCTION("""COMPUTED_VALUE"""),"кировский")</f>
        <v>кировский</v>
      </c>
      <c r="E557" s="6" t="str">
        <f>IFERROR(__xludf.DUMMYFUNCTION("""COMPUTED_VALUE"""),"набережная")</f>
        <v>набережная</v>
      </c>
      <c r="F557" s="6" t="str">
        <f>IFERROR(__xludf.DUMMYFUNCTION("""COMPUTED_VALUE"""),"Переехал сюда из другого места (откуда? укажите в графе другое), с. Чусовитино")</f>
        <v>Переехал сюда из другого места (откуда? укажите в графе другое), с. Чусовитино</v>
      </c>
      <c r="G557" s="6" t="str">
        <f>IFERROR(__xludf.DUMMYFUNCTION("""COMPUTED_VALUE"""),"Набережная и гор сад")</f>
        <v>Набережная и гор сад</v>
      </c>
      <c r="H557" s="6" t="str">
        <f>IFERROR(__xludf.DUMMYFUNCTION("""COMPUTED_VALUE"""),"красивый, родной, мой, замечательный, неповторимый")</f>
        <v>красивый, родной, мой, замечательный, неповторимый</v>
      </c>
      <c r="I557" s="6" t="str">
        <f>IFERROR(__xludf.DUMMYFUNCTION("""COMPUTED_VALUE"""),"Волошина Вера Даниловна")</f>
        <v>Волошина Вера Даниловна</v>
      </c>
      <c r="J557" s="6" t="str">
        <f>IFERROR(__xludf.DUMMYFUNCTION("""COMPUTED_VALUE"""),"Тулеев Аман Гумирович")</f>
        <v>Тулеев Аман Гумирович</v>
      </c>
      <c r="K557" s="6" t="str">
        <f>IFERROR(__xludf.DUMMYFUNCTION("""COMPUTED_VALUE"""),"Красная горка")</f>
        <v>Красная горка</v>
      </c>
      <c r="L557" s="6" t="str">
        <f>IFERROR(__xludf.DUMMYFUNCTION("""COMPUTED_VALUE"""),"Встать пораньше да шагнуть подальше")</f>
        <v>Встать пораньше да шагнуть подальше</v>
      </c>
      <c r="M557" s="6" t="str">
        <f>IFERROR(__xludf.DUMMYFUNCTION("""COMPUTED_VALUE"""),"нет")</f>
        <v>нет</v>
      </c>
      <c r="N557" s="6" t="str">
        <f>IFERROR(__xludf.DUMMYFUNCTION("""COMPUTED_VALUE"""),"открытость, доступность, магазины, прогулки ")</f>
        <v>открытость, доступность, магазины, прогулки </v>
      </c>
      <c r="O557" s="6" t="str">
        <f>IFERROR(__xludf.DUMMYFUNCTION("""COMPUTED_VALUE"""),"дороги и транспорт")</f>
        <v>дороги и транспорт</v>
      </c>
      <c r="P557" s="6" t="str">
        <f>IFERROR(__xludf.DUMMYFUNCTION("""COMPUTED_VALUE"""),"в контакте")</f>
        <v>в контакте</v>
      </c>
      <c r="Q557"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557" s="6" t="str">
        <f>IFERROR(__xludf.DUMMYFUNCTION("""COMPUTED_VALUE"""),"день победы")</f>
        <v>день победы</v>
      </c>
      <c r="S557" s="6" t="str">
        <f>IFERROR(__xludf.DUMMYFUNCTION("""COMPUTED_VALUE"""),"Нет, не приходилось")</f>
        <v>Нет, не приходилось</v>
      </c>
      <c r="T557" s="6" t="str">
        <f>IFERROR(__xludf.DUMMYFUNCTION("""COMPUTED_VALUE"""),"площадь волкова")</f>
        <v>площадь волкова</v>
      </c>
      <c r="U557" s="6" t="str">
        <f>IFERROR(__xludf.DUMMYFUNCTION("""COMPUTED_VALUE"""),"площадь советов")</f>
        <v>площадь советов</v>
      </c>
      <c r="V557" s="6" t="str">
        <f>IFERROR(__xludf.DUMMYFUNCTION("""COMPUTED_VALUE"""),"Преобразили его")</f>
        <v>Преобразили его</v>
      </c>
      <c r="W557" s="6" t="str">
        <f>IFERROR(__xludf.DUMMYFUNCTION("""COMPUTED_VALUE"""),"добрые и отзывчивые")</f>
        <v>добрые и отзывчивые</v>
      </c>
      <c r="X557" s="6" t="str">
        <f>IFERROR(__xludf.DUMMYFUNCTION("""COMPUTED_VALUE"""),"гор сад и красная горка")</f>
        <v>гор сад и красная горка</v>
      </c>
      <c r="Y557" s="6" t="str">
        <f>IFERROR(__xludf.DUMMYFUNCTION("""COMPUTED_VALUE"""),"незнаю")</f>
        <v>незнаю</v>
      </c>
      <c r="Z557" s="6" t="str">
        <f>IFERROR(__xludf.DUMMYFUNCTION("""COMPUTED_VALUE"""),"день шахтера")</f>
        <v>день шахтера</v>
      </c>
      <c r="AA557" s="6" t="str">
        <f>IFERROR(__xludf.DUMMYFUNCTION("""COMPUTED_VALUE"""),"пожар в зимней вишне")</f>
        <v>пожар в зимней вишне</v>
      </c>
      <c r="AB557" s="6" t="str">
        <f>IFERROR(__xludf.DUMMYFUNCTION("""COMPUTED_VALUE"""),"всего хватает")</f>
        <v>всего хватает</v>
      </c>
      <c r="AC557" s="6" t="str">
        <f>IFERROR(__xludf.DUMMYFUNCTION("""COMPUTED_VALUE"""),"незнаю")</f>
        <v>незнаю</v>
      </c>
      <c r="AD55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57" s="6" t="str">
        <f>IFERROR(__xludf.DUMMYFUNCTION("""COMPUTED_VALUE"""),"Женский")</f>
        <v>Женский</v>
      </c>
      <c r="AF557" s="6" t="str">
        <f>IFERROR(__xludf.DUMMYFUNCTION("""COMPUTED_VALUE"""),"30-44")</f>
        <v>30-44</v>
      </c>
      <c r="AG557" s="6"/>
      <c r="AH557" s="6"/>
      <c r="AI557" s="6"/>
      <c r="AJ557" s="6"/>
      <c r="AK557" s="6"/>
      <c r="AL557" s="6"/>
      <c r="AM557" s="6"/>
    </row>
    <row r="558">
      <c r="A558" s="6">
        <v>557.0</v>
      </c>
      <c r="B558" s="6" t="str">
        <f>IFERROR(__xludf.DUMMYFUNCTION("""COMPUTED_VALUE"""),"Работаю")</f>
        <v>Работаю</v>
      </c>
      <c r="C558" s="6" t="str">
        <f>IFERROR(__xludf.DUMMYFUNCTION("""COMPUTED_VALUE"""),"путешествия")</f>
        <v>путешествия</v>
      </c>
      <c r="D558" s="6" t="str">
        <f>IFERROR(__xludf.DUMMYFUNCTION("""COMPUTED_VALUE"""),"ленинский")</f>
        <v>ленинский</v>
      </c>
      <c r="E558" s="6" t="str">
        <f>IFERROR(__xludf.DUMMYFUNCTION("""COMPUTED_VALUE"""),"Бульвар Строителей, парк Тулеева")</f>
        <v>Бульвар Строителей, парк Тулеева</v>
      </c>
      <c r="F558" s="6" t="str">
        <f>IFERROR(__xludf.DUMMYFUNCTION("""COMPUTED_VALUE"""),"Переехал сюда из другого места (откуда? укажите в графе другое), из г. Мыски")</f>
        <v>Переехал сюда из другого места (откуда? укажите в графе другое), из г. Мыски</v>
      </c>
      <c r="G558" s="6" t="str">
        <f>IFERROR(__xludf.DUMMYFUNCTION("""COMPUTED_VALUE"""),"парк Тулеева")</f>
        <v>парк Тулеева</v>
      </c>
      <c r="H558" s="6" t="str">
        <f>IFERROR(__xludf.DUMMYFUNCTION("""COMPUTED_VALUE"""),"смог грязь")</f>
        <v>смог грязь</v>
      </c>
      <c r="I558" s="6" t="str">
        <f>IFERROR(__xludf.DUMMYFUNCTION("""COMPUTED_VALUE"""),"Подгорбунский Бобров")</f>
        <v>Подгорбунский Бобров</v>
      </c>
      <c r="J558" s="6" t="str">
        <f>IFERROR(__xludf.DUMMYFUNCTION("""COMPUTED_VALUE"""),"Михайлов Владимир Васильевич")</f>
        <v>Михайлов Владимир Васильевич</v>
      </c>
      <c r="K558" s="6" t="str">
        <f>IFERROR(__xludf.DUMMYFUNCTION("""COMPUTED_VALUE"""),"ул. Весенняя, Красная Горка")</f>
        <v>ул. Весенняя, Красная Горка</v>
      </c>
      <c r="L558" s="6" t="str">
        <f>IFERROR(__xludf.DUMMYFUNCTION("""COMPUTED_VALUE"""),"не знаю")</f>
        <v>не знаю</v>
      </c>
      <c r="M558" s="6" t="str">
        <f>IFERROR(__xludf.DUMMYFUNCTION("""COMPUTED_VALUE"""),"не знаю")</f>
        <v>не знаю</v>
      </c>
      <c r="N558" s="6" t="str">
        <f>IFERROR(__xludf.DUMMYFUNCTION("""COMPUTED_VALUE"""),"чистота, хорошая экология, дороги во дворах, обслуживание в поликлиниках")</f>
        <v>чистота, хорошая экология, дороги во дворах, обслуживание в поликлиниках</v>
      </c>
      <c r="O558" s="6" t="str">
        <f>IFERROR(__xludf.DUMMYFUNCTION("""COMPUTED_VALUE"""),"дороги во дворах, обслуживание в поликлиниках,  достойный отдых и условия  труда")</f>
        <v>дороги во дворах, обслуживание в поликлиниках,  достойный отдых и условия  труда</v>
      </c>
      <c r="P558" s="6" t="str">
        <f>IFERROR(__xludf.DUMMYFUNCTION("""COMPUTED_VALUE"""),"средства массовой информации")</f>
        <v>средства массовой информации</v>
      </c>
      <c r="Q558"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f>
        <v>городская афиша (кино/театр/концерты), культурные новинки (что почитать/что послушать), новости про новые профессии/куда поступать/вакансии</v>
      </c>
      <c r="R558" s="6" t="str">
        <f>IFERROR(__xludf.DUMMYFUNCTION("""COMPUTED_VALUE"""),"День города")</f>
        <v>День города</v>
      </c>
      <c r="S558" s="6" t="str">
        <f>IFERROR(__xludf.DUMMYFUNCTION("""COMPUTED_VALUE"""),"Нет, не приходилось")</f>
        <v>Нет, не приходилось</v>
      </c>
      <c r="T558" s="6" t="str">
        <f>IFERROR(__xludf.DUMMYFUNCTION("""COMPUTED_VALUE"""),"Красная Горка, сосновый бор, ул.  Весенняя")</f>
        <v>Красная Горка, сосновый бор, ул.  Весенняя</v>
      </c>
      <c r="U558" s="6" t="str">
        <f>IFERROR(__xludf.DUMMYFUNCTION("""COMPUTED_VALUE"""),"Краеведческий музей")</f>
        <v>Краеведческий музей</v>
      </c>
      <c r="V558" s="6" t="str">
        <f>IFERROR(__xludf.DUMMYFUNCTION("""COMPUTED_VALUE"""),"строительство заводов,  героизм кемеровчан в годы Великой Отечественной войне")</f>
        <v>строительство заводов,  героизм кемеровчан в годы Великой Отечественной войне</v>
      </c>
      <c r="W558" s="6" t="str">
        <f>IFERROR(__xludf.DUMMYFUNCTION("""COMPUTED_VALUE"""),"доброжелательные")</f>
        <v>доброжелательные</v>
      </c>
      <c r="X558" s="6" t="str">
        <f>IFERROR(__xludf.DUMMYFUNCTION("""COMPUTED_VALUE"""),"Красная Горка")</f>
        <v>Красная Горка</v>
      </c>
      <c r="Y558" s="6" t="str">
        <f>IFERROR(__xludf.DUMMYFUNCTION("""COMPUTED_VALUE"""),"ЧМ по русскому хоккею в 2007 году")</f>
        <v>ЧМ по русскому хоккею в 2007 году</v>
      </c>
      <c r="Z558" s="6" t="str">
        <f>IFERROR(__xludf.DUMMYFUNCTION("""COMPUTED_VALUE"""),"позитивных совсем нет")</f>
        <v>позитивных совсем нет</v>
      </c>
      <c r="AA558" s="6" t="str">
        <f>IFERROR(__xludf.DUMMYFUNCTION("""COMPUTED_VALUE"""),"пожар ТЦ ""Зимняя Вишня""")</f>
        <v>пожар ТЦ "Зимняя Вишня"</v>
      </c>
      <c r="AB558" s="6" t="str">
        <f>IFERROR(__xludf.DUMMYFUNCTION("""COMPUTED_VALUE"""),"мне хватает")</f>
        <v>мне хватает</v>
      </c>
      <c r="AC558" s="6" t="str">
        <f>IFERROR(__xludf.DUMMYFUNCTION("""COMPUTED_VALUE"""),"никакие")</f>
        <v>никакие</v>
      </c>
      <c r="AD558" s="6" t="str">
        <f>IFERROR(__xludf.DUMMYFUNCTION("""COMPUTED_VALUE"""),"Не готов принимать личное участие (укажите, пожалуйста, причину в поле «Другое»), потому что  в городе нашем жить трудно")</f>
        <v>Не готов принимать личное участие (укажите, пожалуйста, причину в поле «Другое»), потому что  в городе нашем жить трудно</v>
      </c>
      <c r="AE558" s="6" t="str">
        <f>IFERROR(__xludf.DUMMYFUNCTION("""COMPUTED_VALUE"""),"Женский")</f>
        <v>Женский</v>
      </c>
      <c r="AF558" s="6" t="str">
        <f>IFERROR(__xludf.DUMMYFUNCTION("""COMPUTED_VALUE"""),"старше 55")</f>
        <v>старше 55</v>
      </c>
      <c r="AG558" s="6"/>
      <c r="AH558" s="6"/>
      <c r="AI558" s="6"/>
      <c r="AJ558" s="6"/>
      <c r="AK558" s="6"/>
      <c r="AL558" s="6"/>
      <c r="AM558" s="6"/>
    </row>
    <row r="559">
      <c r="A559" s="6">
        <v>558.0</v>
      </c>
      <c r="B559" s="6" t="str">
        <f>IFERROR(__xludf.DUMMYFUNCTION("""COMPUTED_VALUE"""),"библиотекарь")</f>
        <v>библиотекарь</v>
      </c>
      <c r="C559" s="6" t="str">
        <f>IFERROR(__xludf.DUMMYFUNCTION("""COMPUTED_VALUE"""),"вышивание")</f>
        <v>вышивание</v>
      </c>
      <c r="D559" s="6" t="str">
        <f>IFERROR(__xludf.DUMMYFUNCTION("""COMPUTED_VALUE"""),"Кировский")</f>
        <v>Кировский</v>
      </c>
      <c r="E559" s="6" t="str">
        <f>IFERROR(__xludf.DUMMYFUNCTION("""COMPUTED_VALUE"""),"Набережная, ДК им. 50-летия Октября, Берёзовая роща")</f>
        <v>Набережная, ДК им. 50-летия Октября, Берёзовая роща</v>
      </c>
      <c r="F559" s="6" t="str">
        <f>IFERROR(__xludf.DUMMYFUNCTION("""COMPUTED_VALUE"""),"г. Киселёвск")</f>
        <v>г. Киселёвск</v>
      </c>
      <c r="G559" s="6" t="str">
        <f>IFERROR(__xludf.DUMMYFUNCTION("""COMPUTED_VALUE"""),"Набережная")</f>
        <v>Набережная</v>
      </c>
      <c r="H559" s="6" t="str">
        <f>IFERROR(__xludf.DUMMYFUNCTION("""COMPUTED_VALUE"""),"река, заводы, бор, транспорт, работа ")</f>
        <v>река, заводы, бор, транспорт, работа </v>
      </c>
      <c r="I559" s="6" t="str">
        <f>IFERROR(__xludf.DUMMYFUNCTION("""COMPUTED_VALUE"""),"В. Волошина,  А. Леонов, М. Подгорбунский, Б. Штоколов, А. Бобров, ")</f>
        <v>В. Волошина,  А. Леонов, М. Подгорбунский, Б. Штоколов, А. Бобров, </v>
      </c>
      <c r="J559" s="6" t="str">
        <f>IFERROR(__xludf.DUMMYFUNCTION("""COMPUTED_VALUE"""),"А. Тулеев, В. Михайлов, И. Фёдорова, В. С. Ворошилов,   Л. С. Барабаш, Б. Бурмистров, Г. Юров, Владимир Сухацкий.")</f>
        <v>А. Тулеев, В. Михайлов, И. Фёдорова, В. С. Ворошилов,   Л. С. Барабаш, Б. Бурмистров, Г. Юров, Владимир Сухацкий.</v>
      </c>
      <c r="K559" s="6" t="str">
        <f>IFERROR(__xludf.DUMMYFUNCTION("""COMPUTED_VALUE"""),"""Шахтёр"" Э. Неизвестного, музей ""Красная горка"", театры, филармония, здание Кузбасского колледжа культуры и искусств, новый жилой район на пр. Московском. ")</f>
        <v>"Шахтёр" Э. Неизвестного, музей "Красная горка", театры, филармония, здание Кузбасского колледжа культуры и искусств, новый жилой район на пр. Московском. </v>
      </c>
      <c r="L559" s="6" t="str">
        <f>IFERROR(__xludf.DUMMYFUNCTION("""COMPUTED_VALUE"""),"Кемеровский дом моды в 60-ые годы ХХ века стал первым законодателем моды на платья с опушкой из меха.  История описана в книге Владимира Сухацкого ""Странный Кемерово"". Идею наших модельеров подглядели и затем ""позаимствовали"" французские модельеры. ")</f>
        <v>Кемеровский дом моды в 60-ые годы ХХ века стал первым законодателем моды на платья с опушкой из меха.  История описана в книге Владимира Сухацкого "Странный Кемерово". Идею наших модельеров подглядели и затем "позаимствовали" французские модельеры. </v>
      </c>
      <c r="M559" s="6" t="str">
        <f>IFERROR(__xludf.DUMMYFUNCTION("""COMPUTED_VALUE"""),"нет")</f>
        <v>нет</v>
      </c>
      <c r="N559" s="6" t="str">
        <f>IFERROR(__xludf.DUMMYFUNCTION("""COMPUTED_VALUE"""),"транспорт, скверы и парки, кафе для семейного отдыха, детские площадки, благоустройство набережной, места для занятий зимними видами спорта в черте города (освещённая лыжня, катки, хоккейные коробки)")</f>
        <v>транспорт, скверы и парки, кафе для семейного отдыха, детские площадки, благоустройство набережной, места для занятий зимними видами спорта в черте города (освещённая лыжня, катки, хоккейные коробки)</v>
      </c>
      <c r="O559" s="6" t="str">
        <f>IFERROR(__xludf.DUMMYFUNCTION("""COMPUTED_VALUE"""),"Доступность общественного транспорта в вечерние часы от театров, филармонии в отдалённые районы, например, в Кировский. ")</f>
        <v>Доступность общественного транспорта в вечерние часы от театров, филармонии в отдалённые районы, например, в Кировский. </v>
      </c>
      <c r="P559" s="6" t="str">
        <f>IFERROR(__xludf.DUMMYFUNCTION("""COMPUTED_VALUE"""),"Интернет. Любые источники. Новости ТВ.  Газета ""Кемерово""")</f>
        <v>Интернет. Любые источники. Новости ТВ.  Газета "Кемерово"</v>
      </c>
      <c r="Q559"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результаты местных исследований (рейтинги/а"&amp;"налитика/тенденции),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559" s="6" t="str">
        <f>IFERROR(__xludf.DUMMYFUNCTION("""COMPUTED_VALUE"""),"9 мая")</f>
        <v>9 мая</v>
      </c>
      <c r="S559" s="6" t="str">
        <f>IFERROR(__xludf.DUMMYFUNCTION("""COMPUTED_VALUE"""),"Через социальные сети (Какие? Укажите в графе другое)")</f>
        <v>Через социальные сети (Какие? Укажите в графе другое)</v>
      </c>
      <c r="T559" s="6" t="str">
        <f>IFERROR(__xludf.DUMMYFUNCTION("""COMPUTED_VALUE"""),"История 20-х годов, Музей ""Красная горка""")</f>
        <v>История 20-х годов, Музей "Красная горка"</v>
      </c>
      <c r="U559" s="6" t="str">
        <f>IFERROR(__xludf.DUMMYFUNCTION("""COMPUTED_VALUE"""),"Площадь Советов")</f>
        <v>Площадь Советов</v>
      </c>
      <c r="V559" s="6" t="str">
        <f>IFERROR(__xludf.DUMMYFUNCTION("""COMPUTED_VALUE"""),"строили заводы до В.О.в.,  внесли трудовой вклад в Победу в Великой Отечественной войне, построили исторический центр города в 50-60-ые годы. ")</f>
        <v>строили заводы до В.О.в.,  внесли трудовой вклад в Победу в Великой Отечественной войне, построили исторический центр города в 50-60-ые годы. </v>
      </c>
      <c r="W559" s="6" t="str">
        <f>IFERROR(__xludf.DUMMYFUNCTION("""COMPUTED_VALUE"""),"Самые обычные сибиряки, трудолюбивые, стойкие")</f>
        <v>Самые обычные сибиряки, трудолюбивые, стойкие</v>
      </c>
      <c r="X559" s="6" t="str">
        <f>IFERROR(__xludf.DUMMYFUNCTION("""COMPUTED_VALUE"""),"Музей ""Красная горка"", рассказ об ""АИК Кузбасс"", посещения монумента ""Шахтёр"" Э. Неизвестного, смотровая площадка рядом с этим памятником, Сосновый бор.")</f>
        <v>Музей "Красная горка", рассказ об "АИК Кузбасс", посещения монумента "Шахтёр" Э. Неизвестного, смотровая площадка рядом с этим памятником, Сосновый бор.</v>
      </c>
      <c r="Y559" s="6" t="str">
        <f>IFERROR(__xludf.DUMMYFUNCTION("""COMPUTED_VALUE"""),"Строительство заводов (Коксохим, Прогресс, Коммунар) и открытие Дворца Труда в 20-ые годы, Строительство и открытие Кузнецкого моста через р. Томь, благоустройство набережной на левом берегу Томи, открытие городского сада..., возможность получать субсидию"&amp;" от Администрации КО студентам-платникам за хорошую учёбу, бесплатные  путёвки для работников бюджетной сферы в саноторий ""Кузбасс"" в Белокурихе, пожар в ТРЦ ""Зимняя вишня"". ")</f>
        <v>Строительство заводов (Коксохим, Прогресс, Коммунар) и открытие Дворца Труда в 20-ые годы, Строительство и открытие Кузнецкого моста через р. Томь, благоустройство набережной на левом берегу Томи, открытие городского сада..., возможность получать субсидию от Администрации КО студентам-платникам за хорошую учёбу, бесплатные  путёвки для работников бюджетной сферы в саноторий "Кузбасс" в Белокурихе, пожар в ТРЦ "Зимняя вишня". </v>
      </c>
      <c r="Z559" s="6" t="str">
        <f>IFERROR(__xludf.DUMMYFUNCTION("""COMPUTED_VALUE"""),"Активная деятельность Кузбасского Центра искусств, концерт симфонического оркестра Кузбасса в  музее-заповеднике Томская писаница в 2019-ом,  другие концерты коллективов филармонии Кузбасса. Благоустройство набережной в Кировском районе!!! ")</f>
        <v>Активная деятельность Кузбасского Центра искусств, концерт симфонического оркестра Кузбасса в  музее-заповеднике Томская писаница в 2019-ом,  другие концерты коллективов филармонии Кузбасса. Благоустройство набережной в Кировском районе!!! </v>
      </c>
      <c r="AA559" s="6" t="str">
        <f>IFERROR(__xludf.DUMMYFUNCTION("""COMPUTED_VALUE"""),"Сбой в работе транспорта. Трудно было добраться из Кировского района на левый берег Томи. Часто на маршруте было всего 2 автобуса. Льготы для пенсионеров на транспорте утратили свой смысл. Ситуация изменилась в лучшую сторону только в марте 2021. Хочется "&amp;"и в Кировском районе посещать кофейни, кафе-мороженое. Их практически нет. Открытых веранд (на набережной в летнее время) нет, где можно посидеть, попить кофе, съесть мороженое.")</f>
        <v>Сбой в работе транспорта. Трудно было добраться из Кировского района на левый берег Томи. Часто на маршруте было всего 2 автобуса. Льготы для пенсионеров на транспорте утратили свой смысл. Ситуация изменилась в лучшую сторону только в марте 2021. Хочется и в Кировском районе посещать кофейни, кафе-мороженое. Их практически нет. Открытых веранд (на набережной в летнее время) нет, где можно посидеть, попить кофе, съесть мороженое.</v>
      </c>
      <c r="AB559" s="6" t="str">
        <f>IFERROR(__xludf.DUMMYFUNCTION("""COMPUTED_VALUE"""),"мне всего хватает")</f>
        <v>мне всего хватает</v>
      </c>
      <c r="AC559" s="6" t="str">
        <f>IFERROR(__xludf.DUMMYFUNCTION("""COMPUTED_VALUE"""),"затрудняюсь ответить")</f>
        <v>затрудняюсь ответить</v>
      </c>
      <c r="AD559"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59" s="6" t="str">
        <f>IFERROR(__xludf.DUMMYFUNCTION("""COMPUTED_VALUE"""),"Женский")</f>
        <v>Женский</v>
      </c>
      <c r="AF559" s="6" t="str">
        <f>IFERROR(__xludf.DUMMYFUNCTION("""COMPUTED_VALUE"""),"старше 55")</f>
        <v>старше 55</v>
      </c>
      <c r="AG559" s="6"/>
      <c r="AH559" s="6"/>
      <c r="AI559" s="6"/>
      <c r="AJ559" s="6"/>
      <c r="AK559" s="6"/>
      <c r="AL559" s="6"/>
      <c r="AM559" s="6"/>
    </row>
    <row r="560">
      <c r="A560" s="6">
        <v>559.0</v>
      </c>
      <c r="B560" s="6" t="str">
        <f>IFERROR(__xludf.DUMMYFUNCTION("""COMPUTED_VALUE"""),"работаю")</f>
        <v>работаю</v>
      </c>
      <c r="C560" s="6" t="str">
        <f>IFERROR(__xludf.DUMMYFUNCTION("""COMPUTED_VALUE"""),"чтение, отдых на природе, велосипед")</f>
        <v>чтение, отдых на природе, велосипед</v>
      </c>
      <c r="D560" s="6" t="str">
        <f>IFERROR(__xludf.DUMMYFUNCTION("""COMPUTED_VALUE"""),"Центральный, Центр Центральный называю.")</f>
        <v>Центральный, Центр Центральный называю.</v>
      </c>
      <c r="E560" s="6" t="str">
        <f>IFERROR(__xludf.DUMMYFUNCTION("""COMPUTED_VALUE"""),"Парк чудес, Филармония, парк Жукова, театры, улица Весенняя и вообще весь Центральный район - это достопримечательность и знаковые места. ")</f>
        <v>Парк чудес, Филармония, парк Жукова, театры, улица Весенняя и вообще весь Центральный район - это достопримечательность и знаковые места. </v>
      </c>
      <c r="F560" s="6" t="str">
        <f>IFERROR(__xludf.DUMMYFUNCTION("""COMPUTED_VALUE"""),"Живу здесь с рождения")</f>
        <v>Живу здесь с рождения</v>
      </c>
      <c r="G560" s="6" t="str">
        <f>IFERROR(__xludf.DUMMYFUNCTION("""COMPUTED_VALUE"""),"окрестности Центрального района, набережная Кировского района, бульвар Строителей, Сосновый бор, парк Кузбасский")</f>
        <v>окрестности Центрального района, набережная Кировского района, бульвар Строителей, Сосновый бор, парк Кузбасский</v>
      </c>
      <c r="H560" s="6" t="str">
        <f>IFERROR(__xludf.DUMMYFUNCTION("""COMPUTED_VALUE"""),"зелень, в то же время загрязнения, богатая история, ")</f>
        <v>зелень, в то же время загрязнения, богатая история, </v>
      </c>
      <c r="I560" s="6" t="str">
        <f>IFERROR(__xludf.DUMMYFUNCTION("""COMPUTED_VALUE"""),"Балибалов, Вдовин, Леонов, Подгорбунский и др.")</f>
        <v>Балибалов, Вдовин, Леонов, Подгорбунский и др.</v>
      </c>
      <c r="J560" s="6" t="str">
        <f>IFERROR(__xludf.DUMMYFUNCTION("""COMPUTED_VALUE"""),"Тулеев, Михайлов")</f>
        <v>Тулеев, Михайлов</v>
      </c>
      <c r="K560" s="6" t="str">
        <f>IFERROR(__xludf.DUMMYFUNCTION("""COMPUTED_VALUE"""),"достопримечательности Центрального района, ""Красная горка""")</f>
        <v>достопримечательности Центрального района, "Красная горка"</v>
      </c>
      <c r="L560" s="6" t="str">
        <f>IFERROR(__xludf.DUMMYFUNCTION("""COMPUTED_VALUE"""),"не знаю")</f>
        <v>не знаю</v>
      </c>
      <c r="M560" s="6" t="str">
        <f>IFERROR(__xludf.DUMMYFUNCTION("""COMPUTED_VALUE"""),"мультифорка, а приезжие говорят файлик)")</f>
        <v>мультифорка, а приезжие говорят файлик)</v>
      </c>
      <c r="N560" s="6" t="str">
        <f>IFERROR(__xludf.DUMMYFUNCTION("""COMPUTED_VALUE"""),"экология, транспорт, наличие работы")</f>
        <v>экология, транспорт, наличие работы</v>
      </c>
      <c r="O560" s="6" t="str">
        <f>IFERROR(__xludf.DUMMYFUNCTION("""COMPUTED_VALUE"""),"сделать его более чистым")</f>
        <v>сделать его более чистым</v>
      </c>
      <c r="P560" s="6" t="str">
        <f>IFERROR(__xludf.DUMMYFUNCTION("""COMPUTED_VALUE"""),"ВК, Instagram, Сибдепосибдепо")</f>
        <v>ВК, Instagram, Сибдепосибдепо</v>
      </c>
      <c r="Q56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60" s="6" t="str">
        <f>IFERROR(__xludf.DUMMYFUNCTION("""COMPUTED_VALUE"""),"9 Мая, День города")</f>
        <v>9 Мая, День города</v>
      </c>
      <c r="S560" s="6" t="str">
        <f>IFERROR(__xludf.DUMMYFUNCTION("""COMPUTED_VALUE"""),"Нет, не приходилось")</f>
        <v>Нет, не приходилось</v>
      </c>
      <c r="T560" s="6" t="str">
        <f>IFERROR(__xludf.DUMMYFUNCTION("""COMPUTED_VALUE"""),"не знаю. уголь только. ")</f>
        <v>не знаю. уголь только. </v>
      </c>
      <c r="U560" s="6" t="str">
        <f>IFERROR(__xludf.DUMMYFUNCTION("""COMPUTED_VALUE"""),"сложно выбрать")</f>
        <v>сложно выбрать</v>
      </c>
      <c r="V560" s="6" t="str">
        <f>IFERROR(__xludf.DUMMYFUNCTION("""COMPUTED_VALUE"""),"работали на благо жителей, старались сделать их жизнь лучше")</f>
        <v>работали на благо жителей, старались сделать их жизнь лучше</v>
      </c>
      <c r="W560" s="6" t="str">
        <f>IFERROR(__xludf.DUMMYFUNCTION("""COMPUTED_VALUE"""),"угрюмые, стойкие, добрые внутри.")</f>
        <v>угрюмые, стойкие, добрые внутри.</v>
      </c>
      <c r="X560" s="6" t="str">
        <f>IFERROR(__xludf.DUMMYFUNCTION("""COMPUTED_VALUE"""),"Центральный район с его историческими улицами и достопримечательностями ")</f>
        <v>Центральный район с его историческими улицами и достопримечательностями </v>
      </c>
      <c r="Y560" s="6" t="str">
        <f>IFERROR(__xludf.DUMMYFUNCTION("""COMPUTED_VALUE"""),"не знаю")</f>
        <v>не знаю</v>
      </c>
      <c r="Z560" s="6" t="str">
        <f>IFERROR(__xludf.DUMMYFUNCTION("""COMPUTED_VALUE"""),"не знаю")</f>
        <v>не знаю</v>
      </c>
      <c r="AA560" s="6" t="str">
        <f>IFERROR(__xludf.DUMMYFUNCTION("""COMPUTED_VALUE"""),"не знаю")</f>
        <v>не знаю</v>
      </c>
      <c r="AB560" s="6" t="str">
        <f>IFERROR(__xludf.DUMMYFUNCTION("""COMPUTED_VALUE"""),"не знаю")</f>
        <v>не знаю</v>
      </c>
      <c r="AC560" s="6" t="str">
        <f>IFERROR(__xludf.DUMMYFUNCTION("""COMPUTED_VALUE"""),"не знаю")</f>
        <v>не знаю</v>
      </c>
      <c r="AD560" s="6" t="str">
        <f>IFERROR(__xludf.DUMMYFUNCTION("""COMPUTED_VALUE"""),"Не готов принимать личное участие (укажите, пожалуйста, причину в поле «Другое»), некогда")</f>
        <v>Не готов принимать личное участие (укажите, пожалуйста, причину в поле «Другое»), некогда</v>
      </c>
      <c r="AE560" s="6" t="str">
        <f>IFERROR(__xludf.DUMMYFUNCTION("""COMPUTED_VALUE"""),"Женский")</f>
        <v>Женский</v>
      </c>
      <c r="AF560" s="6" t="str">
        <f>IFERROR(__xludf.DUMMYFUNCTION("""COMPUTED_VALUE"""),"30-44")</f>
        <v>30-44</v>
      </c>
      <c r="AG560" s="6"/>
      <c r="AH560" s="6"/>
      <c r="AI560" s="6"/>
      <c r="AJ560" s="6"/>
      <c r="AK560" s="6"/>
      <c r="AL560" s="6"/>
      <c r="AM560" s="6"/>
    </row>
    <row r="561">
      <c r="A561" s="6">
        <v>560.0</v>
      </c>
      <c r="B561" s="6" t="str">
        <f>IFERROR(__xludf.DUMMYFUNCTION("""COMPUTED_VALUE"""),"Работаю")</f>
        <v>Работаю</v>
      </c>
      <c r="C561" s="6" t="str">
        <f>IFERROR(__xludf.DUMMYFUNCTION("""COMPUTED_VALUE"""),"Нет")</f>
        <v>Нет</v>
      </c>
      <c r="D561" s="6" t="str">
        <f>IFERROR(__xludf.DUMMYFUNCTION("""COMPUTED_VALUE"""),"Спальный")</f>
        <v>Спальный</v>
      </c>
      <c r="E561" s="6" t="str">
        <f>IFERROR(__xludf.DUMMYFUNCTION("""COMPUTED_VALUE"""),"Супермаркеты")</f>
        <v>Супермаркеты</v>
      </c>
      <c r="F561" s="6" t="str">
        <f>IFERROR(__xludf.DUMMYFUNCTION("""COMPUTED_VALUE"""),"Живу здесь с рождения")</f>
        <v>Живу здесь с рождения</v>
      </c>
      <c r="G561" s="6" t="str">
        <f>IFERROR(__xludf.DUMMYFUNCTION("""COMPUTED_VALUE"""),"Сижу дома или в саду")</f>
        <v>Сижу дома или в саду</v>
      </c>
      <c r="H561" s="6" t="str">
        <f>IFERROR(__xludf.DUMMYFUNCTION("""COMPUTED_VALUE"""),"Прекрасное место, индустриальный город, архитектура скудость, томь многострадальная, загазованность")</f>
        <v>Прекрасное место, индустриальный город, архитектура скудость, томь многострадальная, загазованность</v>
      </c>
      <c r="I561" s="6" t="str">
        <f>IFERROR(__xludf.DUMMYFUNCTION("""COMPUTED_VALUE"""),"Леонов, Волков, Бобров, Рутгерс, Волошина")</f>
        <v>Леонов, Волков, Бобров, Рутгерс, Волошина</v>
      </c>
      <c r="J561" s="6" t="str">
        <f>IFERROR(__xludf.DUMMYFUNCTION("""COMPUTED_VALUE"""),"Толстиков, Тулеев, Михайлов")</f>
        <v>Толстиков, Тулеев, Михайлов</v>
      </c>
      <c r="K561" s="6" t="str">
        <f>IFERROR(__xludf.DUMMYFUNCTION("""COMPUTED_VALUE"""),"Красная горка, бор, горсад, театр оперетты")</f>
        <v>Красная горка, бор, горсад, театр оперетты</v>
      </c>
      <c r="L561" s="6" t="str">
        <f>IFERROR(__xludf.DUMMYFUNCTION("""COMPUTED_VALUE"""),"Не знаю")</f>
        <v>Не знаю</v>
      </c>
      <c r="M561" s="6" t="str">
        <f>IFERROR(__xludf.DUMMYFUNCTION("""COMPUTED_VALUE"""),"Нет таких слов")</f>
        <v>Нет таких слов</v>
      </c>
      <c r="N561" s="6" t="str">
        <f>IFERROR(__xludf.DUMMYFUNCTION("""COMPUTED_VALUE"""),"Должен быть чистый воздух, должна быть чистая вода, много зелени, сквериков, пляжей, где можно купаться, культура поведения ")</f>
        <v>Должен быть чистый воздух, должна быть чистая вода, много зелени, сквериков, пляжей, где можно купаться, культура поведения </v>
      </c>
      <c r="O561" s="6" t="str">
        <f>IFERROR(__xludf.DUMMYFUNCTION("""COMPUTED_VALUE"""),"Смотри 13")</f>
        <v>Смотри 13</v>
      </c>
      <c r="P561" s="6" t="str">
        <f>IFERROR(__xludf.DUMMYFUNCTION("""COMPUTED_VALUE"""),"Лента новостей")</f>
        <v>Лента новостей</v>
      </c>
      <c r="Q561" s="6" t="str">
        <f>IFERROR(__xludf.DUMMYFUNCTION("""COMPUTED_VALUE"""),"городская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f>
        <v>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v>
      </c>
      <c r="R561" s="6" t="str">
        <f>IFERROR(__xludf.DUMMYFUNCTION("""COMPUTED_VALUE"""),"День города")</f>
        <v>День города</v>
      </c>
      <c r="S561" s="6" t="str">
        <f>IFERROR(__xludf.DUMMYFUNCTION("""COMPUTED_VALUE"""),"Нет, не приходилось")</f>
        <v>Нет, не приходилось</v>
      </c>
      <c r="T561" s="6" t="str">
        <f>IFERROR(__xludf.DUMMYFUNCTION("""COMPUTED_VALUE"""),"Копикуз, красная горка, военные заводы прогресс, песчаный остров, бор")</f>
        <v>Копикуз, красная горка, военные заводы прогресс, песчаный остров, бор</v>
      </c>
      <c r="U561" s="6" t="str">
        <f>IFERROR(__xludf.DUMMYFUNCTION("""COMPUTED_VALUE"""),"Кировский")</f>
        <v>Кировский</v>
      </c>
      <c r="V561" s="6" t="str">
        <f>IFERROR(__xludf.DUMMYFUNCTION("""COMPUTED_VALUE"""),"Героизм трудовой в ВОв")</f>
        <v>Героизм трудовой в ВОв</v>
      </c>
      <c r="W561" s="6" t="str">
        <f>IFERROR(__xludf.DUMMYFUNCTION("""COMPUTED_VALUE"""),"Есть те, кто бережно относится к городу, а есть те, которым после меня хоть потоп")</f>
        <v>Есть те, кто бережно относится к городу, а есть те, которым после меня хоть потоп</v>
      </c>
      <c r="X561" s="6" t="str">
        <f>IFERROR(__xludf.DUMMYFUNCTION("""COMPUTED_VALUE"""),"По Кировском району")</f>
        <v>По Кировском району</v>
      </c>
      <c r="Y561" s="6" t="str">
        <f>IFERROR(__xludf.DUMMYFUNCTION("""COMPUTED_VALUE"""),"Копикуз, прогресс")</f>
        <v>Копикуз, прогресс</v>
      </c>
      <c r="Z561" s="6" t="str">
        <f>IFERROR(__xludf.DUMMYFUNCTION("""COMPUTED_VALUE"""),"Стадионы, дороги, ")</f>
        <v>Стадионы, дороги, </v>
      </c>
      <c r="AA561" s="6" t="str">
        <f>IFERROR(__xludf.DUMMYFUNCTION("""COMPUTED_VALUE"""),"Пожар в зимней вишне, безобразно отношение к бездомным собакам, кошкам")</f>
        <v>Пожар в зимней вишне, безобразно отношение к бездомным собакам, кошкам</v>
      </c>
      <c r="AB561" s="6" t="str">
        <f>IFERROR(__xludf.DUMMYFUNCTION("""COMPUTED_VALUE"""),"Экологической направленности")</f>
        <v>Экологической направленности</v>
      </c>
      <c r="AC561" s="6" t="str">
        <f>IFERROR(__xludf.DUMMYFUNCTION("""COMPUTED_VALUE"""),"Больше дворовых площадок для спорта чтобы у детей совсем не угас интерес к физкультуре и спорту, бесплатных кружков, велодорожек")</f>
        <v>Больше дворовых площадок для спорта чтобы у детей совсем не угас интерес к физкультуре и спорту, бесплатных кружков, велодорожек</v>
      </c>
      <c r="AD561" s="6" t="str">
        <f>IFERROR(__xludf.DUMMYFUNCTION("""COMPUTED_VALUE"""),"Заполнение анкет")</f>
        <v>Заполнение анкет</v>
      </c>
      <c r="AE561" s="6" t="str">
        <f>IFERROR(__xludf.DUMMYFUNCTION("""COMPUTED_VALUE"""),"Женский")</f>
        <v>Женский</v>
      </c>
      <c r="AF561" s="6" t="str">
        <f>IFERROR(__xludf.DUMMYFUNCTION("""COMPUTED_VALUE"""),"старше 55")</f>
        <v>старше 55</v>
      </c>
      <c r="AG561" s="6"/>
      <c r="AH561" s="6"/>
      <c r="AI561" s="6"/>
      <c r="AJ561" s="6"/>
      <c r="AK561" s="6"/>
      <c r="AL561" s="6"/>
      <c r="AM561" s="6"/>
    </row>
    <row r="562">
      <c r="A562" s="6">
        <v>561.0</v>
      </c>
      <c r="B562" s="6" t="str">
        <f>IFERROR(__xludf.DUMMYFUNCTION("""COMPUTED_VALUE"""),"Программист")</f>
        <v>Программист</v>
      </c>
      <c r="C562" s="6" t="str">
        <f>IFERROR(__xludf.DUMMYFUNCTION("""COMPUTED_VALUE"""),"Чтение книг, пк игры и пешие прогулки")</f>
        <v>Чтение книг, пк игры и пешие прогулки</v>
      </c>
      <c r="D562" s="6" t="str">
        <f>IFERROR(__xludf.DUMMYFUNCTION("""COMPUTED_VALUE"""),"Южный")</f>
        <v>Южный</v>
      </c>
      <c r="E562" s="6" t="str">
        <f>IFERROR(__xludf.DUMMYFUNCTION("""COMPUTED_VALUE"""),"Алея на ул Патриотов, небольшой скверик на базовой")</f>
        <v>Алея на ул Патриотов, небольшой скверик на базовой</v>
      </c>
      <c r="F562" s="6" t="str">
        <f>IFERROR(__xludf.DUMMYFUNCTION("""COMPUTED_VALUE"""),"Живу здесь с рождения")</f>
        <v>Живу здесь с рождения</v>
      </c>
      <c r="G562" s="6" t="str">
        <f>IFERROR(__xludf.DUMMYFUNCTION("""COMPUTED_VALUE"""),"На алею по Патриотов, Весенька с драмой и набережная. ")</f>
        <v>На алею по Патриотов, Весенька с драмой и набережная. </v>
      </c>
      <c r="H562" s="6" t="str">
        <f>IFERROR(__xludf.DUMMYFUNCTION("""COMPUTED_VALUE"""),"Тихий, спокойный, родной, сероватый и смогопахнущий")</f>
        <v>Тихий, спокойный, родной, сероватый и смогопахнущий</v>
      </c>
      <c r="I562" s="6" t="str">
        <f>IFERROR(__xludf.DUMMYFUNCTION("""COMPUTED_VALUE"""),"Леонов")</f>
        <v>Леонов</v>
      </c>
      <c r="J562" s="6" t="str">
        <f>IFERROR(__xludf.DUMMYFUNCTION("""COMPUTED_VALUE"""),"не знаю таких")</f>
        <v>не знаю таких</v>
      </c>
      <c r="K562" s="6" t="str">
        <f>IFERROR(__xludf.DUMMYFUNCTION("""COMPUTED_VALUE"""),"Драмтеатр+весенька+набережная")</f>
        <v>Драмтеатр+весенька+набережная</v>
      </c>
      <c r="L562" s="6" t="str">
        <f>IFERROR(__xludf.DUMMYFUNCTION("""COMPUTED_VALUE"""),"""раз в год и палка стреляет""... ""а васька слушает да ест""")</f>
        <v>"раз в год и палка стреляет"... "а васька слушает да ест"</v>
      </c>
      <c r="M562" s="6" t="str">
        <f>IFERROR(__xludf.DUMMYFUNCTION("""COMPUTED_VALUE"""),"не знаю таких )")</f>
        <v>не знаю таких )</v>
      </c>
      <c r="N562" s="6" t="str">
        <f>IFERROR(__xludf.DUMMYFUNCTION("""COMPUTED_VALUE"""),"Город должен быть спокойным, скажи нет пробкам, меньше серости и больше деревьев (здесь как озеленение, так и например портрет Двужильного подходит), точно не должен быть как ""слева тратуар... справа трава... посередине грязь калдобина лужа и мусор"", и "&amp;"точно не должно быть режима черного неба (кто его вообще придумал? накол! не справляются по выбрасам закрыть)")</f>
        <v>Город должен быть спокойным, скажи нет пробкам, меньше серости и больше деревьев (здесь как озеленение, так и например портрет Двужильного подходит), точно не должен быть как "слева тратуар... справа трава... посередине грязь калдобина лужа и мусор", и точно не должно быть режима черного неба (кто его вообще придумал? накол! не справляются по выбрасам закрыть)</v>
      </c>
      <c r="O562" s="6" t="str">
        <f>IFERROR(__xludf.DUMMYFUNCTION("""COMPUTED_VALUE"""),"Мусор, грязь, убитые остановки и особенно смог со всей таблицей Менделеева на вкус. 
Ах если бы еще очереди в больницах, а то с больным животом можно 2 месяца потратить на обход врачей, все это время попивая 3р в день обезбаливающее... но тут не про это)")</f>
        <v>Мусор, грязь, убитые остановки и особенно смог со всей таблицей Менделеева на вкус. 
Ах если бы еще очереди в больницах, а то с больным животом можно 2 месяца потратить на обход врачей, все это время попивая 3р в день обезбаливающее... но тут не про это)</v>
      </c>
      <c r="P562" s="6" t="str">
        <f>IFERROR(__xludf.DUMMYFUNCTION("""COMPUTED_VALUE"""),"Яндекс, иногда все42 или тв.... но в 95% в них узнаешь постфактум.... ну нет у нас информационного ресурса удобного чтобы узнать заранее о интересном событии иногда не то что на сайт предприятия нужно заходить а непосредственно звонить им чтобы узнать что"&amp;" есть выставка (так как на сайте у них же нет этой инфы)")</f>
        <v>Яндекс, иногда все42 или тв.... но в 95% в них узнаешь постфактум.... ну нет у нас информационного ресурса удобного чтобы узнать заранее о интересном событии иногда не то что на сайт предприятия нужно заходить а непосредственно звонить им чтобы узнать что есть выставка (так как на сайте у них же нет этой инфы)</v>
      </c>
      <c r="Q562"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бизнес-новости (средний чек/рекламные акции/запуск новых предприятий), Я бы нажал на и"&amp;"следования, но максимум что ожидает это про уголь... но при том что уже 100500 иследований было про вред угольной промышленности, в том числе доказательная база на прямое влияние на развитие рак (как я слышал, может и не прадва) или про вред смога или сбр"&amp;"осов воды.... но про эти иследования молчат (вроде просят молчать) не знаю что интереснее этого каламбура будет) удивите)")</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бизнес-новости (средний чек/рекламные акции/запуск новых предприятий), Я бы нажал на иследования, но максимум что ожидает это про уголь... но при том что уже 100500 иследований было про вред угольной промышленности, в том числе доказательная база на прямое влияние на развитие рак (как я слышал, может и не прадва) или про вред смога или сбросов воды.... но про эти иследования молчат (вроде просят молчать) не знаю что интереснее этого каламбура будет) удивите)</v>
      </c>
      <c r="R562" s="6" t="str">
        <f>IFERROR(__xludf.DUMMYFUNCTION("""COMPUTED_VALUE"""),"День шахтера, 9 мая и день города... никакого 3342894520 летие кузбассса (извините бомбит) а про другие и не знаю)")</f>
        <v>День шахтера, 9 мая и день города... никакого 3342894520 летие кузбассса (извините бомбит) а про другие и не знаю)</v>
      </c>
      <c r="S562" s="6" t="str">
        <f>IFERROR(__xludf.DUMMYFUNCTION("""COMPUTED_VALUE"""),"Нет, не приходилось, Знаком с человеком который напрямую занимался организацией минимум ряда событий")</f>
        <v>Нет, не приходилось, Знаком с человеком который напрямую занимался организацией минимум ряда событий</v>
      </c>
      <c r="T562" s="6" t="str">
        <f>IFERROR(__xludf.DUMMYFUNCTION("""COMPUTED_VALUE"""),"Уголь, вроде все) часовая доступность до большого количества шахт и ОГР) Сомнительная известность)")</f>
        <v>Уголь, вроде все) часовая доступность до большого количества шахт и ОГР) Сомнительная известность)</v>
      </c>
      <c r="U562" s="6" t="str">
        <f>IFERROR(__xludf.DUMMYFUNCTION("""COMPUTED_VALUE"""),"Драма или цирк")</f>
        <v>Драма или цирк</v>
      </c>
      <c r="V562" s="6" t="str">
        <f>IFERROR(__xludf.DUMMYFUNCTION("""COMPUTED_VALUE"""),"Сделали порядка 6 скверов парков алеек в которых можно прогуляться")</f>
        <v>Сделали порядка 6 скверов парков алеек в которых можно прогуляться</v>
      </c>
      <c r="W562" s="6" t="str">
        <f>IFERROR(__xludf.DUMMYFUNCTION("""COMPUTED_VALUE"""),"Спокойные, отзывчивые и добрые в основном. Гуляки поддавшие и школьники в подъездах и тц не в счет)")</f>
        <v>Спокойные, отзывчивые и добрые в основном. Гуляки поддавшие и школьники в подъездах и тц не в счет)</v>
      </c>
      <c r="X562" s="6" t="str">
        <f>IFERROR(__xludf.DUMMYFUNCTION("""COMPUTED_VALUE"""),"Можно начать с парка ангелов (но мне он показался бездушным нагромождением, правда был там только зимой) а так ...Волков, весенька, набережная, филормония, антошка, танчики, цикр дальше некуда)")</f>
        <v>Можно начать с парка ангелов (но мне он показался бездушным нагромождением, правда был там только зимой) а так ...Волков, весенька, набережная, филормония, антошка, танчики, цикр дальше некуда)</v>
      </c>
      <c r="Y562" s="6" t="str">
        <f>IFERROR(__xludf.DUMMYFUNCTION("""COMPUTED_VALUE"""),"звезды мирового рока (которые я пропустил)) и закрытие лазурного")</f>
        <v>звезды мирового рока (которые я пропустил)) и закрытие лазурного</v>
      </c>
      <c r="Z562" s="6" t="str">
        <f>IFERROR(__xludf.DUMMYFUNCTION("""COMPUTED_VALUE"""),"звезды мирового рока)) ")</f>
        <v>звезды мирового рока)) </v>
      </c>
      <c r="AA562" s="6" t="str">
        <f>IFERROR(__xludf.DUMMYFUNCTION("""COMPUTED_VALUE"""),"Вишня")</f>
        <v>Вишня</v>
      </c>
      <c r="AB562" s="6" t="str">
        <f>IFERROR(__xludf.DUMMYFUNCTION("""COMPUTED_VALUE"""),"Вопрос мутный) У нас много чего не хватает... сообщества нужны в последнюю очередь... чтобы они что-то придумали должны быть места и здания в которые можно ходить, описывать, придумывать, простраивать маршрут... ")</f>
        <v>Вопрос мутный) У нас много чего не хватает... сообщества нужны в последнюю очередь... чтобы они что-то придумали должны быть места и здания в которые можно ходить, описывать, придумывать, простраивать маршрут... </v>
      </c>
      <c r="AC562" s="6" t="str">
        <f>IFERROR(__xludf.DUMMYFUNCTION("""COMPUTED_VALUE"""),"Любые приятные главное больше, чтобы можно было и самим сходить и друзей приводить или с детьми, но тут так же все в место уперается... Антошка? или драма?) ")</f>
        <v>Любые приятные главное больше, чтобы можно было и самим сходить и друзей приводить или с детьми, но тут так же все в место уперается... Антошка? или драма?) </v>
      </c>
      <c r="AD56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 Интересные варианты, но многие как и я думаю и не знают что и как можно помочь, консультация не помешала бы)")</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Интересные варианты, но многие как и я думаю и не знают что и как можно помочь, консультация не помешала бы)</v>
      </c>
      <c r="AE562" s="6" t="str">
        <f>IFERROR(__xludf.DUMMYFUNCTION("""COMPUTED_VALUE"""),"Мужской")</f>
        <v>Мужской</v>
      </c>
      <c r="AF562" s="6" t="str">
        <f>IFERROR(__xludf.DUMMYFUNCTION("""COMPUTED_VALUE"""),"30-44")</f>
        <v>30-44</v>
      </c>
      <c r="AG562" s="6"/>
      <c r="AH562" s="6"/>
      <c r="AI562" s="6"/>
      <c r="AJ562" s="6"/>
      <c r="AK562" s="6"/>
      <c r="AL562" s="6"/>
      <c r="AM562" s="6"/>
    </row>
    <row r="563">
      <c r="A563" s="6">
        <v>562.0</v>
      </c>
      <c r="B563" s="6" t="str">
        <f>IFERROR(__xludf.DUMMYFUNCTION("""COMPUTED_VALUE"""),"Химическая промышленность")</f>
        <v>Химическая промышленность</v>
      </c>
      <c r="C563" s="6" t="str">
        <f>IFERROR(__xludf.DUMMYFUNCTION("""COMPUTED_VALUE"""),"Садоводство, рыбалка")</f>
        <v>Садоводство, рыбалка</v>
      </c>
      <c r="D563" s="6" t="str">
        <f>IFERROR(__xludf.DUMMYFUNCTION("""COMPUTED_VALUE"""),"Заводской, Улус.")</f>
        <v>Заводской, Улус.</v>
      </c>
      <c r="E563" s="6" t="str">
        <f>IFERROR(__xludf.DUMMYFUNCTION("""COMPUTED_VALUE"""),"Магазин.")</f>
        <v>Магазин.</v>
      </c>
      <c r="F563" s="6" t="str">
        <f>IFERROR(__xludf.DUMMYFUNCTION("""COMPUTED_VALUE"""),"Живу здесь с рождения")</f>
        <v>Живу здесь с рождения</v>
      </c>
      <c r="G563" s="6" t="str">
        <f>IFERROR(__xludf.DUMMYFUNCTION("""COMPUTED_VALUE"""),"Набережная")</f>
        <v>Набережная</v>
      </c>
      <c r="H563" s="6" t="str">
        <f>IFERROR(__xludf.DUMMYFUNCTION("""COMPUTED_VALUE"""),"Уголь, смог, завод, шахта, зона")</f>
        <v>Уголь, смог, завод, шахта, зона</v>
      </c>
      <c r="I563" s="6" t="str">
        <f>IFERROR(__xludf.DUMMYFUNCTION("""COMPUTED_VALUE"""),"Волков")</f>
        <v>Волков</v>
      </c>
      <c r="J563" s="6" t="str">
        <f>IFERROR(__xludf.DUMMYFUNCTION("""COMPUTED_VALUE"""),"Леонов")</f>
        <v>Леонов</v>
      </c>
      <c r="K563" s="6" t="str">
        <f>IFERROR(__xludf.DUMMYFUNCTION("""COMPUTED_VALUE"""),"Набережная, парк победы")</f>
        <v>Набережная, парк победы</v>
      </c>
      <c r="L563" s="6" t="str">
        <f>IFERROR(__xludf.DUMMYFUNCTION("""COMPUTED_VALUE"""),"Суровые сибиряки")</f>
        <v>Суровые сибиряки</v>
      </c>
      <c r="M563" s="6" t="str">
        <f>IFERROR(__xludf.DUMMYFUNCTION("""COMPUTED_VALUE"""),"Нет")</f>
        <v>Нет</v>
      </c>
      <c r="N563" s="6" t="str">
        <f>IFERROR(__xludf.DUMMYFUNCTION("""COMPUTED_VALUE"""),"Чистый воздух, чистая вода, достойный доход, хорошие дороги, инфроструктура")</f>
        <v>Чистый воздух, чистая вода, достойный доход, хорошие дороги, инфроструктура</v>
      </c>
      <c r="O563" s="6" t="str">
        <f>IFERROR(__xludf.DUMMYFUNCTION("""COMPUTED_VALUE"""),"Экологическая ситуация.")</f>
        <v>Экологическая ситуация.</v>
      </c>
      <c r="P563" s="6" t="str">
        <f>IFERROR(__xludf.DUMMYFUNCTION("""COMPUTED_VALUE"""),"Новостные порталы")</f>
        <v>Новостные порталы</v>
      </c>
      <c r="Q563" s="6" t="str">
        <f>IFERROR(__xludf.DUMMYFUNCTION("""COMPUTED_VALUE"""),"куда пойти в свободное время, криминальные новости (происшествия/преступления), результаты местных исследований (рейтинги/аналитика/тенденции)")</f>
        <v>куда пойти в свободное время, криминальные новости (происшествия/преступления), результаты местных исследований (рейтинги/аналитика/тенденции)</v>
      </c>
      <c r="R563" s="6" t="str">
        <f>IFERROR(__xludf.DUMMYFUNCTION("""COMPUTED_VALUE"""),"День города, день победы")</f>
        <v>День города, день победы</v>
      </c>
      <c r="S563" s="6" t="str">
        <f>IFERROR(__xludf.DUMMYFUNCTION("""COMPUTED_VALUE"""),"Нет, не приходилось")</f>
        <v>Нет, не приходилось</v>
      </c>
      <c r="T563" s="6" t="str">
        <f>IFERROR(__xludf.DUMMYFUNCTION("""COMPUTED_VALUE"""),"Шахты, зоны")</f>
        <v>Шахты, зоны</v>
      </c>
      <c r="U563" s="6" t="str">
        <f>IFERROR(__xludf.DUMMYFUNCTION("""COMPUTED_VALUE"""),"Набережная")</f>
        <v>Набережная</v>
      </c>
      <c r="V563" s="6" t="str">
        <f>IFERROR(__xludf.DUMMYFUNCTION("""COMPUTED_VALUE"""),"Не известно")</f>
        <v>Не известно</v>
      </c>
      <c r="W563" s="6" t="str">
        <f>IFERROR(__xludf.DUMMYFUNCTION("""COMPUTED_VALUE"""),"Суровые сибиряки")</f>
        <v>Суровые сибиряки</v>
      </c>
      <c r="X563" s="6" t="str">
        <f>IFERROR(__xludf.DUMMYFUNCTION("""COMPUTED_VALUE"""),"Набережная")</f>
        <v>Набережная</v>
      </c>
      <c r="Y563" s="6" t="str">
        <f>IFERROR(__xludf.DUMMYFUNCTION("""COMPUTED_VALUE"""),"Открытие залежей угля")</f>
        <v>Открытие залежей угля</v>
      </c>
      <c r="Z563" s="6" t="str">
        <f>IFERROR(__xludf.DUMMYFUNCTION("""COMPUTED_VALUE"""),"Строительство второго бульварного кольца")</f>
        <v>Строительство второго бульварного кольца</v>
      </c>
      <c r="AA563" s="6" t="str">
        <f>IFERROR(__xludf.DUMMYFUNCTION("""COMPUTED_VALUE"""),"Кароновирус")</f>
        <v>Кароновирус</v>
      </c>
      <c r="AB563" s="6" t="str">
        <f>IFERROR(__xludf.DUMMYFUNCTION("""COMPUTED_VALUE"""),"Всех хватает")</f>
        <v>Всех хватает</v>
      </c>
      <c r="AC563" s="6" t="str">
        <f>IFERROR(__xludf.DUMMYFUNCTION("""COMPUTED_VALUE"""),"Провести водопровод в Улус")</f>
        <v>Провести водопровод в Улус</v>
      </c>
      <c r="AD56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63" s="6" t="str">
        <f>IFERROR(__xludf.DUMMYFUNCTION("""COMPUTED_VALUE"""),"Мужской")</f>
        <v>Мужской</v>
      </c>
      <c r="AF563" s="6" t="str">
        <f>IFERROR(__xludf.DUMMYFUNCTION("""COMPUTED_VALUE"""),"30-44")</f>
        <v>30-44</v>
      </c>
      <c r="AG563" s="6"/>
      <c r="AH563" s="6"/>
      <c r="AI563" s="6"/>
      <c r="AJ563" s="6"/>
      <c r="AK563" s="6"/>
      <c r="AL563" s="6"/>
      <c r="AM563" s="6"/>
    </row>
    <row r="564">
      <c r="A564" s="6">
        <v>563.0</v>
      </c>
      <c r="B564" s="6" t="str">
        <f>IFERROR(__xludf.DUMMYFUNCTION("""COMPUTED_VALUE"""),"дизайном")</f>
        <v>дизайном</v>
      </c>
      <c r="C564" s="6" t="str">
        <f>IFERROR(__xludf.DUMMYFUNCTION("""COMPUTED_VALUE"""),"рисую")</f>
        <v>рисую</v>
      </c>
      <c r="D564" s="6" t="str">
        <f>IFERROR(__xludf.DUMMYFUNCTION("""COMPUTED_VALUE"""),"заводский")</f>
        <v>заводский</v>
      </c>
      <c r="E564" s="6" t="str">
        <f>IFERROR(__xludf.DUMMYFUNCTION("""COMPUTED_VALUE"""),"нет")</f>
        <v>нет</v>
      </c>
      <c r="F564" s="6" t="str">
        <f>IFERROR(__xludf.DUMMYFUNCTION("""COMPUTED_VALUE"""),"Переехал сюда из другого места (откуда? укажите в графе другое),  из г. Юрги на период учебы и осталась здесь")</f>
        <v>Переехал сюда из другого места (откуда? укажите в графе другое),  из г. Юрги на период учебы и осталась здесь</v>
      </c>
      <c r="G564" s="6" t="str">
        <f>IFERROR(__xludf.DUMMYFUNCTION("""COMPUTED_VALUE"""),"рудничный бор, горсад")</f>
        <v>рудничный бор, горсад</v>
      </c>
      <c r="H564" s="6" t="str">
        <f>IFERROR(__xludf.DUMMYFUNCTION("""COMPUTED_VALUE"""),"строящийся ввысь, красивый, современный, но малопроизводственный")</f>
        <v>строящийся ввысь, красивый, современный, но малопроизводственный</v>
      </c>
      <c r="I564" s="6" t="str">
        <f>IFERROR(__xludf.DUMMYFUNCTION("""COMPUTED_VALUE"""),"Логинов, Бабенко")</f>
        <v>Логинов, Бабенко</v>
      </c>
      <c r="J564" s="6" t="str">
        <f>IFERROR(__xludf.DUMMYFUNCTION("""COMPUTED_VALUE"""),"Тулеев")</f>
        <v>Тулеев</v>
      </c>
      <c r="K564" s="6" t="str">
        <f>IFERROR(__xludf.DUMMYFUNCTION("""COMPUTED_VALUE"""),"горсад, парк Ангелов, драмтеатр")</f>
        <v>горсад, парк Ангелов, драмтеатр</v>
      </c>
      <c r="L564" s="6" t="str">
        <f>IFERROR(__xludf.DUMMYFUNCTION("""COMPUTED_VALUE"""),"не знаю")</f>
        <v>не знаю</v>
      </c>
      <c r="M564" s="6" t="str">
        <f>IFERROR(__xludf.DUMMYFUNCTION("""COMPUTED_VALUE"""),"нет")</f>
        <v>нет</v>
      </c>
      <c r="N564" s="6" t="str">
        <f>IFERROR(__xludf.DUMMYFUNCTION("""COMPUTED_VALUE"""),"чистый, транспортная доступность хорошая, просторные улицы и невысокие дома до 9 этажей")</f>
        <v>чистый, транспортная доступность хорошая, просторные улицы и невысокие дома до 9 этажей</v>
      </c>
      <c r="O564" s="6" t="str">
        <f>IFERROR(__xludf.DUMMYFUNCTION("""COMPUTED_VALUE"""),"наладить производства для возможности хорошо зарабатывать и улучшить работу поликлиник")</f>
        <v>наладить производства для возможности хорошо зарабатывать и улучшить работу поликлиник</v>
      </c>
      <c r="P564" s="6" t="str">
        <f>IFERROR(__xludf.DUMMYFUNCTION("""COMPUTED_VALUE"""),"рамблер, яндекс")</f>
        <v>рамблер, яндекс</v>
      </c>
      <c r="Q564" s="6" t="str">
        <f>IFERROR(__xludf.DUMMYFUNCTION("""COMPUTED_VALUE"""),"криминальные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f>
        <v>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564" s="6" t="str">
        <f>IFERROR(__xludf.DUMMYFUNCTION("""COMPUTED_VALUE"""),"9 мая, день города, 300 лет кузбассу")</f>
        <v>9 мая, день города, 300 лет кузбассу</v>
      </c>
      <c r="S564" s="6" t="str">
        <f>IFERROR(__xludf.DUMMYFUNCTION("""COMPUTED_VALUE"""),"Нет, не приходилось")</f>
        <v>Нет, не приходилось</v>
      </c>
      <c r="T564" s="6" t="str">
        <f>IFERROR(__xludf.DUMMYFUNCTION("""COMPUTED_VALUE"""),"просто большой город")</f>
        <v>просто большой город</v>
      </c>
      <c r="U564" s="6" t="str">
        <f>IFERROR(__xludf.DUMMYFUNCTION("""COMPUTED_VALUE"""),"пл. Кирова")</f>
        <v>пл. Кирова</v>
      </c>
      <c r="V564" s="6" t="str">
        <f>IFERROR(__xludf.DUMMYFUNCTION("""COMPUTED_VALUE"""),"не знаю")</f>
        <v>не знаю</v>
      </c>
      <c r="W564" s="6" t="str">
        <f>IFERROR(__xludf.DUMMYFUNCTION("""COMPUTED_VALUE"""),"нормальные")</f>
        <v>нормальные</v>
      </c>
      <c r="X564" s="6" t="str">
        <f>IFERROR(__xludf.DUMMYFUNCTION("""COMPUTED_VALUE"""),"не знаю")</f>
        <v>не знаю</v>
      </c>
      <c r="Y564" s="6" t="str">
        <f>IFERROR(__xludf.DUMMYFUNCTION("""COMPUTED_VALUE"""),"не помню")</f>
        <v>не помню</v>
      </c>
      <c r="Z564" s="6" t="str">
        <f>IFERROR(__xludf.DUMMYFUNCTION("""COMPUTED_VALUE"""),"нет")</f>
        <v>нет</v>
      </c>
      <c r="AA564" s="6" t="str">
        <f>IFERROR(__xludf.DUMMYFUNCTION("""COMPUTED_VALUE"""),"не помню")</f>
        <v>не помню</v>
      </c>
      <c r="AB564" s="6" t="str">
        <f>IFERROR(__xludf.DUMMYFUNCTION("""COMPUTED_VALUE"""),"всё хватает")</f>
        <v>всё хватает</v>
      </c>
      <c r="AC564" s="6" t="str">
        <f>IFERROR(__xludf.DUMMYFUNCTION("""COMPUTED_VALUE"""),"мне не надо")</f>
        <v>мне не надо</v>
      </c>
      <c r="AD564"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564" s="6" t="str">
        <f>IFERROR(__xludf.DUMMYFUNCTION("""COMPUTED_VALUE"""),"Женский")</f>
        <v>Женский</v>
      </c>
      <c r="AF564" s="6" t="str">
        <f>IFERROR(__xludf.DUMMYFUNCTION("""COMPUTED_VALUE"""),"45-55")</f>
        <v>45-55</v>
      </c>
      <c r="AG564" s="6"/>
      <c r="AH564" s="6"/>
      <c r="AI564" s="6"/>
      <c r="AJ564" s="6"/>
      <c r="AK564" s="6"/>
      <c r="AL564" s="6"/>
      <c r="AM564" s="6"/>
    </row>
    <row r="565">
      <c r="A565" s="6">
        <v>564.0</v>
      </c>
      <c r="B565" s="6" t="str">
        <f>IFERROR(__xludf.DUMMYFUNCTION("""COMPUTED_VALUE"""),"Сопровождение сделок и реализация проектов по продаже горного оборудования и запчастей к нему")</f>
        <v>Сопровождение сделок и реализация проектов по продаже горного оборудования и запчастей к нему</v>
      </c>
      <c r="C565" s="6" t="str">
        <f>IFERROR(__xludf.DUMMYFUNCTION("""COMPUTED_VALUE"""),"Айкидо")</f>
        <v>Айкидо</v>
      </c>
      <c r="D565" s="6" t="str">
        <f>IFERROR(__xludf.DUMMYFUNCTION("""COMPUTED_VALUE"""),"Ленинский")</f>
        <v>Ленинский</v>
      </c>
      <c r="E565" s="6" t="str">
        <f>IFERROR(__xludf.DUMMYFUNCTION("""COMPUTED_VALUE"""),"Бульвар строителей, Бульварное кольцо")</f>
        <v>Бульвар строителей, Бульварное кольцо</v>
      </c>
      <c r="F565" s="6" t="str">
        <f>IFERROR(__xludf.DUMMYFUNCTION("""COMPUTED_VALUE"""),"Живу здесь с рождения")</f>
        <v>Живу здесь с рождения</v>
      </c>
      <c r="G565" s="6" t="str">
        <f>IFERROR(__xludf.DUMMYFUNCTION("""COMPUTED_VALUE"""),"Бассейн Сибирь, Филармония, театры")</f>
        <v>Бассейн Сибирь, Филармония, театры</v>
      </c>
      <c r="H565" s="6" t="str">
        <f>IFERROR(__xludf.DUMMYFUNCTION("""COMPUTED_VALUE"""),"Компактный, родной, угольная гора, сибирские люди, плохая экология")</f>
        <v>Компактный, родной, угольная гора, сибирские люди, плохая экология</v>
      </c>
      <c r="I565" s="6" t="str">
        <f>IFERROR(__xludf.DUMMYFUNCTION("""COMPUTED_VALUE"""),"Волков")</f>
        <v>Волков</v>
      </c>
      <c r="J565" s="6" t="str">
        <f>IFERROR(__xludf.DUMMYFUNCTION("""COMPUTED_VALUE"""),"Гришковец, Бабенко, Панин ")</f>
        <v>Гришковец, Бабенко, Панин </v>
      </c>
      <c r="K565" s="6" t="str">
        <f>IFERROR(__xludf.DUMMYFUNCTION("""COMPUTED_VALUE"""),"Хофброй ресторан - единственный в России")</f>
        <v>Хофброй ресторан - единственный в России</v>
      </c>
      <c r="L565" s="6" t="str">
        <f>IFERROR(__xludf.DUMMYFUNCTION("""COMPUTED_VALUE"""),"«Человек из Кемерова» песня Гребенщикова Б.")</f>
        <v>«Человек из Кемерова» песня Гребенщикова Б.</v>
      </c>
      <c r="M565" s="6" t="str">
        <f>IFERROR(__xludf.DUMMYFUNCTION("""COMPUTED_VALUE"""),"«Порожняк», «тормозок»")</f>
        <v>«Порожняк», «тормозок»</v>
      </c>
      <c r="N565" s="6" t="str">
        <f>IFERROR(__xludf.DUMMYFUNCTION("""COMPUTED_VALUE"""),"Правильная организация дорожного движения и качество дорог, наличие качественных образовательных и лечебных учреждений, авиасообщение с достаточным кол-вом городов/стран, богатое озеленение города, обеспечение качественными продуктами питания.")</f>
        <v>Правильная организация дорожного движения и качество дорог, наличие качественных образовательных и лечебных учреждений, авиасообщение с достаточным кол-вом городов/стран, богатое озеленение города, обеспечение качественными продуктами питания.</v>
      </c>
      <c r="O565" s="6" t="str">
        <f>IFERROR(__xludf.DUMMYFUNCTION("""COMPUTED_VALUE"""),"Убрать или реорганизовать частный сектор на ул. Сибиряков-гвардейцев, построить еще один мост через Томь, чтоб убрать большегрузы из города.")</f>
        <v>Убрать или реорганизовать частный сектор на ул. Сибиряков-гвардейцев, построить еще один мост через Томь, чтоб убрать большегрузы из города.</v>
      </c>
      <c r="P565" s="6" t="str">
        <f>IFERROR(__xludf.DUMMYFUNCTION("""COMPUTED_VALUE"""),"Интернет, знакомые ")</f>
        <v>Интернет, знакомые </v>
      </c>
      <c r="Q565" s="6" t="str">
        <f>IFERROR(__xludf.DUMMYFUNCTION("""COMPUTED_VALUE"""),"Независимые СМИ, которые бы непредвзято освещали все события и позитивные и негативные")</f>
        <v>Независимые СМИ, которые бы непредвзято освещали все события и позитивные и негативные</v>
      </c>
      <c r="R565" s="6" t="str">
        <f>IFERROR(__xludf.DUMMYFUNCTION("""COMPUTED_VALUE"""),"Не люблю городские праздники")</f>
        <v>Не люблю городские праздники</v>
      </c>
      <c r="S565" s="6" t="str">
        <f>IFERROR(__xludf.DUMMYFUNCTION("""COMPUTED_VALUE"""),"Участие городских праздниках в составе Академии Айкидо")</f>
        <v>Участие городских праздниках в составе Академии Айкидо</v>
      </c>
      <c r="T565" s="6" t="str">
        <f>IFERROR(__xludf.DUMMYFUNCTION("""COMPUTED_VALUE"""),"Памятник Шахтеру")</f>
        <v>Памятник Шахтеру</v>
      </c>
      <c r="U565" s="6" t="str">
        <f>IFERROR(__xludf.DUMMYFUNCTION("""COMPUTED_VALUE"""),"Площадь советов")</f>
        <v>Площадь советов</v>
      </c>
      <c r="V565" s="6" t="str">
        <f>IFERROR(__xludf.DUMMYFUNCTION("""COMPUTED_VALUE"""),"Отдавали своё здоровье на химических предприятиях.")</f>
        <v>Отдавали своё здоровье на химических предприятиях.</v>
      </c>
      <c r="W565" s="6" t="str">
        <f>IFERROR(__xludf.DUMMYFUNCTION("""COMPUTED_VALUE"""),"Недоверчивые, выносливые ")</f>
        <v>Недоверчивые, выносливые </v>
      </c>
      <c r="X565" s="6" t="str">
        <f>IFERROR(__xludf.DUMMYFUNCTION("""COMPUTED_VALUE"""),"Набережная")</f>
        <v>Набережная</v>
      </c>
      <c r="Y565" s="6" t="str">
        <f>IFERROR(__xludf.DUMMYFUNCTION("""COMPUTED_VALUE"""),"Празднование юбилея Стройсервис")</f>
        <v>Празднование юбилея Стройсервис</v>
      </c>
      <c r="Z565" s="6" t="str">
        <f>IFERROR(__xludf.DUMMYFUNCTION("""COMPUTED_VALUE"""),"Нет таких")</f>
        <v>Нет таких</v>
      </c>
      <c r="AA565" s="6" t="str">
        <f>IFERROR(__xludf.DUMMYFUNCTION("""COMPUTED_VALUE"""),"трагедия в «Зимней вишне»")</f>
        <v>трагедия в «Зимней вишне»</v>
      </c>
      <c r="AB565" s="6" t="str">
        <f>IFERROR(__xludf.DUMMYFUNCTION("""COMPUTED_VALUE"""),"Будокан")</f>
        <v>Будокан</v>
      </c>
      <c r="AC565" s="6" t="str">
        <f>IFERROR(__xludf.DUMMYFUNCTION("""COMPUTED_VALUE"""),"Мэр и губернатор, которые родились в Кемерово и планируют жить здесь и дальше.")</f>
        <v>Мэр и губернатор, которые родились в Кемерово и планируют жить здесь и дальше.</v>
      </c>
      <c r="AD565" s="6" t="str">
        <f>IFERROR(__xludf.DUMMYFUNCTION("""COMPUTED_VALUE"""),"Не готов принимать личное участие (укажите, пожалуйста, причину в поле «Другое»), Маленький ребенок")</f>
        <v>Не готов принимать личное участие (укажите, пожалуйста, причину в поле «Другое»), Маленький ребенок</v>
      </c>
      <c r="AE565" s="6" t="str">
        <f>IFERROR(__xludf.DUMMYFUNCTION("""COMPUTED_VALUE"""),"Женский")</f>
        <v>Женский</v>
      </c>
      <c r="AF565" s="6" t="str">
        <f>IFERROR(__xludf.DUMMYFUNCTION("""COMPUTED_VALUE"""),"30-44")</f>
        <v>30-44</v>
      </c>
      <c r="AG565" s="6"/>
      <c r="AH565" s="6"/>
      <c r="AI565" s="6"/>
      <c r="AJ565" s="6"/>
      <c r="AK565" s="6"/>
      <c r="AL565" s="6"/>
      <c r="AM565" s="6"/>
    </row>
    <row r="566">
      <c r="A566" s="6">
        <v>565.0</v>
      </c>
      <c r="B566" s="6" t="str">
        <f>IFERROR(__xludf.DUMMYFUNCTION("""COMPUTED_VALUE"""),"дополнительное образование детей")</f>
        <v>дополнительное образование детей</v>
      </c>
      <c r="C566" s="6" t="str">
        <f>IFERROR(__xludf.DUMMYFUNCTION("""COMPUTED_VALUE"""),"есть, коллекционирование женских носовых платков")</f>
        <v>есть, коллекционирование женских носовых платков</v>
      </c>
      <c r="D566" s="6" t="str">
        <f>IFERROR(__xludf.DUMMYFUNCTION("""COMPUTED_VALUE"""),"Центральный район")</f>
        <v>Центральный район</v>
      </c>
      <c r="E566" s="6" t="str">
        <f>IFERROR(__xludf.DUMMYFUNCTION("""COMPUTED_VALUE"""),"Набережная, Драмтеатр, площадь Советов")</f>
        <v>Набережная, Драмтеатр, площадь Советов</v>
      </c>
      <c r="F566" s="6" t="str">
        <f>IFERROR(__xludf.DUMMYFUNCTION("""COMPUTED_VALUE"""),"Живу здесь с рождения")</f>
        <v>Живу здесь с рождения</v>
      </c>
      <c r="G566" s="6" t="str">
        <f>IFERROR(__xludf.DUMMYFUNCTION("""COMPUTED_VALUE"""),"Сосновый бор, Набережная Кировского района, Красная Горка")</f>
        <v>Сосновый бор, Набережная Кировского района, Красная Горка</v>
      </c>
      <c r="H566" s="6" t="str">
        <f>IFERROR(__xludf.DUMMYFUNCTION("""COMPUTED_VALUE"""),"уголь, шахты, грязь, пыль, газ")</f>
        <v>уголь, шахты, грязь, пыль, газ</v>
      </c>
      <c r="I566" s="6" t="str">
        <f>IFERROR(__xludf.DUMMYFUNCTION("""COMPUTED_VALUE"""),"Леонов, Тулеев")</f>
        <v>Леонов, Тулеев</v>
      </c>
      <c r="J566" s="6" t="str">
        <f>IFERROR(__xludf.DUMMYFUNCTION("""COMPUTED_VALUE"""),"-----")</f>
        <v>-----</v>
      </c>
      <c r="K566" s="6" t="str">
        <f>IFERROR(__xludf.DUMMYFUNCTION("""COMPUTED_VALUE"""),"Сосновый бор, Набережная Кировского района, Красная Горка, ГУДО ОДЭБС")</f>
        <v>Сосновый бор, Набережная Кировского района, Красная Горка, ГУДО ОДЭБС</v>
      </c>
      <c r="L566" s="6" t="str">
        <f>IFERROR(__xludf.DUMMYFUNCTION("""COMPUTED_VALUE"""),"---")</f>
        <v>---</v>
      </c>
      <c r="M566" s="6" t="str">
        <f>IFERROR(__xludf.DUMMYFUNCTION("""COMPUTED_VALUE"""),"---")</f>
        <v>---</v>
      </c>
      <c r="N566" s="6" t="str">
        <f>IFERROR(__xludf.DUMMYFUNCTION("""COMPUTED_VALUE"""),"чистый воздух, чистые дороги, красивые дома и парки, чистоплотные горожане, система благоустройства")</f>
        <v>чистый воздух, чистые дороги, красивые дома и парки, чистоплотные горожане, система благоустройства</v>
      </c>
      <c r="O566" s="6" t="str">
        <f>IFERROR(__xludf.DUMMYFUNCTION("""COMPUTED_VALUE"""),"Ремонт дорог и домов")</f>
        <v>Ремонт дорог и домов</v>
      </c>
      <c r="P566" s="6" t="str">
        <f>IFERROR(__xludf.DUMMYFUNCTION("""COMPUTED_VALUE"""),"все42, ")</f>
        <v>все42, </v>
      </c>
      <c r="Q56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66" s="6" t="str">
        <f>IFERROR(__xludf.DUMMYFUNCTION("""COMPUTED_VALUE"""),"---")</f>
        <v>---</v>
      </c>
      <c r="S566" s="6" t="str">
        <f>IFERROR(__xludf.DUMMYFUNCTION("""COMPUTED_VALUE"""),"Делал рассылку по электронной почте")</f>
        <v>Делал рассылку по электронной почте</v>
      </c>
      <c r="T566" s="6" t="str">
        <f>IFERROR(__xludf.DUMMYFUNCTION("""COMPUTED_VALUE"""),"нет уникальности")</f>
        <v>нет уникальности</v>
      </c>
      <c r="U566" s="6" t="str">
        <f>IFERROR(__xludf.DUMMYFUNCTION("""COMPUTED_VALUE"""),"площадь Советов")</f>
        <v>площадь Советов</v>
      </c>
      <c r="V566" s="6" t="str">
        <f>IFERROR(__xludf.DUMMYFUNCTION("""COMPUTED_VALUE"""),"построили город")</f>
        <v>построили город</v>
      </c>
      <c r="W566" s="6" t="str">
        <f>IFERROR(__xludf.DUMMYFUNCTION("""COMPUTED_VALUE"""),"терпеливость")</f>
        <v>терпеливость</v>
      </c>
      <c r="X566" s="6" t="str">
        <f>IFERROR(__xludf.DUMMYFUNCTION("""COMPUTED_VALUE"""),"--")</f>
        <v>--</v>
      </c>
      <c r="Y566" s="6" t="str">
        <f>IFERROR(__xludf.DUMMYFUNCTION("""COMPUTED_VALUE"""),"--")</f>
        <v>--</v>
      </c>
      <c r="Z566" s="6" t="str">
        <f>IFERROR(__xludf.DUMMYFUNCTION("""COMPUTED_VALUE"""),"проект Лучший.")</f>
        <v>проект Лучший.</v>
      </c>
      <c r="AA566" s="6" t="str">
        <f>IFERROR(__xludf.DUMMYFUNCTION("""COMPUTED_VALUE"""),"загазованность и грязные дороги")</f>
        <v>загазованность и грязные дороги</v>
      </c>
      <c r="AB566" s="6" t="str">
        <f>IFERROR(__xludf.DUMMYFUNCTION("""COMPUTED_VALUE"""),"сообществ культурных людей")</f>
        <v>сообществ культурных людей</v>
      </c>
      <c r="AC566" s="6" t="str">
        <f>IFERROR(__xludf.DUMMYFUNCTION("""COMPUTED_VALUE"""),"культурные и экологические")</f>
        <v>культурные и экологические</v>
      </c>
      <c r="AD566"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566" s="6" t="str">
        <f>IFERROR(__xludf.DUMMYFUNCTION("""COMPUTED_VALUE"""),"Женский")</f>
        <v>Женский</v>
      </c>
      <c r="AF566" s="6" t="str">
        <f>IFERROR(__xludf.DUMMYFUNCTION("""COMPUTED_VALUE"""),"30-44")</f>
        <v>30-44</v>
      </c>
      <c r="AG566" s="6"/>
      <c r="AH566" s="6"/>
      <c r="AI566" s="6"/>
      <c r="AJ566" s="6"/>
      <c r="AK566" s="6"/>
      <c r="AL566" s="6"/>
      <c r="AM566" s="6"/>
    </row>
    <row r="567">
      <c r="A567" s="6">
        <v>566.0</v>
      </c>
      <c r="B567" s="6" t="str">
        <f>IFERROR(__xludf.DUMMYFUNCTION("""COMPUTED_VALUE"""),"Библиотекарь")</f>
        <v>Библиотекарь</v>
      </c>
      <c r="C567" s="6" t="str">
        <f>IFERROR(__xludf.DUMMYFUNCTION("""COMPUTED_VALUE"""),"Пою в народном коллективе")</f>
        <v>Пою в народном коллективе</v>
      </c>
      <c r="D567" s="6" t="str">
        <f>IFERROR(__xludf.DUMMYFUNCTION("""COMPUTED_VALUE"""),"Центральный")</f>
        <v>Центральный</v>
      </c>
      <c r="E567" s="6" t="str">
        <f>IFERROR(__xludf.DUMMYFUNCTION("""COMPUTED_VALUE"""),"Парк Победы")</f>
        <v>Парк Победы</v>
      </c>
      <c r="F567" s="6" t="str">
        <f>IFERROR(__xludf.DUMMYFUNCTION("""COMPUTED_VALUE"""),"Не живу,но приезжаю сюда (к родственникам/друзьям)")</f>
        <v>Не живу,но приезжаю сюда (к родственникам/друзьям)</v>
      </c>
      <c r="G567" s="6" t="str">
        <f>IFERROR(__xludf.DUMMYFUNCTION("""COMPUTED_VALUE"""),"Парк Чудес")</f>
        <v>Парк Чудес</v>
      </c>
      <c r="H567" s="6" t="str">
        <f>IFERROR(__xludf.DUMMYFUNCTION("""COMPUTED_VALUE"""),"Красивый,многолюдный,расцветающий,всегда в движении,промышленный")</f>
        <v>Красивый,многолюдный,расцветающий,всегда в движении,промышленный</v>
      </c>
      <c r="I567" s="6" t="str">
        <f>IFERROR(__xludf.DUMMYFUNCTION("""COMPUTED_VALUE"""),"Рукавишников Степан")</f>
        <v>Рукавишников Степан</v>
      </c>
      <c r="J567" s="6" t="str">
        <f>IFERROR(__xludf.DUMMYFUNCTION("""COMPUTED_VALUE"""),"Гришковец Евгений Валерьевич
Писатель, драматург, актёр, режиссёр.")</f>
        <v>Гришковец Евгений Валерьевич
Писатель, драматург, актёр, режиссёр.</v>
      </c>
      <c r="K567" s="6" t="str">
        <f>IFERROR(__xludf.DUMMYFUNCTION("""COMPUTED_VALUE"""),"Памятник Шахтёрам")</f>
        <v>Памятник Шахтёрам</v>
      </c>
      <c r="L567" s="6" t="str">
        <f>IFERROR(__xludf.DUMMYFUNCTION("""COMPUTED_VALUE"""),"Кузбасс! Ты дорог и любим.
Горжусь твоею красотою.
Твоею мощью, широтою,
Рабочим обликом твоим!")</f>
        <v>Кузбасс! Ты дорог и любим.
Горжусь твоею красотою.
Твоею мощью, широтою,
Рабочим обликом твоим!</v>
      </c>
      <c r="M567" s="6" t="str">
        <f>IFERROR(__xludf.DUMMYFUNCTION("""COMPUTED_VALUE"""),"нет")</f>
        <v>нет</v>
      </c>
      <c r="N567" s="6" t="str">
        <f>IFERROR(__xludf.DUMMYFUNCTION("""COMPUTED_VALUE"""),"есть медецина,в доступности магазины сады и школы,есть где отдохнуть")</f>
        <v>есть медецина,в доступности магазины сады и школы,есть где отдохнуть</v>
      </c>
      <c r="O567" s="6" t="str">
        <f>IFERROR(__xludf.DUMMYFUNCTION("""COMPUTED_VALUE"""),"Цены снизить на всё")</f>
        <v>Цены снизить на всё</v>
      </c>
      <c r="P567" s="6" t="str">
        <f>IFERROR(__xludf.DUMMYFUNCTION("""COMPUTED_VALUE"""),"в газете")</f>
        <v>в газете</v>
      </c>
      <c r="Q567"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v>
      </c>
      <c r="R567" s="6" t="str">
        <f>IFERROR(__xludf.DUMMYFUNCTION("""COMPUTED_VALUE"""),"Детские праздники")</f>
        <v>Детские праздники</v>
      </c>
      <c r="S567" s="6" t="str">
        <f>IFERROR(__xludf.DUMMYFUNCTION("""COMPUTED_VALUE"""),"Нет, не приходилось")</f>
        <v>Нет, не приходилось</v>
      </c>
      <c r="T567" s="6" t="str">
        <f>IFERROR(__xludf.DUMMYFUNCTION("""COMPUTED_VALUE"""),"Самый крупный город")</f>
        <v>Самый крупный город</v>
      </c>
      <c r="U567" s="6" t="str">
        <f>IFERROR(__xludf.DUMMYFUNCTION("""COMPUTED_VALUE"""),"Площадь советов")</f>
        <v>Площадь советов</v>
      </c>
      <c r="V567" s="6" t="str">
        <f>IFERROR(__xludf.DUMMYFUNCTION("""COMPUTED_VALUE"""),"Незнаю")</f>
        <v>Незнаю</v>
      </c>
      <c r="W567" s="6" t="str">
        <f>IFERROR(__xludf.DUMMYFUNCTION("""COMPUTED_VALUE"""),"Суетливые")</f>
        <v>Суетливые</v>
      </c>
      <c r="X567" s="6" t="str">
        <f>IFERROR(__xludf.DUMMYFUNCTION("""COMPUTED_VALUE"""),"Парк чудес")</f>
        <v>Парк чудес</v>
      </c>
      <c r="Y567" s="6" t="str">
        <f>IFERROR(__xludf.DUMMYFUNCTION("""COMPUTED_VALUE"""),"Сгорела зимняя Вишня,было шоком для всех!")</f>
        <v>Сгорела зимняя Вишня,было шоком для всех!</v>
      </c>
      <c r="Z567" s="6" t="str">
        <f>IFERROR(__xludf.DUMMYFUNCTION("""COMPUTED_VALUE"""),"не было таких")</f>
        <v>не было таких</v>
      </c>
      <c r="AA567" s="6" t="str">
        <f>IFERROR(__xludf.DUMMYFUNCTION("""COMPUTED_VALUE"""),"Сгорела зимняя Вишня,погибли дети")</f>
        <v>Сгорела зимняя Вишня,погибли дети</v>
      </c>
      <c r="AB567" s="6" t="str">
        <f>IFERROR(__xludf.DUMMYFUNCTION("""COMPUTED_VALUE"""),"не знаю")</f>
        <v>не знаю</v>
      </c>
      <c r="AC567" s="6" t="str">
        <f>IFERROR(__xludf.DUMMYFUNCTION("""COMPUTED_VALUE"""),"культурно массовые бесплатные мероприятия интересные детям")</f>
        <v>культурно массовые бесплатные мероприятия интересные детям</v>
      </c>
      <c r="AD56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67" s="6" t="str">
        <f>IFERROR(__xludf.DUMMYFUNCTION("""COMPUTED_VALUE"""),"Женский")</f>
        <v>Женский</v>
      </c>
      <c r="AF567" s="6" t="str">
        <f>IFERROR(__xludf.DUMMYFUNCTION("""COMPUTED_VALUE"""),"30-44")</f>
        <v>30-44</v>
      </c>
      <c r="AG567" s="6"/>
      <c r="AH567" s="6"/>
      <c r="AI567" s="6"/>
      <c r="AJ567" s="6"/>
      <c r="AK567" s="6"/>
      <c r="AL567" s="6"/>
      <c r="AM567" s="6"/>
    </row>
    <row r="568">
      <c r="A568" s="6">
        <v>567.0</v>
      </c>
      <c r="B568" s="6" t="str">
        <f>IFERROR(__xludf.DUMMYFUNCTION("""COMPUTED_VALUE"""),"Работаю")</f>
        <v>Работаю</v>
      </c>
      <c r="C568" s="6" t="str">
        <f>IFERROR(__xludf.DUMMYFUNCTION("""COMPUTED_VALUE"""),"Нет")</f>
        <v>Нет</v>
      </c>
      <c r="D568" s="6" t="str">
        <f>IFERROR(__xludf.DUMMYFUNCTION("""COMPUTED_VALUE"""),"8е марта")</f>
        <v>8е марта</v>
      </c>
      <c r="E568" s="6" t="str">
        <f>IFERROR(__xludf.DUMMYFUNCTION("""COMPUTED_VALUE"""),"Озеро")</f>
        <v>Озеро</v>
      </c>
      <c r="F568"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568" s="6" t="str">
        <f>IFERROR(__xludf.DUMMYFUNCTION("""COMPUTED_VALUE"""),"Не куда ")</f>
        <v>Не куда </v>
      </c>
      <c r="H568" s="6" t="str">
        <f>IFERROR(__xludf.DUMMYFUNCTION("""COMPUTED_VALUE"""),"Некаких")</f>
        <v>Некаких</v>
      </c>
      <c r="I568" s="6" t="str">
        <f>IFERROR(__xludf.DUMMYFUNCTION("""COMPUTED_VALUE"""),"Незнаю")</f>
        <v>Незнаю</v>
      </c>
      <c r="J568" s="6" t="str">
        <f>IFERROR(__xludf.DUMMYFUNCTION("""COMPUTED_VALUE"""),"Незнаю")</f>
        <v>Незнаю</v>
      </c>
      <c r="K568" s="6" t="str">
        <f>IFERROR(__xludf.DUMMYFUNCTION("""COMPUTED_VALUE"""),"Не какие")</f>
        <v>Не какие</v>
      </c>
      <c r="L568" s="6" t="str">
        <f>IFERROR(__xludf.DUMMYFUNCTION("""COMPUTED_VALUE"""),"Незнаю")</f>
        <v>Незнаю</v>
      </c>
      <c r="M568" s="6" t="str">
        <f>IFERROR(__xludf.DUMMYFUNCTION("""COMPUTED_VALUE"""),"Нет")</f>
        <v>Нет</v>
      </c>
      <c r="N568" s="6" t="str">
        <f>IFERROR(__xludf.DUMMYFUNCTION("""COMPUTED_VALUE"""),"Нету")</f>
        <v>Нету</v>
      </c>
      <c r="O568" s="6" t="str">
        <f>IFERROR(__xludf.DUMMYFUNCTION("""COMPUTED_VALUE"""),"Все")</f>
        <v>Все</v>
      </c>
      <c r="P568" s="6" t="str">
        <f>IFERROR(__xludf.DUMMYFUNCTION("""COMPUTED_VALUE"""),"Интернет")</f>
        <v>Интернет</v>
      </c>
      <c r="Q568" s="6" t="str">
        <f>IFERROR(__xludf.DUMMYFUNCTION("""COMPUTED_VALUE"""),"где вкусно поесть/открытие новых кафе/ресторанов")</f>
        <v>где вкусно поесть/открытие новых кафе/ресторанов</v>
      </c>
      <c r="R568" s="6" t="str">
        <f>IFERROR(__xludf.DUMMYFUNCTION("""COMPUTED_VALUE"""),"Не какие ")</f>
        <v>Не какие </v>
      </c>
      <c r="S568" s="6" t="str">
        <f>IFERROR(__xludf.DUMMYFUNCTION("""COMPUTED_VALUE"""),"Нет, не приходилось")</f>
        <v>Нет, не приходилось</v>
      </c>
      <c r="T568" s="6" t="str">
        <f>IFERROR(__xludf.DUMMYFUNCTION("""COMPUTED_VALUE"""),"Не чего")</f>
        <v>Не чего</v>
      </c>
      <c r="U568" s="6" t="str">
        <f>IFERROR(__xludf.DUMMYFUNCTION("""COMPUTED_VALUE"""),"Не чего")</f>
        <v>Не чего</v>
      </c>
      <c r="V568" s="6" t="str">
        <f>IFERROR(__xludf.DUMMYFUNCTION("""COMPUTED_VALUE"""),"Не чего")</f>
        <v>Не чего</v>
      </c>
      <c r="W568" s="6" t="str">
        <f>IFERROR(__xludf.DUMMYFUNCTION("""COMPUTED_VALUE"""),"Нармальные")</f>
        <v>Нармальные</v>
      </c>
      <c r="X568" s="6" t="str">
        <f>IFERROR(__xludf.DUMMYFUNCTION("""COMPUTED_VALUE"""),"Не какой")</f>
        <v>Не какой</v>
      </c>
      <c r="Y568" s="6" t="str">
        <f>IFERROR(__xludf.DUMMYFUNCTION("""COMPUTED_VALUE"""),"9 мая")</f>
        <v>9 мая</v>
      </c>
      <c r="Z568" s="6" t="str">
        <f>IFERROR(__xludf.DUMMYFUNCTION("""COMPUTED_VALUE"""),"Не какие")</f>
        <v>Не какие</v>
      </c>
      <c r="AA568" s="6" t="str">
        <f>IFERROR(__xludf.DUMMYFUNCTION("""COMPUTED_VALUE"""),"Незнаю")</f>
        <v>Незнаю</v>
      </c>
      <c r="AB568" s="6" t="str">
        <f>IFERROR(__xludf.DUMMYFUNCTION("""COMPUTED_VALUE"""),"Не каких")</f>
        <v>Не каких</v>
      </c>
      <c r="AC568" s="6" t="str">
        <f>IFERROR(__xludf.DUMMYFUNCTION("""COMPUTED_VALUE"""),"Зоопарк, аквапарк, карусели")</f>
        <v>Зоопарк, аквапарк, карусели</v>
      </c>
      <c r="AD56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68" s="6" t="str">
        <f>IFERROR(__xludf.DUMMYFUNCTION("""COMPUTED_VALUE"""),"Женский")</f>
        <v>Женский</v>
      </c>
      <c r="AF568" s="6" t="str">
        <f>IFERROR(__xludf.DUMMYFUNCTION("""COMPUTED_VALUE"""),"30-44")</f>
        <v>30-44</v>
      </c>
      <c r="AG568" s="6"/>
      <c r="AH568" s="6"/>
      <c r="AI568" s="6"/>
      <c r="AJ568" s="6"/>
      <c r="AK568" s="6"/>
      <c r="AL568" s="6"/>
      <c r="AM568" s="6"/>
    </row>
    <row r="569">
      <c r="A569" s="6">
        <v>568.0</v>
      </c>
      <c r="B569" s="6" t="str">
        <f>IFERROR(__xludf.DUMMYFUNCTION("""COMPUTED_VALUE"""),"Досуг ")</f>
        <v>Досуг </v>
      </c>
      <c r="C569" s="6" t="str">
        <f>IFERROR(__xludf.DUMMYFUNCTION("""COMPUTED_VALUE"""),"Бисероплитение ")</f>
        <v>Бисероплитение </v>
      </c>
      <c r="D569" s="6" t="str">
        <f>IFERROR(__xludf.DUMMYFUNCTION("""COMPUTED_VALUE"""),"Пгт Грамотеино ")</f>
        <v>Пгт Грамотеино </v>
      </c>
      <c r="E569" s="6" t="str">
        <f>IFERROR(__xludf.DUMMYFUNCTION("""COMPUTED_VALUE"""),"Памятник Ены")</f>
        <v>Памятник Ены</v>
      </c>
      <c r="F569" s="6" t="str">
        <f>IFERROR(__xludf.DUMMYFUNCTION("""COMPUTED_VALUE"""),"Живу здесь с рождения")</f>
        <v>Живу здесь с рождения</v>
      </c>
      <c r="G569" s="6" t="str">
        <f>IFERROR(__xludf.DUMMYFUNCTION("""COMPUTED_VALUE"""),"В кинотеатор")</f>
        <v>В кинотеатор</v>
      </c>
      <c r="H569" s="6" t="str">
        <f>IFERROR(__xludf.DUMMYFUNCTION("""COMPUTED_VALUE"""),"Уголь, культура, разрезы, метоллурги, текстиль ")</f>
        <v>Уголь, культура, разрезы, метоллурги, текстиль </v>
      </c>
      <c r="I569" s="6" t="str">
        <f>IFERROR(__xludf.DUMMYFUNCTION("""COMPUTED_VALUE"""),"Белов, Мишин ")</f>
        <v>Белов, Мишин </v>
      </c>
      <c r="J569" s="6" t="str">
        <f>IFERROR(__xludf.DUMMYFUNCTION("""COMPUTED_VALUE"""),"Тулеев")</f>
        <v>Тулеев</v>
      </c>
      <c r="K569" s="6" t="str">
        <f>IFERROR(__xludf.DUMMYFUNCTION("""COMPUTED_VALUE"""),"Площадь, парк молодёжный, парк победы ")</f>
        <v>Площадь, парк молодёжный, парк победы </v>
      </c>
      <c r="L569" s="6" t="str">
        <f>IFERROR(__xludf.DUMMYFUNCTION("""COMPUTED_VALUE"""),"Молодец по поговорке, и в бою то доказал ")</f>
        <v>Молодец по поговорке, и в бою то доказал </v>
      </c>
      <c r="M569" s="6" t="str">
        <f>IFERROR(__xludf.DUMMYFUNCTION("""COMPUTED_VALUE"""),"Бывалый")</f>
        <v>Бывалый</v>
      </c>
      <c r="N569" s="6" t="str">
        <f>IFERROR(__xludf.DUMMYFUNCTION("""COMPUTED_VALUE"""),"Чистота, зелень, свежий воздух, создание парков, дороги ")</f>
        <v>Чистота, зелень, свежий воздух, создание парков, дороги </v>
      </c>
      <c r="O569" s="6" t="str">
        <f>IFERROR(__xludf.DUMMYFUNCTION("""COMPUTED_VALUE"""),"Дороги, чистоту навести ")</f>
        <v>Дороги, чистоту навести </v>
      </c>
      <c r="P569" s="6" t="str">
        <f>IFERROR(__xludf.DUMMYFUNCTION("""COMPUTED_VALUE"""),"Инстограм, контакт, одноклассники ")</f>
        <v>Инстограм, контакт, одноклассники </v>
      </c>
      <c r="Q569" s="6" t="str">
        <f>IFERROR(__xludf.DUMMYFUNCTION("""COMPUTED_VALUE"""),"культурные новинки (что почитать/что послушать), интервью с местными политиками, интервью с местными творческими личностями")</f>
        <v>культурные новинки (что почитать/что послушать), интервью с местными политиками, интервью с местными творческими личностями</v>
      </c>
      <c r="R569" s="6" t="str">
        <f>IFERROR(__xludf.DUMMYFUNCTION("""COMPUTED_VALUE"""),"День семьи")</f>
        <v>День семьи</v>
      </c>
      <c r="S569" s="6" t="str">
        <f>IFERROR(__xludf.DUMMYFUNCTION("""COMPUTED_VALUE"""),"Писал и расклеивал объявления/афиши")</f>
        <v>Писал и расклеивал объявления/афиши</v>
      </c>
      <c r="T569" s="6" t="str">
        <f>IFERROR(__xludf.DUMMYFUNCTION("""COMPUTED_VALUE"""),"Томская писаница")</f>
        <v>Томская писаница</v>
      </c>
      <c r="U569" s="6" t="str">
        <f>IFERROR(__xludf.DUMMYFUNCTION("""COMPUTED_VALUE"""),"Портов советов")</f>
        <v>Портов советов</v>
      </c>
      <c r="V569" s="6" t="str">
        <f>IFERROR(__xludf.DUMMYFUNCTION("""COMPUTED_VALUE"""),"Создавали культурное наследие ")</f>
        <v>Создавали культурное наследие </v>
      </c>
      <c r="W569" s="6" t="str">
        <f>IFERROR(__xludf.DUMMYFUNCTION("""COMPUTED_VALUE"""),"Нормальные, позитивные ")</f>
        <v>Нормальные, позитивные </v>
      </c>
      <c r="X569" s="6" t="str">
        <f>IFERROR(__xludf.DUMMYFUNCTION("""COMPUTED_VALUE"""),"По реке Томи ")</f>
        <v>По реке Томи </v>
      </c>
      <c r="Y569" s="6" t="str">
        <f>IFERROR(__xludf.DUMMYFUNCTION("""COMPUTED_VALUE"""),"Открытие парка Ангелов")</f>
        <v>Открытие парка Ангелов</v>
      </c>
      <c r="Z569" s="6" t="str">
        <f>IFERROR(__xludf.DUMMYFUNCTION("""COMPUTED_VALUE"""),"Ни чего ")</f>
        <v>Ни чего </v>
      </c>
      <c r="AA569" s="6" t="str">
        <f>IFERROR(__xludf.DUMMYFUNCTION("""COMPUTED_VALUE"""),"Навальный")</f>
        <v>Навальный</v>
      </c>
      <c r="AB569" s="6" t="str">
        <f>IFERROR(__xludf.DUMMYFUNCTION("""COMPUTED_VALUE"""),"Все хватает")</f>
        <v>Все хватает</v>
      </c>
      <c r="AC569" s="6" t="str">
        <f>IFERROR(__xludf.DUMMYFUNCTION("""COMPUTED_VALUE"""),"Ращвлекательные")</f>
        <v>Ращвлекательные</v>
      </c>
      <c r="AD56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69" s="6" t="str">
        <f>IFERROR(__xludf.DUMMYFUNCTION("""COMPUTED_VALUE"""),"Женский")</f>
        <v>Женский</v>
      </c>
      <c r="AF569" s="6" t="str">
        <f>IFERROR(__xludf.DUMMYFUNCTION("""COMPUTED_VALUE"""),"30-44")</f>
        <v>30-44</v>
      </c>
      <c r="AG569" s="6"/>
      <c r="AH569" s="6"/>
      <c r="AI569" s="6"/>
      <c r="AJ569" s="6"/>
      <c r="AK569" s="6"/>
      <c r="AL569" s="6"/>
      <c r="AM569" s="6"/>
    </row>
    <row r="570">
      <c r="A570" s="6">
        <v>569.0</v>
      </c>
      <c r="B570" s="6" t="str">
        <f>IFERROR(__xludf.DUMMYFUNCTION("""COMPUTED_VALUE"""),"Образование ")</f>
        <v>Образование </v>
      </c>
      <c r="C570" s="6" t="str">
        <f>IFERROR(__xludf.DUMMYFUNCTION("""COMPUTED_VALUE"""),"Чтение, спорт")</f>
        <v>Чтение, спорт</v>
      </c>
      <c r="D570" s="6" t="str">
        <f>IFERROR(__xludf.DUMMYFUNCTION("""COMPUTED_VALUE"""),"Центральный. Центр")</f>
        <v>Центральный. Центр</v>
      </c>
      <c r="E570" s="6" t="str">
        <f>IFERROR(__xludf.DUMMYFUNCTION("""COMPUTED_VALUE"""),"Набережная, площадь советов.")</f>
        <v>Набережная, площадь советов.</v>
      </c>
      <c r="F570" s="6" t="str">
        <f>IFERROR(__xludf.DUMMYFUNCTION("""COMPUTED_VALUE"""),"Живу здесь с рождения")</f>
        <v>Живу здесь с рождения</v>
      </c>
      <c r="G570" s="6" t="str">
        <f>IFERROR(__xludf.DUMMYFUNCTION("""COMPUTED_VALUE"""),"Мечеть")</f>
        <v>Мечеть</v>
      </c>
      <c r="H570" s="6" t="str">
        <f>IFERROR(__xludf.DUMMYFUNCTION("""COMPUTED_VALUE"""),"Чёрное небо, дым, широкие улицы, зелень,  мечеть, университеты")</f>
        <v>Чёрное небо, дым, широкие улицы, зелень,  мечеть, университеты</v>
      </c>
      <c r="I570" s="6" t="str">
        <f>IFERROR(__xludf.DUMMYFUNCTION("""COMPUTED_VALUE"""),"Защитники Отечества и мусульмане трудившиеся во благо обществу и духовным ценностям.")</f>
        <v>Защитники Отечества и мусульмане трудившиеся во благо обществу и духовным ценностям.</v>
      </c>
      <c r="J570" s="6" t="str">
        <f>IFERROR(__xludf.DUMMYFUNCTION("""COMPUTED_VALUE"""),"Имам Кемеровской области - Бикчантаев Тагир Ахмадуллович и  мусульмане 
, которые трудятся во благо обществу и духовным ценностям. ")</f>
        <v>Имам Кемеровской области - Бикчантаев Тагир Ахмадуллович и  мусульмане 
, которые трудятся во благо обществу и духовным ценностям. </v>
      </c>
      <c r="K570" s="6" t="str">
        <f>IFERROR(__xludf.DUMMYFUNCTION("""COMPUTED_VALUE"""),"Мечеть, набережная, парк ангелов")</f>
        <v>Мечеть, набережная, парк ангелов</v>
      </c>
      <c r="L570" s="6" t="str">
        <f>IFERROR(__xludf.DUMMYFUNCTION("""COMPUTED_VALUE"""),"Не припомню")</f>
        <v>Не припомню</v>
      </c>
      <c r="M570" s="6" t="str">
        <f>IFERROR(__xludf.DUMMYFUNCTION("""COMPUTED_VALUE"""),"Нет")</f>
        <v>Нет</v>
      </c>
      <c r="N570" s="6" t="str">
        <f>IFERROR(__xludf.DUMMYFUNCTION("""COMPUTED_VALUE"""),"ХОРОШАЯ ЭКОЛОГИЯ, чистый воздух, налаженная система ОБЩЕСТВЕННОГО транспорта(трамваи, троллейбусы, автобусы), мобильность для инвалидов и мам с детьми, безопасность жителей, хорошее образование")</f>
        <v>ХОРОШАЯ ЭКОЛОГИЯ, чистый воздух, налаженная система ОБЩЕСТВЕННОГО транспорта(трамваи, троллейбусы, автобусы), мобильность для инвалидов и мам с детьми, безопасность жителей, хорошее образование</v>
      </c>
      <c r="O570" s="6" t="str">
        <f>IFERROR(__xludf.DUMMYFUNCTION("""COMPUTED_VALUE"""),"Экологию!  ")</f>
        <v>Экологию!  </v>
      </c>
      <c r="P570" s="6" t="str">
        <f>IFERROR(__xludf.DUMMYFUNCTION("""COMPUTED_VALUE"""),"Радио, газеты, новости. ")</f>
        <v>Радио, газеты, новости. </v>
      </c>
      <c r="Q570" s="6" t="str">
        <f>IFERROR(__xludf.DUMMYFUNCTION("""COMPUTED_VALUE"""),"интервью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раз"&amp;"ные темы (напишите в разделе Другое свои предложения)")</f>
        <v>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570" s="6" t="str">
        <f>IFERROR(__xludf.DUMMYFUNCTION("""COMPUTED_VALUE"""),"Не один, кроме религиозных Ураза байрам и Курбан байрам")</f>
        <v>Не один, кроме религиозных Ураза байрам и Курбан байрам</v>
      </c>
      <c r="S570" s="6" t="str">
        <f>IFERROR(__xludf.DUMMYFUNCTION("""COMPUTED_VALUE"""),"Писал и расклеивал объявления/афиши")</f>
        <v>Писал и расклеивал объявления/афиши</v>
      </c>
      <c r="T570" s="6" t="str">
        <f>IFERROR(__xludf.DUMMYFUNCTION("""COMPUTED_VALUE"""),"Знаменит отравляющим ГРЕС в центре города,  пожаром в Зимней вишне, знаменит коррупцией, шахтерами.")</f>
        <v>Знаменит отравляющим ГРЕС в центре города,  пожаром в Зимней вишне, знаменит коррупцией, шахтерами.</v>
      </c>
      <c r="U570" s="6" t="str">
        <f>IFERROR(__xludf.DUMMYFUNCTION("""COMPUTED_VALUE"""),"Университеты, мечеть.")</f>
        <v>Университеты, мечеть.</v>
      </c>
      <c r="V570" s="6" t="str">
        <f>IFERROR(__xludf.DUMMYFUNCTION("""COMPUTED_VALUE"""),"Жили и трудились во благо обществу и духовным ценностям.")</f>
        <v>Жили и трудились во благо обществу и духовным ценностям.</v>
      </c>
      <c r="W570" s="6" t="str">
        <f>IFERROR(__xludf.DUMMYFUNCTION("""COMPUTED_VALUE"""),"Болеющий, трудящийся, желающий переехать в другой город.")</f>
        <v>Болеющий, трудящийся, желающий переехать в другой город.</v>
      </c>
      <c r="X570" s="6" t="str">
        <f>IFERROR(__xludf.DUMMYFUNCTION("""COMPUTED_VALUE"""),"От набережной, до кадетского корпуса, до мечети.")</f>
        <v>От набережной, до кадетского корпуса, до мечети.</v>
      </c>
      <c r="Y570" s="6" t="str">
        <f>IFERROR(__xludf.DUMMYFUNCTION("""COMPUTED_VALUE"""),"Построили мечеть!")</f>
        <v>Построили мечеть!</v>
      </c>
      <c r="Z570" s="6" t="str">
        <f>IFERROR(__xludf.DUMMYFUNCTION("""COMPUTED_VALUE"""),"Открытие кадетского училища, снятия карантинных мер.")</f>
        <v>Открытие кадетского училища, снятия карантинных мер.</v>
      </c>
      <c r="AA570" s="6" t="str">
        <f>IFERROR(__xludf.DUMMYFUNCTION("""COMPUTED_VALUE"""),"Расформирование бюджета, режим «чёрного неба» ")</f>
        <v>Расформирование бюджета, режим «чёрного неба» </v>
      </c>
      <c r="AB570" s="6" t="str">
        <f>IFERROR(__xludf.DUMMYFUNCTION("""COMPUTED_VALUE"""),"По борьбе за экологию, нравственность и здоровье граждан.")</f>
        <v>По борьбе за экологию, нравственность и здоровье граждан.</v>
      </c>
      <c r="AC570" s="6" t="str">
        <f>IFERROR(__xludf.DUMMYFUNCTION("""COMPUTED_VALUE"""),"Спортивные, религиозно духовно просветительские, мероприятия в сфере науки и улучшения экологии города")</f>
        <v>Спортивные, религиозно духовно просветительские, мероприятия в сфере науки и улучшения экологии города</v>
      </c>
      <c r="AD570"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Волонтер"&amp;"а: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570" s="6" t="str">
        <f>IFERROR(__xludf.DUMMYFUNCTION("""COMPUTED_VALUE"""),"Женский")</f>
        <v>Женский</v>
      </c>
      <c r="AF570" s="6" t="str">
        <f>IFERROR(__xludf.DUMMYFUNCTION("""COMPUTED_VALUE"""),"18-29")</f>
        <v>18-29</v>
      </c>
      <c r="AG570" s="6"/>
      <c r="AH570" s="6"/>
      <c r="AI570" s="6"/>
      <c r="AJ570" s="6"/>
      <c r="AK570" s="6"/>
      <c r="AL570" s="6"/>
      <c r="AM570" s="6"/>
    </row>
    <row r="571">
      <c r="A571" s="6">
        <v>570.0</v>
      </c>
      <c r="B571" s="6" t="str">
        <f>IFERROR(__xludf.DUMMYFUNCTION("""COMPUTED_VALUE"""),"Хореограф ")</f>
        <v>Хореограф </v>
      </c>
      <c r="C571" s="6" t="str">
        <f>IFERROR(__xludf.DUMMYFUNCTION("""COMPUTED_VALUE"""),"Танцы ")</f>
        <v>Танцы </v>
      </c>
      <c r="D571" s="6" t="str">
        <f>IFERROR(__xludf.DUMMYFUNCTION("""COMPUTED_VALUE"""),"Беловский район ")</f>
        <v>Беловский район </v>
      </c>
      <c r="E571" s="6" t="str">
        <f>IFERROR(__xludf.DUMMYFUNCTION("""COMPUTED_VALUE"""),"Нету ")</f>
        <v>Нету </v>
      </c>
      <c r="F571" s="6" t="str">
        <f>IFERROR(__xludf.DUMMYFUNCTION("""COMPUTED_VALUE"""),"Живу здесь с рождения")</f>
        <v>Живу здесь с рождения</v>
      </c>
      <c r="G571" s="6" t="str">
        <f>IFERROR(__xludf.DUMMYFUNCTION("""COMPUTED_VALUE"""),"Никуда ")</f>
        <v>Никуда </v>
      </c>
      <c r="H571" s="6" t="str">
        <f>IFERROR(__xludf.DUMMYFUNCTION("""COMPUTED_VALUE"""),"Нету ")</f>
        <v>Нету </v>
      </c>
      <c r="I571" s="6" t="str">
        <f>IFERROR(__xludf.DUMMYFUNCTION("""COMPUTED_VALUE"""),". ")</f>
        <v>. </v>
      </c>
      <c r="J571" s="6" t="str">
        <f>IFERROR(__xludf.DUMMYFUNCTION("""COMPUTED_VALUE"""),". ")</f>
        <v>. </v>
      </c>
      <c r="K571" s="6" t="str">
        <f>IFERROR(__xludf.DUMMYFUNCTION("""COMPUTED_VALUE"""),"Никаких")</f>
        <v>Никаких</v>
      </c>
      <c r="L571" s="6" t="str">
        <f>IFERROR(__xludf.DUMMYFUNCTION("""COMPUTED_VALUE"""),"Нету ")</f>
        <v>Нету </v>
      </c>
      <c r="M571" s="6" t="str">
        <f>IFERROR(__xludf.DUMMYFUNCTION("""COMPUTED_VALUE"""),"Нет ")</f>
        <v>Нет </v>
      </c>
      <c r="N571" s="6" t="str">
        <f>IFERROR(__xludf.DUMMYFUNCTION("""COMPUTED_VALUE"""),"Нету ")</f>
        <v>Нету </v>
      </c>
      <c r="O571" s="6" t="str">
        <f>IFERROR(__xludf.DUMMYFUNCTION("""COMPUTED_VALUE"""),"Людей ")</f>
        <v>Людей </v>
      </c>
      <c r="P571" s="6" t="str">
        <f>IFERROR(__xludf.DUMMYFUNCTION("""COMPUTED_VALUE"""),"СМИ ")</f>
        <v>СМИ </v>
      </c>
      <c r="Q571"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71" s="6" t="str">
        <f>IFERROR(__xludf.DUMMYFUNCTION("""COMPUTED_VALUE"""),"День шахтёра ")</f>
        <v>День шахтёра </v>
      </c>
      <c r="S571" s="6" t="str">
        <f>IFERROR(__xludf.DUMMYFUNCTION("""COMPUTED_VALUE"""),"Нет, не приходилось")</f>
        <v>Нет, не приходилось</v>
      </c>
      <c r="T571" s="6" t="str">
        <f>IFERROR(__xludf.DUMMYFUNCTION("""COMPUTED_VALUE"""),"Большой город ")</f>
        <v>Большой город </v>
      </c>
      <c r="U571" s="6" t="str">
        <f>IFERROR(__xludf.DUMMYFUNCTION("""COMPUTED_VALUE"""),"Ничего ")</f>
        <v>Ничего </v>
      </c>
      <c r="V571" s="6" t="str">
        <f>IFERROR(__xludf.DUMMYFUNCTION("""COMPUTED_VALUE"""),"Ничего ")</f>
        <v>Ничего </v>
      </c>
      <c r="W571" s="6" t="str">
        <f>IFERROR(__xludf.DUMMYFUNCTION("""COMPUTED_VALUE"""),"Простые люди ")</f>
        <v>Простые люди </v>
      </c>
      <c r="X571" s="6" t="str">
        <f>IFERROR(__xludf.DUMMYFUNCTION("""COMPUTED_VALUE"""),"До кинотеатра ")</f>
        <v>До кинотеатра </v>
      </c>
      <c r="Y571" s="6" t="str">
        <f>IFERROR(__xludf.DUMMYFUNCTION("""COMPUTED_VALUE"""),"Не знаю ")</f>
        <v>Не знаю </v>
      </c>
      <c r="Z571" s="6" t="str">
        <f>IFERROR(__xludf.DUMMYFUNCTION("""COMPUTED_VALUE"""),"Никакие ")</f>
        <v>Никакие </v>
      </c>
      <c r="AA571" s="6" t="str">
        <f>IFERROR(__xludf.DUMMYFUNCTION("""COMPUTED_VALUE"""),"Никакие ")</f>
        <v>Никакие </v>
      </c>
      <c r="AB571" s="6" t="str">
        <f>IFERROR(__xludf.DUMMYFUNCTION("""COMPUTED_VALUE"""),"Никаких ")</f>
        <v>Никаких </v>
      </c>
      <c r="AC571" s="6" t="str">
        <f>IFERROR(__xludf.DUMMYFUNCTION("""COMPUTED_VALUE"""),"Нет ")</f>
        <v>Нет </v>
      </c>
      <c r="AD571"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571" s="6" t="str">
        <f>IFERROR(__xludf.DUMMYFUNCTION("""COMPUTED_VALUE"""),"Женский")</f>
        <v>Женский</v>
      </c>
      <c r="AF571" s="6" t="str">
        <f>IFERROR(__xludf.DUMMYFUNCTION("""COMPUTED_VALUE"""),"18-29")</f>
        <v>18-29</v>
      </c>
      <c r="AG571" s="6"/>
      <c r="AH571" s="6"/>
      <c r="AI571" s="6"/>
      <c r="AJ571" s="6"/>
      <c r="AK571" s="6"/>
      <c r="AL571" s="6"/>
      <c r="AM571" s="6"/>
    </row>
    <row r="572">
      <c r="A572" s="6">
        <v>571.0</v>
      </c>
      <c r="B572" s="6" t="str">
        <f>IFERROR(__xludf.DUMMYFUNCTION("""COMPUTED_VALUE"""),"Работа в ДК")</f>
        <v>Работа в ДК</v>
      </c>
      <c r="C572" s="6" t="str">
        <f>IFERROR(__xludf.DUMMYFUNCTION("""COMPUTED_VALUE"""),"Музыка")</f>
        <v>Музыка</v>
      </c>
      <c r="D572" s="6" t="str">
        <f>IFERROR(__xludf.DUMMYFUNCTION("""COMPUTED_VALUE"""),"г. Белово")</f>
        <v>г. Белово</v>
      </c>
      <c r="E572" s="6" t="str">
        <f>IFERROR(__xludf.DUMMYFUNCTION("""COMPUTED_VALUE"""),"-")</f>
        <v>-</v>
      </c>
      <c r="F572" s="6" t="str">
        <f>IFERROR(__xludf.DUMMYFUNCTION("""COMPUTED_VALUE"""),"Живу здесь с рождения")</f>
        <v>Живу здесь с рождения</v>
      </c>
      <c r="G572" s="6" t="str">
        <f>IFERROR(__xludf.DUMMYFUNCTION("""COMPUTED_VALUE"""),"-")</f>
        <v>-</v>
      </c>
      <c r="H572" s="6" t="str">
        <f>IFERROR(__xludf.DUMMYFUNCTION("""COMPUTED_VALUE"""),"-")</f>
        <v>-</v>
      </c>
      <c r="I572" s="6" t="str">
        <f>IFERROR(__xludf.DUMMYFUNCTION("""COMPUTED_VALUE"""),"-")</f>
        <v>-</v>
      </c>
      <c r="J572" s="6" t="str">
        <f>IFERROR(__xludf.DUMMYFUNCTION("""COMPUTED_VALUE"""),"-")</f>
        <v>-</v>
      </c>
      <c r="K572" s="6" t="str">
        <f>IFERROR(__xludf.DUMMYFUNCTION("""COMPUTED_VALUE"""),"-")</f>
        <v>-</v>
      </c>
      <c r="L572" s="6" t="str">
        <f>IFERROR(__xludf.DUMMYFUNCTION("""COMPUTED_VALUE"""),"-")</f>
        <v>-</v>
      </c>
      <c r="M572" s="6" t="str">
        <f>IFERROR(__xludf.DUMMYFUNCTION("""COMPUTED_VALUE"""),"-")</f>
        <v>-</v>
      </c>
      <c r="N572" s="6" t="str">
        <f>IFERROR(__xludf.DUMMYFUNCTION("""COMPUTED_VALUE"""),"-")</f>
        <v>-</v>
      </c>
      <c r="O572" s="6" t="str">
        <f>IFERROR(__xludf.DUMMYFUNCTION("""COMPUTED_VALUE"""),"-")</f>
        <v>-</v>
      </c>
      <c r="P572" s="6" t="str">
        <f>IFERROR(__xludf.DUMMYFUNCTION("""COMPUTED_VALUE"""),"ВК")</f>
        <v>ВК</v>
      </c>
      <c r="Q572" s="6" t="str">
        <f>IFERROR(__xludf.DUMMYFUNCTION("""COMPUTED_VALUE"""),"городская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572" s="6" t="str">
        <f>IFERROR(__xludf.DUMMYFUNCTION("""COMPUTED_VALUE"""),"-")</f>
        <v>-</v>
      </c>
      <c r="S572" s="6" t="str">
        <f>IFERROR(__xludf.DUMMYFUNCTION("""COMPUTED_VALUE"""),"Писал и расклеивал объявления/афиши, 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f>
        <v>Писал и расклеивал объявления/афиши, 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v>
      </c>
      <c r="T572" s="6" t="str">
        <f>IFERROR(__xludf.DUMMYFUNCTION("""COMPUTED_VALUE"""),"-")</f>
        <v>-</v>
      </c>
      <c r="U572" s="6" t="str">
        <f>IFERROR(__xludf.DUMMYFUNCTION("""COMPUTED_VALUE"""),"-")</f>
        <v>-</v>
      </c>
      <c r="V572" s="6" t="str">
        <f>IFERROR(__xludf.DUMMYFUNCTION("""COMPUTED_VALUE"""),"-")</f>
        <v>-</v>
      </c>
      <c r="W572" s="6" t="str">
        <f>IFERROR(__xludf.DUMMYFUNCTION("""COMPUTED_VALUE"""),"-")</f>
        <v>-</v>
      </c>
      <c r="X572" s="6" t="str">
        <f>IFERROR(__xludf.DUMMYFUNCTION("""COMPUTED_VALUE"""),"-")</f>
        <v>-</v>
      </c>
      <c r="Y572" s="6" t="str">
        <f>IFERROR(__xludf.DUMMYFUNCTION("""COMPUTED_VALUE"""),"-")</f>
        <v>-</v>
      </c>
      <c r="Z572" s="6" t="str">
        <f>IFERROR(__xludf.DUMMYFUNCTION("""COMPUTED_VALUE"""),"-")</f>
        <v>-</v>
      </c>
      <c r="AA572" s="6" t="str">
        <f>IFERROR(__xludf.DUMMYFUNCTION("""COMPUTED_VALUE"""),"-")</f>
        <v>-</v>
      </c>
      <c r="AB572" s="6" t="str">
        <f>IFERROR(__xludf.DUMMYFUNCTION("""COMPUTED_VALUE"""),"-")</f>
        <v>-</v>
      </c>
      <c r="AC572" s="6" t="str">
        <f>IFERROR(__xludf.DUMMYFUNCTION("""COMPUTED_VALUE"""),"-")</f>
        <v>-</v>
      </c>
      <c r="AD57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572" s="6" t="str">
        <f>IFERROR(__xludf.DUMMYFUNCTION("""COMPUTED_VALUE"""),"Женский")</f>
        <v>Женский</v>
      </c>
      <c r="AF572" s="6" t="str">
        <f>IFERROR(__xludf.DUMMYFUNCTION("""COMPUTED_VALUE"""),"18-29")</f>
        <v>18-29</v>
      </c>
      <c r="AG572" s="6"/>
      <c r="AH572" s="6"/>
      <c r="AI572" s="6"/>
      <c r="AJ572" s="6"/>
      <c r="AK572" s="6"/>
      <c r="AL572" s="6"/>
      <c r="AM572" s="6"/>
    </row>
    <row r="573">
      <c r="A573" s="6">
        <v>572.0</v>
      </c>
      <c r="B573" s="6" t="str">
        <f>IFERROR(__xludf.DUMMYFUNCTION("""COMPUTED_VALUE"""),"Маркетинг и пиар")</f>
        <v>Маркетинг и пиар</v>
      </c>
      <c r="C573" s="6" t="str">
        <f>IFERROR(__xludf.DUMMYFUNCTION("""COMPUTED_VALUE"""),"Пишу рассказы, веду блог")</f>
        <v>Пишу рассказы, веду блог</v>
      </c>
      <c r="D573" s="6" t="str">
        <f>IFERROR(__xludf.DUMMYFUNCTION("""COMPUTED_VALUE"""),"Выросла на Южном, до отъезда из города жила на Радуге")</f>
        <v>Выросла на Южном, до отъезда из города жила на Радуге</v>
      </c>
      <c r="E573" s="6" t="str">
        <f>IFERROR(__xludf.DUMMYFUNCTION("""COMPUTED_VALUE"""),"ул. Весенняя, Драмтеатр, Набережная, Горсад (он же Парк Чудес), Красная Горка, Бульвар Строителей, бор")</f>
        <v>ул. Весенняя, Драмтеатр, Набережная, Горсад (он же Парк Чудес), Красная Горка, Бульвар Строителей, бор</v>
      </c>
      <c r="F573" s="6" t="str">
        <f>IFERROR(__xludf.DUMMYFUNCTION("""COMPUTED_VALUE"""),"Не живу,но приезжаю сюда (к родственникам/друзьям)")</f>
        <v>Не живу,но приезжаю сюда (к родственникам/друзьям)</v>
      </c>
      <c r="G573" s="6" t="str">
        <f>IFERROR(__xludf.DUMMYFUNCTION("""COMPUTED_VALUE"""),"Гуляю по центру или в бору на Радуге")</f>
        <v>Гуляю по центру или в бору на Радуге</v>
      </c>
      <c r="H573" s="6" t="str">
        <f>IFERROR(__xludf.DUMMYFUNCTION("""COMPUTED_VALUE"""),"Томь, шахтеры, Драмтеатр, липы, Красная горка")</f>
        <v>Томь, шахтеры, Драмтеатр, липы, Красная горка</v>
      </c>
      <c r="I573" s="6" t="str">
        <f>IFERROR(__xludf.DUMMYFUNCTION("""COMPUTED_VALUE"""),"Подгорбунский, Рутгерс, Леонов (почему-то))")</f>
        <v>Подгорбунский, Рутгерс, Леонов (почему-то))</v>
      </c>
      <c r="J573" s="6" t="str">
        <f>IFERROR(__xludf.DUMMYFUNCTION("""COMPUTED_VALUE"""),"Евгений Гришковец, Евгений Сытый, Владимир Михайлов")</f>
        <v>Евгений Гришковец, Евгений Сытый, Владимир Михайлов</v>
      </c>
      <c r="K573" s="6" t="str">
        <f>IFERROR(__xludf.DUMMYFUNCTION("""COMPUTED_VALUE"""),"Памятник шахтёрам Э.Неизвестного, музей ""Красная горка"", центр города, Парк Чудес, бульвар Строителей, бульвар Патриотов")</f>
        <v>Памятник шахтёрам Э.Неизвестного, музей "Красная горка", центр города, Парк Чудес, бульвар Строителей, бульвар Патриотов</v>
      </c>
      <c r="L573" s="6" t="str">
        <f>IFERROR(__xludf.DUMMYFUNCTION("""COMPUTED_VALUE"""),"Ничего на ум не приходит, кроме строчки из песни Гребенщикова: ""Он придёт и решит всё - человека из Кеееемерова"":))")</f>
        <v>Ничего на ум не приходит, кроме строчки из песни Гребенщикова: "Он придёт и решит всё - человека из Кеееемерова":))</v>
      </c>
      <c r="M573" s="6" t="str">
        <f>IFERROR(__xludf.DUMMYFUNCTION("""COMPUTED_VALUE"""),"По дороге съешь ""Подорожник"":)")</f>
        <v>По дороге съешь "Подорожник":)</v>
      </c>
      <c r="N573" s="6" t="str">
        <f>IFERROR(__xludf.DUMMYFUNCTION("""COMPUTED_VALUE"""),"Состояние дорог, развитый общественный транспорт, проведение интересных общественных мероприятий, работа с сообществами и активистами, большое количество мест для прогулок и досуга")</f>
        <v>Состояние дорог, развитый общественный транспорт, проведение интересных общественных мероприятий, работа с сообществами и активистами, большое количество мест для прогулок и досуга</v>
      </c>
      <c r="O573" s="6" t="str">
        <f>IFERROR(__xludf.DUMMYFUNCTION("""COMPUTED_VALUE"""),"Снести частный сектор на Сибиряков-Гвардейцев")</f>
        <v>Снести частный сектор на Сибиряков-Гвардейцев</v>
      </c>
      <c r="P573" s="7" t="str">
        <f>IFERROR(__xludf.DUMMYFUNCTION("""COMPUTED_VALUE"""),"a42.ru")</f>
        <v>a42.ru</v>
      </c>
      <c r="Q573"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573" s="6" t="str">
        <f>IFERROR(__xludf.DUMMYFUNCTION("""COMPUTED_VALUE"""),"Парад на 9 мая, мне лично очень значимым мероприятием показался фестиваль Детализация. Для кемеровчан важен День шахтёра.")</f>
        <v>Парад на 9 мая, мне лично очень значимым мероприятием показался фестиваль Детализация. Для кемеровчан важен День шахтёра.</v>
      </c>
      <c r="S573" s="6" t="str">
        <f>IFERROR(__xludf.DUMMYFUNCTION("""COMPUTED_VALUE"""),"Обращался в редакции электронных городских СМИ")</f>
        <v>Обращался в редакции электронных городских СМИ</v>
      </c>
      <c r="T573" s="6" t="str">
        <f>IFERROR(__xludf.DUMMYFUNCTION("""COMPUTED_VALUE"""),"Мне кажется, это два разных вопроса. Известен Кемерово своими творческими личностями, Гришковец много сделал для того, чтобы слово ""Кемерово"" было на слуху. Но также город известен пожаром в ""Зимней вишне"" и недавним убийством девушки, к сожалению. Дл"&amp;"я жителей и гостей он уникален тем, что это очень просторный и с понятной структурой город, с богатой историей, несмотря на его молодость.")</f>
        <v>Мне кажется, это два разных вопроса. Известен Кемерово своими творческими личностями, Гришковец много сделал для того, чтобы слово "Кемерово" было на слуху. Но также город известен пожаром в "Зимней вишне" и недавним убийством девушки, к сожалению. Для жителей и гостей он уникален тем, что это очень просторный и с понятной структурой город, с богатой историей, несмотря на его молодость.</v>
      </c>
      <c r="U573" s="6" t="str">
        <f>IFERROR(__xludf.DUMMYFUNCTION("""COMPUTED_VALUE"""),"Драмтеатр и фонтан.")</f>
        <v>Драмтеатр и фонтан.</v>
      </c>
      <c r="V573" s="6" t="str">
        <f>IFERROR(__xludf.DUMMYFUNCTION("""COMPUTED_VALUE"""),"В начале 20-го века кемеровчане построили несколько промышленных предприятий в черте города (вернее, город вокруг этих предприятий). Тогда они этим гордились, сейчас это большой вопрос. Про современность не знаю, что ответить.")</f>
        <v>В начале 20-го века кемеровчане построили несколько промышленных предприятий в черте города (вернее, город вокруг этих предприятий). Тогда они этим гордились, сейчас это большой вопрос. Про современность не знаю, что ответить.</v>
      </c>
      <c r="W573" s="6" t="str">
        <f>IFERROR(__xludf.DUMMYFUNCTION("""COMPUTED_VALUE"""),"Добрые, но сдержанные в проявлении чувств люди. Суровые иногда. Разносторонние, интересные, много интеллектуалов. Когда я уехала из Кемерова, я поняла, что кемеровчане - очень профессиональные и ответственные люди, упорные в достижении целей. Кемеровчане "&amp;"любят свой город, даже когда уезжают, не говорят о нём плохо. ")</f>
        <v>Добрые, но сдержанные в проявлении чувств люди. Суровые иногда. Разносторонние, интересные, много интеллектуалов. Когда я уехала из Кемерова, я поняла, что кемеровчане - очень профессиональные и ответственные люди, упорные в достижении целей. Кемеровчане любят свой город, даже когда уезжают, не говорят о нём плохо. </v>
      </c>
      <c r="X573" s="6" t="str">
        <f>IFERROR(__xludf.DUMMYFUNCTION("""COMPUTED_VALUE"""),"От гостиницы ""Томь"" до Вечного Огня, потом по Весенней до пр. Советского, а там направо - и до Парка Чудес. Оттуда можно направиться уже на правый берег Томи - к памятнику погибшим шахтёрам и в музей Красная Горка.")</f>
        <v>От гостиницы "Томь" до Вечного Огня, потом по Весенней до пр. Советского, а там направо - и до Парка Чудес. Оттуда можно направиться уже на правый берег Томи - к памятнику погибшим шахтёрам и в музей Красная Горка.</v>
      </c>
      <c r="Y573" s="6" t="str">
        <f>IFERROR(__xludf.DUMMYFUNCTION("""COMPUTED_VALUE"""),"не знаю")</f>
        <v>не знаю</v>
      </c>
      <c r="Z573" s="6" t="str">
        <f>IFERROR(__xludf.DUMMYFUNCTION("""COMPUTED_VALUE"""),"Открытие филиала Русского музея")</f>
        <v>Открытие филиала Русского музея</v>
      </c>
      <c r="AA573" s="6" t="str">
        <f>IFERROR(__xludf.DUMMYFUNCTION("""COMPUTED_VALUE"""),"Негодование вызвало именно убийство девушки, на которое не приехала полиция. И то, какую огласку получило это преступление, снова Кемерово как столица ужаса какая-то в СМИ.")</f>
        <v>Негодование вызвало именно убийство девушки, на которое не приехала полиция. И то, какую огласку получило это преступление, снова Кемерово как столица ужаса какая-то в СМИ.</v>
      </c>
      <c r="AB573" s="6" t="str">
        <f>IFERROR(__xludf.DUMMYFUNCTION("""COMPUTED_VALUE"""),"чего-нибудь для пенсионеров")</f>
        <v>чего-нибудь для пенсионеров</v>
      </c>
      <c r="AC573" s="6" t="str">
        <f>IFERROR(__xludf.DUMMYFUNCTION("""COMPUTED_VALUE"""),"Летний городской фестиваль")</f>
        <v>Летний городской фестиваль</v>
      </c>
      <c r="AD573"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573" s="6" t="str">
        <f>IFERROR(__xludf.DUMMYFUNCTION("""COMPUTED_VALUE"""),"Женский")</f>
        <v>Женский</v>
      </c>
      <c r="AF573" s="6" t="str">
        <f>IFERROR(__xludf.DUMMYFUNCTION("""COMPUTED_VALUE"""),"30-44")</f>
        <v>30-44</v>
      </c>
      <c r="AG573" s="6"/>
      <c r="AH573" s="6"/>
      <c r="AI573" s="6"/>
      <c r="AJ573" s="6"/>
      <c r="AK573" s="6"/>
      <c r="AL573" s="6"/>
      <c r="AM573" s="6"/>
    </row>
    <row r="574">
      <c r="A574" s="6">
        <v>573.0</v>
      </c>
      <c r="B574" s="6" t="str">
        <f>IFERROR(__xludf.DUMMYFUNCTION("""COMPUTED_VALUE"""),"преподаватель")</f>
        <v>преподаватель</v>
      </c>
      <c r="C574" s="6" t="str">
        <f>IFERROR(__xludf.DUMMYFUNCTION("""COMPUTED_VALUE"""),"нет")</f>
        <v>нет</v>
      </c>
      <c r="D574" s="6" t="str">
        <f>IFERROR(__xludf.DUMMYFUNCTION("""COMPUTED_VALUE"""),"живу в Белово")</f>
        <v>живу в Белово</v>
      </c>
      <c r="E574" s="6" t="str">
        <f>IFERROR(__xludf.DUMMYFUNCTION("""COMPUTED_VALUE"""),"город плохо знаю")</f>
        <v>город плохо знаю</v>
      </c>
      <c r="F574" s="6" t="str">
        <f>IFERROR(__xludf.DUMMYFUNCTION("""COMPUTED_VALUE"""),"Бываю как турист")</f>
        <v>Бываю как турист</v>
      </c>
      <c r="G574" s="6" t="str">
        <f>IFERROR(__xludf.DUMMYFUNCTION("""COMPUTED_VALUE"""),"на набережную")</f>
        <v>на набережную</v>
      </c>
      <c r="H574" s="6" t="str">
        <f>IFERROR(__xludf.DUMMYFUNCTION("""COMPUTED_VALUE"""),"филармония, драмтеатр, музыкальный театр, цирк")</f>
        <v>филармония, драмтеатр, музыкальный театр, цирк</v>
      </c>
      <c r="I574" s="6" t="str">
        <f>IFERROR(__xludf.DUMMYFUNCTION("""COMPUTED_VALUE"""),"не знаю")</f>
        <v>не знаю</v>
      </c>
      <c r="J574" s="6" t="str">
        <f>IFERROR(__xludf.DUMMYFUNCTION("""COMPUTED_VALUE"""),"не знаю")</f>
        <v>не знаю</v>
      </c>
      <c r="K574" s="6" t="str">
        <f>IFERROR(__xludf.DUMMYFUNCTION("""COMPUTED_VALUE"""),"Томскую писаницу")</f>
        <v>Томскую писаницу</v>
      </c>
      <c r="L574" s="6" t="str">
        <f>IFERROR(__xludf.DUMMYFUNCTION("""COMPUTED_VALUE"""),"не знаю")</f>
        <v>не знаю</v>
      </c>
      <c r="M574" s="6" t="str">
        <f>IFERROR(__xludf.DUMMYFUNCTION("""COMPUTED_VALUE"""),"нет")</f>
        <v>нет</v>
      </c>
      <c r="N574" s="6" t="str">
        <f>IFERROR(__xludf.DUMMYFUNCTION("""COMPUTED_VALUE"""),"чистота, доброжелательность жителей")</f>
        <v>чистота, доброжелательность жителей</v>
      </c>
      <c r="O574" s="6" t="str">
        <f>IFERROR(__xludf.DUMMYFUNCTION("""COMPUTED_VALUE"""),"не знаю")</f>
        <v>не знаю</v>
      </c>
      <c r="P574" s="6" t="str">
        <f>IFERROR(__xludf.DUMMYFUNCTION("""COMPUTED_VALUE"""),"газета Кузбасс, новости, инстаграмм")</f>
        <v>газета Кузбасс, новости, инстаграмм</v>
      </c>
      <c r="Q574" s="6" t="str">
        <f>IFERROR(__xludf.DUMMYFUNCTION("""COMPUTED_VALUE"""),"культурные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f>
        <v>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574" s="6" t="str">
        <f>IFERROR(__xludf.DUMMYFUNCTION("""COMPUTED_VALUE"""),"я не местная")</f>
        <v>я не местная</v>
      </c>
      <c r="S574" s="6" t="str">
        <f>IFERROR(__xludf.DUMMYFUNCTION("""COMPUTED_VALUE"""),"Нет, не приходилось")</f>
        <v>Нет, не приходилось</v>
      </c>
      <c r="T574" s="6" t="str">
        <f>IFERROR(__xludf.DUMMYFUNCTION("""COMPUTED_VALUE"""),"столица Кузбасса")</f>
        <v>столица Кузбасса</v>
      </c>
      <c r="U574" s="6" t="str">
        <f>IFERROR(__xludf.DUMMYFUNCTION("""COMPUTED_VALUE"""),"не знаю")</f>
        <v>не знаю</v>
      </c>
      <c r="V574" s="6" t="str">
        <f>IFERROR(__xludf.DUMMYFUNCTION("""COMPUTED_VALUE"""),"не в курсе")</f>
        <v>не в курсе</v>
      </c>
      <c r="W574" s="6" t="str">
        <f>IFERROR(__xludf.DUMMYFUNCTION("""COMPUTED_VALUE"""),"не знаю")</f>
        <v>не знаю</v>
      </c>
      <c r="X574" s="6" t="str">
        <f>IFERROR(__xludf.DUMMYFUNCTION("""COMPUTED_VALUE"""),"не знаю")</f>
        <v>не знаю</v>
      </c>
      <c r="Y574" s="6" t="str">
        <f>IFERROR(__xludf.DUMMYFUNCTION("""COMPUTED_VALUE"""),"я с юга Кузбасса")</f>
        <v>я с юга Кузбасса</v>
      </c>
      <c r="Z574" s="6" t="str">
        <f>IFERROR(__xludf.DUMMYFUNCTION("""COMPUTED_VALUE"""),"строится культурный кластер")</f>
        <v>строится культурный кластер</v>
      </c>
      <c r="AA574" s="6" t="str">
        <f>IFERROR(__xludf.DUMMYFUNCTION("""COMPUTED_VALUE"""),"Зимняя вишня  - пожар")</f>
        <v>Зимняя вишня  - пожар</v>
      </c>
      <c r="AB574" s="6" t="str">
        <f>IFERROR(__xludf.DUMMYFUNCTION("""COMPUTED_VALUE"""),"не знаю")</f>
        <v>не знаю</v>
      </c>
      <c r="AC574" s="6" t="str">
        <f>IFERROR(__xludf.DUMMYFUNCTION("""COMPUTED_VALUE"""),"если будут рабочие места, то люди будут жить в городе")</f>
        <v>если будут рабочие места, то люди будут жить в городе</v>
      </c>
      <c r="AD57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74" s="6" t="str">
        <f>IFERROR(__xludf.DUMMYFUNCTION("""COMPUTED_VALUE"""),"Женский")</f>
        <v>Женский</v>
      </c>
      <c r="AF574" s="6" t="str">
        <f>IFERROR(__xludf.DUMMYFUNCTION("""COMPUTED_VALUE"""),"старше 55")</f>
        <v>старше 55</v>
      </c>
      <c r="AG574" s="6"/>
      <c r="AH574" s="6"/>
      <c r="AI574" s="6"/>
      <c r="AJ574" s="6"/>
      <c r="AK574" s="6"/>
      <c r="AL574" s="6"/>
      <c r="AM574" s="6"/>
    </row>
    <row r="575">
      <c r="A575" s="6">
        <v>574.0</v>
      </c>
      <c r="B575" s="6" t="str">
        <f>IFERROR(__xludf.DUMMYFUNCTION("""COMPUTED_VALUE"""),"Работник культуры ")</f>
        <v>Работник культуры </v>
      </c>
      <c r="C575" s="6" t="str">
        <f>IFERROR(__xludf.DUMMYFUNCTION("""COMPUTED_VALUE"""),"Рисование ")</f>
        <v>Рисование </v>
      </c>
      <c r="D575" s="6" t="str">
        <f>IFERROR(__xludf.DUMMYFUNCTION("""COMPUTED_VALUE"""),"Белово ")</f>
        <v>Белово </v>
      </c>
      <c r="E575" s="6" t="str">
        <f>IFERROR(__xludf.DUMMYFUNCTION("""COMPUTED_VALUE"""),"Памятный знак в честь Алексея Котегова, в микрорайоне 8Марта ")</f>
        <v>Памятный знак в честь Алексея Котегова, в микрорайоне 8Марта </v>
      </c>
      <c r="F575" s="6" t="str">
        <f>IFERROR(__xludf.DUMMYFUNCTION("""COMPUTED_VALUE"""),"Живу здесь с рождения")</f>
        <v>Живу здесь с рождения</v>
      </c>
      <c r="G575" s="6" t="str">
        <f>IFERROR(__xludf.DUMMYFUNCTION("""COMPUTED_VALUE"""),"Сплю")</f>
        <v>Сплю</v>
      </c>
      <c r="H575" s="6" t="str">
        <f>IFERROR(__xludf.DUMMYFUNCTION("""COMPUTED_VALUE"""),"Город шахтерский с названием белым, славен в Кузбассе и словом и делом. В центре Кузбасса встал на ноги прочно. Город Белово - не бело-молочный! Шахты, заводы, таков здесь набор. Город в спецовке, город-шахтер!!!")</f>
        <v>Город шахтерский с названием белым, славен в Кузбассе и словом и делом. В центре Кузбасса встал на ноги прочно. Город Белово - не бело-молочный! Шахты, заводы, таков здесь набор. Город в спецовке, город-шахтер!!!</v>
      </c>
      <c r="I575" s="6" t="str">
        <f>IFERROR(__xludf.DUMMYFUNCTION("""COMPUTED_VALUE"""),"Фёдор Белов, Николай Яковлевич Козленко, Александр Курицин, герой Советского союза Алексей Котегов")</f>
        <v>Фёдор Белов, Николай Яковлевич Козленко, Александр Курицин, герой Советского союза Алексей Котегов</v>
      </c>
      <c r="J575" s="6" t="str">
        <f>IFERROR(__xludf.DUMMYFUNCTION("""COMPUTED_VALUE"""),"Аман Гумирович Тулеев")</f>
        <v>Аман Гумирович Тулеев</v>
      </c>
      <c r="K575" s="6" t="str">
        <f>IFERROR(__xludf.DUMMYFUNCTION("""COMPUTED_VALUE"""),"Мемориальный знак имени Алексея Котегова героя Советского союза. Микрорайон 8Марта ")</f>
        <v>Мемориальный знак имени Алексея Котегова героя Советского союза. Микрорайон 8Марта </v>
      </c>
      <c r="L575" s="6" t="str">
        <f>IFERROR(__xludf.DUMMYFUNCTION("""COMPUTED_VALUE"""),"Город наш посередине, у Кузбасса на груди. И идут через Белово все дороги и пути")</f>
        <v>Город наш посередине, у Кузбасса на груди. И идут через Белово все дороги и пути</v>
      </c>
      <c r="M575" s="6" t="str">
        <f>IFERROR(__xludf.DUMMYFUNCTION("""COMPUTED_VALUE"""),"Нет")</f>
        <v>Нет</v>
      </c>
      <c r="N575" s="6" t="str">
        <f>IFERROR(__xludf.DUMMYFUNCTION("""COMPUTED_VALUE"""),"Дороги, качественные коммунальные услуги и их цена, Культурная среда, доступные цены на товары,продукты")</f>
        <v>Дороги, качественные коммунальные услуги и их цена, Культурная среда, доступные цены на товары,продукты</v>
      </c>
      <c r="O575" s="6" t="str">
        <f>IFERROR(__xludf.DUMMYFUNCTION("""COMPUTED_VALUE"""),"Экологию")</f>
        <v>Экологию</v>
      </c>
      <c r="P575" s="6" t="str">
        <f>IFERROR(__xludf.DUMMYFUNCTION("""COMPUTED_VALUE"""),"Социальные сети")</f>
        <v>Социальные сети</v>
      </c>
      <c r="Q575" s="6" t="str">
        <f>IFERROR(__xludf.DUMMYFUNCTION("""COMPUTED_VALUE"""),"культурные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ра"&amp;"зные темы (напишите в разделе Другое свои предложения)")</f>
        <v>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575" s="6" t="str">
        <f>IFERROR(__xludf.DUMMYFUNCTION("""COMPUTED_VALUE"""),"День шахтёра!!!!")</f>
        <v>День шахтёра!!!!</v>
      </c>
      <c r="S575" s="6" t="str">
        <f>IFERROR(__xludf.DUMMYFUNCTION("""COMPUTED_VALUE"""),"Участие - непосредственно ")</f>
        <v>Участие - непосредственно </v>
      </c>
      <c r="T575" s="6" t="str">
        <f>IFERROR(__xludf.DUMMYFUNCTION("""COMPUTED_VALUE"""),"---")</f>
        <v>---</v>
      </c>
      <c r="U575" s="6" t="str">
        <f>IFERROR(__xludf.DUMMYFUNCTION("""COMPUTED_VALUE"""),"Парки, учреждения культуры ")</f>
        <v>Парки, учреждения культуры </v>
      </c>
      <c r="V575" s="6" t="str">
        <f>IFERROR(__xludf.DUMMYFUNCTION("""COMPUTED_VALUE"""),"---")</f>
        <v>---</v>
      </c>
      <c r="W575" s="6" t="str">
        <f>IFERROR(__xludf.DUMMYFUNCTION("""COMPUTED_VALUE"""),"Добрые")</f>
        <v>Добрые</v>
      </c>
      <c r="X575" s="6" t="str">
        <f>IFERROR(__xludf.DUMMYFUNCTION("""COMPUTED_VALUE"""),"---")</f>
        <v>---</v>
      </c>
      <c r="Y575" s="6" t="str">
        <f>IFERROR(__xludf.DUMMYFUNCTION("""COMPUTED_VALUE"""),"Трагедия в ТЦ Зимняя вишня")</f>
        <v>Трагедия в ТЦ Зимняя вишня</v>
      </c>
      <c r="Z575" s="6" t="str">
        <f>IFERROR(__xludf.DUMMYFUNCTION("""COMPUTED_VALUE"""),"---")</f>
        <v>---</v>
      </c>
      <c r="AA575" s="6" t="str">
        <f>IFERROR(__xludf.DUMMYFUNCTION("""COMPUTED_VALUE"""),"Карантин")</f>
        <v>Карантин</v>
      </c>
      <c r="AB575" s="6" t="str">
        <f>IFERROR(__xludf.DUMMYFUNCTION("""COMPUTED_VALUE"""),"Достаточно ")</f>
        <v>Достаточно </v>
      </c>
      <c r="AC575" s="6" t="str">
        <f>IFERROR(__xludf.DUMMYFUNCTION("""COMPUTED_VALUE"""),"---")</f>
        <v>---</v>
      </c>
      <c r="AD57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75" s="6" t="str">
        <f>IFERROR(__xludf.DUMMYFUNCTION("""COMPUTED_VALUE"""),"Женский")</f>
        <v>Женский</v>
      </c>
      <c r="AF575" s="6" t="str">
        <f>IFERROR(__xludf.DUMMYFUNCTION("""COMPUTED_VALUE"""),"30-44")</f>
        <v>30-44</v>
      </c>
      <c r="AG575" s="6"/>
      <c r="AH575" s="6"/>
      <c r="AI575" s="6"/>
      <c r="AJ575" s="6"/>
      <c r="AK575" s="6"/>
      <c r="AL575" s="6"/>
      <c r="AM575" s="6"/>
    </row>
    <row r="576">
      <c r="A576" s="6">
        <v>575.0</v>
      </c>
      <c r="B576" s="6" t="str">
        <f>IFERROR(__xludf.DUMMYFUNCTION("""COMPUTED_VALUE"""),"работающий, культурой")</f>
        <v>работающий, культурой</v>
      </c>
      <c r="C576" s="6" t="str">
        <f>IFERROR(__xludf.DUMMYFUNCTION("""COMPUTED_VALUE"""),"декоративно прикладное творчество и пение")</f>
        <v>декоративно прикладное творчество и пение</v>
      </c>
      <c r="D576" s="6" t="str">
        <f>IFERROR(__xludf.DUMMYFUNCTION("""COMPUTED_VALUE"""),"Микрорайн Телеут. ")</f>
        <v>Микрорайн Телеут. </v>
      </c>
      <c r="E576" s="6" t="str">
        <f>IFERROR(__xludf.DUMMYFUNCTION("""COMPUTED_VALUE"""),"национальный телеутский клуб")</f>
        <v>национальный телеутский клуб</v>
      </c>
      <c r="F576" s="6" t="str">
        <f>IFERROR(__xludf.DUMMYFUNCTION("""COMPUTED_VALUE"""),"Приезжаю на сессию, или на конкурсы")</f>
        <v>Приезжаю на сессию, или на конкурсы</v>
      </c>
      <c r="G576" s="6" t="str">
        <f>IFERROR(__xludf.DUMMYFUNCTION("""COMPUTED_VALUE"""),"Мемориал Славы воинов-кузбасса, Краеведческий музей, музей изобразительного искусства, Областной театр драмы, Театр кукол, Красная гора, парк Победы им.Жукова и т.д. ")</f>
        <v>Мемориал Славы воинов-кузбасса, Краеведческий музей, музей изобразительного искусства, Областной театр драмы, Театр кукол, Красная гора, парк Победы им.Жукова и т.д. </v>
      </c>
      <c r="H576" s="6" t="str">
        <f>IFERROR(__xludf.DUMMYFUNCTION("""COMPUTED_VALUE"""),"Красивый, торговый, Обь, центр, природа")</f>
        <v>Красивый, торговый, Обь, центр, природа</v>
      </c>
      <c r="I576" s="6" t="str">
        <f>IFERROR(__xludf.DUMMYFUNCTION("""COMPUTED_VALUE"""),"Их именами названы улицы города")</f>
        <v>Их именами названы улицы города</v>
      </c>
      <c r="J576" s="6" t="str">
        <f>IFERROR(__xludf.DUMMYFUNCTION("""COMPUTED_VALUE"""),"А.А.Леонов, В.Д.Мартемьянов, В.А.Раздаев")</f>
        <v>А.А.Леонов, В.Д.Мартемьянов, В.А.Раздаев</v>
      </c>
      <c r="K576" s="6" t="str">
        <f>IFERROR(__xludf.DUMMYFUNCTION("""COMPUTED_VALUE"""),"Мемориал Славы воинов-кузбасовцев, памятник В.И.Ленина, ""Память шахтерам Кузбасса"", ""Сила шахтерских традиций"", памятник река Томь, ""Погода в доме"" и т.д.")</f>
        <v>Мемориал Славы воинов-кузбасовцев, памятник В.И.Ленина, "Память шахтерам Кузбасса", "Сила шахтерских традиций", памятник река Томь, "Погода в доме" и т.д.</v>
      </c>
      <c r="L576" s="6" t="str">
        <f>IFERROR(__xludf.DUMMYFUNCTION("""COMPUTED_VALUE"""),"Незнаю")</f>
        <v>Незнаю</v>
      </c>
      <c r="M576" s="6" t="str">
        <f>IFERROR(__xludf.DUMMYFUNCTION("""COMPUTED_VALUE"""),"Нет")</f>
        <v>Нет</v>
      </c>
      <c r="N576" s="6" t="str">
        <f>IFERROR(__xludf.DUMMYFUNCTION("""COMPUTED_VALUE"""),"Места отдыха, пешегодные переходы, рабочие места, образование, дорога")</f>
        <v>Места отдыха, пешегодные переходы, рабочие места, образование, дорога</v>
      </c>
      <c r="O576" s="6" t="str">
        <f>IFERROR(__xludf.DUMMYFUNCTION("""COMPUTED_VALUE"""),"Дороги")</f>
        <v>Дороги</v>
      </c>
      <c r="P576" s="6" t="str">
        <f>IFERROR(__xludf.DUMMYFUNCTION("""COMPUTED_VALUE"""),"Инстаграм, VK, OK, ")</f>
        <v>Инстаграм, VK, OK, </v>
      </c>
      <c r="Q576"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v>
      </c>
      <c r="R576" s="6" t="str">
        <f>IFERROR(__xludf.DUMMYFUNCTION("""COMPUTED_VALUE"""),"День города, День Шахтера, 9 мая, День семьи, любви и детям, ")</f>
        <v>День города, День Шахтера, 9 мая, День семьи, любви и детям, </v>
      </c>
      <c r="S576" s="6" t="str">
        <f>IFERROR(__xludf.DUMMYFUNCTION("""COMPUTED_VALUE"""),"Нет, не приходилось")</f>
        <v>Нет, не приходилось</v>
      </c>
      <c r="T576" s="6" t="str">
        <f>IFERROR(__xludf.DUMMYFUNCTION("""COMPUTED_VALUE"""),"Углем")</f>
        <v>Углем</v>
      </c>
      <c r="U576" s="6" t="str">
        <f>IFERROR(__xludf.DUMMYFUNCTION("""COMPUTED_VALUE"""),"Парк Центральный")</f>
        <v>Парк Центральный</v>
      </c>
      <c r="V576" s="6" t="str">
        <f>IFERROR(__xludf.DUMMYFUNCTION("""COMPUTED_VALUE"""),"Незнаю")</f>
        <v>Незнаю</v>
      </c>
      <c r="W576" s="6" t="str">
        <f>IFERROR(__xludf.DUMMYFUNCTION("""COMPUTED_VALUE"""),"Сильные, терпеливые, творческие")</f>
        <v>Сильные, терпеливые, творческие</v>
      </c>
      <c r="X576" s="6" t="str">
        <f>IFERROR(__xludf.DUMMYFUNCTION("""COMPUTED_VALUE"""),"Центр города в ночьное время")</f>
        <v>Центр города в ночьное время</v>
      </c>
      <c r="Y576" s="6" t="str">
        <f>IFERROR(__xludf.DUMMYFUNCTION("""COMPUTED_VALUE"""),"Открытие парка на месте Зимней вишни. ")</f>
        <v>Открытие парка на месте Зимней вишни. </v>
      </c>
      <c r="Z576" s="6" t="str">
        <f>IFERROR(__xludf.DUMMYFUNCTION("""COMPUTED_VALUE"""),"Некаких")</f>
        <v>Некаких</v>
      </c>
      <c r="AA576" s="6" t="str">
        <f>IFERROR(__xludf.DUMMYFUNCTION("""COMPUTED_VALUE"""),"Сокращение рабочих мест, закрытие шахт и разрезов.")</f>
        <v>Сокращение рабочих мест, закрытие шахт и разрезов.</v>
      </c>
      <c r="AB576" s="6" t="str">
        <f>IFERROR(__xludf.DUMMYFUNCTION("""COMPUTED_VALUE"""),"Всех хватает")</f>
        <v>Всех хватает</v>
      </c>
      <c r="AC576" s="6" t="str">
        <f>IFERROR(__xludf.DUMMYFUNCTION("""COMPUTED_VALUE"""),"Наличие выходных")</f>
        <v>Наличие выходных</v>
      </c>
      <c r="AD576"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576" s="6" t="str">
        <f>IFERROR(__xludf.DUMMYFUNCTION("""COMPUTED_VALUE"""),"Женский")</f>
        <v>Женский</v>
      </c>
      <c r="AF576" s="6" t="str">
        <f>IFERROR(__xludf.DUMMYFUNCTION("""COMPUTED_VALUE"""),"45-55")</f>
        <v>45-55</v>
      </c>
      <c r="AG576" s="6"/>
      <c r="AH576" s="6"/>
      <c r="AI576" s="6"/>
      <c r="AJ576" s="6"/>
      <c r="AK576" s="6"/>
      <c r="AL576" s="6"/>
      <c r="AM576" s="6"/>
    </row>
    <row r="577">
      <c r="A577" s="6">
        <v>576.0</v>
      </c>
      <c r="B577" s="6" t="str">
        <f>IFERROR(__xludf.DUMMYFUNCTION("""COMPUTED_VALUE"""),"Работающая")</f>
        <v>Работающая</v>
      </c>
      <c r="C577" s="6" t="str">
        <f>IFERROR(__xludf.DUMMYFUNCTION("""COMPUTED_VALUE"""),"Садоводство")</f>
        <v>Садоводство</v>
      </c>
      <c r="D577" s="6" t="str">
        <f>IFERROR(__xludf.DUMMYFUNCTION("""COMPUTED_VALUE"""),"Беловский")</f>
        <v>Беловский</v>
      </c>
      <c r="E577" s="6" t="str">
        <f>IFERROR(__xludf.DUMMYFUNCTION("""COMPUTED_VALUE"""),"Сквер ""Школьный"", парк "" Центральный"", парк ""Молодёжный"".")</f>
        <v>Сквер "Школьный", парк " Центральный", парк "Молодёжный".</v>
      </c>
      <c r="F577" s="6" t="str">
        <f>IFERROR(__xludf.DUMMYFUNCTION("""COMPUTED_VALUE"""),"Живу здесь с рождения")</f>
        <v>Живу здесь с рождения</v>
      </c>
      <c r="G577" s="6" t="str">
        <f>IFERROR(__xludf.DUMMYFUNCTION("""COMPUTED_VALUE"""),"У меня нет свободного времени")</f>
        <v>У меня нет свободного времени</v>
      </c>
      <c r="H577" s="6" t="str">
        <f>IFERROR(__xludf.DUMMYFUNCTION("""COMPUTED_VALUE"""),"Работа, дом, семья, шахта, уголь")</f>
        <v>Работа, дом, семья, шахта, уголь</v>
      </c>
      <c r="I577" s="6" t="str">
        <f>IFERROR(__xludf.DUMMYFUNCTION("""COMPUTED_VALUE"""),"Ена. ")</f>
        <v>Ена. </v>
      </c>
      <c r="J577" s="6" t="str">
        <f>IFERROR(__xludf.DUMMYFUNCTION("""COMPUTED_VALUE"""),"Понкратов- чёрный, Распутина, Леонов, Валуев")</f>
        <v>Понкратов- чёрный, Распутина, Леонов, Валуев</v>
      </c>
      <c r="K577" s="6" t="str">
        <f>IFERROR(__xludf.DUMMYFUNCTION("""COMPUTED_VALUE"""),"Парк Центральный")</f>
        <v>Парк Центральный</v>
      </c>
      <c r="L577" s="6" t="str">
        <f>IFERROR(__xludf.DUMMYFUNCTION("""COMPUTED_VALUE"""),"Не знаю, характеризовать жителей можно по разному. ")</f>
        <v>Не знаю, характеризовать жителей можно по разному. </v>
      </c>
      <c r="M577" s="6" t="str">
        <f>IFERROR(__xludf.DUMMYFUNCTION("""COMPUTED_VALUE"""),"Нет. ")</f>
        <v>Нет. </v>
      </c>
      <c r="N577" s="6" t="str">
        <f>IFERROR(__xludf.DUMMYFUNCTION("""COMPUTED_VALUE"""),"Места отдыха, пешеходные дорожки, дорога, рабочие места, образование. ")</f>
        <v>Места отдыха, пешеходные дорожки, дорога, рабочие места, образование. </v>
      </c>
      <c r="O577" s="6" t="str">
        <f>IFERROR(__xludf.DUMMYFUNCTION("""COMPUTED_VALUE"""),"Дороги")</f>
        <v>Дороги</v>
      </c>
      <c r="P577" s="6" t="str">
        <f>IFERROR(__xludf.DUMMYFUNCTION("""COMPUTED_VALUE"""),"ВК, Инстаграм. ")</f>
        <v>ВК, Инстаграм. </v>
      </c>
      <c r="Q577" s="6" t="str">
        <f>IFERROR(__xludf.DUMMYFUNCTION("""COMPUTED_VALUE"""),"куда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v>
      </c>
      <c r="R577" s="6" t="str">
        <f>IFERROR(__xludf.DUMMYFUNCTION("""COMPUTED_VALUE"""),"День Шахтера")</f>
        <v>День Шахтера</v>
      </c>
      <c r="S577" s="6" t="str">
        <f>IFERROR(__xludf.DUMMYFUNCTION("""COMPUTED_VALUE"""),"Писал и расклеивал объявления/афиши, Через социальные сети (Какие? Укажите в графе другое), Делал рассылку по электронной почте")</f>
        <v>Писал и расклеивал объявления/афиши, Через социальные сети (Какие? Укажите в графе другое), Делал рассылку по электронной почте</v>
      </c>
      <c r="T577" s="6" t="str">
        <f>IFERROR(__xludf.DUMMYFUNCTION("""COMPUTED_VALUE"""),"Уголь")</f>
        <v>Уголь</v>
      </c>
      <c r="U577" s="6" t="str">
        <f>IFERROR(__xludf.DUMMYFUNCTION("""COMPUTED_VALUE"""),"Парк Центральный")</f>
        <v>Парк Центральный</v>
      </c>
      <c r="V577" s="6" t="str">
        <f>IFERROR(__xludf.DUMMYFUNCTION("""COMPUTED_VALUE"""),"Не знаю")</f>
        <v>Не знаю</v>
      </c>
      <c r="W577" s="6" t="str">
        <f>IFERROR(__xludf.DUMMYFUNCTION("""COMPUTED_VALUE"""),"Сильные, терпеливые")</f>
        <v>Сильные, терпеливые</v>
      </c>
      <c r="X577" s="6" t="str">
        <f>IFERROR(__xludf.DUMMYFUNCTION("""COMPUTED_VALUE"""),"Центр города в ночное время. ")</f>
        <v>Центр города в ночное время. </v>
      </c>
      <c r="Y577" s="6" t="str">
        <f>IFERROR(__xludf.DUMMYFUNCTION("""COMPUTED_VALUE"""),"Самое страшное историческое событие - ""Зимняя вишня""")</f>
        <v>Самое страшное историческое событие - "Зимняя вишня"</v>
      </c>
      <c r="Z577" s="6" t="str">
        <f>IFERROR(__xludf.DUMMYFUNCTION("""COMPUTED_VALUE"""),"Никаких. ")</f>
        <v>Никаких. </v>
      </c>
      <c r="AA577" s="6" t="str">
        <f>IFERROR(__xludf.DUMMYFUNCTION("""COMPUTED_VALUE"""),"Закрытие шахт и разрезов. ")</f>
        <v>Закрытие шахт и разрезов. </v>
      </c>
      <c r="AB577" s="6" t="str">
        <f>IFERROR(__xludf.DUMMYFUNCTION("""COMPUTED_VALUE"""),"Всех хватает) ")</f>
        <v>Всех хватает) </v>
      </c>
      <c r="AC577" s="6" t="str">
        <f>IFERROR(__xludf.DUMMYFUNCTION("""COMPUTED_VALUE"""),"Наличие выходных")</f>
        <v>Наличие выходных</v>
      </c>
      <c r="AD57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77" s="6" t="str">
        <f>IFERROR(__xludf.DUMMYFUNCTION("""COMPUTED_VALUE"""),"Женский")</f>
        <v>Женский</v>
      </c>
      <c r="AF577" s="6" t="str">
        <f>IFERROR(__xludf.DUMMYFUNCTION("""COMPUTED_VALUE"""),"30-44")</f>
        <v>30-44</v>
      </c>
      <c r="AG577" s="6"/>
      <c r="AH577" s="6"/>
      <c r="AI577" s="6"/>
      <c r="AJ577" s="6"/>
      <c r="AK577" s="6"/>
      <c r="AL577" s="6"/>
      <c r="AM577" s="6"/>
    </row>
    <row r="578">
      <c r="A578" s="6">
        <v>577.0</v>
      </c>
      <c r="B578" s="6" t="str">
        <f>IFERROR(__xludf.DUMMYFUNCTION("""COMPUTED_VALUE"""),"На данный момент обучаюсь в КузГСХА; занимаюсь спортом, танцами, театральной деятельностью")</f>
        <v>На данный момент обучаюсь в КузГСХА; занимаюсь спортом, танцами, театральной деятельностью</v>
      </c>
      <c r="C578" s="6" t="str">
        <f>IFERROR(__xludf.DUMMYFUNCTION("""COMPUTED_VALUE"""),"Есть, занимаюсь машинами и собаками")</f>
        <v>Есть, занимаюсь машинами и собаками</v>
      </c>
      <c r="D578" s="6" t="str">
        <f>IFERROR(__xludf.DUMMYFUNCTION("""COMPUTED_VALUE"""),"В Крапивинском; Крапивино")</f>
        <v>В Крапивинском; Крапивино</v>
      </c>
      <c r="E578" s="6" t="str">
        <f>IFERROR(__xludf.DUMMYFUNCTION("""COMPUTED_VALUE"""),"Их нет")</f>
        <v>Их нет</v>
      </c>
      <c r="F578" s="6" t="str">
        <f>IFERROR(__xludf.DUMMYFUNCTION("""COMPUTED_VALUE"""),"Переехал сюда, тк обучаюсь в институте(КузГСХА)")</f>
        <v>Переехал сюда, тк обучаюсь в институте(КузГСХА)</v>
      </c>
      <c r="G578" s="6" t="str">
        <f>IFERROR(__xludf.DUMMYFUNCTION("""COMPUTED_VALUE"""),"Гуляю по Бульвару и езжу в сосновый бор")</f>
        <v>Гуляю по Бульвару и езжу в сосновый бор</v>
      </c>
      <c r="H578" s="6" t="str">
        <f>IFERROR(__xludf.DUMMYFUNCTION("""COMPUTED_VALUE"""),"Красивый,грязный, шумный, уютный, безработный")</f>
        <v>Красивый,грязный, шумный, уютный, безработный</v>
      </c>
      <c r="I578" s="6" t="str">
        <f>IFERROR(__xludf.DUMMYFUNCTION("""COMPUTED_VALUE"""),"Тулеев")</f>
        <v>Тулеев</v>
      </c>
      <c r="J578" s="6" t="str">
        <f>IFERROR(__xludf.DUMMYFUNCTION("""COMPUTED_VALUE"""),"Тулеев")</f>
        <v>Тулеев</v>
      </c>
      <c r="K578" s="6" t="str">
        <f>IFERROR(__xludf.DUMMYFUNCTION("""COMPUTED_VALUE"""),"Памятник шахтерам, вечный огонь, музей вов, ")</f>
        <v>Памятник шахтерам, вечный огонь, музей вов, </v>
      </c>
      <c r="L578" s="6" t="str">
        <f>IFERROR(__xludf.DUMMYFUNCTION("""COMPUTED_VALUE"""),"На площади грязного города
Под крики людей и грача
Два пса с разъярёнными мордами
Терзали друг друга рыча.")</f>
        <v>На площади грязного города
Под крики людей и грача
Два пса с разъярёнными мордами
Терзали друг друга рыча.</v>
      </c>
      <c r="M578" s="6" t="str">
        <f>IFERROR(__xludf.DUMMYFUNCTION("""COMPUTED_VALUE"""),"нет")</f>
        <v>нет</v>
      </c>
      <c r="N578" s="6" t="str">
        <f>IFERROR(__xludf.DUMMYFUNCTION("""COMPUTED_VALUE"""),"Чистота, порядок, безопасность, тишина, освещенность")</f>
        <v>Чистота, порядок, безопасность, тишина, освещенность</v>
      </c>
      <c r="O578" s="6" t="str">
        <f>IFERROR(__xludf.DUMMYFUNCTION("""COMPUTED_VALUE"""),"Навести чистоту, уменьшить безработицу")</f>
        <v>Навести чистоту, уменьшить безработицу</v>
      </c>
      <c r="P578" s="6" t="str">
        <f>IFERROR(__xludf.DUMMYFUNCTION("""COMPUTED_VALUE"""),"Инцидент Кемерово")</f>
        <v>Инцидент Кемерово</v>
      </c>
      <c r="Q578" s="6" t="str">
        <f>IFERROR(__xludf.DUMMYFUNCTION("""COMPUTED_VALUE"""),"куда пойти в свободное время, интервью с местными политиками, новости про новые профессии/куда поступать/вакансии")</f>
        <v>куда пойти в свободное время, интервью с местными политиками, новости про новые профессии/куда поступать/вакансии</v>
      </c>
      <c r="R578" s="6" t="str">
        <f>IFERROR(__xludf.DUMMYFUNCTION("""COMPUTED_VALUE"""),"9 мая, день шахтера, день молодежи, ")</f>
        <v>9 мая, день шахтера, день молодежи, </v>
      </c>
      <c r="S578" s="6" t="str">
        <f>IFERROR(__xludf.DUMMYFUNCTION("""COMPUTED_VALUE"""),"Писал и расклеивал объявления/афиши")</f>
        <v>Писал и расклеивал объявления/афиши</v>
      </c>
      <c r="T578" s="6" t="str">
        <f>IFERROR(__xludf.DUMMYFUNCTION("""COMPUTED_VALUE"""),"Кузбасс арена")</f>
        <v>Кузбасс арена</v>
      </c>
      <c r="U578" s="6" t="str">
        <f>IFERROR(__xludf.DUMMYFUNCTION("""COMPUTED_VALUE"""),"Кемерово")</f>
        <v>Кемерово</v>
      </c>
      <c r="V578" s="6" t="str">
        <f>IFERROR(__xludf.DUMMYFUNCTION("""COMPUTED_VALUE"""),"Благоустраивали и открывали что-то новое")</f>
        <v>Благоустраивали и открывали что-то новое</v>
      </c>
      <c r="W578" s="6" t="str">
        <f>IFERROR(__xludf.DUMMYFUNCTION("""COMPUTED_VALUE"""),"Злые ")</f>
        <v>Злые </v>
      </c>
      <c r="X578" s="6" t="str">
        <f>IFERROR(__xludf.DUMMYFUNCTION("""COMPUTED_VALUE"""),"Бульвар строителей")</f>
        <v>Бульвар строителей</v>
      </c>
      <c r="Y578" s="6" t="str">
        <f>IFERROR(__xludf.DUMMYFUNCTION("""COMPUTED_VALUE"""),"Полет Леонова в космос")</f>
        <v>Полет Леонова в космос</v>
      </c>
      <c r="Z578" s="6" t="str">
        <f>IFERROR(__xludf.DUMMYFUNCTION("""COMPUTED_VALUE"""),"Никаких")</f>
        <v>Никаких</v>
      </c>
      <c r="AA578" s="6" t="str">
        <f>IFERROR(__xludf.DUMMYFUNCTION("""COMPUTED_VALUE"""),"Их нет")</f>
        <v>Их нет</v>
      </c>
      <c r="AB578" s="6" t="str">
        <f>IFERROR(__xludf.DUMMYFUNCTION("""COMPUTED_VALUE"""),"Все хватает ")</f>
        <v>Все хватает </v>
      </c>
      <c r="AC578" s="6" t="str">
        <f>IFERROR(__xludf.DUMMYFUNCTION("""COMPUTED_VALUE"""),"снизить безработицу и убрать заводы")</f>
        <v>снизить безработицу и убрать заводы</v>
      </c>
      <c r="AD57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578" s="6" t="str">
        <f>IFERROR(__xludf.DUMMYFUNCTION("""COMPUTED_VALUE"""),"Мужской")</f>
        <v>Мужской</v>
      </c>
      <c r="AF578" s="6" t="str">
        <f>IFERROR(__xludf.DUMMYFUNCTION("""COMPUTED_VALUE"""),"18-29")</f>
        <v>18-29</v>
      </c>
      <c r="AG578" s="6"/>
      <c r="AH578" s="6"/>
      <c r="AI578" s="6"/>
      <c r="AJ578" s="6"/>
      <c r="AK578" s="6"/>
      <c r="AL578" s="6"/>
      <c r="AM578" s="6"/>
    </row>
    <row r="579">
      <c r="A579" s="6">
        <v>578.0</v>
      </c>
      <c r="B579" s="6" t="str">
        <f>IFERROR(__xludf.DUMMYFUNCTION("""COMPUTED_VALUE"""),"Студентка")</f>
        <v>Студентка</v>
      </c>
      <c r="C579" s="6" t="str">
        <f>IFERROR(__xludf.DUMMYFUNCTION("""COMPUTED_VALUE"""),"прогулка с животным")</f>
        <v>прогулка с животным</v>
      </c>
      <c r="D579" s="6" t="str">
        <f>IFERROR(__xludf.DUMMYFUNCTION("""COMPUTED_VALUE"""),"Ленинском")</f>
        <v>Ленинском</v>
      </c>
      <c r="E579" s="6" t="str">
        <f>IFERROR(__xludf.DUMMYFUNCTION("""COMPUTED_VALUE"""),"Парк Бульвар строителей")</f>
        <v>Парк Бульвар строителей</v>
      </c>
      <c r="F579" s="6" t="str">
        <f>IFERROR(__xludf.DUMMYFUNCTION("""COMPUTED_VALUE"""),"Живу здесь с рождения")</f>
        <v>Живу здесь с рождения</v>
      </c>
      <c r="G579" s="6" t="str">
        <f>IFERROR(__xludf.DUMMYFUNCTION("""COMPUTED_VALUE"""),"во двор")</f>
        <v>во двор</v>
      </c>
      <c r="H579" s="6" t="str">
        <f>IFERROR(__xludf.DUMMYFUNCTION("""COMPUTED_VALUE"""),"грязь, режим черного неба, дорогие продукты")</f>
        <v>грязь, режим черного неба, дорогие продукты</v>
      </c>
      <c r="I579" s="6" t="str">
        <f>IFERROR(__xludf.DUMMYFUNCTION("""COMPUTED_VALUE"""),"Аман  Гумирович Тулеев")</f>
        <v>Аман  Гумирович Тулеев</v>
      </c>
      <c r="J579" s="6" t="str">
        <f>IFERROR(__xludf.DUMMYFUNCTION("""COMPUTED_VALUE"""),"Аман  Гумирович Тулеев")</f>
        <v>Аман  Гумирович Тулеев</v>
      </c>
      <c r="K579" s="6" t="str">
        <f>IFERROR(__xludf.DUMMYFUNCTION("""COMPUTED_VALUE"""),"никакие")</f>
        <v>никакие</v>
      </c>
      <c r="L579" s="6" t="str">
        <f>IFERROR(__xludf.DUMMYFUNCTION("""COMPUTED_VALUE"""),"грязные улицы")</f>
        <v>грязные улицы</v>
      </c>
      <c r="M579" s="6" t="str">
        <f>IFERROR(__xludf.DUMMYFUNCTION("""COMPUTED_VALUE"""),"нет")</f>
        <v>нет</v>
      </c>
      <c r="N579" s="6" t="str">
        <f>IFERROR(__xludf.DUMMYFUNCTION("""COMPUTED_VALUE"""),"чистый город, доступные цены, свежий воздух, сделанные дороги во дворах")</f>
        <v>чистый город, доступные цены, свежий воздух, сделанные дороги во дворах</v>
      </c>
      <c r="O579" s="6" t="str">
        <f>IFERROR(__xludf.DUMMYFUNCTION("""COMPUTED_VALUE"""),"чистота, дороги, цены")</f>
        <v>чистота, дороги, цены</v>
      </c>
      <c r="P579" s="6" t="str">
        <f>IFERROR(__xludf.DUMMYFUNCTION("""COMPUTED_VALUE"""),"Интернет")</f>
        <v>Интернет</v>
      </c>
      <c r="Q579" s="6" t="str">
        <f>IFERROR(__xludf.DUMMYFUNCTION("""COMPUTED_VALUE"""),"интервью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разные"&amp;" темы (напишите в разделе Другое свои предложения)")</f>
        <v>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579" s="6" t="str">
        <f>IFERROR(__xludf.DUMMYFUNCTION("""COMPUTED_VALUE"""),"Пасха, Новый год")</f>
        <v>Пасха, Новый год</v>
      </c>
      <c r="S579" s="6" t="str">
        <f>IFERROR(__xludf.DUMMYFUNCTION("""COMPUTED_VALUE"""),"Нет, не приходилось")</f>
        <v>Нет, не приходилось</v>
      </c>
      <c r="T579" s="6" t="str">
        <f>IFERROR(__xludf.DUMMYFUNCTION("""COMPUTED_VALUE"""),"уголь")</f>
        <v>уголь</v>
      </c>
      <c r="U579" s="6" t="str">
        <f>IFERROR(__xludf.DUMMYFUNCTION("""COMPUTED_VALUE"""),"Площадь советов")</f>
        <v>Площадь советов</v>
      </c>
      <c r="V579" s="6" t="str">
        <f>IFERROR(__xludf.DUMMYFUNCTION("""COMPUTED_VALUE"""),"Что они живут здесь")</f>
        <v>Что они живут здесь</v>
      </c>
      <c r="W579" s="6" t="str">
        <f>IFERROR(__xludf.DUMMYFUNCTION("""COMPUTED_VALUE"""),"злые и добрые")</f>
        <v>злые и добрые</v>
      </c>
      <c r="X579" s="6" t="str">
        <f>IFERROR(__xludf.DUMMYFUNCTION("""COMPUTED_VALUE"""),"по сосновому бору")</f>
        <v>по сосновому бору</v>
      </c>
      <c r="Y579" s="6" t="str">
        <f>IFERROR(__xludf.DUMMYFUNCTION("""COMPUTED_VALUE"""),"Дорогу до Новокузнецка сделали")</f>
        <v>Дорогу до Новокузнецка сделали</v>
      </c>
      <c r="Z579" s="6" t="str">
        <f>IFERROR(__xludf.DUMMYFUNCTION("""COMPUTED_VALUE"""),"Ничего")</f>
        <v>Ничего</v>
      </c>
      <c r="AA579" s="6" t="str">
        <f>IFERROR(__xludf.DUMMYFUNCTION("""COMPUTED_VALUE"""),"Дороги, не свежий воздух, мусор, высокие цены на продукты и бензин")</f>
        <v>Дороги, не свежий воздух, мусор, высокие цены на продукты и бензин</v>
      </c>
      <c r="AB579" s="6" t="str">
        <f>IFERROR(__xludf.DUMMYFUNCTION("""COMPUTED_VALUE"""),"не могу ответить")</f>
        <v>не могу ответить</v>
      </c>
      <c r="AC579" s="6" t="str">
        <f>IFERROR(__xludf.DUMMYFUNCTION("""COMPUTED_VALUE"""),"аквапарк, зоопарк")</f>
        <v>аквапарк, зоопарк</v>
      </c>
      <c r="AD57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79" s="6" t="str">
        <f>IFERROR(__xludf.DUMMYFUNCTION("""COMPUTED_VALUE"""),"Женский")</f>
        <v>Женский</v>
      </c>
      <c r="AF579" s="6" t="str">
        <f>IFERROR(__xludf.DUMMYFUNCTION("""COMPUTED_VALUE"""),"18-29")</f>
        <v>18-29</v>
      </c>
      <c r="AG579" s="6"/>
      <c r="AH579" s="6"/>
      <c r="AI579" s="6"/>
      <c r="AJ579" s="6"/>
      <c r="AK579" s="6"/>
      <c r="AL579" s="6"/>
      <c r="AM579" s="6"/>
    </row>
    <row r="580">
      <c r="A580" s="6">
        <v>579.0</v>
      </c>
      <c r="B580" s="6" t="str">
        <f>IFERROR(__xludf.DUMMYFUNCTION("""COMPUTED_VALUE"""),"студент")</f>
        <v>студент</v>
      </c>
      <c r="C580" s="6" t="str">
        <f>IFERROR(__xludf.DUMMYFUNCTION("""COMPUTED_VALUE"""),"танцы")</f>
        <v>танцы</v>
      </c>
      <c r="D580" s="6" t="str">
        <f>IFERROR(__xludf.DUMMYFUNCTION("""COMPUTED_VALUE"""),"ленинский район")</f>
        <v>ленинский район</v>
      </c>
      <c r="E580" s="6" t="str">
        <f>IFERROR(__xludf.DUMMYFUNCTION("""COMPUTED_VALUE"""),"бульвар")</f>
        <v>бульвар</v>
      </c>
      <c r="F580" s="6" t="str">
        <f>IFERROR(__xludf.DUMMYFUNCTION("""COMPUTED_VALUE"""),"Переехал сюда из другого места (откуда? укажите в графе другое), из Прокопьевска")</f>
        <v>Переехал сюда из другого места (откуда? укажите в графе другое), из Прокопьевска</v>
      </c>
      <c r="G580" s="6" t="str">
        <f>IFERROR(__xludf.DUMMYFUNCTION("""COMPUTED_VALUE"""),"бульвар")</f>
        <v>бульвар</v>
      </c>
      <c r="H580" s="6" t="str">
        <f>IFERROR(__xludf.DUMMYFUNCTION("""COMPUTED_VALUE"""),"тусклый, тихий, грязный, спокойный, обычный")</f>
        <v>тусклый, тихий, грязный, спокойный, обычный</v>
      </c>
      <c r="I580" s="6" t="str">
        <f>IFERROR(__xludf.DUMMYFUNCTION("""COMPUTED_VALUE"""),"-")</f>
        <v>-</v>
      </c>
      <c r="J580" s="6" t="str">
        <f>IFERROR(__xludf.DUMMYFUNCTION("""COMPUTED_VALUE"""),"-")</f>
        <v>-</v>
      </c>
      <c r="K580" s="6" t="str">
        <f>IFERROR(__xludf.DUMMYFUNCTION("""COMPUTED_VALUE"""),"набережная, парк ангелов, бульвар")</f>
        <v>набережная, парк ангелов, бульвар</v>
      </c>
      <c r="L580" s="6" t="str">
        <f>IFERROR(__xludf.DUMMYFUNCTION("""COMPUTED_VALUE"""),"-")</f>
        <v>-</v>
      </c>
      <c r="M580" s="6" t="str">
        <f>IFERROR(__xludf.DUMMYFUNCTION("""COMPUTED_VALUE"""),"-")</f>
        <v>-</v>
      </c>
      <c r="N580" s="6" t="str">
        <f>IFERROR(__xludf.DUMMYFUNCTION("""COMPUTED_VALUE"""),"чистота, тишина, есть где отдохнуть, ")</f>
        <v>чистота, тишина, есть где отдохнуть, </v>
      </c>
      <c r="O580" s="6" t="str">
        <f>IFERROR(__xludf.DUMMYFUNCTION("""COMPUTED_VALUE"""),"-")</f>
        <v>-</v>
      </c>
      <c r="P580" s="6" t="str">
        <f>IFERROR(__xludf.DUMMYFUNCTION("""COMPUTED_VALUE"""),"-")</f>
        <v>-</v>
      </c>
      <c r="Q58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80" s="6" t="str">
        <f>IFERROR(__xludf.DUMMYFUNCTION("""COMPUTED_VALUE"""),"-")</f>
        <v>-</v>
      </c>
      <c r="S580" s="6" t="str">
        <f>IFERROR(__xludf.DUMMYFUNCTION("""COMPUTED_VALUE"""),"Нет, не приходилось")</f>
        <v>Нет, не приходилось</v>
      </c>
      <c r="T580" s="6" t="str">
        <f>IFERROR(__xludf.DUMMYFUNCTION("""COMPUTED_VALUE"""),"-")</f>
        <v>-</v>
      </c>
      <c r="U580" s="6" t="str">
        <f>IFERROR(__xludf.DUMMYFUNCTION("""COMPUTED_VALUE"""),"-")</f>
        <v>-</v>
      </c>
      <c r="V580" s="6" t="str">
        <f>IFERROR(__xludf.DUMMYFUNCTION("""COMPUTED_VALUE"""),"-")</f>
        <v>-</v>
      </c>
      <c r="W580" s="6" t="str">
        <f>IFERROR(__xludf.DUMMYFUNCTION("""COMPUTED_VALUE"""),"спокойные, вялые")</f>
        <v>спокойные, вялые</v>
      </c>
      <c r="X580" s="6" t="str">
        <f>IFERROR(__xludf.DUMMYFUNCTION("""COMPUTED_VALUE"""),"-")</f>
        <v>-</v>
      </c>
      <c r="Y580" s="6" t="str">
        <f>IFERROR(__xludf.DUMMYFUNCTION("""COMPUTED_VALUE"""),"--")</f>
        <v>--</v>
      </c>
      <c r="Z580" s="6" t="str">
        <f>IFERROR(__xludf.DUMMYFUNCTION("""COMPUTED_VALUE"""),"-")</f>
        <v>-</v>
      </c>
      <c r="AA580" s="6" t="str">
        <f>IFERROR(__xludf.DUMMYFUNCTION("""COMPUTED_VALUE"""),"-")</f>
        <v>-</v>
      </c>
      <c r="AB580" s="6" t="str">
        <f>IFERROR(__xludf.DUMMYFUNCTION("""COMPUTED_VALUE"""),"-")</f>
        <v>-</v>
      </c>
      <c r="AC580" s="6" t="str">
        <f>IFERROR(__xludf.DUMMYFUNCTION("""COMPUTED_VALUE"""),"-")</f>
        <v>-</v>
      </c>
      <c r="AD58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80" s="6" t="str">
        <f>IFERROR(__xludf.DUMMYFUNCTION("""COMPUTED_VALUE"""),"Женский")</f>
        <v>Женский</v>
      </c>
      <c r="AF580" s="6" t="str">
        <f>IFERROR(__xludf.DUMMYFUNCTION("""COMPUTED_VALUE"""),"18-29")</f>
        <v>18-29</v>
      </c>
      <c r="AG580" s="6"/>
      <c r="AH580" s="6"/>
      <c r="AI580" s="6"/>
      <c r="AJ580" s="6"/>
      <c r="AK580" s="6"/>
      <c r="AL580" s="6"/>
      <c r="AM580" s="6"/>
    </row>
    <row r="581">
      <c r="A581" s="6">
        <v>580.0</v>
      </c>
      <c r="B581" s="6" t="str">
        <f>IFERROR(__xludf.DUMMYFUNCTION("""COMPUTED_VALUE"""),"Учусь в высшем учебном заведении. ")</f>
        <v>Учусь в высшем учебном заведении. </v>
      </c>
      <c r="C581" s="6" t="str">
        <f>IFERROR(__xludf.DUMMYFUNCTION("""COMPUTED_VALUE"""),"Занимаюсь в  спорт зале, конным спортом. Увлекаюсь чтением. ")</f>
        <v>Занимаюсь в  спорт зале, конным спортом. Увлекаюсь чтением. </v>
      </c>
      <c r="D581" s="6" t="str">
        <f>IFERROR(__xludf.DUMMYFUNCTION("""COMPUTED_VALUE"""),"Ленинский ")</f>
        <v>Ленинский </v>
      </c>
      <c r="E581" s="6" t="str">
        <f>IFERROR(__xludf.DUMMYFUNCTION("""COMPUTED_VALUE"""),"Парк")</f>
        <v>Парк</v>
      </c>
      <c r="F581" s="6" t="str">
        <f>IFERROR(__xludf.DUMMYFUNCTION("""COMPUTED_VALUE"""),"Живу здесь с рождения")</f>
        <v>Живу здесь с рождения</v>
      </c>
      <c r="G581" s="6" t="str">
        <f>IFERROR(__xludf.DUMMYFUNCTION("""COMPUTED_VALUE"""),"Никуда")</f>
        <v>Никуда</v>
      </c>
      <c r="H581" s="6" t="str">
        <f>IFERROR(__xludf.DUMMYFUNCTION("""COMPUTED_VALUE"""),"Уютный, маленький, спокойный, тихий, скромный ")</f>
        <v>Уютный, маленький, спокойный, тихий, скромный </v>
      </c>
      <c r="I581" s="6" t="str">
        <f>IFERROR(__xludf.DUMMYFUNCTION("""COMPUTED_VALUE"""),"Вера Волошина, Алексей Леонов")</f>
        <v>Вера Волошина, Алексей Леонов</v>
      </c>
      <c r="J581" s="6" t="str">
        <f>IFERROR(__xludf.DUMMYFUNCTION("""COMPUTED_VALUE"""),"Тулеев ")</f>
        <v>Тулеев </v>
      </c>
      <c r="K581" s="6" t="str">
        <f>IFERROR(__xludf.DUMMYFUNCTION("""COMPUTED_VALUE"""),"Никакие")</f>
        <v>Никакие</v>
      </c>
      <c r="L581" s="6" t="str">
        <f>IFERROR(__xludf.DUMMYFUNCTION("""COMPUTED_VALUE"""),"Не знаю ")</f>
        <v>Не знаю </v>
      </c>
      <c r="M581" s="6" t="str">
        <f>IFERROR(__xludf.DUMMYFUNCTION("""COMPUTED_VALUE"""),"Нет ")</f>
        <v>Нет </v>
      </c>
      <c r="N581" s="6" t="str">
        <f>IFERROR(__xludf.DUMMYFUNCTION("""COMPUTED_VALUE"""),"Чистота, порядок, безопасность, ночное освещение, доступность транспорта ")</f>
        <v>Чистота, порядок, безопасность, ночное освещение, доступность транспорта </v>
      </c>
      <c r="O581" s="6" t="str">
        <f>IFERROR(__xludf.DUMMYFUNCTION("""COMPUTED_VALUE"""),"Доступность ценовой политики на жилье")</f>
        <v>Доступность ценовой политики на жилье</v>
      </c>
      <c r="P581" s="6" t="str">
        <f>IFERROR(__xludf.DUMMYFUNCTION("""COMPUTED_VALUE"""),"Соцсети ")</f>
        <v>Соцсети </v>
      </c>
      <c r="Q581" s="6" t="str">
        <f>IFERROR(__xludf.DUMMYFUNCTION("""COMPUTED_VALUE"""),"интервью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f>
        <v>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581" s="6" t="str">
        <f>IFERROR(__xludf.DUMMYFUNCTION("""COMPUTED_VALUE"""),"300 лет Кузбасса, день шахтёра, день города, день молодёжи")</f>
        <v>300 лет Кузбасса, день шахтёра, день города, день молодёжи</v>
      </c>
      <c r="S581"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v>
      </c>
      <c r="T581" s="6" t="str">
        <f>IFERROR(__xludf.DUMMYFUNCTION("""COMPUTED_VALUE"""),"Продажа угля, горнолыжные курорты. Уникальность состоит в том, что город разделен рекой Томь. ")</f>
        <v>Продажа угля, горнолыжные курорты. Уникальность состоит в том, что город разделен рекой Томь. </v>
      </c>
      <c r="U581" s="6" t="str">
        <f>IFERROR(__xludf.DUMMYFUNCTION("""COMPUTED_VALUE"""),"Площадь Советов ")</f>
        <v>Площадь Советов </v>
      </c>
      <c r="V581" s="6" t="str">
        <f>IFERROR(__xludf.DUMMYFUNCTION("""COMPUTED_VALUE"""),"Трудились на благо города ")</f>
        <v>Трудились на благо города </v>
      </c>
      <c r="W581" s="6" t="str">
        <f>IFERROR(__xludf.DUMMYFUNCTION("""COMPUTED_VALUE"""),"Добрые, готовые прийти на помощь ")</f>
        <v>Добрые, готовые прийти на помощь </v>
      </c>
      <c r="X581" s="6" t="str">
        <f>IFERROR(__xludf.DUMMYFUNCTION("""COMPUTED_VALUE"""),"Красная горка, музей-заповедник Томская Писаница ")</f>
        <v>Красная горка, музей-заповедник Томская Писаница </v>
      </c>
      <c r="Y581" s="6" t="str">
        <f>IFERROR(__xludf.DUMMYFUNCTION("""COMPUTED_VALUE"""),"300 лет Кузбассу ")</f>
        <v>300 лет Кузбассу </v>
      </c>
      <c r="Z581" s="6" t="str">
        <f>IFERROR(__xludf.DUMMYFUNCTION("""COMPUTED_VALUE"""),"Герои Мирового рока ")</f>
        <v>Герои Мирового рока </v>
      </c>
      <c r="AA581" s="6" t="str">
        <f>IFERROR(__xludf.DUMMYFUNCTION("""COMPUTED_VALUE"""),"Нет таких ")</f>
        <v>Нет таких </v>
      </c>
      <c r="AB581" s="6" t="str">
        <f>IFERROR(__xludf.DUMMYFUNCTION("""COMPUTED_VALUE"""),"Все хватает ")</f>
        <v>Все хватает </v>
      </c>
      <c r="AC581" s="6" t="str">
        <f>IFERROR(__xludf.DUMMYFUNCTION("""COMPUTED_VALUE"""),"Привлечение инвестиций в город, чтобы создавались новые интересные проекты ")</f>
        <v>Привлечение инвестиций в город, чтобы создавались новые интересные проекты </v>
      </c>
      <c r="AD581"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"&amp;"приглашения потенциально заинтересованных участников, Запустить свой предпринимательский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581" s="6" t="str">
        <f>IFERROR(__xludf.DUMMYFUNCTION("""COMPUTED_VALUE"""),"Женский")</f>
        <v>Женский</v>
      </c>
      <c r="AF581" s="6" t="str">
        <f>IFERROR(__xludf.DUMMYFUNCTION("""COMPUTED_VALUE"""),"18-29")</f>
        <v>18-29</v>
      </c>
      <c r="AG581" s="6"/>
      <c r="AH581" s="6"/>
      <c r="AI581" s="6"/>
      <c r="AJ581" s="6"/>
      <c r="AK581" s="6"/>
      <c r="AL581" s="6"/>
      <c r="AM581" s="6"/>
    </row>
    <row r="582">
      <c r="A582" s="6">
        <v>581.0</v>
      </c>
      <c r="B582" s="6" t="str">
        <f>IFERROR(__xludf.DUMMYFUNCTION("""COMPUTED_VALUE"""),"Студент ")</f>
        <v>Студент </v>
      </c>
      <c r="C582" s="6" t="str">
        <f>IFERROR(__xludf.DUMMYFUNCTION("""COMPUTED_VALUE"""),"Читать")</f>
        <v>Читать</v>
      </c>
      <c r="D582" s="6" t="str">
        <f>IFERROR(__xludf.DUMMYFUNCTION("""COMPUTED_VALUE"""),"Город Кемерово, Ленинский район")</f>
        <v>Город Кемерово, Ленинский район</v>
      </c>
      <c r="E582" s="6" t="str">
        <f>IFERROR(__xludf.DUMMYFUNCTION("""COMPUTED_VALUE"""),"Дорожка здоровья ")</f>
        <v>Дорожка здоровья </v>
      </c>
      <c r="F582" s="6" t="str">
        <f>IFERROR(__xludf.DUMMYFUNCTION("""COMPUTED_VALUE"""),"Переехал сюда из другого места (откуда? укажите в графе другое), Студент ")</f>
        <v>Переехал сюда из другого места (откуда? укажите в графе другое), Студент </v>
      </c>
      <c r="G582" s="6" t="str">
        <f>IFERROR(__xludf.DUMMYFUNCTION("""COMPUTED_VALUE"""),"В СЦ Кузбасс")</f>
        <v>В СЦ Кузбасс</v>
      </c>
      <c r="H582" s="6" t="str">
        <f>IFERROR(__xludf.DUMMYFUNCTION("""COMPUTED_VALUE"""),"Маленький, тихий, красивый, спокойный, медленный ")</f>
        <v>Маленький, тихий, красивый, спокойный, медленный </v>
      </c>
      <c r="I582" s="6" t="str">
        <f>IFERROR(__xludf.DUMMYFUNCTION("""COMPUTED_VALUE"""),"Тулеев, Цивилев.")</f>
        <v>Тулеев, Цивилев.</v>
      </c>
      <c r="J582" s="6" t="str">
        <f>IFERROR(__xludf.DUMMYFUNCTION("""COMPUTED_VALUE"""),"Владимир Пашков, Андрей Панин")</f>
        <v>Владимир Пашков, Андрей Панин</v>
      </c>
      <c r="K582" s="6" t="str">
        <f>IFERROR(__xludf.DUMMYFUNCTION("""COMPUTED_VALUE"""),"Памятник Ленину ")</f>
        <v>Памятник Ленину </v>
      </c>
      <c r="L582" s="6" t="str">
        <f>IFERROR(__xludf.DUMMYFUNCTION("""COMPUTED_VALUE"""),"Смелость города берет ")</f>
        <v>Смелость города берет </v>
      </c>
      <c r="M582" s="6" t="str">
        <f>IFERROR(__xludf.DUMMYFUNCTION("""COMPUTED_VALUE"""),"Нет")</f>
        <v>Нет</v>
      </c>
      <c r="N582" s="6" t="str">
        <f>IFERROR(__xludf.DUMMYFUNCTION("""COMPUTED_VALUE"""),"Удобный, компактный, чистый, ухоженный, тихий  ")</f>
        <v>Удобный, компактный, чистый, ухоженный, тихий  </v>
      </c>
      <c r="O582" s="6" t="str">
        <f>IFERROR(__xludf.DUMMYFUNCTION("""COMPUTED_VALUE"""),"Цены на продукты ")</f>
        <v>Цены на продукты </v>
      </c>
      <c r="P582" s="6" t="str">
        <f>IFERROR(__xludf.DUMMYFUNCTION("""COMPUTED_VALUE"""),"В группе инцидент Кемерово в инстаграме ")</f>
        <v>В группе инцидент Кемерово в инстаграме </v>
      </c>
      <c r="Q58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v>
      </c>
      <c r="R582" s="6" t="str">
        <f>IFERROR(__xludf.DUMMYFUNCTION("""COMPUTED_VALUE"""),"Новый год, день шахтера, 1мая, 9 мая ")</f>
        <v>Новый год, день шахтера, 1мая, 9 мая </v>
      </c>
      <c r="S582" s="6" t="str">
        <f>IFERROR(__xludf.DUMMYFUNCTION("""COMPUTED_VALUE"""),"Нет, не приходилось")</f>
        <v>Нет, не приходилось</v>
      </c>
      <c r="T582" s="6" t="str">
        <f>IFERROR(__xludf.DUMMYFUNCTION("""COMPUTED_VALUE"""),"Угольный город ")</f>
        <v>Угольный город </v>
      </c>
      <c r="U582" s="6" t="str">
        <f>IFERROR(__xludf.DUMMYFUNCTION("""COMPUTED_VALUE"""),"Статуя Ленина в центре города ")</f>
        <v>Статуя Ленина в центре города </v>
      </c>
      <c r="V582" s="6" t="str">
        <f>IFERROR(__xludf.DUMMYFUNCTION("""COMPUTED_VALUE"""),"Я не знаю ")</f>
        <v>Я не знаю </v>
      </c>
      <c r="W582" s="6" t="str">
        <f>IFERROR(__xludf.DUMMYFUNCTION("""COMPUTED_VALUE"""),"Дружелюбные")</f>
        <v>Дружелюбные</v>
      </c>
      <c r="X582" s="6" t="str">
        <f>IFERROR(__xludf.DUMMYFUNCTION("""COMPUTED_VALUE"""),"Маршрутка 1т")</f>
        <v>Маршрутка 1т</v>
      </c>
      <c r="Y582" s="6" t="str">
        <f>IFERROR(__xludf.DUMMYFUNCTION("""COMPUTED_VALUE"""),"Пётр 1 нашёл руды ")</f>
        <v>Пётр 1 нашёл руды </v>
      </c>
      <c r="Z582" s="6" t="str">
        <f>IFERROR(__xludf.DUMMYFUNCTION("""COMPUTED_VALUE"""),"Никакие ")</f>
        <v>Никакие </v>
      </c>
      <c r="AA582" s="6" t="str">
        <f>IFERROR(__xludf.DUMMYFUNCTION("""COMPUTED_VALUE"""),"Убийство студентки ")</f>
        <v>Убийство студентки </v>
      </c>
      <c r="AB582" s="6" t="str">
        <f>IFERROR(__xludf.DUMMYFUNCTION("""COMPUTED_VALUE"""),"Всего хватает ")</f>
        <v>Всего хватает </v>
      </c>
      <c r="AC582" s="6" t="str">
        <f>IFERROR(__xludf.DUMMYFUNCTION("""COMPUTED_VALUE"""),"Масштабные праздники ")</f>
        <v>Масштабные праздники </v>
      </c>
      <c r="AD58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82" s="6" t="str">
        <f>IFERROR(__xludf.DUMMYFUNCTION("""COMPUTED_VALUE"""),"Женский")</f>
        <v>Женский</v>
      </c>
      <c r="AF582" s="6" t="str">
        <f>IFERROR(__xludf.DUMMYFUNCTION("""COMPUTED_VALUE"""),"18-29")</f>
        <v>18-29</v>
      </c>
      <c r="AG582" s="6"/>
      <c r="AH582" s="6"/>
      <c r="AI582" s="6"/>
      <c r="AJ582" s="6"/>
      <c r="AK582" s="6"/>
      <c r="AL582" s="6"/>
      <c r="AM582" s="6"/>
    </row>
    <row r="583">
      <c r="A583" s="6">
        <v>582.0</v>
      </c>
      <c r="B583" s="6" t="str">
        <f>IFERROR(__xludf.DUMMYFUNCTION("""COMPUTED_VALUE"""),"студент")</f>
        <v>студент</v>
      </c>
      <c r="C583" s="6" t="str">
        <f>IFERROR(__xludf.DUMMYFUNCTION("""COMPUTED_VALUE"""),"нет")</f>
        <v>нет</v>
      </c>
      <c r="D583" s="6" t="str">
        <f>IFERROR(__xludf.DUMMYFUNCTION("""COMPUTED_VALUE"""),"Ленинский")</f>
        <v>Ленинский</v>
      </c>
      <c r="E583" s="6" t="str">
        <f>IFERROR(__xludf.DUMMYFUNCTION("""COMPUTED_VALUE"""),"Кузбасс парк, Бульвар строителей, комсомольский парк")</f>
        <v>Кузбасс парк, Бульвар строителей, комсомольский парк</v>
      </c>
      <c r="F583" s="6" t="str">
        <f>IFERROR(__xludf.DUMMYFUNCTION("""COMPUTED_VALUE"""),"Живу здесь с рождения")</f>
        <v>Живу здесь с рождения</v>
      </c>
      <c r="G583" s="6" t="str">
        <f>IFERROR(__xludf.DUMMYFUNCTION("""COMPUTED_VALUE"""),"Кузбасс парк")</f>
        <v>Кузбасс парк</v>
      </c>
      <c r="H583" s="6" t="str">
        <f>IFERROR(__xludf.DUMMYFUNCTION("""COMPUTED_VALUE"""),"Грязь, дым, ямы на дорогах")</f>
        <v>Грязь, дым, ямы на дорогах</v>
      </c>
      <c r="I583" s="6" t="str">
        <f>IFERROR(__xludf.DUMMYFUNCTION("""COMPUTED_VALUE"""),"Леонов, Мартемьянов")</f>
        <v>Леонов, Мартемьянов</v>
      </c>
      <c r="J583" s="6" t="str">
        <f>IFERROR(__xludf.DUMMYFUNCTION("""COMPUTED_VALUE"""),"Тулеев")</f>
        <v>Тулеев</v>
      </c>
      <c r="K583" s="6" t="str">
        <f>IFERROR(__xludf.DUMMYFUNCTION("""COMPUTED_VALUE"""),"Набережная")</f>
        <v>Набережная</v>
      </c>
      <c r="L583" s="6" t="str">
        <f>IFERROR(__xludf.DUMMYFUNCTION("""COMPUTED_VALUE"""),"не знаю")</f>
        <v>не знаю</v>
      </c>
      <c r="M583" s="6" t="str">
        <f>IFERROR(__xludf.DUMMYFUNCTION("""COMPUTED_VALUE"""),"холодно по-кемеровски")</f>
        <v>холодно по-кемеровски</v>
      </c>
      <c r="N583" s="6" t="str">
        <f>IFERROR(__xludf.DUMMYFUNCTION("""COMPUTED_VALUE"""),"Чистота, безопасность на дорогах, хорошее освещение, порядок в общественных местах, доступные цены в магазинах")</f>
        <v>Чистота, безопасность на дорогах, хорошее освещение, порядок в общественных местах, доступные цены в магазинах</v>
      </c>
      <c r="O583" s="6" t="str">
        <f>IFERROR(__xludf.DUMMYFUNCTION("""COMPUTED_VALUE"""),"Цены на продукты и недвижимость")</f>
        <v>Цены на продукты и недвижимость</v>
      </c>
      <c r="P583" s="6" t="str">
        <f>IFERROR(__xludf.DUMMYFUNCTION("""COMPUTED_VALUE"""),"инстаграм")</f>
        <v>инстаграм</v>
      </c>
      <c r="Q583" s="6" t="str">
        <f>IFERROR(__xludf.DUMMYFUNCTION("""COMPUTED_VALUE"""),"где вкусно поесть/открытие новых кафе/ресторанов, интервью с местными творческими личностями")</f>
        <v>где вкусно поесть/открытие новых кафе/ресторанов, интервью с местными творческими личностями</v>
      </c>
      <c r="R583" s="6" t="str">
        <f>IFERROR(__xludf.DUMMYFUNCTION("""COMPUTED_VALUE"""),"День города, день шахтера, 300 лет Кузбассу, день победыУгледобыча")</f>
        <v>День города, день шахтера, 300 лет Кузбассу, день победыУгледобыча</v>
      </c>
      <c r="S583" s="6" t="str">
        <f>IFERROR(__xludf.DUMMYFUNCTION("""COMPUTED_VALUE"""),"Писал и расклеивал объявления/афиши")</f>
        <v>Писал и расклеивал объявления/афиши</v>
      </c>
      <c r="T583" s="6" t="str">
        <f>IFERROR(__xludf.DUMMYFUNCTION("""COMPUTED_VALUE"""),"Город знаменит угледобычей")</f>
        <v>Город знаменит угледобычей</v>
      </c>
      <c r="U583" s="6" t="str">
        <f>IFERROR(__xludf.DUMMYFUNCTION("""COMPUTED_VALUE"""),"Притомская набережная, площадь советов")</f>
        <v>Притомская набережная, площадь советов</v>
      </c>
      <c r="V583" s="6" t="str">
        <f>IFERROR(__xludf.DUMMYFUNCTION("""COMPUTED_VALUE"""),"проживают ")</f>
        <v>проживают </v>
      </c>
      <c r="W583" s="6" t="str">
        <f>IFERROR(__xludf.DUMMYFUNCTION("""COMPUTED_VALUE"""),"нищие, бедные люди")</f>
        <v>нищие, бедные люди</v>
      </c>
      <c r="X583" s="6" t="str">
        <f>IFERROR(__xludf.DUMMYFUNCTION("""COMPUTED_VALUE"""),"Томская писанница")</f>
        <v>Томская писанница</v>
      </c>
      <c r="Y583" s="6" t="str">
        <f>IFERROR(__xludf.DUMMYFUNCTION("""COMPUTED_VALUE"""),"межгородний транспорт")</f>
        <v>межгородний транспорт</v>
      </c>
      <c r="Z583" s="6" t="str">
        <f>IFERROR(__xludf.DUMMYFUNCTION("""COMPUTED_VALUE"""),"день города")</f>
        <v>день города</v>
      </c>
      <c r="AA583" s="6" t="str">
        <f>IFERROR(__xludf.DUMMYFUNCTION("""COMPUTED_VALUE"""),"митинг в честь пожара на зимней вищне")</f>
        <v>митинг в честь пожара на зимней вищне</v>
      </c>
      <c r="AB583" s="6" t="str">
        <f>IFERROR(__xludf.DUMMYFUNCTION("""COMPUTED_VALUE"""),"не хватает денег")</f>
        <v>не хватает денег</v>
      </c>
      <c r="AC583" s="6" t="str">
        <f>IFERROR(__xludf.DUMMYFUNCTION("""COMPUTED_VALUE"""),"встречи с губернатором лично для обсуждения проблем")</f>
        <v>встречи с губернатором лично для обсуждения проблем</v>
      </c>
      <c r="AD58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583" s="6" t="str">
        <f>IFERROR(__xludf.DUMMYFUNCTION("""COMPUTED_VALUE"""),"Женский")</f>
        <v>Женский</v>
      </c>
      <c r="AF583" s="6" t="str">
        <f>IFERROR(__xludf.DUMMYFUNCTION("""COMPUTED_VALUE"""),"18-29")</f>
        <v>18-29</v>
      </c>
      <c r="AG583" s="6"/>
      <c r="AH583" s="6"/>
      <c r="AI583" s="6"/>
      <c r="AJ583" s="6"/>
      <c r="AK583" s="6"/>
      <c r="AL583" s="6"/>
      <c r="AM583" s="6"/>
    </row>
    <row r="584">
      <c r="A584" s="6">
        <v>583.0</v>
      </c>
      <c r="B584" s="6" t="str">
        <f>IFERROR(__xludf.DUMMYFUNCTION("""COMPUTED_VALUE"""),"студент")</f>
        <v>студент</v>
      </c>
      <c r="C584" s="6" t="str">
        <f>IFERROR(__xludf.DUMMYFUNCTION("""COMPUTED_VALUE"""),"танцы, фотография, пение, чтение")</f>
        <v>танцы, фотография, пение, чтение</v>
      </c>
      <c r="D584" s="6" t="str">
        <f>IFERROR(__xludf.DUMMYFUNCTION("""COMPUTED_VALUE"""),"Ленинский район")</f>
        <v>Ленинский район</v>
      </c>
      <c r="E584" s="6" t="str">
        <f>IFERROR(__xludf.DUMMYFUNCTION("""COMPUTED_VALUE"""),"Бульвар")</f>
        <v>Бульвар</v>
      </c>
      <c r="F584" s="6" t="str">
        <f>IFERROR(__xludf.DUMMYFUNCTION("""COMPUTED_VALUE"""),"Переехал сюда из другого места (откуда? укажите в графе другое), переехала из Казахстана, на учебу")</f>
        <v>Переехал сюда из другого места (откуда? укажите в графе другое), переехала из Казахстана, на учебу</v>
      </c>
      <c r="G584" s="6" t="str">
        <f>IFERROR(__xludf.DUMMYFUNCTION("""COMPUTED_VALUE"""),"бульвар, разные тц")</f>
        <v>бульвар, разные тц</v>
      </c>
      <c r="H584" s="6" t="str">
        <f>IFERROR(__xludf.DUMMYFUNCTION("""COMPUTED_VALUE"""),"тихий, спокойный,уютный, грязный, маленький")</f>
        <v>тихий, спокойный,уютный, грязный, маленький</v>
      </c>
      <c r="I584" s="6" t="str">
        <f>IFERROR(__xludf.DUMMYFUNCTION("""COMPUTED_VALUE"""),".")</f>
        <v>.</v>
      </c>
      <c r="J584" s="6" t="str">
        <f>IFERROR(__xludf.DUMMYFUNCTION("""COMPUTED_VALUE"""),".")</f>
        <v>.</v>
      </c>
      <c r="K584" s="6" t="str">
        <f>IFERROR(__xludf.DUMMYFUNCTION("""COMPUTED_VALUE"""),"набережная")</f>
        <v>набережная</v>
      </c>
      <c r="L584" s="6" t="str">
        <f>IFERROR(__xludf.DUMMYFUNCTION("""COMPUTED_VALUE"""),".")</f>
        <v>.</v>
      </c>
      <c r="M584" s="6" t="str">
        <f>IFERROR(__xludf.DUMMYFUNCTION("""COMPUTED_VALUE"""),".")</f>
        <v>.</v>
      </c>
      <c r="N584" s="6" t="str">
        <f>IFERROR(__xludf.DUMMYFUNCTION("""COMPUTED_VALUE"""),"чистые улицы, тишина, развлекательные заведения, хорошие места отдыха")</f>
        <v>чистые улицы, тишина, развлекательные заведения, хорошие места отдыха</v>
      </c>
      <c r="O584" s="6" t="str">
        <f>IFERROR(__xludf.DUMMYFUNCTION("""COMPUTED_VALUE"""),"цены на жилье, очистить улицы от мусора, заменить старые маршрутки на новые, более вместительные")</f>
        <v>цены на жилье, очистить улицы от мусора, заменить старые маршрутки на новые, более вместительные</v>
      </c>
      <c r="P584" s="6" t="str">
        <f>IFERROR(__xludf.DUMMYFUNCTION("""COMPUTED_VALUE"""),"ВК, инстаграм")</f>
        <v>ВК, инстаграм</v>
      </c>
      <c r="Q584"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584" s="6" t="str">
        <f>IFERROR(__xludf.DUMMYFUNCTION("""COMPUTED_VALUE"""),".")</f>
        <v>.</v>
      </c>
      <c r="S584" s="6" t="str">
        <f>IFERROR(__xludf.DUMMYFUNCTION("""COMPUTED_VALUE"""),"Нет, не приходилось")</f>
        <v>Нет, не приходилось</v>
      </c>
      <c r="T584" s="6" t="str">
        <f>IFERROR(__xludf.DUMMYFUNCTION("""COMPUTED_VALUE""")," .")</f>
        <v> .</v>
      </c>
      <c r="U584" s="6" t="str">
        <f>IFERROR(__xludf.DUMMYFUNCTION("""COMPUTED_VALUE"""),"площадь советов")</f>
        <v>площадь советов</v>
      </c>
      <c r="V584" s="6" t="str">
        <f>IFERROR(__xludf.DUMMYFUNCTION("""COMPUTED_VALUE"""),".")</f>
        <v>.</v>
      </c>
      <c r="W584" s="6" t="str">
        <f>IFERROR(__xludf.DUMMYFUNCTION("""COMPUTED_VALUE"""),"спокойные, хмурые")</f>
        <v>спокойные, хмурые</v>
      </c>
      <c r="X584" s="6" t="str">
        <f>IFERROR(__xludf.DUMMYFUNCTION("""COMPUTED_VALUE"""),"набережная")</f>
        <v>набережная</v>
      </c>
      <c r="Y584" s="6" t="str">
        <f>IFERROR(__xludf.DUMMYFUNCTION("""COMPUTED_VALUE"""),".")</f>
        <v>.</v>
      </c>
      <c r="Z584" s="6" t="str">
        <f>IFERROR(__xludf.DUMMYFUNCTION("""COMPUTED_VALUE"""),"поступление в вуз")</f>
        <v>поступление в вуз</v>
      </c>
      <c r="AA584" s="6" t="str">
        <f>IFERROR(__xludf.DUMMYFUNCTION("""COMPUTED_VALUE"""),".")</f>
        <v>.</v>
      </c>
      <c r="AB584" s="6" t="str">
        <f>IFERROR(__xludf.DUMMYFUNCTION("""COMPUTED_VALUE"""),".")</f>
        <v>.</v>
      </c>
      <c r="AC584" s="6" t="str">
        <f>IFERROR(__xludf.DUMMYFUNCTION("""COMPUTED_VALUE"""),"разные концерты")</f>
        <v>разные концерты</v>
      </c>
      <c r="AD58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84" s="6" t="str">
        <f>IFERROR(__xludf.DUMMYFUNCTION("""COMPUTED_VALUE"""),"Женский")</f>
        <v>Женский</v>
      </c>
      <c r="AF584" s="6" t="str">
        <f>IFERROR(__xludf.DUMMYFUNCTION("""COMPUTED_VALUE"""),"18-29")</f>
        <v>18-29</v>
      </c>
      <c r="AG584" s="6"/>
      <c r="AH584" s="6"/>
      <c r="AI584" s="6"/>
      <c r="AJ584" s="6"/>
      <c r="AK584" s="6"/>
      <c r="AL584" s="6"/>
      <c r="AM584" s="6"/>
    </row>
    <row r="585">
      <c r="A585" s="6">
        <v>584.0</v>
      </c>
      <c r="B585" s="6" t="str">
        <f>IFERROR(__xludf.DUMMYFUNCTION("""COMPUTED_VALUE"""),"СТУДЕНТ")</f>
        <v>СТУДЕНТ</v>
      </c>
      <c r="C585" s="6" t="str">
        <f>IFERROR(__xludf.DUMMYFUNCTION("""COMPUTED_VALUE"""),"фотография, фортепиано")</f>
        <v>фотография, фортепиано</v>
      </c>
      <c r="D585" s="6" t="str">
        <f>IFERROR(__xludf.DUMMYFUNCTION("""COMPUTED_VALUE"""),"Ленинский район")</f>
        <v>Ленинский район</v>
      </c>
      <c r="E585" s="6" t="str">
        <f>IFERROR(__xludf.DUMMYFUNCTION("""COMPUTED_VALUE"""),"Бульвар")</f>
        <v>Бульвар</v>
      </c>
      <c r="F585" s="6" t="str">
        <f>IFERROR(__xludf.DUMMYFUNCTION("""COMPUTED_VALUE"""),"Переехал сюда из другого места (откуда? укажите в графе другое), иностарнный студент")</f>
        <v>Переехал сюда из другого места (откуда? укажите в графе другое), иностарнный студент</v>
      </c>
      <c r="G585" s="6" t="str">
        <f>IFERROR(__xludf.DUMMYFUNCTION("""COMPUTED_VALUE"""),"бульвар")</f>
        <v>бульвар</v>
      </c>
      <c r="H585" s="6" t="str">
        <f>IFERROR(__xludf.DUMMYFUNCTION("""COMPUTED_VALUE"""),"тихий, зеленый, маленький, старый, грязный")</f>
        <v>тихий, зеленый, маленький, старый, грязный</v>
      </c>
      <c r="I585" s="6" t="str">
        <f>IFERROR(__xludf.DUMMYFUNCTION("""COMPUTED_VALUE"""),".")</f>
        <v>.</v>
      </c>
      <c r="J585" s="6" t="str">
        <f>IFERROR(__xludf.DUMMYFUNCTION("""COMPUTED_VALUE"""),".")</f>
        <v>.</v>
      </c>
      <c r="K585" s="6" t="str">
        <f>IFERROR(__xludf.DUMMYFUNCTION("""COMPUTED_VALUE"""),"бульвар, набережная")</f>
        <v>бульвар, набережная</v>
      </c>
      <c r="L585" s="6" t="str">
        <f>IFERROR(__xludf.DUMMYFUNCTION("""COMPUTED_VALUE"""),".")</f>
        <v>.</v>
      </c>
      <c r="M585" s="6" t="str">
        <f>IFERROR(__xludf.DUMMYFUNCTION("""COMPUTED_VALUE"""),"нет не знаю")</f>
        <v>нет не знаю</v>
      </c>
      <c r="N585" s="6" t="str">
        <f>IFERROR(__xludf.DUMMYFUNCTION("""COMPUTED_VALUE"""),"тишина, чистота, развлечения, доступные цены")</f>
        <v>тишина, чистота, развлечения, доступные цены</v>
      </c>
      <c r="O585" s="6" t="str">
        <f>IFERROR(__xludf.DUMMYFUNCTION("""COMPUTED_VALUE"""),"заменить общественный транспорт, ")</f>
        <v>заменить общественный транспорт, </v>
      </c>
      <c r="P585" s="6" t="str">
        <f>IFERROR(__xludf.DUMMYFUNCTION("""COMPUTED_VALUE"""),"вконтакте, инстаграм")</f>
        <v>вконтакте, инстаграм</v>
      </c>
      <c r="Q58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85" s="6" t="str">
        <f>IFERROR(__xludf.DUMMYFUNCTION("""COMPUTED_VALUE"""),".")</f>
        <v>.</v>
      </c>
      <c r="S585" s="6" t="str">
        <f>IFERROR(__xludf.DUMMYFUNCTION("""COMPUTED_VALUE"""),"Нет, не приходилось")</f>
        <v>Нет, не приходилось</v>
      </c>
      <c r="T585" s="6" t="str">
        <f>IFERROR(__xludf.DUMMYFUNCTION("""COMPUTED_VALUE"""),".")</f>
        <v>.</v>
      </c>
      <c r="U585" s="6" t="str">
        <f>IFERROR(__xludf.DUMMYFUNCTION("""COMPUTED_VALUE"""),"площадь советов")</f>
        <v>площадь советов</v>
      </c>
      <c r="V585" s="6" t="str">
        <f>IFERROR(__xludf.DUMMYFUNCTION("""COMPUTED_VALUE"""),".")</f>
        <v>.</v>
      </c>
      <c r="W585" s="6" t="str">
        <f>IFERROR(__xludf.DUMMYFUNCTION("""COMPUTED_VALUE"""),".")</f>
        <v>.</v>
      </c>
      <c r="X585" s="6" t="str">
        <f>IFERROR(__xludf.DUMMYFUNCTION("""COMPUTED_VALUE"""),".")</f>
        <v>.</v>
      </c>
      <c r="Y585" s="6" t="str">
        <f>IFERROR(__xludf.DUMMYFUNCTION("""COMPUTED_VALUE"""),".")</f>
        <v>.</v>
      </c>
      <c r="Z585" s="6" t="str">
        <f>IFERROR(__xludf.DUMMYFUNCTION("""COMPUTED_VALUE"""),".")</f>
        <v>.</v>
      </c>
      <c r="AA585" s="6" t="str">
        <f>IFERROR(__xludf.DUMMYFUNCTION("""COMPUTED_VALUE"""),".")</f>
        <v>.</v>
      </c>
      <c r="AB585" s="6" t="str">
        <f>IFERROR(__xludf.DUMMYFUNCTION("""COMPUTED_VALUE"""),".")</f>
        <v>.</v>
      </c>
      <c r="AC585" s="6" t="str">
        <f>IFERROR(__xludf.DUMMYFUNCTION("""COMPUTED_VALUE"""),".")</f>
        <v>.</v>
      </c>
      <c r="AD58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85" s="6" t="str">
        <f>IFERROR(__xludf.DUMMYFUNCTION("""COMPUTED_VALUE"""),"Женский")</f>
        <v>Женский</v>
      </c>
      <c r="AF585" s="6" t="str">
        <f>IFERROR(__xludf.DUMMYFUNCTION("""COMPUTED_VALUE"""),"18-29")</f>
        <v>18-29</v>
      </c>
      <c r="AG585" s="6"/>
      <c r="AH585" s="6"/>
      <c r="AI585" s="6"/>
      <c r="AJ585" s="6"/>
      <c r="AK585" s="6"/>
      <c r="AL585" s="6"/>
      <c r="AM585" s="6"/>
    </row>
    <row r="586">
      <c r="A586" s="6">
        <v>585.0</v>
      </c>
      <c r="B586" s="6" t="str">
        <f>IFERROR(__xludf.DUMMYFUNCTION("""COMPUTED_VALUE"""),"Учусть")</f>
        <v>Учусть</v>
      </c>
      <c r="C586" s="6" t="str">
        <f>IFERROR(__xludf.DUMMYFUNCTION("""COMPUTED_VALUE"""),"Играть футбол")</f>
        <v>Играть футбол</v>
      </c>
      <c r="D586" s="6" t="str">
        <f>IFERROR(__xludf.DUMMYFUNCTION("""COMPUTED_VALUE"""),"Бульвар")</f>
        <v>Бульвар</v>
      </c>
      <c r="E586" s="6" t="str">
        <f>IFERROR(__xludf.DUMMYFUNCTION("""COMPUTED_VALUE"""),"Парк ")</f>
        <v>Парк </v>
      </c>
      <c r="F586" s="6" t="str">
        <f>IFERROR(__xludf.DUMMYFUNCTION("""COMPUTED_VALUE"""),"Учусть ")</f>
        <v>Учусть </v>
      </c>
      <c r="G586" s="6" t="str">
        <f>IFERROR(__xludf.DUMMYFUNCTION("""COMPUTED_VALUE"""),"Никуда")</f>
        <v>Никуда</v>
      </c>
      <c r="H586" s="6" t="str">
        <f>IFERROR(__xludf.DUMMYFUNCTION("""COMPUTED_VALUE"""),"Уютный, тихий, красивый, молодежный,  интересный")</f>
        <v>Уютный, тихий, красивый, молодежный,  интересный</v>
      </c>
      <c r="I586" s="6" t="str">
        <f>IFERROR(__xludf.DUMMYFUNCTION("""COMPUTED_VALUE"""),"Незнаю")</f>
        <v>Незнаю</v>
      </c>
      <c r="J586" s="6" t="str">
        <f>IFERROR(__xludf.DUMMYFUNCTION("""COMPUTED_VALUE"""),"Незнаю")</f>
        <v>Незнаю</v>
      </c>
      <c r="K586" s="6" t="str">
        <f>IFERROR(__xludf.DUMMYFUNCTION("""COMPUTED_VALUE"""),"Парк ангелов")</f>
        <v>Парк ангелов</v>
      </c>
      <c r="L586" s="6" t="str">
        <f>IFERROR(__xludf.DUMMYFUNCTION("""COMPUTED_VALUE"""),"Не знаю")</f>
        <v>Не знаю</v>
      </c>
      <c r="M586" s="6" t="str">
        <f>IFERROR(__xludf.DUMMYFUNCTION("""COMPUTED_VALUE"""),"Нет")</f>
        <v>Нет</v>
      </c>
      <c r="N586" s="6" t="str">
        <f>IFERROR(__xludf.DUMMYFUNCTION("""COMPUTED_VALUE"""),"Уютный, тихий,")</f>
        <v>Уютный, тихий,</v>
      </c>
      <c r="O586" s="6" t="str">
        <f>IFERROR(__xludf.DUMMYFUNCTION("""COMPUTED_VALUE"""),"Цены на жилье")</f>
        <v>Цены на жилье</v>
      </c>
      <c r="P586" s="6" t="str">
        <f>IFERROR(__xludf.DUMMYFUNCTION("""COMPUTED_VALUE"""),"Чп.Кемерово ")</f>
        <v>Чп.Кемерово </v>
      </c>
      <c r="Q58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86" s="6" t="str">
        <f>IFERROR(__xludf.DUMMYFUNCTION("""COMPUTED_VALUE"""),"День города")</f>
        <v>День города</v>
      </c>
      <c r="S586" s="6" t="str">
        <f>IFERROR(__xludf.DUMMYFUNCTION("""COMPUTED_VALUE"""),"Нет, не приходилось")</f>
        <v>Нет, не приходилось</v>
      </c>
      <c r="T586" s="6" t="str">
        <f>IFERROR(__xludf.DUMMYFUNCTION("""COMPUTED_VALUE"""),"Центр города")</f>
        <v>Центр города</v>
      </c>
      <c r="U586" s="6" t="str">
        <f>IFERROR(__xludf.DUMMYFUNCTION("""COMPUTED_VALUE"""),"Кирово")</f>
        <v>Кирово</v>
      </c>
      <c r="V586" s="6" t="str">
        <f>IFERROR(__xludf.DUMMYFUNCTION("""COMPUTED_VALUE"""),"Не знаю")</f>
        <v>Не знаю</v>
      </c>
      <c r="W586" s="6" t="str">
        <f>IFERROR(__xludf.DUMMYFUNCTION("""COMPUTED_VALUE"""),"Добрые, дружелюбные")</f>
        <v>Добрые, дружелюбные</v>
      </c>
      <c r="X586" s="6" t="str">
        <f>IFERROR(__xludf.DUMMYFUNCTION("""COMPUTED_VALUE"""),"28т")</f>
        <v>28т</v>
      </c>
      <c r="Y586" s="6" t="str">
        <f>IFERROR(__xludf.DUMMYFUNCTION("""COMPUTED_VALUE"""),"Музей ")</f>
        <v>Музей </v>
      </c>
      <c r="Z586" s="6" t="str">
        <f>IFERROR(__xludf.DUMMYFUNCTION("""COMPUTED_VALUE"""),"Нету")</f>
        <v>Нету</v>
      </c>
      <c r="AA586" s="6" t="str">
        <f>IFERROR(__xludf.DUMMYFUNCTION("""COMPUTED_VALUE"""),"Нету")</f>
        <v>Нету</v>
      </c>
      <c r="AB586" s="6" t="str">
        <f>IFERROR(__xludf.DUMMYFUNCTION("""COMPUTED_VALUE"""),"Не хватает ")</f>
        <v>Не хватает </v>
      </c>
      <c r="AC586" s="6" t="str">
        <f>IFERROR(__xludf.DUMMYFUNCTION("""COMPUTED_VALUE"""),"Театральные мероприятия")</f>
        <v>Театральные мероприятия</v>
      </c>
      <c r="AD58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86" s="6" t="str">
        <f>IFERROR(__xludf.DUMMYFUNCTION("""COMPUTED_VALUE"""),"Мужской")</f>
        <v>Мужской</v>
      </c>
      <c r="AF586" s="6" t="str">
        <f>IFERROR(__xludf.DUMMYFUNCTION("""COMPUTED_VALUE"""),"18-29")</f>
        <v>18-29</v>
      </c>
      <c r="AG586" s="6"/>
      <c r="AH586" s="6"/>
      <c r="AI586" s="6"/>
      <c r="AJ586" s="6"/>
      <c r="AK586" s="6"/>
      <c r="AL586" s="6"/>
      <c r="AM586" s="6"/>
    </row>
    <row r="587">
      <c r="A587" s="6">
        <v>586.0</v>
      </c>
      <c r="B587" s="6" t="str">
        <f>IFERROR(__xludf.DUMMYFUNCTION("""COMPUTED_VALUE"""),"Студент ")</f>
        <v>Студент </v>
      </c>
      <c r="C587" s="6" t="str">
        <f>IFERROR(__xludf.DUMMYFUNCTION("""COMPUTED_VALUE"""),"Люблю баскетбол, гулять")</f>
        <v>Люблю баскетбол, гулять</v>
      </c>
      <c r="D587" s="6" t="str">
        <f>IFERROR(__xludf.DUMMYFUNCTION("""COMPUTED_VALUE"""),"Ленинградском, бульвар")</f>
        <v>Ленинградском, бульвар</v>
      </c>
      <c r="E587" s="6" t="str">
        <f>IFERROR(__xludf.DUMMYFUNCTION("""COMPUTED_VALUE"""),"Мемориал славы, память шахтёрам Кузбасса, памятник Ленина.")</f>
        <v>Мемориал славы, память шахтёрам Кузбасса, памятник Ленина.</v>
      </c>
      <c r="F587" s="6" t="str">
        <f>IFERROR(__xludf.DUMMYFUNCTION("""COMPUTED_VALUE"""),"Приехала учиться ")</f>
        <v>Приехала учиться </v>
      </c>
      <c r="G587" s="6" t="str">
        <f>IFERROR(__xludf.DUMMYFUNCTION("""COMPUTED_VALUE"""),"Парк «Чудес» ")</f>
        <v>Парк «Чудес» </v>
      </c>
      <c r="H587" s="6" t="str">
        <f>IFERROR(__xludf.DUMMYFUNCTION("""COMPUTED_VALUE"""),"Символ путеводности, стремления к достижению цели, вечности, мечты.")</f>
        <v>Символ путеводности, стремления к достижению цели, вечности, мечты.</v>
      </c>
      <c r="I587" s="6" t="str">
        <f>IFERROR(__xludf.DUMMYFUNCTION("""COMPUTED_VALUE"""),"Абызов Михаил Петрович, Волкова Михайлов ")</f>
        <v>Абызов Михаил Петрович, Волкова Михайлов </v>
      </c>
      <c r="J587" s="6" t="str">
        <f>IFERROR(__xludf.DUMMYFUNCTION("""COMPUTED_VALUE"""),"Рачинский ")</f>
        <v>Рачинский </v>
      </c>
      <c r="K587" s="6" t="str">
        <f>IFERROR(__xludf.DUMMYFUNCTION("""COMPUTED_VALUE"""),"Ленина ")</f>
        <v>Ленина </v>
      </c>
      <c r="L587" s="6" t="str">
        <f>IFERROR(__xludf.DUMMYFUNCTION("""COMPUTED_VALUE"""),"Не знаю ")</f>
        <v>Не знаю </v>
      </c>
      <c r="M587" s="6" t="str">
        <f>IFERROR(__xludf.DUMMYFUNCTION("""COMPUTED_VALUE"""),"Нет")</f>
        <v>Нет</v>
      </c>
      <c r="N587" s="6" t="str">
        <f>IFERROR(__xludf.DUMMYFUNCTION("""COMPUTED_VALUE"""),"Не знаю")</f>
        <v>Не знаю</v>
      </c>
      <c r="O587" s="6" t="str">
        <f>IFERROR(__xludf.DUMMYFUNCTION("""COMPUTED_VALUE"""),"Дороги ")</f>
        <v>Дороги </v>
      </c>
      <c r="P587" s="6" t="str">
        <f>IFERROR(__xludf.DUMMYFUNCTION("""COMPUTED_VALUE"""),"Интернет")</f>
        <v>Интернет</v>
      </c>
      <c r="Q587" s="6" t="str">
        <f>IFERROR(__xludf.DUMMYFUNCTION("""COMPUTED_VALUE"""),"новости про новые профессии/куда поступать/вакансии")</f>
        <v>новости про новые профессии/куда поступать/вакансии</v>
      </c>
      <c r="R587" s="6" t="str">
        <f>IFERROR(__xludf.DUMMYFUNCTION("""COMPUTED_VALUE"""),"Не знаю ")</f>
        <v>Не знаю </v>
      </c>
      <c r="S587" s="6" t="str">
        <f>IFERROR(__xludf.DUMMYFUNCTION("""COMPUTED_VALUE"""),"Нет, не приходилось")</f>
        <v>Нет, не приходилось</v>
      </c>
      <c r="T587" s="6" t="str">
        <f>IFERROR(__xludf.DUMMYFUNCTION("""COMPUTED_VALUE"""),"Не знаю ")</f>
        <v>Не знаю </v>
      </c>
      <c r="U587" s="6" t="str">
        <f>IFERROR(__xludf.DUMMYFUNCTION("""COMPUTED_VALUE"""),"Не знаю ")</f>
        <v>Не знаю </v>
      </c>
      <c r="V587" s="6" t="str">
        <f>IFERROR(__xludf.DUMMYFUNCTION("""COMPUTED_VALUE"""),"Нет")</f>
        <v>Нет</v>
      </c>
      <c r="W587" s="6" t="str">
        <f>IFERROR(__xludf.DUMMYFUNCTION("""COMPUTED_VALUE"""),"Не знаю ")</f>
        <v>Не знаю </v>
      </c>
      <c r="X587" s="6" t="str">
        <f>IFERROR(__xludf.DUMMYFUNCTION("""COMPUTED_VALUE"""),"Парки ")</f>
        <v>Парки </v>
      </c>
      <c r="Y587" s="6" t="str">
        <f>IFERROR(__xludf.DUMMYFUNCTION("""COMPUTED_VALUE"""),"Не знаю")</f>
        <v>Не знаю</v>
      </c>
      <c r="Z587" s="6" t="str">
        <f>IFERROR(__xludf.DUMMYFUNCTION("""COMPUTED_VALUE"""),"Не знаю")</f>
        <v>Не знаю</v>
      </c>
      <c r="AA587" s="6" t="str">
        <f>IFERROR(__xludf.DUMMYFUNCTION("""COMPUTED_VALUE"""),"Не знаю ")</f>
        <v>Не знаю </v>
      </c>
      <c r="AB587" s="6" t="str">
        <f>IFERROR(__xludf.DUMMYFUNCTION("""COMPUTED_VALUE"""),"Аквапарк ")</f>
        <v>Аквапарк </v>
      </c>
      <c r="AC587" s="6" t="str">
        <f>IFERROR(__xludf.DUMMYFUNCTION("""COMPUTED_VALUE"""),"Не знаю ")</f>
        <v>Не знаю </v>
      </c>
      <c r="AD58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87" s="6" t="str">
        <f>IFERROR(__xludf.DUMMYFUNCTION("""COMPUTED_VALUE"""),"Женский")</f>
        <v>Женский</v>
      </c>
      <c r="AF587" s="6" t="str">
        <f>IFERROR(__xludf.DUMMYFUNCTION("""COMPUTED_VALUE"""),"18-29")</f>
        <v>18-29</v>
      </c>
      <c r="AG587" s="6"/>
      <c r="AH587" s="6"/>
      <c r="AI587" s="6"/>
      <c r="AJ587" s="6"/>
      <c r="AK587" s="6"/>
      <c r="AL587" s="6"/>
      <c r="AM587" s="6"/>
    </row>
    <row r="588">
      <c r="A588" s="6">
        <v>587.0</v>
      </c>
      <c r="B588" s="6" t="str">
        <f>IFERROR(__xludf.DUMMYFUNCTION("""COMPUTED_VALUE"""),"IT")</f>
        <v>IT</v>
      </c>
      <c r="C588" s="6" t="str">
        <f>IFERROR(__xludf.DUMMYFUNCTION("""COMPUTED_VALUE"""),"Гитара, вокал")</f>
        <v>Гитара, вокал</v>
      </c>
      <c r="D588" s="6" t="str">
        <f>IFERROR(__xludf.DUMMYFUNCTION("""COMPUTED_VALUE"""),"Центральный")</f>
        <v>Центральный</v>
      </c>
      <c r="E588" s="6" t="str">
        <f>IFERROR(__xludf.DUMMYFUNCTION("""COMPUTED_VALUE"""),"ТЦ, кинотеатры, Гор.сад, театр драмы, оперетта, филармония, ""Небо"" - бывший Байконур и прочие концертные площадки, ул. Весенняя, ""Тарелка"" (сквер ""Орбита""), Harat`s Irish Pub")</f>
        <v>ТЦ, кинотеатры, Гор.сад, театр драмы, оперетта, филармония, "Небо" - бывший Байконур и прочие концертные площадки, ул. Весенняя, "Тарелка" (сквер "Орбита"), Harat`s Irish Pub</v>
      </c>
      <c r="F588" s="6" t="str">
        <f>IFERROR(__xludf.DUMMYFUNCTION("""COMPUTED_VALUE"""),"Переехал сюда из другого места (откуда? укажите в графе другое), Л.Кузнецкий")</f>
        <v>Переехал сюда из другого места (откуда? укажите в графе другое), Л.Кузнецкий</v>
      </c>
      <c r="G588" s="6" t="str">
        <f>IFERROR(__xludf.DUMMYFUNCTION("""COMPUTED_VALUE"""),"ТЦ, кинотеатры, концертные площадки, бары, бассейн")</f>
        <v>ТЦ, кинотеатры, концертные площадки, бары, бассейн</v>
      </c>
      <c r="H588" s="6" t="str">
        <f>IFERROR(__xludf.DUMMYFUNCTION("""COMPUTED_VALUE"""),"уголь, шахтёр, Сибирь, столица (Кузбасса), центр")</f>
        <v>уголь, шахтёр, Сибирь, столица (Кузбасса), центр</v>
      </c>
      <c r="I588" s="6" t="str">
        <f>IFERROR(__xludf.DUMMYFUNCTION("""COMPUTED_VALUE"""),"Рутгерс С. Ю. Волков М., Бобров А. К., Волошина В. Д., Рукавишников С. И.")</f>
        <v>Рутгерс С. Ю. Волков М., Бобров А. К., Волошина В. Д., Рукавишников С. И.</v>
      </c>
      <c r="J588" s="6" t="str">
        <f>IFERROR(__xludf.DUMMYFUNCTION("""COMPUTED_VALUE"""),"Леонов А. А., Гришковец Е.В., Головин С., ")</f>
        <v>Леонов А. А., Гришковец Е.В., Головин С., </v>
      </c>
      <c r="K588" s="6" t="str">
        <f>IFERROR(__xludf.DUMMYFUNCTION("""COMPUTED_VALUE"""),"Памятник Погибшим Шахтерам, Музей-Заповедник ""Красная Горка"", Парк ангелов, Лесная поляна")</f>
        <v>Памятник Погибшим Шахтерам, Музей-Заповедник "Красная Горка", Парк ангелов, Лесная поляна</v>
      </c>
      <c r="L588" s="6" t="str">
        <f>IFERROR(__xludf.DUMMYFUNCTION("""COMPUTED_VALUE"""),"нет таких, которые бы ассоциировались с Кемерово или его жителями")</f>
        <v>нет таких, которые бы ассоциировались с Кемерово или его жителями</v>
      </c>
      <c r="M588" s="6" t="str">
        <f>IFERROR(__xludf.DUMMYFUNCTION("""COMPUTED_VALUE"""),"нет")</f>
        <v>нет</v>
      </c>
      <c r="N588" s="6" t="str">
        <f>IFERROR(__xludf.DUMMYFUNCTION("""COMPUTED_VALUE"""),"низкий уровень преступности, адекватные заработные платы и стоимость недвижимости, чистота, наличие удобной инфраструктуры")</f>
        <v>низкий уровень преступности, адекватные заработные платы и стоимость недвижимости, чистота, наличие удобной инфраструктуры</v>
      </c>
      <c r="O588" s="6" t="str">
        <f>IFERROR(__xludf.DUMMYFUNCTION("""COMPUTED_VALUE"""),"построить объездную дорогу для грузового транспорта")</f>
        <v>построить объездную дорогу для грузового транспорта</v>
      </c>
      <c r="P588" s="6" t="str">
        <f>IFERROR(__xludf.DUMMYFUNCTION("""COMPUTED_VALUE"""),"А42.ru, В контакте")</f>
        <v>А42.ru, В контакте</v>
      </c>
      <c r="Q588"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результаты местных исс"&amp;"ледований (рейтинги/аналитика/тенденции)")</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v>
      </c>
      <c r="R588" s="6" t="str">
        <f>IFERROR(__xludf.DUMMYFUNCTION("""COMPUTED_VALUE"""),"9 мая, день города, новый год")</f>
        <v>9 мая, день города, новый год</v>
      </c>
      <c r="S588" s="6" t="str">
        <f>IFERROR(__xludf.DUMMYFUNCTION("""COMPUTED_VALUE"""),"Через социальные сети (Какие? Укажите в графе другое), концерт группы, в ВК ")</f>
        <v>Через социальные сети (Какие? Укажите в графе другое), концерт группы, в ВК </v>
      </c>
      <c r="T588" s="6" t="str">
        <f>IFERROR(__xludf.DUMMYFUNCTION("""COMPUTED_VALUE"""),"проведение фестиваля ""Герои мирового рока"", спортивные соревнования международного уровня")</f>
        <v>проведение фестиваля "Герои мирового рока", спортивные соревнования международного уровня</v>
      </c>
      <c r="U588" s="6" t="str">
        <f>IFERROR(__xludf.DUMMYFUNCTION("""COMPUTED_VALUE"""),"улица Весенняя")</f>
        <v>улица Весенняя</v>
      </c>
      <c r="V588" s="6" t="str">
        <f>IFERROR(__xludf.DUMMYFUNCTION("""COMPUTED_VALUE"""),"Основали и развили градообразующие предприятия, застроили и развили инфраструктуру города, чтобы он не превратился в придаток к шахтам")</f>
        <v>Основали и развили градообразующие предприятия, застроили и развили инфраструктуру города, чтобы он не превратился в придаток к шахтам</v>
      </c>
      <c r="W588" s="6" t="str">
        <f>IFERROR(__xludf.DUMMYFUNCTION("""COMPUTED_VALUE"""),"нет уникальных черт, все люди разные в частностях, и схожие в общем, как и в других городах.")</f>
        <v>нет уникальных черт, все люди разные в частностях, и схожие в общем, как и в других городах.</v>
      </c>
      <c r="X588" s="6" t="str">
        <f>IFERROR(__xludf.DUMMYFUNCTION("""COMPUTED_VALUE"""),"в центре, Кирова - Весенняя - Островского - пл. Пушкина - сквер ""Орбита"" - набережная")</f>
        <v>в центре, Кирова - Весенняя - Островского - пл. Пушкина - сквер "Орбита" - набережная</v>
      </c>
      <c r="Y588" s="6" t="str">
        <f>IFERROR(__xludf.DUMMYFUNCTION("""COMPUTED_VALUE"""),"затрудняюсь выделить какое то событие, которое было бы на порядок значимее остальных. в целом - нет событий, которое выделяло бы его среди других городов,  чтобы сказать ""а вот у нас в городе ..."",")</f>
        <v>затрудняюсь выделить какое то событие, которое было бы на порядок значимее остальных. в целом - нет событий, которое выделяло бы его среди других городов,  чтобы сказать "а вот у нас в городе ...",</v>
      </c>
      <c r="Z588" s="6" t="str">
        <f>IFERROR(__xludf.DUMMYFUNCTION("""COMPUTED_VALUE"""),"""Герои мирового рока""")</f>
        <v>"Герои мирового рока"</v>
      </c>
      <c r="AA588" s="6" t="str">
        <f>IFERROR(__xludf.DUMMYFUNCTION("""COMPUTED_VALUE"""),"брожения навальнят")</f>
        <v>брожения навальнят</v>
      </c>
      <c r="AB588" s="6" t="str">
        <f>IFERROR(__xludf.DUMMYFUNCTION("""COMPUTED_VALUE"""),"мне хватает сообществ по моим интересам")</f>
        <v>мне хватает сообществ по моим интересам</v>
      </c>
      <c r="AC588" s="6" t="str">
        <f>IFERROR(__xludf.DUMMYFUNCTION("""COMPUTED_VALUE"""),"творческие фестивали, тематические мастер-классы, киномарафоны, выставки, исторические проекты")</f>
        <v>творческие фестивали, тематические мастер-классы, киномарафоны, выставки, исторические проекты</v>
      </c>
      <c r="AD588" s="6" t="str">
        <f>IFERROR(__xludf.DUMMYFUNCTION("""COMPUTED_VALUE"""),"Профессионала. Обучать, проводить занятия, мастер-классы, лекции, тренинги, оказать консультацию (укажите тему в поле ""Другое""), IT")</f>
        <v>Профессионала. Обучать, проводить занятия, мастер-классы, лекции, тренинги, оказать консультацию (укажите тему в поле "Другое"), IT</v>
      </c>
      <c r="AE588" s="6" t="str">
        <f>IFERROR(__xludf.DUMMYFUNCTION("""COMPUTED_VALUE"""),"Мужской")</f>
        <v>Мужской</v>
      </c>
      <c r="AF588" s="6" t="str">
        <f>IFERROR(__xludf.DUMMYFUNCTION("""COMPUTED_VALUE"""),"30-44")</f>
        <v>30-44</v>
      </c>
      <c r="AG588" s="6"/>
      <c r="AH588" s="6"/>
      <c r="AI588" s="6"/>
      <c r="AJ588" s="6"/>
      <c r="AK588" s="6"/>
      <c r="AL588" s="6"/>
      <c r="AM588" s="6"/>
    </row>
    <row r="589">
      <c r="A589" s="6">
        <v>588.0</v>
      </c>
      <c r="B589" s="6" t="str">
        <f>IFERROR(__xludf.DUMMYFUNCTION("""COMPUTED_VALUE"""),"Учусь")</f>
        <v>Учусь</v>
      </c>
      <c r="C589" s="6" t="str">
        <f>IFERROR(__xludf.DUMMYFUNCTION("""COMPUTED_VALUE"""),"Кузбасс")</f>
        <v>Кузбасс</v>
      </c>
      <c r="D589" s="6" t="str">
        <f>IFERROR(__xludf.DUMMYFUNCTION("""COMPUTED_VALUE"""),"Кемерово")</f>
        <v>Кемерово</v>
      </c>
      <c r="E589" s="6" t="str">
        <f>IFERROR(__xludf.DUMMYFUNCTION("""COMPUTED_VALUE"""),"Кузбасс")</f>
        <v>Кузбасс</v>
      </c>
      <c r="F58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589" s="6" t="str">
        <f>IFERROR(__xludf.DUMMYFUNCTION("""COMPUTED_VALUE"""),"Кузбасс")</f>
        <v>Кузбасс</v>
      </c>
      <c r="H589" s="6" t="str">
        <f>IFERROR(__xludf.DUMMYFUNCTION("""COMPUTED_VALUE"""),"Чисто, магазин, торговый центр, кузбасс, кино")</f>
        <v>Чисто, магазин, торговый центр, кузбасс, кино</v>
      </c>
      <c r="I589" s="6" t="str">
        <f>IFERROR(__xludf.DUMMYFUNCTION("""COMPUTED_VALUE"""),"Кузбасс")</f>
        <v>Кузбасс</v>
      </c>
      <c r="J589" s="6" t="str">
        <f>IFERROR(__xludf.DUMMYFUNCTION("""COMPUTED_VALUE"""),"Кузбасс")</f>
        <v>Кузбасс</v>
      </c>
      <c r="K589" s="6" t="str">
        <f>IFERROR(__xludf.DUMMYFUNCTION("""COMPUTED_VALUE"""),"Кузбасс")</f>
        <v>Кузбасс</v>
      </c>
      <c r="L589" s="6" t="str">
        <f>IFERROR(__xludf.DUMMYFUNCTION("""COMPUTED_VALUE"""),"Кузбасс")</f>
        <v>Кузбасс</v>
      </c>
      <c r="M589" s="6" t="str">
        <f>IFERROR(__xludf.DUMMYFUNCTION("""COMPUTED_VALUE"""),"Кузбасс")</f>
        <v>Кузбасс</v>
      </c>
      <c r="N589" s="6" t="str">
        <f>IFERROR(__xludf.DUMMYFUNCTION("""COMPUTED_VALUE"""),"Кузбасс")</f>
        <v>Кузбасс</v>
      </c>
      <c r="O589" s="6" t="str">
        <f>IFERROR(__xludf.DUMMYFUNCTION("""COMPUTED_VALUE"""),"Кузбасс")</f>
        <v>Кузбасс</v>
      </c>
      <c r="P589" s="6" t="str">
        <f>IFERROR(__xludf.DUMMYFUNCTION("""COMPUTED_VALUE"""),"Кузбасс")</f>
        <v>Кузбасс</v>
      </c>
      <c r="Q589" s="6" t="str">
        <f>IFERROR(__xludf.DUMMYFUNCTION("""COMPUTED_VALUE"""),"криминальные новости (происшествия/преступления)")</f>
        <v>криминальные новости (происшествия/преступления)</v>
      </c>
      <c r="R589" s="6" t="str">
        <f>IFERROR(__xludf.DUMMYFUNCTION("""COMPUTED_VALUE"""),"Кузбасс")</f>
        <v>Кузбасс</v>
      </c>
      <c r="S589" s="6" t="str">
        <f>IFERROR(__xludf.DUMMYFUNCTION("""COMPUTED_VALUE"""),"Нет, не приходилось")</f>
        <v>Нет, не приходилось</v>
      </c>
      <c r="T589" s="6" t="str">
        <f>IFERROR(__xludf.DUMMYFUNCTION("""COMPUTED_VALUE"""),"Кузбасс")</f>
        <v>Кузбасс</v>
      </c>
      <c r="U589" s="6" t="str">
        <f>IFERROR(__xludf.DUMMYFUNCTION("""COMPUTED_VALUE"""),"Кузбасс")</f>
        <v>Кузбасс</v>
      </c>
      <c r="V589" s="6" t="str">
        <f>IFERROR(__xludf.DUMMYFUNCTION("""COMPUTED_VALUE"""),"Кузбасс")</f>
        <v>Кузбасс</v>
      </c>
      <c r="W589" s="6" t="str">
        <f>IFERROR(__xludf.DUMMYFUNCTION("""COMPUTED_VALUE"""),"Кузбасс")</f>
        <v>Кузбасс</v>
      </c>
      <c r="X589" s="6" t="str">
        <f>IFERROR(__xludf.DUMMYFUNCTION("""COMPUTED_VALUE"""),"Кузбасс")</f>
        <v>Кузбасс</v>
      </c>
      <c r="Y589" s="6" t="str">
        <f>IFERROR(__xludf.DUMMYFUNCTION("""COMPUTED_VALUE"""),"Кузбасс")</f>
        <v>Кузбасс</v>
      </c>
      <c r="Z589" s="6" t="str">
        <f>IFERROR(__xludf.DUMMYFUNCTION("""COMPUTED_VALUE"""),"Кузбасс")</f>
        <v>Кузбасс</v>
      </c>
      <c r="AA589" s="6" t="str">
        <f>IFERROR(__xludf.DUMMYFUNCTION("""COMPUTED_VALUE"""),"Кузбасс")</f>
        <v>Кузбасс</v>
      </c>
      <c r="AB589" s="6" t="str">
        <f>IFERROR(__xludf.DUMMYFUNCTION("""COMPUTED_VALUE"""),"Кузбасс")</f>
        <v>Кузбасс</v>
      </c>
      <c r="AC589" s="6" t="str">
        <f>IFERROR(__xludf.DUMMYFUNCTION("""COMPUTED_VALUE"""),"Кузбасс")</f>
        <v>Кузбасс</v>
      </c>
      <c r="AD58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589" s="6" t="str">
        <f>IFERROR(__xludf.DUMMYFUNCTION("""COMPUTED_VALUE"""),"Мужской")</f>
        <v>Мужской</v>
      </c>
      <c r="AF589" s="6" t="str">
        <f>IFERROR(__xludf.DUMMYFUNCTION("""COMPUTED_VALUE"""),"18-29")</f>
        <v>18-29</v>
      </c>
      <c r="AG589" s="6"/>
      <c r="AH589" s="6"/>
      <c r="AI589" s="6"/>
      <c r="AJ589" s="6"/>
      <c r="AK589" s="6"/>
      <c r="AL589" s="6"/>
      <c r="AM589" s="6"/>
    </row>
    <row r="590">
      <c r="A590" s="6">
        <v>589.0</v>
      </c>
      <c r="B590" s="6" t="str">
        <f>IFERROR(__xludf.DUMMYFUNCTION("""COMPUTED_VALUE"""),"Студент")</f>
        <v>Студент</v>
      </c>
      <c r="C590" s="6" t="str">
        <f>IFERROR(__xludf.DUMMYFUNCTION("""COMPUTED_VALUE"""),"Рисование")</f>
        <v>Рисование</v>
      </c>
      <c r="D590" s="6" t="str">
        <f>IFERROR(__xludf.DUMMYFUNCTION("""COMPUTED_VALUE"""),"Заводской район. Также")</f>
        <v>Заводской район. Также</v>
      </c>
      <c r="E590" s="6" t="str">
        <f>IFERROR(__xludf.DUMMYFUNCTION("""COMPUTED_VALUE"""),"Не знаю")</f>
        <v>Не знаю</v>
      </c>
      <c r="F590" s="6" t="str">
        <f>IFERROR(__xludf.DUMMYFUNCTION("""COMPUTED_VALUE"""),"Живу здесь с рождения")</f>
        <v>Живу здесь с рождения</v>
      </c>
      <c r="G590" s="6" t="str">
        <f>IFERROR(__xludf.DUMMYFUNCTION("""COMPUTED_VALUE"""),"Гуляю по улицам города")</f>
        <v>Гуляю по улицам города</v>
      </c>
      <c r="H590" s="6" t="str">
        <f>IFERROR(__xludf.DUMMYFUNCTION("""COMPUTED_VALUE"""),"Дом, спокойствие, размеренность ")</f>
        <v>Дом, спокойствие, размеренность </v>
      </c>
      <c r="I590" s="6" t="str">
        <f>IFERROR(__xludf.DUMMYFUNCTION("""COMPUTED_VALUE"""),"Борис Александров")</f>
        <v>Борис Александров</v>
      </c>
      <c r="J590" s="6" t="str">
        <f>IFERROR(__xludf.DUMMYFUNCTION("""COMPUTED_VALUE"""),"Елена Малышева, Виктор Логинов")</f>
        <v>Елена Малышева, Виктор Логинов</v>
      </c>
      <c r="K590" s="6" t="str">
        <f>IFERROR(__xludf.DUMMYFUNCTION("""COMPUTED_VALUE"""),"Площадь Волкова, парк Ангелов, площадь Советов")</f>
        <v>Площадь Волкова, парк Ангелов, площадь Советов</v>
      </c>
      <c r="L590" s="6" t="str">
        <f>IFERROR(__xludf.DUMMYFUNCTION("""COMPUTED_VALUE"""),"не знаю")</f>
        <v>не знаю</v>
      </c>
      <c r="M590" s="6" t="str">
        <f>IFERROR(__xludf.DUMMYFUNCTION("""COMPUTED_VALUE"""),"микрашка")</f>
        <v>микрашка</v>
      </c>
      <c r="N590" s="6" t="str">
        <f>IFERROR(__xludf.DUMMYFUNCTION("""COMPUTED_VALUE"""),"Удобные маршруты передвижения, развлекательные мероприятия, удобное расписание автобусов, хороший уровень мед.помощи")</f>
        <v>Удобные маршруты передвижения, развлекательные мероприятия, удобное расписание автобусов, хороший уровень мед.помощи</v>
      </c>
      <c r="O590" s="6" t="str">
        <f>IFERROR(__xludf.DUMMYFUNCTION("""COMPUTED_VALUE"""),"Улучшить экологическое состояние города")</f>
        <v>Улучшить экологическое состояние города</v>
      </c>
      <c r="P590" s="6" t="str">
        <f>IFERROR(__xludf.DUMMYFUNCTION("""COMPUTED_VALUE"""),"Вконтакте, телевидение  ")</f>
        <v>Вконтакте, телевидение  </v>
      </c>
      <c r="Q590" s="6" t="str">
        <f>IFERROR(__xludf.DUMMYFUNCTION("""COMPUTED_VALUE"""),"куда пойти в свободное время, где вкусно поесть/открытие новых кафе/ресторанов, культурные новинки (что почитать/что послушать), криминальные новости (происшествия/преступления)")</f>
        <v>куда пойти в свободное время, где вкусно поесть/открытие новых кафе/ресторанов, культурные новинки (что почитать/что послушать), криминальные новости (происшествия/преступления)</v>
      </c>
      <c r="R590" s="6" t="str">
        <f>IFERROR(__xludf.DUMMYFUNCTION("""COMPUTED_VALUE"""),"День города ")</f>
        <v>День города </v>
      </c>
      <c r="S590" s="6" t="str">
        <f>IFERROR(__xludf.DUMMYFUNCTION("""COMPUTED_VALUE"""),"Нет, не приходилось")</f>
        <v>Нет, не приходилось</v>
      </c>
      <c r="T590" s="6" t="str">
        <f>IFERROR(__xludf.DUMMYFUNCTION("""COMPUTED_VALUE"""),"Знаменит парком Ангелов")</f>
        <v>Знаменит парком Ангелов</v>
      </c>
      <c r="U590" s="6" t="str">
        <f>IFERROR(__xludf.DUMMYFUNCTION("""COMPUTED_VALUE"""),"Цирк")</f>
        <v>Цирк</v>
      </c>
      <c r="V590" s="6" t="str">
        <f>IFERROR(__xludf.DUMMYFUNCTION("""COMPUTED_VALUE"""),"Развитие промышленности, ")</f>
        <v>Развитие промышленности, </v>
      </c>
      <c r="W590" s="6" t="str">
        <f>IFERROR(__xludf.DUMMYFUNCTION("""COMPUTED_VALUE"""),"Спокойные, доброжелательные люди")</f>
        <v>Спокойные, доброжелательные люди</v>
      </c>
      <c r="X590" s="6" t="str">
        <f>IFERROR(__xludf.DUMMYFUNCTION("""COMPUTED_VALUE"""),"площадь Советов, парк Ангелов, цирк")</f>
        <v>площадь Советов, парк Ангелов, цирк</v>
      </c>
      <c r="Y590" s="6" t="str">
        <f>IFERROR(__xludf.DUMMYFUNCTION("""COMPUTED_VALUE"""),"трагедия в Зимней вишне")</f>
        <v>трагедия в Зимней вишне</v>
      </c>
      <c r="Z590" s="6" t="str">
        <f>IFERROR(__xludf.DUMMYFUNCTION("""COMPUTED_VALUE"""),"день детей в парке Антошка")</f>
        <v>день детей в парке Антошка</v>
      </c>
      <c r="AA590" s="6" t="str">
        <f>IFERROR(__xludf.DUMMYFUNCTION("""COMPUTED_VALUE"""),"не было ")</f>
        <v>не было </v>
      </c>
      <c r="AB590" s="6" t="str">
        <f>IFERROR(__xludf.DUMMYFUNCTION("""COMPUTED_VALUE"""),"творческих")</f>
        <v>творческих</v>
      </c>
      <c r="AC590" s="6" t="str">
        <f>IFERROR(__xludf.DUMMYFUNCTION("""COMPUTED_VALUE"""),"мероприятия развлекательного характера")</f>
        <v>мероприятия развлекательного характера</v>
      </c>
      <c r="AD59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590" s="6" t="str">
        <f>IFERROR(__xludf.DUMMYFUNCTION("""COMPUTED_VALUE"""),"Женский")</f>
        <v>Женский</v>
      </c>
      <c r="AF590" s="6" t="str">
        <f>IFERROR(__xludf.DUMMYFUNCTION("""COMPUTED_VALUE"""),"18-29")</f>
        <v>18-29</v>
      </c>
      <c r="AG590" s="6"/>
      <c r="AH590" s="6"/>
      <c r="AI590" s="6"/>
      <c r="AJ590" s="6"/>
      <c r="AK590" s="6"/>
      <c r="AL590" s="6"/>
      <c r="AM590" s="6"/>
    </row>
    <row r="591">
      <c r="A591" s="6">
        <v>590.0</v>
      </c>
      <c r="B591" s="6" t="str">
        <f>IFERROR(__xludf.DUMMYFUNCTION("""COMPUTED_VALUE"""),"Студент")</f>
        <v>Студент</v>
      </c>
      <c r="C591" s="6" t="str">
        <f>IFERROR(__xludf.DUMMYFUNCTION("""COMPUTED_VALUE"""),"Петь,танцевать")</f>
        <v>Петь,танцевать</v>
      </c>
      <c r="D591" s="6" t="str">
        <f>IFERROR(__xludf.DUMMYFUNCTION("""COMPUTED_VALUE"""),"Ленинский ")</f>
        <v>Ленинский </v>
      </c>
      <c r="E591" s="6" t="str">
        <f>IFERROR(__xludf.DUMMYFUNCTION("""COMPUTED_VALUE"""),"Бульвар")</f>
        <v>Бульвар</v>
      </c>
      <c r="F591" s="6" t="str">
        <f>IFERROR(__xludf.DUMMYFUNCTION("""COMPUTED_VALUE"""),"Приезжий")</f>
        <v>Приезжий</v>
      </c>
      <c r="G591" s="6" t="str">
        <f>IFERROR(__xludf.DUMMYFUNCTION("""COMPUTED_VALUE"""),"Парк ангелов")</f>
        <v>Парк ангелов</v>
      </c>
      <c r="H591" s="6" t="str">
        <f>IFERROR(__xludf.DUMMYFUNCTION("""COMPUTED_VALUE"""),"Парк,бульвар,общежитие,комната,корпус")</f>
        <v>Парк,бульвар,общежитие,комната,корпус</v>
      </c>
      <c r="I591" s="6" t="str">
        <f>IFERROR(__xludf.DUMMYFUNCTION("""COMPUTED_VALUE"""),"Сестра")</f>
        <v>Сестра</v>
      </c>
      <c r="J591" s="6" t="str">
        <f>IFERROR(__xludf.DUMMYFUNCTION("""COMPUTED_VALUE"""),"Незнаю")</f>
        <v>Незнаю</v>
      </c>
      <c r="K591" s="6" t="str">
        <f>IFERROR(__xludf.DUMMYFUNCTION("""COMPUTED_VALUE"""),"Парк чудес")</f>
        <v>Парк чудес</v>
      </c>
      <c r="L591" s="6" t="str">
        <f>IFERROR(__xludf.DUMMYFUNCTION("""COMPUTED_VALUE"""),"Нет")</f>
        <v>Нет</v>
      </c>
      <c r="M591" s="6" t="str">
        <f>IFERROR(__xludf.DUMMYFUNCTION("""COMPUTED_VALUE"""),"Нет")</f>
        <v>Нет</v>
      </c>
      <c r="N591" s="6" t="str">
        <f>IFERROR(__xludf.DUMMYFUNCTION("""COMPUTED_VALUE"""),"Нет")</f>
        <v>Нет</v>
      </c>
      <c r="O591" s="6" t="str">
        <f>IFERROR(__xludf.DUMMYFUNCTION("""COMPUTED_VALUE"""),"Чистоту ")</f>
        <v>Чистоту </v>
      </c>
      <c r="P591" s="6" t="str">
        <f>IFERROR(__xludf.DUMMYFUNCTION("""COMPUTED_VALUE"""),"Интернет")</f>
        <v>Интернет</v>
      </c>
      <c r="Q591"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91" s="6" t="str">
        <f>IFERROR(__xludf.DUMMYFUNCTION("""COMPUTED_VALUE"""),"День города")</f>
        <v>День города</v>
      </c>
      <c r="S591" s="6" t="str">
        <f>IFERROR(__xludf.DUMMYFUNCTION("""COMPUTED_VALUE"""),"Нет, не приходилось")</f>
        <v>Нет, не приходилось</v>
      </c>
      <c r="T591" s="6" t="str">
        <f>IFERROR(__xludf.DUMMYFUNCTION("""COMPUTED_VALUE"""),"Скромный тихий город")</f>
        <v>Скромный тихий город</v>
      </c>
      <c r="U591" s="6" t="str">
        <f>IFERROR(__xludf.DUMMYFUNCTION("""COMPUTED_VALUE"""),"Кузбасс")</f>
        <v>Кузбасс</v>
      </c>
      <c r="V591" s="6" t="str">
        <f>IFERROR(__xludf.DUMMYFUNCTION("""COMPUTED_VALUE"""),"Кузбасс")</f>
        <v>Кузбасс</v>
      </c>
      <c r="W591" s="6" t="str">
        <f>IFERROR(__xludf.DUMMYFUNCTION("""COMPUTED_VALUE"""),"Хорошие ")</f>
        <v>Хорошие </v>
      </c>
      <c r="X591" s="6" t="str">
        <f>IFERROR(__xludf.DUMMYFUNCTION("""COMPUTED_VALUE"""),"Лапландия ")</f>
        <v>Лапландия </v>
      </c>
      <c r="Y591" s="6" t="str">
        <f>IFERROR(__xludf.DUMMYFUNCTION("""COMPUTED_VALUE"""),"Нет")</f>
        <v>Нет</v>
      </c>
      <c r="Z591" s="6" t="str">
        <f>IFERROR(__xludf.DUMMYFUNCTION("""COMPUTED_VALUE"""),"Нет")</f>
        <v>Нет</v>
      </c>
      <c r="AA591" s="6" t="str">
        <f>IFERROR(__xludf.DUMMYFUNCTION("""COMPUTED_VALUE"""),"Нет")</f>
        <v>Нет</v>
      </c>
      <c r="AB591" s="6" t="str">
        <f>IFERROR(__xludf.DUMMYFUNCTION("""COMPUTED_VALUE"""),"Нет")</f>
        <v>Нет</v>
      </c>
      <c r="AC591" s="6" t="str">
        <f>IFERROR(__xludf.DUMMYFUNCTION("""COMPUTED_VALUE"""),"Нет")</f>
        <v>Нет</v>
      </c>
      <c r="AD59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v>
      </c>
      <c r="AE591" s="6" t="str">
        <f>IFERROR(__xludf.DUMMYFUNCTION("""COMPUTED_VALUE"""),"Женский")</f>
        <v>Женский</v>
      </c>
      <c r="AF591" s="6" t="str">
        <f>IFERROR(__xludf.DUMMYFUNCTION("""COMPUTED_VALUE"""),"18-29")</f>
        <v>18-29</v>
      </c>
      <c r="AG591" s="6"/>
      <c r="AH591" s="6"/>
      <c r="AI591" s="6"/>
      <c r="AJ591" s="6"/>
      <c r="AK591" s="6"/>
      <c r="AL591" s="6"/>
      <c r="AM591" s="6"/>
    </row>
    <row r="592">
      <c r="A592" s="6">
        <v>591.0</v>
      </c>
      <c r="B592" s="6" t="str">
        <f>IFERROR(__xludf.DUMMYFUNCTION("""COMPUTED_VALUE"""),"Продажи, аккаунтинг проектов.")</f>
        <v>Продажи, аккаунтинг проектов.</v>
      </c>
      <c r="C592" s="6" t="str">
        <f>IFERROR(__xludf.DUMMYFUNCTION("""COMPUTED_VALUE"""),"Столярная мастерская. Растёт из хобби в бизнес.")</f>
        <v>Столярная мастерская. Растёт из хобби в бизнес.</v>
      </c>
      <c r="D592" s="6" t="str">
        <f>IFERROR(__xludf.DUMMYFUNCTION("""COMPUTED_VALUE"""),"Лесная поляна. В обиходе называю просто Поляной.")</f>
        <v>Лесная поляна. В обиходе называю просто Поляной.</v>
      </c>
      <c r="E592" s="6" t="str">
        <f>IFERROR(__xludf.DUMMYFUNCTION("""COMPUTED_VALUE"""),"Лесная поляна, Центр, Бульвар строителей после реконструкции.")</f>
        <v>Лесная поляна, Центр, Бульвар строителей после реконструкции.</v>
      </c>
      <c r="F592" s="6" t="str">
        <f>IFERROR(__xludf.DUMMYFUNCTION("""COMPUTED_VALUE"""),"Живу здесь с рождения")</f>
        <v>Живу здесь с рождения</v>
      </c>
      <c r="G592" s="6" t="str">
        <f>IFERROR(__xludf.DUMMYFUNCTION("""COMPUTED_VALUE"""),"Гуляю по Поляне, Центру.")</f>
        <v>Гуляю по Поляне, Центру.</v>
      </c>
      <c r="H592" s="6" t="str">
        <f>IFERROR(__xludf.DUMMYFUNCTION("""COMPUTED_VALUE"""),"Инерция, медлительность, традиционность, превозмогание, надежда. ))")</f>
        <v>Инерция, медлительность, традиционность, превозмогание, надежда. ))</v>
      </c>
      <c r="I592" s="6" t="str">
        <f>IFERROR(__xludf.DUMMYFUNCTION("""COMPUTED_VALUE"""),"Волков, Тулеев.")</f>
        <v>Волков, Тулеев.</v>
      </c>
      <c r="J592" s="6" t="str">
        <f>IFERROR(__xludf.DUMMYFUNCTION("""COMPUTED_VALUE"""),"Затрудняюсь ответить.")</f>
        <v>Затрудняюсь ответить.</v>
      </c>
      <c r="K592" s="6" t="str">
        <f>IFERROR(__xludf.DUMMYFUNCTION("""COMPUTED_VALUE"""),"Парк на Поляне, Олень там же, весь центр, включая некоторые памятники во дворах, находящиеся в шаговой доступности, бульвар строителей, как образец того, что здесь возможны площадки для людей, Сосновый бор.")</f>
        <v>Парк на Поляне, Олень там же, весь центр, включая некоторые памятники во дворах, находящиеся в шаговой доступности, бульвар строителей, как образец того, что здесь возможны площадки для людей, Сосновый бор.</v>
      </c>
      <c r="L592" s="6" t="str">
        <f>IFERROR(__xludf.DUMMYFUNCTION("""COMPUTED_VALUE"""),"Где родился, там и пригодился? )) В последнее время много кто отсюда уезжает, предпочитая заботиться о собственном комфорте, а не о родном крае.")</f>
        <v>Где родился, там и пригодился? )) В последнее время много кто отсюда уезжает, предпочитая заботиться о собственном комфорте, а не о родном крае.</v>
      </c>
      <c r="M592" s="6" t="str">
        <f>IFERROR(__xludf.DUMMYFUNCTION("""COMPUTED_VALUE"""),"Уверен, что ""локальных мемов"" много, но чтобы их выделить, надо сравнивать с манерой говорить в других географических областях. Опыт тут у меня небольшой, поэтому тоже сложно выделить что-то конкретное.")</f>
        <v>Уверен, что "локальных мемов" много, но чтобы их выделить, надо сравнивать с манерой говорить в других географических областях. Опыт тут у меня небольшой, поэтому тоже сложно выделить что-то конкретное.</v>
      </c>
      <c r="N592" s="6" t="str">
        <f>IFERROR(__xludf.DUMMYFUNCTION("""COMPUTED_VALUE"""),"пешеходные дорожки, разводка транспортных потоков, доступность магазинов, своевременность уборки (снега, мусора), скорость реакции администрации на возникающие проблемы.")</f>
        <v>пешеходные дорожки, разводка транспортных потоков, доступность магазинов, своевременность уборки (снега, мусора), скорость реакции администрации на возникающие проблемы.</v>
      </c>
      <c r="O592" s="6" t="str">
        <f>IFERROR(__xludf.DUMMYFUNCTION("""COMPUTED_VALUE"""),"расстояние от народа до администрации. слишком долго идёт информация наверх и слишком долго возвращается решение. та же яма на пересечении Сибиряков-Соборной это очень явно показала.")</f>
        <v>расстояние от народа до администрации. слишком долго идёт информация наверх и слишком долго возвращается решение. та же яма на пересечении Сибиряков-Соборной это очень явно показала.</v>
      </c>
      <c r="P592" s="6" t="str">
        <f>IFERROR(__xludf.DUMMYFUNCTION("""COMPUTED_VALUE"""),"Соцсети, аккаунты Vse42.")</f>
        <v>Соцсети, аккаунты Vse42.</v>
      </c>
      <c r="Q592" s="6" t="str">
        <f>IFERROR(__xludf.DUMMYFUNCTION("""COMPUTED_VALUE"""),"интервью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592" s="6" t="str">
        <f>IFERROR(__xludf.DUMMYFUNCTION("""COMPUTED_VALUE"""),"День города, день Шахтеров, Новый год. ))")</f>
        <v>День города, день Шахтеров, Новый год. ))</v>
      </c>
      <c r="S592" s="6" t="str">
        <f>IFERROR(__xludf.DUMMYFUNCTION("""COMPUTED_VALUE"""),"Был в составе организаторов мероприятия от KIA Motors в 2011 году и фестиваль Red Rock's на площади Советов в 2013. Оба раза руководил технической группой. Принимал участие в организации Гонки Героев от Дюк и К в 2018, автопробег 50 лет Автовазу в 2016 вр"&amp;"оде. ))")</f>
        <v>Был в составе организаторов мероприятия от KIA Motors в 2011 году и фестиваль Red Rock's на площади Советов в 2013. Оба раза руководил технической группой. Принимал участие в организации Гонки Героев от Дюк и К в 2018, автопробег 50 лет Автовазу в 2016 вроде. ))</v>
      </c>
      <c r="T592" s="6" t="str">
        <f>IFERROR(__xludf.DUMMYFUNCTION("""COMPUTED_VALUE"""),"На всю Россию и частично мир сильно известен Зимней Вишней. Пример плохой, но это прям широко известная ассоциация с городом. Насчёт уникального для жителей и гостей города вопрос хороший, не могу вспомнить что-то такое, что было бы прям уникальным.")</f>
        <v>На всю Россию и частично мир сильно известен Зимней Вишней. Пример плохой, но это прям широко известная ассоциация с городом. Насчёт уникального для жителей и гостей города вопрос хороший, не могу вспомнить что-то такое, что было бы прям уникальным.</v>
      </c>
      <c r="U592" s="6" t="str">
        <f>IFERROR(__xludf.DUMMYFUNCTION("""COMPUTED_VALUE"""),"Центр он центр и есть, помимо него можно выделить бор.")</f>
        <v>Центр он центр и есть, помимо него можно выделить бор.</v>
      </c>
      <c r="V592" s="6" t="str">
        <f>IFERROR(__xludf.DUMMYFUNCTION("""COMPUTED_VALUE"""),"Список получается большим, если вкратце, то вышли за пределы региона в своей работе. АЗОТ и его дочка ЦПЗ, Гудлайн и офис про который говорит, Атвинта и 49 место в Топ-100 агентств России. Город развивается не ""потому что"", а ""вопреки"" и старается рас"&amp;"ти несмотря ни на что.")</f>
        <v>Список получается большим, если вкратце, то вышли за пределы региона в своей работе. АЗОТ и его дочка ЦПЗ, Гудлайн и офис про который говорит, Атвинта и 49 место в Топ-100 агентств России. Город развивается не "потому что", а "вопреки" и старается расти несмотря ни на что.</v>
      </c>
      <c r="W592" s="6" t="str">
        <f>IFERROR(__xludf.DUMMYFUNCTION("""COMPUTED_VALUE"""),"разные, как и везде. спокойные, флегматичные, неторопливые. по ощущениям, Кемеровчане не очень любят перемены, отсрочка как раз к инерционности из 7 вопроса. Всё новое заходит очень медленно и осторожно.")</f>
        <v>разные, как и везде. спокойные, флегматичные, неторопливые. по ощущениям, Кемеровчане не очень любят перемены, отсрочка как раз к инерционности из 7 вопроса. Всё новое заходит очень медленно и осторожно.</v>
      </c>
      <c r="X592" s="6" t="str">
        <f>IFERROR(__xludf.DUMMYFUNCTION("""COMPUTED_VALUE"""),"Центр - Ленина - Бульвар строителей. Обновление исторического центра - серость и уныние большей части города - Место для людей и стремление к новому. неплохой контраст.")</f>
        <v>Центр - Ленина - Бульвар строителей. Обновление исторического центра - серость и уныние большей части города - Место для людей и стремление к новому. неплохой контраст.</v>
      </c>
      <c r="Y592" s="6" t="str">
        <f>IFERROR(__xludf.DUMMYFUNCTION("""COMPUTED_VALUE"""),"Нашли уголь. Без него ничего остального бы не было. ))")</f>
        <v>Нашли уголь. Без него ничего остального бы не было. ))</v>
      </c>
      <c r="Z592" s="6" t="str">
        <f>IFERROR(__xludf.DUMMYFUNCTION("""COMPUTED_VALUE"""),"Никаких. Внезапно.")</f>
        <v>Никаких. Внезапно.</v>
      </c>
      <c r="AA592" s="6" t="str">
        <f>IFERROR(__xludf.DUMMYFUNCTION("""COMPUTED_VALUE"""),"Обвинение пожарных после Зимней Вишни. Одно из самых ярких отпечатков в памяти по эмоциям. ")</f>
        <v>Обвинение пожарных после Зимней Вишни. Одно из самых ярких отпечатков в памяти по эмоциям. </v>
      </c>
      <c r="AB592" s="6" t="str">
        <f>IFERROR(__xludf.DUMMYFUNCTION("""COMPUTED_VALUE"""),"Затрудняюсь ответить. На первый взгляд есть всё необходимое.")</f>
        <v>Затрудняюсь ответить. На первый взгляд есть всё необходимое.</v>
      </c>
      <c r="AC592" s="6" t="str">
        <f>IFERROR(__xludf.DUMMYFUNCTION("""COMPUTED_VALUE"""),"Локальных рейтингов, выставок, достижений. В своей сфере все всё знают, но подавляющее большинство горожан не знает об этом ничего. Показать на широкую аудиторию какие-то достижения может помочь моральному духу, ощущениям от своего города.")</f>
        <v>Локальных рейтингов, выставок, достижений. В своей сфере все всё знают, но подавляющее большинство горожан не знает об этом ничего. Показать на широкую аудиторию какие-то достижения может помочь моральному духу, ощущениям от своего города.</v>
      </c>
      <c r="AD592"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Коммуникатора: Готов задействовать свои знакомства для приглашения потенциально заинтересованных участников, Немного тестирую передачу опыта молодым поколениям в рамках своей работы. ))")</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Немного тестирую передачу опыта молодым поколениям в рамках своей работы. ))</v>
      </c>
      <c r="AE592" s="6" t="str">
        <f>IFERROR(__xludf.DUMMYFUNCTION("""COMPUTED_VALUE"""),"Мужской")</f>
        <v>Мужской</v>
      </c>
      <c r="AF592" s="6" t="str">
        <f>IFERROR(__xludf.DUMMYFUNCTION("""COMPUTED_VALUE"""),"30-44")</f>
        <v>30-44</v>
      </c>
      <c r="AG592" s="6"/>
      <c r="AH592" s="6"/>
      <c r="AI592" s="6"/>
      <c r="AJ592" s="6"/>
      <c r="AK592" s="6"/>
      <c r="AL592" s="6"/>
      <c r="AM592" s="6"/>
    </row>
    <row r="593">
      <c r="A593" s="6">
        <v>592.0</v>
      </c>
      <c r="B593" s="6" t="str">
        <f>IFERROR(__xludf.DUMMYFUNCTION("""COMPUTED_VALUE"""),"Студентка")</f>
        <v>Студентка</v>
      </c>
      <c r="C593" s="6" t="str">
        <f>IFERROR(__xludf.DUMMYFUNCTION("""COMPUTED_VALUE"""),"Спорт")</f>
        <v>Спорт</v>
      </c>
      <c r="D593" s="6" t="str">
        <f>IFERROR(__xludf.DUMMYFUNCTION("""COMPUTED_VALUE"""),"Центральном")</f>
        <v>Центральном</v>
      </c>
      <c r="E593" s="6" t="str">
        <f>IFERROR(__xludf.DUMMYFUNCTION("""COMPUTED_VALUE"""),"Парк ангелов")</f>
        <v>Парк ангелов</v>
      </c>
      <c r="F593" s="6" t="str">
        <f>IFERROR(__xludf.DUMMYFUNCTION("""COMPUTED_VALUE"""),"Переехал сюда из другого места (откуда? укажите в графе другое), Из Ленинска-Кузнецкого")</f>
        <v>Переехал сюда из другого места (откуда? укажите в графе другое), Из Ленинска-Кузнецкого</v>
      </c>
      <c r="G593" s="6" t="str">
        <f>IFERROR(__xludf.DUMMYFUNCTION("""COMPUTED_VALUE"""),"ТРЦ")</f>
        <v>ТРЦ</v>
      </c>
      <c r="H593" s="6" t="str">
        <f>IFERROR(__xludf.DUMMYFUNCTION("""COMPUTED_VALUE"""),"Высокий, красивый")</f>
        <v>Высокий, красивый</v>
      </c>
      <c r="I593" s="6" t="str">
        <f>IFERROR(__xludf.DUMMYFUNCTION("""COMPUTED_VALUE"""),".")</f>
        <v>.</v>
      </c>
      <c r="J593" s="6" t="str">
        <f>IFERROR(__xludf.DUMMYFUNCTION("""COMPUTED_VALUE"""),".")</f>
        <v>.</v>
      </c>
      <c r="K593" s="6" t="str">
        <f>IFERROR(__xludf.DUMMYFUNCTION("""COMPUTED_VALUE"""),".")</f>
        <v>.</v>
      </c>
      <c r="L593" s="6" t="str">
        <f>IFERROR(__xludf.DUMMYFUNCTION("""COMPUTED_VALUE"""),".")</f>
        <v>.</v>
      </c>
      <c r="M593" s="6" t="str">
        <f>IFERROR(__xludf.DUMMYFUNCTION("""COMPUTED_VALUE"""),"Нет")</f>
        <v>Нет</v>
      </c>
      <c r="N593" s="6" t="str">
        <f>IFERROR(__xludf.DUMMYFUNCTION("""COMPUTED_VALUE"""),".")</f>
        <v>.</v>
      </c>
      <c r="O593" s="6" t="str">
        <f>IFERROR(__xludf.DUMMYFUNCTION("""COMPUTED_VALUE"""),".")</f>
        <v>.</v>
      </c>
      <c r="P593" s="6" t="str">
        <f>IFERROR(__xludf.DUMMYFUNCTION("""COMPUTED_VALUE"""),".")</f>
        <v>.</v>
      </c>
      <c r="Q593"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593" s="6" t="str">
        <f>IFERROR(__xludf.DUMMYFUNCTION("""COMPUTED_VALUE"""),".")</f>
        <v>.</v>
      </c>
      <c r="S593" s="6" t="str">
        <f>IFERROR(__xludf.DUMMYFUNCTION("""COMPUTED_VALUE"""),"Нет, не приходилось")</f>
        <v>Нет, не приходилось</v>
      </c>
      <c r="T593" s="6" t="str">
        <f>IFERROR(__xludf.DUMMYFUNCTION("""COMPUTED_VALUE"""),".")</f>
        <v>.</v>
      </c>
      <c r="U593" s="6" t="str">
        <f>IFERROR(__xludf.DUMMYFUNCTION("""COMPUTED_VALUE"""),".")</f>
        <v>.</v>
      </c>
      <c r="V593" s="6" t="str">
        <f>IFERROR(__xludf.DUMMYFUNCTION("""COMPUTED_VALUE"""),".")</f>
        <v>.</v>
      </c>
      <c r="W593" s="6" t="str">
        <f>IFERROR(__xludf.DUMMYFUNCTION("""COMPUTED_VALUE"""),".")</f>
        <v>.</v>
      </c>
      <c r="X593" s="6" t="str">
        <f>IFERROR(__xludf.DUMMYFUNCTION("""COMPUTED_VALUE"""),".")</f>
        <v>.</v>
      </c>
      <c r="Y593" s="6" t="str">
        <f>IFERROR(__xludf.DUMMYFUNCTION("""COMPUTED_VALUE"""),".")</f>
        <v>.</v>
      </c>
      <c r="Z593" s="6" t="str">
        <f>IFERROR(__xludf.DUMMYFUNCTION("""COMPUTED_VALUE"""),".")</f>
        <v>.</v>
      </c>
      <c r="AA593" s="6" t="str">
        <f>IFERROR(__xludf.DUMMYFUNCTION("""COMPUTED_VALUE"""),".")</f>
        <v>.</v>
      </c>
      <c r="AB593" s="6" t="str">
        <f>IFERROR(__xludf.DUMMYFUNCTION("""COMPUTED_VALUE"""),".")</f>
        <v>.</v>
      </c>
      <c r="AC593" s="6" t="str">
        <f>IFERROR(__xludf.DUMMYFUNCTION("""COMPUTED_VALUE"""),".")</f>
        <v>.</v>
      </c>
      <c r="AD593"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593" s="6" t="str">
        <f>IFERROR(__xludf.DUMMYFUNCTION("""COMPUTED_VALUE"""),"Женский")</f>
        <v>Женский</v>
      </c>
      <c r="AF593" s="6" t="str">
        <f>IFERROR(__xludf.DUMMYFUNCTION("""COMPUTED_VALUE"""),"18-29")</f>
        <v>18-29</v>
      </c>
      <c r="AG593" s="6"/>
      <c r="AH593" s="6"/>
      <c r="AI593" s="6"/>
      <c r="AJ593" s="6"/>
      <c r="AK593" s="6"/>
      <c r="AL593" s="6"/>
      <c r="AM593" s="6"/>
    </row>
    <row r="594">
      <c r="A594" s="6">
        <v>593.0</v>
      </c>
      <c r="B594" s="6" t="str">
        <f>IFERROR(__xludf.DUMMYFUNCTION("""COMPUTED_VALUE"""),"Учусь")</f>
        <v>Учусь</v>
      </c>
      <c r="C594" s="6" t="str">
        <f>IFERROR(__xludf.DUMMYFUNCTION("""COMPUTED_VALUE"""),"Футбол, настольный теннис")</f>
        <v>Футбол, настольный теннис</v>
      </c>
      <c r="D594" s="6" t="str">
        <f>IFERROR(__xludf.DUMMYFUNCTION("""COMPUTED_VALUE"""),"Кемерово, Кузбасс")</f>
        <v>Кемерово, Кузбасс</v>
      </c>
      <c r="E594" s="6" t="str">
        <f>IFERROR(__xludf.DUMMYFUNCTION("""COMPUTED_VALUE"""),"Ленинский")</f>
        <v>Ленинский</v>
      </c>
      <c r="F594" s="6" t="str">
        <f>IFERROR(__xludf.DUMMYFUNCTION("""COMPUTED_VALUE"""),"Учусь")</f>
        <v>Учусь</v>
      </c>
      <c r="G594" s="6" t="str">
        <f>IFERROR(__xludf.DUMMYFUNCTION("""COMPUTED_VALUE"""),"Не знаю куда")</f>
        <v>Не знаю куда</v>
      </c>
      <c r="H594" s="6" t="str">
        <f>IFERROR(__xludf.DUMMYFUNCTION("""COMPUTED_VALUE"""),"Нет")</f>
        <v>Нет</v>
      </c>
      <c r="I594" s="6" t="str">
        <f>IFERROR(__xludf.DUMMYFUNCTION("""COMPUTED_VALUE"""),"Не знаю")</f>
        <v>Не знаю</v>
      </c>
      <c r="J594" s="6" t="str">
        <f>IFERROR(__xludf.DUMMYFUNCTION("""COMPUTED_VALUE"""),"Не знаю")</f>
        <v>Не знаю</v>
      </c>
      <c r="K594" s="6" t="str">
        <f>IFERROR(__xludf.DUMMYFUNCTION("""COMPUTED_VALUE"""),"Не знаю")</f>
        <v>Не знаю</v>
      </c>
      <c r="L594" s="6" t="str">
        <f>IFERROR(__xludf.DUMMYFUNCTION("""COMPUTED_VALUE"""),"Не знаю")</f>
        <v>Не знаю</v>
      </c>
      <c r="M594" s="6" t="str">
        <f>IFERROR(__xludf.DUMMYFUNCTION("""COMPUTED_VALUE"""),"Не знаю")</f>
        <v>Не знаю</v>
      </c>
      <c r="N594" s="6" t="str">
        <f>IFERROR(__xludf.DUMMYFUNCTION("""COMPUTED_VALUE"""),"Не знаю")</f>
        <v>Не знаю</v>
      </c>
      <c r="O594" s="6" t="str">
        <f>IFERROR(__xludf.DUMMYFUNCTION("""COMPUTED_VALUE"""),"Не знаю")</f>
        <v>Не знаю</v>
      </c>
      <c r="P594" s="6" t="str">
        <f>IFERROR(__xludf.DUMMYFUNCTION("""COMPUTED_VALUE"""),"Интернет вк")</f>
        <v>Интернет вк</v>
      </c>
      <c r="Q59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594" s="6" t="str">
        <f>IFERROR(__xludf.DUMMYFUNCTION("""COMPUTED_VALUE"""),"1 июня")</f>
        <v>1 июня</v>
      </c>
      <c r="S594" s="6" t="str">
        <f>IFERROR(__xludf.DUMMYFUNCTION("""COMPUTED_VALUE"""),"Нет, не приходилось")</f>
        <v>Нет, не приходилось</v>
      </c>
      <c r="T594" s="6" t="str">
        <f>IFERROR(__xludf.DUMMYFUNCTION("""COMPUTED_VALUE"""),"Не знаю")</f>
        <v>Не знаю</v>
      </c>
      <c r="U594" s="6" t="str">
        <f>IFERROR(__xludf.DUMMYFUNCTION("""COMPUTED_VALUE"""),"Не знаю")</f>
        <v>Не знаю</v>
      </c>
      <c r="V594" s="6" t="str">
        <f>IFERROR(__xludf.DUMMYFUNCTION("""COMPUTED_VALUE"""),"Не знаю")</f>
        <v>Не знаю</v>
      </c>
      <c r="W594" s="6" t="str">
        <f>IFERROR(__xludf.DUMMYFUNCTION("""COMPUTED_VALUE"""),"Порядочные")</f>
        <v>Порядочные</v>
      </c>
      <c r="X594" s="6" t="str">
        <f>IFERROR(__xludf.DUMMYFUNCTION("""COMPUTED_VALUE"""),"Парк чудес")</f>
        <v>Парк чудес</v>
      </c>
      <c r="Y594" s="6" t="str">
        <f>IFERROR(__xludf.DUMMYFUNCTION("""COMPUTED_VALUE"""),"Не знаю")</f>
        <v>Не знаю</v>
      </c>
      <c r="Z594" s="6" t="str">
        <f>IFERROR(__xludf.DUMMYFUNCTION("""COMPUTED_VALUE"""),"Нету")</f>
        <v>Нету</v>
      </c>
      <c r="AA594" s="6" t="str">
        <f>IFERROR(__xludf.DUMMYFUNCTION("""COMPUTED_VALUE"""),"Нет")</f>
        <v>Нет</v>
      </c>
      <c r="AB594" s="6" t="str">
        <f>IFERROR(__xludf.DUMMYFUNCTION("""COMPUTED_VALUE"""),"Семейный парк ")</f>
        <v>Семейный парк </v>
      </c>
      <c r="AC594" s="6" t="str">
        <f>IFERROR(__xludf.DUMMYFUNCTION("""COMPUTED_VALUE"""),"Не знаю")</f>
        <v>Не знаю</v>
      </c>
      <c r="AD59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94" s="6" t="str">
        <f>IFERROR(__xludf.DUMMYFUNCTION("""COMPUTED_VALUE"""),"Женский")</f>
        <v>Женский</v>
      </c>
      <c r="AF594" s="6" t="str">
        <f>IFERROR(__xludf.DUMMYFUNCTION("""COMPUTED_VALUE"""),"18-29")</f>
        <v>18-29</v>
      </c>
      <c r="AG594" s="6"/>
      <c r="AH594" s="6"/>
      <c r="AI594" s="6"/>
      <c r="AJ594" s="6"/>
      <c r="AK594" s="6"/>
      <c r="AL594" s="6"/>
      <c r="AM594" s="6"/>
    </row>
    <row r="595">
      <c r="A595" s="6">
        <v>594.0</v>
      </c>
      <c r="B595" s="6" t="str">
        <f>IFERROR(__xludf.DUMMYFUNCTION("""COMPUTED_VALUE"""),"Учусь")</f>
        <v>Учусь</v>
      </c>
      <c r="C595" s="6" t="str">
        <f>IFERROR(__xludf.DUMMYFUNCTION("""COMPUTED_VALUE"""),"Верховая езда")</f>
        <v>Верховая езда</v>
      </c>
      <c r="D595" s="6" t="str">
        <f>IFERROR(__xludf.DUMMYFUNCTION("""COMPUTED_VALUE"""),"Ленинский")</f>
        <v>Ленинский</v>
      </c>
      <c r="E595" s="6" t="str">
        <f>IFERROR(__xludf.DUMMYFUNCTION("""COMPUTED_VALUE"""),"Не знаю")</f>
        <v>Не знаю</v>
      </c>
      <c r="F595" s="6" t="str">
        <f>IFERROR(__xludf.DUMMYFUNCTION("""COMPUTED_VALUE"""),"Учусь здесь, живу в другом городе")</f>
        <v>Учусь здесь, живу в другом городе</v>
      </c>
      <c r="G595" s="6" t="str">
        <f>IFERROR(__xludf.DUMMYFUNCTION("""COMPUTED_VALUE"""),"Никуда")</f>
        <v>Никуда</v>
      </c>
      <c r="H595" s="6" t="str">
        <f>IFERROR(__xludf.DUMMYFUNCTION("""COMPUTED_VALUE"""),"Ничего не ассоциируется")</f>
        <v>Ничего не ассоциируется</v>
      </c>
      <c r="I595" s="6" t="str">
        <f>IFERROR(__xludf.DUMMYFUNCTION("""COMPUTED_VALUE"""),"Не знаю таких")</f>
        <v>Не знаю таких</v>
      </c>
      <c r="J595" s="6" t="str">
        <f>IFERROR(__xludf.DUMMYFUNCTION("""COMPUTED_VALUE"""),"Без понятия")</f>
        <v>Без понятия</v>
      </c>
      <c r="K595" s="6" t="str">
        <f>IFERROR(__xludf.DUMMYFUNCTION("""COMPUTED_VALUE"""),"Никакие")</f>
        <v>Никакие</v>
      </c>
      <c r="L595" s="6" t="str">
        <f>IFERROR(__xludf.DUMMYFUNCTION("""COMPUTED_VALUE"""),"Не знаю")</f>
        <v>Не знаю</v>
      </c>
      <c r="M595" s="6" t="str">
        <f>IFERROR(__xludf.DUMMYFUNCTION("""COMPUTED_VALUE"""),"Нет")</f>
        <v>Нет</v>
      </c>
      <c r="N595" s="6" t="str">
        <f>IFERROR(__xludf.DUMMYFUNCTION("""COMPUTED_VALUE"""),"Нету")</f>
        <v>Нету</v>
      </c>
      <c r="O595" s="6" t="str">
        <f>IFERROR(__xludf.DUMMYFUNCTION("""COMPUTED_VALUE"""),"Не знаю")</f>
        <v>Не знаю</v>
      </c>
      <c r="P595" s="6" t="str">
        <f>IFERROR(__xludf.DUMMYFUNCTION("""COMPUTED_VALUE"""),"Группы в контакте")</f>
        <v>Группы в контакте</v>
      </c>
      <c r="Q595" s="6" t="str">
        <f>IFERROR(__xludf.DUMMYFUNCTION("""COMPUTED_VALUE"""),"где вкусно поесть/открытие новых кафе/ресторанов, культурные новинки (что почитать/что послушать), интервью с местными творческими личностями")</f>
        <v>где вкусно поесть/открытие новых кафе/ресторанов, культурные новинки (что почитать/что послушать), интервью с местными творческими личностями</v>
      </c>
      <c r="R595" s="6" t="str">
        <f>IFERROR(__xludf.DUMMYFUNCTION("""COMPUTED_VALUE"""),"Не какие")</f>
        <v>Не какие</v>
      </c>
      <c r="S595" s="6" t="str">
        <f>IFERROR(__xludf.DUMMYFUNCTION("""COMPUTED_VALUE"""),"Нет, не приходилось")</f>
        <v>Нет, не приходилось</v>
      </c>
      <c r="T595" s="6" t="str">
        <f>IFERROR(__xludf.DUMMYFUNCTION("""COMPUTED_VALUE"""),"Столица Кузбасса")</f>
        <v>Столица Кузбасса</v>
      </c>
      <c r="U595" s="6" t="str">
        <f>IFERROR(__xludf.DUMMYFUNCTION("""COMPUTED_VALUE"""),"Нечего")</f>
        <v>Нечего</v>
      </c>
      <c r="V595" s="6" t="str">
        <f>IFERROR(__xludf.DUMMYFUNCTION("""COMPUTED_VALUE"""),"Не знаю")</f>
        <v>Не знаю</v>
      </c>
      <c r="W595" s="6" t="str">
        <f>IFERROR(__xludf.DUMMYFUNCTION("""COMPUTED_VALUE"""),"Как и все люди, есть злые, есть добрые")</f>
        <v>Как и все люди, есть злые, есть добрые</v>
      </c>
      <c r="X595" s="6" t="str">
        <f>IFERROR(__xludf.DUMMYFUNCTION("""COMPUTED_VALUE"""),"Парк ангелов")</f>
        <v>Парк ангелов</v>
      </c>
      <c r="Y595" s="6" t="str">
        <f>IFERROR(__xludf.DUMMYFUNCTION("""COMPUTED_VALUE"""),"не знаю")</f>
        <v>не знаю</v>
      </c>
      <c r="Z595" s="6" t="str">
        <f>IFERROR(__xludf.DUMMYFUNCTION("""COMPUTED_VALUE"""),"Не знаю")</f>
        <v>Не знаю</v>
      </c>
      <c r="AA595" s="6" t="str">
        <f>IFERROR(__xludf.DUMMYFUNCTION("""COMPUTED_VALUE"""),"Пожар")</f>
        <v>Пожар</v>
      </c>
      <c r="AB595" s="6" t="str">
        <f>IFERROR(__xludf.DUMMYFUNCTION("""COMPUTED_VALUE"""),"Всего хватает")</f>
        <v>Всего хватает</v>
      </c>
      <c r="AC595" s="6" t="str">
        <f>IFERROR(__xludf.DUMMYFUNCTION("""COMPUTED_VALUE"""),"Не знаю")</f>
        <v>Не знаю</v>
      </c>
      <c r="AD595" s="6" t="str">
        <f>IFERROR(__xludf.DUMMYFUNCTION("""COMPUTED_VALUE"""),"Не готов принимать личное участие (укажите, пожалуйста, причину в поле «Другое»), Не любитель такого вида деятельности")</f>
        <v>Не готов принимать личное участие (укажите, пожалуйста, причину в поле «Другое»), Не любитель такого вида деятельности</v>
      </c>
      <c r="AE595" s="6" t="str">
        <f>IFERROR(__xludf.DUMMYFUNCTION("""COMPUTED_VALUE"""),"Женский")</f>
        <v>Женский</v>
      </c>
      <c r="AF595" s="6" t="str">
        <f>IFERROR(__xludf.DUMMYFUNCTION("""COMPUTED_VALUE"""),"18-29")</f>
        <v>18-29</v>
      </c>
      <c r="AG595" s="6"/>
      <c r="AH595" s="6"/>
      <c r="AI595" s="6"/>
      <c r="AJ595" s="6"/>
      <c r="AK595" s="6"/>
      <c r="AL595" s="6"/>
      <c r="AM595" s="6"/>
    </row>
    <row r="596">
      <c r="A596" s="6">
        <v>595.0</v>
      </c>
      <c r="B596" s="6" t="str">
        <f>IFERROR(__xludf.DUMMYFUNCTION("""COMPUTED_VALUE"""),"Кузбасс")</f>
        <v>Кузбасс</v>
      </c>
      <c r="C596" s="6" t="str">
        <f>IFERROR(__xludf.DUMMYFUNCTION("""COMPUTED_VALUE"""),"Кузбасс")</f>
        <v>Кузбасс</v>
      </c>
      <c r="D596" s="6" t="str">
        <f>IFERROR(__xludf.DUMMYFUNCTION("""COMPUTED_VALUE"""),"Кузбасс")</f>
        <v>Кузбасс</v>
      </c>
      <c r="E596" s="6" t="str">
        <f>IFERROR(__xludf.DUMMYFUNCTION("""COMPUTED_VALUE"""),"Кузбасс")</f>
        <v>Кузбасс</v>
      </c>
      <c r="F596" s="6" t="str">
        <f>IFERROR(__xludf.DUMMYFUNCTION("""COMPUTED_VALUE"""),"незнаю")</f>
        <v>незнаю</v>
      </c>
      <c r="G596" s="6" t="str">
        <f>IFERROR(__xludf.DUMMYFUNCTION("""COMPUTED_VALUE"""),"незнаю")</f>
        <v>незнаю</v>
      </c>
      <c r="H596" s="6" t="str">
        <f>IFERROR(__xludf.DUMMYFUNCTION("""COMPUTED_VALUE"""),"незнаю")</f>
        <v>незнаю</v>
      </c>
      <c r="I596" s="6" t="str">
        <f>IFERROR(__xludf.DUMMYFUNCTION("""COMPUTED_VALUE"""),"незнаю")</f>
        <v>незнаю</v>
      </c>
      <c r="J596" s="6" t="str">
        <f>IFERROR(__xludf.DUMMYFUNCTION("""COMPUTED_VALUE"""),"незнаю")</f>
        <v>незнаю</v>
      </c>
      <c r="K596" s="6" t="str">
        <f>IFERROR(__xludf.DUMMYFUNCTION("""COMPUTED_VALUE"""),"незнаю")</f>
        <v>незнаю</v>
      </c>
      <c r="L596" s="6" t="str">
        <f>IFERROR(__xludf.DUMMYFUNCTION("""COMPUTED_VALUE"""),"незнаю")</f>
        <v>незнаю</v>
      </c>
      <c r="M596" s="6" t="str">
        <f>IFERROR(__xludf.DUMMYFUNCTION("""COMPUTED_VALUE"""),"незнаю")</f>
        <v>незнаю</v>
      </c>
      <c r="N596" s="6" t="str">
        <f>IFERROR(__xludf.DUMMYFUNCTION("""COMPUTED_VALUE"""),"незнаю")</f>
        <v>незнаю</v>
      </c>
      <c r="O596" s="6" t="str">
        <f>IFERROR(__xludf.DUMMYFUNCTION("""COMPUTED_VALUE"""),"Кузбасс")</f>
        <v>Кузбасс</v>
      </c>
      <c r="P596" s="6" t="str">
        <f>IFERROR(__xludf.DUMMYFUNCTION("""COMPUTED_VALUE"""),"Кузбасс")</f>
        <v>Кузбасс</v>
      </c>
      <c r="Q596" s="6" t="str">
        <f>IFERROR(__xludf.DUMMYFUNCTION("""COMPUTED_VALUE"""),"незнаю")</f>
        <v>незнаю</v>
      </c>
      <c r="R596" s="6" t="str">
        <f>IFERROR(__xludf.DUMMYFUNCTION("""COMPUTED_VALUE"""),"незнаю")</f>
        <v>незнаю</v>
      </c>
      <c r="S596" s="6" t="str">
        <f>IFERROR(__xludf.DUMMYFUNCTION("""COMPUTED_VALUE"""),"незнаю")</f>
        <v>незнаю</v>
      </c>
      <c r="T596" s="6" t="str">
        <f>IFERROR(__xludf.DUMMYFUNCTION("""COMPUTED_VALUE"""),"незнаю")</f>
        <v>незнаю</v>
      </c>
      <c r="U596" s="6" t="str">
        <f>IFERROR(__xludf.DUMMYFUNCTION("""COMPUTED_VALUE"""),"незнаю")</f>
        <v>незнаю</v>
      </c>
      <c r="V596" s="6" t="str">
        <f>IFERROR(__xludf.DUMMYFUNCTION("""COMPUTED_VALUE"""),"незнаю")</f>
        <v>незнаю</v>
      </c>
      <c r="W596" s="6" t="str">
        <f>IFERROR(__xludf.DUMMYFUNCTION("""COMPUTED_VALUE"""),"незнаю")</f>
        <v>незнаю</v>
      </c>
      <c r="X596" s="6" t="str">
        <f>IFERROR(__xludf.DUMMYFUNCTION("""COMPUTED_VALUE"""),"незнаю")</f>
        <v>незнаю</v>
      </c>
      <c r="Y596" s="6" t="str">
        <f>IFERROR(__xludf.DUMMYFUNCTION("""COMPUTED_VALUE"""),"незнаю")</f>
        <v>незнаю</v>
      </c>
      <c r="Z596" s="6" t="str">
        <f>IFERROR(__xludf.DUMMYFUNCTION("""COMPUTED_VALUE"""),"незнаю")</f>
        <v>незнаю</v>
      </c>
      <c r="AA596" s="6" t="str">
        <f>IFERROR(__xludf.DUMMYFUNCTION("""COMPUTED_VALUE"""),"незнаю")</f>
        <v>незнаю</v>
      </c>
      <c r="AB596" s="6" t="str">
        <f>IFERROR(__xludf.DUMMYFUNCTION("""COMPUTED_VALUE"""),"незнаю")</f>
        <v>незнаю</v>
      </c>
      <c r="AC596" s="6" t="str">
        <f>IFERROR(__xludf.DUMMYFUNCTION("""COMPUTED_VALUE"""),"незнаю")</f>
        <v>незнаю</v>
      </c>
      <c r="AD596" s="6" t="str">
        <f>IFERROR(__xludf.DUMMYFUNCTION("""COMPUTED_VALUE"""),"незнаю")</f>
        <v>незнаю</v>
      </c>
      <c r="AE596" s="6" t="str">
        <f>IFERROR(__xludf.DUMMYFUNCTION("""COMPUTED_VALUE"""),"Мужской")</f>
        <v>Мужской</v>
      </c>
      <c r="AF596" s="6" t="str">
        <f>IFERROR(__xludf.DUMMYFUNCTION("""COMPUTED_VALUE"""),"18-29")</f>
        <v>18-29</v>
      </c>
      <c r="AG596" s="6"/>
      <c r="AH596" s="6"/>
      <c r="AI596" s="6"/>
      <c r="AJ596" s="6"/>
      <c r="AK596" s="6"/>
      <c r="AL596" s="6"/>
      <c r="AM596" s="6"/>
    </row>
    <row r="597">
      <c r="A597" s="6">
        <v>596.0</v>
      </c>
      <c r="B597" s="6" t="str">
        <f>IFERROR(__xludf.DUMMYFUNCTION("""COMPUTED_VALUE"""),"Учусь в КУЗГСХА")</f>
        <v>Учусь в КУЗГСХА</v>
      </c>
      <c r="C597" s="6" t="str">
        <f>IFERROR(__xludf.DUMMYFUNCTION("""COMPUTED_VALUE"""),"баскетбол, футбол")</f>
        <v>баскетбол, футбол</v>
      </c>
      <c r="D597" s="6" t="str">
        <f>IFERROR(__xludf.DUMMYFUNCTION("""COMPUTED_VALUE"""),"Ленинский")</f>
        <v>Ленинский</v>
      </c>
      <c r="E597" s="6" t="str">
        <f>IFERROR(__xludf.DUMMYFUNCTION("""COMPUTED_VALUE"""),"Парк ангелов")</f>
        <v>Парк ангелов</v>
      </c>
      <c r="F597" s="6" t="str">
        <f>IFERROR(__xludf.DUMMYFUNCTION("""COMPUTED_VALUE"""),"Переехал сюда из другого места (откуда? укажите в графе другое), приезжаю в Кемерово из новокузнецка, так как здесь учусь")</f>
        <v>Переехал сюда из другого места (откуда? укажите в графе другое), приезжаю в Кемерово из новокузнецка, так как здесь учусь</v>
      </c>
      <c r="G597" s="6" t="str">
        <f>IFERROR(__xludf.DUMMYFUNCTION("""COMPUTED_VALUE"""),"бульвар")</f>
        <v>бульвар</v>
      </c>
      <c r="H597" s="6" t="str">
        <f>IFERROR(__xludf.DUMMYFUNCTION("""COMPUTED_VALUE"""),".")</f>
        <v>.</v>
      </c>
      <c r="I597" s="6" t="str">
        <f>IFERROR(__xludf.DUMMYFUNCTION("""COMPUTED_VALUE"""),".")</f>
        <v>.</v>
      </c>
      <c r="J597" s="6" t="str">
        <f>IFERROR(__xludf.DUMMYFUNCTION("""COMPUTED_VALUE"""),".")</f>
        <v>.</v>
      </c>
      <c r="K597" s="6" t="str">
        <f>IFERROR(__xludf.DUMMYFUNCTION("""COMPUTED_VALUE"""),".")</f>
        <v>.</v>
      </c>
      <c r="L597" s="6" t="str">
        <f>IFERROR(__xludf.DUMMYFUNCTION("""COMPUTED_VALUE"""),".")</f>
        <v>.</v>
      </c>
      <c r="M597" s="6" t="str">
        <f>IFERROR(__xludf.DUMMYFUNCTION("""COMPUTED_VALUE"""),".")</f>
        <v>.</v>
      </c>
      <c r="N597" s="6" t="str">
        <f>IFERROR(__xludf.DUMMYFUNCTION("""COMPUTED_VALUE"""),".")</f>
        <v>.</v>
      </c>
      <c r="O597" s="6" t="str">
        <f>IFERROR(__xludf.DUMMYFUNCTION("""COMPUTED_VALUE"""),".")</f>
        <v>.</v>
      </c>
      <c r="P597" s="6" t="str">
        <f>IFERROR(__xludf.DUMMYFUNCTION("""COMPUTED_VALUE"""),".")</f>
        <v>.</v>
      </c>
      <c r="Q59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597" s="6" t="str">
        <f>IFERROR(__xludf.DUMMYFUNCTION("""COMPUTED_VALUE"""),"масленница, новый год, 9 мая")</f>
        <v>масленница, новый год, 9 мая</v>
      </c>
      <c r="S597" s="6" t="str">
        <f>IFERROR(__xludf.DUMMYFUNCTION("""COMPUTED_VALUE"""),"Нет, не приходилось")</f>
        <v>Нет, не приходилось</v>
      </c>
      <c r="T597" s="6" t="str">
        <f>IFERROR(__xludf.DUMMYFUNCTION("""COMPUTED_VALUE"""),".")</f>
        <v>.</v>
      </c>
      <c r="U597" s="6" t="str">
        <f>IFERROR(__xludf.DUMMYFUNCTION("""COMPUTED_VALUE"""),".")</f>
        <v>.</v>
      </c>
      <c r="V597" s="6" t="str">
        <f>IFERROR(__xludf.DUMMYFUNCTION("""COMPUTED_VALUE"""),".")</f>
        <v>.</v>
      </c>
      <c r="W597" s="6" t="str">
        <f>IFERROR(__xludf.DUMMYFUNCTION("""COMPUTED_VALUE"""),".")</f>
        <v>.</v>
      </c>
      <c r="X597" s="6" t="str">
        <f>IFERROR(__xludf.DUMMYFUNCTION("""COMPUTED_VALUE"""),".")</f>
        <v>.</v>
      </c>
      <c r="Y597" s="6" t="str">
        <f>IFERROR(__xludf.DUMMYFUNCTION("""COMPUTED_VALUE"""),".")</f>
        <v>.</v>
      </c>
      <c r="Z597" s="6" t="str">
        <f>IFERROR(__xludf.DUMMYFUNCTION("""COMPUTED_VALUE"""),".")</f>
        <v>.</v>
      </c>
      <c r="AA597" s="6" t="str">
        <f>IFERROR(__xludf.DUMMYFUNCTION("""COMPUTED_VALUE"""),"никаких")</f>
        <v>никаких</v>
      </c>
      <c r="AB597" s="6" t="str">
        <f>IFERROR(__xludf.DUMMYFUNCTION("""COMPUTED_VALUE"""),".")</f>
        <v>.</v>
      </c>
      <c r="AC597" s="6" t="str">
        <f>IFERROR(__xludf.DUMMYFUNCTION("""COMPUTED_VALUE"""),"концерты")</f>
        <v>концерты</v>
      </c>
      <c r="AD59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597" s="6" t="str">
        <f>IFERROR(__xludf.DUMMYFUNCTION("""COMPUTED_VALUE"""),"Женский")</f>
        <v>Женский</v>
      </c>
      <c r="AF597" s="6" t="str">
        <f>IFERROR(__xludf.DUMMYFUNCTION("""COMPUTED_VALUE"""),"18-29")</f>
        <v>18-29</v>
      </c>
      <c r="AG597" s="6"/>
      <c r="AH597" s="6"/>
      <c r="AI597" s="6"/>
      <c r="AJ597" s="6"/>
      <c r="AK597" s="6"/>
      <c r="AL597" s="6"/>
      <c r="AM597" s="6"/>
    </row>
    <row r="598">
      <c r="A598" s="6">
        <v>597.0</v>
      </c>
      <c r="B598" s="6" t="str">
        <f>IFERROR(__xludf.DUMMYFUNCTION("""COMPUTED_VALUE"""),"Спортом")</f>
        <v>Спортом</v>
      </c>
      <c r="C598" s="6" t="str">
        <f>IFERROR(__xludf.DUMMYFUNCTION("""COMPUTED_VALUE"""),"Играть волейбол")</f>
        <v>Играть волейбол</v>
      </c>
      <c r="D598" s="6" t="str">
        <f>IFERROR(__xludf.DUMMYFUNCTION("""COMPUTED_VALUE"""),"Ленинградском ")</f>
        <v>Ленинградском </v>
      </c>
      <c r="E598" s="6" t="str">
        <f>IFERROR(__xludf.DUMMYFUNCTION("""COMPUTED_VALUE"""),"Бульвар, парк, кузбасс")</f>
        <v>Бульвар, парк, кузбасс</v>
      </c>
      <c r="F598"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598" s="6" t="str">
        <f>IFERROR(__xludf.DUMMYFUNCTION("""COMPUTED_VALUE"""),"Профинтес")</f>
        <v>Профинтес</v>
      </c>
      <c r="H598" s="6" t="str">
        <f>IFERROR(__xludf.DUMMYFUNCTION("""COMPUTED_VALUE"""),"Нет")</f>
        <v>Нет</v>
      </c>
      <c r="I598" s="6" t="str">
        <f>IFERROR(__xludf.DUMMYFUNCTION("""COMPUTED_VALUE"""),"Нет ")</f>
        <v>Нет </v>
      </c>
      <c r="J598" s="6" t="str">
        <f>IFERROR(__xludf.DUMMYFUNCTION("""COMPUTED_VALUE"""),"Марковец")</f>
        <v>Марковец</v>
      </c>
      <c r="K598" s="6" t="str">
        <f>IFERROR(__xludf.DUMMYFUNCTION("""COMPUTED_VALUE"""),"Парк Ангелов")</f>
        <v>Парк Ангелов</v>
      </c>
      <c r="L598" s="6" t="str">
        <f>IFERROR(__xludf.DUMMYFUNCTION("""COMPUTED_VALUE"""),"Нет")</f>
        <v>Нет</v>
      </c>
      <c r="M598" s="6" t="str">
        <f>IFERROR(__xludf.DUMMYFUNCTION("""COMPUTED_VALUE"""),"Нет")</f>
        <v>Нет</v>
      </c>
      <c r="N598" s="6" t="str">
        <f>IFERROR(__xludf.DUMMYFUNCTION("""COMPUTED_VALUE"""),"Кузбасс")</f>
        <v>Кузбасс</v>
      </c>
      <c r="O598" s="6" t="str">
        <f>IFERROR(__xludf.DUMMYFUNCTION("""COMPUTED_VALUE"""),"Чистоты ")</f>
        <v>Чистоты </v>
      </c>
      <c r="P598" s="6" t="str">
        <f>IFERROR(__xludf.DUMMYFUNCTION("""COMPUTED_VALUE"""),"Инстаграмм")</f>
        <v>Инстаграмм</v>
      </c>
      <c r="Q598" s="6" t="str">
        <f>IFERROR(__xludf.DUMMYFUNCTION("""COMPUTED_VALUE"""),"куда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v>
      </c>
      <c r="R598" s="6" t="str">
        <f>IFERROR(__xludf.DUMMYFUNCTION("""COMPUTED_VALUE"""),".")</f>
        <v>.</v>
      </c>
      <c r="S598" s="6" t="str">
        <f>IFERROR(__xludf.DUMMYFUNCTION("""COMPUTED_VALUE"""),"Нет, не приходилось")</f>
        <v>Нет, не приходилось</v>
      </c>
      <c r="T598" s="6" t="str">
        <f>IFERROR(__xludf.DUMMYFUNCTION("""COMPUTED_VALUE"""),"Кузбасс")</f>
        <v>Кузбасс</v>
      </c>
      <c r="U598" s="6" t="str">
        <f>IFERROR(__xludf.DUMMYFUNCTION("""COMPUTED_VALUE"""),"Бульвар")</f>
        <v>Бульвар</v>
      </c>
      <c r="V598" s="6" t="str">
        <f>IFERROR(__xludf.DUMMYFUNCTION("""COMPUTED_VALUE"""),"Нет")</f>
        <v>Нет</v>
      </c>
      <c r="W598" s="6" t="str">
        <f>IFERROR(__xludf.DUMMYFUNCTION("""COMPUTED_VALUE"""),"Нет")</f>
        <v>Нет</v>
      </c>
      <c r="X598" s="6" t="str">
        <f>IFERROR(__xludf.DUMMYFUNCTION("""COMPUTED_VALUE"""),".")</f>
        <v>.</v>
      </c>
      <c r="Y598" s="6" t="str">
        <f>IFERROR(__xludf.DUMMYFUNCTION("""COMPUTED_VALUE"""),"Нет")</f>
        <v>Нет</v>
      </c>
      <c r="Z598" s="6" t="str">
        <f>IFERROR(__xludf.DUMMYFUNCTION("""COMPUTED_VALUE"""),"Кузбасс")</f>
        <v>Кузбасс</v>
      </c>
      <c r="AA598" s="6" t="str">
        <f>IFERROR(__xludf.DUMMYFUNCTION("""COMPUTED_VALUE"""),"Нет")</f>
        <v>Нет</v>
      </c>
      <c r="AB598" s="6" t="str">
        <f>IFERROR(__xludf.DUMMYFUNCTION("""COMPUTED_VALUE"""),"Нет")</f>
        <v>Нет</v>
      </c>
      <c r="AC598" s="6" t="str">
        <f>IFERROR(__xludf.DUMMYFUNCTION("""COMPUTED_VALUE"""),"Нет")</f>
        <v>Нет</v>
      </c>
      <c r="AD598"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598" s="6" t="str">
        <f>IFERROR(__xludf.DUMMYFUNCTION("""COMPUTED_VALUE"""),"Женский")</f>
        <v>Женский</v>
      </c>
      <c r="AF598" s="6" t="str">
        <f>IFERROR(__xludf.DUMMYFUNCTION("""COMPUTED_VALUE"""),"18-29")</f>
        <v>18-29</v>
      </c>
      <c r="AG598" s="6"/>
      <c r="AH598" s="6"/>
      <c r="AI598" s="6"/>
      <c r="AJ598" s="6"/>
      <c r="AK598" s="6"/>
      <c r="AL598" s="6"/>
      <c r="AM598" s="6"/>
    </row>
    <row r="599">
      <c r="A599" s="6">
        <v>598.0</v>
      </c>
      <c r="B599" s="6" t="str">
        <f>IFERROR(__xludf.DUMMYFUNCTION("""COMPUTED_VALUE"""),"Студент")</f>
        <v>Студент</v>
      </c>
      <c r="C599" s="6" t="str">
        <f>IFERROR(__xludf.DUMMYFUNCTION("""COMPUTED_VALUE"""),"Футбол")</f>
        <v>Футбол</v>
      </c>
      <c r="D599" s="6" t="str">
        <f>IFERROR(__xludf.DUMMYFUNCTION("""COMPUTED_VALUE"""),"Ягуновка")</f>
        <v>Ягуновка</v>
      </c>
      <c r="E599" s="6" t="str">
        <f>IFERROR(__xludf.DUMMYFUNCTION("""COMPUTED_VALUE"""),"Прибой")</f>
        <v>Прибой</v>
      </c>
      <c r="F59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599" s="6" t="str">
        <f>IFERROR(__xludf.DUMMYFUNCTION("""COMPUTED_VALUE"""),"Университет")</f>
        <v>Университет</v>
      </c>
      <c r="H599" s="6" t="str">
        <f>IFERROR(__xludf.DUMMYFUNCTION("""COMPUTED_VALUE"""),"Шахта кокс парки пыль дороги")</f>
        <v>Шахта кокс парки пыль дороги</v>
      </c>
      <c r="I599" s="6" t="str">
        <f>IFERROR(__xludf.DUMMYFUNCTION("""COMPUTED_VALUE"""),"Ломоносов")</f>
        <v>Ломоносов</v>
      </c>
      <c r="J599" s="6" t="str">
        <f>IFERROR(__xludf.DUMMYFUNCTION("""COMPUTED_VALUE"""),"Павел пасов")</f>
        <v>Павел пасов</v>
      </c>
      <c r="K599" s="6" t="str">
        <f>IFERROR(__xludf.DUMMYFUNCTION("""COMPUTED_VALUE"""),"Ягуновка")</f>
        <v>Ягуновка</v>
      </c>
      <c r="L599" s="6" t="str">
        <f>IFERROR(__xludf.DUMMYFUNCTION("""COMPUTED_VALUE"""),"-")</f>
        <v>-</v>
      </c>
      <c r="M599" s="6" t="str">
        <f>IFERROR(__xludf.DUMMYFUNCTION("""COMPUTED_VALUE"""),"-")</f>
        <v>-</v>
      </c>
      <c r="N599" s="6" t="str">
        <f>IFERROR(__xludf.DUMMYFUNCTION("""COMPUTED_VALUE"""),"Воздух ")</f>
        <v>Воздух </v>
      </c>
      <c r="O599" s="6" t="str">
        <f>IFERROR(__xludf.DUMMYFUNCTION("""COMPUTED_VALUE"""),"Воздух")</f>
        <v>Воздух</v>
      </c>
      <c r="P599" s="6" t="str">
        <f>IFERROR(__xludf.DUMMYFUNCTION("""COMPUTED_VALUE"""),"Яндекс")</f>
        <v>Яндекс</v>
      </c>
      <c r="Q599" s="6" t="str">
        <f>IFERROR(__xludf.DUMMYFUNCTION("""COMPUTED_VALUE"""),"городская афиша (кино/театр/концерты), культурные новинки (что почитать/что послушать), интервью с местными предпринимателями, криминальные новости (происшествия/преступления)")</f>
        <v>городская афиша (кино/театр/концерты), культурные новинки (что почитать/что послушать), интервью с местными предпринимателями, криминальные новости (происшествия/преступления)</v>
      </c>
      <c r="R599" s="6" t="str">
        <f>IFERROR(__xludf.DUMMYFUNCTION("""COMPUTED_VALUE"""),"Курбан байрам")</f>
        <v>Курбан байрам</v>
      </c>
      <c r="S599" s="6" t="str">
        <f>IFERROR(__xludf.DUMMYFUNCTION("""COMPUTED_VALUE"""),"Составлял чертеж парка для 9 мая")</f>
        <v>Составлял чертеж парка для 9 мая</v>
      </c>
      <c r="T599" s="6" t="str">
        <f>IFERROR(__xludf.DUMMYFUNCTION("""COMPUTED_VALUE"""),"-")</f>
        <v>-</v>
      </c>
      <c r="U599" s="6" t="str">
        <f>IFERROR(__xludf.DUMMYFUNCTION("""COMPUTED_VALUE"""),"Площадь")</f>
        <v>Площадь</v>
      </c>
      <c r="V599" s="6" t="str">
        <f>IFERROR(__xludf.DUMMYFUNCTION("""COMPUTED_VALUE"""),"Открыли шахты")</f>
        <v>Открыли шахты</v>
      </c>
      <c r="W599" s="6" t="str">
        <f>IFERROR(__xludf.DUMMYFUNCTION("""COMPUTED_VALUE"""),"Открытые добродушные временная печальные люди")</f>
        <v>Открытые добродушные временная печальные люди</v>
      </c>
      <c r="X599" s="6" t="str">
        <f>IFERROR(__xludf.DUMMYFUNCTION("""COMPUTED_VALUE"""),"Комиссаров- ягуновка")</f>
        <v>Комиссаров- ягуновка</v>
      </c>
      <c r="Y599" s="6" t="str">
        <f>IFERROR(__xludf.DUMMYFUNCTION("""COMPUTED_VALUE"""),"Открытие юбилейного")</f>
        <v>Открытие юбилейного</v>
      </c>
      <c r="Z599" s="6" t="str">
        <f>IFERROR(__xludf.DUMMYFUNCTION("""COMPUTED_VALUE"""),"-")</f>
        <v>-</v>
      </c>
      <c r="AA599" s="6" t="str">
        <f>IFERROR(__xludf.DUMMYFUNCTION("""COMPUTED_VALUE"""),"Пожар")</f>
        <v>Пожар</v>
      </c>
      <c r="AB599" s="6" t="str">
        <f>IFERROR(__xludf.DUMMYFUNCTION("""COMPUTED_VALUE"""),"Панки")</f>
        <v>Панки</v>
      </c>
      <c r="AC599" s="6" t="str">
        <f>IFERROR(__xludf.DUMMYFUNCTION("""COMPUTED_VALUE"""),"Ремонт дорог")</f>
        <v>Ремонт дорог</v>
      </c>
      <c r="AD59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599" s="6" t="str">
        <f>IFERROR(__xludf.DUMMYFUNCTION("""COMPUTED_VALUE"""),"Мужской")</f>
        <v>Мужской</v>
      </c>
      <c r="AF599" s="6" t="str">
        <f>IFERROR(__xludf.DUMMYFUNCTION("""COMPUTED_VALUE"""),"18-29")</f>
        <v>18-29</v>
      </c>
      <c r="AG599" s="6"/>
      <c r="AH599" s="6"/>
      <c r="AI599" s="6"/>
      <c r="AJ599" s="6"/>
      <c r="AK599" s="6"/>
      <c r="AL599" s="6"/>
      <c r="AM599" s="6"/>
    </row>
    <row r="600">
      <c r="A600" s="6">
        <v>599.0</v>
      </c>
      <c r="B600" s="6" t="str">
        <f>IFERROR(__xludf.DUMMYFUNCTION("""COMPUTED_VALUE"""),"Какаю")</f>
        <v>Какаю</v>
      </c>
      <c r="C600" s="6" t="str">
        <f>IFERROR(__xludf.DUMMYFUNCTION("""COMPUTED_VALUE"""),"Уже нет хобби")</f>
        <v>Уже нет хобби</v>
      </c>
      <c r="D600" s="6" t="str">
        <f>IFERROR(__xludf.DUMMYFUNCTION("""COMPUTED_VALUE"""),"Ягуновка")</f>
        <v>Ягуновка</v>
      </c>
      <c r="E600" s="6" t="str">
        <f>IFERROR(__xludf.DUMMYFUNCTION("""COMPUTED_VALUE"""),"Прибой")</f>
        <v>Прибой</v>
      </c>
      <c r="F600" s="6" t="str">
        <f>IFERROR(__xludf.DUMMYFUNCTION("""COMPUTED_VALUE"""),"Живу здесь с рождения")</f>
        <v>Живу здесь с рождения</v>
      </c>
      <c r="G600" s="6" t="str">
        <f>IFERROR(__xludf.DUMMYFUNCTION("""COMPUTED_VALUE"""),"Ягуновка")</f>
        <v>Ягуновка</v>
      </c>
      <c r="H600" s="6" t="str">
        <f>IFERROR(__xludf.DUMMYFUNCTION("""COMPUTED_VALUE"""),"Цыгане, армяне, Ягуновка, уголь")</f>
        <v>Цыгане, армяне, Ягуновка, уголь</v>
      </c>
      <c r="I600" s="6" t="str">
        <f>IFERROR(__xludf.DUMMYFUNCTION("""COMPUTED_VALUE"""),"Путин")</f>
        <v>Путин</v>
      </c>
      <c r="J600" s="6" t="str">
        <f>IFERROR(__xludf.DUMMYFUNCTION("""COMPUTED_VALUE"""),"Никто")</f>
        <v>Никто</v>
      </c>
      <c r="K600" s="6" t="str">
        <f>IFERROR(__xludf.DUMMYFUNCTION("""COMPUTED_VALUE"""),"Прибой")</f>
        <v>Прибой</v>
      </c>
      <c r="L600" s="6" t="str">
        <f>IFERROR(__xludf.DUMMYFUNCTION("""COMPUTED_VALUE"""),"Идёт медведь по дороге, видит камень. На нем написано: налево пойдешь - сядешь в машину и сгоришь, направо - сядешь в машину и сгоришь, прямо - сядешь в машину и сгоришь. Ну медведь думал думал и пошёл прямо. Сел в машину и сгорел.")</f>
        <v>Идёт медведь по дороге, видит камень. На нем написано: налево пойдешь - сядешь в машину и сгоришь, направо - сядешь в машину и сгоришь, прямо - сядешь в машину и сгоришь. Ну медведь думал думал и пошёл прямо. Сел в машину и сгорел.</v>
      </c>
      <c r="M600" s="6" t="str">
        <f>IFERROR(__xludf.DUMMYFUNCTION("""COMPUTED_VALUE"""),"Хачапуре по цыгански")</f>
        <v>Хачапуре по цыгански</v>
      </c>
      <c r="N600" s="6" t="str">
        <f>IFERROR(__xludf.DUMMYFUNCTION("""COMPUTED_VALUE"""),"Экология, развитая инфраструктура, вакантные рабочие места, хорошое образование")</f>
        <v>Экология, развитая инфраструктура, вакантные рабочие места, хорошое образование</v>
      </c>
      <c r="O600" s="6" t="str">
        <f>IFERROR(__xludf.DUMMYFUNCTION("""COMPUTED_VALUE"""),"Прибой")</f>
        <v>Прибой</v>
      </c>
      <c r="P600" s="6" t="str">
        <f>IFERROR(__xludf.DUMMYFUNCTION("""COMPUTED_VALUE"""),"От пацанов с района ")</f>
        <v>От пацанов с района </v>
      </c>
      <c r="Q600"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600" s="6" t="str">
        <f>IFERROR(__xludf.DUMMYFUNCTION("""COMPUTED_VALUE"""),"Митинги ")</f>
        <v>Митинги </v>
      </c>
      <c r="S600" s="6" t="str">
        <f>IFERROR(__xludf.DUMMYFUNCTION("""COMPUTED_VALUE"""),"Нет, не приходилось")</f>
        <v>Нет, не приходилось</v>
      </c>
      <c r="T600" s="6" t="str">
        <f>IFERROR(__xludf.DUMMYFUNCTION("""COMPUTED_VALUE"""),"Прибой")</f>
        <v>Прибой</v>
      </c>
      <c r="U600" s="6" t="str">
        <f>IFERROR(__xludf.DUMMYFUNCTION("""COMPUTED_VALUE"""),"Прибой")</f>
        <v>Прибой</v>
      </c>
      <c r="V600" s="6" t="str">
        <f>IFERROR(__xludf.DUMMYFUNCTION("""COMPUTED_VALUE"""),"Построили прибой")</f>
        <v>Построили прибой</v>
      </c>
      <c r="W600" s="6" t="str">
        <f>IFERROR(__xludf.DUMMYFUNCTION("""COMPUTED_VALUE"""),"Угрюмые, злые, лукавые")</f>
        <v>Угрюмые, злые, лукавые</v>
      </c>
      <c r="X600" s="6" t="str">
        <f>IFERROR(__xludf.DUMMYFUNCTION("""COMPUTED_VALUE"""),"По ягуновке ")</f>
        <v>По ягуновке </v>
      </c>
      <c r="Y600" s="6" t="str">
        <f>IFERROR(__xludf.DUMMYFUNCTION("""COMPUTED_VALUE"""),"Сгорела зимняя вишня ")</f>
        <v>Сгорела зимняя вишня </v>
      </c>
      <c r="Z600" s="6" t="str">
        <f>IFERROR(__xludf.DUMMYFUNCTION("""COMPUTED_VALUE"""),"Сгорела зимняя вишня")</f>
        <v>Сгорела зимняя вишня</v>
      </c>
      <c r="AA600" s="6" t="str">
        <f>IFERROR(__xludf.DUMMYFUNCTION("""COMPUTED_VALUE"""),"Приезд Путина ")</f>
        <v>Приезд Путина </v>
      </c>
      <c r="AB600" s="6" t="str">
        <f>IFERROR(__xludf.DUMMYFUNCTION("""COMPUTED_VALUE"""),"Гачи ")</f>
        <v>Гачи </v>
      </c>
      <c r="AC600" s="6" t="str">
        <f>IFERROR(__xludf.DUMMYFUNCTION("""COMPUTED_VALUE"""),"Гачи тусовка ")</f>
        <v>Гачи тусовка </v>
      </c>
      <c r="AD600"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600" s="6" t="str">
        <f>IFERROR(__xludf.DUMMYFUNCTION("""COMPUTED_VALUE"""),"Мужской")</f>
        <v>Мужской</v>
      </c>
      <c r="AF600" s="6" t="str">
        <f>IFERROR(__xludf.DUMMYFUNCTION("""COMPUTED_VALUE"""),"18-29")</f>
        <v>18-29</v>
      </c>
      <c r="AG600" s="6"/>
      <c r="AH600" s="6"/>
      <c r="AI600" s="6"/>
      <c r="AJ600" s="6"/>
      <c r="AK600" s="6"/>
      <c r="AL600" s="6"/>
      <c r="AM600" s="6"/>
    </row>
    <row r="601">
      <c r="A601" s="6">
        <v>600.0</v>
      </c>
      <c r="B601" s="6" t="str">
        <f>IFERROR(__xludf.DUMMYFUNCTION("""COMPUTED_VALUE"""),"Студент ")</f>
        <v>Студент </v>
      </c>
      <c r="C601" s="6" t="str">
        <f>IFERROR(__xludf.DUMMYFUNCTION("""COMPUTED_VALUE"""),"Нет")</f>
        <v>Нет</v>
      </c>
      <c r="D601" s="6" t="str">
        <f>IFERROR(__xludf.DUMMYFUNCTION("""COMPUTED_VALUE"""),"Заводской ")</f>
        <v>Заводской </v>
      </c>
      <c r="E601" s="6" t="str">
        <f>IFERROR(__xludf.DUMMYFUNCTION("""COMPUTED_VALUE"""),"Никаких")</f>
        <v>Никаких</v>
      </c>
      <c r="F601" s="6" t="str">
        <f>IFERROR(__xludf.DUMMYFUNCTION("""COMPUTED_VALUE"""),"Полысаево ")</f>
        <v>Полысаево </v>
      </c>
      <c r="G601" s="6" t="str">
        <f>IFERROR(__xludf.DUMMYFUNCTION("""COMPUTED_VALUE"""),"Никуда ")</f>
        <v>Никуда </v>
      </c>
      <c r="H601" s="6" t="str">
        <f>IFERROR(__xludf.DUMMYFUNCTION("""COMPUTED_VALUE"""),"Нет")</f>
        <v>Нет</v>
      </c>
      <c r="I601" s="6" t="str">
        <f>IFERROR(__xludf.DUMMYFUNCTION("""COMPUTED_VALUE"""),"Нет")</f>
        <v>Нет</v>
      </c>
      <c r="J601" s="6" t="str">
        <f>IFERROR(__xludf.DUMMYFUNCTION("""COMPUTED_VALUE"""),"Нет")</f>
        <v>Нет</v>
      </c>
      <c r="K601" s="6" t="str">
        <f>IFERROR(__xludf.DUMMYFUNCTION("""COMPUTED_VALUE"""),"Нет ")</f>
        <v>Нет </v>
      </c>
      <c r="L601" s="6" t="str">
        <f>IFERROR(__xludf.DUMMYFUNCTION("""COMPUTED_VALUE"""),"Нет")</f>
        <v>Нет</v>
      </c>
      <c r="M601" s="6" t="str">
        <f>IFERROR(__xludf.DUMMYFUNCTION("""COMPUTED_VALUE"""),"Нет")</f>
        <v>Нет</v>
      </c>
      <c r="N601" s="6" t="str">
        <f>IFERROR(__xludf.DUMMYFUNCTION("""COMPUTED_VALUE"""),"Горячая вода в общежитии номер 5 ")</f>
        <v>Горячая вода в общежитии номер 5 </v>
      </c>
      <c r="O601" s="6" t="str">
        <f>IFERROR(__xludf.DUMMYFUNCTION("""COMPUTED_VALUE"""),"Нужно отремонтировать общежитие номер 5 (Мичурина 57А), горячей воды нет никогда ")</f>
        <v>Нужно отремонтировать общежитие номер 5 (Мичурина 57А), горячей воды нет никогда </v>
      </c>
      <c r="P601" s="6" t="str">
        <f>IFERROR(__xludf.DUMMYFUNCTION("""COMPUTED_VALUE"""),"Инстаграмм ")</f>
        <v>Инстаграмм </v>
      </c>
      <c r="Q601" s="6" t="str">
        <f>IFERROR(__xludf.DUMMYFUNCTION("""COMPUTED_VALUE"""),"криминальные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f>
        <v>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v>
      </c>
      <c r="R601" s="6" t="str">
        <f>IFERROR(__xludf.DUMMYFUNCTION("""COMPUTED_VALUE"""),"9 мая ")</f>
        <v>9 мая </v>
      </c>
      <c r="S601" s="6" t="str">
        <f>IFERROR(__xludf.DUMMYFUNCTION("""COMPUTED_VALUE"""),"Нет, не приходилось")</f>
        <v>Нет, не приходилось</v>
      </c>
      <c r="T601" s="6" t="str">
        <f>IFERROR(__xludf.DUMMYFUNCTION("""COMPUTED_VALUE"""),"Не знаю ")</f>
        <v>Не знаю </v>
      </c>
      <c r="U601" s="6" t="str">
        <f>IFERROR(__xludf.DUMMYFUNCTION("""COMPUTED_VALUE"""),"Не знаю ")</f>
        <v>Не знаю </v>
      </c>
      <c r="V601" s="6" t="str">
        <f>IFERROR(__xludf.DUMMYFUNCTION("""COMPUTED_VALUE"""),"Не знаю ")</f>
        <v>Не знаю </v>
      </c>
      <c r="W601" s="6" t="str">
        <f>IFERROR(__xludf.DUMMYFUNCTION("""COMPUTED_VALUE"""),"Они моются в горячей воде ")</f>
        <v>Они моются в горячей воде </v>
      </c>
      <c r="X601" s="6" t="str">
        <f>IFERROR(__xludf.DUMMYFUNCTION("""COMPUTED_VALUE"""),"От Мичурина 57А до второго корпуса кузгту ")</f>
        <v>От Мичурина 57А до второго корпуса кузгту </v>
      </c>
      <c r="Y601" s="6" t="str">
        <f>IFERROR(__xludf.DUMMYFUNCTION("""COMPUTED_VALUE"""),"Не знаю ")</f>
        <v>Не знаю </v>
      </c>
      <c r="Z601" s="6" t="str">
        <f>IFERROR(__xludf.DUMMYFUNCTION("""COMPUTED_VALUE"""),"Никаких")</f>
        <v>Никаких</v>
      </c>
      <c r="AA601" s="6" t="str">
        <f>IFERROR(__xludf.DUMMYFUNCTION("""COMPUTED_VALUE"""),"Вода, ее просто нет ")</f>
        <v>Вода, ее просто нет </v>
      </c>
      <c r="AB601" s="6" t="str">
        <f>IFERROR(__xludf.DUMMYFUNCTION("""COMPUTED_VALUE"""),"Не знаю ")</f>
        <v>Не знаю </v>
      </c>
      <c r="AC601" s="6" t="str">
        <f>IFERROR(__xludf.DUMMYFUNCTION("""COMPUTED_VALUE"""),"Не знаю ")</f>
        <v>Не знаю </v>
      </c>
      <c r="AD60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601" s="6" t="str">
        <f>IFERROR(__xludf.DUMMYFUNCTION("""COMPUTED_VALUE"""),"Женский")</f>
        <v>Женский</v>
      </c>
      <c r="AF601" s="6" t="str">
        <f>IFERROR(__xludf.DUMMYFUNCTION("""COMPUTED_VALUE"""),"18-29")</f>
        <v>18-29</v>
      </c>
      <c r="AG601" s="6"/>
      <c r="AH601" s="6"/>
      <c r="AI601" s="6"/>
      <c r="AJ601" s="6"/>
      <c r="AK601" s="6"/>
      <c r="AL601" s="6"/>
      <c r="AM601" s="6"/>
    </row>
    <row r="602">
      <c r="A602" s="6">
        <v>601.0</v>
      </c>
      <c r="B602" s="6" t="str">
        <f>IFERROR(__xludf.DUMMYFUNCTION("""COMPUTED_VALUE"""),"Студент, учусь ")</f>
        <v>Студент, учусь </v>
      </c>
      <c r="C602" s="6" t="str">
        <f>IFERROR(__xludf.DUMMYFUNCTION("""COMPUTED_VALUE"""),"Нет")</f>
        <v>Нет</v>
      </c>
      <c r="D602" s="6" t="str">
        <f>IFERROR(__xludf.DUMMYFUNCTION("""COMPUTED_VALUE"""),"Заводской ")</f>
        <v>Заводской </v>
      </c>
      <c r="E602" s="6" t="str">
        <f>IFERROR(__xludf.DUMMYFUNCTION("""COMPUTED_VALUE"""),"Не знаю")</f>
        <v>Не знаю</v>
      </c>
      <c r="F602" s="6" t="str">
        <f>IFERROR(__xludf.DUMMYFUNCTION("""COMPUTED_VALUE"""),"Переехал сюда из другого места (откуда? укажите в графе другое), Полысаево")</f>
        <v>Переехал сюда из другого места (откуда? укажите в графе другое), Полысаево</v>
      </c>
      <c r="G602" s="6" t="str">
        <f>IFERROR(__xludf.DUMMYFUNCTION("""COMPUTED_VALUE"""),"Никуда ")</f>
        <v>Никуда </v>
      </c>
      <c r="H602" s="6" t="str">
        <f>IFERROR(__xludf.DUMMYFUNCTION("""COMPUTED_VALUE"""),"-")</f>
        <v>-</v>
      </c>
      <c r="I602" s="6" t="str">
        <f>IFERROR(__xludf.DUMMYFUNCTION("""COMPUTED_VALUE"""),"-")</f>
        <v>-</v>
      </c>
      <c r="J602" s="6" t="str">
        <f>IFERROR(__xludf.DUMMYFUNCTION("""COMPUTED_VALUE"""),"-")</f>
        <v>-</v>
      </c>
      <c r="K602" s="6" t="str">
        <f>IFERROR(__xludf.DUMMYFUNCTION("""COMPUTED_VALUE"""),"-")</f>
        <v>-</v>
      </c>
      <c r="L602" s="6" t="str">
        <f>IFERROR(__xludf.DUMMYFUNCTION("""COMPUTED_VALUE"""),"-")</f>
        <v>-</v>
      </c>
      <c r="M602" s="6" t="str">
        <f>IFERROR(__xludf.DUMMYFUNCTION("""COMPUTED_VALUE"""),"-")</f>
        <v>-</v>
      </c>
      <c r="N602" s="6" t="str">
        <f>IFERROR(__xludf.DUMMYFUNCTION("""COMPUTED_VALUE"""),"Не знаю")</f>
        <v>Не знаю</v>
      </c>
      <c r="O602" s="6" t="str">
        <f>IFERROR(__xludf.DUMMYFUNCTION("""COMPUTED_VALUE"""),"Общаги для студентов ")</f>
        <v>Общаги для студентов </v>
      </c>
      <c r="P602" s="6" t="str">
        <f>IFERROR(__xludf.DUMMYFUNCTION("""COMPUTED_VALUE"""),"Инстаграм ")</f>
        <v>Инстаграм </v>
      </c>
      <c r="Q602" s="6" t="str">
        <f>IFERROR(__xludf.DUMMYFUNCTION("""COMPUTED_VALUE"""),"куда пойти в свободное время, криминальные новости (происшествия/преступления), результаты местных исследований (рейтинги/аналитика/тенденции)")</f>
        <v>куда пойти в свободное время, криминальные новости (происшествия/преступления), результаты местных исследований (рейтинги/аналитика/тенденции)</v>
      </c>
      <c r="R602" s="6" t="str">
        <f>IFERROR(__xludf.DUMMYFUNCTION("""COMPUTED_VALUE"""),"9 мая ")</f>
        <v>9 мая </v>
      </c>
      <c r="S602" s="6" t="str">
        <f>IFERROR(__xludf.DUMMYFUNCTION("""COMPUTED_VALUE"""),"Нет, не приходилось")</f>
        <v>Нет, не приходилось</v>
      </c>
      <c r="T602" s="6" t="str">
        <f>IFERROR(__xludf.DUMMYFUNCTION("""COMPUTED_VALUE"""),"Чёрное небо ")</f>
        <v>Чёрное небо </v>
      </c>
      <c r="U602" s="6" t="str">
        <f>IFERROR(__xludf.DUMMYFUNCTION("""COMPUTED_VALUE"""),"Без понятия ")</f>
        <v>Без понятия </v>
      </c>
      <c r="V602" s="6" t="str">
        <f>IFERROR(__xludf.DUMMYFUNCTION("""COMPUTED_VALUE"""),"Не знаю")</f>
        <v>Не знаю</v>
      </c>
      <c r="W602" s="6" t="str">
        <f>IFERROR(__xludf.DUMMYFUNCTION("""COMPUTED_VALUE"""),"Занятые ")</f>
        <v>Занятые </v>
      </c>
      <c r="X602" s="6" t="str">
        <f>IFERROR(__xludf.DUMMYFUNCTION("""COMPUTED_VALUE"""),"на набережной ")</f>
        <v>на набережной </v>
      </c>
      <c r="Y602" s="6" t="str">
        <f>IFERROR(__xludf.DUMMYFUNCTION("""COMPUTED_VALUE"""),"Не знаю")</f>
        <v>Не знаю</v>
      </c>
      <c r="Z602" s="6" t="str">
        <f>IFERROR(__xludf.DUMMYFUNCTION("""COMPUTED_VALUE"""),"Не знаб")</f>
        <v>Не знаб</v>
      </c>
      <c r="AA602" s="6" t="str">
        <f>IFERROR(__xludf.DUMMYFUNCTION("""COMPUTED_VALUE"""),"Не было")</f>
        <v>Не было</v>
      </c>
      <c r="AB602" s="6" t="str">
        <f>IFERROR(__xludf.DUMMYFUNCTION("""COMPUTED_VALUE"""),"Никаких")</f>
        <v>Никаких</v>
      </c>
      <c r="AC602" s="6" t="str">
        <f>IFERROR(__xludf.DUMMYFUNCTION("""COMPUTED_VALUE"""),"Не знаю")</f>
        <v>Не знаю</v>
      </c>
      <c r="AD60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602" s="6" t="str">
        <f>IFERROR(__xludf.DUMMYFUNCTION("""COMPUTED_VALUE"""),"Женский")</f>
        <v>Женский</v>
      </c>
      <c r="AF602" s="6" t="str">
        <f>IFERROR(__xludf.DUMMYFUNCTION("""COMPUTED_VALUE"""),"18-29")</f>
        <v>18-29</v>
      </c>
      <c r="AG602" s="6"/>
      <c r="AH602" s="6"/>
      <c r="AI602" s="6"/>
      <c r="AJ602" s="6"/>
      <c r="AK602" s="6"/>
      <c r="AL602" s="6"/>
      <c r="AM602" s="6"/>
    </row>
    <row r="603">
      <c r="A603" s="6">
        <v>602.0</v>
      </c>
      <c r="B603" s="6" t="str">
        <f>IFERROR(__xludf.DUMMYFUNCTION("""COMPUTED_VALUE"""),"Учусь")</f>
        <v>Учусь</v>
      </c>
      <c r="C603" s="6" t="str">
        <f>IFERROR(__xludf.DUMMYFUNCTION("""COMPUTED_VALUE"""),"Охота")</f>
        <v>Охота</v>
      </c>
      <c r="D603" s="6" t="str">
        <f>IFERROR(__xludf.DUMMYFUNCTION("""COMPUTED_VALUE"""),"Заводской")</f>
        <v>Заводской</v>
      </c>
      <c r="E603" s="6" t="str">
        <f>IFERROR(__xludf.DUMMYFUNCTION("""COMPUTED_VALUE"""),"Парк ангелов, общага")</f>
        <v>Парк ангелов, общага</v>
      </c>
      <c r="F603"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603" s="6" t="str">
        <f>IFERROR(__xludf.DUMMYFUNCTION("""COMPUTED_VALUE"""),"Общага")</f>
        <v>Общага</v>
      </c>
      <c r="H603" s="6" t="str">
        <f>IFERROR(__xludf.DUMMYFUNCTION("""COMPUTED_VALUE"""),"Общага, вуз ,парк ангелов , паб, пекарня")</f>
        <v>Общага, вуз ,парк ангелов , паб, пекарня</v>
      </c>
      <c r="I603" s="6" t="str">
        <f>IFERROR(__xludf.DUMMYFUNCTION("""COMPUTED_VALUE"""),"Тулеев")</f>
        <v>Тулеев</v>
      </c>
      <c r="J603" s="6" t="str">
        <f>IFERROR(__xludf.DUMMYFUNCTION("""COMPUTED_VALUE"""),"Кудреватых Н. В")</f>
        <v>Кудреватых Н. В</v>
      </c>
      <c r="K603" s="6" t="str">
        <f>IFERROR(__xludf.DUMMYFUNCTION("""COMPUTED_VALUE"""),"Драмтеатр")</f>
        <v>Драмтеатр</v>
      </c>
      <c r="L603" s="6" t="str">
        <f>IFERROR(__xludf.DUMMYFUNCTION("""COMPUTED_VALUE"""),"Летели в самолете русский немец и чукча ")</f>
        <v>Летели в самолете русский немец и чукча </v>
      </c>
      <c r="M603" s="6" t="str">
        <f>IFERROR(__xludf.DUMMYFUNCTION("""COMPUTED_VALUE"""),"Хачапури")</f>
        <v>Хачапури</v>
      </c>
      <c r="N603" s="6" t="str">
        <f>IFERROR(__xludf.DUMMYFUNCTION("""COMPUTED_VALUE"""),"Грязь, бедность, алкоголь, общага, мерин")</f>
        <v>Грязь, бедность, алкоголь, общага, мерин</v>
      </c>
      <c r="O603" s="6" t="str">
        <f>IFERROR(__xludf.DUMMYFUNCTION("""COMPUTED_VALUE"""),"Начните с себя")</f>
        <v>Начните с себя</v>
      </c>
      <c r="P603" s="6" t="str">
        <f>IFERROR(__xludf.DUMMYFUNCTION("""COMPUTED_VALUE"""),"Инста двач")</f>
        <v>Инста двач</v>
      </c>
      <c r="Q603" s="6" t="str">
        <f>IFERROR(__xludf.DUMMYFUNCTION("""COMPUTED_VALUE"""),"интервью с местными предпринимателями")</f>
        <v>интервью с местными предпринимателями</v>
      </c>
      <c r="R603" s="6" t="str">
        <f>IFERROR(__xludf.DUMMYFUNCTION("""COMPUTED_VALUE"""),"Мое день рождения")</f>
        <v>Мое день рождения</v>
      </c>
      <c r="S603" s="6" t="str">
        <f>IFERROR(__xludf.DUMMYFUNCTION("""COMPUTED_VALUE"""),"Нет, не приходилось")</f>
        <v>Нет, не приходилось</v>
      </c>
      <c r="T603" s="6" t="str">
        <f>IFERROR(__xludf.DUMMYFUNCTION("""COMPUTED_VALUE"""),"Бедностью")</f>
        <v>Бедностью</v>
      </c>
      <c r="U603" s="6" t="str">
        <f>IFERROR(__xludf.DUMMYFUNCTION("""COMPUTED_VALUE"""),"Зимняя вишня")</f>
        <v>Зимняя вишня</v>
      </c>
      <c r="V603" s="6" t="str">
        <f>IFERROR(__xludf.DUMMYFUNCTION("""COMPUTED_VALUE"""),"Космос")</f>
        <v>Космос</v>
      </c>
      <c r="W603" s="6" t="str">
        <f>IFERROR(__xludf.DUMMYFUNCTION("""COMPUTED_VALUE"""),"Добрые")</f>
        <v>Добрые</v>
      </c>
      <c r="X603" s="6" t="str">
        <f>IFERROR(__xludf.DUMMYFUNCTION("""COMPUTED_VALUE"""),"Парк чудес - дом")</f>
        <v>Парк чудес - дом</v>
      </c>
      <c r="Y603" s="6" t="str">
        <f>IFERROR(__xludf.DUMMYFUNCTION("""COMPUTED_VALUE"""),"Зимняя вишня")</f>
        <v>Зимняя вишня</v>
      </c>
      <c r="Z603" s="6" t="str">
        <f>IFERROR(__xludf.DUMMYFUNCTION("""COMPUTED_VALUE"""),"Нету")</f>
        <v>Нету</v>
      </c>
      <c r="AA603" s="6" t="str">
        <f>IFERROR(__xludf.DUMMYFUNCTION("""COMPUTED_VALUE"""),"Нету")</f>
        <v>Нету</v>
      </c>
      <c r="AB603" s="6" t="str">
        <f>IFERROR(__xludf.DUMMYFUNCTION("""COMPUTED_VALUE"""),"Гаччи")</f>
        <v>Гаччи</v>
      </c>
      <c r="AC603" s="6" t="str">
        <f>IFERROR(__xludf.DUMMYFUNCTION("""COMPUTED_VALUE"""),"Нету")</f>
        <v>Нету</v>
      </c>
      <c r="AD60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03" s="6" t="str">
        <f>IFERROR(__xludf.DUMMYFUNCTION("""COMPUTED_VALUE"""),"Женский")</f>
        <v>Женский</v>
      </c>
      <c r="AF603" s="6" t="str">
        <f>IFERROR(__xludf.DUMMYFUNCTION("""COMPUTED_VALUE"""),"старше 55")</f>
        <v>старше 55</v>
      </c>
      <c r="AG603" s="6"/>
      <c r="AH603" s="6"/>
      <c r="AI603" s="6"/>
      <c r="AJ603" s="6"/>
      <c r="AK603" s="6"/>
      <c r="AL603" s="6"/>
      <c r="AM603" s="6"/>
    </row>
    <row r="604">
      <c r="A604" s="6">
        <v>603.0</v>
      </c>
      <c r="B604" s="6" t="str">
        <f>IFERROR(__xludf.DUMMYFUNCTION("""COMPUTED_VALUE"""),"Студент ")</f>
        <v>Студент </v>
      </c>
      <c r="C604" s="6" t="str">
        <f>IFERROR(__xludf.DUMMYFUNCTION("""COMPUTED_VALUE"""),"Нет")</f>
        <v>Нет</v>
      </c>
      <c r="D604" s="6" t="str">
        <f>IFERROR(__xludf.DUMMYFUNCTION("""COMPUTED_VALUE"""),"Рудничный")</f>
        <v>Рудничный</v>
      </c>
      <c r="E604" s="6" t="str">
        <f>IFERROR(__xludf.DUMMYFUNCTION("""COMPUTED_VALUE"""),"Бор ")</f>
        <v>Бор </v>
      </c>
      <c r="F604" s="6" t="str">
        <f>IFERROR(__xludf.DUMMYFUNCTION("""COMPUTED_VALUE"""),"Живу здесь с рождения")</f>
        <v>Живу здесь с рождения</v>
      </c>
      <c r="G604" s="6" t="str">
        <f>IFERROR(__xludf.DUMMYFUNCTION("""COMPUTED_VALUE"""),"Бор, кафе, кино")</f>
        <v>Бор, кафе, кино</v>
      </c>
      <c r="H604" s="6" t="str">
        <f>IFERROR(__xludf.DUMMYFUNCTION("""COMPUTED_VALUE"""),"Грязь, серость, шахты, бедность, зелень ")</f>
        <v>Грязь, серость, шахты, бедность, зелень </v>
      </c>
      <c r="I604" s="6" t="str">
        <f>IFERROR(__xludf.DUMMYFUNCTION("""COMPUTED_VALUE"""),"Леонов ")</f>
        <v>Леонов </v>
      </c>
      <c r="J604" s="6" t="str">
        <f>IFERROR(__xludf.DUMMYFUNCTION("""COMPUTED_VALUE"""),"Не знаю ")</f>
        <v>Не знаю </v>
      </c>
      <c r="K604" s="6" t="str">
        <f>IFERROR(__xludf.DUMMYFUNCTION("""COMPUTED_VALUE"""),"Парк ангелов, бор, набережная в кировском ")</f>
        <v>Парк ангелов, бор, набережная в кировском </v>
      </c>
      <c r="L604" s="6" t="str">
        <f>IFERROR(__xludf.DUMMYFUNCTION("""COMPUTED_VALUE"""),"Не знаю ")</f>
        <v>Не знаю </v>
      </c>
      <c r="M604" s="6" t="str">
        <f>IFERROR(__xludf.DUMMYFUNCTION("""COMPUTED_VALUE"""),"Не знаю ")</f>
        <v>Не знаю </v>
      </c>
      <c r="N604" s="6" t="str">
        <f>IFERROR(__xludf.DUMMYFUNCTION("""COMPUTED_VALUE"""),"Развитый культурный кластер, комфортные транспортные линии, территориальная доступность социальных учреждений (школы, больницы и тд), наличие рабочих мест по специальности")</f>
        <v>Развитый культурный кластер, комфортные транспортные линии, территориальная доступность социальных учреждений (школы, больницы и тд), наличие рабочих мест по специальности</v>
      </c>
      <c r="O604" s="6" t="str">
        <f>IFERROR(__xludf.DUMMYFUNCTION("""COMPUTED_VALUE"""),"Экологию, дороги, развитие культурной инфраструктуры ")</f>
        <v>Экологию, дороги, развитие культурной инфраструктуры </v>
      </c>
      <c r="P604" s="6" t="str">
        <f>IFERROR(__xludf.DUMMYFUNCTION("""COMPUTED_VALUE"""),"Инстаграм")</f>
        <v>Инстаграм</v>
      </c>
      <c r="Q604"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 бизнес-новости (средний чек/рекламные акции/"&amp;"запуск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604" s="6" t="str">
        <f>IFERROR(__xludf.DUMMYFUNCTION("""COMPUTED_VALUE"""),"День города, 9 мая ")</f>
        <v>День города, 9 мая </v>
      </c>
      <c r="S604" s="6" t="str">
        <f>IFERROR(__xludf.DUMMYFUNCTION("""COMPUTED_VALUE"""),"Нет, не приходилось")</f>
        <v>Нет, не приходилось</v>
      </c>
      <c r="T604" s="6" t="str">
        <f>IFERROR(__xludf.DUMMYFUNCTION("""COMPUTED_VALUE"""),"Шахты, сдс ")</f>
        <v>Шахты, сдс </v>
      </c>
      <c r="U604" s="6" t="str">
        <f>IFERROR(__xludf.DUMMYFUNCTION("""COMPUTED_VALUE"""),"Горсад, набережная ")</f>
        <v>Горсад, набережная </v>
      </c>
      <c r="V604" s="6" t="str">
        <f>IFERROR(__xludf.DUMMYFUNCTION("""COMPUTED_VALUE"""),"Не знаю ")</f>
        <v>Не знаю </v>
      </c>
      <c r="W604" s="6" t="str">
        <f>IFERROR(__xludf.DUMMYFUNCTION("""COMPUTED_VALUE"""),"Не знаю ")</f>
        <v>Не знаю </v>
      </c>
      <c r="X604" s="6" t="str">
        <f>IFERROR(__xludf.DUMMYFUNCTION("""COMPUTED_VALUE"""),"Площадь советов, набережная, горсад ")</f>
        <v>Площадь советов, набережная, горсад </v>
      </c>
      <c r="Y604" s="6" t="str">
        <f>IFERROR(__xludf.DUMMYFUNCTION("""COMPUTED_VALUE"""),"Открытие горелой горы ")</f>
        <v>Открытие горелой горы </v>
      </c>
      <c r="Z604" s="6" t="str">
        <f>IFERROR(__xludf.DUMMYFUNCTION("""COMPUTED_VALUE"""),"100-летие города ")</f>
        <v>100-летие города </v>
      </c>
      <c r="AA604" s="6" t="str">
        <f>IFERROR(__xludf.DUMMYFUNCTION("""COMPUTED_VALUE"""),"Пожар в зимней вишне")</f>
        <v>Пожар в зимней вишне</v>
      </c>
      <c r="AB604" s="6" t="str">
        <f>IFERROR(__xludf.DUMMYFUNCTION("""COMPUTED_VALUE"""),"Не знаю ")</f>
        <v>Не знаю </v>
      </c>
      <c r="AC604" s="6" t="str">
        <f>IFERROR(__xludf.DUMMYFUNCTION("""COMPUTED_VALUE"""),"Концерты, встречи с деятеля и культуры, бизнес форумы ")</f>
        <v>Концерты, встречи с деятеля и культуры, бизнес форумы </v>
      </c>
      <c r="AD604"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04" s="6" t="str">
        <f>IFERROR(__xludf.DUMMYFUNCTION("""COMPUTED_VALUE"""),"Женский")</f>
        <v>Женский</v>
      </c>
      <c r="AF604" s="6" t="str">
        <f>IFERROR(__xludf.DUMMYFUNCTION("""COMPUTED_VALUE"""),"18-29")</f>
        <v>18-29</v>
      </c>
      <c r="AG604" s="6"/>
      <c r="AH604" s="6"/>
      <c r="AI604" s="6"/>
      <c r="AJ604" s="6"/>
      <c r="AK604" s="6"/>
      <c r="AL604" s="6"/>
      <c r="AM604" s="6"/>
    </row>
    <row r="605">
      <c r="A605" s="6">
        <v>604.0</v>
      </c>
      <c r="B605" s="6" t="str">
        <f>IFERROR(__xludf.DUMMYFUNCTION("""COMPUTED_VALUE"""),"Ремонт Гороного оборудования")</f>
        <v>Ремонт Гороного оборудования</v>
      </c>
      <c r="C605" s="6" t="str">
        <f>IFERROR(__xludf.DUMMYFUNCTION("""COMPUTED_VALUE"""),"Фото/Видео")</f>
        <v>Фото/Видео</v>
      </c>
      <c r="D605" s="6" t="str">
        <f>IFERROR(__xludf.DUMMYFUNCTION("""COMPUTED_VALUE"""),"Центральный")</f>
        <v>Центральный</v>
      </c>
      <c r="E605" s="6" t="str">
        <f>IFERROR(__xludf.DUMMYFUNCTION("""COMPUTED_VALUE"""),"Площадь Пушкина")</f>
        <v>Площадь Пушкина</v>
      </c>
      <c r="F605" s="6" t="str">
        <f>IFERROR(__xludf.DUMMYFUNCTION("""COMPUTED_VALUE"""),"Живу здесь с рождения")</f>
        <v>Живу здесь с рождения</v>
      </c>
      <c r="G605" s="6" t="str">
        <f>IFERROR(__xludf.DUMMYFUNCTION("""COMPUTED_VALUE"""),"Кальянные")</f>
        <v>Кальянные</v>
      </c>
      <c r="H605" s="6" t="str">
        <f>IFERROR(__xludf.DUMMYFUNCTION("""COMPUTED_VALUE"""),"Пробки;закаты;Скука;бедность;застой")</f>
        <v>Пробки;закаты;Скука;бедность;застой</v>
      </c>
      <c r="I605" s="6" t="str">
        <f>IFERROR(__xludf.DUMMYFUNCTION("""COMPUTED_VALUE"""),"Тулеев;Волков;Приставка")</f>
        <v>Тулеев;Волков;Приставка</v>
      </c>
      <c r="J605" s="6" t="str">
        <f>IFERROR(__xludf.DUMMYFUNCTION("""COMPUTED_VALUE"""),"Кудреватых Н.В.")</f>
        <v>Кудреватых Н.В.</v>
      </c>
      <c r="K605" s="6" t="str">
        <f>IFERROR(__xludf.DUMMYFUNCTION("""COMPUTED_VALUE"""),"Красная горка. ")</f>
        <v>Красная горка. </v>
      </c>
      <c r="L605" s="6" t="str">
        <f>IFERROR(__xludf.DUMMYFUNCTION("""COMPUTED_VALUE"""),"Кто последний улетит , выключи за собой свет в аэропорту")</f>
        <v>Кто последний улетит , выключи за собой свет в аэропорту</v>
      </c>
      <c r="M605" s="6" t="str">
        <f>IFERROR(__xludf.DUMMYFUNCTION("""COMPUTED_VALUE"""),"КЕМГУ-высшее образование ")</f>
        <v>КЕМГУ-высшее образование </v>
      </c>
      <c r="N605" s="6" t="str">
        <f>IFERROR(__xludf.DUMMYFUNCTION("""COMPUTED_VALUE"""),"Нет пробок, парки , места отдыха и досуга. Хорошие дороги")</f>
        <v>Нет пробок, парки , места отдыха и досуга. Хорошие дороги</v>
      </c>
      <c r="O605" s="6" t="str">
        <f>IFERROR(__xludf.DUMMYFUNCTION("""COMPUTED_VALUE"""),"Дороги")</f>
        <v>Дороги</v>
      </c>
      <c r="P605" s="6" t="str">
        <f>IFERROR(__xludf.DUMMYFUNCTION("""COMPUTED_VALUE"""),"Интернет:VK")</f>
        <v>Интернет:VK</v>
      </c>
      <c r="Q605" s="6" t="str">
        <f>IFERROR(__xludf.DUMMYFUNCTION("""COMPUTED_VALUE"""),"интервью с местными политиками, интервью с местными предпринимателями, криминальные новости (происшествия/преступления)")</f>
        <v>интервью с местными политиками, интервью с местными предпринимателями, криминальные новости (происшествия/преступления)</v>
      </c>
      <c r="R605" s="6" t="str">
        <f>IFERROR(__xludf.DUMMYFUNCTION("""COMPUTED_VALUE"""),"День Шахтеров")</f>
        <v>День Шахтеров</v>
      </c>
      <c r="S605" s="6" t="str">
        <f>IFERROR(__xludf.DUMMYFUNCTION("""COMPUTED_VALUE"""),"Нет, не приходилось")</f>
        <v>Нет, не приходилось</v>
      </c>
      <c r="T605" s="6" t="str">
        <f>IFERROR(__xludf.DUMMYFUNCTION("""COMPUTED_VALUE"""),"Закаты; кальянные")</f>
        <v>Закаты; кальянные</v>
      </c>
      <c r="U605" s="6" t="str">
        <f>IFERROR(__xludf.DUMMYFUNCTION("""COMPUTED_VALUE"""),"Площадь советов")</f>
        <v>Площадь советов</v>
      </c>
      <c r="V605" s="6" t="str">
        <f>IFERROR(__xludf.DUMMYFUNCTION("""COMPUTED_VALUE"""),"Уехали ")</f>
        <v>Уехали </v>
      </c>
      <c r="W605" s="6" t="str">
        <f>IFERROR(__xludf.DUMMYFUNCTION("""COMPUTED_VALUE"""),"Злые , суровые, сами себе на уме")</f>
        <v>Злые , суровые, сами себе на уме</v>
      </c>
      <c r="X605" s="6" t="str">
        <f>IFERROR(__xludf.DUMMYFUNCTION("""COMPUTED_VALUE"""),"Из Кемерова")</f>
        <v>Из Кемерова</v>
      </c>
      <c r="Y605" s="6" t="str">
        <f>IFERROR(__xludf.DUMMYFUNCTION("""COMPUTED_VALUE"""),"Не было таких ")</f>
        <v>Не было таких </v>
      </c>
      <c r="Z605" s="6" t="str">
        <f>IFERROR(__xludf.DUMMYFUNCTION("""COMPUTED_VALUE"""),"Не отчислили ")</f>
        <v>Не отчислили </v>
      </c>
      <c r="AA605" s="6" t="str">
        <f>IFERROR(__xludf.DUMMYFUNCTION("""COMPUTED_VALUE"""),"Друга отчислили ")</f>
        <v>Друга отчислили </v>
      </c>
      <c r="AB605" s="6" t="str">
        <f>IFERROR(__xludf.DUMMYFUNCTION("""COMPUTED_VALUE"""),"Хватает")</f>
        <v>Хватает</v>
      </c>
      <c r="AC605" s="6" t="str">
        <f>IFERROR(__xludf.DUMMYFUNCTION("""COMPUTED_VALUE"""),"Я не знаю их никогда не было")</f>
        <v>Я не знаю их никогда не было</v>
      </c>
      <c r="AD605"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605" s="6" t="str">
        <f>IFERROR(__xludf.DUMMYFUNCTION("""COMPUTED_VALUE"""),"Мужской")</f>
        <v>Мужской</v>
      </c>
      <c r="AF605" s="6" t="str">
        <f>IFERROR(__xludf.DUMMYFUNCTION("""COMPUTED_VALUE"""),"старше 55")</f>
        <v>старше 55</v>
      </c>
      <c r="AG605" s="6"/>
      <c r="AH605" s="6"/>
      <c r="AI605" s="6"/>
      <c r="AJ605" s="6"/>
      <c r="AK605" s="6"/>
      <c r="AL605" s="6"/>
      <c r="AM605" s="6"/>
    </row>
    <row r="606">
      <c r="A606" s="6">
        <v>605.0</v>
      </c>
      <c r="B606" s="6" t="str">
        <f>IFERROR(__xludf.DUMMYFUNCTION("""COMPUTED_VALUE"""),"Студент")</f>
        <v>Студент</v>
      </c>
      <c r="C606" s="6" t="str">
        <f>IFERROR(__xludf.DUMMYFUNCTION("""COMPUTED_VALUE"""),"Спорт")</f>
        <v>Спорт</v>
      </c>
      <c r="D606" s="6" t="str">
        <f>IFERROR(__xludf.DUMMYFUNCTION("""COMPUTED_VALUE"""),"Рудничный район ")</f>
        <v>Рудничный район </v>
      </c>
      <c r="E606" s="6" t="str">
        <f>IFERROR(__xludf.DUMMYFUNCTION("""COMPUTED_VALUE"""),"Сосновый бор, музей заповедник Красная горка")</f>
        <v>Сосновый бор, музей заповедник Красная горка</v>
      </c>
      <c r="F606" s="6" t="str">
        <f>IFERROR(__xludf.DUMMYFUNCTION("""COMPUTED_VALUE"""),"Живу здесь с рождения, Переехал сюда из другого места (откуда? укажите в графе другое)")</f>
        <v>Живу здесь с рождения, Переехал сюда из другого места (откуда? укажите в графе другое)</v>
      </c>
      <c r="G606" s="6" t="str">
        <f>IFERROR(__xludf.DUMMYFUNCTION("""COMPUTED_VALUE"""),"Набережная, парки, сосновый бор")</f>
        <v>Набережная, парки, сосновый бор</v>
      </c>
      <c r="H606" s="6" t="str">
        <f>IFERROR(__xludf.DUMMYFUNCTION("""COMPUTED_VALUE"""),"Уютно, комфортно, доступно, красиво, модернизированно")</f>
        <v>Уютно, комфортно, доступно, красиво, модернизированно</v>
      </c>
      <c r="I606" s="6" t="str">
        <f>IFERROR(__xludf.DUMMYFUNCTION("""COMPUTED_VALUE"""),"Волков, леонов")</f>
        <v>Волков, леонов</v>
      </c>
      <c r="J606" s="6" t="str">
        <f>IFERROR(__xludf.DUMMYFUNCTION("""COMPUTED_VALUE"""),"Бессмертных ")</f>
        <v>Бессмертных </v>
      </c>
      <c r="K606" s="6" t="str">
        <f>IFERROR(__xludf.DUMMYFUNCTION("""COMPUTED_VALUE"""),"Сосновый бор")</f>
        <v>Сосновый бор</v>
      </c>
      <c r="L606" s="6" t="str">
        <f>IFERROR(__xludf.DUMMYFUNCTION("""COMPUTED_VALUE"""),"Таких нет ")</f>
        <v>Таких нет </v>
      </c>
      <c r="M606" s="6" t="str">
        <f>IFERROR(__xludf.DUMMYFUNCTION("""COMPUTED_VALUE"""),"Лапа")</f>
        <v>Лапа</v>
      </c>
      <c r="N606" s="6" t="str">
        <f>IFERROR(__xludf.DUMMYFUNCTION("""COMPUTED_VALUE"""),"Чистый воздух, чистые улицы, отсутствие пробок ")</f>
        <v>Чистый воздух, чистые улицы, отсутствие пробок </v>
      </c>
      <c r="O606" s="6" t="str">
        <f>IFERROR(__xludf.DUMMYFUNCTION("""COMPUTED_VALUE"""),"Транспортная система")</f>
        <v>Транспортная система</v>
      </c>
      <c r="P606" s="6" t="str">
        <f>IFERROR(__xludf.DUMMYFUNCTION("""COMPUTED_VALUE"""),"Интернет")</f>
        <v>Интернет</v>
      </c>
      <c r="Q606" s="6" t="str">
        <f>IFERROR(__xludf.DUMMYFUNCTION("""COMPUTED_VALUE"""),"культурные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f>
        <v>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606" s="6" t="str">
        <f>IFERROR(__xludf.DUMMYFUNCTION("""COMPUTED_VALUE"""),"День шахтёра ")</f>
        <v>День шахтёра </v>
      </c>
      <c r="S606" s="6" t="str">
        <f>IFERROR(__xludf.DUMMYFUNCTION("""COMPUTED_VALUE"""),"Нет, не приходилось")</f>
        <v>Нет, не приходилось</v>
      </c>
      <c r="T606" s="6" t="str">
        <f>IFERROR(__xludf.DUMMYFUNCTION("""COMPUTED_VALUE"""),"Угольная промышленность ")</f>
        <v>Угольная промышленность </v>
      </c>
      <c r="U606" s="6" t="str">
        <f>IFERROR(__xludf.DUMMYFUNCTION("""COMPUTED_VALUE"""),"Парк Чудес")</f>
        <v>Парк Чудес</v>
      </c>
      <c r="V606" s="6" t="str">
        <f>IFERROR(__xludf.DUMMYFUNCTION("""COMPUTED_VALUE"""),"Достижения в науке, труде")</f>
        <v>Достижения в науке, труде</v>
      </c>
      <c r="W606" s="6" t="str">
        <f>IFERROR(__xludf.DUMMYFUNCTION("""COMPUTED_VALUE"""),"Отзывчивость ")</f>
        <v>Отзывчивость </v>
      </c>
      <c r="X606" s="6" t="str">
        <f>IFERROR(__xludf.DUMMYFUNCTION("""COMPUTED_VALUE"""),"Центр города ")</f>
        <v>Центр города </v>
      </c>
      <c r="Y606" s="6" t="str">
        <f>IFERROR(__xludf.DUMMYFUNCTION("""COMPUTED_VALUE"""),"ЧМ мира по хоккею с мячом")</f>
        <v>ЧМ мира по хоккею с мячом</v>
      </c>
      <c r="Z606" s="6" t="str">
        <f>IFERROR(__xludf.DUMMYFUNCTION("""COMPUTED_VALUE"""),"Концерты")</f>
        <v>Концерты</v>
      </c>
      <c r="AA606" s="6" t="str">
        <f>IFERROR(__xludf.DUMMYFUNCTION("""COMPUTED_VALUE"""),"Нет")</f>
        <v>Нет</v>
      </c>
      <c r="AB606" s="6" t="str">
        <f>IFERROR(__xludf.DUMMYFUNCTION("""COMPUTED_VALUE"""),"Всего хватает ")</f>
        <v>Всего хватает </v>
      </c>
      <c r="AC606" s="6" t="str">
        <f>IFERROR(__xludf.DUMMYFUNCTION("""COMPUTED_VALUE"""),"Проведение культурных мероприятий ")</f>
        <v>Проведение культурных мероприятий </v>
      </c>
      <c r="AD60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606" s="6" t="str">
        <f>IFERROR(__xludf.DUMMYFUNCTION("""COMPUTED_VALUE"""),"Женский")</f>
        <v>Женский</v>
      </c>
      <c r="AF606" s="6" t="str">
        <f>IFERROR(__xludf.DUMMYFUNCTION("""COMPUTED_VALUE"""),"18-29")</f>
        <v>18-29</v>
      </c>
      <c r="AG606" s="6"/>
      <c r="AH606" s="6"/>
      <c r="AI606" s="6"/>
      <c r="AJ606" s="6"/>
      <c r="AK606" s="6"/>
      <c r="AL606" s="6"/>
      <c r="AM606" s="6"/>
    </row>
    <row r="607">
      <c r="A607" s="6">
        <v>606.0</v>
      </c>
      <c r="B607" s="6" t="str">
        <f>IFERROR(__xludf.DUMMYFUNCTION("""COMPUTED_VALUE"""),"Студент")</f>
        <v>Студент</v>
      </c>
      <c r="C607" s="6" t="str">
        <f>IFERROR(__xludf.DUMMYFUNCTION("""COMPUTED_VALUE"""),"Занимаюсь физической подготовкой")</f>
        <v>Занимаюсь физической подготовкой</v>
      </c>
      <c r="D607" s="6" t="str">
        <f>IFERROR(__xludf.DUMMYFUNCTION("""COMPUTED_VALUE"""),"Ленинский район")</f>
        <v>Ленинский район</v>
      </c>
      <c r="E607" s="6" t="str">
        <f>IFERROR(__xludf.DUMMYFUNCTION("""COMPUTED_VALUE"""),"Парк Кузбасский")</f>
        <v>Парк Кузбасский</v>
      </c>
      <c r="F607" s="6" t="str">
        <f>IFERROR(__xludf.DUMMYFUNCTION("""COMPUTED_VALUE"""),"Живу здесь с рождения")</f>
        <v>Живу здесь с рождения</v>
      </c>
      <c r="G607" s="6" t="str">
        <f>IFERROR(__xludf.DUMMYFUNCTION("""COMPUTED_VALUE"""),"Гулять по бульвару, Кинотеатр, Парк чудес")</f>
        <v>Гулять по бульвару, Кинотеатр, Парк чудес</v>
      </c>
      <c r="H607" s="6" t="str">
        <f>IFERROR(__xludf.DUMMYFUNCTION("""COMPUTED_VALUE"""),"Уголь
Дороги
Камеры
Тонировка
Снег
")</f>
        <v>Уголь
Дороги
Камеры
Тонировка
Снег
</v>
      </c>
      <c r="I607" s="6" t="str">
        <f>IFERROR(__xludf.DUMMYFUNCTION("""COMPUTED_VALUE"""),"Не знаю")</f>
        <v>Не знаю</v>
      </c>
      <c r="J607" s="6" t="str">
        <f>IFERROR(__xludf.DUMMYFUNCTION("""COMPUTED_VALUE"""),"Тулеев,Федяев ")</f>
        <v>Тулеев,Федяев </v>
      </c>
      <c r="K607" s="6" t="str">
        <f>IFERROR(__xludf.DUMMYFUNCTION("""COMPUTED_VALUE"""),"Парк Ангелов,Ёлку")</f>
        <v>Парк Ангелов,Ёлку</v>
      </c>
      <c r="L607" s="6" t="str">
        <f>IFERROR(__xludf.DUMMYFUNCTION("""COMPUTED_VALUE"""),"Не знаю")</f>
        <v>Не знаю</v>
      </c>
      <c r="M607" s="6" t="str">
        <f>IFERROR(__xludf.DUMMYFUNCTION("""COMPUTED_VALUE"""),"Не знаю")</f>
        <v>Не знаю</v>
      </c>
      <c r="N607" s="6" t="str">
        <f>IFERROR(__xludf.DUMMYFUNCTION("""COMPUTED_VALUE"""),"Большие ТЦ
Свободные дороги
Развитость города
Больше солнце,чем снега
Красивые достопримечательности ")</f>
        <v>Большие ТЦ
Свободные дороги
Развитость города
Больше солнце,чем снега
Красивые достопримечательности </v>
      </c>
      <c r="O607" s="6" t="str">
        <f>IFERROR(__xludf.DUMMYFUNCTION("""COMPUTED_VALUE"""),"Инфраструктуру ")</f>
        <v>Инфраструктуру </v>
      </c>
      <c r="P607" s="6" t="str">
        <f>IFERROR(__xludf.DUMMYFUNCTION("""COMPUTED_VALUE"""),"Вконтакте,гугл,по телевизору")</f>
        <v>Вконтакте,гугл,по телевизору</v>
      </c>
      <c r="Q607" s="6" t="str">
        <f>IFERROR(__xludf.DUMMYFUNCTION("""COMPUTED_VALUE"""),"куда пойти в свободное время,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f>
        <v>куда пойти в свободное время,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v>
      </c>
      <c r="R607" s="6" t="str">
        <f>IFERROR(__xludf.DUMMYFUNCTION("""COMPUTED_VALUE"""),"День города, День Шахтеров")</f>
        <v>День города, День Шахтеров</v>
      </c>
      <c r="S607" s="6" t="str">
        <f>IFERROR(__xludf.DUMMYFUNCTION("""COMPUTED_VALUE"""),"Нет, не приходилось")</f>
        <v>Нет, не приходилось</v>
      </c>
      <c r="T607" s="6" t="str">
        <f>IFERROR(__xludf.DUMMYFUNCTION("""COMPUTED_VALUE"""),"Добыча Угля")</f>
        <v>Добыча Угля</v>
      </c>
      <c r="U607" s="6" t="str">
        <f>IFERROR(__xludf.DUMMYFUNCTION("""COMPUTED_VALUE"""),"Парк Волкова")</f>
        <v>Парк Волкова</v>
      </c>
      <c r="V607" s="6" t="str">
        <f>IFERROR(__xludf.DUMMYFUNCTION("""COMPUTED_VALUE"""),"Не знаю")</f>
        <v>Не знаю</v>
      </c>
      <c r="W607" s="6" t="str">
        <f>IFERROR(__xludf.DUMMYFUNCTION("""COMPUTED_VALUE"""),"Не знаю")</f>
        <v>Не знаю</v>
      </c>
      <c r="X607" s="6" t="str">
        <f>IFERROR(__xludf.DUMMYFUNCTION("""COMPUTED_VALUE"""),"Не знаю")</f>
        <v>Не знаю</v>
      </c>
      <c r="Y607" s="6" t="str">
        <f>IFERROR(__xludf.DUMMYFUNCTION("""COMPUTED_VALUE"""),"Стройка Парка Ангелов")</f>
        <v>Стройка Парка Ангелов</v>
      </c>
      <c r="Z607" s="6" t="str">
        <f>IFERROR(__xludf.DUMMYFUNCTION("""COMPUTED_VALUE"""),"Трагедия в Зимней Вишне")</f>
        <v>Трагедия в Зимней Вишне</v>
      </c>
      <c r="AA607" s="6" t="str">
        <f>IFERROR(__xludf.DUMMYFUNCTION("""COMPUTED_VALUE"""),"Трагедия в Зимней Вишне")</f>
        <v>Трагедия в Зимней Вишне</v>
      </c>
      <c r="AB607" s="6" t="str">
        <f>IFERROR(__xludf.DUMMYFUNCTION("""COMPUTED_VALUE"""),"Не знаю")</f>
        <v>Не знаю</v>
      </c>
      <c r="AC607" s="6" t="str">
        <f>IFERROR(__xludf.DUMMYFUNCTION("""COMPUTED_VALUE"""),"Не знаю")</f>
        <v>Не знаю</v>
      </c>
      <c r="AD607"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607" s="6" t="str">
        <f>IFERROR(__xludf.DUMMYFUNCTION("""COMPUTED_VALUE"""),"Мужской")</f>
        <v>Мужской</v>
      </c>
      <c r="AF607" s="6" t="str">
        <f>IFERROR(__xludf.DUMMYFUNCTION("""COMPUTED_VALUE"""),"18-29")</f>
        <v>18-29</v>
      </c>
      <c r="AG607" s="6"/>
      <c r="AH607" s="6"/>
      <c r="AI607" s="6"/>
      <c r="AJ607" s="6"/>
      <c r="AK607" s="6"/>
      <c r="AL607" s="6"/>
      <c r="AM607" s="6"/>
    </row>
    <row r="608">
      <c r="A608" s="6">
        <v>607.0</v>
      </c>
      <c r="B608" s="6" t="str">
        <f>IFERROR(__xludf.DUMMYFUNCTION("""COMPUTED_VALUE"""),"Учусь")</f>
        <v>Учусь</v>
      </c>
      <c r="C608" s="6" t="str">
        <f>IFERROR(__xludf.DUMMYFUNCTION("""COMPUTED_VALUE"""),"Люблю петь")</f>
        <v>Люблю петь</v>
      </c>
      <c r="D608" s="6" t="str">
        <f>IFERROR(__xludf.DUMMYFUNCTION("""COMPUTED_VALUE"""),"Ленинский район")</f>
        <v>Ленинский район</v>
      </c>
      <c r="E608" s="6" t="str">
        <f>IFERROR(__xludf.DUMMYFUNCTION("""COMPUTED_VALUE"""),"Спорткомплекс Кузбасс")</f>
        <v>Спорткомплекс Кузбасс</v>
      </c>
      <c r="F608" s="6" t="str">
        <f>IFERROR(__xludf.DUMMYFUNCTION("""COMPUTED_VALUE"""),"Переехал сюда из другого места (откуда? укажите в графе другое), Из города Кызыла Республика Тыва")</f>
        <v>Переехал сюда из другого места (откуда? укажите в графе другое), Из города Кызыла Республика Тыва</v>
      </c>
      <c r="G608" s="6" t="str">
        <f>IFERROR(__xludf.DUMMYFUNCTION("""COMPUTED_VALUE"""),"Хожу на коньки и в кинотеатры")</f>
        <v>Хожу на коньки и в кинотеатры</v>
      </c>
      <c r="H608" s="6" t="str">
        <f>IFERROR(__xludf.DUMMYFUNCTION("""COMPUTED_VALUE"""),"Большой, теплый, магазин, кино, погода")</f>
        <v>Большой, теплый, магазин, кино, погода</v>
      </c>
      <c r="I608" s="6" t="str">
        <f>IFERROR(__xludf.DUMMYFUNCTION("""COMPUTED_VALUE"""),"Кузбасс")</f>
        <v>Кузбасс</v>
      </c>
      <c r="J608" s="6" t="str">
        <f>IFERROR(__xludf.DUMMYFUNCTION("""COMPUTED_VALUE"""),"Волонтёры ")</f>
        <v>Волонтёры </v>
      </c>
      <c r="K608" s="6" t="str">
        <f>IFERROR(__xludf.DUMMYFUNCTION("""COMPUTED_VALUE"""),"Парк ангелов")</f>
        <v>Парк ангелов</v>
      </c>
      <c r="L608" s="6" t="str">
        <f>IFERROR(__xludf.DUMMYFUNCTION("""COMPUTED_VALUE"""),"Лентяю день длинен, а работящему его не хватает")</f>
        <v>Лентяю день длинен, а работящему его не хватает</v>
      </c>
      <c r="M608" s="6" t="str">
        <f>IFERROR(__xludf.DUMMYFUNCTION("""COMPUTED_VALUE"""),"Нет")</f>
        <v>Нет</v>
      </c>
      <c r="N608" s="6" t="str">
        <f>IFERROR(__xludf.DUMMYFUNCTION("""COMPUTED_VALUE"""),"Чистота, наличие зелёных зон, безопасность в целом городе, экология и т.д")</f>
        <v>Чистота, наличие зелёных зон, безопасность в целом городе, экология и т.д</v>
      </c>
      <c r="O608" s="6" t="str">
        <f>IFERROR(__xludf.DUMMYFUNCTION("""COMPUTED_VALUE"""),"Я думаю надо бы изменить наличие зелёных зон")</f>
        <v>Я думаю надо бы изменить наличие зелёных зон</v>
      </c>
      <c r="P608" s="6" t="str">
        <f>IFERROR(__xludf.DUMMYFUNCTION("""COMPUTED_VALUE"""),"Инстаграмм")</f>
        <v>Инстаграмм</v>
      </c>
      <c r="Q608" s="6" t="str">
        <f>IFERROR(__xludf.DUMMYFUNCTION("""COMPUTED_VALUE"""),"куда пойти в свободное время, где вкусно поесть/открытие новых кафе/ресторанов, новости про новые профессии/куда поступать/вакансии")</f>
        <v>куда пойти в свободное время, где вкусно поесть/открытие новых кафе/ресторанов, новости про новые профессии/куда поступать/вакансии</v>
      </c>
      <c r="R608" s="6" t="str">
        <f>IFERROR(__xludf.DUMMYFUNCTION("""COMPUTED_VALUE"""),"День города")</f>
        <v>День города</v>
      </c>
      <c r="S608" s="6" t="str">
        <f>IFERROR(__xludf.DUMMYFUNCTION("""COMPUTED_VALUE"""),"Нет, не приходилось")</f>
        <v>Нет, не приходилось</v>
      </c>
      <c r="T608" s="6" t="str">
        <f>IFERROR(__xludf.DUMMYFUNCTION("""COMPUTED_VALUE"""),"затрудняюсь ответить")</f>
        <v>затрудняюсь ответить</v>
      </c>
      <c r="U608" s="6" t="str">
        <f>IFERROR(__xludf.DUMMYFUNCTION("""COMPUTED_VALUE"""),"Торговые центры , магазины")</f>
        <v>Торговые центры , магазины</v>
      </c>
      <c r="V608" s="6" t="str">
        <f>IFERROR(__xludf.DUMMYFUNCTION("""COMPUTED_VALUE"""),"Достопримечательности ")</f>
        <v>Достопримечательности </v>
      </c>
      <c r="W608" s="6" t="str">
        <f>IFERROR(__xludf.DUMMYFUNCTION("""COMPUTED_VALUE"""),"Хорошие")</f>
        <v>Хорошие</v>
      </c>
      <c r="X608" s="6" t="str">
        <f>IFERROR(__xludf.DUMMYFUNCTION("""COMPUTED_VALUE""")," 1т ")</f>
        <v> 1т </v>
      </c>
      <c r="Y608" s="6" t="str">
        <f>IFERROR(__xludf.DUMMYFUNCTION("""COMPUTED_VALUE"""),"Не помню")</f>
        <v>Не помню</v>
      </c>
      <c r="Z608" s="6" t="str">
        <f>IFERROR(__xludf.DUMMYFUNCTION("""COMPUTED_VALUE"""),"Ничего")</f>
        <v>Ничего</v>
      </c>
      <c r="AA608" s="6" t="str">
        <f>IFERROR(__xludf.DUMMYFUNCTION("""COMPUTED_VALUE"""),"Ничего ")</f>
        <v>Ничего </v>
      </c>
      <c r="AB608" s="6" t="str">
        <f>IFERROR(__xludf.DUMMYFUNCTION("""COMPUTED_VALUE"""),"Молодёжных")</f>
        <v>Молодёжных</v>
      </c>
      <c r="AC608" s="6" t="str">
        <f>IFERROR(__xludf.DUMMYFUNCTION("""COMPUTED_VALUE"""),"Концерты для молодых ")</f>
        <v>Концерты для молодых </v>
      </c>
      <c r="AD60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08" s="6" t="str">
        <f>IFERROR(__xludf.DUMMYFUNCTION("""COMPUTED_VALUE"""),"Женский")</f>
        <v>Женский</v>
      </c>
      <c r="AF608" s="6" t="str">
        <f>IFERROR(__xludf.DUMMYFUNCTION("""COMPUTED_VALUE"""),"18-29")</f>
        <v>18-29</v>
      </c>
      <c r="AG608" s="6"/>
      <c r="AH608" s="6"/>
      <c r="AI608" s="6"/>
      <c r="AJ608" s="6"/>
      <c r="AK608" s="6"/>
      <c r="AL608" s="6"/>
      <c r="AM608" s="6"/>
    </row>
    <row r="609">
      <c r="A609" s="6">
        <v>608.0</v>
      </c>
      <c r="B609" s="6" t="str">
        <f>IFERROR(__xludf.DUMMYFUNCTION("""COMPUTED_VALUE"""),"Студент")</f>
        <v>Студент</v>
      </c>
      <c r="C609" s="6" t="str">
        <f>IFERROR(__xludf.DUMMYFUNCTION("""COMPUTED_VALUE"""),"Музыка")</f>
        <v>Музыка</v>
      </c>
      <c r="D609" s="6" t="str">
        <f>IFERROR(__xludf.DUMMYFUNCTION("""COMPUTED_VALUE"""),"Заводский ")</f>
        <v>Заводский </v>
      </c>
      <c r="E609" s="6" t="str">
        <f>IFERROR(__xludf.DUMMYFUNCTION("""COMPUTED_VALUE"""),"Парк ангелов, парк Антошка, парк Жукова, КузГТУ, кинотеатр Космос, ГРЭС и тп.")</f>
        <v>Парк ангелов, парк Антошка, парк Жукова, КузГТУ, кинотеатр Космос, ГРЭС и тп.</v>
      </c>
      <c r="F609" s="6" t="str">
        <f>IFERROR(__xludf.DUMMYFUNCTION("""COMPUTED_VALUE"""),"Переехал сюда из другого места (откуда? укажите в графе другое), Берёзовский ")</f>
        <v>Переехал сюда из другого места (откуда? укажите в графе другое), Берёзовский </v>
      </c>
      <c r="G609" s="6" t="str">
        <f>IFERROR(__xludf.DUMMYFUNCTION("""COMPUTED_VALUE"""),"В зависимости от ситуации")</f>
        <v>В зависимости от ситуации</v>
      </c>
      <c r="H609" s="6" t="str">
        <f>IFERROR(__xludf.DUMMYFUNCTION("""COMPUTED_VALUE"""),"Шахтёр, уголь")</f>
        <v>Шахтёр, уголь</v>
      </c>
      <c r="I609" s="6" t="str">
        <f>IFERROR(__xludf.DUMMYFUNCTION("""COMPUTED_VALUE"""),"Волков")</f>
        <v>Волков</v>
      </c>
      <c r="J609" s="6" t="str">
        <f>IFERROR(__xludf.DUMMYFUNCTION("""COMPUTED_VALUE"""),"Промстрой")</f>
        <v>Промстрой</v>
      </c>
      <c r="K609" s="6" t="str">
        <f>IFERROR(__xludf.DUMMYFUNCTION("""COMPUTED_VALUE"""),"Вид на город с возвышенности, где крест и Кузбасс, парк Ангелов ")</f>
        <v>Вид на город с возвышенности, где крест и Кузбасс, парк Ангелов </v>
      </c>
      <c r="L609" s="6" t="str">
        <f>IFERROR(__xludf.DUMMYFUNCTION("""COMPUTED_VALUE"""),"Без труда не вытащить рыбку из пруда")</f>
        <v>Без труда не вытащить рыбку из пруда</v>
      </c>
      <c r="M609" s="6" t="str">
        <f>IFERROR(__xludf.DUMMYFUNCTION("""COMPUTED_VALUE"""),"Не знаю ")</f>
        <v>Не знаю </v>
      </c>
      <c r="N609" s="6" t="str">
        <f>IFERROR(__xludf.DUMMYFUNCTION("""COMPUTED_VALUE"""),"Чистота, качественный ремонт")</f>
        <v>Чистота, качественный ремонт</v>
      </c>
      <c r="O609" s="6" t="str">
        <f>IFERROR(__xludf.DUMMYFUNCTION("""COMPUTED_VALUE"""),"Навести порядок!!!!! Вдоль соборной столько мусора! На радуге тоже не убраны улицы")</f>
        <v>Навести порядок!!!!! Вдоль соборной столько мусора! На радуге тоже не убраны улицы</v>
      </c>
      <c r="P609" s="6" t="str">
        <f>IFERROR(__xludf.DUMMYFUNCTION("""COMPUTED_VALUE"""),"От друзей")</f>
        <v>От друзей</v>
      </c>
      <c r="Q60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чек/реклам"&amp;"ные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609" s="6" t="str">
        <f>IFERROR(__xludf.DUMMYFUNCTION("""COMPUTED_VALUE"""),"Все")</f>
        <v>Все</v>
      </c>
      <c r="S609" s="6" t="str">
        <f>IFERROR(__xludf.DUMMYFUNCTION("""COMPUTED_VALUE"""),"Нет, не приходилось")</f>
        <v>Нет, не приходилось</v>
      </c>
      <c r="T609" s="6" t="str">
        <f>IFERROR(__xludf.DUMMYFUNCTION("""COMPUTED_VALUE"""),"Природа и промышленность")</f>
        <v>Природа и промышленность</v>
      </c>
      <c r="U609" s="6" t="str">
        <f>IFERROR(__xludf.DUMMYFUNCTION("""COMPUTED_VALUE"""),"Советский")</f>
        <v>Советский</v>
      </c>
      <c r="V609" s="6" t="str">
        <f>IFERROR(__xludf.DUMMYFUNCTION("""COMPUTED_VALUE"""),"Затрудняюсь ответить")</f>
        <v>Затрудняюсь ответить</v>
      </c>
      <c r="W609" s="6" t="str">
        <f>IFERROR(__xludf.DUMMYFUNCTION("""COMPUTED_VALUE"""),"Уставшие и добрые")</f>
        <v>Уставшие и добрые</v>
      </c>
      <c r="X609" s="6" t="str">
        <f>IFERROR(__xludf.DUMMYFUNCTION("""COMPUTED_VALUE"""),"Московский-притомский-монумент")</f>
        <v>Московский-притомский-монумент</v>
      </c>
      <c r="Y609" s="6" t="str">
        <f>IFERROR(__xludf.DUMMYFUNCTION("""COMPUTED_VALUE"""),"Строительство стадиона ")</f>
        <v>Строительство стадиона </v>
      </c>
      <c r="Z609" s="6" t="str">
        <f>IFERROR(__xludf.DUMMYFUNCTION("""COMPUTED_VALUE"""),"Их много")</f>
        <v>Их много</v>
      </c>
      <c r="AA609" s="6" t="str">
        <f>IFERROR(__xludf.DUMMYFUNCTION("""COMPUTED_VALUE"""),"Мусор в городе")</f>
        <v>Мусор в городе</v>
      </c>
      <c r="AB609" s="6" t="str">
        <f>IFERROR(__xludf.DUMMYFUNCTION("""COMPUTED_VALUE"""),"Затрудняюсь ответить ")</f>
        <v>Затрудняюсь ответить </v>
      </c>
      <c r="AC609" s="6" t="str">
        <f>IFERROR(__xludf.DUMMYFUNCTION("""COMPUTED_VALUE"""),"Не знаю ")</f>
        <v>Не знаю </v>
      </c>
      <c r="AD609"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пот"&amp;"енциально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609" s="6" t="str">
        <f>IFERROR(__xludf.DUMMYFUNCTION("""COMPUTED_VALUE"""),"Женский")</f>
        <v>Женский</v>
      </c>
      <c r="AF609" s="6" t="str">
        <f>IFERROR(__xludf.DUMMYFUNCTION("""COMPUTED_VALUE"""),"18-29")</f>
        <v>18-29</v>
      </c>
      <c r="AG609" s="6"/>
      <c r="AH609" s="6"/>
      <c r="AI609" s="6"/>
      <c r="AJ609" s="6"/>
      <c r="AK609" s="6"/>
      <c r="AL609" s="6"/>
      <c r="AM609" s="6"/>
    </row>
    <row r="610">
      <c r="A610" s="6">
        <v>609.0</v>
      </c>
      <c r="B610" s="6" t="str">
        <f>IFERROR(__xludf.DUMMYFUNCTION("""COMPUTED_VALUE"""),"Студент")</f>
        <v>Студент</v>
      </c>
      <c r="C610" s="6" t="str">
        <f>IFERROR(__xludf.DUMMYFUNCTION("""COMPUTED_VALUE"""),"Занимаюсь в тренажерном зале")</f>
        <v>Занимаюсь в тренажерном зале</v>
      </c>
      <c r="D610" s="6" t="str">
        <f>IFERROR(__xludf.DUMMYFUNCTION("""COMPUTED_VALUE"""),"Центральный,центр")</f>
        <v>Центральный,центр</v>
      </c>
      <c r="E610" s="6" t="str">
        <f>IFERROR(__xludf.DUMMYFUNCTION("""COMPUTED_VALUE"""),"Парк Ангелов,площадь Волкова")</f>
        <v>Парк Ангелов,площадь Волкова</v>
      </c>
      <c r="F610" s="6" t="str">
        <f>IFERROR(__xludf.DUMMYFUNCTION("""COMPUTED_VALUE"""),"Живу здесь с рождения")</f>
        <v>Живу здесь с рождения</v>
      </c>
      <c r="G610" s="6" t="str">
        <f>IFERROR(__xludf.DUMMYFUNCTION("""COMPUTED_VALUE"""),"Парк")</f>
        <v>Парк</v>
      </c>
      <c r="H610" s="6" t="str">
        <f>IFERROR(__xludf.DUMMYFUNCTION("""COMPUTED_VALUE"""),"КузГТУ,Университет,работа,Дохо,Парк Ангелов")</f>
        <v>КузГТУ,Университет,работа,Дохо,Парк Ангелов</v>
      </c>
      <c r="I610" s="6" t="str">
        <f>IFERROR(__xludf.DUMMYFUNCTION("""COMPUTED_VALUE"""),"Волков")</f>
        <v>Волков</v>
      </c>
      <c r="J610" s="6" t="str">
        <f>IFERROR(__xludf.DUMMYFUNCTION("""COMPUTED_VALUE"""),"Аман Гумирович Тулеев")</f>
        <v>Аман Гумирович Тулеев</v>
      </c>
      <c r="K610" s="6" t="str">
        <f>IFERROR(__xludf.DUMMYFUNCTION("""COMPUTED_VALUE"""),"Набережная,парки")</f>
        <v>Набережная,парки</v>
      </c>
      <c r="L610" s="6" t="str">
        <f>IFERROR(__xludf.DUMMYFUNCTION("""COMPUTED_VALUE"""),"Сделал дело -гуляй смело")</f>
        <v>Сделал дело -гуляй смело</v>
      </c>
      <c r="M610" s="6" t="str">
        <f>IFERROR(__xludf.DUMMYFUNCTION("""COMPUTED_VALUE"""),"Кемсити")</f>
        <v>Кемсити</v>
      </c>
      <c r="N610" s="6" t="str">
        <f>IFERROR(__xludf.DUMMYFUNCTION("""COMPUTED_VALUE"""),"Чистота,экономика,развитие,транспорт,динамика")</f>
        <v>Чистота,экономика,развитие,транспорт,динамика</v>
      </c>
      <c r="O610" s="6" t="str">
        <f>IFERROR(__xludf.DUMMYFUNCTION("""COMPUTED_VALUE"""),"Власть")</f>
        <v>Власть</v>
      </c>
      <c r="P610" s="6" t="str">
        <f>IFERROR(__xludf.DUMMYFUNCTION("""COMPUTED_VALUE"""),"Kemnews ")</f>
        <v>Kemnews </v>
      </c>
      <c r="Q610"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610" s="6" t="str">
        <f>IFERROR(__xludf.DUMMYFUNCTION("""COMPUTED_VALUE"""),"День шахтера ")</f>
        <v>День шахтера </v>
      </c>
      <c r="S610" s="6" t="str">
        <f>IFERROR(__xludf.DUMMYFUNCTION("""COMPUTED_VALUE"""),"Через социальные сети (Какие? Укажите в графе другое)")</f>
        <v>Через социальные сети (Какие? Укажите в графе другое)</v>
      </c>
      <c r="T610" s="6" t="str">
        <f>IFERROR(__xludf.DUMMYFUNCTION("""COMPUTED_VALUE"""),"Уголь,Зимняя вишня")</f>
        <v>Уголь,Зимняя вишня</v>
      </c>
      <c r="U610" s="6" t="str">
        <f>IFERROR(__xludf.DUMMYFUNCTION("""COMPUTED_VALUE"""),"Центральный район")</f>
        <v>Центральный район</v>
      </c>
      <c r="V610" s="6" t="str">
        <f>IFERROR(__xludf.DUMMYFUNCTION("""COMPUTED_VALUE"""),"Воздержусь ")</f>
        <v>Воздержусь </v>
      </c>
      <c r="W610" s="6" t="str">
        <f>IFERROR(__xludf.DUMMYFUNCTION("""COMPUTED_VALUE"""),"Воздержусь")</f>
        <v>Воздержусь</v>
      </c>
      <c r="X610" s="6" t="str">
        <f>IFERROR(__xludf.DUMMYFUNCTION("""COMPUTED_VALUE"""),"Пройтись по паркам центрального района")</f>
        <v>Пройтись по паркам центрального района</v>
      </c>
      <c r="Y610" s="6" t="str">
        <f>IFERROR(__xludf.DUMMYFUNCTION("""COMPUTED_VALUE"""),"300 лет Кузбассу")</f>
        <v>300 лет Кузбассу</v>
      </c>
      <c r="Z610" s="6" t="str">
        <f>IFERROR(__xludf.DUMMYFUNCTION("""COMPUTED_VALUE"""),"Никаких")</f>
        <v>Никаких</v>
      </c>
      <c r="AA610" s="6" t="str">
        <f>IFERROR(__xludf.DUMMYFUNCTION("""COMPUTED_VALUE"""),"Зимняя вишня")</f>
        <v>Зимняя вишня</v>
      </c>
      <c r="AB610" s="6" t="str">
        <f>IFERROR(__xludf.DUMMYFUNCTION("""COMPUTED_VALUE"""),"Не знаю")</f>
        <v>Не знаю</v>
      </c>
      <c r="AC610" s="6" t="str">
        <f>IFERROR(__xludf.DUMMYFUNCTION("""COMPUTED_VALUE"""),"Акции для молодежи")</f>
        <v>Акции для молодежи</v>
      </c>
      <c r="AD61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10" s="6" t="str">
        <f>IFERROR(__xludf.DUMMYFUNCTION("""COMPUTED_VALUE"""),"Мужской")</f>
        <v>Мужской</v>
      </c>
      <c r="AF610" s="6" t="str">
        <f>IFERROR(__xludf.DUMMYFUNCTION("""COMPUTED_VALUE"""),"18-29")</f>
        <v>18-29</v>
      </c>
      <c r="AG610" s="6"/>
      <c r="AH610" s="6"/>
      <c r="AI610" s="6"/>
      <c r="AJ610" s="6"/>
      <c r="AK610" s="6"/>
      <c r="AL610" s="6"/>
      <c r="AM610" s="6"/>
    </row>
    <row r="611">
      <c r="A611" s="6">
        <v>610.0</v>
      </c>
      <c r="B611" s="6" t="str">
        <f>IFERROR(__xludf.DUMMYFUNCTION("""COMPUTED_VALUE"""),"Учусь")</f>
        <v>Учусь</v>
      </c>
      <c r="C611" s="6" t="str">
        <f>IFERROR(__xludf.DUMMYFUNCTION("""COMPUTED_VALUE"""),"Баскетбол ")</f>
        <v>Баскетбол </v>
      </c>
      <c r="D611" s="6" t="str">
        <f>IFERROR(__xludf.DUMMYFUNCTION("""COMPUTED_VALUE"""),"Заводской ")</f>
        <v>Заводской </v>
      </c>
      <c r="E611" s="6" t="str">
        <f>IFERROR(__xludf.DUMMYFUNCTION("""COMPUTED_VALUE"""),"Красивые новые дома ")</f>
        <v>Красивые новые дома </v>
      </c>
      <c r="F611" s="6" t="str">
        <f>IFERROR(__xludf.DUMMYFUNCTION("""COMPUTED_VALUE"""),"Переехал сюда из другого места (откуда? укажите в графе другое), Из Березовского ")</f>
        <v>Переехал сюда из другого места (откуда? укажите в графе другое), Из Березовского </v>
      </c>
      <c r="G611" s="6" t="str">
        <f>IFERROR(__xludf.DUMMYFUNCTION("""COMPUTED_VALUE"""),"В Парк Ангелов ")</f>
        <v>В Парк Ангелов </v>
      </c>
      <c r="H611" s="6" t="str">
        <f>IFERROR(__xludf.DUMMYFUNCTION("""COMPUTED_VALUE"""),"Пыль,яркость,завод, простата,смех ")</f>
        <v>Пыль,яркость,завод, простата,смех </v>
      </c>
      <c r="I611" s="6" t="str">
        <f>IFERROR(__xludf.DUMMYFUNCTION("""COMPUTED_VALUE"""),"М. Волков ")</f>
        <v>М. Волков </v>
      </c>
      <c r="J611" s="6" t="str">
        <f>IFERROR(__xludf.DUMMYFUNCTION("""COMPUTED_VALUE"""),"Леонов ")</f>
        <v>Леонов </v>
      </c>
      <c r="K611" s="6" t="str">
        <f>IFERROR(__xludf.DUMMYFUNCTION("""COMPUTED_VALUE"""),"Фонтан у драм театра ")</f>
        <v>Фонтан у драм театра </v>
      </c>
      <c r="L611" s="6" t="str">
        <f>IFERROR(__xludf.DUMMYFUNCTION("""COMPUTED_VALUE"""),"Нету")</f>
        <v>Нету</v>
      </c>
      <c r="M611" s="6" t="str">
        <f>IFERROR(__xludf.DUMMYFUNCTION("""COMPUTED_VALUE"""),"Яшка- я центр , Лапа-лапландия ")</f>
        <v>Яшка- я центр , Лапа-лапландия </v>
      </c>
      <c r="N611" s="6" t="str">
        <f>IFERROR(__xludf.DUMMYFUNCTION("""COMPUTED_VALUE"""),"Освещённость, качественные дороги ,наличие мусорных контейнеров, места для прогулок ")</f>
        <v>Освещённость, качественные дороги ,наличие мусорных контейнеров, места для прогулок </v>
      </c>
      <c r="O611" s="6" t="str">
        <f>IFERROR(__xludf.DUMMYFUNCTION("""COMPUTED_VALUE"""),"Сделать воздух чище ")</f>
        <v>Сделать воздух чище </v>
      </c>
      <c r="P611" s="6" t="str">
        <f>IFERROR(__xludf.DUMMYFUNCTION("""COMPUTED_VALUE"""),"Группа в вк и инстаграме ")</f>
        <v>Группа в вк и инстаграме </v>
      </c>
      <c r="Q611"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f>
        <v>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611" s="6" t="str">
        <f>IFERROR(__xludf.DUMMYFUNCTION("""COMPUTED_VALUE"""),"8 марта ( у Серёжи др)")</f>
        <v>8 марта ( у Серёжи др)</v>
      </c>
      <c r="S611" s="6" t="str">
        <f>IFERROR(__xludf.DUMMYFUNCTION("""COMPUTED_VALUE"""),"Через социальные сети (Какие? Укажите в графе другое)")</f>
        <v>Через социальные сети (Какие? Укажите в графе другое)</v>
      </c>
      <c r="T611" s="6" t="str">
        <f>IFERROR(__xludf.DUMMYFUNCTION("""COMPUTED_VALUE"""),"Пожар ")</f>
        <v>Пожар </v>
      </c>
      <c r="U611" s="6" t="str">
        <f>IFERROR(__xludf.DUMMYFUNCTION("""COMPUTED_VALUE"""),"Шахтёр ")</f>
        <v>Шахтёр </v>
      </c>
      <c r="V611" s="6" t="str">
        <f>IFERROR(__xludf.DUMMYFUNCTION("""COMPUTED_VALUE"""),"Добывали уголь ")</f>
        <v>Добывали уголь </v>
      </c>
      <c r="W611" s="6" t="str">
        <f>IFERROR(__xludf.DUMMYFUNCTION("""COMPUTED_VALUE"""),"Жоские ,мощные , красавчики, весёлые, суровые ")</f>
        <v>Жоские ,мощные , красавчики, весёлые, суровые </v>
      </c>
      <c r="X611" s="6" t="str">
        <f>IFERROR(__xludf.DUMMYFUNCTION("""COMPUTED_VALUE"""),"Парк ангелов ,проспект Ленина ")</f>
        <v>Парк ангелов ,проспект Ленина </v>
      </c>
      <c r="Y611" s="6" t="str">
        <f>IFERROR(__xludf.DUMMYFUNCTION("""COMPUTED_VALUE"""),"Не знаю ")</f>
        <v>Не знаю </v>
      </c>
      <c r="Z611" s="6" t="str">
        <f>IFERROR(__xludf.DUMMYFUNCTION("""COMPUTED_VALUE"""),"День города ")</f>
        <v>День города </v>
      </c>
      <c r="AA611" s="6" t="str">
        <f>IFERROR(__xludf.DUMMYFUNCTION("""COMPUTED_VALUE"""),"Не знаю ")</f>
        <v>Не знаю </v>
      </c>
      <c r="AB611" s="6" t="str">
        <f>IFERROR(__xludf.DUMMYFUNCTION("""COMPUTED_VALUE"""),"Больше праздников ")</f>
        <v>Больше праздников </v>
      </c>
      <c r="AC611" s="6" t="str">
        <f>IFERROR(__xludf.DUMMYFUNCTION("""COMPUTED_VALUE"""),"Больше радости ")</f>
        <v>Больше радости </v>
      </c>
      <c r="AD61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11" s="6" t="str">
        <f>IFERROR(__xludf.DUMMYFUNCTION("""COMPUTED_VALUE"""),"Женский")</f>
        <v>Женский</v>
      </c>
      <c r="AF611" s="6" t="str">
        <f>IFERROR(__xludf.DUMMYFUNCTION("""COMPUTED_VALUE"""),"18-29")</f>
        <v>18-29</v>
      </c>
      <c r="AG611" s="6"/>
      <c r="AH611" s="6"/>
      <c r="AI611" s="6"/>
      <c r="AJ611" s="6"/>
      <c r="AK611" s="6"/>
      <c r="AL611" s="6"/>
      <c r="AM611" s="6"/>
    </row>
    <row r="612">
      <c r="A612" s="6">
        <v>611.0</v>
      </c>
      <c r="B612" s="6" t="str">
        <f>IFERROR(__xludf.DUMMYFUNCTION("""COMPUTED_VALUE"""),"Студент ")</f>
        <v>Студент </v>
      </c>
      <c r="C612" s="6" t="str">
        <f>IFERROR(__xludf.DUMMYFUNCTION("""COMPUTED_VALUE"""),"Бьюти сфера")</f>
        <v>Бьюти сфера</v>
      </c>
      <c r="D612" s="6" t="str">
        <f>IFERROR(__xludf.DUMMYFUNCTION("""COMPUTED_VALUE"""),"Ленинский")</f>
        <v>Ленинский</v>
      </c>
      <c r="E612" s="6" t="str">
        <f>IFERROR(__xludf.DUMMYFUNCTION("""COMPUTED_VALUE"""),"Центр Кемерово , парк ангелов ")</f>
        <v>Центр Кемерово , парк ангелов </v>
      </c>
      <c r="F612" s="6" t="str">
        <f>IFERROR(__xludf.DUMMYFUNCTION("""COMPUTED_VALUE"""),"Переехал сюда из другого места (откуда? укажите в графе другое), Из Новокузнецка")</f>
        <v>Переехал сюда из другого места (откуда? укажите в графе другое), Из Новокузнецка</v>
      </c>
      <c r="G612" s="6" t="str">
        <f>IFERROR(__xludf.DUMMYFUNCTION("""COMPUTED_VALUE"""),"Гуляю по улицам ")</f>
        <v>Гуляю по улицам </v>
      </c>
      <c r="H612" s="6" t="str">
        <f>IFERROR(__xludf.DUMMYFUNCTION("""COMPUTED_VALUE"""),"Уютный небольшой чистый город")</f>
        <v>Уютный небольшой чистый город</v>
      </c>
      <c r="I612" s="6" t="str">
        <f>IFERROR(__xludf.DUMMYFUNCTION("""COMPUTED_VALUE"""),"Леонов , Волков ")</f>
        <v>Леонов , Волков </v>
      </c>
      <c r="J612" s="6" t="str">
        <f>IFERROR(__xludf.DUMMYFUNCTION("""COMPUTED_VALUE"""),"Федяев ")</f>
        <v>Федяев </v>
      </c>
      <c r="K612" s="6" t="str">
        <f>IFERROR(__xludf.DUMMYFUNCTION("""COMPUTED_VALUE"""),"Парк ангелов , центр города , кадетский корпус , бульвар строителей")</f>
        <v>Парк ангелов , центр города , кадетский корпус , бульвар строителей</v>
      </c>
      <c r="L612" s="6" t="str">
        <f>IFERROR(__xludf.DUMMYFUNCTION("""COMPUTED_VALUE"""),"Щегловка")</f>
        <v>Щегловка</v>
      </c>
      <c r="M612" s="6" t="str">
        <f>IFERROR(__xludf.DUMMYFUNCTION("""COMPUTED_VALUE"""),"Кемерово - Кем ")</f>
        <v>Кемерово - Кем </v>
      </c>
      <c r="N612" s="6" t="str">
        <f>IFERROR(__xludf.DUMMYFUNCTION("""COMPUTED_VALUE"""),"Не большой , параллельные улицы , инфраструктура ")</f>
        <v>Не большой , параллельные улицы , инфраструктура </v>
      </c>
      <c r="O612" s="6" t="str">
        <f>IFERROR(__xludf.DUMMYFUNCTION("""COMPUTED_VALUE"""),"Загрязнённый воздух, выхлопы с заводов , новые торговые центры хорошие ")</f>
        <v>Загрязнённый воздух, выхлопы с заводов , новые торговые центры хорошие </v>
      </c>
      <c r="P612" s="6" t="str">
        <f>IFERROR(__xludf.DUMMYFUNCTION("""COMPUTED_VALUE"""),"Инстаграм ")</f>
        <v>Инстаграм </v>
      </c>
      <c r="Q612"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612" s="6" t="str">
        <f>IFERROR(__xludf.DUMMYFUNCTION("""COMPUTED_VALUE"""),"День города , Новый год ")</f>
        <v>День города , Новый год </v>
      </c>
      <c r="S612" s="6" t="str">
        <f>IFERROR(__xludf.DUMMYFUNCTION("""COMPUTED_VALUE"""),"Нет, не приходилось")</f>
        <v>Нет, не приходилось</v>
      </c>
      <c r="T612" s="6" t="str">
        <f>IFERROR(__xludf.DUMMYFUNCTION("""COMPUTED_VALUE"""),"Известен за счёт Трагедии зимней вишни , кадетский корпус ")</f>
        <v>Известен за счёт Трагедии зимней вишни , кадетский корпус </v>
      </c>
      <c r="U612" s="6" t="str">
        <f>IFERROR(__xludf.DUMMYFUNCTION("""COMPUTED_VALUE"""),"Весенняя улица, драм театр, набережная ")</f>
        <v>Весенняя улица, драм театр, набережная </v>
      </c>
      <c r="V612" s="6" t="str">
        <f>IFERROR(__xludf.DUMMYFUNCTION("""COMPUTED_VALUE"""),"Большая застройка города ")</f>
        <v>Большая застройка города </v>
      </c>
      <c r="W612" s="6" t="str">
        <f>IFERROR(__xludf.DUMMYFUNCTION("""COMPUTED_VALUE"""),"Культурные , спокойные ")</f>
        <v>Культурные , спокойные </v>
      </c>
      <c r="X612" s="6" t="str">
        <f>IFERROR(__xludf.DUMMYFUNCTION("""COMPUTED_VALUE"""),"Улица весенняя , набережная ")</f>
        <v>Улица весенняя , набережная </v>
      </c>
      <c r="Y612" s="6" t="str">
        <f>IFERROR(__xludf.DUMMYFUNCTION("""COMPUTED_VALUE"""),"Трагедия Зимней вишни и парк ангелов")</f>
        <v>Трагедия Зимней вишни и парк ангелов</v>
      </c>
      <c r="Z612" s="6" t="str">
        <f>IFERROR(__xludf.DUMMYFUNCTION("""COMPUTED_VALUE"""),"Застройка и реставрация улиц ")</f>
        <v>Застройка и реставрация улиц </v>
      </c>
      <c r="AA612" s="6" t="str">
        <f>IFERROR(__xludf.DUMMYFUNCTION("""COMPUTED_VALUE"""),"Зимняя вишня ")</f>
        <v>Зимняя вишня </v>
      </c>
      <c r="AB612" s="6" t="str">
        <f>IFERROR(__xludf.DUMMYFUNCTION("""COMPUTED_VALUE"""),"Затрудняюсь ")</f>
        <v>Затрудняюсь </v>
      </c>
      <c r="AC612" s="6" t="str">
        <f>IFERROR(__xludf.DUMMYFUNCTION("""COMPUTED_VALUE"""),"Новые торговые центры ")</f>
        <v>Новые торговые центры </v>
      </c>
      <c r="AD612"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612" s="6" t="str">
        <f>IFERROR(__xludf.DUMMYFUNCTION("""COMPUTED_VALUE"""),"Женский")</f>
        <v>Женский</v>
      </c>
      <c r="AF612" s="6" t="str">
        <f>IFERROR(__xludf.DUMMYFUNCTION("""COMPUTED_VALUE"""),"18-29")</f>
        <v>18-29</v>
      </c>
      <c r="AG612" s="6"/>
      <c r="AH612" s="6"/>
      <c r="AI612" s="6"/>
      <c r="AJ612" s="6"/>
      <c r="AK612" s="6"/>
      <c r="AL612" s="6"/>
      <c r="AM612" s="6"/>
    </row>
    <row r="613">
      <c r="A613" s="6">
        <v>612.0</v>
      </c>
      <c r="B613" s="6" t="str">
        <f>IFERROR(__xludf.DUMMYFUNCTION("""COMPUTED_VALUE"""),"Студент ")</f>
        <v>Студент </v>
      </c>
      <c r="C613" s="6" t="str">
        <f>IFERROR(__xludf.DUMMYFUNCTION("""COMPUTED_VALUE"""),"отсутствует ")</f>
        <v>отсутствует </v>
      </c>
      <c r="D613" s="6" t="str">
        <f>IFERROR(__xludf.DUMMYFUNCTION("""COMPUTED_VALUE"""),"Ленинский район (так и называю) ")</f>
        <v>Ленинский район (так и называю) </v>
      </c>
      <c r="E613" s="6" t="str">
        <f>IFERROR(__xludf.DUMMYFUNCTION("""COMPUTED_VALUE"""),"Кадетский корпус, площадь на бульваре строителей ")</f>
        <v>Кадетский корпус, площадь на бульваре строителей </v>
      </c>
      <c r="F613" s="6" t="str">
        <f>IFERROR(__xludf.DUMMYFUNCTION("""COMPUTED_VALUE"""),"Живу здесь с рождения")</f>
        <v>Живу здесь с рождения</v>
      </c>
      <c r="G613" s="6" t="str">
        <f>IFERROR(__xludf.DUMMYFUNCTION("""COMPUTED_VALUE"""),"центр, площадь на бульваре строителей")</f>
        <v>центр, площадь на бульваре строителей</v>
      </c>
      <c r="H613" s="6" t="str">
        <f>IFERROR(__xludf.DUMMYFUNCTION("""COMPUTED_VALUE"""),"смог, грязь, ямы на дорогах")</f>
        <v>смог, грязь, ямы на дорогах</v>
      </c>
      <c r="I613" s="6" t="str">
        <f>IFERROR(__xludf.DUMMYFUNCTION("""COMPUTED_VALUE"""),"Борис Штоколов")</f>
        <v>Борис Штоколов</v>
      </c>
      <c r="J613" s="6" t="str">
        <f>IFERROR(__xludf.DUMMYFUNCTION("""COMPUTED_VALUE"""),"М.Ю.Федяев ")</f>
        <v>М.Ю.Федяев </v>
      </c>
      <c r="K613" s="6" t="str">
        <f>IFERROR(__xludf.DUMMYFUNCTION("""COMPUTED_VALUE"""),"Филармонию, Драмтеатр")</f>
        <v>Филармонию, Драмтеатр</v>
      </c>
      <c r="L613" s="6" t="str">
        <f>IFERROR(__xludf.DUMMYFUNCTION("""COMPUTED_VALUE"""),"нет таких ")</f>
        <v>нет таких </v>
      </c>
      <c r="M613" s="6" t="str">
        <f>IFERROR(__xludf.DUMMYFUNCTION("""COMPUTED_VALUE"""),"нет")</f>
        <v>нет</v>
      </c>
      <c r="N613" s="6" t="str">
        <f>IFERROR(__xludf.DUMMYFUNCTION("""COMPUTED_VALUE"""),"Чистота, разметка на дорогах, ухоженные скверы, наличие торговых центрах, в которых есть достаточное количество магазинов(сейчас таких нет)")</f>
        <v>Чистота, разметка на дорогах, ухоженные скверы, наличие торговых центрах, в которых есть достаточное количество магазинов(сейчас таких нет)</v>
      </c>
      <c r="O613" s="6" t="str">
        <f>IFERROR(__xludf.DUMMYFUNCTION("""COMPUTED_VALUE"""),"Нанести разметку на дорогу, положить новый асфальт, хотя бы в тех частях города, которые наиболее заполняемые")</f>
        <v>Нанести разметку на дорогу, положить новый асфальт, хотя бы в тех частях города, которые наиболее заполняемые</v>
      </c>
      <c r="P613" s="6" t="str">
        <f>IFERROR(__xludf.DUMMYFUNCTION("""COMPUTED_VALUE"""),"VSE42")</f>
        <v>VSE42</v>
      </c>
      <c r="Q613" s="6" t="str">
        <f>IFERROR(__xludf.DUMMYFUNCTION("""COMPUTED_VALUE"""),"куда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v>
      </c>
      <c r="R613" s="6" t="str">
        <f>IFERROR(__xludf.DUMMYFUNCTION("""COMPUTED_VALUE"""),"9 мая, день России")</f>
        <v>9 мая, день России</v>
      </c>
      <c r="S613" s="6" t="str">
        <f>IFERROR(__xludf.DUMMYFUNCTION("""COMPUTED_VALUE"""),"Нет, не приходилось")</f>
        <v>Нет, не приходилось</v>
      </c>
      <c r="T613" s="6" t="str">
        <f>IFERROR(__xludf.DUMMYFUNCTION("""COMPUTED_VALUE"""),"Ничем")</f>
        <v>Ничем</v>
      </c>
      <c r="U613" s="6" t="str">
        <f>IFERROR(__xludf.DUMMYFUNCTION("""COMPUTED_VALUE"""),"Советский проспект ")</f>
        <v>Советский проспект </v>
      </c>
      <c r="V613" s="6" t="str">
        <f>IFERROR(__xludf.DUMMYFUNCTION("""COMPUTED_VALUE"""),"Создали красивый центр, который сейчас ремонтируется только с внешней стороны ")</f>
        <v>Создали красивый центр, который сейчас ремонтируется только с внешней стороны </v>
      </c>
      <c r="W613" s="6" t="str">
        <f>IFERROR(__xludf.DUMMYFUNCTION("""COMPUTED_VALUE"""),"Деловые")</f>
        <v>Деловые</v>
      </c>
      <c r="X613" s="6" t="str">
        <f>IFERROR(__xludf.DUMMYFUNCTION("""COMPUTED_VALUE"""),"Прогулка по центру ")</f>
        <v>Прогулка по центру </v>
      </c>
      <c r="Y613" s="6" t="str">
        <f>IFERROR(__xludf.DUMMYFUNCTION("""COMPUTED_VALUE"""),"отремонтировали проспект Ленина ")</f>
        <v>отремонтировали проспект Ленина </v>
      </c>
      <c r="Z613" s="6" t="str">
        <f>IFERROR(__xludf.DUMMYFUNCTION("""COMPUTED_VALUE"""),"никакие ")</f>
        <v>никакие </v>
      </c>
      <c r="AA613" s="6" t="str">
        <f>IFERROR(__xludf.DUMMYFUNCTION("""COMPUTED_VALUE"""),"никакие ")</f>
        <v>никакие </v>
      </c>
      <c r="AB613" s="6" t="str">
        <f>IFERROR(__xludf.DUMMYFUNCTION("""COMPUTED_VALUE"""),"всех достаточно ")</f>
        <v>всех достаточно </v>
      </c>
      <c r="AC613" s="6" t="str">
        <f>IFERROR(__xludf.DUMMYFUNCTION("""COMPUTED_VALUE"""),"достаточно просто заняться инфраструктурой города ")</f>
        <v>достаточно просто заняться инфраструктурой города </v>
      </c>
      <c r="AD61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613" s="6" t="str">
        <f>IFERROR(__xludf.DUMMYFUNCTION("""COMPUTED_VALUE"""),"Женский")</f>
        <v>Женский</v>
      </c>
      <c r="AF613" s="6" t="str">
        <f>IFERROR(__xludf.DUMMYFUNCTION("""COMPUTED_VALUE"""),"18-29")</f>
        <v>18-29</v>
      </c>
      <c r="AG613" s="6"/>
      <c r="AH613" s="6"/>
      <c r="AI613" s="6"/>
      <c r="AJ613" s="6"/>
      <c r="AK613" s="6"/>
      <c r="AL613" s="6"/>
      <c r="AM613" s="6"/>
    </row>
    <row r="614">
      <c r="A614" s="6">
        <v>613.0</v>
      </c>
      <c r="B614" s="6" t="str">
        <f>IFERROR(__xludf.DUMMYFUNCTION("""COMPUTED_VALUE"""),"Учусь на специальность экономическая безопасность ")</f>
        <v>Учусь на специальность экономическая безопасность </v>
      </c>
      <c r="C614" s="6" t="str">
        <f>IFERROR(__xludf.DUMMYFUNCTION("""COMPUTED_VALUE"""),"Рисование ")</f>
        <v>Рисование </v>
      </c>
      <c r="D614" s="6" t="str">
        <f>IFERROR(__xludf.DUMMYFUNCTION("""COMPUTED_VALUE"""),"Заводской ")</f>
        <v>Заводской </v>
      </c>
      <c r="E614" s="6" t="str">
        <f>IFERROR(__xludf.DUMMYFUNCTION("""COMPUTED_VALUE"""),"Парк ангелов ")</f>
        <v>Парк ангелов </v>
      </c>
      <c r="F614" s="6" t="str">
        <f>IFERROR(__xludf.DUMMYFUNCTION("""COMPUTED_VALUE"""),"Переехал сюда из другого места (откуда? укажите в графе другое), Пгт Бачатский")</f>
        <v>Переехал сюда из другого места (откуда? укажите в графе другое), Пгт Бачатский</v>
      </c>
      <c r="G614" s="6" t="str">
        <f>IFERROR(__xludf.DUMMYFUNCTION("""COMPUTED_VALUE"""),"Магазины, парки")</f>
        <v>Магазины, парки</v>
      </c>
      <c r="H614" s="6" t="str">
        <f>IFERROR(__xludf.DUMMYFUNCTION("""COMPUTED_VALUE"""),"Пыль, смог, уголь, Томь, заводы")</f>
        <v>Пыль, смог, уголь, Томь, заводы</v>
      </c>
      <c r="I614" s="6" t="str">
        <f>IFERROR(__xludf.DUMMYFUNCTION("""COMPUTED_VALUE"""),"Волков")</f>
        <v>Волков</v>
      </c>
      <c r="J614" s="6" t="str">
        <f>IFERROR(__xludf.DUMMYFUNCTION("""COMPUTED_VALUE"""),"Не знаю")</f>
        <v>Не знаю</v>
      </c>
      <c r="K614" s="6" t="str">
        <f>IFERROR(__xludf.DUMMYFUNCTION("""COMPUTED_VALUE"""),"Парк ангелов")</f>
        <v>Парк ангелов</v>
      </c>
      <c r="L614" s="6" t="str">
        <f>IFERROR(__xludf.DUMMYFUNCTION("""COMPUTED_VALUE"""),"Тише едешь, дальше будешь ")</f>
        <v>Тише едешь, дальше будешь </v>
      </c>
      <c r="M614" s="6" t="str">
        <f>IFERROR(__xludf.DUMMYFUNCTION("""COMPUTED_VALUE"""),"Нет")</f>
        <v>Нет</v>
      </c>
      <c r="N614" s="6" t="str">
        <f>IFERROR(__xludf.DUMMYFUNCTION("""COMPUTED_VALUE"""),"Не дорогое такси")</f>
        <v>Не дорогое такси</v>
      </c>
      <c r="O614" s="6" t="str">
        <f>IFERROR(__xludf.DUMMYFUNCTION("""COMPUTED_VALUE"""),"Экология")</f>
        <v>Экология</v>
      </c>
      <c r="P614" s="6" t="str">
        <f>IFERROR(__xludf.DUMMYFUNCTION("""COMPUTED_VALUE"""),"Газеты")</f>
        <v>Газеты</v>
      </c>
      <c r="Q614" s="6" t="str">
        <f>IFERROR(__xludf.DUMMYFUNCTION("""COMPUTED_VALUE"""),"где вкусно поесть/открытие новых кафе/ресторанов, новости про новые профессии/куда поступать/вакансии, результаты местных исследований (рейтинги/аналитика/тенденции)")</f>
        <v>где вкусно поесть/открытие новых кафе/ресторанов, новости про новые профессии/куда поступать/вакансии, результаты местных исследований (рейтинги/аналитика/тенденции)</v>
      </c>
      <c r="R614" s="6" t="str">
        <f>IFERROR(__xludf.DUMMYFUNCTION("""COMPUTED_VALUE"""),"День города")</f>
        <v>День города</v>
      </c>
      <c r="S614" s="6" t="str">
        <f>IFERROR(__xludf.DUMMYFUNCTION("""COMPUTED_VALUE"""),"Нет, не приходилось")</f>
        <v>Нет, не приходилось</v>
      </c>
      <c r="T614" s="6" t="str">
        <f>IFERROR(__xludf.DUMMYFUNCTION("""COMPUTED_VALUE"""),"Трагедией с зимней вишней ")</f>
        <v>Трагедией с зимней вишней </v>
      </c>
      <c r="U614" s="6" t="str">
        <f>IFERROR(__xludf.DUMMYFUNCTION("""COMPUTED_VALUE"""),"Не знаю")</f>
        <v>Не знаю</v>
      </c>
      <c r="V614" s="6" t="str">
        <f>IFERROR(__xludf.DUMMYFUNCTION("""COMPUTED_VALUE"""),"Не знаю")</f>
        <v>Не знаю</v>
      </c>
      <c r="W614" s="6" t="str">
        <f>IFERROR(__xludf.DUMMYFUNCTION("""COMPUTED_VALUE"""),"Суетные ")</f>
        <v>Суетные </v>
      </c>
      <c r="X614" s="6" t="str">
        <f>IFERROR(__xludf.DUMMYFUNCTION("""COMPUTED_VALUE"""),"Не знаю")</f>
        <v>Не знаю</v>
      </c>
      <c r="Y614" s="6" t="str">
        <f>IFERROR(__xludf.DUMMYFUNCTION("""COMPUTED_VALUE"""),"Не знаю")</f>
        <v>Не знаю</v>
      </c>
      <c r="Z614" s="6" t="str">
        <f>IFERROR(__xludf.DUMMYFUNCTION("""COMPUTED_VALUE"""),"День города")</f>
        <v>День города</v>
      </c>
      <c r="AA614" s="6" t="str">
        <f>IFERROR(__xludf.DUMMYFUNCTION("""COMPUTED_VALUE"""),"Не знаю")</f>
        <v>Не знаю</v>
      </c>
      <c r="AB614" s="6" t="str">
        <f>IFERROR(__xludf.DUMMYFUNCTION("""COMPUTED_VALUE"""),"Не знаю")</f>
        <v>Не знаю</v>
      </c>
      <c r="AC614" s="6" t="str">
        <f>IFERROR(__xludf.DUMMYFUNCTION("""COMPUTED_VALUE"""),"Не знаю")</f>
        <v>Не знаю</v>
      </c>
      <c r="AD61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непосредств"&amp;"енно во время реализации проекта, Коммуникатора: Готов задействовать свои знакомства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614" s="6" t="str">
        <f>IFERROR(__xludf.DUMMYFUNCTION("""COMPUTED_VALUE"""),"Женский")</f>
        <v>Женский</v>
      </c>
      <c r="AF614" s="6" t="str">
        <f>IFERROR(__xludf.DUMMYFUNCTION("""COMPUTED_VALUE"""),"18-29")</f>
        <v>18-29</v>
      </c>
      <c r="AG614" s="6"/>
      <c r="AH614" s="6"/>
      <c r="AI614" s="6"/>
      <c r="AJ614" s="6"/>
      <c r="AK614" s="6"/>
      <c r="AL614" s="6"/>
      <c r="AM614" s="6"/>
    </row>
    <row r="615">
      <c r="A615" s="6">
        <v>614.0</v>
      </c>
      <c r="B615" s="6" t="str">
        <f>IFERROR(__xludf.DUMMYFUNCTION("""COMPUTED_VALUE"""),"Студент")</f>
        <v>Студент</v>
      </c>
      <c r="C615" s="6" t="str">
        <f>IFERROR(__xludf.DUMMYFUNCTION("""COMPUTED_VALUE"""),"Вязание, чтение и написание книг и стихотворений. Все виды деятельности, связанные с оказанием первой помощи, промышленный альпинизм")</f>
        <v>Вязание, чтение и написание книг и стихотворений. Все виды деятельности, связанные с оказанием первой помощи, промышленный альпинизм</v>
      </c>
      <c r="D615" s="6" t="str">
        <f>IFERROR(__xludf.DUMMYFUNCTION("""COMPUTED_VALUE"""),"Кемеровская область, г. Кемерово")</f>
        <v>Кемеровская область, г. Кемерово</v>
      </c>
      <c r="E615" s="6" t="str">
        <f>IFERROR(__xludf.DUMMYFUNCTION("""COMPUTED_VALUE"""),"Парк ангелов, Драм Театр, собственный вуз")</f>
        <v>Парк ангелов, Драм Театр, собственный вуз</v>
      </c>
      <c r="F615" s="6" t="str">
        <f>IFERROR(__xludf.DUMMYFUNCTION("""COMPUTED_VALUE"""),"Живу в городе на моменте обучения в вузе")</f>
        <v>Живу в городе на моменте обучения в вузе</v>
      </c>
      <c r="G615" s="6" t="str">
        <f>IFERROR(__xludf.DUMMYFUNCTION("""COMPUTED_VALUE"""),"Аллея на бульваре Строителей, Променад 2")</f>
        <v>Аллея на бульваре Строителей, Променад 2</v>
      </c>
      <c r="H615" s="6" t="str">
        <f>IFERROR(__xludf.DUMMYFUNCTION("""COMPUTED_VALUE"""),"Шумный, пыльный, солнечный город, безразличные люди, множество бесполезных заведений")</f>
        <v>Шумный, пыльный, солнечный город, безразличные люди, множество бесполезных заведений</v>
      </c>
      <c r="I615" s="6" t="str">
        <f>IFERROR(__xludf.DUMMYFUNCTION("""COMPUTED_VALUE"""),"Алексей Леонов, Зинаида Туснолобова")</f>
        <v>Алексей Леонов, Зинаида Туснолобова</v>
      </c>
      <c r="J615" s="6" t="str">
        <f>IFERROR(__xludf.DUMMYFUNCTION("""COMPUTED_VALUE"""),"А. Г. Тулеев")</f>
        <v>А. Г. Тулеев</v>
      </c>
      <c r="K615" s="6" t="str">
        <f>IFERROR(__xludf.DUMMYFUNCTION("""COMPUTED_VALUE"""),"-")</f>
        <v>-</v>
      </c>
      <c r="L615" s="6" t="str">
        <f>IFERROR(__xludf.DUMMYFUNCTION("""COMPUTED_VALUE"""),"-")</f>
        <v>-</v>
      </c>
      <c r="M615" s="6" t="str">
        <f>IFERROR(__xludf.DUMMYFUNCTION("""COMPUTED_VALUE"""),"Нет")</f>
        <v>Нет</v>
      </c>
      <c r="N615" s="6" t="str">
        <f>IFERROR(__xludf.DUMMYFUNCTION("""COMPUTED_VALUE"""),"-")</f>
        <v>-</v>
      </c>
      <c r="O615" s="6" t="str">
        <f>IFERROR(__xludf.DUMMYFUNCTION("""COMPUTED_VALUE"""),"Проезды в общественном транспорте, рост безработицы и повышение цен в магазине, неудобство посещения лечебных учреждений")</f>
        <v>Проезды в общественном транспорте, рост безработицы и повышение цен в магазине, неудобство посещения лечебных учреждений</v>
      </c>
      <c r="P615" s="6" t="str">
        <f>IFERROR(__xludf.DUMMYFUNCTION("""COMPUTED_VALUE"""),"Из социальных сетей")</f>
        <v>Из социальных сетей</v>
      </c>
      <c r="Q615" s="6" t="str">
        <f>IFERROR(__xludf.DUMMYFUNCTION("""COMPUTED_VALUE"""),"куда пойти в свободное время,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интервью с эксп"&amp;"ертами на разные темы (напишите в разделе Другое свои предложения)")</f>
        <v>куда пойти в свободное время,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615" s="6" t="str">
        <f>IFERROR(__xludf.DUMMYFUNCTION("""COMPUTED_VALUE"""),"Масленица, день города")</f>
        <v>Масленица, день города</v>
      </c>
      <c r="S615" s="6" t="str">
        <f>IFERROR(__xludf.DUMMYFUNCTION("""COMPUTED_VALUE"""),"участие в общественных мероприятиях в качестве волонтера")</f>
        <v>участие в общественных мероприятиях в качестве волонтера</v>
      </c>
      <c r="T615" s="6" t="str">
        <f>IFERROR(__xludf.DUMMYFUNCTION("""COMPUTED_VALUE"""),"-")</f>
        <v>-</v>
      </c>
      <c r="U615" s="6" t="str">
        <f>IFERROR(__xludf.DUMMYFUNCTION("""COMPUTED_VALUE"""),"-")</f>
        <v>-</v>
      </c>
      <c r="V615" s="6" t="str">
        <f>IFERROR(__xludf.DUMMYFUNCTION("""COMPUTED_VALUE"""),"-")</f>
        <v>-</v>
      </c>
      <c r="W615" s="6" t="str">
        <f>IFERROR(__xludf.DUMMYFUNCTION("""COMPUTED_VALUE"""),"Безразличные, апатичные ")</f>
        <v>Безразличные, апатичные </v>
      </c>
      <c r="X615" s="6" t="str">
        <f>IFERROR(__xludf.DUMMYFUNCTION("""COMPUTED_VALUE"""),"-")</f>
        <v>-</v>
      </c>
      <c r="Y615" s="6" t="str">
        <f>IFERROR(__xludf.DUMMYFUNCTION("""COMPUTED_VALUE"""),"-")</f>
        <v>-</v>
      </c>
      <c r="Z615" s="6" t="str">
        <f>IFERROR(__xludf.DUMMYFUNCTION("""COMPUTED_VALUE"""),"Парад Дедов Морозов, День победы, Свеча памяти")</f>
        <v>Парад Дедов Морозов, День победы, Свеча памяти</v>
      </c>
      <c r="AA615" s="6" t="str">
        <f>IFERROR(__xludf.DUMMYFUNCTION("""COMPUTED_VALUE"""),"Митинги по поводу власти и политики")</f>
        <v>Митинги по поводу власти и политики</v>
      </c>
      <c r="AB615" s="6" t="str">
        <f>IFERROR(__xludf.DUMMYFUNCTION("""COMPUTED_VALUE"""),"Волонтерских")</f>
        <v>Волонтерских</v>
      </c>
      <c r="AC615" s="6" t="str">
        <f>IFERROR(__xludf.DUMMYFUNCTION("""COMPUTED_VALUE"""),"-")</f>
        <v>-</v>
      </c>
      <c r="AD61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v>
      </c>
      <c r="AE615" s="6" t="str">
        <f>IFERROR(__xludf.DUMMYFUNCTION("""COMPUTED_VALUE"""),"Женский")</f>
        <v>Женский</v>
      </c>
      <c r="AF615" s="6" t="str">
        <f>IFERROR(__xludf.DUMMYFUNCTION("""COMPUTED_VALUE"""),"18-29")</f>
        <v>18-29</v>
      </c>
      <c r="AG615" s="6"/>
      <c r="AH615" s="6"/>
      <c r="AI615" s="6"/>
      <c r="AJ615" s="6"/>
      <c r="AK615" s="6"/>
      <c r="AL615" s="6"/>
      <c r="AM615" s="6"/>
    </row>
    <row r="616">
      <c r="A616" s="6">
        <v>615.0</v>
      </c>
      <c r="B616" s="6" t="str">
        <f>IFERROR(__xludf.DUMMYFUNCTION("""COMPUTED_VALUE"""),"Студент ")</f>
        <v>Студент </v>
      </c>
      <c r="C616" s="6" t="str">
        <f>IFERROR(__xludf.DUMMYFUNCTION("""COMPUTED_VALUE"""),"Баскетбол ")</f>
        <v>Баскетбол </v>
      </c>
      <c r="D616" s="6" t="str">
        <f>IFERROR(__xludf.DUMMYFUNCTION("""COMPUTED_VALUE"""),"Центральный ")</f>
        <v>Центральный </v>
      </c>
      <c r="E616" s="6" t="str">
        <f>IFERROR(__xludf.DUMMYFUNCTION("""COMPUTED_VALUE"""),"Парк ангелов ")</f>
        <v>Парк ангелов </v>
      </c>
      <c r="F616" s="6" t="str">
        <f>IFERROR(__xludf.DUMMYFUNCTION("""COMPUTED_VALUE"""),"Переехал сюда из другого места (откуда? укажите в графе другое), Как студент 3 года назад ")</f>
        <v>Переехал сюда из другого места (откуда? укажите в графе другое), Как студент 3 года назад </v>
      </c>
      <c r="G616" s="6" t="str">
        <f>IFERROR(__xludf.DUMMYFUNCTION("""COMPUTED_VALUE"""),"На тренировки ")</f>
        <v>На тренировки </v>
      </c>
      <c r="H616" s="6" t="str">
        <f>IFERROR(__xludf.DUMMYFUNCTION("""COMPUTED_VALUE"""),"Университет, КузГТУ, общага, бульвар, шалготорьян")</f>
        <v>Университет, КузГТУ, общага, бульвар, шалготорьян</v>
      </c>
      <c r="I616" s="6" t="str">
        <f>IFERROR(__xludf.DUMMYFUNCTION("""COMPUTED_VALUE"""),"Фёдор Тимофеевич Горбачёв ")</f>
        <v>Фёдор Тимофеевич Горбачёв </v>
      </c>
      <c r="J616" s="6" t="str">
        <f>IFERROR(__xludf.DUMMYFUNCTION("""COMPUTED_VALUE"""),"Козлов Сергей Дмитриевич ")</f>
        <v>Козлов Сергей Дмитриевич </v>
      </c>
      <c r="K616" s="6" t="str">
        <f>IFERROR(__xludf.DUMMYFUNCTION("""COMPUTED_VALUE"""),"Парк ангелов, Бульвар строительно ")</f>
        <v>Парк ангелов, Бульвар строительно </v>
      </c>
      <c r="L616" s="6" t="str">
        <f>IFERROR(__xludf.DUMMYFUNCTION("""COMPUTED_VALUE"""),"Нет")</f>
        <v>Нет</v>
      </c>
      <c r="M616" s="6" t="str">
        <f>IFERROR(__xludf.DUMMYFUNCTION("""COMPUTED_VALUE"""),"Сибиряки работа для молодых и красивых ")</f>
        <v>Сибиряки работа для молодых и красивых </v>
      </c>
      <c r="N616" s="6" t="str">
        <f>IFERROR(__xludf.DUMMYFUNCTION("""COMPUTED_VALUE"""),"Удобное расположение Универа и общежитий вблизи остановок")</f>
        <v>Удобное расположение Универа и общежитий вблизи остановок</v>
      </c>
      <c r="O616" s="6" t="str">
        <f>IFERROR(__xludf.DUMMYFUNCTION("""COMPUTED_VALUE"""),"Власть ")</f>
        <v>Власть </v>
      </c>
      <c r="P616" s="6" t="str">
        <f>IFERROR(__xludf.DUMMYFUNCTION("""COMPUTED_VALUE"""),"Группы ВКонтакте ")</f>
        <v>Группы ВКонтакте </v>
      </c>
      <c r="Q616" s="6" t="str">
        <f>IFERROR(__xludf.DUMMYFUNCTION("""COMPUTED_VALUE"""),"где вкусно поесть/открытие новых кафе/ресторанов, городская афиша (кино/театр/концерты), интервью с местными предпринимателями")</f>
        <v>где вкусно поесть/открытие новых кафе/ресторанов, городская афиша (кино/театр/концерты), интервью с местными предпринимателями</v>
      </c>
      <c r="R616" s="6" t="str">
        <f>IFERROR(__xludf.DUMMYFUNCTION("""COMPUTED_VALUE"""),"Таковых нету ")</f>
        <v>Таковых нету </v>
      </c>
      <c r="S616" s="6" t="str">
        <f>IFERROR(__xludf.DUMMYFUNCTION("""COMPUTED_VALUE"""),"Нет")</f>
        <v>Нет</v>
      </c>
      <c r="T616" s="6" t="str">
        <f>IFERROR(__xludf.DUMMYFUNCTION("""COMPUTED_VALUE"""),"Не знаю ")</f>
        <v>Не знаю </v>
      </c>
      <c r="U616" s="6" t="str">
        <f>IFERROR(__xludf.DUMMYFUNCTION("""COMPUTED_VALUE"""),"Площадь советов ")</f>
        <v>Площадь советов </v>
      </c>
      <c r="V616" s="6" t="str">
        <f>IFERROR(__xludf.DUMMYFUNCTION("""COMPUTED_VALUE"""),"От куда мне знать ")</f>
        <v>От куда мне знать </v>
      </c>
      <c r="W616" s="6" t="str">
        <f>IFERROR(__xludf.DUMMYFUNCTION("""COMPUTED_VALUE"""),"Воздерживаются ")</f>
        <v>Воздерживаются </v>
      </c>
      <c r="X616" s="6" t="str">
        <f>IFERROR(__xludf.DUMMYFUNCTION("""COMPUTED_VALUE"""),"По парку ангелов до остановки Кирова ")</f>
        <v>По парку ангелов до остановки Кирова </v>
      </c>
      <c r="Y616" s="6" t="str">
        <f>IFERROR(__xludf.DUMMYFUNCTION("""COMPUTED_VALUE"""),"Не знаю")</f>
        <v>Не знаю</v>
      </c>
      <c r="Z616" s="6" t="str">
        <f>IFERROR(__xludf.DUMMYFUNCTION("""COMPUTED_VALUE"""),"Не знаю ")</f>
        <v>Не знаю </v>
      </c>
      <c r="AA616" s="6" t="str">
        <f>IFERROR(__xludf.DUMMYFUNCTION("""COMPUTED_VALUE"""),"Общага горела ")</f>
        <v>Общага горела </v>
      </c>
      <c r="AB616" s="6" t="str">
        <f>IFERROR(__xludf.DUMMYFUNCTION("""COMPUTED_VALUE"""),"Все в достатке ")</f>
        <v>Все в достатке </v>
      </c>
      <c r="AC616" s="6" t="str">
        <f>IFERROR(__xludf.DUMMYFUNCTION("""COMPUTED_VALUE"""),"Раздача денежных средств студентам учащимся на контрактной основе ")</f>
        <v>Раздача денежных средств студентам учащимся на контрактной основе </v>
      </c>
      <c r="AD616" s="6" t="str">
        <f>IFERROR(__xludf.DUMMYFUNCTION("""COMPUTED_VALUE"""),"Не готов принимать личное участие (укажите, пожалуйста, причину в поле «Другое»), Не хочц")</f>
        <v>Не готов принимать личное участие (укажите, пожалуйста, причину в поле «Другое»), Не хочц</v>
      </c>
      <c r="AE616" s="6" t="str">
        <f>IFERROR(__xludf.DUMMYFUNCTION("""COMPUTED_VALUE"""),"Мужской")</f>
        <v>Мужской</v>
      </c>
      <c r="AF616" s="6" t="str">
        <f>IFERROR(__xludf.DUMMYFUNCTION("""COMPUTED_VALUE"""),"18-29")</f>
        <v>18-29</v>
      </c>
      <c r="AG616" s="6"/>
      <c r="AH616" s="6"/>
      <c r="AI616" s="6"/>
      <c r="AJ616" s="6"/>
      <c r="AK616" s="6"/>
      <c r="AL616" s="6"/>
      <c r="AM616" s="6"/>
    </row>
    <row r="617">
      <c r="A617" s="6">
        <v>616.0</v>
      </c>
      <c r="B617" s="6" t="str">
        <f>IFERROR(__xludf.DUMMYFUNCTION("""COMPUTED_VALUE"""),"Преподаватель танцев")</f>
        <v>Преподаватель танцев</v>
      </c>
      <c r="C617" s="6" t="str">
        <f>IFERROR(__xludf.DUMMYFUNCTION("""COMPUTED_VALUE"""),"сноуборд")</f>
        <v>сноуборд</v>
      </c>
      <c r="D617" s="6" t="str">
        <f>IFERROR(__xludf.DUMMYFUNCTION("""COMPUTED_VALUE"""),"Центральный, ""Центр"" ")</f>
        <v>Центральный, "Центр" </v>
      </c>
      <c r="E617" s="6" t="str">
        <f>IFERROR(__xludf.DUMMYFUNCTION("""COMPUTED_VALUE"""),"Набережная, Пл. Советов, Парк Ангелов, Парк Победы, Сквер у бассейна, Советский от Кирова до площади, Весенняя... ")</f>
        <v>Набережная, Пл. Советов, Парк Ангелов, Парк Победы, Сквер у бассейна, Советский от Кирова до площади, Весенняя... </v>
      </c>
      <c r="F617" s="6" t="str">
        <f>IFERROR(__xludf.DUMMYFUNCTION("""COMPUTED_VALUE"""),"Живу здесь с рождения")</f>
        <v>Живу здесь с рождения</v>
      </c>
      <c r="G617" s="6" t="str">
        <f>IFERROR(__xludf.DUMMYFUNCTION("""COMPUTED_VALUE"""),"см п. 4 +кафе, Гора Кузбасс, рудничный бор")</f>
        <v>см п. 4 +кафе, Гора Кузбасс, рудничный бор</v>
      </c>
      <c r="H617" s="6" t="str">
        <f>IFERROR(__xludf.DUMMYFUNCTION("""COMPUTED_VALUE"""),"Завод, Томь, парк, гора, мост")</f>
        <v>Завод, Томь, парк, гора, мост</v>
      </c>
      <c r="I617" s="6" t="str">
        <f>IFERROR(__xludf.DUMMYFUNCTION("""COMPUTED_VALUE"""),"Леонов, Волков, Тулеев(?)")</f>
        <v>Леонов, Волков, Тулеев(?)</v>
      </c>
      <c r="J617" s="6" t="str">
        <f>IFERROR(__xludf.DUMMYFUNCTION("""COMPUTED_VALUE"""),"Гришковец")</f>
        <v>Гришковец</v>
      </c>
      <c r="K617" s="6" t="str">
        <f>IFERROR(__xludf.DUMMYFUNCTION("""COMPUTED_VALUE"""),"п. 4. Гора Кузбасс, бульвар строителей")</f>
        <v>п. 4. Гора Кузбасс, бульвар строителей</v>
      </c>
      <c r="L617" s="6" t="str">
        <f>IFERROR(__xludf.DUMMYFUNCTION("""COMPUTED_VALUE"""),"""мы поедем,мы помчимся, на 17м лечиться"", ""курорты кузбасса"" (найдите ролик на ютубе, с усатым мужиком)), йети")</f>
        <v>"мы поедем,мы помчимся, на 17м лечиться", "курорты кузбасса" (найдите ролик на ютубе, с усатым мужиком)), йети</v>
      </c>
      <c r="M617" s="6" t="str">
        <f>IFERROR(__xludf.DUMMYFUNCTION("""COMPUTED_VALUE"""),"затрудняюсь ответить")</f>
        <v>затрудняюсь ответить</v>
      </c>
      <c r="N617" s="6" t="str">
        <f>IFERROR(__xludf.DUMMYFUNCTION("""COMPUTED_VALUE"""),"1) чистый, чАстый, удобный общественный транспорт 2)деревья на каждом свободном квадратном метре 3)минимум заборов!! 4) нет парковкам во дворе 5)уборка снега 6) нет открытому грунту - соотв., отсутствие грязи")</f>
        <v>1) чистый, чАстый, удобный общественный транспорт 2)деревья на каждом свободном квадратном метре 3)минимум заборов!! 4) нет парковкам во дворе 5)уборка снега 6) нет открытому грунту - соотв., отсутствие грязи</v>
      </c>
      <c r="O617" s="6" t="str">
        <f>IFERROR(__xludf.DUMMYFUNCTION("""COMPUTED_VALUE"""),"убрать заборы,посадить деревья, убирать зимой снег не только с проезжей части, общественный транспорт")</f>
        <v>убрать заборы,посадить деревья, убирать зимой снег не только с проезжей части, общественный транспорт</v>
      </c>
      <c r="P617" s="6" t="str">
        <f>IFERROR(__xludf.DUMMYFUNCTION("""COMPUTED_VALUE"""),"сибдепо, а42, инцидент, Кемерово внутри и снаружи ")</f>
        <v>сибдепо, а42, инцидент, Кемерово внутри и снаружи </v>
      </c>
      <c r="Q617" s="6" t="str">
        <f>IFERROR(__xludf.DUMMYFUNCTION("""COMPUTED_VALUE"""),"городская афиша (кино/театр/концерты), интервью с местными политиками,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политиками, интервью с местными творческими личностями, результаты местных исследований (рейтинги/аналитика/тенденции)</v>
      </c>
      <c r="R617" s="6" t="str">
        <f>IFERROR(__xludf.DUMMYFUNCTION("""COMPUTED_VALUE"""),"новый год")</f>
        <v>новый год</v>
      </c>
      <c r="S617"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участвовали в организации и проведении праздника Клубок совместно с ВитаминКа, принимали участ"&amp;"ия в праздниках Парка Чулес, библиотеки Федоровка,.... всегда пишем обо всем в инст и Вк аккаунтах нашей танц.школы")</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участвовали в организации и проведении праздника Клубок совместно с ВитаминКа, принимали участия в праздниках Парка Чулес, библиотеки Федоровка,.... всегда пишем обо всем в инст и Вк аккаунтах нашей танц.школы</v>
      </c>
      <c r="T617" s="6" t="str">
        <f>IFERROR(__xludf.DUMMYFUNCTION("""COMPUTED_VALUE"""),"старый город, рельеф, много где гулять, по сравнению с другими сибирскими городами - довольно дружелюбный к пешеходам город (по крайней мере в центре) ")</f>
        <v>старый город, рельеф, много где гулять, по сравнению с другими сибирскими городами - довольно дружелюбный к пешеходам город (по крайней мере в центре) </v>
      </c>
      <c r="U617" s="6" t="str">
        <f>IFERROR(__xludf.DUMMYFUNCTION("""COMPUTED_VALUE"""),"пл Советов")</f>
        <v>пл Советов</v>
      </c>
      <c r="V617" s="6" t="str">
        <f>IFERROR(__xludf.DUMMYFUNCTION("""COMPUTED_VALUE"""),"делали своё дело с отдачей и любовью, надеясь только на себя")</f>
        <v>делали своё дело с отдачей и любовью, надеясь только на себя</v>
      </c>
      <c r="W617" s="6" t="str">
        <f>IFERROR(__xludf.DUMMYFUNCTION("""COMPUTED_VALUE"""),"Стойкие, серьёзные, смелые, радушные")</f>
        <v>Стойкие, серьёзные, смелые, радушные</v>
      </c>
      <c r="X617" s="6" t="str">
        <f>IFERROR(__xludf.DUMMYFUNCTION("""COMPUTED_VALUE"""),"советский - кузнецкий мост- гора Кузбасс с видом на город")</f>
        <v>советский - кузнецкий мост- гора Кузбасс с видом на город</v>
      </c>
      <c r="Y617" s="6" t="str">
        <f>IFERROR(__xludf.DUMMYFUNCTION("""COMPUTED_VALUE"""),"со знаком минус - забастовки шахтёров, аварии на шахтах, Зимняя Вишня. Хорошее - ЧМ по бенди в 2007, Легенды Мирового Рока 2019 ")</f>
        <v>со знаком минус - забастовки шахтёров, аварии на шахтах, Зимняя Вишня. Хорошее - ЧМ по бенди в 2007, Легенды Мирового Рока 2019 </v>
      </c>
      <c r="Z617" s="6" t="str">
        <f>IFERROR(__xludf.DUMMYFUNCTION("""COMPUTED_VALUE"""),"Новый год 2020, много интересных фестивалей летом 2019,каждые выходные что-то классное происходило для детей и взрослых. Конечно, рок-концерт Легенды Мирового Рока 2019, прямо в городе ")</f>
        <v>Новый год 2020, много интересных фестивалей летом 2019,каждые выходные что-то классное происходило для детей и взрослых. Конечно, рок-концерт Легенды Мирового Рока 2019, прямо в городе </v>
      </c>
      <c r="AA617" s="6" t="str">
        <f>IFERROR(__xludf.DUMMYFUNCTION("""COMPUTED_VALUE"""),"перекрытие города и обилие силовиков и автозаков в мирном городе в январе 2021. это отвратительное отношение к людям. Но это так во всей стране... 2) вырубка цветущих яблонь на пр. Ленина около дома 72. 3) неубранный снег во дворах этой зимой, уродские за"&amp;"боры, вырастающие повсюду ")</f>
        <v>перекрытие города и обилие силовиков и автозаков в мирном городе в январе 2021. это отвратительное отношение к людям. Но это так во всей стране... 2) вырубка цветущих яблонь на пр. Ленина около дома 72. 3) неубранный снег во дворах этой зимой, уродские заборы, вырастающие повсюду </v>
      </c>
      <c r="AB617" s="6" t="str">
        <f>IFERROR(__xludf.DUMMYFUNCTION("""COMPUTED_VALUE"""),"затрудняюсь ответить")</f>
        <v>затрудняюсь ответить</v>
      </c>
      <c r="AC617" s="6" t="str">
        <f>IFERROR(__xludf.DUMMYFUNCTION("""COMPUTED_VALUE"""),"концерты, шоу, открытые площадки для танцоров всех направлений")</f>
        <v>концерты, шоу, открытые площадки для танцоров всех направлений</v>
      </c>
      <c r="AD617"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танцы")</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танцы</v>
      </c>
      <c r="AE617" s="6" t="str">
        <f>IFERROR(__xludf.DUMMYFUNCTION("""COMPUTED_VALUE"""),"Женский")</f>
        <v>Женский</v>
      </c>
      <c r="AF617" s="6" t="str">
        <f>IFERROR(__xludf.DUMMYFUNCTION("""COMPUTED_VALUE"""),"30-44")</f>
        <v>30-44</v>
      </c>
      <c r="AG617" s="6"/>
      <c r="AH617" s="6"/>
      <c r="AI617" s="6"/>
      <c r="AJ617" s="6"/>
      <c r="AK617" s="6"/>
      <c r="AL617" s="6"/>
      <c r="AM617" s="6"/>
    </row>
    <row r="618">
      <c r="A618" s="6">
        <v>617.0</v>
      </c>
      <c r="B618" s="6" t="str">
        <f>IFERROR(__xludf.DUMMYFUNCTION("""COMPUTED_VALUE"""),"Студент ")</f>
        <v>Студент </v>
      </c>
      <c r="C618" s="6" t="str">
        <f>IFERROR(__xludf.DUMMYFUNCTION("""COMPUTED_VALUE"""),"Танцы ")</f>
        <v>Танцы </v>
      </c>
      <c r="D618" s="6" t="str">
        <f>IFERROR(__xludf.DUMMYFUNCTION("""COMPUTED_VALUE"""),"Центральный район, так и называю ")</f>
        <v>Центральный район, так и называю </v>
      </c>
      <c r="E618" s="6" t="str">
        <f>IFERROR(__xludf.DUMMYFUNCTION("""COMPUTED_VALUE"""),"Комсомольский парк, Площадь Волкова, Площадь Советов")</f>
        <v>Комсомольский парк, Площадь Волкова, Площадь Советов</v>
      </c>
      <c r="F618" s="6" t="str">
        <f>IFERROR(__xludf.DUMMYFUNCTION("""COMPUTED_VALUE"""),"Живу здесь с рождения")</f>
        <v>Живу здесь с рождения</v>
      </c>
      <c r="G618" s="6" t="str">
        <f>IFERROR(__xludf.DUMMYFUNCTION("""COMPUTED_VALUE"""),"Гуляю по набережной, площадь Советов ")</f>
        <v>Гуляю по набережной, площадь Советов </v>
      </c>
      <c r="H618" s="6" t="str">
        <f>IFERROR(__xludf.DUMMYFUNCTION("""COMPUTED_VALUE"""),"Смог, не лучшие дороги, стройки , грязь , пробки")</f>
        <v>Смог, не лучшие дороги, стройки , грязь , пробки</v>
      </c>
      <c r="I618" s="6" t="str">
        <f>IFERROR(__xludf.DUMMYFUNCTION("""COMPUTED_VALUE"""),"Михайло Волков")</f>
        <v>Михайло Волков</v>
      </c>
      <c r="J618" s="6" t="str">
        <f>IFERROR(__xludf.DUMMYFUNCTION("""COMPUTED_VALUE"""),"Тулеев")</f>
        <v>Тулеев</v>
      </c>
      <c r="K618" s="6" t="str">
        <f>IFERROR(__xludf.DUMMYFUNCTION("""COMPUTED_VALUE"""),"Томская писаница")</f>
        <v>Томская писаница</v>
      </c>
      <c r="L618" s="6" t="str">
        <f>IFERROR(__xludf.DUMMYFUNCTION("""COMPUTED_VALUE"""),"Не знаю")</f>
        <v>Не знаю</v>
      </c>
      <c r="M618" s="6" t="str">
        <f>IFERROR(__xludf.DUMMYFUNCTION("""COMPUTED_VALUE"""),"Бордюр, радуга, ")</f>
        <v>Бордюр, радуга, </v>
      </c>
      <c r="N618" s="6" t="str">
        <f>IFERROR(__xludf.DUMMYFUNCTION("""COMPUTED_VALUE"""),"Хороший воздух, чистые улицы, ровные дороги, наличие вакантных рабочих мест")</f>
        <v>Хороший воздух, чистые улицы, ровные дороги, наличие вакантных рабочих мест</v>
      </c>
      <c r="O618" s="6" t="str">
        <f>IFERROR(__xludf.DUMMYFUNCTION("""COMPUTED_VALUE"""),"Снизить выбросы загрязняющие воздух")</f>
        <v>Снизить выбросы загрязняющие воздух</v>
      </c>
      <c r="P618" s="6" t="str">
        <f>IFERROR(__xludf.DUMMYFUNCTION("""COMPUTED_VALUE"""),"Интернет")</f>
        <v>Интернет</v>
      </c>
      <c r="Q61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v>
      </c>
      <c r="R618" s="6" t="str">
        <f>IFERROR(__xludf.DUMMYFUNCTION("""COMPUTED_VALUE"""),"День города, День Шахтера ")</f>
        <v>День города, День Шахтера </v>
      </c>
      <c r="S618" s="6" t="str">
        <f>IFERROR(__xludf.DUMMYFUNCTION("""COMPUTED_VALUE"""),"Нет, не приходилось")</f>
        <v>Нет, не приходилось</v>
      </c>
      <c r="T618" s="6" t="str">
        <f>IFERROR(__xludf.DUMMYFUNCTION("""COMPUTED_VALUE"""),"Уголь")</f>
        <v>Уголь</v>
      </c>
      <c r="U618" s="6" t="str">
        <f>IFERROR(__xludf.DUMMYFUNCTION("""COMPUTED_VALUE"""),"Площадь Советов")</f>
        <v>Площадь Советов</v>
      </c>
      <c r="V618" s="6" t="str">
        <f>IFERROR(__xludf.DUMMYFUNCTION("""COMPUTED_VALUE"""),"Не помню")</f>
        <v>Не помню</v>
      </c>
      <c r="W618" s="6" t="str">
        <f>IFERROR(__xludf.DUMMYFUNCTION("""COMPUTED_VALUE"""),"Добрые")</f>
        <v>Добрые</v>
      </c>
      <c r="X618" s="6" t="str">
        <f>IFERROR(__xludf.DUMMYFUNCTION("""COMPUTED_VALUE"""),"Набережная ")</f>
        <v>Набережная </v>
      </c>
      <c r="Y618" s="6" t="str">
        <f>IFERROR(__xludf.DUMMYFUNCTION("""COMPUTED_VALUE"""),"День города")</f>
        <v>День города</v>
      </c>
      <c r="Z618" s="6" t="str">
        <f>IFERROR(__xludf.DUMMYFUNCTION("""COMPUTED_VALUE"""),"100 лет")</f>
        <v>100 лет</v>
      </c>
      <c r="AA618" s="6" t="str">
        <f>IFERROR(__xludf.DUMMYFUNCTION("""COMPUTED_VALUE"""),"Карантин ")</f>
        <v>Карантин </v>
      </c>
      <c r="AB618" s="6" t="str">
        <f>IFERROR(__xludf.DUMMYFUNCTION("""COMPUTED_VALUE"""),"Культурных")</f>
        <v>Культурных</v>
      </c>
      <c r="AC618" s="6" t="str">
        <f>IFERROR(__xludf.DUMMYFUNCTION("""COMPUTED_VALUE"""),"Бизнес мероприятия, творческие ")</f>
        <v>Бизнес мероприятия, творческие </v>
      </c>
      <c r="AD61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618" s="6" t="str">
        <f>IFERROR(__xludf.DUMMYFUNCTION("""COMPUTED_VALUE"""),"Женский")</f>
        <v>Женский</v>
      </c>
      <c r="AF618" s="6" t="str">
        <f>IFERROR(__xludf.DUMMYFUNCTION("""COMPUTED_VALUE"""),"18-29")</f>
        <v>18-29</v>
      </c>
      <c r="AG618" s="6"/>
      <c r="AH618" s="6"/>
      <c r="AI618" s="6"/>
      <c r="AJ618" s="6"/>
      <c r="AK618" s="6"/>
      <c r="AL618" s="6"/>
      <c r="AM618" s="6"/>
    </row>
    <row r="619">
      <c r="A619" s="6">
        <v>618.0</v>
      </c>
      <c r="B619" s="6" t="str">
        <f>IFERROR(__xludf.DUMMYFUNCTION("""COMPUTED_VALUE"""),"Студент")</f>
        <v>Студент</v>
      </c>
      <c r="C619" s="6" t="str">
        <f>IFERROR(__xludf.DUMMYFUNCTION("""COMPUTED_VALUE"""),"Состою в студенческом клубе, танцы ")</f>
        <v>Состою в студенческом клубе, танцы </v>
      </c>
      <c r="D619" s="6" t="str">
        <f>IFERROR(__xludf.DUMMYFUNCTION("""COMPUTED_VALUE"""),"Заводский район( так и называю)")</f>
        <v>Заводский район( так и называю)</v>
      </c>
      <c r="E619" s="6" t="str">
        <f>IFERROR(__xludf.DUMMYFUNCTION("""COMPUTED_VALUE"""),"Областная кадетская школа-интернат МЧС")</f>
        <v>Областная кадетская школа-интернат МЧС</v>
      </c>
      <c r="F619" s="6" t="str">
        <f>IFERROR(__xludf.DUMMYFUNCTION("""COMPUTED_VALUE"""),"Живу здесь с рождения")</f>
        <v>Живу здесь с рождения</v>
      </c>
      <c r="G619" s="6" t="str">
        <f>IFERROR(__xludf.DUMMYFUNCTION("""COMPUTED_VALUE"""),"Кафе, центр, ")</f>
        <v>Кафе, центр, </v>
      </c>
      <c r="H619" s="6" t="str">
        <f>IFERROR(__xludf.DUMMYFUNCTION("""COMPUTED_VALUE"""),"Грязь 
Неровные дороги
")</f>
        <v>Грязь 
Неровные дороги
</v>
      </c>
      <c r="I619" s="6" t="str">
        <f>IFERROR(__xludf.DUMMYFUNCTION("""COMPUTED_VALUE"""),"Волошина Вера Даниловна
Леонов Алексей Архипович ")</f>
        <v>Волошина Вера Даниловна
Леонов Алексей Архипович </v>
      </c>
      <c r="J619" s="6" t="str">
        <f>IFERROR(__xludf.DUMMYFUNCTION("""COMPUTED_VALUE"""),"Леонов Алексей Архипович 
Волошина Вера Даниловна ")</f>
        <v>Леонов Алексей Архипович 
Волошина Вера Даниловна </v>
      </c>
      <c r="K619" s="6" t="str">
        <f>IFERROR(__xludf.DUMMYFUNCTION("""COMPUTED_VALUE"""),"Драмтеатр 
Государственная филармония Кузбасса
Музей Красная Горка")</f>
        <v>Драмтеатр 
Государственная филармония Кузбасса
Музей Красная Горка</v>
      </c>
      <c r="L619" s="6" t="str">
        <f>IFERROR(__xludf.DUMMYFUNCTION("""COMPUTED_VALUE"""),"Не знаю таких")</f>
        <v>Не знаю таких</v>
      </c>
      <c r="M619" s="6" t="str">
        <f>IFERROR(__xludf.DUMMYFUNCTION("""COMPUTED_VALUE"""),"Не знаю таких")</f>
        <v>Не знаю таких</v>
      </c>
      <c r="N619" s="6" t="str">
        <f>IFERROR(__xludf.DUMMYFUNCTION("""COMPUTED_VALUE"""),"Доступность 
Удобность 
")</f>
        <v>Доступность 
Удобность 
</v>
      </c>
      <c r="O619" s="6" t="str">
        <f>IFERROR(__xludf.DUMMYFUNCTION("""COMPUTED_VALUE"""),"Все устраивает ")</f>
        <v>Все устраивает </v>
      </c>
      <c r="P619" s="6" t="str">
        <f>IFERROR(__xludf.DUMMYFUNCTION("""COMPUTED_VALUE"""),"Всю информацию получаю от родственников, либо от просмотра новостных программ")</f>
        <v>Всю информацию получаю от родственников, либо от просмотра новостных программ</v>
      </c>
      <c r="Q619" s="6" t="str">
        <f>IFERROR(__xludf.DUMMYFUNCTION("""COMPUTED_VALUE"""),"новости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f>
        <v>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619" s="6" t="str">
        <f>IFERROR(__xludf.DUMMYFUNCTION("""COMPUTED_VALUE"""),"День города 
")</f>
        <v>День города 
</v>
      </c>
      <c r="S619" s="6" t="str">
        <f>IFERROR(__xludf.DUMMYFUNCTION("""COMPUTED_VALUE"""),"Нет, не приходилось")</f>
        <v>Нет, не приходилось</v>
      </c>
      <c r="T619" s="6" t="str">
        <f>IFERROR(__xludf.DUMMYFUNCTION("""COMPUTED_VALUE"""),"Много известных людей родились в этом городе ")</f>
        <v>Много известных людей родились в этом городе </v>
      </c>
      <c r="U619" s="6" t="str">
        <f>IFERROR(__xludf.DUMMYFUNCTION("""COMPUTED_VALUE"""),"Драмтеатр ")</f>
        <v>Драмтеатр </v>
      </c>
      <c r="V619" s="6" t="str">
        <f>IFERROR(__xludf.DUMMYFUNCTION("""COMPUTED_VALUE"""),"Затрудняюсь ответить ")</f>
        <v>Затрудняюсь ответить </v>
      </c>
      <c r="W619" s="6" t="str">
        <f>IFERROR(__xludf.DUMMYFUNCTION("""COMPUTED_VALUE"""),"Доброжелательность ")</f>
        <v>Доброжелательность </v>
      </c>
      <c r="X619" s="6" t="str">
        <f>IFERROR(__xludf.DUMMYFUNCTION("""COMPUTED_VALUE"""),"Драмтеатр- Филармония")</f>
        <v>Драмтеатр- Филармония</v>
      </c>
      <c r="Y619" s="6" t="str">
        <f>IFERROR(__xludf.DUMMYFUNCTION("""COMPUTED_VALUE"""),"Затрудняюсь ответить ")</f>
        <v>Затрудняюсь ответить </v>
      </c>
      <c r="Z619" s="6" t="str">
        <f>IFERROR(__xludf.DUMMYFUNCTION("""COMPUTED_VALUE"""),"Затрудняюсь ответить ")</f>
        <v>Затрудняюсь ответить </v>
      </c>
      <c r="AA619" s="6" t="str">
        <f>IFERROR(__xludf.DUMMYFUNCTION("""COMPUTED_VALUE"""),"Затрудняюсь ответить ")</f>
        <v>Затрудняюсь ответить </v>
      </c>
      <c r="AB619" s="6" t="str">
        <f>IFERROR(__xludf.DUMMYFUNCTION("""COMPUTED_VALUE"""),"Затрудняюсь ответить ")</f>
        <v>Затрудняюсь ответить </v>
      </c>
      <c r="AC619" s="6" t="str">
        <f>IFERROR(__xludf.DUMMYFUNCTION("""COMPUTED_VALUE"""),"Затрудняюсь ответить ")</f>
        <v>Затрудняюсь ответить </v>
      </c>
      <c r="AD619"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19" s="6" t="str">
        <f>IFERROR(__xludf.DUMMYFUNCTION("""COMPUTED_VALUE"""),"Женский")</f>
        <v>Женский</v>
      </c>
      <c r="AF619" s="6" t="str">
        <f>IFERROR(__xludf.DUMMYFUNCTION("""COMPUTED_VALUE"""),"18-29")</f>
        <v>18-29</v>
      </c>
      <c r="AG619" s="6"/>
      <c r="AH619" s="6"/>
      <c r="AI619" s="6"/>
      <c r="AJ619" s="6"/>
      <c r="AK619" s="6"/>
      <c r="AL619" s="6"/>
      <c r="AM619" s="6"/>
    </row>
    <row r="620">
      <c r="A620" s="6">
        <v>619.0</v>
      </c>
      <c r="B620" s="6" t="str">
        <f>IFERROR(__xludf.DUMMYFUNCTION("""COMPUTED_VALUE"""),"Студент КузГту ")</f>
        <v>Студент КузГту </v>
      </c>
      <c r="C620" s="6" t="str">
        <f>IFERROR(__xludf.DUMMYFUNCTION("""COMPUTED_VALUE"""),"Отсутствует ")</f>
        <v>Отсутствует </v>
      </c>
      <c r="D620" s="6" t="str">
        <f>IFERROR(__xludf.DUMMYFUNCTION("""COMPUTED_VALUE"""),"В центральном. Центр")</f>
        <v>В центральном. Центр</v>
      </c>
      <c r="E620" s="6" t="str">
        <f>IFERROR(__xludf.DUMMYFUNCTION("""COMPUTED_VALUE"""),"Цирк ")</f>
        <v>Цирк </v>
      </c>
      <c r="F620" s="6" t="str">
        <f>IFERROR(__xludf.DUMMYFUNCTION("""COMPUTED_VALUE"""),"Живу здесь с рождения")</f>
        <v>Живу здесь с рождения</v>
      </c>
      <c r="G620" s="6" t="str">
        <f>IFERROR(__xludf.DUMMYFUNCTION("""COMPUTED_VALUE"""),"На набережную ")</f>
        <v>На набережную </v>
      </c>
      <c r="H620" s="6" t="str">
        <f>IFERROR(__xludf.DUMMYFUNCTION("""COMPUTED_VALUE"""),"Пыль, заводы, зима, шахтеры , уголь")</f>
        <v>Пыль, заводы, зима, шахтеры , уголь</v>
      </c>
      <c r="I620" s="6" t="str">
        <f>IFERROR(__xludf.DUMMYFUNCTION("""COMPUTED_VALUE"""),"Алексей Леонов")</f>
        <v>Алексей Леонов</v>
      </c>
      <c r="J620" s="6" t="str">
        <f>IFERROR(__xludf.DUMMYFUNCTION("""COMPUTED_VALUE"""),"Аман Гумирович Тулеев")</f>
        <v>Аман Гумирович Тулеев</v>
      </c>
      <c r="K620" s="6" t="str">
        <f>IFERROR(__xludf.DUMMYFUNCTION("""COMPUTED_VALUE"""),"Красная горка")</f>
        <v>Красная горка</v>
      </c>
      <c r="L620" s="6" t="str">
        <f>IFERROR(__xludf.DUMMYFUNCTION("""COMPUTED_VALUE"""),"Не знаю ")</f>
        <v>Не знаю </v>
      </c>
      <c r="M620" s="6" t="str">
        <f>IFERROR(__xludf.DUMMYFUNCTION("""COMPUTED_VALUE"""),"Сокращение слов, например Юбилейный-юбик и тд")</f>
        <v>Сокращение слов, например Юбилейный-юбик и тд</v>
      </c>
      <c r="N620" s="6" t="str">
        <f>IFERROR(__xludf.DUMMYFUNCTION("""COMPUTED_VALUE"""),"Хорошие дороги, отсутсвие пробок, наличие кафе, наличие мест развлекательного характера, наличие недорого транспорта ")</f>
        <v>Хорошие дороги, отсутсвие пробок, наличие кафе, наличие мест развлекательного характера, наличие недорого транспорта </v>
      </c>
      <c r="O620" s="6" t="str">
        <f>IFERROR(__xludf.DUMMYFUNCTION("""COMPUTED_VALUE"""),"Дороги")</f>
        <v>Дороги</v>
      </c>
      <c r="P620" s="6" t="str">
        <f>IFERROR(__xludf.DUMMYFUNCTION("""COMPUTED_VALUE"""),"Инстаграмм")</f>
        <v>Инстаграмм</v>
      </c>
      <c r="Q620"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620" s="6" t="str">
        <f>IFERROR(__xludf.DUMMYFUNCTION("""COMPUTED_VALUE"""),"9 мая")</f>
        <v>9 мая</v>
      </c>
      <c r="S620" s="6" t="str">
        <f>IFERROR(__xludf.DUMMYFUNCTION("""COMPUTED_VALUE"""),"Нет, не приходилось")</f>
        <v>Нет, не приходилось</v>
      </c>
      <c r="T620" s="6" t="str">
        <f>IFERROR(__xludf.DUMMYFUNCTION("""COMPUTED_VALUE"""),"Наличие большого числа полезных ископаемых")</f>
        <v>Наличие большого числа полезных ископаемых</v>
      </c>
      <c r="U620" s="6" t="str">
        <f>IFERROR(__xludf.DUMMYFUNCTION("""COMPUTED_VALUE"""),"Фонтан ")</f>
        <v>Фонтан </v>
      </c>
      <c r="V620" s="6" t="str">
        <f>IFERROR(__xludf.DUMMYFUNCTION("""COMPUTED_VALUE"""),"Не знаю ")</f>
        <v>Не знаю </v>
      </c>
      <c r="W620" s="6" t="str">
        <f>IFERROR(__xludf.DUMMYFUNCTION("""COMPUTED_VALUE"""),"Грустные ")</f>
        <v>Грустные </v>
      </c>
      <c r="X620" s="6" t="str">
        <f>IFERROR(__xludf.DUMMYFUNCTION("""COMPUTED_VALUE"""),"Набережная ")</f>
        <v>Набережная </v>
      </c>
      <c r="Y620" s="6" t="str">
        <f>IFERROR(__xludf.DUMMYFUNCTION("""COMPUTED_VALUE"""),"Не знаю ")</f>
        <v>Не знаю </v>
      </c>
      <c r="Z620" s="6" t="str">
        <f>IFERROR(__xludf.DUMMYFUNCTION("""COMPUTED_VALUE"""),"День города ")</f>
        <v>День города </v>
      </c>
      <c r="AA620" s="6" t="str">
        <f>IFERROR(__xludf.DUMMYFUNCTION("""COMPUTED_VALUE"""),"Пожар комплекса зимняя вишня")</f>
        <v>Пожар комплекса зимняя вишня</v>
      </c>
      <c r="AB620" s="6" t="str">
        <f>IFERROR(__xludf.DUMMYFUNCTION("""COMPUTED_VALUE"""),"Всего хватает ")</f>
        <v>Всего хватает </v>
      </c>
      <c r="AC620" s="6" t="str">
        <f>IFERROR(__xludf.DUMMYFUNCTION("""COMPUTED_VALUE"""),"Не знаю ")</f>
        <v>Не знаю </v>
      </c>
      <c r="AD62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20" s="6" t="str">
        <f>IFERROR(__xludf.DUMMYFUNCTION("""COMPUTED_VALUE"""),"Женский")</f>
        <v>Женский</v>
      </c>
      <c r="AF620" s="6" t="str">
        <f>IFERROR(__xludf.DUMMYFUNCTION("""COMPUTED_VALUE"""),"18-29")</f>
        <v>18-29</v>
      </c>
      <c r="AG620" s="6"/>
      <c r="AH620" s="6"/>
      <c r="AI620" s="6"/>
      <c r="AJ620" s="6"/>
      <c r="AK620" s="6"/>
      <c r="AL620" s="6"/>
      <c r="AM620" s="6"/>
    </row>
    <row r="621">
      <c r="A621" s="6">
        <v>620.0</v>
      </c>
      <c r="B621" s="6" t="str">
        <f>IFERROR(__xludf.DUMMYFUNCTION("""COMPUTED_VALUE"""),"Студент")</f>
        <v>Студент</v>
      </c>
      <c r="C621" s="6" t="str">
        <f>IFERROR(__xludf.DUMMYFUNCTION("""COMPUTED_VALUE"""),"Легкая атлетика")</f>
        <v>Легкая атлетика</v>
      </c>
      <c r="D621" s="6" t="str">
        <f>IFERROR(__xludf.DUMMYFUNCTION("""COMPUTED_VALUE"""),"Центральный район ")</f>
        <v>Центральный район </v>
      </c>
      <c r="E621" s="6" t="str">
        <f>IFERROR(__xludf.DUMMYFUNCTION("""COMPUTED_VALUE"""),"Набережная, парк Антошка, парк Жукова")</f>
        <v>Набережная, парк Антошка, парк Жукова</v>
      </c>
      <c r="F621" s="6" t="str">
        <f>IFERROR(__xludf.DUMMYFUNCTION("""COMPUTED_VALUE"""),"Живу здесь с рождения")</f>
        <v>Живу здесь с рождения</v>
      </c>
      <c r="G621" s="6" t="str">
        <f>IFERROR(__xludf.DUMMYFUNCTION("""COMPUTED_VALUE"""),"Парки, Набережная ")</f>
        <v>Парки, Набережная </v>
      </c>
      <c r="H621" s="6" t="str">
        <f>IFERROR(__xludf.DUMMYFUNCTION("""COMPUTED_VALUE"""),"Полусовременный, столица Кузбасса, большая деревня, угольная парилка, пожары")</f>
        <v>Полусовременный, столица Кузбасса, большая деревня, угольная парилка, пожары</v>
      </c>
      <c r="I621" s="6" t="str">
        <f>IFERROR(__xludf.DUMMYFUNCTION("""COMPUTED_VALUE"""),"Волков")</f>
        <v>Волков</v>
      </c>
      <c r="J621" s="6" t="str">
        <f>IFERROR(__xludf.DUMMYFUNCTION("""COMPUTED_VALUE"""),"Федяев ")</f>
        <v>Федяев </v>
      </c>
      <c r="K621" s="6" t="str">
        <f>IFERROR(__xludf.DUMMYFUNCTION("""COMPUTED_VALUE"""),"Набережную, парк Победы, парк Ангелов, Бульвар Строителей, Кадетский корпус")</f>
        <v>Набережную, парк Победы, парк Ангелов, Бульвар Строителей, Кадетский корпус</v>
      </c>
      <c r="L621" s="6" t="str">
        <f>IFERROR(__xludf.DUMMYFUNCTION("""COMPUTED_VALUE"""),"Мультифора, а не Файл")</f>
        <v>Мультифора, а не Файл</v>
      </c>
      <c r="M621" s="6" t="str">
        <f>IFERROR(__xludf.DUMMYFUNCTION("""COMPUTED_VALUE"""),"Кемерово- Кем")</f>
        <v>Кемерово- Кем</v>
      </c>
      <c r="N621" s="6" t="str">
        <f>IFERROR(__xludf.DUMMYFUNCTION("""COMPUTED_VALUE"""),"Строительство новых жилищ по доступным ценам, интересные мероприятия ")</f>
        <v>Строительство новых жилищ по доступным ценам, интересные мероприятия </v>
      </c>
      <c r="O621" s="6" t="str">
        <f>IFERROR(__xludf.DUMMYFUNCTION("""COMPUTED_VALUE"""),"Чтобы ходили автобусы, лучше убирали улицы, ремонтировали дороги ")</f>
        <v>Чтобы ходили автобусы, лучше убирали улицы, ремонтировали дороги </v>
      </c>
      <c r="P621" s="6" t="str">
        <f>IFERROR(__xludf.DUMMYFUNCTION("""COMPUTED_VALUE"""),"Инстаграмм ")</f>
        <v>Инстаграмм </v>
      </c>
      <c r="Q621" s="6" t="str">
        <f>IFERROR(__xludf.DUMMYFUNCTION("""COMPUTED_VALUE"""),"городская афиша (кино/театр/концерты), интервью с местными творческими личностями, новости про новые профессии/куда поступать/вакансии")</f>
        <v>городская афиша (кино/театр/концерты), интервью с местными творческими личностями, новости про новые профессии/куда поступать/вакансии</v>
      </c>
      <c r="R621" s="6" t="str">
        <f>IFERROR(__xludf.DUMMYFUNCTION("""COMPUTED_VALUE"""),"День Победы ")</f>
        <v>День Победы </v>
      </c>
      <c r="S621" s="6" t="str">
        <f>IFERROR(__xludf.DUMMYFUNCTION("""COMPUTED_VALUE"""),"Нет, не приходилось")</f>
        <v>Нет, не приходилось</v>
      </c>
      <c r="T621" s="6" t="str">
        <f>IFERROR(__xludf.DUMMYFUNCTION("""COMPUTED_VALUE"""),"Угольным производством ")</f>
        <v>Угольным производством </v>
      </c>
      <c r="U621" s="6" t="str">
        <f>IFERROR(__xludf.DUMMYFUNCTION("""COMPUTED_VALUE"""),"Драмтеатр")</f>
        <v>Драмтеатр</v>
      </c>
      <c r="V621" s="6" t="str">
        <f>IFERROR(__xludf.DUMMYFUNCTION("""COMPUTED_VALUE"""),"Строительство, организация мероприятий ")</f>
        <v>Строительство, организация мероприятий </v>
      </c>
      <c r="W621" s="6" t="str">
        <f>IFERROR(__xludf.DUMMYFUNCTION("""COMPUTED_VALUE"""),"Открытые, дружелюбные, творческие ")</f>
        <v>Открытые, дружелюбные, творческие </v>
      </c>
      <c r="X621" s="6" t="str">
        <f>IFERROR(__xludf.DUMMYFUNCTION("""COMPUTED_VALUE"""),"По центру ")</f>
        <v>По центру </v>
      </c>
      <c r="Y621" s="6" t="str">
        <f>IFERROR(__xludf.DUMMYFUNCTION("""COMPUTED_VALUE"""),"Пожар в Зимней Вишне ")</f>
        <v>Пожар в Зимней Вишне </v>
      </c>
      <c r="Z621" s="6" t="str">
        <f>IFERROR(__xludf.DUMMYFUNCTION("""COMPUTED_VALUE"""),"День Победы ")</f>
        <v>День Победы </v>
      </c>
      <c r="AA621" s="6" t="str">
        <f>IFERROR(__xludf.DUMMYFUNCTION("""COMPUTED_VALUE"""),"Пожар в Зимней Вишне ")</f>
        <v>Пожар в Зимней Вишне </v>
      </c>
      <c r="AB621" s="6" t="str">
        <f>IFERROR(__xludf.DUMMYFUNCTION("""COMPUTED_VALUE"""),"Творческих, предпринимательских ")</f>
        <v>Творческих, предпринимательских </v>
      </c>
      <c r="AC621" s="6" t="str">
        <f>IFERROR(__xludf.DUMMYFUNCTION("""COMPUTED_VALUE"""),"Вовлечение в предпринимательство, творческие коллективы ")</f>
        <v>Вовлечение в предпринимательство, творческие коллективы </v>
      </c>
      <c r="AD621"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621" s="6" t="str">
        <f>IFERROR(__xludf.DUMMYFUNCTION("""COMPUTED_VALUE"""),"Женский")</f>
        <v>Женский</v>
      </c>
      <c r="AF621" s="6" t="str">
        <f>IFERROR(__xludf.DUMMYFUNCTION("""COMPUTED_VALUE"""),"18-29")</f>
        <v>18-29</v>
      </c>
      <c r="AG621" s="6"/>
      <c r="AH621" s="6"/>
      <c r="AI621" s="6"/>
      <c r="AJ621" s="6"/>
      <c r="AK621" s="6"/>
      <c r="AL621" s="6"/>
      <c r="AM621" s="6"/>
    </row>
    <row r="622">
      <c r="A622" s="6">
        <v>621.0</v>
      </c>
      <c r="B622" s="6" t="str">
        <f>IFERROR(__xludf.DUMMYFUNCTION("""COMPUTED_VALUE"""),"Учусь в университете ")</f>
        <v>Учусь в университете </v>
      </c>
      <c r="C622" s="6" t="str">
        <f>IFERROR(__xludf.DUMMYFUNCTION("""COMPUTED_VALUE"""),"Рисование, пение")</f>
        <v>Рисование, пение</v>
      </c>
      <c r="D622" s="6" t="str">
        <f>IFERROR(__xludf.DUMMYFUNCTION("""COMPUTED_VALUE"""),"Заводской")</f>
        <v>Заводской</v>
      </c>
      <c r="E622" s="6" t="str">
        <f>IFERROR(__xludf.DUMMYFUNCTION("""COMPUTED_VALUE"""),"Парк ангелов, парк имени Жукова ")</f>
        <v>Парк ангелов, парк имени Жукова </v>
      </c>
      <c r="F62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622" s="6" t="str">
        <f>IFERROR(__xludf.DUMMYFUNCTION("""COMPUTED_VALUE"""),"Кафе, магазины, набережная ")</f>
        <v>Кафе, магазины, набережная </v>
      </c>
      <c r="H622" s="6" t="str">
        <f>IFERROR(__xludf.DUMMYFUNCTION("""COMPUTED_VALUE"""),"Смог, пыль, грязь, уголь, солнце ")</f>
        <v>Смог, пыль, грязь, уголь, солнце </v>
      </c>
      <c r="I622" s="6" t="str">
        <f>IFERROR(__xludf.DUMMYFUNCTION("""COMPUTED_VALUE"""),"Юрий Двужильный, Вера Волошина, Михайло Волков")</f>
        <v>Юрий Двужильный, Вера Волошина, Михайло Волков</v>
      </c>
      <c r="J622" s="6" t="str">
        <f>IFERROR(__xludf.DUMMYFUNCTION("""COMPUTED_VALUE"""),"Алексей Леонов")</f>
        <v>Алексей Леонов</v>
      </c>
      <c r="K622" s="6" t="str">
        <f>IFERROR(__xludf.DUMMYFUNCTION("""COMPUTED_VALUE"""),"Парк Ангелов, кадетский корпус, притомская набережная")</f>
        <v>Парк Ангелов, кадетский корпус, притомская набережная</v>
      </c>
      <c r="L622" s="6" t="str">
        <f>IFERROR(__xludf.DUMMYFUNCTION("""COMPUTED_VALUE"""),"Не знаю ")</f>
        <v>Не знаю </v>
      </c>
      <c r="M622" s="6" t="str">
        <f>IFERROR(__xludf.DUMMYFUNCTION("""COMPUTED_VALUE"""),"Нет")</f>
        <v>Нет</v>
      </c>
      <c r="N622" s="6" t="str">
        <f>IFERROR(__xludf.DUMMYFUNCTION("""COMPUTED_VALUE"""),"Уехать без проблем в любой район, недорогое такси, больше развлекательных учреждий, кафе, красивых мест для прогулок")</f>
        <v>Уехать без проблем в любой район, недорогое такси, больше развлекательных учреждий, кафе, красивых мест для прогулок</v>
      </c>
      <c r="O622" s="6" t="str">
        <f>IFERROR(__xludf.DUMMYFUNCTION("""COMPUTED_VALUE"""),"Чтобы маршрутные такси ходили чаще и во все направления ")</f>
        <v>Чтобы маршрутные такси ходили чаще и во все направления </v>
      </c>
      <c r="P622" s="6" t="str">
        <f>IFERROR(__xludf.DUMMYFUNCTION("""COMPUTED_VALUE"""),"В контакте, инстаграм")</f>
        <v>В контакте, инстаграм</v>
      </c>
      <c r="Q622" s="6" t="str">
        <f>IFERROR(__xludf.DUMMYFUNCTION("""COMPUTED_VALUE"""),"где вкусно поесть/открытие новых кафе/ресторанов, криминальные новости (происшествия/преступления), новости про новые профессии/куда поступать/вакансии")</f>
        <v>где вкусно поесть/открытие новых кафе/ресторанов, криминальные новости (происшествия/преступления), новости про новые профессии/куда поступать/вакансии</v>
      </c>
      <c r="R622" s="6" t="str">
        <f>IFERROR(__xludf.DUMMYFUNCTION("""COMPUTED_VALUE"""),"День шахтёра, день города")</f>
        <v>День шахтёра, день города</v>
      </c>
      <c r="S622" s="6" t="str">
        <f>IFERROR(__xludf.DUMMYFUNCTION("""COMPUTED_VALUE"""),"Нет, не приходилось")</f>
        <v>Нет, не приходилось</v>
      </c>
      <c r="T622" s="6" t="str">
        <f>IFERROR(__xludf.DUMMYFUNCTION("""COMPUTED_VALUE"""),"Развитая угольная промышленность, пожар в зимней вишне")</f>
        <v>Развитая угольная промышленность, пожар в зимней вишне</v>
      </c>
      <c r="U622" s="6" t="str">
        <f>IFERROR(__xludf.DUMMYFUNCTION("""COMPUTED_VALUE"""),"Набережная ")</f>
        <v>Набережная </v>
      </c>
      <c r="V622" s="6" t="str">
        <f>IFERROR(__xludf.DUMMYFUNCTION("""COMPUTED_VALUE"""),"Развитие угольной промышленности ")</f>
        <v>Развитие угольной промышленности </v>
      </c>
      <c r="W622" s="6" t="str">
        <f>IFERROR(__xludf.DUMMYFUNCTION("""COMPUTED_VALUE"""),"Отзывчивость")</f>
        <v>Отзывчивость</v>
      </c>
      <c r="X622" s="6" t="str">
        <f>IFERROR(__xludf.DUMMYFUNCTION("""COMPUTED_VALUE"""),"Парк ангелов, парк аттракционов, набережная, ")</f>
        <v>Парк ангелов, парк аттракционов, набережная, </v>
      </c>
      <c r="Y622" s="6" t="str">
        <f>IFERROR(__xludf.DUMMYFUNCTION("""COMPUTED_VALUE"""),"Не знаю ")</f>
        <v>Не знаю </v>
      </c>
      <c r="Z622" s="6" t="str">
        <f>IFERROR(__xludf.DUMMYFUNCTION("""COMPUTED_VALUE"""),"Построение кадетского корпуса")</f>
        <v>Построение кадетского корпуса</v>
      </c>
      <c r="AA622" s="6" t="str">
        <f>IFERROR(__xludf.DUMMYFUNCTION("""COMPUTED_VALUE"""),"Повышение цен на продукты питания и многое другое ")</f>
        <v>Повышение цен на продукты питания и многое другое </v>
      </c>
      <c r="AB622" s="6" t="str">
        <f>IFERROR(__xludf.DUMMYFUNCTION("""COMPUTED_VALUE"""),"Не знаю ")</f>
        <v>Не знаю </v>
      </c>
      <c r="AC622" s="6" t="str">
        <f>IFERROR(__xludf.DUMMYFUNCTION("""COMPUTED_VALUE"""),"Мероприятия по развитию, обучению, повышению людей в разных сферах ")</f>
        <v>Мероприятия по развитию, обучению, повышению людей в разных сферах </v>
      </c>
      <c r="AD622"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622" s="6" t="str">
        <f>IFERROR(__xludf.DUMMYFUNCTION("""COMPUTED_VALUE"""),"Женский")</f>
        <v>Женский</v>
      </c>
      <c r="AF622" s="6" t="str">
        <f>IFERROR(__xludf.DUMMYFUNCTION("""COMPUTED_VALUE"""),"18-29")</f>
        <v>18-29</v>
      </c>
      <c r="AG622" s="6"/>
      <c r="AH622" s="6"/>
      <c r="AI622" s="6"/>
      <c r="AJ622" s="6"/>
      <c r="AK622" s="6"/>
      <c r="AL622" s="6"/>
      <c r="AM622" s="6"/>
    </row>
    <row r="623">
      <c r="A623" s="6">
        <v>622.0</v>
      </c>
      <c r="B623" s="6" t="str">
        <f>IFERROR(__xludf.DUMMYFUNCTION("""COMPUTED_VALUE"""),"Студентка ")</f>
        <v>Студентка </v>
      </c>
      <c r="C623" s="6" t="str">
        <f>IFERROR(__xludf.DUMMYFUNCTION("""COMPUTED_VALUE"""),"Особо никаких ")</f>
        <v>Особо никаких </v>
      </c>
      <c r="D623" s="6" t="str">
        <f>IFERROR(__xludf.DUMMYFUNCTION("""COMPUTED_VALUE"""),"Ленинский ")</f>
        <v>Ленинский </v>
      </c>
      <c r="E623" s="6" t="str">
        <f>IFERROR(__xludf.DUMMYFUNCTION("""COMPUTED_VALUE"""),"Бульвар Строителей, спорткомлекс Кузбасс ")</f>
        <v>Бульвар Строителей, спорткомлекс Кузбасс </v>
      </c>
      <c r="F623" s="6" t="str">
        <f>IFERROR(__xludf.DUMMYFUNCTION("""COMPUTED_VALUE"""),"Переехал сюда из другого места (откуда? укажите в графе другое), Новокузнецк. Причина: поступление в КемГУ")</f>
        <v>Переехал сюда из другого места (откуда? укажите в графе другое), Новокузнецк. Причина: поступление в КемГУ</v>
      </c>
      <c r="G623" s="6" t="str">
        <f>IFERROR(__xludf.DUMMYFUNCTION("""COMPUTED_VALUE"""),"Набережная ")</f>
        <v>Набережная </v>
      </c>
      <c r="H623" s="6" t="str">
        <f>IFERROR(__xludf.DUMMYFUNCTION("""COMPUTED_VALUE"""),"Грязный воздух, пыль, дым, чёрный снег, однотипные кгтшки")</f>
        <v>Грязный воздух, пыль, дым, чёрный снег, однотипные кгтшки</v>
      </c>
      <c r="I623" s="6" t="str">
        <f>IFERROR(__xludf.DUMMYFUNCTION("""COMPUTED_VALUE"""),"Не знаю ")</f>
        <v>Не знаю </v>
      </c>
      <c r="J623" s="6" t="str">
        <f>IFERROR(__xludf.DUMMYFUNCTION("""COMPUTED_VALUE"""),"Не знаю ")</f>
        <v>Не знаю </v>
      </c>
      <c r="K623" s="6" t="str">
        <f>IFERROR(__xludf.DUMMYFUNCTION("""COMPUTED_VALUE"""),"Набережная, центральная площадь, памятник шахтёру")</f>
        <v>Набережная, центральная площадь, памятник шахтёру</v>
      </c>
      <c r="L623" s="6" t="str">
        <f>IFERROR(__xludf.DUMMYFUNCTION("""COMPUTED_VALUE"""),"Не знаю ")</f>
        <v>Не знаю </v>
      </c>
      <c r="M623" s="6" t="str">
        <f>IFERROR(__xludf.DUMMYFUNCTION("""COMPUTED_VALUE"""),"Нет")</f>
        <v>Нет</v>
      </c>
      <c r="N623" s="6" t="str">
        <f>IFERROR(__xludf.DUMMYFUNCTION("""COMPUTED_VALUE"""),"Чисто, красиво, удобство, близость необходимых для жизни мест (школы, дет сады, вузы, поликлиники и др) ")</f>
        <v>Чисто, красиво, удобство, близость необходимых для жизни мест (школы, дет сады, вузы, поликлиники и др) </v>
      </c>
      <c r="O623" s="6" t="str">
        <f>IFERROR(__xludf.DUMMYFUNCTION("""COMPUTED_VALUE"""),"Чистоту воздуха и порядок (особенно дворы) ")</f>
        <v>Чистоту воздуха и порядок (особенно дворы) </v>
      </c>
      <c r="P623" s="6" t="str">
        <f>IFERROR(__xludf.DUMMYFUNCTION("""COMPUTED_VALUE"""),"Инстаграм, вк")</f>
        <v>Инстаграм, вк</v>
      </c>
      <c r="Q623"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(рейтинги/ана"&amp;"литика/тенденции)")</f>
        <v>где вкусно поесть/открытие новых кафе/ресторанов, городская афиша (кино/театр/концерты),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623" s="6" t="str">
        <f>IFERROR(__xludf.DUMMYFUNCTION("""COMPUTED_VALUE"""),"День города ")</f>
        <v>День города </v>
      </c>
      <c r="S623" s="6" t="str">
        <f>IFERROR(__xludf.DUMMYFUNCTION("""COMPUTED_VALUE"""),"Нет, не приходилось")</f>
        <v>Нет, не приходилось</v>
      </c>
      <c r="T623" s="6" t="str">
        <f>IFERROR(__xludf.DUMMYFUNCTION("""COMPUTED_VALUE"""),"Шахты, уголь ")</f>
        <v>Шахты, уголь </v>
      </c>
      <c r="U623" s="6" t="str">
        <f>IFERROR(__xludf.DUMMYFUNCTION("""COMPUTED_VALUE"""),". ")</f>
        <v>. </v>
      </c>
      <c r="V623" s="6" t="str">
        <f>IFERROR(__xludf.DUMMYFUNCTION("""COMPUTED_VALUE"""),"Не знаю ")</f>
        <v>Не знаю </v>
      </c>
      <c r="W623" s="6" t="str">
        <f>IFERROR(__xludf.DUMMYFUNCTION("""COMPUTED_VALUE"""),"Грустные, не приветливые, грубые ")</f>
        <v>Грустные, не приветливые, грубые </v>
      </c>
      <c r="X623" s="6" t="str">
        <f>IFERROR(__xludf.DUMMYFUNCTION("""COMPUTED_VALUE"""),"Набережная ")</f>
        <v>Набережная </v>
      </c>
      <c r="Y623" s="6" t="str">
        <f>IFERROR(__xludf.DUMMYFUNCTION("""COMPUTED_VALUE"""),"Не знаю ")</f>
        <v>Не знаю </v>
      </c>
      <c r="Z623" s="6" t="str">
        <f>IFERROR(__xludf.DUMMYFUNCTION("""COMPUTED_VALUE"""),"Никакие ")</f>
        <v>Никакие </v>
      </c>
      <c r="AA623" s="6" t="str">
        <f>IFERROR(__xludf.DUMMYFUNCTION("""COMPUTED_VALUE"""),"Пожары, выбросы веществ в воздух")</f>
        <v>Пожары, выбросы веществ в воздух</v>
      </c>
      <c r="AB623" s="6" t="str">
        <f>IFERROR(__xludf.DUMMYFUNCTION("""COMPUTED_VALUE"""),"Не знаю ")</f>
        <v>Не знаю </v>
      </c>
      <c r="AC623" s="6" t="str">
        <f>IFERROR(__xludf.DUMMYFUNCTION("""COMPUTED_VALUE"""),"Не знаю ")</f>
        <v>Не знаю </v>
      </c>
      <c r="AD62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23" s="6" t="str">
        <f>IFERROR(__xludf.DUMMYFUNCTION("""COMPUTED_VALUE"""),"Женский")</f>
        <v>Женский</v>
      </c>
      <c r="AF623" s="6" t="str">
        <f>IFERROR(__xludf.DUMMYFUNCTION("""COMPUTED_VALUE"""),"18-29")</f>
        <v>18-29</v>
      </c>
      <c r="AG623" s="6"/>
      <c r="AH623" s="6"/>
      <c r="AI623" s="6"/>
      <c r="AJ623" s="6"/>
      <c r="AK623" s="6"/>
      <c r="AL623" s="6"/>
      <c r="AM623" s="6"/>
    </row>
    <row r="624">
      <c r="A624" s="6">
        <v>623.0</v>
      </c>
      <c r="B624" s="6" t="str">
        <f>IFERROR(__xludf.DUMMYFUNCTION("""COMPUTED_VALUE"""),"работаю в IT компании, оцениваю качество работы других сотрудников")</f>
        <v>работаю в IT компании, оцениваю качество работы других сотрудников</v>
      </c>
      <c r="C624" s="6" t="str">
        <f>IFERROR(__xludf.DUMMYFUNCTION("""COMPUTED_VALUE"""),"работа с деревом, конструирую мебель")</f>
        <v>работа с деревом, конструирую мебель</v>
      </c>
      <c r="D624" s="6" t="str">
        <f>IFERROR(__xludf.DUMMYFUNCTION("""COMPUTED_VALUE"""),"Заводский, Южный")</f>
        <v>Заводский, Южный</v>
      </c>
      <c r="E624" s="6" t="str">
        <f>IFERROR(__xludf.DUMMYFUNCTION("""COMPUTED_VALUE"""),"Аллея")</f>
        <v>Аллея</v>
      </c>
      <c r="F624" s="6" t="str">
        <f>IFERROR(__xludf.DUMMYFUNCTION("""COMPUTED_VALUE"""),"Живу здесь с рождения")</f>
        <v>Живу здесь с рождения</v>
      </c>
      <c r="G624" s="6" t="str">
        <f>IFERROR(__xludf.DUMMYFUNCTION("""COMPUTED_VALUE"""),"на набережную")</f>
        <v>на набережную</v>
      </c>
      <c r="H624" s="6" t="str">
        <f>IFERROR(__xludf.DUMMYFUNCTION("""COMPUTED_VALUE"""),"грязь, дым, смог, пожар, сдс")</f>
        <v>грязь, дым, смог, пожар, сдс</v>
      </c>
      <c r="I624" s="6" t="str">
        <f>IFERROR(__xludf.DUMMYFUNCTION("""COMPUTED_VALUE"""),"Волков")</f>
        <v>Волков</v>
      </c>
      <c r="J624" s="6" t="str">
        <f>IFERROR(__xludf.DUMMYFUNCTION("""COMPUTED_VALUE"""),"нет таких")</f>
        <v>нет таких</v>
      </c>
      <c r="K624" s="6" t="str">
        <f>IFERROR(__xludf.DUMMYFUNCTION("""COMPUTED_VALUE"""),"набережная")</f>
        <v>набережная</v>
      </c>
      <c r="L624" s="6" t="str">
        <f>IFERROR(__xludf.DUMMYFUNCTION("""COMPUTED_VALUE"""),"Стадо баранов портит старый баран.")</f>
        <v>Стадо баранов портит старый баран.</v>
      </c>
      <c r="M624" s="6" t="str">
        <f>IFERROR(__xludf.DUMMYFUNCTION("""COMPUTED_VALUE"""),"не знаю")</f>
        <v>не знаю</v>
      </c>
      <c r="N624" s="6" t="str">
        <f>IFERROR(__xludf.DUMMYFUNCTION("""COMPUTED_VALUE"""),"Чистый воздух, достойный уровень зп, чистые дворы, неравнодушная администрация, отсутствие коррупционеров")</f>
        <v>Чистый воздух, достойный уровень зп, чистые дворы, неравнодушная администрация, отсутствие коррупционеров</v>
      </c>
      <c r="O624" s="6" t="str">
        <f>IFERROR(__xludf.DUMMYFUNCTION("""COMPUTED_VALUE"""),"газификацию, чтобы углем больше не топили")</f>
        <v>газификацию, чтобы углем больше не топили</v>
      </c>
      <c r="P624" s="6" t="str">
        <f>IFERROR(__xludf.DUMMYFUNCTION("""COMPUTED_VALUE"""),"паблики в VK ""регион42"" ""а42"" и от знакомых")</f>
        <v>паблики в VK "регион42" "а42" и от знакомых</v>
      </c>
      <c r="Q624" s="6" t="str">
        <f>IFERROR(__xludf.DUMMYFUNCTION("""COMPUTED_VALUE"""),"новости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f>
        <v>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624" s="6" t="str">
        <f>IFERROR(__xludf.DUMMYFUNCTION("""COMPUTED_VALUE"""),"9 мая и день города")</f>
        <v>9 мая и день города</v>
      </c>
      <c r="S624" s="6" t="str">
        <f>IFERROR(__xludf.DUMMYFUNCTION("""COMPUTED_VALUE"""),"Обращался в редакции электронных городских СМИ")</f>
        <v>Обращался в редакции электронных городских СМИ</v>
      </c>
      <c r="T624" s="6" t="str">
        <f>IFERROR(__xludf.DUMMYFUNCTION("""COMPUTED_VALUE"""),"известен печальными событиями в Зимней Вишне")</f>
        <v>известен печальными событиями в Зимней Вишне</v>
      </c>
      <c r="U624" s="6" t="str">
        <f>IFERROR(__xludf.DUMMYFUNCTION("""COMPUTED_VALUE"""),"парки (Антошка, Победы и парк Чудес)")</f>
        <v>парки (Антошка, Победы и парк Чудес)</v>
      </c>
      <c r="V624" s="6" t="str">
        <f>IFERROR(__xludf.DUMMYFUNCTION("""COMPUTED_VALUE"""),"ничего")</f>
        <v>ничего</v>
      </c>
      <c r="W624" s="6" t="str">
        <f>IFERROR(__xludf.DUMMYFUNCTION("""COMPUTED_VALUE"""),"Разные. по большей части грубые и не образованные, но есть и добрые, воспитанные и образованные люди.")</f>
        <v>Разные. по большей части грубые и не образованные, но есть и добрые, воспитанные и образованные люди.</v>
      </c>
      <c r="X624" s="6" t="str">
        <f>IFERROR(__xludf.DUMMYFUNCTION("""COMPUTED_VALUE"""),"от центрального входа в парк чудес, до набережной и по набережной до сквера ""Орбита""")</f>
        <v>от центрального входа в парк чудес, до набережной и по набережной до сквера "Орбита"</v>
      </c>
      <c r="Y624" s="6" t="str">
        <f>IFERROR(__xludf.DUMMYFUNCTION("""COMPUTED_VALUE"""),"не знаю таких")</f>
        <v>не знаю таких</v>
      </c>
      <c r="Z624" s="6" t="str">
        <f>IFERROR(__xludf.DUMMYFUNCTION("""COMPUTED_VALUE"""),"нет таких")</f>
        <v>нет таких</v>
      </c>
      <c r="AA624" s="6" t="str">
        <f>IFERROR(__xludf.DUMMYFUNCTION("""COMPUTED_VALUE"""),"наглые УК которые обманными путями и подделыванием подписей забирают себе новостройки в обслуживание и бездействие органов по этому поводу.")</f>
        <v>наглые УК которые обманными путями и подделыванием подписей забирают себе новостройки в обслуживание и бездействие органов по этому поводу.</v>
      </c>
      <c r="AB624" s="6" t="str">
        <f>IFERROR(__xludf.DUMMYFUNCTION("""COMPUTED_VALUE"""),"Юридических, чтобы поднимали юридическую грамотность населения.")</f>
        <v>Юридических, чтобы поднимали юридическую грамотность населения.</v>
      </c>
      <c r="AC624" s="6" t="str">
        <f>IFERROR(__xludf.DUMMYFUNCTION("""COMPUTED_VALUE"""),"не хватает массовых флешмобов, массовых субботников (поделить город на участки, на каждый поставить ответственного, завлечь людей сделать свой город чище, сделать вообще выходной ""день чистоты"")")</f>
        <v>не хватает массовых флешмобов, массовых субботников (поделить город на участки, на каждый поставить ответственного, завлечь людей сделать свой город чище, сделать вообще выходной "день чистоты")</v>
      </c>
      <c r="AD62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624" s="6" t="str">
        <f>IFERROR(__xludf.DUMMYFUNCTION("""COMPUTED_VALUE"""),"Мужской")</f>
        <v>Мужской</v>
      </c>
      <c r="AF624" s="6" t="str">
        <f>IFERROR(__xludf.DUMMYFUNCTION("""COMPUTED_VALUE"""),"30-44")</f>
        <v>30-44</v>
      </c>
      <c r="AG624" s="6"/>
      <c r="AH624" s="6"/>
      <c r="AI624" s="6"/>
      <c r="AJ624" s="6"/>
      <c r="AK624" s="6"/>
      <c r="AL624" s="6"/>
      <c r="AM624" s="6"/>
    </row>
    <row r="625">
      <c r="A625" s="6">
        <v>624.0</v>
      </c>
      <c r="B625" s="6" t="str">
        <f>IFERROR(__xludf.DUMMYFUNCTION("""COMPUTED_VALUE"""),"культура")</f>
        <v>культура</v>
      </c>
      <c r="C625" s="6" t="str">
        <f>IFERROR(__xludf.DUMMYFUNCTION("""COMPUTED_VALUE"""),"цветоводство")</f>
        <v>цветоводство</v>
      </c>
      <c r="D625" s="6" t="str">
        <f>IFERROR(__xludf.DUMMYFUNCTION("""COMPUTED_VALUE"""),"Грамотеино ")</f>
        <v>Грамотеино </v>
      </c>
      <c r="E625" s="6" t="str">
        <f>IFERROR(__xludf.DUMMYFUNCTION("""COMPUTED_VALUE"""),"Парк Победы, Парк  ""Молодёжный"" ")</f>
        <v>Парк Победы, Парк  "Молодёжный" </v>
      </c>
      <c r="F625" s="6" t="str">
        <f>IFERROR(__xludf.DUMMYFUNCTION("""COMPUTED_VALUE"""),"Не живу,но приезжаю сюда (к родственникам/друзьям)")</f>
        <v>Не живу,но приезжаю сюда (к родственникам/друзьям)</v>
      </c>
      <c r="G625" s="6" t="str">
        <f>IFERROR(__xludf.DUMMYFUNCTION("""COMPUTED_VALUE"""),"Парк Анелов")</f>
        <v>Парк Анелов</v>
      </c>
      <c r="H625" s="6" t="str">
        <f>IFERROR(__xludf.DUMMYFUNCTION("""COMPUTED_VALUE"""),"Твой Кузбасс - твоя инициатив")</f>
        <v>Твой Кузбасс - твоя инициатив</v>
      </c>
      <c r="I625" s="6" t="str">
        <f>IFERROR(__xludf.DUMMYFUNCTION("""COMPUTED_VALUE"""),"Волков, Аман Гумирович Тулеев")</f>
        <v>Волков, Аман Гумирович Тулеев</v>
      </c>
      <c r="J625" s="6" t="str">
        <f>IFERROR(__xludf.DUMMYFUNCTION("""COMPUTED_VALUE"""),"Леонов")</f>
        <v>Леонов</v>
      </c>
      <c r="K625" s="6" t="str">
        <f>IFERROR(__xludf.DUMMYFUNCTION("""COMPUTED_VALUE"""),"Музеи")</f>
        <v>Музеи</v>
      </c>
      <c r="L625" s="6" t="str">
        <f>IFERROR(__xludf.DUMMYFUNCTION("""COMPUTED_VALUE"""),"Чистый город ")</f>
        <v>Чистый город </v>
      </c>
      <c r="M625" s="6" t="str">
        <f>IFERROR(__xludf.DUMMYFUNCTION("""COMPUTED_VALUE"""),"Кемерово, вперёд! ")</f>
        <v>Кемерово, вперёд! </v>
      </c>
      <c r="N625" s="6" t="str">
        <f>IFERROR(__xludf.DUMMYFUNCTION("""COMPUTED_VALUE"""),"доступность, простота, многообразие, спокойствие верность тадициям")</f>
        <v>доступность, простота, многообразие, спокойствие верность тадициям</v>
      </c>
      <c r="O625" s="6" t="str">
        <f>IFERROR(__xludf.DUMMYFUNCTION("""COMPUTED_VALUE"""),"автосообщение районов")</f>
        <v>автосообщение районов</v>
      </c>
      <c r="P625" s="6" t="str">
        <f>IFERROR(__xludf.DUMMYFUNCTION("""COMPUTED_VALUE"""),"VK, OK. ")</f>
        <v>VK, OK. </v>
      </c>
      <c r="Q625"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625" s="6" t="str">
        <f>IFERROR(__xludf.DUMMYFUNCTION("""COMPUTED_VALUE"""),"народные")</f>
        <v>народные</v>
      </c>
      <c r="S625" s="6" t="str">
        <f>IFERROR(__xludf.DUMMYFUNCTION("""COMPUTED_VALUE"""),"Делал рассылку по электронной почте")</f>
        <v>Делал рассылку по электронной почте</v>
      </c>
      <c r="T625" s="6" t="str">
        <f>IFERROR(__xludf.DUMMYFUNCTION("""COMPUTED_VALUE"""),"город творчества и развития молодёжи площадь ")</f>
        <v>город творчества и развития молодёжи площадь </v>
      </c>
      <c r="U625" s="6" t="str">
        <f>IFERROR(__xludf.DUMMYFUNCTION("""COMPUTED_VALUE"""),"площадь Советов")</f>
        <v>площадь Советов</v>
      </c>
      <c r="V625" s="6" t="str">
        <f>IFERROR(__xludf.DUMMYFUNCTION("""COMPUTED_VALUE"""),"сохранили этнические отношения")</f>
        <v>сохранили этнические отношения</v>
      </c>
      <c r="W625" s="6" t="str">
        <f>IFERROR(__xludf.DUMMYFUNCTION("""COMPUTED_VALUE"""),"нормальные")</f>
        <v>нормальные</v>
      </c>
      <c r="X625" s="6" t="str">
        <f>IFERROR(__xludf.DUMMYFUNCTION("""COMPUTED_VALUE"""),"по Томи")</f>
        <v>по Томи</v>
      </c>
      <c r="Y625" s="6" t="str">
        <f>IFERROR(__xludf.DUMMYFUNCTION("""COMPUTED_VALUE"""),"присвоение аэропорту имя соотечественники космонавта Леонова")</f>
        <v>присвоение аэропорту имя соотечественники космонавта Леонова</v>
      </c>
      <c r="Z625" s="6" t="str">
        <f>IFERROR(__xludf.DUMMYFUNCTION("""COMPUTED_VALUE"""),"посещение театра ")</f>
        <v>посещение театра </v>
      </c>
      <c r="AA625" s="6" t="str">
        <f>IFERROR(__xludf.DUMMYFUNCTION("""COMPUTED_VALUE"""),"трагедия  в торговом - развлекательная центре")</f>
        <v>трагедия  в торговом - развлекательная центре</v>
      </c>
      <c r="AB625" s="6" t="str">
        <f>IFERROR(__xludf.DUMMYFUNCTION("""COMPUTED_VALUE"""),"всего достаточно")</f>
        <v>всего достаточно</v>
      </c>
      <c r="AC625" s="6" t="str">
        <f>IFERROR(__xludf.DUMMYFUNCTION("""COMPUTED_VALUE"""),"разноплановых ")</f>
        <v>разноплановых </v>
      </c>
      <c r="AD62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25" s="6" t="str">
        <f>IFERROR(__xludf.DUMMYFUNCTION("""COMPUTED_VALUE"""),"Женский")</f>
        <v>Женский</v>
      </c>
      <c r="AF625" s="6" t="str">
        <f>IFERROR(__xludf.DUMMYFUNCTION("""COMPUTED_VALUE"""),"старше 55")</f>
        <v>старше 55</v>
      </c>
      <c r="AG625" s="6"/>
      <c r="AH625" s="6"/>
      <c r="AI625" s="6"/>
      <c r="AJ625" s="6"/>
      <c r="AK625" s="6"/>
      <c r="AL625" s="6"/>
      <c r="AM625" s="6"/>
    </row>
    <row r="626">
      <c r="A626" s="6">
        <v>625.0</v>
      </c>
      <c r="B626" s="6" t="str">
        <f>IFERROR(__xludf.DUMMYFUNCTION("""COMPUTED_VALUE"""),"Учеба ")</f>
        <v>Учеба </v>
      </c>
      <c r="C626" s="6" t="str">
        <f>IFERROR(__xludf.DUMMYFUNCTION("""COMPUTED_VALUE"""),"Спорт")</f>
        <v>Спорт</v>
      </c>
      <c r="D626" s="6" t="str">
        <f>IFERROR(__xludf.DUMMYFUNCTION("""COMPUTED_VALUE"""),"Рудничный район")</f>
        <v>Рудничный район</v>
      </c>
      <c r="E626" s="6" t="str">
        <f>IFERROR(__xludf.DUMMYFUNCTION("""COMPUTED_VALUE"""),"Сосновый бор")</f>
        <v>Сосновый бор</v>
      </c>
      <c r="F626" s="6" t="str">
        <f>IFERROR(__xludf.DUMMYFUNCTION("""COMPUTED_VALUE"""),"Живу здесь с рождения")</f>
        <v>Живу здесь с рождения</v>
      </c>
      <c r="G626" s="6" t="str">
        <f>IFERROR(__xludf.DUMMYFUNCTION("""COMPUTED_VALUE"""),"Комсомольский парк, набережная ")</f>
        <v>Комсомольский парк, набережная </v>
      </c>
      <c r="H626" s="6" t="str">
        <f>IFERROR(__xludf.DUMMYFUNCTION("""COMPUTED_VALUE"""),"Уголь, гора, лес, парк, мороженое ")</f>
        <v>Уголь, гора, лес, парк, мороженое </v>
      </c>
      <c r="I626" s="6" t="str">
        <f>IFERROR(__xludf.DUMMYFUNCTION("""COMPUTED_VALUE""")," Михайло Волков, Рутгерс, Алексей Леонов")</f>
        <v> Михайло Волков, Рутгерс, Алексей Леонов</v>
      </c>
      <c r="J626" s="6" t="str">
        <f>IFERROR(__xludf.DUMMYFUNCTION("""COMPUTED_VALUE"""),"Евгений Гришковец, Владимир Машков ")</f>
        <v>Евгений Гришковец, Владимир Машков </v>
      </c>
      <c r="K626" s="6" t="str">
        <f>IFERROR(__xludf.DUMMYFUNCTION("""COMPUTED_VALUE"""),"Набережная, парк ангелов, сосновый бор")</f>
        <v>Набережная, парк ангелов, сосновый бор</v>
      </c>
      <c r="L626" s="6" t="str">
        <f>IFERROR(__xludf.DUMMYFUNCTION("""COMPUTED_VALUE"""),"Не знаю ")</f>
        <v>Не знаю </v>
      </c>
      <c r="M626" s="6" t="str">
        <f>IFERROR(__xludf.DUMMYFUNCTION("""COMPUTED_VALUE"""),"Не знаю ")</f>
        <v>Не знаю </v>
      </c>
      <c r="N626" s="6" t="str">
        <f>IFERROR(__xludf.DUMMYFUNCTION("""COMPUTED_VALUE"""),"Не знаю ")</f>
        <v>Не знаю </v>
      </c>
      <c r="O626" s="6" t="str">
        <f>IFERROR(__xludf.DUMMYFUNCTION("""COMPUTED_VALUE"""),"Экология")</f>
        <v>Экология</v>
      </c>
      <c r="P626" s="7" t="str">
        <f>IFERROR(__xludf.DUMMYFUNCTION("""COMPUTED_VALUE""")," Vse42.ru")</f>
        <v> Vse42.ru</v>
      </c>
      <c r="Q626"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626" s="6" t="str">
        <f>IFERROR(__xludf.DUMMYFUNCTION("""COMPUTED_VALUE"""),"День Шахтёра, день основания Кузбасса ")</f>
        <v>День Шахтёра, день основания Кузбасса </v>
      </c>
      <c r="S626" s="6" t="str">
        <f>IFERROR(__xludf.DUMMYFUNCTION("""COMPUTED_VALUE"""),"Нет, не приходилось")</f>
        <v>Нет, не приходилось</v>
      </c>
      <c r="T626" s="6" t="str">
        <f>IFERROR(__xludf.DUMMYFUNCTION("""COMPUTED_VALUE"""),"Парк Ангелов, район лесная поляна ")</f>
        <v>Парк Ангелов, район лесная поляна </v>
      </c>
      <c r="U626" s="6" t="str">
        <f>IFERROR(__xludf.DUMMYFUNCTION("""COMPUTED_VALUE"""),"Площадь Советов")</f>
        <v>Площадь Советов</v>
      </c>
      <c r="V626" s="6" t="str">
        <f>IFERROR(__xludf.DUMMYFUNCTION("""COMPUTED_VALUE"""),"Развивали угольную отрасль ")</f>
        <v>Развивали угольную отрасль </v>
      </c>
      <c r="W626" s="6" t="str">
        <f>IFERROR(__xludf.DUMMYFUNCTION("""COMPUTED_VALUE"""),"Ответственные, трудолюбивые, отзывчивые")</f>
        <v>Ответственные, трудолюбивые, отзывчивые</v>
      </c>
      <c r="X626" s="6" t="str">
        <f>IFERROR(__xludf.DUMMYFUNCTION("""COMPUTED_VALUE"""),"Бульвар строителей - Ленина ")</f>
        <v>Бульвар строителей - Ленина </v>
      </c>
      <c r="Y626" s="6" t="str">
        <f>IFERROR(__xludf.DUMMYFUNCTION("""COMPUTED_VALUE"""),"Открытие кадетского корпуса ")</f>
        <v>Открытие кадетского корпуса </v>
      </c>
      <c r="Z626" s="6" t="str">
        <f>IFERROR(__xludf.DUMMYFUNCTION("""COMPUTED_VALUE"""),"Строительство культурного кластера")</f>
        <v>Строительство культурного кластера</v>
      </c>
      <c r="AA626" s="6" t="str">
        <f>IFERROR(__xludf.DUMMYFUNCTION("""COMPUTED_VALUE"""),"Пожар в зимней вишне ")</f>
        <v>Пожар в зимней вишне </v>
      </c>
      <c r="AB626" s="6" t="str">
        <f>IFERROR(__xludf.DUMMYFUNCTION("""COMPUTED_VALUE"""),"Хватает всех")</f>
        <v>Хватает всех</v>
      </c>
      <c r="AC626" s="6" t="str">
        <f>IFERROR(__xludf.DUMMYFUNCTION("""COMPUTED_VALUE"""),"Культурные, спортивные ")</f>
        <v>Культурные, спортивные </v>
      </c>
      <c r="AD62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26" s="6" t="str">
        <f>IFERROR(__xludf.DUMMYFUNCTION("""COMPUTED_VALUE"""),"Мужской")</f>
        <v>Мужской</v>
      </c>
      <c r="AF626" s="6" t="str">
        <f>IFERROR(__xludf.DUMMYFUNCTION("""COMPUTED_VALUE"""),"18-29")</f>
        <v>18-29</v>
      </c>
      <c r="AG626" s="6"/>
      <c r="AH626" s="6"/>
      <c r="AI626" s="6"/>
      <c r="AJ626" s="6"/>
      <c r="AK626" s="6"/>
      <c r="AL626" s="6"/>
      <c r="AM626" s="6"/>
    </row>
    <row r="627">
      <c r="A627" s="6">
        <v>626.0</v>
      </c>
      <c r="B627" s="6" t="str">
        <f>IFERROR(__xludf.DUMMYFUNCTION("""COMPUTED_VALUE"""),"Информационные технологии")</f>
        <v>Информационные технологии</v>
      </c>
      <c r="C627" s="6" t="str">
        <f>IFERROR(__xludf.DUMMYFUNCTION("""COMPUTED_VALUE"""),"Путешествия, компьютерные игры")</f>
        <v>Путешествия, компьютерные игры</v>
      </c>
      <c r="D627" s="6" t="str">
        <f>IFERROR(__xludf.DUMMYFUNCTION("""COMPUTED_VALUE"""),"Рудничном. Радуга")</f>
        <v>Рудничном. Радуга</v>
      </c>
      <c r="E627" s="6" t="str">
        <f>IFERROR(__xludf.DUMMYFUNCTION("""COMPUTED_VALUE"""),"РайИсполКом, Сосновый бор")</f>
        <v>РайИсполКом, Сосновый бор</v>
      </c>
      <c r="F627"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627" s="6" t="str">
        <f>IFERROR(__xludf.DUMMYFUNCTION("""COMPUTED_VALUE"""),"Сосновый бор, набережная в центре, ТРЦ")</f>
        <v>Сосновый бор, набережная в центре, ТРЦ</v>
      </c>
      <c r="H627" s="6" t="str">
        <f>IFERROR(__xludf.DUMMYFUNCTION("""COMPUTED_VALUE"""),"Дом, радуга, смог, грязь, уныние")</f>
        <v>Дом, радуга, смог, грязь, уныние</v>
      </c>
      <c r="I627" s="6" t="str">
        <f>IFERROR(__xludf.DUMMYFUNCTION("""COMPUTED_VALUE"""),"Леонов, Волков")</f>
        <v>Леонов, Волков</v>
      </c>
      <c r="J627" s="6" t="str">
        <f>IFERROR(__xludf.DUMMYFUNCTION("""COMPUTED_VALUE"""),"Роман Жаворонков")</f>
        <v>Роман Жаворонков</v>
      </c>
      <c r="K627" s="6" t="str">
        <f>IFERROR(__xludf.DUMMYFUNCTION("""COMPUTED_VALUE"""),"Сосновый бор, парк ангелов, красная горка, лесная поляна, цетральная набережная")</f>
        <v>Сосновый бор, парк ангелов, красная горка, лесная поляна, цетральная набережная</v>
      </c>
      <c r="L627" s="6" t="str">
        <f>IFERROR(__xludf.DUMMYFUNCTION("""COMPUTED_VALUE"""),"Гришковец-человек из кемерова. ")</f>
        <v>Гришковец-человек из кемерова. </v>
      </c>
      <c r="M627" s="6" t="str">
        <f>IFERROR(__xludf.DUMMYFUNCTION("""COMPUTED_VALUE"""),"Жители спальников на правом берегу, когда собираются ехать в центр, говорят что едут в город.")</f>
        <v>Жители спальников на правом берегу, когда собираются ехать в центр, говорят что едут в город.</v>
      </c>
      <c r="N627" s="6" t="str">
        <f>IFERROR(__xludf.DUMMYFUNCTION("""COMPUTED_VALUE"""),"Чистота, озеленение, безопасность, развивающаяся экономика, огромный выбор как провести досуг")</f>
        <v>Чистота, озеленение, безопасность, развивающаяся экономика, огромный выбор как провести досуг</v>
      </c>
      <c r="O627" s="6" t="str">
        <f>IFERROR(__xludf.DUMMYFUNCTION("""COMPUTED_VALUE"""),"Проблемы с экологией. Завязанная на уголе экономика.")</f>
        <v>Проблемы с экологией. Завязанная на уголе экономика.</v>
      </c>
      <c r="P627" s="6" t="str">
        <f>IFERROR(__xludf.DUMMYFUNCTION("""COMPUTED_VALUE"""),"Ковер, vse42")</f>
        <v>Ковер, vse42</v>
      </c>
      <c r="Q627"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бизнес-новости "&amp;"(средний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627" s="6" t="str">
        <f>IFERROR(__xludf.DUMMYFUNCTION("""COMPUTED_VALUE"""),"Нет таких")</f>
        <v>Нет таких</v>
      </c>
      <c r="S627" s="6" t="str">
        <f>IFERROR(__xludf.DUMMYFUNCTION("""COMPUTED_VALUE"""),"Был звукарем на стадионе")</f>
        <v>Был звукарем на стадионе</v>
      </c>
      <c r="T627" s="6" t="str">
        <f>IFERROR(__xludf.DUMMYFUNCTION("""COMPUTED_VALUE"""),"Зимняя вишня, уголь. Встречался с голландцами, им интересна история голландских переселенцев.")</f>
        <v>Зимняя вишня, уголь. Встречался с голландцами, им интересна история голландских переселенцев.</v>
      </c>
      <c r="U627" s="6" t="str">
        <f>IFERROR(__xludf.DUMMYFUNCTION("""COMPUTED_VALUE"""),"Набережная")</f>
        <v>Набережная</v>
      </c>
      <c r="V627" s="6" t="str">
        <f>IFERROR(__xludf.DUMMYFUNCTION("""COMPUTED_VALUE"""),"Работали не жалея себя")</f>
        <v>Работали не жалея себя</v>
      </c>
      <c r="W627" s="6" t="str">
        <f>IFERROR(__xludf.DUMMYFUNCTION("""COMPUTED_VALUE"""),"Привыкли жить в пыльном городе и считают что это нормально. А это не нормально!")</f>
        <v>Привыкли жить в пыльном городе и считают что это нормально. А это не нормально!</v>
      </c>
      <c r="X627" s="6" t="str">
        <f>IFERROR(__xludf.DUMMYFUNCTION("""COMPUTED_VALUE"""),"По кирова от советского до горсада. Там на наюнрежную, свернуть затем на пушкина. Потом до университетского моста через площадь советов. До пионерского, а там на ленина до бульвара...")</f>
        <v>По кирова от советского до горсада. Там на наюнрежную, свернуть затем на пушкина. Потом до университетского моста через площадь советов. До пионерского, а там на ленина до бульвара...</v>
      </c>
      <c r="Y627" s="6" t="str">
        <f>IFERROR(__xludf.DUMMYFUNCTION("""COMPUTED_VALUE"""),"Чемпионат мира по хоккею с мячем, день шахтера, зимняя вишня, из щегловки стал городом.")</f>
        <v>Чемпионат мира по хоккею с мячем, день шахтера, зимняя вишня, из щегловки стал городом.</v>
      </c>
      <c r="Z627" s="6" t="str">
        <f>IFERROR(__xludf.DUMMYFUNCTION("""COMPUTED_VALUE"""),"Затеяли много больших строек. Это здорово и вселяет надежду.")</f>
        <v>Затеяли много больших строек. Это здорово и вселяет надежду.</v>
      </c>
      <c r="AA627" s="6" t="str">
        <f>IFERROR(__xludf.DUMMYFUNCTION("""COMPUTED_VALUE"""),"Коронавирусный карантин и то как люди на него реагировали. Было много конфликтов из-за этого т.к. власти полностью дистанцировались от решения бытовых конфликтов. ")</f>
        <v>Коронавирусный карантин и то как люди на него реагировали. Было много конфликтов из-за этого т.к. власти полностью дистанцировались от решения бытовых конфликтов. </v>
      </c>
      <c r="AB627" s="6" t="str">
        <f>IFERROR(__xludf.DUMMYFUNCTION("""COMPUTED_VALUE"""),"Не состою в сообществах, поэтому сложно сказать чего не хватает")</f>
        <v>Не состою в сообществах, поэтому сложно сказать чего не хватает</v>
      </c>
      <c r="AC627" s="6" t="str">
        <f>IFERROR(__xludf.DUMMYFUNCTION("""COMPUTED_VALUE"""),"Больше соревнований, хоккей с шайбой, гонки, ралли, соревнования авиамоделистов и прочих моделистов, косплей фестивали, больше выстовок искусства и достижений техники")</f>
        <v>Больше соревнований, хоккей с шайбой, гонки, ралли, соревнования авиамоделистов и прочих моделистов, косплей фестивали, больше выстовок искусства и достижений техники</v>
      </c>
      <c r="AD627"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 Запустить свой предпринимательский проект, организовать компанию.")</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627" s="6" t="str">
        <f>IFERROR(__xludf.DUMMYFUNCTION("""COMPUTED_VALUE"""),"Мужской")</f>
        <v>Мужской</v>
      </c>
      <c r="AF627" s="6" t="str">
        <f>IFERROR(__xludf.DUMMYFUNCTION("""COMPUTED_VALUE"""),"30-44")</f>
        <v>30-44</v>
      </c>
      <c r="AG627" s="6"/>
      <c r="AH627" s="6"/>
      <c r="AI627" s="6"/>
      <c r="AJ627" s="6"/>
      <c r="AK627" s="6"/>
      <c r="AL627" s="6"/>
      <c r="AM627" s="6"/>
    </row>
    <row r="628">
      <c r="A628" s="6">
        <v>627.0</v>
      </c>
      <c r="B628" s="6" t="str">
        <f>IFERROR(__xludf.DUMMYFUNCTION("""COMPUTED_VALUE"""),"Учусь в школе ")</f>
        <v>Учусь в школе </v>
      </c>
      <c r="C628" s="6" t="str">
        <f>IFERROR(__xludf.DUMMYFUNCTION("""COMPUTED_VALUE"""),"Урбанизм, музыка")</f>
        <v>Урбанизм, музыка</v>
      </c>
      <c r="D628" s="6" t="str">
        <f>IFERROR(__xludf.DUMMYFUNCTION("""COMPUTED_VALUE"""),"Рудничный, называю Радуга")</f>
        <v>Рудничный, называю Радуга</v>
      </c>
      <c r="E628" s="6" t="str">
        <f>IFERROR(__xludf.DUMMYFUNCTION("""COMPUTED_VALUE"""),"Ты Радуга, Сосновый бор")</f>
        <v>Ты Радуга, Сосновый бор</v>
      </c>
      <c r="F628" s="6" t="str">
        <f>IFERROR(__xludf.DUMMYFUNCTION("""COMPUTED_VALUE"""),"Переехал сюда из другого места (откуда? укажите в графе другое), Переехал сюда из Хакасии")</f>
        <v>Переехал сюда из другого места (откуда? укажите в графе другое), Переехал сюда из Хакасии</v>
      </c>
      <c r="G628" s="6" t="str">
        <f>IFERROR(__xludf.DUMMYFUNCTION("""COMPUTED_VALUE"""),"Парк ангелов,люблю гулять в старом центре города, сосновый бор, набережная ")</f>
        <v>Парк ангелов,люблю гулять в старом центре города, сосновый бор, набережная </v>
      </c>
      <c r="H628" s="6" t="str">
        <f>IFERROR(__xludf.DUMMYFUNCTION("""COMPUTED_VALUE"""),"Уголь,дым,Зимняя вишня, угольный разрез, природа")</f>
        <v>Уголь,дым,Зимняя вишня, угольный разрез, природа</v>
      </c>
      <c r="I628" s="6" t="str">
        <f>IFERROR(__xludf.DUMMYFUNCTION("""COMPUTED_VALUE"""),"К сожалению,не знаю таких ")</f>
        <v>К сожалению,не знаю таких </v>
      </c>
      <c r="J628" s="6" t="str">
        <f>IFERROR(__xludf.DUMMYFUNCTION("""COMPUTED_VALUE"""),"Алина Толстикова ")</f>
        <v>Алина Толстикова </v>
      </c>
      <c r="K628" s="6" t="str">
        <f>IFERROR(__xludf.DUMMYFUNCTION("""COMPUTED_VALUE"""),"Старый мост, парк ангелов")</f>
        <v>Старый мост, парк ангелов</v>
      </c>
      <c r="L628" s="6" t="str">
        <f>IFERROR(__xludf.DUMMYFUNCTION("""COMPUTED_VALUE"""),"Я не знаю таких")</f>
        <v>Я не знаю таких</v>
      </c>
      <c r="M628" s="6" t="str">
        <f>IFERROR(__xludf.DUMMYFUNCTION("""COMPUTED_VALUE"""),"Нет")</f>
        <v>Нет</v>
      </c>
      <c r="N628" s="6" t="str">
        <f>IFERROR(__xludf.DUMMYFUNCTION("""COMPUTED_VALUE"""),"Комфортность,мобильность,экологичность,открытость и доступность, компактность")</f>
        <v>Комфортность,мобильность,экологичность,открытость и доступность, компактность</v>
      </c>
      <c r="O628" s="6" t="str">
        <f>IFERROR(__xludf.DUMMYFUNCTION("""COMPUTED_VALUE"""),"Урегулировать и ограничить количество выбросов вредных веществ в атмосферу, ужесточить наказание за превышение выбросов")</f>
        <v>Урегулировать и ограничить количество выбросов вредных веществ в атмосферу, ужесточить наказание за превышение выбросов</v>
      </c>
      <c r="P628" s="6" t="str">
        <f>IFERROR(__xludf.DUMMYFUNCTION("""COMPUTED_VALUE"""),"Соцсети, сообщемтва в соцсетях (ВКонтакте, Инстаграм)")</f>
        <v>Соцсети, сообщемтва в соцсетях (ВКонтакте, Инстаграм)</v>
      </c>
      <c r="Q628" s="6" t="str">
        <f>IFERROR(__xludf.DUMMYFUNCTION("""COMPUTED_VALUE"""),"интервью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628" s="6" t="str">
        <f>IFERROR(__xludf.DUMMYFUNCTION("""COMPUTED_VALUE"""),"Думаю,что они все мало важны для меня в равной мере")</f>
        <v>Думаю,что они все мало важны для меня в равной мере</v>
      </c>
      <c r="S628" s="6" t="str">
        <f>IFERROR(__xludf.DUMMYFUNCTION("""COMPUTED_VALUE"""),"Через социальные сети (Какие? Укажите в графе другое), ВКонтакте")</f>
        <v>Через социальные сети (Какие? Укажите в графе другое), ВКонтакте</v>
      </c>
      <c r="T628" s="6" t="str">
        <f>IFERROR(__xludf.DUMMYFUNCTION("""COMPUTED_VALUE"""),"Знаменит своими заводами, промышленностью, угольными разрезами и трагедиями ")</f>
        <v>Знаменит своими заводами, промышленностью, угольными разрезами и трагедиями </v>
      </c>
      <c r="U628" s="6" t="str">
        <f>IFERROR(__xludf.DUMMYFUNCTION("""COMPUTED_VALUE"""),"Площадь Советов ")</f>
        <v>Площадь Советов </v>
      </c>
      <c r="V628" s="6" t="str">
        <f>IFERROR(__xludf.DUMMYFUNCTION("""COMPUTED_VALUE"""),"Любили его(?)")</f>
        <v>Любили его(?)</v>
      </c>
      <c r="W628" s="6" t="str">
        <f>IFERROR(__xludf.DUMMYFUNCTION("""COMPUTED_VALUE"""),"Сильные, отзывчивые, добрые")</f>
        <v>Сильные, отзывчивые, добрые</v>
      </c>
      <c r="X628" s="6" t="str">
        <f>IFERROR(__xludf.DUMMYFUNCTION("""COMPUTED_VALUE"""),"Относительно любой через исторический центр")</f>
        <v>Относительно любой через исторический центр</v>
      </c>
      <c r="Y628" s="6" t="str">
        <f>IFERROR(__xludf.DUMMYFUNCTION("""COMPUTED_VALUE"""),"К сожалению ничего не приходит на ум ")</f>
        <v>К сожалению ничего не приходит на ум </v>
      </c>
      <c r="Z628" s="6" t="str">
        <f>IFERROR(__xludf.DUMMYFUNCTION("""COMPUTED_VALUE"""),"Появление новых автобусных маршрутов")</f>
        <v>Появление новых автобусных маршрутов</v>
      </c>
      <c r="AA628" s="6" t="str">
        <f>IFERROR(__xludf.DUMMYFUNCTION("""COMPUTED_VALUE"""),"23 января(перекрытый заборами центр, пропаганда со стороны властей), Пожар в Зимней Вишне")</f>
        <v>23 января(перекрытый заборами центр, пропаганда со стороны властей), Пожар в Зимней Вишне</v>
      </c>
      <c r="AB628" s="6" t="str">
        <f>IFERROR(__xludf.DUMMYFUNCTION("""COMPUTED_VALUE"""),"ЭКО-сообществ ")</f>
        <v>ЭКО-сообществ </v>
      </c>
      <c r="AC628" s="6" t="str">
        <f>IFERROR(__xludf.DUMMYFUNCTION("""COMPUTED_VALUE"""),"Побольше различных уличных мероприятий")</f>
        <v>Побольше различных уличных мероприятий</v>
      </c>
      <c r="AD62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28" s="6" t="str">
        <f>IFERROR(__xludf.DUMMYFUNCTION("""COMPUTED_VALUE"""),"Мужской")</f>
        <v>Мужской</v>
      </c>
      <c r="AF628" s="6" t="str">
        <f>IFERROR(__xludf.DUMMYFUNCTION("""COMPUTED_VALUE"""),"18-29")</f>
        <v>18-29</v>
      </c>
      <c r="AG628" s="6"/>
      <c r="AH628" s="6"/>
      <c r="AI628" s="6"/>
      <c r="AJ628" s="6"/>
      <c r="AK628" s="6"/>
      <c r="AL628" s="6"/>
      <c r="AM628" s="6"/>
    </row>
    <row r="629">
      <c r="A629" s="6">
        <v>628.0</v>
      </c>
      <c r="B629" s="6" t="str">
        <f>IFERROR(__xludf.DUMMYFUNCTION("""COMPUTED_VALUE"""),"Медицина")</f>
        <v>Медицина</v>
      </c>
      <c r="C629" s="6" t="str">
        <f>IFERROR(__xludf.DUMMYFUNCTION("""COMPUTED_VALUE"""),"Нет")</f>
        <v>Нет</v>
      </c>
      <c r="D629" s="6" t="str">
        <f>IFERROR(__xludf.DUMMYFUNCTION("""COMPUTED_VALUE"""),"Заводский")</f>
        <v>Заводский</v>
      </c>
      <c r="E629" s="6" t="str">
        <f>IFERROR(__xludf.DUMMYFUNCTION("""COMPUTED_VALUE"""),"Кладбище военнопленных, ДК Предзаводского района")</f>
        <v>Кладбище военнопленных, ДК Предзаводского района</v>
      </c>
      <c r="F629" s="6" t="str">
        <f>IFERROR(__xludf.DUMMYFUNCTION("""COMPUTED_VALUE"""),"Переехал сюда из другого места (откуда? укажите в графе другое), переезд из г. Топки")</f>
        <v>Переехал сюда из другого места (откуда? укажите в графе другое), переезд из г. Топки</v>
      </c>
      <c r="G629" s="6" t="str">
        <f>IFERROR(__xludf.DUMMYFUNCTION("""COMPUTED_VALUE"""),"Сосновый бор, старая пристань, берёзовая роща")</f>
        <v>Сосновый бор, старая пристань, берёзовая роща</v>
      </c>
      <c r="H629" s="6" t="str">
        <f>IFERROR(__xludf.DUMMYFUNCTION("""COMPUTED_VALUE"""),"Смог, лужи, химия, шум, река")</f>
        <v>Смог, лужи, химия, шум, река</v>
      </c>
      <c r="I629" s="6" t="str">
        <f>IFERROR(__xludf.DUMMYFUNCTION("""COMPUTED_VALUE"""),"И. Балибалов, С. Рутгерс, А. Воронин, В. Мартемьянов")</f>
        <v>И. Балибалов, С. Рутгерс, А. Воронин, В. Мартемьянов</v>
      </c>
      <c r="J629" s="6" t="str">
        <f>IFERROR(__xludf.DUMMYFUNCTION("""COMPUTED_VALUE"""),"Их нет.")</f>
        <v>Их нет.</v>
      </c>
      <c r="K629" s="6" t="str">
        <f>IFERROR(__xludf.DUMMYFUNCTION("""COMPUTED_VALUE"""),"Старая пристань, орёл на правом берегу, кладбище военнопленных, окрестности старого рудника, в т. ч. музей ""Красная горка"", улица Арочная")</f>
        <v>Старая пристань, орёл на правом берегу, кладбище военнопленных, окрестности старого рудника, в т. ч. музей "Красная горка", улица Арочная</v>
      </c>
      <c r="L629" s="6" t="str">
        <f>IFERROR(__xludf.DUMMYFUNCTION("""COMPUTED_VALUE"""),"Нет")</f>
        <v>Нет</v>
      </c>
      <c r="M629" s="6" t="str">
        <f>IFERROR(__xludf.DUMMYFUNCTION("""COMPUTED_VALUE"""),"Нет")</f>
        <v>Нет</v>
      </c>
      <c r="N629" s="6" t="str">
        <f>IFERROR(__xludf.DUMMYFUNCTION("""COMPUTED_VALUE"""),"1) чистота улиц; 2) отремонтированные тротуары; 3) высокая доступность общественного транспорта (в том числе, и в вечернее время); 4) пешеходные зоны в историческом центре; 5) развитая сеть круглогодичных и круглосуточных общественных туалетов (в том числ"&amp;"е, в спальных районах).")</f>
        <v>1) чистота улиц; 2) отремонтированные тротуары; 3) высокая доступность общественного транспорта (в том числе, и в вечернее время); 4) пешеходные зоны в историческом центре; 5) развитая сеть круглогодичных и круглосуточных общественных туалетов (в том числе, в спальных районах).</v>
      </c>
      <c r="O629" s="6" t="str">
        <f>IFERROR(__xludf.DUMMYFUNCTION("""COMPUTED_VALUE"""),"Тротуары и дороги")</f>
        <v>Тротуары и дороги</v>
      </c>
      <c r="P629" s="6" t="str">
        <f>IFERROR(__xludf.DUMMYFUNCTION("""COMPUTED_VALUE"""),"интернет-ресурсы А42 , ""Сибдепо"", НГС"".")</f>
        <v>интернет-ресурсы А42 , "Сибдепо", НГС".</v>
      </c>
      <c r="Q629" s="6" t="str">
        <f>IFERROR(__xludf.DUMMYFUNCTION("""COMPUTED_VALUE"""),"куда пойти в свободное время, результаты местных исследований (рейтинги/аналитика/тенденции)")</f>
        <v>куда пойти в свободное время, результаты местных исследований (рейтинги/аналитика/тенденции)</v>
      </c>
      <c r="R629" s="6" t="str">
        <f>IFERROR(__xludf.DUMMYFUNCTION("""COMPUTED_VALUE"""),"никакие")</f>
        <v>никакие</v>
      </c>
      <c r="S629" s="6" t="str">
        <f>IFERROR(__xludf.DUMMYFUNCTION("""COMPUTED_VALUE"""),"Нет, не приходилось")</f>
        <v>Нет, не приходилось</v>
      </c>
      <c r="T629" s="6" t="str">
        <f>IFERROR(__xludf.DUMMYFUNCTION("""COMPUTED_VALUE"""),"Смогом и пожаром в ""Зимней вишне"".")</f>
        <v>Смогом и пожаром в "Зимней вишне".</v>
      </c>
      <c r="U629" s="6" t="str">
        <f>IFERROR(__xludf.DUMMYFUNCTION("""COMPUTED_VALUE"""),"Набережная в Центральном районе")</f>
        <v>Набережная в Центральном районе</v>
      </c>
      <c r="V629" s="6" t="str">
        <f>IFERROR(__xludf.DUMMYFUNCTION("""COMPUTED_VALUE"""),"Всё это осталось в СССР.")</f>
        <v>Всё это осталось в СССР.</v>
      </c>
      <c r="W629" s="6" t="str">
        <f>IFERROR(__xludf.DUMMYFUNCTION("""COMPUTED_VALUE"""),"замкнутые, неприветливые, недоверчивые, тяжёлые на подъём")</f>
        <v>замкнутые, неприветливые, недоверчивые, тяжёлые на подъём</v>
      </c>
      <c r="X629" s="6" t="str">
        <f>IFERROR(__xludf.DUMMYFUNCTION("""COMPUTED_VALUE"""),"Музей ""Красная горка"" - старый рудник - старая пристань - орёл на правом берегу - мост - набережная.")</f>
        <v>Музей "Красная горка" - старый рудник - старая пристань - орёл на правом берегу - мост - набережная.</v>
      </c>
      <c r="Y629" s="6" t="str">
        <f>IFERROR(__xludf.DUMMYFUNCTION("""COMPUTED_VALUE"""),"не знаю")</f>
        <v>не знаю</v>
      </c>
      <c r="Z629" s="6" t="str">
        <f>IFERROR(__xludf.DUMMYFUNCTION("""COMPUTED_VALUE"""),"их нет")</f>
        <v>их нет</v>
      </c>
      <c r="AA629" s="6" t="str">
        <f>IFERROR(__xludf.DUMMYFUNCTION("""COMPUTED_VALUE"""),"пожар в ТЦ ""Зимняя вишня""")</f>
        <v>пожар в ТЦ "Зимняя вишня"</v>
      </c>
      <c r="AB629" s="6" t="str">
        <f>IFERROR(__xludf.DUMMYFUNCTION("""COMPUTED_VALUE"""),"они есть в интернете, мне этого достаточно")</f>
        <v>они есть в интернете, мне этого достаточно</v>
      </c>
      <c r="AC629" s="6" t="str">
        <f>IFERROR(__xludf.DUMMYFUNCTION("""COMPUTED_VALUE"""),"сначала надо привлечь новых жителей в город и побудить остаться ныне живущих нормальными доходами, ибо посещение каждого мероприятия денег стоит")</f>
        <v>сначала надо привлечь новых жителей в город и побудить остаться ныне живущих нормальными доходами, ибо посещение каждого мероприятия денег стоит</v>
      </c>
      <c r="AD629" s="6" t="str">
        <f>IFERROR(__xludf.DUMMYFUNCTION("""COMPUTED_VALUE"""),"Не готов принимать личное участие (укажите, пожалуйста, причину в поле «Другое»), не уверена, что останусь жить в Кузбассе")</f>
        <v>Не готов принимать личное участие (укажите, пожалуйста, причину в поле «Другое»), не уверена, что останусь жить в Кузбассе</v>
      </c>
      <c r="AE629" s="6" t="str">
        <f>IFERROR(__xludf.DUMMYFUNCTION("""COMPUTED_VALUE"""),"Женский")</f>
        <v>Женский</v>
      </c>
      <c r="AF629" s="6" t="str">
        <f>IFERROR(__xludf.DUMMYFUNCTION("""COMPUTED_VALUE"""),"30-44")</f>
        <v>30-44</v>
      </c>
      <c r="AG629" s="6"/>
      <c r="AH629" s="6"/>
      <c r="AI629" s="6"/>
      <c r="AJ629" s="6"/>
      <c r="AK629" s="6"/>
      <c r="AL629" s="6"/>
      <c r="AM629" s="6"/>
    </row>
    <row r="630">
      <c r="A630" s="6">
        <v>629.0</v>
      </c>
      <c r="B630" s="6" t="str">
        <f>IFERROR(__xludf.DUMMYFUNCTION("""COMPUTED_VALUE"""),"Разработка")</f>
        <v>Разработка</v>
      </c>
      <c r="C630" s="6" t="str">
        <f>IFERROR(__xludf.DUMMYFUNCTION("""COMPUTED_VALUE"""),"Воркаут. Спортивное ориентирование на местности")</f>
        <v>Воркаут. Спортивное ориентирование на местности</v>
      </c>
      <c r="D630" s="6" t="str">
        <f>IFERROR(__xludf.DUMMYFUNCTION("""COMPUTED_VALUE"""),"Рудниыный. Ветрадуга")</f>
        <v>Рудниыный. Ветрадуга</v>
      </c>
      <c r="E630" s="6" t="str">
        <f>IFERROR(__xludf.DUMMYFUNCTION("""COMPUTED_VALUE"""),"Бор")</f>
        <v>Бор</v>
      </c>
      <c r="F630" s="6" t="str">
        <f>IFERROR(__xludf.DUMMYFUNCTION("""COMPUTED_VALUE"""),"Переехал сюда из другого места (откуда? укажите в графе другое), Ленинск. Там нет перспектив.")</f>
        <v>Переехал сюда из другого места (откуда? укажите в графе другое), Ленинск. Там нет перспектив.</v>
      </c>
      <c r="G630" s="6" t="str">
        <f>IFERROR(__xludf.DUMMYFUNCTION("""COMPUTED_VALUE"""),"Бор, Парки,")</f>
        <v>Бор, Парки,</v>
      </c>
      <c r="H630" s="6" t="str">
        <f>IFERROR(__xludf.DUMMYFUNCTION("""COMPUTED_VALUE"""),"Уют, Спокойствие, Смог, Зимняя вишня, Белый снег.")</f>
        <v>Уют, Спокойствие, Смог, Зимняя вишня, Белый снег.</v>
      </c>
      <c r="I630" s="6" t="str">
        <f>IFERROR(__xludf.DUMMYFUNCTION("""COMPUTED_VALUE"""),"Леонов(Ну тут с областью наверное). Волков(Опять же Кузбасс в целом). Волошина.")</f>
        <v>Леонов(Ну тут с областью наверное). Волков(Опять же Кузбасс в целом). Волошина.</v>
      </c>
      <c r="J630" s="6" t="str">
        <f>IFERROR(__xludf.DUMMYFUNCTION("""COMPUTED_VALUE"""),"Боюсь современность на героев скупа.")</f>
        <v>Боюсь современность на героев скупа.</v>
      </c>
      <c r="K630" s="6" t="str">
        <f>IFERROR(__xludf.DUMMYFUNCTION("""COMPUTED_VALUE"""),"Обошлись бы стандартным маршрутом.")</f>
        <v>Обошлись бы стандартным маршрутом.</v>
      </c>
      <c r="L630" s="6" t="str">
        <f>IFERROR(__xludf.DUMMYFUNCTION("""COMPUTED_VALUE"""),"Зимняя вишня.")</f>
        <v>Зимняя вишня.</v>
      </c>
      <c r="M630" s="6" t="str">
        <f>IFERROR(__xludf.DUMMYFUNCTION("""COMPUTED_VALUE"""),"Части горожан режет ухо ""В Кемерове""")</f>
        <v>Части горожан режет ухо "В Кемерове"</v>
      </c>
      <c r="N630" s="6" t="str">
        <f>IFERROR(__xludf.DUMMYFUNCTION("""COMPUTED_VALUE"""),"Развитый общественный транспорт. Средняя цена на аренду жилья. Уровень загрязнения. Люди проживающие в городе.")</f>
        <v>Развитый общественный транспорт. Средняя цена на аренду жилья. Уровень загрязнения. Люди проживающие в городе.</v>
      </c>
      <c r="O630" s="6" t="str">
        <f>IFERROR(__xludf.DUMMYFUNCTION("""COMPUTED_VALUE"""),"Благоустройство старых районов. Контроль РЭУ и пр. в вопросах содержания придомовых территорий.")</f>
        <v>Благоустройство старых районов. Контроль РЭУ и пр. в вопросах содержания придомовых территорий.</v>
      </c>
      <c r="P630" s="6" t="str">
        <f>IFERROR(__xludf.DUMMYFUNCTION("""COMPUTED_VALUE"""),"Сарафанное радио")</f>
        <v>Сарафанное радио</v>
      </c>
      <c r="Q630" s="6" t="str">
        <f>IFERROR(__xludf.DUMMYFUNCTION("""COMPUTED_VALUE"""),"Не интересуюсь сми.")</f>
        <v>Не интересуюсь сми.</v>
      </c>
      <c r="R630" s="6" t="str">
        <f>IFERROR(__xludf.DUMMYFUNCTION("""COMPUTED_VALUE"""),"День шахтера, ")</f>
        <v>День шахтера, </v>
      </c>
      <c r="S630" s="6" t="str">
        <f>IFERROR(__xludf.DUMMYFUNCTION("""COMPUTED_VALUE"""),"Нет, не приходилось")</f>
        <v>Нет, не приходилось</v>
      </c>
      <c r="T630" s="6" t="str">
        <f>IFERROR(__xludf.DUMMYFUNCTION("""COMPUTED_VALUE"""),"-")</f>
        <v>-</v>
      </c>
      <c r="U630" s="6" t="str">
        <f>IFERROR(__xludf.DUMMYFUNCTION("""COMPUTED_VALUE"""),"Азот, Бор, Парк ангелов.")</f>
        <v>Азот, Бор, Парк ангелов.</v>
      </c>
      <c r="V630" s="6" t="str">
        <f>IFERROR(__xludf.DUMMYFUNCTION("""COMPUTED_VALUE"""),"-")</f>
        <v>-</v>
      </c>
      <c r="W630" s="6" t="str">
        <f>IFERROR(__xludf.DUMMYFUNCTION("""COMPUTED_VALUE"""),"Воспитанные и цивилизованные.")</f>
        <v>Воспитанные и цивилизованные.</v>
      </c>
      <c r="X630" s="6" t="str">
        <f>IFERROR(__xludf.DUMMYFUNCTION("""COMPUTED_VALUE"""),"Жукова-Весенняя")</f>
        <v>Жукова-Весенняя</v>
      </c>
      <c r="Y630" s="6" t="str">
        <f>IFERROR(__xludf.DUMMYFUNCTION("""COMPUTED_VALUE"""),"-")</f>
        <v>-</v>
      </c>
      <c r="Z630" s="6" t="str">
        <f>IFERROR(__xludf.DUMMYFUNCTION("""COMPUTED_VALUE"""),"-")</f>
        <v>-</v>
      </c>
      <c r="AA630" s="6" t="str">
        <f>IFERROR(__xludf.DUMMYFUNCTION("""COMPUTED_VALUE"""),"-")</f>
        <v>-</v>
      </c>
      <c r="AB630" s="6" t="str">
        <f>IFERROR(__xludf.DUMMYFUNCTION("""COMPUTED_VALUE"""),"-")</f>
        <v>-</v>
      </c>
      <c r="AC630" s="6" t="str">
        <f>IFERROR(__xludf.DUMMYFUNCTION("""COMPUTED_VALUE"""),"-")</f>
        <v>-</v>
      </c>
      <c r="AD630" s="6" t="str">
        <f>IFERROR(__xludf.DUMMYFUNCTION("""COMPUTED_VALUE"""),"""Скинуться (деньгами, материалами, инструментом) с другими жителями на благоустройство двора, микрорайона"" - это разве не статья расходов управляющей организации?")</f>
        <v>"Скинуться (деньгами, материалами, инструментом) с другими жителями на благоустройство двора, микрорайона" - это разве не статья расходов управляющей организации?</v>
      </c>
      <c r="AE630" s="6" t="str">
        <f>IFERROR(__xludf.DUMMYFUNCTION("""COMPUTED_VALUE"""),"Мужской")</f>
        <v>Мужской</v>
      </c>
      <c r="AF630" s="6" t="str">
        <f>IFERROR(__xludf.DUMMYFUNCTION("""COMPUTED_VALUE"""),"18-29")</f>
        <v>18-29</v>
      </c>
      <c r="AG630" s="6"/>
      <c r="AH630" s="6"/>
      <c r="AI630" s="6"/>
      <c r="AJ630" s="6"/>
      <c r="AK630" s="6"/>
      <c r="AL630" s="6"/>
      <c r="AM630" s="6"/>
    </row>
    <row r="631">
      <c r="A631" s="6">
        <v>630.0</v>
      </c>
      <c r="B631" s="6" t="str">
        <f>IFERROR(__xludf.DUMMYFUNCTION("""COMPUTED_VALUE"""),"Работаю в культурном центре")</f>
        <v>Работаю в культурном центре</v>
      </c>
      <c r="C631" s="6" t="str">
        <f>IFERROR(__xludf.DUMMYFUNCTION("""COMPUTED_VALUE"""),"ДПИ")</f>
        <v>ДПИ</v>
      </c>
      <c r="D631" s="6" t="str">
        <f>IFERROR(__xludf.DUMMYFUNCTION("""COMPUTED_VALUE"""),"Беловский")</f>
        <v>Беловский</v>
      </c>
      <c r="E631" s="6" t="str">
        <f>IFERROR(__xludf.DUMMYFUNCTION("""COMPUTED_VALUE"""),"Спорткомплекс Металлург и Грамотеинский, парк Центральный ")</f>
        <v>Спорткомплекс Металлург и Грамотеинский, парк Центральный </v>
      </c>
      <c r="F631" s="6" t="str">
        <f>IFERROR(__xludf.DUMMYFUNCTION("""COMPUTED_VALUE"""),"Переехал сюда из другого места (откуда? укажите в графе другое), Республика Казахстан")</f>
        <v>Переехал сюда из другого места (откуда? укажите в графе другое), Республика Казахстан</v>
      </c>
      <c r="G631" s="6" t="str">
        <f>IFERROR(__xludf.DUMMYFUNCTION("""COMPUTED_VALUE"""),"Кинотеатр Рубин")</f>
        <v>Кинотеатр Рубин</v>
      </c>
      <c r="H631" s="6" t="str">
        <f>IFERROR(__xludf.DUMMYFUNCTION("""COMPUTED_VALUE"""),"Кинотеатр Рубин, спорткомплекс Металлург, парк Центральный")</f>
        <v>Кинотеатр Рубин, спорткомплекс Металлург, парк Центральный</v>
      </c>
      <c r="I631" s="6" t="str">
        <f>IFERROR(__xludf.DUMMYFUNCTION("""COMPUTED_VALUE"""),"Олег Янковский, А. Леонов")</f>
        <v>Олег Янковский, А. Леонов</v>
      </c>
      <c r="J631" s="6" t="str">
        <f>IFERROR(__xludf.DUMMYFUNCTION("""COMPUTED_VALUE"""),"Панин, Машков, Распутина")</f>
        <v>Панин, Машков, Распутина</v>
      </c>
      <c r="K631" s="6" t="str">
        <f>IFERROR(__xludf.DUMMYFUNCTION("""COMPUTED_VALUE"""),"Спорткомплекс Металлург, парк Центральный")</f>
        <v>Спорткомплекс Металлург, парк Центральный</v>
      </c>
      <c r="L631" s="6" t="str">
        <f>IFERROR(__xludf.DUMMYFUNCTION("""COMPUTED_VALUE"""),"Не в силе правда, а правда в силе")</f>
        <v>Не в силе правда, а правда в силе</v>
      </c>
      <c r="M631" s="6" t="str">
        <f>IFERROR(__xludf.DUMMYFUNCTION("""COMPUTED_VALUE"""),"Нет")</f>
        <v>Нет</v>
      </c>
      <c r="N631" s="6" t="str">
        <f>IFERROR(__xludf.DUMMYFUNCTION("""COMPUTED_VALUE"""),"Безопасность, освещенность, экология, дороги, приемлемые цены")</f>
        <v>Безопасность, освещенность, экология, дороги, приемлемые цены</v>
      </c>
      <c r="O631" s="6" t="str">
        <f>IFERROR(__xludf.DUMMYFUNCTION("""COMPUTED_VALUE"""),"Дороги")</f>
        <v>Дороги</v>
      </c>
      <c r="P631" s="6" t="str">
        <f>IFERROR(__xludf.DUMMYFUNCTION("""COMPUTED_VALUE"""),"ТВ, соц сети инстаграм, вк, одноклассники")</f>
        <v>ТВ, соц сети инстаграм, вк, одноклассники</v>
      </c>
      <c r="Q631"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v>
      </c>
      <c r="R631" s="6" t="str">
        <f>IFERROR(__xludf.DUMMYFUNCTION("""COMPUTED_VALUE"""),"День семьи и детей")</f>
        <v>День семьи и детей</v>
      </c>
      <c r="S631"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Одноклассники")</f>
        <v>Писал и расклеивал объявления/афиши, Через социальные сети (Какие? Укажите в графе другое), Делал рассылку по электронной почте, Одноклассники</v>
      </c>
      <c r="T631" s="6" t="str">
        <f>IFERROR(__xludf.DUMMYFUNCTION("""COMPUTED_VALUE"""),"историческими и культурными достопримечательностями")</f>
        <v>историческими и культурными достопримечательностями</v>
      </c>
      <c r="U631" s="6" t="str">
        <f>IFERROR(__xludf.DUMMYFUNCTION("""COMPUTED_VALUE"""),"Химик")</f>
        <v>Химик</v>
      </c>
      <c r="V631" s="6" t="str">
        <f>IFERROR(__xludf.DUMMYFUNCTION("""COMPUTED_VALUE"""),"Многое")</f>
        <v>Многое</v>
      </c>
      <c r="W631" s="6" t="str">
        <f>IFERROR(__xludf.DUMMYFUNCTION("""COMPUTED_VALUE"""),"Гостеприимство, дружелюбие")</f>
        <v>Гостеприимство, дружелюбие</v>
      </c>
      <c r="X631" s="6" t="str">
        <f>IFERROR(__xludf.DUMMYFUNCTION("""COMPUTED_VALUE"""),"Центр")</f>
        <v>Центр</v>
      </c>
      <c r="Y631" s="6" t="str">
        <f>IFERROR(__xludf.DUMMYFUNCTION("""COMPUTED_VALUE"""),"В 1932 году происходит важное для горожан событие – город переименовывают в Кемерово. Кроме того, он превращается в координирующий центр нового промышленного района")</f>
        <v>В 1932 году происходит важное для горожан событие – город переименовывают в Кемерово. Кроме того, он превращается в координирующий центр нового промышленного района</v>
      </c>
      <c r="Z631" s="6" t="str">
        <f>IFERROR(__xludf.DUMMYFUNCTION("""COMPUTED_VALUE"""),"Нет")</f>
        <v>Нет</v>
      </c>
      <c r="AA631" s="6" t="str">
        <f>IFERROR(__xludf.DUMMYFUNCTION("""COMPUTED_VALUE"""),"Нет")</f>
        <v>Нет</v>
      </c>
      <c r="AB631" s="6" t="str">
        <f>IFERROR(__xludf.DUMMYFUNCTION("""COMPUTED_VALUE"""),"Всего хватает")</f>
        <v>Всего хватает</v>
      </c>
      <c r="AC631" s="6" t="str">
        <f>IFERROR(__xludf.DUMMYFUNCTION("""COMPUTED_VALUE"""),"Для детей побольше мест")</f>
        <v>Для детей побольше мест</v>
      </c>
      <c r="AD63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631" s="6" t="str">
        <f>IFERROR(__xludf.DUMMYFUNCTION("""COMPUTED_VALUE"""),"Женский")</f>
        <v>Женский</v>
      </c>
      <c r="AF631" s="6" t="str">
        <f>IFERROR(__xludf.DUMMYFUNCTION("""COMPUTED_VALUE"""),"30-44")</f>
        <v>30-44</v>
      </c>
      <c r="AG631" s="6"/>
      <c r="AH631" s="6"/>
      <c r="AI631" s="6"/>
      <c r="AJ631" s="6"/>
      <c r="AK631" s="6"/>
      <c r="AL631" s="6"/>
      <c r="AM631" s="6"/>
    </row>
    <row r="632">
      <c r="A632" s="6">
        <v>631.0</v>
      </c>
      <c r="B632" s="6" t="str">
        <f>IFERROR(__xludf.DUMMYFUNCTION("""COMPUTED_VALUE"""),"Психолог ")</f>
        <v>Психолог </v>
      </c>
      <c r="C632" s="6" t="str">
        <f>IFERROR(__xludf.DUMMYFUNCTION("""COMPUTED_VALUE"""),"Поездки по городам России (сейчас) и мира, компьютерные игры, хоровое пение, волонтерская деятельность, иногда вязание, вышивание, готовка")</f>
        <v>Поездки по городам России (сейчас) и мира, компьютерные игры, хоровое пение, волонтерская деятельность, иногда вязание, вышивание, готовка</v>
      </c>
      <c r="D632" s="6" t="str">
        <f>IFERROR(__xludf.DUMMYFUNCTION("""COMPUTED_VALUE"""),"Ленинский район, самая окраина города на пересечении Химиков и Комсомольского, ""новые синие дома на Комсомольском"" ")</f>
        <v>Ленинский район, самая окраина города на пересечении Химиков и Комсомольского, "новые синие дома на Комсомольском" </v>
      </c>
      <c r="E632" s="6" t="str">
        <f>IFERROR(__xludf.DUMMYFUNCTION("""COMPUTED_VALUE"""),"2 променад, бульвар Строителей, стоматология")</f>
        <v>2 променад, бульвар Строителей, стоматология</v>
      </c>
      <c r="F632" s="6" t="str">
        <f>IFERROR(__xludf.DUMMYFUNCTION("""COMPUTED_VALUE"""),"Живу здесь с рождения")</f>
        <v>Живу здесь с рождения</v>
      </c>
      <c r="G632" s="6" t="str">
        <f>IFERROR(__xludf.DUMMYFUNCTION("""COMPUTED_VALUE"""),"Чаще всего в центр, иногда гуляю по Ленинградскому, если хочется просто пройтись, или по Ленина из центра в Ленинский район. Также бываю примерно раз в год во всех районах города: на радуге, в кировском, на фпк, на южном, в предзаводском, в лесной поляне,"&amp;" в бору")</f>
        <v>Чаще всего в центр, иногда гуляю по Ленинградскому, если хочется просто пройтись, или по Ленина из центра в Ленинский район. Также бываю примерно раз в год во всех районах города: на радуге, в кировском, на фпк, на южном, в предзаводском, в лесной поляне, в бору</v>
      </c>
      <c r="H632" s="6" t="str">
        <f>IFERROR(__xludf.DUMMYFUNCTION("""COMPUTED_VALUE"""),"Совок, неудавшееся светлое будущее, хвойный лес, тепло-коричневый (как дома на пр Советском), туман")</f>
        <v>Совок, неудавшееся светлое будущее, хвойный лес, тепло-коричневый (как дома на пр Советском), туман</v>
      </c>
      <c r="I632" s="6" t="str">
        <f>IFERROR(__xludf.DUMMYFUNCTION("""COMPUTED_VALUE"""),"Михайло Волков, Алексей Леонов, Подгорбунский, ")</f>
        <v>Михайло Волков, Алексей Леонов, Подгорбунский, </v>
      </c>
      <c r="J632" s="6" t="str">
        <f>IFERROR(__xludf.DUMMYFUNCTION("""COMPUTED_VALUE"""),"Владимир Сухацкий, Ирина Захарова, Ольга Васильева, ")</f>
        <v>Владимир Сухацкий, Ирина Захарова, Ольга Васильева, </v>
      </c>
      <c r="K632" s="6" t="str">
        <f>IFERROR(__xludf.DUMMYFUNCTION("""COMPUTED_VALUE"""),"Центр города, дома Мая, набережная, вид с Красной Горки, вид с кировской набережной, бор, район коксохимзавода и вообще заводские пейзажи, полуразобранный капитальный мост, скульптуру облако в луже возле театра на арочной, дома террасы в Щегловском переул"&amp;"ке, ботанический сад в шалготарьяне ")</f>
        <v>Центр города, дома Мая, набережная, вид с Красной Горки, вид с кировской набережной, бор, район коксохимзавода и вообще заводские пейзажи, полуразобранный капитальный мост, скульптуру облако в луже возле театра на арочной, дома террасы в Щегловском переулке, ботанический сад в шалготарьяне </v>
      </c>
      <c r="L632" s="6" t="str">
        <f>IFERROR(__xludf.DUMMYFUNCTION("""COMPUTED_VALUE"""),"Песня человек из кемерово, больше ничего не слышала")</f>
        <v>Песня человек из кемерово, больше ничего не слышала</v>
      </c>
      <c r="M632" s="6" t="str">
        <f>IFERROR(__xludf.DUMMYFUNCTION("""COMPUTED_VALUE"""),"Мультифора, колба, углярка, стайка, вехотка, шанхай (шалготарьян), китайская стена (дом по Ленина 164), дубльгис, рУдник, ")</f>
        <v>Мультифора, колба, углярка, стайка, вехотка, шанхай (шалготарьян), китайская стена (дом по Ленина 164), дубльгис, рУдник, </v>
      </c>
      <c r="N632" s="6" t="str">
        <f>IFERROR(__xludf.DUMMYFUNCTION("""COMPUTED_VALUE"""),"Транспортная доступность внутри города и возможность недорого отправиться в путешествие, чистота!!!, большое количество интересных мест, которые можно посетить в свободное время, обустроенные для взрослых места отдыха около домов")</f>
        <v>Транспортная доступность внутри города и возможность недорого отправиться в путешествие, чистота!!!, большое количество интересных мест, которые можно посетить в свободное время, обустроенные для взрослых места отдыха около домов</v>
      </c>
      <c r="O632" s="6" t="str">
        <f>IFERROR(__xludf.DUMMYFUNCTION("""COMPUTED_VALUE"""),"Чистота пешеходных и автомобильных дорог, чистота воздуха, транспортная доступность разных частей города (а не только центрального района) ")</f>
        <v>Чистота пешеходных и автомобильных дорог, чистота воздуха, транспортная доступность разных частей города (а не только центрального района) </v>
      </c>
      <c r="P632" s="6" t="str">
        <f>IFERROR(__xludf.DUMMYFUNCTION("""COMPUTED_VALUE"""),"Вконтакте, советы друзей, инстаграм")</f>
        <v>Вконтакте, советы друзей, инстаграм</v>
      </c>
      <c r="Q632" s="6" t="str">
        <f>IFERROR(__xludf.DUMMYFUNCTION("""COMPUTED_VALUE"""),"куда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 С учеными о совершенных открытиях и исследованиях")</f>
        <v>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 С учеными о совершенных открытиях и исследованиях</v>
      </c>
      <c r="R632" s="6" t="str">
        <f>IFERROR(__xludf.DUMMYFUNCTION("""COMPUTED_VALUE"""),"День города - тепло и можно погулять по перекрытым улицам без излишней официозности. Фестиваль рок культуры в позапрошлом году. Фестиваль детализация несколько лет назад. В других городских праздниках не участвую. ")</f>
        <v>День города - тепло и можно погулять по перекрытым улицам без излишней официозности. Фестиваль рок культуры в позапрошлом году. Фестиваль детализация несколько лет назад. В других городских праздниках не участвую. </v>
      </c>
      <c r="S632" s="6" t="str">
        <f>IFERROR(__xludf.DUMMYFUNCTION("""COMPUTED_VALUE"""),"Через социальные сети (Какие? Укажите в графе другое), Делал рассылку по электронной почте, Вконтакте, яндекс район")</f>
        <v>Через социальные сети (Какие? Укажите в графе другое), Делал рассылку по электронной почте, Вконтакте, яндекс район</v>
      </c>
      <c r="T632" s="6" t="str">
        <f>IFERROR(__xludf.DUMMYFUNCTION("""COMPUTED_VALUE"""),"История АИК Кузбасс, сохранившийся центр в стиле советского провинциального города  50х годов, красивая природа в округе, палеонтологические находки")</f>
        <v>История АИК Кузбасс, сохранившийся центр в стиле советского провинциального города  50х годов, красивая природа в округе, палеонтологические находки</v>
      </c>
      <c r="U632" s="6" t="str">
        <f>IFERROR(__xludf.DUMMYFUNCTION("""COMPUTED_VALUE"""),"Центральный район от Кузнецкого до Искитимки")</f>
        <v>Центральный район от Кузнецкого до Искитимки</v>
      </c>
      <c r="V632" s="6" t="str">
        <f>IFERROR(__xludf.DUMMYFUNCTION("""COMPUTED_VALUE"""),"Делали, чтобы гордиться - немногое. Строили центр города, приезжали на работы в аик, возможно кто то работал на заводах ради этого")</f>
        <v>Делали, чтобы гордиться - немногое. Строили центр города, приезжали на работы в аик, возможно кто то работал на заводах ради этого</v>
      </c>
      <c r="W632" s="6" t="str">
        <f>IFERROR(__xludf.DUMMYFUNCTION("""COMPUTED_VALUE"""),"Нормальные люди, довольно доброжелательные и доверчивые, не любят свой город, не жадные, любят природу")</f>
        <v>Нормальные люди, довольно доброжелательные и доверчивые, не любят свой город, не жадные, любят природу</v>
      </c>
      <c r="X632" s="6" t="str">
        <f>IFERROR(__xludf.DUMMYFUNCTION("""COMPUTED_VALUE"""),"Центр города, по Кузнецкому мосту на правый берег, бор, памятник шахтерам, красная Горка ")</f>
        <v>Центр города, по Кузнецкому мосту на правый берег, бор, памятник шахтерам, красная Горка </v>
      </c>
      <c r="Y632" s="6" t="str">
        <f>IFERROR(__xludf.DUMMYFUNCTION("""COMPUTED_VALUE"""),"Создание и работа АИК и приезд иностранных специалистов ")</f>
        <v>Создание и работа АИК и приезд иностранных специалистов </v>
      </c>
      <c r="Z632" s="6" t="str">
        <f>IFERROR(__xludf.DUMMYFUNCTION("""COMPUTED_VALUE"""),"Фестиваль рок музыки в 2019 году, экскурсии по городу от ""Внутри и снаружи"", открытие авиасообщения с другими городами России, кроме Москвы")</f>
        <v>Фестиваль рок музыки в 2019 году, экскурсии по городу от "Внутри и снаружи", открытие авиасообщения с другими городами России, кроме Москвы</v>
      </c>
      <c r="AA632" s="6" t="str">
        <f>IFERROR(__xludf.DUMMYFUNCTION("""COMPUTED_VALUE"""),"Планы постройки статуи в бору, Зимняя вишня, планы постройки разреза у лесной поляны, нереалистично высокие результаты на голосовании, строительство кафе на набережной около Орбиты")</f>
        <v>Планы постройки статуи в бору, Зимняя вишня, планы постройки разреза у лесной поляны, нереалистично высокие результаты на голосовании, строительство кафе на набережной около Орбиты</v>
      </c>
      <c r="AB632" s="6" t="str">
        <f>IFERROR(__xludf.DUMMYFUNCTION("""COMPUTED_VALUE"""),"Научных сообществ, сообщества рационального мышления, открытого обсуждения архитектурных и градостроительных планов")</f>
        <v>Научных сообществ, сообщества рационального мышления, открытого обсуждения архитектурных и градостроительных планов</v>
      </c>
      <c r="AC632" s="6" t="str">
        <f>IFERROR(__xludf.DUMMYFUNCTION("""COMPUTED_VALUE"""),"Масштабные фестивали типа рок феста или детализации")</f>
        <v>Масштабные фестивали типа рок феста или детализации</v>
      </c>
      <c r="AD63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32" s="6" t="str">
        <f>IFERROR(__xludf.DUMMYFUNCTION("""COMPUTED_VALUE"""),"Женский")</f>
        <v>Женский</v>
      </c>
      <c r="AF632" s="6" t="str">
        <f>IFERROR(__xludf.DUMMYFUNCTION("""COMPUTED_VALUE"""),"18-29")</f>
        <v>18-29</v>
      </c>
      <c r="AG632" s="6"/>
      <c r="AH632" s="6"/>
      <c r="AI632" s="6"/>
      <c r="AJ632" s="6"/>
      <c r="AK632" s="6"/>
      <c r="AL632" s="6"/>
      <c r="AM632" s="6"/>
    </row>
    <row r="633">
      <c r="A633" s="6">
        <v>632.0</v>
      </c>
      <c r="B633" s="6" t="str">
        <f>IFERROR(__xludf.DUMMYFUNCTION("""COMPUTED_VALUE"""),"Работа в компании GooLine")</f>
        <v>Работа в компании GooLine</v>
      </c>
      <c r="C633" s="6" t="str">
        <f>IFERROR(__xludf.DUMMYFUNCTION("""COMPUTED_VALUE"""),"Спорт")</f>
        <v>Спорт</v>
      </c>
      <c r="D633" s="6" t="str">
        <f>IFERROR(__xludf.DUMMYFUNCTION("""COMPUTED_VALUE"""),"в Ленинском")</f>
        <v>в Ленинском</v>
      </c>
      <c r="E633" s="6" t="str">
        <f>IFERROR(__xludf.DUMMYFUNCTION("""COMPUTED_VALUE"""),"Бульвар Строителей")</f>
        <v>Бульвар Строителей</v>
      </c>
      <c r="F633"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633" s="6" t="str">
        <f>IFERROR(__xludf.DUMMYFUNCTION("""COMPUTED_VALUE"""),"ул. Весенняя")</f>
        <v>ул. Весенняя</v>
      </c>
      <c r="H633" s="6" t="str">
        <f>IFERROR(__xludf.DUMMYFUNCTION("""COMPUTED_VALUE"""),"Драма, Шанхай, Весенька, Ульта, Кольцо")</f>
        <v>Драма, Шанхай, Весенька, Ульта, Кольцо</v>
      </c>
      <c r="I633" s="6" t="str">
        <f>IFERROR(__xludf.DUMMYFUNCTION("""COMPUTED_VALUE"""),"Федоров В.С., М. Волков, М.А. Подгорбунский")</f>
        <v>Федоров В.С., М. Волков, М.А. Подгорбунский</v>
      </c>
      <c r="J633" s="6" t="str">
        <f>IFERROR(__xludf.DUMMYFUNCTION("""COMPUTED_VALUE"""),"М.В. Михайлов")</f>
        <v>М.В. Михайлов</v>
      </c>
      <c r="K633" s="6" t="str">
        <f>IFERROR(__xludf.DUMMYFUNCTION("""COMPUTED_VALUE"""),"Парк Победы, Ульта, Сосновый бор, Бомбик ")</f>
        <v>Парк Победы, Ульта, Сосновый бор, Бомбик </v>
      </c>
      <c r="L633" s="6" t="str">
        <f>IFERROR(__xludf.DUMMYFUNCTION("""COMPUTED_VALUE"""),"Не было бы счастья, да несчастье помогло")</f>
        <v>Не было бы счастья, да несчастье помогло</v>
      </c>
      <c r="M633" s="6" t="str">
        <f>IFERROR(__xludf.DUMMYFUNCTION("""COMPUTED_VALUE"""),"""двинем в ульт""")</f>
        <v>"двинем в ульт"</v>
      </c>
      <c r="N633" s="6" t="str">
        <f>IFERROR(__xludf.DUMMYFUNCTION("""COMPUTED_VALUE"""),"Масштаб, инфраструктура, наличие производств, менталитет города")</f>
        <v>Масштаб, инфраструктура, наличие производств, менталитет города</v>
      </c>
      <c r="O633" s="6" t="str">
        <f>IFERROR(__xludf.DUMMYFUNCTION("""COMPUTED_VALUE"""),"Систему руководства")</f>
        <v>Систему руководства</v>
      </c>
      <c r="P633" s="6" t="str">
        <f>IFERROR(__xludf.DUMMYFUNCTION("""COMPUTED_VALUE"""),"Новости и сети")</f>
        <v>Новости и сети</v>
      </c>
      <c r="Q633"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новости про новые профессии/куда поступать/"&amp;"вакансии,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633" s="6" t="str">
        <f>IFERROR(__xludf.DUMMYFUNCTION("""COMPUTED_VALUE"""),"День победы")</f>
        <v>День победы</v>
      </c>
      <c r="S633" s="6" t="str">
        <f>IFERROR(__xludf.DUMMYFUNCTION("""COMPUTED_VALUE"""),"Нет, не приходилось")</f>
        <v>Нет, не приходилось</v>
      </c>
      <c r="T633" s="6" t="str">
        <f>IFERROR(__xludf.DUMMYFUNCTION("""COMPUTED_VALUE"""),"Его жители")</f>
        <v>Его жители</v>
      </c>
      <c r="U633" s="6" t="str">
        <f>IFERROR(__xludf.DUMMYFUNCTION("""COMPUTED_VALUE"""),"Площадь советов")</f>
        <v>Площадь советов</v>
      </c>
      <c r="V633" s="6" t="str">
        <f>IFERROR(__xludf.DUMMYFUNCTION("""COMPUTED_VALUE"""),"Очень много трудились на благо родины")</f>
        <v>Очень много трудились на благо родины</v>
      </c>
      <c r="W633" s="6" t="str">
        <f>IFERROR(__xludf.DUMMYFUNCTION("""COMPUTED_VALUE"""),"Добрые, справедливые, немногословные, сильные")</f>
        <v>Добрые, справедливые, немногословные, сильные</v>
      </c>
      <c r="X633" s="6" t="str">
        <f>IFERROR(__xludf.DUMMYFUNCTION("""COMPUTED_VALUE"""),"Набережная")</f>
        <v>Набережная</v>
      </c>
      <c r="Y633" s="6" t="str">
        <f>IFERROR(__xludf.DUMMYFUNCTION("""COMPUTED_VALUE"""),"Чемпионат мира по хоккею с мячом")</f>
        <v>Чемпионат мира по хоккею с мячом</v>
      </c>
      <c r="Z633" s="6" t="str">
        <f>IFERROR(__xludf.DUMMYFUNCTION("""COMPUTED_VALUE"""),"День шахтера два года назад")</f>
        <v>День шахтера два года назад</v>
      </c>
      <c r="AA633" s="6" t="str">
        <f>IFERROR(__xludf.DUMMYFUNCTION("""COMPUTED_VALUE"""),"не было")</f>
        <v>не было</v>
      </c>
      <c r="AB633" s="6" t="str">
        <f>IFERROR(__xludf.DUMMYFUNCTION("""COMPUTED_VALUE"""),"нет инфы")</f>
        <v>нет инфы</v>
      </c>
      <c r="AC633" s="6" t="str">
        <f>IFERROR(__xludf.DUMMYFUNCTION("""COMPUTED_VALUE"""),"Гастроли театров")</f>
        <v>Гастроли театров</v>
      </c>
      <c r="AD633"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"&amp;"приглашения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633" s="6" t="str">
        <f>IFERROR(__xludf.DUMMYFUNCTION("""COMPUTED_VALUE"""),"Мужской")</f>
        <v>Мужской</v>
      </c>
      <c r="AF633" s="6" t="str">
        <f>IFERROR(__xludf.DUMMYFUNCTION("""COMPUTED_VALUE"""),"30-44")</f>
        <v>30-44</v>
      </c>
      <c r="AG633" s="6"/>
      <c r="AH633" s="6"/>
      <c r="AI633" s="6"/>
      <c r="AJ633" s="6"/>
      <c r="AK633" s="6"/>
      <c r="AL633" s="6"/>
      <c r="AM633" s="6"/>
    </row>
    <row r="634">
      <c r="A634" s="6">
        <v>633.0</v>
      </c>
      <c r="B634" s="6" t="str">
        <f>IFERROR(__xludf.DUMMYFUNCTION("""COMPUTED_VALUE"""),"Студент ")</f>
        <v>Студент </v>
      </c>
      <c r="C634" s="6" t="str">
        <f>IFERROR(__xludf.DUMMYFUNCTION("""COMPUTED_VALUE"""),"Нет")</f>
        <v>Нет</v>
      </c>
      <c r="D634" s="6" t="str">
        <f>IFERROR(__xludf.DUMMYFUNCTION("""COMPUTED_VALUE"""),"Заводской ")</f>
        <v>Заводской </v>
      </c>
      <c r="E634" s="6" t="str">
        <f>IFERROR(__xludf.DUMMYFUNCTION("""COMPUTED_VALUE"""),"Никаких")</f>
        <v>Никаких</v>
      </c>
      <c r="F634" s="6" t="str">
        <f>IFERROR(__xludf.DUMMYFUNCTION("""COMPUTED_VALUE"""),"Полысаево ")</f>
        <v>Полысаево </v>
      </c>
      <c r="G634" s="6" t="str">
        <f>IFERROR(__xludf.DUMMYFUNCTION("""COMPUTED_VALUE"""),"Никуда ")</f>
        <v>Никуда </v>
      </c>
      <c r="H634" s="6" t="str">
        <f>IFERROR(__xludf.DUMMYFUNCTION("""COMPUTED_VALUE"""),"Нет")</f>
        <v>Нет</v>
      </c>
      <c r="I634" s="6" t="str">
        <f>IFERROR(__xludf.DUMMYFUNCTION("""COMPUTED_VALUE"""),"Нет")</f>
        <v>Нет</v>
      </c>
      <c r="J634" s="6" t="str">
        <f>IFERROR(__xludf.DUMMYFUNCTION("""COMPUTED_VALUE"""),"Нет")</f>
        <v>Нет</v>
      </c>
      <c r="K634" s="6" t="str">
        <f>IFERROR(__xludf.DUMMYFUNCTION("""COMPUTED_VALUE"""),"Нет ")</f>
        <v>Нет </v>
      </c>
      <c r="L634" s="6" t="str">
        <f>IFERROR(__xludf.DUMMYFUNCTION("""COMPUTED_VALUE"""),"Нет")</f>
        <v>Нет</v>
      </c>
      <c r="M634" s="6" t="str">
        <f>IFERROR(__xludf.DUMMYFUNCTION("""COMPUTED_VALUE"""),"Нет")</f>
        <v>Нет</v>
      </c>
      <c r="N634" s="6" t="str">
        <f>IFERROR(__xludf.DUMMYFUNCTION("""COMPUTED_VALUE"""),"Горячая вода в общежитии номер 5 ")</f>
        <v>Горячая вода в общежитии номер 5 </v>
      </c>
      <c r="O634" s="6" t="str">
        <f>IFERROR(__xludf.DUMMYFUNCTION("""COMPUTED_VALUE"""),"Нужно отремонтировать общежитие номер 5 (Мичурина 57А), горячей воды нет никогда ")</f>
        <v>Нужно отремонтировать общежитие номер 5 (Мичурина 57А), горячей воды нет никогда </v>
      </c>
      <c r="P634" s="6" t="str">
        <f>IFERROR(__xludf.DUMMYFUNCTION("""COMPUTED_VALUE"""),"Инстаграмм ")</f>
        <v>Инстаграмм </v>
      </c>
      <c r="Q634" s="6" t="str">
        <f>IFERROR(__xludf.DUMMYFUNCTION("""COMPUTED_VALUE"""),"криминальные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f>
        <v>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v>
      </c>
      <c r="R634" s="6" t="str">
        <f>IFERROR(__xludf.DUMMYFUNCTION("""COMPUTED_VALUE"""),"9 мая ")</f>
        <v>9 мая </v>
      </c>
      <c r="S634" s="6" t="str">
        <f>IFERROR(__xludf.DUMMYFUNCTION("""COMPUTED_VALUE"""),"Нет, не приходилось")</f>
        <v>Нет, не приходилось</v>
      </c>
      <c r="T634" s="6" t="str">
        <f>IFERROR(__xludf.DUMMYFUNCTION("""COMPUTED_VALUE"""),"Не знаю ")</f>
        <v>Не знаю </v>
      </c>
      <c r="U634" s="6" t="str">
        <f>IFERROR(__xludf.DUMMYFUNCTION("""COMPUTED_VALUE"""),"Не знаю ")</f>
        <v>Не знаю </v>
      </c>
      <c r="V634" s="6" t="str">
        <f>IFERROR(__xludf.DUMMYFUNCTION("""COMPUTED_VALUE"""),"Не знаю ")</f>
        <v>Не знаю </v>
      </c>
      <c r="W634" s="6" t="str">
        <f>IFERROR(__xludf.DUMMYFUNCTION("""COMPUTED_VALUE"""),"Они моются в горячей воде ")</f>
        <v>Они моются в горячей воде </v>
      </c>
      <c r="X634" s="6" t="str">
        <f>IFERROR(__xludf.DUMMYFUNCTION("""COMPUTED_VALUE"""),"От Мичурина 57А до второго корпуса кузгту ")</f>
        <v>От Мичурина 57А до второго корпуса кузгту </v>
      </c>
      <c r="Y634" s="6" t="str">
        <f>IFERROR(__xludf.DUMMYFUNCTION("""COMPUTED_VALUE"""),"Не знаю ")</f>
        <v>Не знаю </v>
      </c>
      <c r="Z634" s="6" t="str">
        <f>IFERROR(__xludf.DUMMYFUNCTION("""COMPUTED_VALUE"""),"Никаких")</f>
        <v>Никаких</v>
      </c>
      <c r="AA634" s="6" t="str">
        <f>IFERROR(__xludf.DUMMYFUNCTION("""COMPUTED_VALUE"""),"Вода, ее просто нет ")</f>
        <v>Вода, ее просто нет </v>
      </c>
      <c r="AB634" s="6" t="str">
        <f>IFERROR(__xludf.DUMMYFUNCTION("""COMPUTED_VALUE"""),"Не знаю ")</f>
        <v>Не знаю </v>
      </c>
      <c r="AC634" s="6" t="str">
        <f>IFERROR(__xludf.DUMMYFUNCTION("""COMPUTED_VALUE"""),"Не знаю ")</f>
        <v>Не знаю </v>
      </c>
      <c r="AD63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634" s="6" t="str">
        <f>IFERROR(__xludf.DUMMYFUNCTION("""COMPUTED_VALUE"""),"Женский")</f>
        <v>Женский</v>
      </c>
      <c r="AF634" s="6" t="str">
        <f>IFERROR(__xludf.DUMMYFUNCTION("""COMPUTED_VALUE"""),"18-29")</f>
        <v>18-29</v>
      </c>
      <c r="AG634" s="6"/>
      <c r="AH634" s="6"/>
      <c r="AI634" s="6"/>
      <c r="AJ634" s="6"/>
      <c r="AK634" s="6"/>
      <c r="AL634" s="6"/>
      <c r="AM634" s="6"/>
    </row>
    <row r="635">
      <c r="A635" s="6">
        <v>634.0</v>
      </c>
      <c r="B635" s="6" t="str">
        <f>IFERROR(__xludf.DUMMYFUNCTION("""COMPUTED_VALUE"""),"госслужащий")</f>
        <v>госслужащий</v>
      </c>
      <c r="C635" s="6" t="str">
        <f>IFERROR(__xludf.DUMMYFUNCTION("""COMPUTED_VALUE"""),"чтение")</f>
        <v>чтение</v>
      </c>
      <c r="D635" s="6" t="str">
        <f>IFERROR(__xludf.DUMMYFUNCTION("""COMPUTED_VALUE"""),"в Ленинском, спальный")</f>
        <v>в Ленинском, спальный</v>
      </c>
      <c r="E635" s="6" t="str">
        <f>IFERROR(__xludf.DUMMYFUNCTION("""COMPUTED_VALUE"""),"Троицкий храм")</f>
        <v>Троицкий храм</v>
      </c>
      <c r="F635" s="6" t="str">
        <f>IFERROR(__xludf.DUMMYFUNCTION("""COMPUTED_VALUE"""),"Переехал сюда из другого места (откуда? укажите в графе другое), Семипалатинск")</f>
        <v>Переехал сюда из другого места (откуда? укажите в графе другое), Семипалатинск</v>
      </c>
      <c r="G635" s="6" t="str">
        <f>IFERROR(__xludf.DUMMYFUNCTION("""COMPUTED_VALUE"""),"Работа-дом-храм")</f>
        <v>Работа-дом-храм</v>
      </c>
      <c r="H635" s="6" t="str">
        <f>IFERROR(__xludf.DUMMYFUNCTION("""COMPUTED_VALUE"""),"Парк Матери, кинотеатр Юбилейный, Троицкий храм")</f>
        <v>Парк Матери, кинотеатр Юбилейный, Троицкий храм</v>
      </c>
      <c r="I635" s="6" t="str">
        <f>IFERROR(__xludf.DUMMYFUNCTION("""COMPUTED_VALUE"""),"Михайло Волков")</f>
        <v>Михайло Волков</v>
      </c>
      <c r="J635" s="6" t="str">
        <f>IFERROR(__xludf.DUMMYFUNCTION("""COMPUTED_VALUE"""),"не знаю таких")</f>
        <v>не знаю таких</v>
      </c>
      <c r="K635" s="6" t="str">
        <f>IFERROR(__xludf.DUMMYFUNCTION("""COMPUTED_VALUE"""),"Памятник М. Волкову, аэропорт им. Леонова")</f>
        <v>Памятник М. Волкову, аэропорт им. Леонова</v>
      </c>
      <c r="L635" s="6" t="str">
        <f>IFERROR(__xludf.DUMMYFUNCTION("""COMPUTED_VALUE"""),"не знаю")</f>
        <v>не знаю</v>
      </c>
      <c r="M635" s="6" t="str">
        <f>IFERROR(__xludf.DUMMYFUNCTION("""COMPUTED_VALUE"""),"не знаю")</f>
        <v>не знаю</v>
      </c>
      <c r="N635" s="6" t="str">
        <f>IFERROR(__xludf.DUMMYFUNCTION("""COMPUTED_VALUE"""),"не знаю")</f>
        <v>не знаю</v>
      </c>
      <c r="O635" s="6" t="str">
        <f>IFERROR(__xludf.DUMMYFUNCTION("""COMPUTED_VALUE"""),"сделать нормальные детские площадки")</f>
        <v>сделать нормальные детские площадки</v>
      </c>
      <c r="P635" s="6" t="str">
        <f>IFERROR(__xludf.DUMMYFUNCTION("""COMPUTED_VALUE"""),"от подруги")</f>
        <v>от подруги</v>
      </c>
      <c r="Q635" s="6" t="str">
        <f>IFERROR(__xludf.DUMMYFUNCTION("""COMPUTED_VALUE"""),"городская афиша (кино/театр/концерты), культурные новинки (что почитать/что послушать), интервью с местными политиками")</f>
        <v>городская афиша (кино/театр/концерты), культурные новинки (что почитать/что послушать), интервью с местными политиками</v>
      </c>
      <c r="R635" s="6" t="str">
        <f>IFERROR(__xludf.DUMMYFUNCTION("""COMPUTED_VALUE"""),"9 мая")</f>
        <v>9 мая</v>
      </c>
      <c r="S635" s="6" t="str">
        <f>IFERROR(__xludf.DUMMYFUNCTION("""COMPUTED_VALUE"""),"Нет, не приходилось")</f>
        <v>Нет, не приходилось</v>
      </c>
      <c r="T635" s="6" t="str">
        <f>IFERROR(__xludf.DUMMYFUNCTION("""COMPUTED_VALUE"""),"не знаю")</f>
        <v>не знаю</v>
      </c>
      <c r="U635" s="6" t="str">
        <f>IFERROR(__xludf.DUMMYFUNCTION("""COMPUTED_VALUE"""),"Улица Весенняя")</f>
        <v>Улица Весенняя</v>
      </c>
      <c r="V635" s="6" t="str">
        <f>IFERROR(__xludf.DUMMYFUNCTION("""COMPUTED_VALUE"""),"не знаю")</f>
        <v>не знаю</v>
      </c>
      <c r="W635" s="6" t="str">
        <f>IFERROR(__xludf.DUMMYFUNCTION("""COMPUTED_VALUE"""),"обычные люди")</f>
        <v>обычные люди</v>
      </c>
      <c r="X635" s="6" t="str">
        <f>IFERROR(__xludf.DUMMYFUNCTION("""COMPUTED_VALUE"""),"От бульварного кольца до Красной горки")</f>
        <v>От бульварного кольца до Красной горки</v>
      </c>
      <c r="Y635" s="6" t="str">
        <f>IFERROR(__xludf.DUMMYFUNCTION("""COMPUTED_VALUE"""),"не знаю")</f>
        <v>не знаю</v>
      </c>
      <c r="Z635" s="6" t="str">
        <f>IFERROR(__xludf.DUMMYFUNCTION("""COMPUTED_VALUE"""),"не знаю")</f>
        <v>не знаю</v>
      </c>
      <c r="AA635" s="6" t="str">
        <f>IFERROR(__xludf.DUMMYFUNCTION("""COMPUTED_VALUE"""),"не знаю")</f>
        <v>не знаю</v>
      </c>
      <c r="AB635" s="6" t="str">
        <f>IFERROR(__xludf.DUMMYFUNCTION("""COMPUTED_VALUE"""),"не знаю")</f>
        <v>не знаю</v>
      </c>
      <c r="AC635" s="6" t="str">
        <f>IFERROR(__xludf.DUMMYFUNCTION("""COMPUTED_VALUE"""),"не знаю")</f>
        <v>не знаю</v>
      </c>
      <c r="AD635" s="6" t="str">
        <f>IFERROR(__xludf.DUMMYFUNCTION("""COMPUTED_VALUE"""),"Не готов принимать личное участие (укажите, пожалуйста, причину в поле «Другое»), человек стеснительный")</f>
        <v>Не готов принимать личное участие (укажите, пожалуйста, причину в поле «Другое»), человек стеснительный</v>
      </c>
      <c r="AE635" s="6" t="str">
        <f>IFERROR(__xludf.DUMMYFUNCTION("""COMPUTED_VALUE"""),"Женский")</f>
        <v>Женский</v>
      </c>
      <c r="AF635" s="6" t="str">
        <f>IFERROR(__xludf.DUMMYFUNCTION("""COMPUTED_VALUE"""),"старше 55")</f>
        <v>старше 55</v>
      </c>
      <c r="AG635" s="6"/>
      <c r="AH635" s="6"/>
      <c r="AI635" s="6"/>
      <c r="AJ635" s="6"/>
      <c r="AK635" s="6"/>
      <c r="AL635" s="6"/>
      <c r="AM635" s="6"/>
    </row>
    <row r="636">
      <c r="A636" s="6">
        <v>635.0</v>
      </c>
      <c r="B636" s="6" t="str">
        <f>IFERROR(__xludf.DUMMYFUNCTION("""COMPUTED_VALUE"""),"библиотекарь")</f>
        <v>библиотекарь</v>
      </c>
      <c r="C636" s="6" t="str">
        <f>IFERROR(__xludf.DUMMYFUNCTION("""COMPUTED_VALUE"""),"чтение, кино")</f>
        <v>чтение, кино</v>
      </c>
      <c r="D636" s="6" t="str">
        <f>IFERROR(__xludf.DUMMYFUNCTION("""COMPUTED_VALUE"""),"Ленинский")</f>
        <v>Ленинский</v>
      </c>
      <c r="E636" s="6" t="str">
        <f>IFERROR(__xludf.DUMMYFUNCTION("""COMPUTED_VALUE"""),"Парк на б-ре Строителей, Тулеевский парк")</f>
        <v>Парк на б-ре Строителей, Тулеевский парк</v>
      </c>
      <c r="F636" s="6" t="str">
        <f>IFERROR(__xludf.DUMMYFUNCTION("""COMPUTED_VALUE"""),"Переехал сюда из другого места (откуда? укажите в графе другое), г. Березовский Кемеровской области")</f>
        <v>Переехал сюда из другого места (откуда? укажите в графе другое), г. Березовский Кемеровской области</v>
      </c>
      <c r="G636" s="6" t="str">
        <f>IFERROR(__xludf.DUMMYFUNCTION("""COMPUTED_VALUE"""),"Парк на б-ре Строителей, Тулеевский парк, озеро Красное")</f>
        <v>Парк на б-ре Строителей, Тулеевский парк, озеро Красное</v>
      </c>
      <c r="H636" s="6" t="str">
        <f>IFERROR(__xludf.DUMMYFUNCTION("""COMPUTED_VALUE"""),"Кузбасс, река Томь, площадь Волкова, Областная научная библиотека, Драмтеатр на Весенней, Главпочтампт")</f>
        <v>Кузбасс, река Томь, площадь Волкова, Областная научная библиотека, Драмтеатр на Весенней, Главпочтампт</v>
      </c>
      <c r="I636" s="6" t="str">
        <f>IFERROR(__xludf.DUMMYFUNCTION("""COMPUTED_VALUE"""),"Михайло Волков, В. Волошина, Ю. Двужильный, Подгорбунский, Леонов")</f>
        <v>Михайло Волков, В. Волошина, Ю. Двужильный, Подгорбунский, Леонов</v>
      </c>
      <c r="J636" s="6" t="str">
        <f>IFERROR(__xludf.DUMMYFUNCTION("""COMPUTED_VALUE"""),"Аман Тулеев")</f>
        <v>Аман Тулеев</v>
      </c>
      <c r="K636" s="6" t="str">
        <f>IFERROR(__xludf.DUMMYFUNCTION("""COMPUTED_VALUE"""),"Президентский кадетский корпус")</f>
        <v>Президентский кадетский корпус</v>
      </c>
      <c r="L636" s="6" t="str">
        <f>IFERROR(__xludf.DUMMYFUNCTION("""COMPUTED_VALUE"""),"не знаю")</f>
        <v>не знаю</v>
      </c>
      <c r="M636" s="6" t="str">
        <f>IFERROR(__xludf.DUMMYFUNCTION("""COMPUTED_VALUE"""),"нет")</f>
        <v>нет</v>
      </c>
      <c r="N636" s="6" t="str">
        <f>IFERROR(__xludf.DUMMYFUNCTION("""COMPUTED_VALUE"""),"озеленение, наличие прогулочных зон, близость магазинов, чистота улиц, наличие библиотек во всех районах города")</f>
        <v>озеленение, наличие прогулочных зон, близость магазинов, чистота улиц, наличие библиотек во всех районах города</v>
      </c>
      <c r="O636" s="6" t="str">
        <f>IFERROR(__xludf.DUMMYFUNCTION("""COMPUTED_VALUE"""),"Обеспечить чистоту тротуаров, больше автобусных маршрутов")</f>
        <v>Обеспечить чистоту тротуаров, больше автобусных маршрутов</v>
      </c>
      <c r="P636" s="6" t="str">
        <f>IFERROR(__xludf.DUMMYFUNCTION("""COMPUTED_VALUE"""),"С места работы (в библиотеке)")</f>
        <v>С места работы (в библиотеке)</v>
      </c>
      <c r="Q636"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f>
        <v>городская афиша (кино/театр/концерты), культурные новинки (что почитать/что послушать), новости про новые профессии/куда поступать/вакансии</v>
      </c>
      <c r="R636" s="6" t="str">
        <f>IFERROR(__xludf.DUMMYFUNCTION("""COMPUTED_VALUE"""),"9 мая")</f>
        <v>9 мая</v>
      </c>
      <c r="S636" s="6" t="str">
        <f>IFERROR(__xludf.DUMMYFUNCTION("""COMPUTED_VALUE"""),"Через социальные сети (Какие? Укажите в графе другое), В Контакте")</f>
        <v>Через социальные сети (Какие? Укажите в графе другое), В Контакте</v>
      </c>
      <c r="T636" s="6" t="str">
        <f>IFERROR(__xludf.DUMMYFUNCTION("""COMPUTED_VALUE"""),"Углем")</f>
        <v>Углем</v>
      </c>
      <c r="U636" s="6" t="str">
        <f>IFERROR(__xludf.DUMMYFUNCTION("""COMPUTED_VALUE"""),"Площадь Советов")</f>
        <v>Площадь Советов</v>
      </c>
      <c r="V636" s="6" t="str">
        <f>IFERROR(__xludf.DUMMYFUNCTION("""COMPUTED_VALUE"""),"Работали в шахтах")</f>
        <v>Работали в шахтах</v>
      </c>
      <c r="W636" s="6" t="str">
        <f>IFERROR(__xludf.DUMMYFUNCTION("""COMPUTED_VALUE"""),"разные")</f>
        <v>разные</v>
      </c>
      <c r="X636" s="6" t="str">
        <f>IFERROR(__xludf.DUMMYFUNCTION("""COMPUTED_VALUE"""),"По всем районам города")</f>
        <v>По всем районам города</v>
      </c>
      <c r="Y636" s="6" t="str">
        <f>IFERROR(__xludf.DUMMYFUNCTION("""COMPUTED_VALUE"""),"Произойдет в июле этого года (300 лет)")</f>
        <v>Произойдет в июле этого года (300 лет)</v>
      </c>
      <c r="Z636" s="6" t="str">
        <f>IFERROR(__xludf.DUMMYFUNCTION("""COMPUTED_VALUE"""),"открытие парка Ангелов")</f>
        <v>открытие парка Ангелов</v>
      </c>
      <c r="AA636" s="6" t="str">
        <f>IFERROR(__xludf.DUMMYFUNCTION("""COMPUTED_VALUE"""),"Лишение людей прогулок на воздухе весной 2020")</f>
        <v>Лишение людей прогулок на воздухе весной 2020</v>
      </c>
      <c r="AB636" s="6" t="str">
        <f>IFERROR(__xludf.DUMMYFUNCTION("""COMPUTED_VALUE"""),"мне это не нужно")</f>
        <v>мне это не нужно</v>
      </c>
      <c r="AC636" s="6" t="str">
        <f>IFERROR(__xludf.DUMMYFUNCTION("""COMPUTED_VALUE"""),"Спортивные события международного уровня")</f>
        <v>Спортивные события международного уровня</v>
      </c>
      <c r="AD636" s="6" t="str">
        <f>IFERROR(__xludf.DUMMYFUNCTION("""COMPUTED_VALUE"""),"Не готов принимать личное участие (укажите, пожалуйста, причину в поле «Другое»), мало свободного времени, проблемы со здоровьем, усталость")</f>
        <v>Не готов принимать личное участие (укажите, пожалуйста, причину в поле «Другое»), мало свободного времени, проблемы со здоровьем, усталость</v>
      </c>
      <c r="AE636" s="6" t="str">
        <f>IFERROR(__xludf.DUMMYFUNCTION("""COMPUTED_VALUE"""),"Женский")</f>
        <v>Женский</v>
      </c>
      <c r="AF636" s="6" t="str">
        <f>IFERROR(__xludf.DUMMYFUNCTION("""COMPUTED_VALUE"""),"45-55")</f>
        <v>45-55</v>
      </c>
      <c r="AG636" s="6"/>
      <c r="AH636" s="6"/>
      <c r="AI636" s="6"/>
      <c r="AJ636" s="6"/>
      <c r="AK636" s="6"/>
      <c r="AL636" s="6"/>
      <c r="AM636" s="6"/>
    </row>
    <row r="637">
      <c r="A637" s="6">
        <v>636.0</v>
      </c>
      <c r="B637" s="6" t="str">
        <f>IFERROR(__xludf.DUMMYFUNCTION("""COMPUTED_VALUE"""),"Студент ")</f>
        <v>Студент </v>
      </c>
      <c r="C637" s="6" t="str">
        <f>IFERROR(__xludf.DUMMYFUNCTION("""COMPUTED_VALUE"""),"Бьюти сфера")</f>
        <v>Бьюти сфера</v>
      </c>
      <c r="D637" s="6" t="str">
        <f>IFERROR(__xludf.DUMMYFUNCTION("""COMPUTED_VALUE"""),"Ленинский")</f>
        <v>Ленинский</v>
      </c>
      <c r="E637" s="6" t="str">
        <f>IFERROR(__xludf.DUMMYFUNCTION("""COMPUTED_VALUE"""),"Центр Кемерово , парк ангелов ")</f>
        <v>Центр Кемерово , парк ангелов </v>
      </c>
      <c r="F637" s="6" t="str">
        <f>IFERROR(__xludf.DUMMYFUNCTION("""COMPUTED_VALUE"""),"Переехал сюда из другого места (откуда? укажите в графе другое), Из Новокузнецка")</f>
        <v>Переехал сюда из другого места (откуда? укажите в графе другое), Из Новокузнецка</v>
      </c>
      <c r="G637" s="6" t="str">
        <f>IFERROR(__xludf.DUMMYFUNCTION("""COMPUTED_VALUE"""),"Гуляю по улицам ")</f>
        <v>Гуляю по улицам </v>
      </c>
      <c r="H637" s="6" t="str">
        <f>IFERROR(__xludf.DUMMYFUNCTION("""COMPUTED_VALUE"""),"Уютный небольшой чистый город")</f>
        <v>Уютный небольшой чистый город</v>
      </c>
      <c r="I637" s="6" t="str">
        <f>IFERROR(__xludf.DUMMYFUNCTION("""COMPUTED_VALUE"""),"Леонов , Волков ")</f>
        <v>Леонов , Волков </v>
      </c>
      <c r="J637" s="6" t="str">
        <f>IFERROR(__xludf.DUMMYFUNCTION("""COMPUTED_VALUE"""),"Федяев ")</f>
        <v>Федяев </v>
      </c>
      <c r="K637" s="6" t="str">
        <f>IFERROR(__xludf.DUMMYFUNCTION("""COMPUTED_VALUE"""),"Парк ангелов , центр города , кадетский корпус , бульвар строителей")</f>
        <v>Парк ангелов , центр города , кадетский корпус , бульвар строителей</v>
      </c>
      <c r="L637" s="6" t="str">
        <f>IFERROR(__xludf.DUMMYFUNCTION("""COMPUTED_VALUE"""),"Щегловка")</f>
        <v>Щегловка</v>
      </c>
      <c r="M637" s="6" t="str">
        <f>IFERROR(__xludf.DUMMYFUNCTION("""COMPUTED_VALUE"""),"Кемерово - Кем ")</f>
        <v>Кемерово - Кем </v>
      </c>
      <c r="N637" s="6" t="str">
        <f>IFERROR(__xludf.DUMMYFUNCTION("""COMPUTED_VALUE"""),"Не большой , параллельные улицы , инфраструктура ")</f>
        <v>Не большой , параллельные улицы , инфраструктура </v>
      </c>
      <c r="O637" s="6" t="str">
        <f>IFERROR(__xludf.DUMMYFUNCTION("""COMPUTED_VALUE"""),"Загрязнённый воздух, выхлопы с заводов , новые торговые центры хорошие ")</f>
        <v>Загрязнённый воздух, выхлопы с заводов , новые торговые центры хорошие </v>
      </c>
      <c r="P637" s="6" t="str">
        <f>IFERROR(__xludf.DUMMYFUNCTION("""COMPUTED_VALUE"""),"Инстаграм ")</f>
        <v>Инстаграм </v>
      </c>
      <c r="Q637"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637" s="6" t="str">
        <f>IFERROR(__xludf.DUMMYFUNCTION("""COMPUTED_VALUE"""),"День города , Новый год ")</f>
        <v>День города , Новый год </v>
      </c>
      <c r="S637" s="6" t="str">
        <f>IFERROR(__xludf.DUMMYFUNCTION("""COMPUTED_VALUE"""),"Нет, не приходилось")</f>
        <v>Нет, не приходилось</v>
      </c>
      <c r="T637" s="6" t="str">
        <f>IFERROR(__xludf.DUMMYFUNCTION("""COMPUTED_VALUE"""),"Известен за счёт Трагедии зимней вишни , кадетский корпус ")</f>
        <v>Известен за счёт Трагедии зимней вишни , кадетский корпус </v>
      </c>
      <c r="U637" s="6" t="str">
        <f>IFERROR(__xludf.DUMMYFUNCTION("""COMPUTED_VALUE"""),"Весенняя улица, драм театр, набережная ")</f>
        <v>Весенняя улица, драм театр, набережная </v>
      </c>
      <c r="V637" s="6" t="str">
        <f>IFERROR(__xludf.DUMMYFUNCTION("""COMPUTED_VALUE"""),"Большая застройка города ")</f>
        <v>Большая застройка города </v>
      </c>
      <c r="W637" s="6" t="str">
        <f>IFERROR(__xludf.DUMMYFUNCTION("""COMPUTED_VALUE"""),"Культурные , спокойные ")</f>
        <v>Культурные , спокойные </v>
      </c>
      <c r="X637" s="6" t="str">
        <f>IFERROR(__xludf.DUMMYFUNCTION("""COMPUTED_VALUE"""),"Улица весенняя , набережная ")</f>
        <v>Улица весенняя , набережная </v>
      </c>
      <c r="Y637" s="6" t="str">
        <f>IFERROR(__xludf.DUMMYFUNCTION("""COMPUTED_VALUE"""),"Трагедия Зимней вишни и парк ангелов")</f>
        <v>Трагедия Зимней вишни и парк ангелов</v>
      </c>
      <c r="Z637" s="6" t="str">
        <f>IFERROR(__xludf.DUMMYFUNCTION("""COMPUTED_VALUE"""),"Застройка и реставрация улиц ")</f>
        <v>Застройка и реставрация улиц </v>
      </c>
      <c r="AA637" s="6" t="str">
        <f>IFERROR(__xludf.DUMMYFUNCTION("""COMPUTED_VALUE"""),"Зимняя вишня ")</f>
        <v>Зимняя вишня </v>
      </c>
      <c r="AB637" s="6" t="str">
        <f>IFERROR(__xludf.DUMMYFUNCTION("""COMPUTED_VALUE"""),"Затрудняюсь ")</f>
        <v>Затрудняюсь </v>
      </c>
      <c r="AC637" s="6" t="str">
        <f>IFERROR(__xludf.DUMMYFUNCTION("""COMPUTED_VALUE"""),"Новые торговые центры ")</f>
        <v>Новые торговые центры </v>
      </c>
      <c r="AD637"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637" s="6" t="str">
        <f>IFERROR(__xludf.DUMMYFUNCTION("""COMPUTED_VALUE"""),"Женский")</f>
        <v>Женский</v>
      </c>
      <c r="AF637" s="6" t="str">
        <f>IFERROR(__xludf.DUMMYFUNCTION("""COMPUTED_VALUE"""),"18-29")</f>
        <v>18-29</v>
      </c>
      <c r="AG637" s="6"/>
      <c r="AH637" s="6"/>
      <c r="AI637" s="6"/>
      <c r="AJ637" s="6"/>
      <c r="AK637" s="6"/>
      <c r="AL637" s="6"/>
      <c r="AM637" s="6"/>
    </row>
    <row r="638">
      <c r="A638" s="6">
        <v>637.0</v>
      </c>
      <c r="B638" s="6" t="str">
        <f>IFERROR(__xludf.DUMMYFUNCTION("""COMPUTED_VALUE"""),"Государственный служащий")</f>
        <v>Государственный служащий</v>
      </c>
      <c r="C638" s="6" t="str">
        <f>IFERROR(__xludf.DUMMYFUNCTION("""COMPUTED_VALUE"""),"чтение художественной литературы")</f>
        <v>чтение художественной литературы</v>
      </c>
      <c r="D638" s="6" t="str">
        <f>IFERROR(__xludf.DUMMYFUNCTION("""COMPUTED_VALUE"""),"Центральный район")</f>
        <v>Центральный район</v>
      </c>
      <c r="E638" s="6" t="str">
        <f>IFERROR(__xludf.DUMMYFUNCTION("""COMPUTED_VALUE"""),"Театр Драмы")</f>
        <v>Театр Драмы</v>
      </c>
      <c r="F638" s="6" t="str">
        <f>IFERROR(__xludf.DUMMYFUNCTION("""COMPUTED_VALUE"""),"Живу здесь с рождения")</f>
        <v>Живу здесь с рождения</v>
      </c>
      <c r="G638" s="6" t="str">
        <f>IFERROR(__xludf.DUMMYFUNCTION("""COMPUTED_VALUE"""),"Театр Драмы, Театр оперы и балета, Кемеровская областная филармония, ")</f>
        <v>Театр Драмы, Театр оперы и балета, Кемеровская областная филармония, </v>
      </c>
      <c r="H638" s="6" t="str">
        <f>IFERROR(__xludf.DUMMYFUNCTION("""COMPUTED_VALUE"""),"суровость, величие, глубина, стабильность, надежность")</f>
        <v>суровость, величие, глубина, стабильность, надежность</v>
      </c>
      <c r="I638" s="6" t="str">
        <f>IFERROR(__xludf.DUMMYFUNCTION("""COMPUTED_VALUE"""),"Михайло Волков, Алексей Архипович Леонов, ")</f>
        <v>Михайло Волков, Алексей Архипович Леонов, </v>
      </c>
      <c r="J638" s="6" t="str">
        <f>IFERROR(__xludf.DUMMYFUNCTION("""COMPUTED_VALUE"""),"Аман Тулеев, Раиса Сергеевна Гурышева, Ольга Леонтьевна Беспалова, ")</f>
        <v>Аман Тулеев, Раиса Сергеевна Гурышева, Ольга Леонтьевна Беспалова, </v>
      </c>
      <c r="K638" s="6" t="str">
        <f>IFERROR(__xludf.DUMMYFUNCTION("""COMPUTED_VALUE"""),"Памятник Михайло Волкову, Памятник павшим за родину кузбассовцам, Парк Победы им. Г.К. Жукова, Музей-заповедник ""Красная горка"", КузГТУ, Кафедральный знаменский собор,  Колледж культуры и искусств им. И.Д. Кобзона, Комсомольский парк им. В. Волошиной, П"&amp;"арк чудес (бывший городской сад), обелиск погибшим шахтерам, памятник шахтерам Кузбасса на пр-те Шахтеров, Дворец Культуры шахтеров, ")</f>
        <v>Памятник Михайло Волкову, Памятник павшим за родину кузбассовцам, Парк Победы им. Г.К. Жукова, Музей-заповедник "Красная горка", КузГТУ, Кафедральный знаменский собор,  Колледж культуры и искусств им. И.Д. Кобзона, Комсомольский парк им. В. Волошиной, Парк чудес (бывший городской сад), обелиск погибшим шахтерам, памятник шахтерам Кузбасса на пр-те Шахтеров, Дворец Культуры шахтеров, </v>
      </c>
      <c r="L638" s="6" t="str">
        <f>IFERROR(__xludf.DUMMYFUNCTION("""COMPUTED_VALUE"""),"В Кемерово живут истинные сибиряки, суровые, стойкие и близкие к природе люди. ")</f>
        <v>В Кемерово живут истинные сибиряки, суровые, стойкие и близкие к природе люди. </v>
      </c>
      <c r="M638" s="6" t="str">
        <f>IFERROR(__xludf.DUMMYFUNCTION("""COMPUTED_VALUE"""),"Шахтерский край, живи, Кузбасс, и процветай, лови, дерзай, побеждай, объединяй! Объединяя города, в крови огонь, а не вода: шахтерский край! Живи в едином ритме, Кузбасс!")</f>
        <v>Шахтерский край, живи, Кузбасс, и процветай, лови, дерзай, побеждай, объединяй! Объединяя города, в крови огонь, а не вода: шахтерский край! Живи в едином ритме, Кузбасс!</v>
      </c>
      <c r="N638" s="6" t="str">
        <f>IFERROR(__xludf.DUMMYFUNCTION("""COMPUTED_VALUE"""),"Обильное озеленение территорий, наличие парков/аллей, наличие скульптур/памятников, наличие библиотек: детских/взрослых, наличие учреждений культуры: театров, филармоний")</f>
        <v>Обильное озеленение территорий, наличие парков/аллей, наличие скульптур/памятников, наличие библиотек: детских/взрослых, наличие учреждений культуры: театров, филармоний</v>
      </c>
      <c r="O638" s="6" t="str">
        <f>IFERROR(__xludf.DUMMYFUNCTION("""COMPUTED_VALUE"""),"Необходимо активно заниматься озеленением придомовых территорий в городе, открыть несколько библиотек для детей/для взрослых, открытие площадок для выгула собак, открыть несколько технопарков, установить репродукторы на фонарных столбах и в дневное время "&amp;"передавать музыку композиторов-классиков, ")</f>
        <v>Необходимо активно заниматься озеленением придомовых территорий в городе, открыть несколько библиотек для детей/для взрослых, открытие площадок для выгула собак, открыть несколько технопарков, установить репродукторы на фонарных столбах и в дневное время передавать музыку композиторов-классиков, </v>
      </c>
      <c r="P638" s="6" t="str">
        <f>IFERROR(__xludf.DUMMYFUNCTION("""COMPUTED_VALUE"""),"Из телевизионных передач на каналах: Кузбасс-1, Россия-1 в информационной передаче ""Вести.Местное время"", по радио")</f>
        <v>Из телевизионных передач на каналах: Кузбасс-1, Россия-1 в информационной передаче "Вести.Местное время", по радио</v>
      </c>
      <c r="Q638" s="6" t="str">
        <f>IFERROR(__xludf.DUMMYFUNCTION("""COMPUTED_VALUE"""),"куда пойти в свободное время, городская афиша (кино/театр/концерты),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Передачи о культурных, на"&amp;"учных достижениях в области науки, техники, искусства, ")</f>
        <v>куда пойти в свободное время, городская афиша (кино/театр/концерты),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Передачи о культурных, научных достижениях в области науки, техники, искусства, </v>
      </c>
      <c r="R638" s="6" t="str">
        <f>IFERROR(__xludf.DUMMYFUNCTION("""COMPUTED_VALUE"""),"День шахтера: последнее воскресенье августа, день города: в июне, ")</f>
        <v>День шахтера: последнее воскресенье августа, день города: в июне, </v>
      </c>
      <c r="S638" s="6" t="str">
        <f>IFERROR(__xludf.DUMMYFUNCTION("""COMPUTED_VALUE"""),"Нет, не приходилось")</f>
        <v>Нет, не приходилось</v>
      </c>
      <c r="T638" s="6" t="str">
        <f>IFERROR(__xludf.DUMMYFUNCTION("""COMPUTED_VALUE"""),"Месторождение каменного угля как топлива практически для всех стран мира, ")</f>
        <v>Месторождение каменного угля как топлива практически для всех стран мира, </v>
      </c>
      <c r="U638" s="6" t="str">
        <f>IFERROR(__xludf.DUMMYFUNCTION("""COMPUTED_VALUE"""),"Символический центр города Кемерово - площадь Советов: пересечении улицы 50 лет Октября, улицы Ордженикидзе и пр-та Советского. Пересечение трех дорог дает широкий простор для прогулок и культурного отдыха горожанам и гостям города.")</f>
        <v>Символический центр города Кемерово - площадь Советов: пересечении улицы 50 лет Октября, улицы Ордженикидзе и пр-та Советского. Пересечение трех дорог дает широкий простор для прогулок и культурного отдыха горожанам и гостям города.</v>
      </c>
      <c r="V638" s="6" t="str">
        <f>IFERROR(__xludf.DUMMYFUNCTION("""COMPUTED_VALUE"""),"Организация ежегодной акции ""Бессмертный полк"" в честь победы над фашистскими захватчиками в Великой Отечественной войне, Создание областной научной библиотеки им.В.Д, Федорова, открытие множества религиозно-духовных учреждений в городе, ")</f>
        <v>Организация ежегодной акции "Бессмертный полк" в честь победы над фашистскими захватчиками в Великой Отечественной войне, Создание областной научной библиотеки им.В.Д, Федорова, открытие множества религиозно-духовных учреждений в городе, </v>
      </c>
      <c r="W638" s="6" t="str">
        <f>IFERROR(__xludf.DUMMYFUNCTION("""COMPUTED_VALUE"""),"Нечадолюбивы, дружны, активны, суровы, выносливы, сдержаны, терпеливы, трудолюбивы, ответственны, ""медленно запрягают, но быстро едут"", цельные, строгие, суровые, но справедливые люди.")</f>
        <v>Нечадолюбивы, дружны, активны, суровы, выносливы, сдержаны, терпеливы, трудолюбивы, ответственны, "медленно запрягают, но быстро едут", цельные, строгие, суровые, но справедливые люди.</v>
      </c>
      <c r="X638" s="6" t="str">
        <f>IFERROR(__xludf.DUMMYFUNCTION("""COMPUTED_VALUE"""),"маршрут: ""Кемерово-Лесная Поляна"", ""Кемерово-Кедровка"", поездка из Центрального района в Кировский район, ")</f>
        <v>маршрут: "Кемерово-Лесная Поляна", "Кемерово-Кедровка", поездка из Центрального района в Кировский район, </v>
      </c>
      <c r="Y638" s="6" t="str">
        <f>IFERROR(__xludf.DUMMYFUNCTION("""COMPUTED_VALUE"""),"Выделение Кемеровской области в самостоятельный регион РФ.")</f>
        <v>Выделение Кемеровской области в самостоятельный регион РФ.</v>
      </c>
      <c r="Z638" s="6" t="str">
        <f>IFERROR(__xludf.DUMMYFUNCTION("""COMPUTED_VALUE"""),"покраска труб Кемеровской ГРЭС, строительство ледового дворца спорта, ")</f>
        <v>покраска труб Кемеровской ГРЭС, строительство ледового дворца спорта, </v>
      </c>
      <c r="AA638" s="6" t="str">
        <f>IFERROR(__xludf.DUMMYFUNCTION("""COMPUTED_VALUE"""),"Сокращение количества маршрутов на линии, а то и вовсе отмена рейсов многих автобусов, троллейбусов, маршрутных такси.")</f>
        <v>Сокращение количества маршрутов на линии, а то и вовсе отмена рейсов многих автобусов, троллейбусов, маршрутных такси.</v>
      </c>
      <c r="AB638" s="6" t="str">
        <f>IFERROR(__xludf.DUMMYFUNCTION("""COMPUTED_VALUE"""),"Клубов по интересам")</f>
        <v>Клубов по интересам</v>
      </c>
      <c r="AC638" s="6" t="str">
        <f>IFERROR(__xludf.DUMMYFUNCTION("""COMPUTED_VALUE"""),"Необходимо организовать праздник - день сибирского медведя.")</f>
        <v>Необходимо организовать праздник - день сибирского медведя.</v>
      </c>
      <c r="AD638"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638" s="6" t="str">
        <f>IFERROR(__xludf.DUMMYFUNCTION("""COMPUTED_VALUE"""),"Женский")</f>
        <v>Женский</v>
      </c>
      <c r="AF638" s="6" t="str">
        <f>IFERROR(__xludf.DUMMYFUNCTION("""COMPUTED_VALUE"""),"30-44")</f>
        <v>30-44</v>
      </c>
      <c r="AG638" s="6"/>
      <c r="AH638" s="6"/>
      <c r="AI638" s="6"/>
      <c r="AJ638" s="6"/>
      <c r="AK638" s="6"/>
      <c r="AL638" s="6"/>
      <c r="AM638" s="6"/>
    </row>
    <row r="639">
      <c r="A639" s="6">
        <v>638.0</v>
      </c>
      <c r="B639" s="6" t="str">
        <f>IFERROR(__xludf.DUMMYFUNCTION("""COMPUTED_VALUE"""),"Сфера культуры")</f>
        <v>Сфера культуры</v>
      </c>
      <c r="C639" s="6" t="str">
        <f>IFERROR(__xludf.DUMMYFUNCTION("""COMPUTED_VALUE"""),"Дайвинг, прогулки, велоспорт, фотография")</f>
        <v>Дайвинг, прогулки, велоспорт, фотография</v>
      </c>
      <c r="D639" s="6" t="str">
        <f>IFERROR(__xludf.DUMMYFUNCTION("""COMPUTED_VALUE"""),"Ж.р. Ягунновский ")</f>
        <v>Ж.р. Ягунновский </v>
      </c>
      <c r="E639" s="6" t="str">
        <f>IFERROR(__xludf.DUMMYFUNCTION("""COMPUTED_VALUE"""),"Парк Победы, несколько более-менее приличных дворов, чтобы гулять с ребенком. ")</f>
        <v>Парк Победы, несколько более-менее приличных дворов, чтобы гулять с ребенком. </v>
      </c>
      <c r="F639" s="6" t="str">
        <f>IFERROR(__xludf.DUMMYFUNCTION("""COMPUTED_VALUE"""),"Переехал сюда из другого места (откуда? укажите в графе другое), Междуреченск, учеба в ВУЗе")</f>
        <v>Переехал сюда из другого места (откуда? укажите в графе другое), Междуреченск, учеба в ВУЗе</v>
      </c>
      <c r="G639" s="6" t="str">
        <f>IFERROR(__xludf.DUMMYFUNCTION("""COMPUTED_VALUE"""),"Парки, особенно парк Чудес. Набережная. Краеведческий музей. ")</f>
        <v>Парки, особенно парк Чудес. Набережная. Краеведческий музей. </v>
      </c>
      <c r="H639" s="6" t="str">
        <f>IFERROR(__xludf.DUMMYFUNCTION("""COMPUTED_VALUE"""),"Бор, заводские трубы, липовые аллеи, Томь")</f>
        <v>Бор, заводские трубы, липовые аллеи, Томь</v>
      </c>
      <c r="I639" s="6" t="str">
        <f>IFERROR(__xludf.DUMMYFUNCTION("""COMPUTED_VALUE"""),"М. Волков, Миссершмидт, Михайлов В.В., Тулеев А.Г., Подгорбунский")</f>
        <v>М. Волков, Миссершмидт, Михайлов В.В., Тулеев А.Г., Подгорбунский</v>
      </c>
      <c r="J639" s="6" t="str">
        <f>IFERROR(__xludf.DUMMYFUNCTION("""COMPUTED_VALUE"""),"Михайлов в.в., Федорова и.ф., Леонов")</f>
        <v>Михайлов в.в., Федорова и.ф., Леонов</v>
      </c>
      <c r="K639" s="6" t="str">
        <f>IFERROR(__xludf.DUMMYFUNCTION("""COMPUTED_VALUE"""),"Площадь советов, театр драмы, весенняя, советский проспект, парк ангелов и бульвар строителей ")</f>
        <v>Площадь советов, театр драмы, весенняя, советский проспект, парк ангелов и бульвар строителей </v>
      </c>
      <c r="L639" s="6" t="str">
        <f>IFERROR(__xludf.DUMMYFUNCTION("""COMPUTED_VALUE"""),"Долго писать... Нравится легенда про новогодний трамвай у драмтеатра. Который можно в ночь перед новым годом увидеть. ")</f>
        <v>Долго писать... Нравится легенда про новогодний трамвай у драмтеатра. Который можно в ночь перед новым годом увидеть. </v>
      </c>
      <c r="M639" s="6" t="str">
        <f>IFERROR(__xludf.DUMMYFUNCTION("""COMPUTED_VALUE"""),"Нет")</f>
        <v>Нет</v>
      </c>
      <c r="N639" s="6" t="str">
        <f>IFERROR(__xludf.DUMMYFUNCTION("""COMPUTED_VALUE"""),"Дешёвое качественное жилье, ровные и чистые дороги авто и пешеходные, уютные общественные пространства, идеологическая свобода, зелёные зоны для отдыха ")</f>
        <v>Дешёвое качественное жилье, ровные и чистые дороги авто и пешеходные, уютные общественные пространства, идеологическая свобода, зелёные зоны для отдыха </v>
      </c>
      <c r="O639" s="6" t="str">
        <f>IFERROR(__xludf.DUMMYFUNCTION("""COMPUTED_VALUE"""),"Сложный вопрос")</f>
        <v>Сложный вопрос</v>
      </c>
      <c r="P639" s="6" t="str">
        <f>IFERROR(__xludf.DUMMYFUNCTION("""COMPUTED_VALUE"""),"От друзей, а они их Интернета. ")</f>
        <v>От друзей, а они их Интернета. </v>
      </c>
      <c r="Q639" s="6" t="str">
        <f>IFERROR(__xludf.DUMMYFUNCTION("""COMPUTED_VALUE"""),"городская афиша (кино/театр/концерты),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"&amp;"(напишите в разделе Другое свои предложения)")</f>
        <v>городская афиша (кино/театр/концерты),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639" s="6" t="str">
        <f>IFERROR(__xludf.DUMMYFUNCTION("""COMPUTED_VALUE"""),"День города, 9 мая. Нравилось авиашоу. ")</f>
        <v>День города, 9 мая. Нравилось авиашоу. </v>
      </c>
      <c r="S639" s="6" t="str">
        <f>IFERROR(__xludf.DUMMYFUNCTION("""COMPUTED_VALUE"""),"Да")</f>
        <v>Да</v>
      </c>
      <c r="T639" s="6" t="str">
        <f>IFERROR(__xludf.DUMMYFUNCTION("""COMPUTED_VALUE"""),"Уютный сибирский город")</f>
        <v>Уютный сибирский город</v>
      </c>
      <c r="U639" s="6" t="str">
        <f>IFERROR(__xludf.DUMMYFUNCTION("""COMPUTED_VALUE"""),"Советский проспект, весенняя до набережной")</f>
        <v>Советский проспект, весенняя до набережной</v>
      </c>
      <c r="V639" s="6" t="str">
        <f>IFERROR(__xludf.DUMMYFUNCTION("""COMPUTED_VALUE"""),"Что сделали. Жили, усердно трудились, развивали город. Сохранили бор!!! ")</f>
        <v>Что сделали. Жили, усердно трудились, развивали город. Сохранили бор!!! </v>
      </c>
      <c r="W639" s="6" t="str">
        <f>IFERROR(__xludf.DUMMYFUNCTION("""COMPUTED_VALUE"""),"Терпеливые, как и весь русский народ. В меру активные. ")</f>
        <v>Терпеливые, как и весь русский народ. В меру активные. </v>
      </c>
      <c r="X639" s="6" t="str">
        <f>IFERROR(__xludf.DUMMYFUNCTION("""COMPUTED_VALUE"""),"Набережная ")</f>
        <v>Набережная </v>
      </c>
      <c r="Y639" s="6" t="str">
        <f>IFERROR(__xludf.DUMMYFUNCTION("""COMPUTED_VALUE"""),"Чемпионат Бенди, одно из. ")</f>
        <v>Чемпионат Бенди, одно из. </v>
      </c>
      <c r="Z639" s="6" t="str">
        <f>IFERROR(__xludf.DUMMYFUNCTION("""COMPUTED_VALUE"""),"Строительство вдоль Искитимки и Томи")</f>
        <v>Строительство вдоль Искитимки и Томи</v>
      </c>
      <c r="AA639" s="6" t="str">
        <f>IFERROR(__xludf.DUMMYFUNCTION("""COMPUTED_VALUE"""),"Уборка снега зимой. И дороги, и дворы. ")</f>
        <v>Уборка снега зимой. И дороги, и дворы. </v>
      </c>
      <c r="AB639" s="6" t="str">
        <f>IFERROR(__xludf.DUMMYFUNCTION("""COMPUTED_VALUE"""),"Кинематография. Фестивали кино. Не только современные. Старые фильмы, скорее. ")</f>
        <v>Кинематография. Фестивали кино. Не только современные. Старые фильмы, скорее. </v>
      </c>
      <c r="AC639" s="6" t="str">
        <f>IFERROR(__xludf.DUMMYFUNCTION("""COMPUTED_VALUE"""),"Авиашоу. Отремонтировать набережную. ")</f>
        <v>Авиашоу. Отремонтировать набережную. </v>
      </c>
      <c r="AD63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 Коммуникатора: Готов задейс"&amp;"твовать свои знакомства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639" s="6" t="str">
        <f>IFERROR(__xludf.DUMMYFUNCTION("""COMPUTED_VALUE"""),"Женский")</f>
        <v>Женский</v>
      </c>
      <c r="AF639" s="6" t="str">
        <f>IFERROR(__xludf.DUMMYFUNCTION("""COMPUTED_VALUE"""),"30-44")</f>
        <v>30-44</v>
      </c>
      <c r="AG639" s="6"/>
      <c r="AH639" s="6"/>
      <c r="AI639" s="6"/>
      <c r="AJ639" s="6"/>
      <c r="AK639" s="6"/>
      <c r="AL639" s="6"/>
      <c r="AM639" s="6"/>
    </row>
    <row r="640">
      <c r="A640" s="6">
        <v>639.0</v>
      </c>
      <c r="B640" s="6" t="str">
        <f>IFERROR(__xludf.DUMMYFUNCTION("""COMPUTED_VALUE"""),"Сфера культуры")</f>
        <v>Сфера культуры</v>
      </c>
      <c r="C640" s="6" t="str">
        <f>IFERROR(__xludf.DUMMYFUNCTION("""COMPUTED_VALUE"""),"Спорт")</f>
        <v>Спорт</v>
      </c>
      <c r="D640" s="6" t="str">
        <f>IFERROR(__xludf.DUMMYFUNCTION("""COMPUTED_VALUE"""),"Ленинский ")</f>
        <v>Ленинский </v>
      </c>
      <c r="E640" s="6" t="str">
        <f>IFERROR(__xludf.DUMMYFUNCTION("""COMPUTED_VALUE"""),"Бульвар")</f>
        <v>Бульвар</v>
      </c>
      <c r="F640" s="6" t="str">
        <f>IFERROR(__xludf.DUMMYFUNCTION("""COMPUTED_VALUE"""),"Живу здесь с рождения")</f>
        <v>Живу здесь с рождения</v>
      </c>
      <c r="G640" s="6" t="str">
        <f>IFERROR(__xludf.DUMMYFUNCTION("""COMPUTED_VALUE"""),"На работу")</f>
        <v>На работу</v>
      </c>
      <c r="H640" s="6" t="str">
        <f>IFERROR(__xludf.DUMMYFUNCTION("""COMPUTED_VALUE"""),"Город хоть и небольшой, но живём мы здесь с душой! Снега много иногда, но Сибирь тем хороша!  ")</f>
        <v>Город хоть и небольшой, но живём мы здесь с душой! Снега много иногда, но Сибирь тем хороша!  </v>
      </c>
      <c r="I640" s="6" t="str">
        <f>IFERROR(__xludf.DUMMYFUNCTION("""COMPUTED_VALUE"""),"М.Волков")</f>
        <v>М.Волков</v>
      </c>
      <c r="J640" s="6" t="str">
        <f>IFERROR(__xludf.DUMMYFUNCTION("""COMPUTED_VALUE"""),"В.И.Заузелков")</f>
        <v>В.И.Заузелков</v>
      </c>
      <c r="K640" s="6" t="str">
        <f>IFERROR(__xludf.DUMMYFUNCTION("""COMPUTED_VALUE"""),"Библиотекуим. Н.В.Гоголя")</f>
        <v>Библиотекуим. Н.В.Гоголя</v>
      </c>
      <c r="L640" s="6" t="str">
        <f>IFERROR(__xludf.DUMMYFUNCTION("""COMPUTED_VALUE"""),"На  открытие помещения библиотеки им. Н.В.Гоголя (пр.Ленина, 135)  приезжал министр культуры. ")</f>
        <v>На  открытие помещения библиотеки им. Н.В.Гоголя (пр.Ленина, 135)  приезжал министр культуры. </v>
      </c>
      <c r="M640" s="6" t="str">
        <f>IFERROR(__xludf.DUMMYFUNCTION("""COMPUTED_VALUE"""),"Шахтерский макияж")</f>
        <v>Шахтерский макияж</v>
      </c>
      <c r="N640" s="6" t="str">
        <f>IFERROR(__xludf.DUMMYFUNCTION("""COMPUTED_VALUE"""),"1.Достаточное количество бесплатных учреждений культуры
 2. Чистые и ровные дороги
3. Наличие общественного транспорта  с льготами для детей 
4.  Достаточное количество бассейнов
5.    Безопасность в городе, которая зависит от соответствующих организаций "&amp;"(полиция, пожарная охрана,  скорая помощь и т.д)")</f>
        <v>1.Достаточное количество бесплатных учреждений культуры
 2. Чистые и ровные дороги
3. Наличие общественного транспорта  с льготами для детей 
4.  Достаточное количество бассейнов
5.    Безопасность в городе, которая зависит от соответствующих организаций (полиция, пожарная охрана,  скорая помощь и т.д)</v>
      </c>
      <c r="O640" s="6" t="str">
        <f>IFERROR(__xludf.DUMMYFUNCTION("""COMPUTED_VALUE"""),"Отношение к бюджетникам")</f>
        <v>Отношение к бюджетникам</v>
      </c>
      <c r="P640" s="6" t="str">
        <f>IFERROR(__xludf.DUMMYFUNCTION("""COMPUTED_VALUE"""),"Интернет (Вк, Одноклассники, Инстаграм, сайты учреждений)")</f>
        <v>Интернет (Вк, Одноклассники, Инстаграм, сайты учреждений)</v>
      </c>
      <c r="Q640"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640" s="6" t="str">
        <f>IFERROR(__xludf.DUMMYFUNCTION("""COMPUTED_VALUE"""),"День города")</f>
        <v>День города</v>
      </c>
      <c r="S640" s="6" t="str">
        <f>IFERROR(__xludf.DUMMYFUNCTION("""COMPUTED_VALUE"""),"Через социальные сети (Какие? Укажите в графе другое)")</f>
        <v>Через социальные сети (Какие? Укажите в графе другое)</v>
      </c>
      <c r="T640" s="6" t="str">
        <f>IFERROR(__xludf.DUMMYFUNCTION("""COMPUTED_VALUE"""),"Красная горка, монумент ""Память шахтёром Кузбасса"".")</f>
        <v>Красная горка, монумент "Память шахтёром Кузбасса".</v>
      </c>
      <c r="U640" s="6" t="str">
        <f>IFERROR(__xludf.DUMMYFUNCTION("""COMPUTED_VALUE"""),"Площадь Советов")</f>
        <v>Площадь Советов</v>
      </c>
      <c r="V640" s="6" t="str">
        <f>IFERROR(__xludf.DUMMYFUNCTION("""COMPUTED_VALUE"""),"Хорошо развитое производство  по добыче и изготовлению ресурсов для улучшения разных сфер жизни")</f>
        <v>Хорошо развитое производство  по добыче и изготовлению ресурсов для улучшения разных сфер жизни</v>
      </c>
      <c r="W640" s="6" t="str">
        <f>IFERROR(__xludf.DUMMYFUNCTION("""COMPUTED_VALUE"""),"Терпеливые")</f>
        <v>Терпеливые</v>
      </c>
      <c r="X640" s="6" t="str">
        <f>IFERROR(__xludf.DUMMYFUNCTION("""COMPUTED_VALUE"""),"Центр города")</f>
        <v>Центр города</v>
      </c>
      <c r="Y640" s="6" t="str">
        <f>IFERROR(__xludf.DUMMYFUNCTION("""COMPUTED_VALUE"""),"100лет Копикуза")</f>
        <v>100лет Копикуза</v>
      </c>
      <c r="Z640" s="6" t="str">
        <f>IFERROR(__xludf.DUMMYFUNCTION("""COMPUTED_VALUE"""),"Ремонт и открытие Линейного парка ")</f>
        <v>Ремонт и открытие Линейного парка </v>
      </c>
      <c r="AA640" s="6" t="str">
        <f>IFERROR(__xludf.DUMMYFUNCTION("""COMPUTED_VALUE"""),"Пожар в ""Зимней вишне""")</f>
        <v>Пожар в "Зимней вишне"</v>
      </c>
      <c r="AB640" s="6" t="str">
        <f>IFERROR(__xludf.DUMMYFUNCTION("""COMPUTED_VALUE"""),"Сообществ, связанных с бесплатной психологической помощью")</f>
        <v>Сообществ, связанных с бесплатной психологической помощью</v>
      </c>
      <c r="AC640" s="6" t="str">
        <f>IFERROR(__xludf.DUMMYFUNCTION("""COMPUTED_VALUE"""),"Встречи с интересными   людьми  разных сфер деятельности, с разных городов России")</f>
        <v>Встречи с интересными   людьми  разных сфер деятельности, с разных городов России</v>
      </c>
      <c r="AD640"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640" s="6" t="str">
        <f>IFERROR(__xludf.DUMMYFUNCTION("""COMPUTED_VALUE"""),"Женский")</f>
        <v>Женский</v>
      </c>
      <c r="AF640" s="6" t="str">
        <f>IFERROR(__xludf.DUMMYFUNCTION("""COMPUTED_VALUE"""),"45-55")</f>
        <v>45-55</v>
      </c>
      <c r="AG640" s="6"/>
      <c r="AH640" s="6"/>
      <c r="AI640" s="6"/>
      <c r="AJ640" s="6"/>
      <c r="AK640" s="6"/>
      <c r="AL640" s="6"/>
      <c r="AM640" s="6"/>
    </row>
    <row r="641">
      <c r="A641" s="6">
        <v>640.0</v>
      </c>
      <c r="B641" s="6" t="str">
        <f>IFERROR(__xludf.DUMMYFUNCTION("""COMPUTED_VALUE"""),"Работаю в Библиотеке")</f>
        <v>Работаю в Библиотеке</v>
      </c>
      <c r="C641" s="6" t="str">
        <f>IFERROR(__xludf.DUMMYFUNCTION("""COMPUTED_VALUE"""),"Пение")</f>
        <v>Пение</v>
      </c>
      <c r="D641" s="6" t="str">
        <f>IFERROR(__xludf.DUMMYFUNCTION("""COMPUTED_VALUE"""),"Заводский")</f>
        <v>Заводский</v>
      </c>
      <c r="E641" s="6" t="str">
        <f>IFERROR(__xludf.DUMMYFUNCTION("""COMPUTED_VALUE"""),"пр.Патриотов,сквер Патриотов ")</f>
        <v>пр.Патриотов,сквер Патриотов </v>
      </c>
      <c r="F641" s="6" t="str">
        <f>IFERROR(__xludf.DUMMYFUNCTION("""COMPUTED_VALUE"""),"переехала из сельской местности для учебы в институте")</f>
        <v>переехала из сельской местности для учебы в институте</v>
      </c>
      <c r="G641" s="6" t="str">
        <f>IFERROR(__xludf.DUMMYFUNCTION("""COMPUTED_VALUE"""),"Театр Оперетты,Филармония,Цирк,Рестораны,Кафе,Набережная,Баня Бодрость")</f>
        <v>Театр Оперетты,Филармония,Цирк,Рестораны,Кафе,Набережная,Баня Бодрость</v>
      </c>
      <c r="H641" s="6" t="str">
        <f>IFERROR(__xludf.DUMMYFUNCTION("""COMPUTED_VALUE"""),"Красная Горка,Михайло Волков,Уголь,Индустрия,Рутгерс")</f>
        <v>Красная Горка,Михайло Волков,Уголь,Индустрия,Рутгерс</v>
      </c>
      <c r="I641" s="6" t="str">
        <f>IFERROR(__xludf.DUMMYFUNCTION("""COMPUTED_VALUE"""),"Рутгерс,Василий Федоров,Алексей Леонов,Михаил Юров")</f>
        <v>Рутгерс,Василий Федоров,Алексей Леонов,Михаил Юров</v>
      </c>
      <c r="J641" s="6" t="str">
        <f>IFERROR(__xludf.DUMMYFUNCTION("""COMPUTED_VALUE"""),"Евгений Гришковец,Алена Бабенко,Илларион Романов,Вера Волошина,Юрий Двужильный,Кирчанов,группа Свободная Земля,ансамбль танца Сибирский Калейдоскоп")</f>
        <v>Евгений Гришковец,Алена Бабенко,Илларион Романов,Вера Волошина,Юрий Двужильный,Кирчанов,группа Свободная Земля,ансамбль танца Сибирский Калейдоскоп</v>
      </c>
      <c r="K641" s="6" t="str">
        <f>IFERROR(__xludf.DUMMYFUNCTION("""COMPUTED_VALUE"""),"Старые улицы Кировского  р-на,Набережная Кировского р-на,Березовая роща")</f>
        <v>Старые улицы Кировского  р-на,Набережная Кировского р-на,Березовая роща</v>
      </c>
      <c r="L641" s="6" t="str">
        <f>IFERROR(__xludf.DUMMYFUNCTION("""COMPUTED_VALUE"""),"Где родился там и пригодился,Без труда не вытянешь и рыбку из пруда,")</f>
        <v>Где родился там и пригодился,Без труда не вытянешь и рыбку из пруда,</v>
      </c>
      <c r="M641" s="6" t="str">
        <f>IFERROR(__xludf.DUMMYFUNCTION("""COMPUTED_VALUE"""),"Дружба по Кемеровски,Хлебосолье по Кемеровски")</f>
        <v>Дружба по Кемеровски,Хлебосолье по Кемеровски</v>
      </c>
      <c r="N641" s="6" t="str">
        <f>IFERROR(__xludf.DUMMYFUNCTION("""COMPUTED_VALUE"""),"Доступный транспорт,хорошие дороги,много зелени,чистый воздух")</f>
        <v>Доступный транспорт,хорошие дороги,много зелени,чистый воздух</v>
      </c>
      <c r="O641" s="6" t="str">
        <f>IFERROR(__xludf.DUMMYFUNCTION("""COMPUTED_VALUE"""),"Транспорт.Что бы лучше ходил.И можно было бы уехать в любую часть города до поздна,в морозы,особенно тем кто работает!!!Достроить Бассейн")</f>
        <v>Транспорт.Что бы лучше ходил.И можно было бы уехать в любую часть города до поздна,в морозы,особенно тем кто работает!!!Достроить Бассейн</v>
      </c>
      <c r="P641" s="6" t="str">
        <f>IFERROR(__xludf.DUMMYFUNCTION("""COMPUTED_VALUE"""),"Сайт Библиотеки Кемеровские,Новости Кузбасса,Вконтакте,Кузбасс Культурный ")</f>
        <v>Сайт Библиотеки Кемеровские,Новости Кузбасса,Вконтакте,Кузбасс Культурный </v>
      </c>
      <c r="Q641" s="6" t="str">
        <f>IFERROR(__xludf.DUMMYFUNCTION("""COMPUTED_VALUE"""),"городская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f>
        <v>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v>
      </c>
      <c r="R641" s="6" t="str">
        <f>IFERROR(__xludf.DUMMYFUNCTION("""COMPUTED_VALUE"""),"Возможно только День города,и День Шахтера.Важны-потому что в этих праздниках-особенность города.Его главные штрихи.Остальные-как дополненительный досуг....")</f>
        <v>Возможно только День города,и День Шахтера.Важны-потому что в этих праздниках-особенность города.Его главные штрихи.Остальные-как дополненительный досуг....</v>
      </c>
      <c r="S641" s="6" t="str">
        <f>IFERROR(__xludf.DUMMYFUNCTION("""COMPUTED_VALUE"""),"Через социальные сети (Какие? Укажите в графе другое)")</f>
        <v>Через социальные сети (Какие? Укажите в графе другое)</v>
      </c>
      <c r="T641" s="6" t="str">
        <f>IFERROR(__xludf.DUMMYFUNCTION("""COMPUTED_VALUE"""),"Атмосфера!!!Природа,люди,славные традиции")</f>
        <v>Атмосфера!!!Природа,люди,славные традиции</v>
      </c>
      <c r="U641" s="6" t="str">
        <f>IFERROR(__xludf.DUMMYFUNCTION("""COMPUTED_VALUE"""),"площадь Советов.Рудничный район,Красная горка")</f>
        <v>площадь Советов.Рудничный район,Красная горка</v>
      </c>
      <c r="V641" s="6" t="str">
        <f>IFERROR(__xludf.DUMMYFUNCTION("""COMPUTED_VALUE"""),"Помоглаи фронту в дни ВОВ,т самоотверженно трудились в тылу,вырастили,воспитали  выучили талантливых людей,которыми сейчас гордится Россия.")</f>
        <v>Помоглаи фронту в дни ВОВ,т самоотверженно трудились в тылу,вырастили,воспитали  выучили талантливых людей,которыми сейчас гордится Россия.</v>
      </c>
      <c r="W641" s="6" t="str">
        <f>IFERROR(__xludf.DUMMYFUNCTION("""COMPUTED_VALUE"""),"Трудолюбивые,Интеллигентные,Сдержанные,Выносливые,Стойкие,Непоколебимые,")</f>
        <v>Трудолюбивые,Интеллигентные,Сдержанные,Выносливые,Стойкие,Непоколебимые,</v>
      </c>
      <c r="X641" s="6" t="str">
        <f>IFERROR(__xludf.DUMMYFUNCTION("""COMPUTED_VALUE"""),"Красная горка,памятник Шахтеру Э.Неизвестного,вид на Томь ,Центр пл.Советов,пр.Ленина,б-р Строителей,Знаменский Собор,Лесная Поляна.....")</f>
        <v>Красная горка,памятник Шахтеру Э.Неизвестного,вид на Томь ,Центр пл.Советов,пр.Ленина,б-р Строителей,Знаменский Собор,Лесная Поляна.....</v>
      </c>
      <c r="Y641" s="6" t="str">
        <f>IFERROR(__xludf.DUMMYFUNCTION("""COMPUTED_VALUE"""),"Чемпионат Мира по хоккею с мячом.")</f>
        <v>Чемпионат Мира по хоккею с мячом.</v>
      </c>
      <c r="Z641" s="6" t="str">
        <f>IFERROR(__xludf.DUMMYFUNCTION("""COMPUTED_VALUE"""),"Реконструкция б-ра Строителей,Открытие Спортивного комплекса")</f>
        <v>Реконструкция б-ра Строителей,Открытие Спортивного комплекса</v>
      </c>
      <c r="AA641" s="6" t="str">
        <f>IFERROR(__xludf.DUMMYFUNCTION("""COMPUTED_VALUE"""),"Пожар в Зимней Вишне.")</f>
        <v>Пожар в Зимней Вишне.</v>
      </c>
      <c r="AB641" s="6" t="str">
        <f>IFERROR(__xludf.DUMMYFUNCTION("""COMPUTED_VALUE"""),"Любителей Джаза")</f>
        <v>Любителей Джаза</v>
      </c>
      <c r="AC641" s="6" t="str">
        <f>IFERROR(__xludf.DUMMYFUNCTION("""COMPUTED_VALUE"""),"Творческие встречи с интересными людьми:Писателями,Поэтами,политиками....")</f>
        <v>Творческие встречи с интересными людьми:Писателями,Поэтами,политиками....</v>
      </c>
      <c r="AD64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41" s="6" t="str">
        <f>IFERROR(__xludf.DUMMYFUNCTION("""COMPUTED_VALUE"""),"Женский")</f>
        <v>Женский</v>
      </c>
      <c r="AF641" s="6" t="str">
        <f>IFERROR(__xludf.DUMMYFUNCTION("""COMPUTED_VALUE"""),"45-55")</f>
        <v>45-55</v>
      </c>
      <c r="AG641" s="6"/>
      <c r="AH641" s="6"/>
      <c r="AI641" s="6"/>
      <c r="AJ641" s="6"/>
      <c r="AK641" s="6"/>
      <c r="AL641" s="6"/>
      <c r="AM641" s="6"/>
    </row>
    <row r="642">
      <c r="A642" s="6">
        <v>641.0</v>
      </c>
      <c r="B642" s="6" t="str">
        <f>IFERROR(__xludf.DUMMYFUNCTION("""COMPUTED_VALUE"""),"Библиотечная деятельность ")</f>
        <v>Библиотечная деятельность </v>
      </c>
      <c r="C642" s="6" t="str">
        <f>IFERROR(__xludf.DUMMYFUNCTION("""COMPUTED_VALUE"""),"Плавание. Катание на коньках и лыжах. ")</f>
        <v>Плавание. Катание на коньках и лыжах. </v>
      </c>
      <c r="D642" s="6" t="str">
        <f>IFERROR(__xludf.DUMMYFUNCTION("""COMPUTED_VALUE"""),"Ж. Р. Кедровка. Родной уголок. ")</f>
        <v>Ж. Р. Кедровка. Родной уголок. </v>
      </c>
      <c r="E642" s="6" t="str">
        <f>IFERROR(__xludf.DUMMYFUNCTION("""COMPUTED_VALUE"""),"Церковь, Парк Победы, Библиотека, Школа, Дворец культуры ")</f>
        <v>Церковь, Парк Победы, Библиотека, Школа, Дворец культуры </v>
      </c>
      <c r="F642" s="6" t="str">
        <f>IFERROR(__xludf.DUMMYFUNCTION("""COMPUTED_VALUE"""),"Живу здесь с рождения")</f>
        <v>Живу здесь с рождения</v>
      </c>
      <c r="G642" s="6" t="str">
        <f>IFERROR(__xludf.DUMMYFUNCTION("""COMPUTED_VALUE"""),"Театр, детские игровые площадки")</f>
        <v>Театр, детские игровые площадки</v>
      </c>
      <c r="H642" s="6" t="str">
        <f>IFERROR(__xludf.DUMMYFUNCTION("""COMPUTED_VALUE"""),"Шахтёрская столица, город над Томью, Кемерово- театральный, Михайло Волков, стадион ""Химик"" ")</f>
        <v>Шахтёрская столица, город над Томью, Кемерово- театральный, Михайло Волков, стадион "Химик" </v>
      </c>
      <c r="I642" s="6" t="str">
        <f>IFERROR(__xludf.DUMMYFUNCTION("""COMPUTED_VALUE"""),"Пётр Чихачев, Михайло Волков Подгорбунский М. А.")</f>
        <v>Пётр Чихачев, Михайло Волков Подгорбунский М. А.</v>
      </c>
      <c r="J642" s="6" t="str">
        <f>IFERROR(__xludf.DUMMYFUNCTION("""COMPUTED_VALUE"""),"В. В. Михайлов, А. Г. Тулеев, И. А. Балибалов, Г. Е. Юров, Середюк И. Селиванов В. А. ")</f>
        <v>В. В. Михайлов, А. Г. Тулеев, И. А. Балибалов, Г. Е. Юров, Середюк И. Селиванов В. А. </v>
      </c>
      <c r="K642" s="6" t="str">
        <f>IFERROR(__xludf.DUMMYFUNCTION("""COMPUTED_VALUE"""),"Набережная")</f>
        <v>Набережная</v>
      </c>
      <c r="L642" s="6" t="str">
        <f>IFERROR(__xludf.DUMMYFUNCTION("""COMPUTED_VALUE"""),"-")</f>
        <v>-</v>
      </c>
      <c r="M642" s="6" t="str">
        <f>IFERROR(__xludf.DUMMYFUNCTION("""COMPUTED_VALUE"""),"-")</f>
        <v>-</v>
      </c>
      <c r="N642" s="6" t="str">
        <f>IFERROR(__xludf.DUMMYFUNCTION("""COMPUTED_VALUE"""),"Медицина, дороги ")</f>
        <v>Медицина, дороги </v>
      </c>
      <c r="O642" s="6" t="str">
        <f>IFERROR(__xludf.DUMMYFUNCTION("""COMPUTED_VALUE"""),"Дороги, экологию")</f>
        <v>Дороги, экологию</v>
      </c>
      <c r="P642" s="6" t="str">
        <f>IFERROR(__xludf.DUMMYFUNCTION("""COMPUTED_VALUE"""),"Instagram ")</f>
        <v>Instagram </v>
      </c>
      <c r="Q642"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642" s="6" t="str">
        <f>IFERROR(__xludf.DUMMYFUNCTION("""COMPUTED_VALUE"""),"День шахтёра, День Победы ")</f>
        <v>День шахтёра, День Победы </v>
      </c>
      <c r="S642" s="6" t="str">
        <f>IFERROR(__xludf.DUMMYFUNCTION("""COMPUTED_VALUE"""),"Нет, не приходилось")</f>
        <v>Нет, не приходилось</v>
      </c>
      <c r="T642" s="6" t="str">
        <f>IFERROR(__xludf.DUMMYFUNCTION("""COMPUTED_VALUE"""),"Угольная промышленность ")</f>
        <v>Угольная промышленность </v>
      </c>
      <c r="U642" s="6" t="str">
        <f>IFERROR(__xludf.DUMMYFUNCTION("""COMPUTED_VALUE"""),"Притомская набережная")</f>
        <v>Притомская набережная</v>
      </c>
      <c r="V642" s="6" t="str">
        <f>IFERROR(__xludf.DUMMYFUNCTION("""COMPUTED_VALUE"""),"Преображали город ")</f>
        <v>Преображали город </v>
      </c>
      <c r="W642" s="6" t="str">
        <f>IFERROR(__xludf.DUMMYFUNCTION("""COMPUTED_VALUE"""),"Доброжелательные")</f>
        <v>Доброжелательные</v>
      </c>
      <c r="X642" s="6" t="str">
        <f>IFERROR(__xludf.DUMMYFUNCTION("""COMPUTED_VALUE"""),"Прогулка на катере или Яхте по Томи")</f>
        <v>Прогулка на катере или Яхте по Томи</v>
      </c>
      <c r="Y642" s="6" t="str">
        <f>IFERROR(__xludf.DUMMYFUNCTION("""COMPUTED_VALUE"""),"Строительство моста через реку Томь")</f>
        <v>Строительство моста через реку Томь</v>
      </c>
      <c r="Z642" s="6" t="str">
        <f>IFERROR(__xludf.DUMMYFUNCTION("""COMPUTED_VALUE"""),"-")</f>
        <v>-</v>
      </c>
      <c r="AA642" s="6" t="str">
        <f>IFERROR(__xludf.DUMMYFUNCTION("""COMPUTED_VALUE"""),"Не совсем адекватная реакция людей на  ограничительные меры в период пандемии")</f>
        <v>Не совсем адекватная реакция людей на  ограничительные меры в период пандемии</v>
      </c>
      <c r="AB642" s="6" t="str">
        <f>IFERROR(__xludf.DUMMYFUNCTION("""COMPUTED_VALUE"""),"-")</f>
        <v>-</v>
      </c>
      <c r="AC642" s="6" t="str">
        <f>IFERROR(__xludf.DUMMYFUNCTION("""COMPUTED_VALUE"""),"Всего хватает")</f>
        <v>Всего хватает</v>
      </c>
      <c r="AD64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42" s="6" t="str">
        <f>IFERROR(__xludf.DUMMYFUNCTION("""COMPUTED_VALUE"""),"Женский")</f>
        <v>Женский</v>
      </c>
      <c r="AF642" s="6" t="str">
        <f>IFERROR(__xludf.DUMMYFUNCTION("""COMPUTED_VALUE"""),"30-44")</f>
        <v>30-44</v>
      </c>
      <c r="AG642" s="6"/>
      <c r="AH642" s="6"/>
      <c r="AI642" s="6"/>
      <c r="AJ642" s="6"/>
      <c r="AK642" s="6"/>
      <c r="AL642" s="6"/>
      <c r="AM642" s="6"/>
    </row>
    <row r="643">
      <c r="A643" s="6">
        <v>642.0</v>
      </c>
      <c r="B643" s="6" t="str">
        <f>IFERROR(__xludf.DUMMYFUNCTION("""COMPUTED_VALUE"""),"Педагогическая деятельность, администрирование")</f>
        <v>Педагогическая деятельность, администрирование</v>
      </c>
      <c r="C643" s="6" t="str">
        <f>IFERROR(__xludf.DUMMYFUNCTION("""COMPUTED_VALUE"""),"Цветы, интерьер")</f>
        <v>Цветы, интерьер</v>
      </c>
      <c r="D643" s="6" t="str">
        <f>IFERROR(__xludf.DUMMYFUNCTION("""COMPUTED_VALUE"""),"Металлплощадка")</f>
        <v>Металлплощадка</v>
      </c>
      <c r="E643" s="6" t="str">
        <f>IFERROR(__xludf.DUMMYFUNCTION("""COMPUTED_VALUE"""),"Дом культуры, Центр Понутриевых")</f>
        <v>Дом культуры, Центр Понутриевых</v>
      </c>
      <c r="F643" s="6" t="str">
        <f>IFERROR(__xludf.DUMMYFUNCTION("""COMPUTED_VALUE"""),"20 лет")</f>
        <v>20 лет</v>
      </c>
      <c r="G643" s="6" t="str">
        <f>IFERROR(__xludf.DUMMYFUNCTION("""COMPUTED_VALUE"""),"Проспект Притомский, Притомская набережная")</f>
        <v>Проспект Притомский, Притомская набережная</v>
      </c>
      <c r="H643" s="6" t="str">
        <f>IFERROR(__xludf.DUMMYFUNCTION("""COMPUTED_VALUE"""),"Томь, Березовая роща, Театр, Филармония, Краеведческий музей")</f>
        <v>Томь, Березовая роща, Театр, Филармония, Краеведческий музей</v>
      </c>
      <c r="I643" s="6" t="str">
        <f>IFERROR(__xludf.DUMMYFUNCTION("""COMPUTED_VALUE"""),"Волков")</f>
        <v>Волков</v>
      </c>
      <c r="J643" s="6" t="str">
        <f>IFERROR(__xludf.DUMMYFUNCTION("""COMPUTED_VALUE"""),"Леонов")</f>
        <v>Леонов</v>
      </c>
      <c r="K643" s="6" t="str">
        <f>IFERROR(__xludf.DUMMYFUNCTION("""COMPUTED_VALUE"""),"ул. Весенняя, проспект Притомский, парк ""Зимняя вишня""")</f>
        <v>ул. Весенняя, проспект Притомский, парк "Зимняя вишня"</v>
      </c>
      <c r="L643" s="6" t="str">
        <f>IFERROR(__xludf.DUMMYFUNCTION("""COMPUTED_VALUE"""),"Не знаю")</f>
        <v>Не знаю</v>
      </c>
      <c r="M643" s="6" t="str">
        <f>IFERROR(__xludf.DUMMYFUNCTION("""COMPUTED_VALUE"""),"""Человек из Кемерово"" (группа ""Аквариум"")")</f>
        <v>"Человек из Кемерово" (группа "Аквариум")</v>
      </c>
      <c r="N643" s="6" t="str">
        <f>IFERROR(__xludf.DUMMYFUNCTION("""COMPUTED_VALUE"""),"Красивый, Современный, Чистый, Центр культуры, Спортивный")</f>
        <v>Красивый, Современный, Чистый, Центр культуры, Спортивный</v>
      </c>
      <c r="O643" s="6" t="str">
        <f>IFERROR(__xludf.DUMMYFUNCTION("""COMPUTED_VALUE"""),"Усовершенствовать систему ЖКХ (ценовая политика, ассортимент услуг)")</f>
        <v>Усовершенствовать систему ЖКХ (ценовая политика, ассортимент услуг)</v>
      </c>
      <c r="P643" s="6" t="str">
        <f>IFERROR(__xludf.DUMMYFUNCTION("""COMPUTED_VALUE"""),"Инстаграмм, ТV, пресса")</f>
        <v>Инстаграмм, ТV, пресса</v>
      </c>
      <c r="Q643"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643" s="6" t="str">
        <f>IFERROR(__xludf.DUMMYFUNCTION("""COMPUTED_VALUE"""),"День города, День Победы, День России")</f>
        <v>День города, День Победы, День России</v>
      </c>
      <c r="S643"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v>
      </c>
      <c r="T643" s="6" t="str">
        <f>IFERROR(__xludf.DUMMYFUNCTION("""COMPUTED_VALUE"""),"Краеведческий музей, Березовая роща, Театры")</f>
        <v>Краеведческий музей, Березовая роща, Театры</v>
      </c>
      <c r="U643" s="6" t="str">
        <f>IFERROR(__xludf.DUMMYFUNCTION("""COMPUTED_VALUE"""),"Притомская набережная, Площадь Советов, Бренд Буква Кузбасс")</f>
        <v>Притомская набережная, Площадь Советов, Бренд Буква Кузбасс</v>
      </c>
      <c r="V643" s="6" t="str">
        <f>IFERROR(__xludf.DUMMYFUNCTION("""COMPUTED_VALUE"""),"Создание культурного базиса; у города есть архитектурная составляющая. Из современных достижений - перспектива Притомского проспекта")</f>
        <v>Создание культурного базиса; у города есть архитектурная составляющая. Из современных достижений - перспектива Притомского проспекта</v>
      </c>
      <c r="W643" s="6" t="str">
        <f>IFERROR(__xludf.DUMMYFUNCTION("""COMPUTED_VALUE"""),"Образованные, современные, креативные, доброжелательные.")</f>
        <v>Образованные, современные, креативные, доброжелательные.</v>
      </c>
      <c r="X643" s="6" t="str">
        <f>IFERROR(__xludf.DUMMYFUNCTION("""COMPUTED_VALUE"""),"Ул. Весенняя, набережная")</f>
        <v>Ул. Весенняя, набережная</v>
      </c>
      <c r="Y643" s="6" t="str">
        <f>IFERROR(__xludf.DUMMYFUNCTION("""COMPUTED_VALUE"""),"Памятник М. Волкову, памятник А. Леонову")</f>
        <v>Памятник М. Волкову, памятник А. Леонову</v>
      </c>
      <c r="Z643" s="6" t="str">
        <f>IFERROR(__xludf.DUMMYFUNCTION("""COMPUTED_VALUE"""),"Развитие в Культурной жизни, создание культурных кластеров")</f>
        <v>Развитие в Культурной жизни, создание культурных кластеров</v>
      </c>
      <c r="AA643" s="6" t="str">
        <f>IFERROR(__xludf.DUMMYFUNCTION("""COMPUTED_VALUE"""),"Трагедия в ""Зимней вишне""")</f>
        <v>Трагедия в "Зимней вишне"</v>
      </c>
      <c r="AB643" s="6" t="str">
        <f>IFERROR(__xludf.DUMMYFUNCTION("""COMPUTED_VALUE"""),"Хватает")</f>
        <v>Хватает</v>
      </c>
      <c r="AC643" s="6" t="str">
        <f>IFERROR(__xludf.DUMMYFUNCTION("""COMPUTED_VALUE"""),"Открытые концерты камерной музыки -Оупенэйр ")</f>
        <v>Открытые концерты камерной музыки -Оупенэйр </v>
      </c>
      <c r="AD643"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643" s="6" t="str">
        <f>IFERROR(__xludf.DUMMYFUNCTION("""COMPUTED_VALUE"""),"Женский")</f>
        <v>Женский</v>
      </c>
      <c r="AF643" s="6" t="str">
        <f>IFERROR(__xludf.DUMMYFUNCTION("""COMPUTED_VALUE"""),"старше 55")</f>
        <v>старше 55</v>
      </c>
      <c r="AG643" s="6"/>
      <c r="AH643" s="6"/>
      <c r="AI643" s="6"/>
      <c r="AJ643" s="6"/>
      <c r="AK643" s="6"/>
      <c r="AL643" s="6"/>
      <c r="AM643" s="6"/>
    </row>
    <row r="644">
      <c r="A644" s="6">
        <v>643.0</v>
      </c>
      <c r="B644" s="6" t="str">
        <f>IFERROR(__xludf.DUMMYFUNCTION("""COMPUTED_VALUE"""),"Работаю")</f>
        <v>Работаю</v>
      </c>
      <c r="C644" s="6" t="str">
        <f>IFERROR(__xludf.DUMMYFUNCTION("""COMPUTED_VALUE"""),"Уделяю время семье, на хобби нет времени")</f>
        <v>Уделяю время семье, на хобби нет времени</v>
      </c>
      <c r="D644" s="6" t="str">
        <f>IFERROR(__xludf.DUMMYFUNCTION("""COMPUTED_VALUE"""),"Поселок Улус")</f>
        <v>Поселок Улус</v>
      </c>
      <c r="E644" s="6" t="str">
        <f>IFERROR(__xludf.DUMMYFUNCTION("""COMPUTED_VALUE"""),"Мусорка. Остановка. Магазин ")</f>
        <v>Мусорка. Остановка. Магазин </v>
      </c>
      <c r="F644" s="6" t="str">
        <f>IFERROR(__xludf.DUMMYFUNCTION("""COMPUTED_VALUE"""),"Переехал сюда из другого места (откуда? укажите в графе другое), С деревни")</f>
        <v>Переехал сюда из другого места (откуда? укажите в графе другое), С деревни</v>
      </c>
      <c r="G644" s="6" t="str">
        <f>IFERROR(__xludf.DUMMYFUNCTION("""COMPUTED_VALUE"""),"С детьми в парки, где можно погулять и показаться на качелях, полазить на детских площадках, покататься на самокате по асфальту. И прочее, пока живём для детей.")</f>
        <v>С детьми в парки, где можно погулять и показаться на качелях, полазить на детских площадках, покататься на самокате по асфальту. И прочее, пока живём для детей.</v>
      </c>
      <c r="H644" s="6" t="str">
        <f>IFERROR(__xludf.DUMMYFUNCTION("""COMPUTED_VALUE"""),"Отвратительное отношение к жителям и их детям")</f>
        <v>Отвратительное отношение к жителям и их детям</v>
      </c>
      <c r="I644" s="6" t="str">
        <f>IFERROR(__xludf.DUMMYFUNCTION("""COMPUTED_VALUE"""),"В.Волошина, Ю.Двужильный, С.Рутгерс, А.Леонов")</f>
        <v>В.Волошина, Ю.Двужильный, С.Рутгерс, А.Леонов</v>
      </c>
      <c r="J644" s="6" t="str">
        <f>IFERROR(__xludf.DUMMYFUNCTION("""COMPUTED_VALUE"""),"Мне они неизвестны")</f>
        <v>Мне они неизвестны</v>
      </c>
      <c r="K644" s="6" t="str">
        <f>IFERROR(__xludf.DUMMYFUNCTION("""COMPUTED_VALUE"""),"Музей Красная Горка")</f>
        <v>Музей Красная Горка</v>
      </c>
      <c r="L644" s="6" t="str">
        <f>IFERROR(__xludf.DUMMYFUNCTION("""COMPUTED_VALUE"""),"Плохого писать не хочется уже")</f>
        <v>Плохого писать не хочется уже</v>
      </c>
      <c r="M644" s="6" t="str">
        <f>IFERROR(__xludf.DUMMYFUNCTION("""COMPUTED_VALUE"""),"Нет")</f>
        <v>Нет</v>
      </c>
      <c r="N644" s="6" t="str">
        <f>IFERROR(__xludf.DUMMYFUNCTION("""COMPUTED_VALUE"""),"Чистота, Красота, Хороший дороги, Вода в каждый дом, Площадки для детей")</f>
        <v>Чистота, Красота, Хороший дороги, Вода в каждый дом, Площадки для детей</v>
      </c>
      <c r="O644" s="6" t="str">
        <f>IFERROR(__xludf.DUMMYFUNCTION("""COMPUTED_VALUE"""),"Дороги")</f>
        <v>Дороги</v>
      </c>
      <c r="P644" s="6" t="str">
        <f>IFERROR(__xludf.DUMMYFUNCTION("""COMPUTED_VALUE"""),"Новости")</f>
        <v>Новости</v>
      </c>
      <c r="Q644" s="6" t="str">
        <f>IFERROR(__xludf.DUMMYFUNCTION("""COMPUTED_VALUE"""),"куда пойти в свободное время")</f>
        <v>куда пойти в свободное время</v>
      </c>
      <c r="R644" s="6" t="str">
        <f>IFERROR(__xludf.DUMMYFUNCTION("""COMPUTED_VALUE"""),"Нет таких")</f>
        <v>Нет таких</v>
      </c>
      <c r="S644" s="6" t="str">
        <f>IFERROR(__xludf.DUMMYFUNCTION("""COMPUTED_VALUE"""),"Нет, не приходилось")</f>
        <v>Нет, не приходилось</v>
      </c>
      <c r="T644" s="6" t="str">
        <f>IFERROR(__xludf.DUMMYFUNCTION("""COMPUTED_VALUE"""),"Грязный, а к Кому ехать ещё от Азота пахнет не розами")</f>
        <v>Грязный, а к Кому ехать ещё от Азота пахнет не розами</v>
      </c>
      <c r="U644" s="6" t="str">
        <f>IFERROR(__xludf.DUMMYFUNCTION("""COMPUTED_VALUE"""),"Площадь Советов")</f>
        <v>Площадь Советов</v>
      </c>
      <c r="V644" s="6" t="str">
        <f>IFERROR(__xludf.DUMMYFUNCTION("""COMPUTED_VALUE"""),"Много всего")</f>
        <v>Много всего</v>
      </c>
      <c r="W644" s="6" t="str">
        <f>IFERROR(__xludf.DUMMYFUNCTION("""COMPUTED_VALUE"""),"Уставшие")</f>
        <v>Уставшие</v>
      </c>
      <c r="X644" s="6" t="str">
        <f>IFERROR(__xludf.DUMMYFUNCTION("""COMPUTED_VALUE"""),"Нет такого")</f>
        <v>Нет такого</v>
      </c>
      <c r="Y644" s="6" t="str">
        <f>IFERROR(__xludf.DUMMYFUNCTION("""COMPUTED_VALUE"""),"Какое-то для меня неизвестное")</f>
        <v>Какое-то для меня неизвестное</v>
      </c>
      <c r="Z644" s="6" t="str">
        <f>IFERROR(__xludf.DUMMYFUNCTION("""COMPUTED_VALUE"""),"Никакие")</f>
        <v>Никакие</v>
      </c>
      <c r="AA644" s="6" t="str">
        <f>IFERROR(__xludf.DUMMYFUNCTION("""COMPUTED_VALUE"""),"Конкретно этой весной растаял снег и появились все колдобины на дорогах и их никто не торопиться устранять")</f>
        <v>Конкретно этой весной растаял снег и появились все колдобины на дорогах и их никто не торопиться устранять</v>
      </c>
      <c r="AB644" s="6" t="str">
        <f>IFERROR(__xludf.DUMMYFUNCTION("""COMPUTED_VALUE"""),"Никаких")</f>
        <v>Никаких</v>
      </c>
      <c r="AC644" s="6" t="str">
        <f>IFERROR(__xludf.DUMMYFUNCTION("""COMPUTED_VALUE"""),"Установка детских площадок, парков в жилых районах. Чтоб детей не страшно было выпустить прокатиться на велосипеде.")</f>
        <v>Установка детских площадок, парков в жилых районах. Чтоб детей не страшно было выпустить прокатиться на велосипеде.</v>
      </c>
      <c r="AD64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44" s="6" t="str">
        <f>IFERROR(__xludf.DUMMYFUNCTION("""COMPUTED_VALUE"""),"Женский")</f>
        <v>Женский</v>
      </c>
      <c r="AF644" s="6" t="str">
        <f>IFERROR(__xludf.DUMMYFUNCTION("""COMPUTED_VALUE"""),"30-44")</f>
        <v>30-44</v>
      </c>
      <c r="AG644" s="6"/>
      <c r="AH644" s="6"/>
      <c r="AI644" s="6"/>
      <c r="AJ644" s="6"/>
      <c r="AK644" s="6"/>
      <c r="AL644" s="6"/>
      <c r="AM644" s="6"/>
    </row>
    <row r="645">
      <c r="A645" s="6">
        <v>644.0</v>
      </c>
      <c r="B645" s="6" t="str">
        <f>IFERROR(__xludf.DUMMYFUNCTION("""COMPUTED_VALUE"""),"частная практика")</f>
        <v>частная практика</v>
      </c>
      <c r="C645" s="6" t="str">
        <f>IFERROR(__xludf.DUMMYFUNCTION("""COMPUTED_VALUE"""),"музыка, искусство, шитье, прогулки")</f>
        <v>музыка, искусство, шитье, прогулки</v>
      </c>
      <c r="D645" s="6" t="str">
        <f>IFERROR(__xludf.DUMMYFUNCTION("""COMPUTED_VALUE"""),"в центральном. Старый Центр")</f>
        <v>в центральном. Старый Центр</v>
      </c>
      <c r="E645" s="6" t="str">
        <f>IFERROR(__xludf.DUMMYFUNCTION("""COMPUTED_VALUE"""),"площадь Пушкина, Весенняя, Драмтеатр, Набережная, парк Чудес, Парк Победы и Антошка, парк Ангелов")</f>
        <v>площадь Пушкина, Весенняя, Драмтеатр, Набережная, парк Чудес, Парк Победы и Антошка, парк Ангелов</v>
      </c>
      <c r="F645" s="6" t="str">
        <f>IFERROR(__xludf.DUMMYFUNCTION("""COMPUTED_VALUE"""),"Живу здесь с рождения")</f>
        <v>Живу здесь с рождения</v>
      </c>
      <c r="G645" s="6" t="str">
        <f>IFERROR(__xludf.DUMMYFUNCTION("""COMPUTED_VALUE"""),"В Бор, в скверы, в Журавли")</f>
        <v>В Бор, в скверы, в Журавли</v>
      </c>
      <c r="H645" s="6" t="str">
        <f>IFERROR(__xludf.DUMMYFUNCTION("""COMPUTED_VALUE"""),"родной, пыльный, грубоватый, неухоженный, недружественный к пешеходам")</f>
        <v>родной, пыльный, грубоватый, неухоженный, недружественный к пешеходам</v>
      </c>
      <c r="I645" s="6" t="str">
        <f>IFERROR(__xludf.DUMMYFUNCTION("""COMPUTED_VALUE"""),"Рутгерс, Волков, ")</f>
        <v>Рутгерс, Волков, </v>
      </c>
      <c r="J645" s="6" t="str">
        <f>IFERROR(__xludf.DUMMYFUNCTION("""COMPUTED_VALUE"""),"Гришковец, Михайлов, Подгорбунский, ")</f>
        <v>Гришковец, Михайлов, Подгорбунский, </v>
      </c>
      <c r="K645" s="6" t="str">
        <f>IFERROR(__xludf.DUMMYFUNCTION("""COMPUTED_VALUE"""),"Старый Цетнр, памятник погибшим шахтерам, Бор, Лесную поляну")</f>
        <v>Старый Цетнр, памятник погибшим шахтерам, Бор, Лесную поляну</v>
      </c>
      <c r="L645" s="6" t="str">
        <f>IFERROR(__xludf.DUMMYFUNCTION("""COMPUTED_VALUE"""),"не знаю")</f>
        <v>не знаю</v>
      </c>
      <c r="M645" s="6" t="str">
        <f>IFERROR(__xludf.DUMMYFUNCTION("""COMPUTED_VALUE"""),"человек из Кемерово")</f>
        <v>человек из Кемерово</v>
      </c>
      <c r="N645" s="6" t="str">
        <f>IFERROR(__xludf.DUMMYFUNCTION("""COMPUTED_VALUE"""),"Удобство для пешего передвижения и отдыха, много зеленых скверов, доступный транспорт, чистота и экологичный общественный транспорт, общественные туалеты")</f>
        <v>Удобство для пешего передвижения и отдыха, много зеленых скверов, доступный транспорт, чистота и экологичный общественный транспорт, общественные туалеты</v>
      </c>
      <c r="O645" s="6" t="str">
        <f>IFERROR(__xludf.DUMMYFUNCTION("""COMPUTED_VALUE"""),"решить вопрос с чистотой и доступностью общественных туалетов, озеленение, остановить всепоглощающую, грязную  пыль, установить много лавочек для отдыха")</f>
        <v>решить вопрос с чистотой и доступностью общественных туалетов, озеленение, остановить всепоглощающую, грязную  пыль, установить много лавочек для отдыха</v>
      </c>
      <c r="P645" s="6" t="str">
        <f>IFERROR(__xludf.DUMMYFUNCTION("""COMPUTED_VALUE"""),"фэйсбук")</f>
        <v>фэйсбук</v>
      </c>
      <c r="Q645"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645" s="6" t="str">
        <f>IFERROR(__xludf.DUMMYFUNCTION("""COMPUTED_VALUE"""),"день победы, день города, новый год")</f>
        <v>день победы, день города, новый год</v>
      </c>
      <c r="S645" s="6" t="str">
        <f>IFERROR(__xludf.DUMMYFUNCTION("""COMPUTED_VALUE"""),"Нет, не приходилось")</f>
        <v>Нет, не приходилось</v>
      </c>
      <c r="T645" s="6" t="str">
        <f>IFERROR(__xludf.DUMMYFUNCTION("""COMPUTED_VALUE"""),"Наличие Бора в городской черте.  обычный промышленный город. Теперь знаменит Зимней вишней. Тюрьмами и колониями в большом количестве")</f>
        <v>Наличие Бора в городской черте.  обычный промышленный город. Теперь знаменит Зимней вишней. Тюрьмами и колониями в большом количестве</v>
      </c>
      <c r="U645" s="6" t="str">
        <f>IFERROR(__xludf.DUMMYFUNCTION("""COMPUTED_VALUE"""),"старый центр")</f>
        <v>старый центр</v>
      </c>
      <c r="V645" s="6" t="str">
        <f>IFERROR(__xludf.DUMMYFUNCTION("""COMPUTED_VALUE"""),"построили город , смонтировали и запустили заводы, перевезенные во время ВОВ, приняли ")</f>
        <v>построили город , смонтировали и запустили заводы, перевезенные во время ВОВ, приняли </v>
      </c>
      <c r="W645" s="6" t="str">
        <f>IFERROR(__xludf.DUMMYFUNCTION("""COMPUTED_VALUE"""),"обычные люди, разные. В основной массе, простые и жаждущие развлечений. Любители дачь и огородов. ")</f>
        <v>обычные люди, разные. В основной массе, простые и жаждущие развлечений. Любители дачь и огородов. </v>
      </c>
      <c r="X645" s="6" t="str">
        <f>IFERROR(__xludf.DUMMYFUNCTION("""COMPUTED_VALUE"""),"Центр")</f>
        <v>Центр</v>
      </c>
      <c r="Y645" s="6" t="str">
        <f>IFERROR(__xludf.DUMMYFUNCTION("""COMPUTED_VALUE"""),"Приезд Голландцев и строительство рудника")</f>
        <v>Приезд Голландцев и строительство рудника</v>
      </c>
      <c r="Z645" s="6" t="str">
        <f>IFERROR(__xludf.DUMMYFUNCTION("""COMPUTED_VALUE"""),"Строительство парка Ангелов, сохранение Бора, строительство кадетского корпуса")</f>
        <v>Строительство парка Ангелов, сохранение Бора, строительство кадетского корпуса</v>
      </c>
      <c r="AA645" s="6" t="str">
        <f>IFERROR(__xludf.DUMMYFUNCTION("""COMPUTED_VALUE"""),"попытка вторгнуться на территорию Бора, запущенность дорог и грязь")</f>
        <v>попытка вторгнуться на территорию Бора, запущенность дорог и грязь</v>
      </c>
      <c r="AB645" s="6" t="str">
        <f>IFERROR(__xludf.DUMMYFUNCTION("""COMPUTED_VALUE"""),"сообщество добрых городских инициатив")</f>
        <v>сообщество добрых городских инициатив</v>
      </c>
      <c r="AC645" s="6" t="str">
        <f>IFERROR(__xludf.DUMMYFUNCTION("""COMPUTED_VALUE"""),"фестивали тематические, детские мероприятия, мероприятия для пожилых, дворовые фестивали")</f>
        <v>фестивали тематические, детские мероприятия, мероприятия для пожилых, дворовые фестивали</v>
      </c>
      <c r="AD64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45" s="6" t="str">
        <f>IFERROR(__xludf.DUMMYFUNCTION("""COMPUTED_VALUE"""),"Женский")</f>
        <v>Женский</v>
      </c>
      <c r="AF645" s="6" t="str">
        <f>IFERROR(__xludf.DUMMYFUNCTION("""COMPUTED_VALUE"""),"45-55")</f>
        <v>45-55</v>
      </c>
      <c r="AG645" s="6"/>
      <c r="AH645" s="6"/>
      <c r="AI645" s="6"/>
      <c r="AJ645" s="6"/>
      <c r="AK645" s="6"/>
      <c r="AL645" s="6"/>
      <c r="AM645" s="6"/>
    </row>
    <row r="646">
      <c r="A646" s="6">
        <v>645.0</v>
      </c>
      <c r="B646" s="6" t="str">
        <f>IFERROR(__xludf.DUMMYFUNCTION("""COMPUTED_VALUE"""),"Работаю")</f>
        <v>Работаю</v>
      </c>
      <c r="C646" s="6" t="str">
        <f>IFERROR(__xludf.DUMMYFUNCTION("""COMPUTED_VALUE"""),"Отдых")</f>
        <v>Отдых</v>
      </c>
      <c r="D646" s="6" t="str">
        <f>IFERROR(__xludf.DUMMYFUNCTION("""COMPUTED_VALUE"""),"Заводский район п Улус")</f>
        <v>Заводский район п Улус</v>
      </c>
      <c r="E646" s="6" t="str">
        <f>IFERROR(__xludf.DUMMYFUNCTION("""COMPUTED_VALUE"""),"В нашем поселке нет не чего. Не воды ,не парка, не детских площадок .. по прогулкам пройти не возможно .")</f>
        <v>В нашем поселке нет не чего. Не воды ,не парка, не детских площадок .. по прогулкам пройти не возможно .</v>
      </c>
      <c r="F646" s="6" t="str">
        <f>IFERROR(__xludf.DUMMYFUNCTION("""COMPUTED_VALUE"""),"Живу здесь с рождения")</f>
        <v>Живу здесь с рождения</v>
      </c>
      <c r="G646" s="6" t="str">
        <f>IFERROR(__xludf.DUMMYFUNCTION("""COMPUTED_VALUE"""),"В город в парк , так как у нас их нет")</f>
        <v>В город в парк , так как у нас их нет</v>
      </c>
      <c r="H646" s="6" t="str">
        <f>IFERROR(__xludf.DUMMYFUNCTION("""COMPUTED_VALUE"""),"Уголь, Тулеев, Улус нет воды и площадок детских")</f>
        <v>Уголь, Тулеев, Улус нет воды и площадок детских</v>
      </c>
      <c r="I646" s="6" t="str">
        <f>IFERROR(__xludf.DUMMYFUNCTION("""COMPUTED_VALUE"""),"Тулеев А.Г")</f>
        <v>Тулеев А.Г</v>
      </c>
      <c r="J646" s="6" t="str">
        <f>IFERROR(__xludf.DUMMYFUNCTION("""COMPUTED_VALUE"""),"Леонов")</f>
        <v>Леонов</v>
      </c>
      <c r="K646" s="6" t="str">
        <f>IFERROR(__xludf.DUMMYFUNCTION("""COMPUTED_VALUE"""),"Я бы показала мой поселок Улус , как люди в 21 веке живут.")</f>
        <v>Я бы показала мой поселок Улус , как люди в 21 веке живут.</v>
      </c>
      <c r="L646" s="6" t="str">
        <f>IFERROR(__xludf.DUMMYFUNCTION("""COMPUTED_VALUE"""),"Нет денег мы это слышим от администрации города.")</f>
        <v>Нет денег мы это слышим от администрации города.</v>
      </c>
      <c r="M646" s="6" t="str">
        <f>IFERROR(__xludf.DUMMYFUNCTION("""COMPUTED_VALUE"""),"Чёрное небо ")</f>
        <v>Чёрное небо </v>
      </c>
      <c r="N646" s="6" t="str">
        <f>IFERROR(__xludf.DUMMYFUNCTION("""COMPUTED_VALUE"""),"В городе много комфорта,  только не у нас в поселке Улус заводского района")</f>
        <v>В городе много комфорта,  только не у нас в поселке Улус заводского района</v>
      </c>
      <c r="O646" s="6" t="str">
        <f>IFERROR(__xludf.DUMMYFUNCTION("""COMPUTED_VALUE"""),"Сделать ,чтобы жители жили в комфорте,  провести воду ,сделать детские площадки облагородить поселок Улус")</f>
        <v>Сделать ,чтобы жители жили в комфорте,  провести воду ,сделать детские площадки облагородить поселок Улус</v>
      </c>
      <c r="P646" s="6" t="str">
        <f>IFERROR(__xludf.DUMMYFUNCTION("""COMPUTED_VALUE"""),"Вк")</f>
        <v>Вк</v>
      </c>
      <c r="Q646" s="6" t="str">
        <f>IFERROR(__xludf.DUMMYFUNCTION("""COMPUTED_VALUE"""),"куда пойти в свободное время")</f>
        <v>куда пойти в свободное время</v>
      </c>
      <c r="R646" s="6" t="str">
        <f>IFERROR(__xludf.DUMMYFUNCTION("""COMPUTED_VALUE"""),"Не каких")</f>
        <v>Не каких</v>
      </c>
      <c r="S646"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646" s="6" t="str">
        <f>IFERROR(__xludf.DUMMYFUNCTION("""COMPUTED_VALUE"""),"Уголь , Тулеев")</f>
        <v>Уголь , Тулеев</v>
      </c>
      <c r="U646" s="6" t="str">
        <f>IFERROR(__xludf.DUMMYFUNCTION("""COMPUTED_VALUE"""),"Парк ангелов")</f>
        <v>Парк ангелов</v>
      </c>
      <c r="V646" s="6" t="str">
        <f>IFERROR(__xludf.DUMMYFUNCTION("""COMPUTED_VALUE"""),"Космос ")</f>
        <v>Космос </v>
      </c>
      <c r="W646" s="6" t="str">
        <f>IFERROR(__xludf.DUMMYFUNCTION("""COMPUTED_VALUE"""),"Добрые и отзывчивые")</f>
        <v>Добрые и отзывчивые</v>
      </c>
      <c r="X646" s="6" t="str">
        <f>IFERROR(__xludf.DUMMYFUNCTION("""COMPUTED_VALUE"""),"Парк чудес")</f>
        <v>Парк чудес</v>
      </c>
      <c r="Y646" s="6" t="str">
        <f>IFERROR(__xludf.DUMMYFUNCTION("""COMPUTED_VALUE"""),"Сторительство ТЦ ")</f>
        <v>Сторительство ТЦ </v>
      </c>
      <c r="Z646" s="6" t="str">
        <f>IFERROR(__xludf.DUMMYFUNCTION("""COMPUTED_VALUE"""),"Не каких")</f>
        <v>Не каких</v>
      </c>
      <c r="AA646" s="6" t="str">
        <f>IFERROR(__xludf.DUMMYFUNCTION("""COMPUTED_VALUE"""),"Власть ")</f>
        <v>Власть </v>
      </c>
      <c r="AB646" s="6" t="str">
        <f>IFERROR(__xludf.DUMMYFUNCTION("""COMPUTED_VALUE"""),"Мне не хватает ,того чтоб облагородили мой поселок Улус")</f>
        <v>Мне не хватает ,того чтоб облагородили мой поселок Улус</v>
      </c>
      <c r="AC646" s="6" t="str">
        <f>IFERROR(__xludf.DUMMYFUNCTION("""COMPUTED_VALUE"""),"Больше рабочих мест и чтоб зарплаты были достойные")</f>
        <v>Больше рабочих мест и чтоб зарплаты были достойные</v>
      </c>
      <c r="AD64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646" s="6" t="str">
        <f>IFERROR(__xludf.DUMMYFUNCTION("""COMPUTED_VALUE"""),"Женский")</f>
        <v>Женский</v>
      </c>
      <c r="AF646" s="6" t="str">
        <f>IFERROR(__xludf.DUMMYFUNCTION("""COMPUTED_VALUE"""),"30-44")</f>
        <v>30-44</v>
      </c>
      <c r="AG646" s="6"/>
      <c r="AH646" s="6"/>
      <c r="AI646" s="6"/>
      <c r="AJ646" s="6"/>
      <c r="AK646" s="6"/>
      <c r="AL646" s="6"/>
      <c r="AM646" s="6"/>
    </row>
    <row r="647">
      <c r="A647" s="6">
        <v>646.0</v>
      </c>
      <c r="B647" s="6" t="str">
        <f>IFERROR(__xludf.DUMMYFUNCTION("""COMPUTED_VALUE"""),"Бюджетник")</f>
        <v>Бюджетник</v>
      </c>
      <c r="C647" s="6" t="str">
        <f>IFERROR(__xludf.DUMMYFUNCTION("""COMPUTED_VALUE"""),"Да, люблю создавать красивый макияж.")</f>
        <v>Да, люблю создавать красивый макияж.</v>
      </c>
      <c r="D647" s="6" t="str">
        <f>IFERROR(__xludf.DUMMYFUNCTION("""COMPUTED_VALUE"""),"Ленинский. Спальный район")</f>
        <v>Ленинский. Спальный район</v>
      </c>
      <c r="E647" s="6" t="str">
        <f>IFERROR(__xludf.DUMMYFUNCTION("""COMPUTED_VALUE"""),"Бульвар строителей(новая линейная парковая зона),храм Св.Троицы")</f>
        <v>Бульвар строителей(новая линейная парковая зона),храм Св.Троицы</v>
      </c>
      <c r="F647" s="6" t="str">
        <f>IFERROR(__xludf.DUMMYFUNCTION("""COMPUTED_VALUE"""),"Переехал сюда из другого места (откуда? укажите в графе другое), Переехала из г. Ленинск-Кузнецкий")</f>
        <v>Переехал сюда из другого места (откуда? укажите в графе другое), Переехала из г. Ленинск-Кузнецкий</v>
      </c>
      <c r="G647" s="6" t="str">
        <f>IFERROR(__xludf.DUMMYFUNCTION("""COMPUTED_VALUE"""),"Дет.библиотеку им. А.Береснева, горсад, театры.")</f>
        <v>Дет.библиотеку им. А.Береснева, горсад, театры.</v>
      </c>
      <c r="H647" s="6" t="str">
        <f>IFERROR(__xludf.DUMMYFUNCTION("""COMPUTED_VALUE"""),"Фонтан, красная горка, памятник М.Волкову, ул.Весенняя, набередная.")</f>
        <v>Фонтан, красная горка, памятник М.Волкову, ул.Весенняя, набередная.</v>
      </c>
      <c r="I647" s="6" t="str">
        <f>IFERROR(__xludf.DUMMYFUNCTION("""COMPUTED_VALUE"""),"А,А. Леонов, А.Г. Тулеев, К. Бобров, Г. Е. Юров, В.Д.Волошина")</f>
        <v>А,А. Леонов, А.Г. Тулеев, К. Бобров, Г. Е. Юров, В.Д.Волошина</v>
      </c>
      <c r="J647" s="6" t="str">
        <f>IFERROR(__xludf.DUMMYFUNCTION("""COMPUTED_VALUE"""),"Михайлов В.В., Тулеев А.Г.")</f>
        <v>Михайлов В.В., Тулеев А.Г.</v>
      </c>
      <c r="K647" s="6" t="str">
        <f>IFERROR(__xludf.DUMMYFUNCTION("""COMPUTED_VALUE"""),"Красная Горка, театр.площадь, парк Ангелов, набередная, памятник Пушкину, ул.Весенняя")</f>
        <v>Красная Горка, театр.площадь, парк Ангелов, набередная, памятник Пушкину, ул.Весенняя</v>
      </c>
      <c r="L647" s="6" t="str">
        <f>IFERROR(__xludf.DUMMYFUNCTION("""COMPUTED_VALUE"""),"Пальто у памятника Ленану на пл. СОВЕТОВ сделан известным скульптором Л. Кербель застегивается на ""женскую сторону""; сбежал бегемот из цирка и облюбовал для пребывания берег реки Искитимки.")</f>
        <v>Пальто у памятника Ленану на пл. СОВЕТОВ сделан известным скульптором Л. Кербель застегивается на "женскую сторону"; сбежал бегемот из цирка и облюбовал для пребывания берег реки Искитимки.</v>
      </c>
      <c r="M647" s="6" t="str">
        <f>IFERROR(__xludf.DUMMYFUNCTION("""COMPUTED_VALUE"""),"Земля Кузнецкая, ""город доступный для жизни""")</f>
        <v>Земля Кузнецкая, "город доступный для жизни"</v>
      </c>
      <c r="N647" s="6" t="str">
        <f>IFERROR(__xludf.DUMMYFUNCTION("""COMPUTED_VALUE"""),"Чистота, комфорт, транспорт, надежность, забота, внимание со стороны администрации.")</f>
        <v>Чистота, комфорт, транспорт, надежность, забота, внимание со стороны администрации.</v>
      </c>
      <c r="O647" s="6" t="str">
        <f>IFERROR(__xludf.DUMMYFUNCTION("""COMPUTED_VALUE"""),"Транспорт, убрать снег и грязь.")</f>
        <v>Транспорт, убрать снег и грязь.</v>
      </c>
      <c r="P647" s="6" t="str">
        <f>IFERROR(__xludf.DUMMYFUNCTION("""COMPUTED_VALUE"""),"Кемерово культурный, библиотеки кемеровсеме рф")</f>
        <v>Кемерово культурный, библиотеки кемеровсеме рф</v>
      </c>
      <c r="Q647" s="6" t="str">
        <f>IFERROR(__xludf.DUMMYFUNCTION("""COMPUTED_VALUE"""),"городская афиша (кино/театр/концерты), интервью с местными творческими личностями")</f>
        <v>городская афиша (кино/театр/концерты), интервью с местными творческими личностями</v>
      </c>
      <c r="R647" s="6" t="str">
        <f>IFERROR(__xludf.DUMMYFUNCTION("""COMPUTED_VALUE"""),"День города, день Шахтера, 9 мая")</f>
        <v>День города, день Шахтера, 9 мая</v>
      </c>
      <c r="S647" s="6" t="str">
        <f>IFERROR(__xludf.DUMMYFUNCTION("""COMPUTED_VALUE"""),"Через социальные сети (Какие? Укажите в графе другое)")</f>
        <v>Через социальные сети (Какие? Укажите в графе другое)</v>
      </c>
      <c r="T647" s="6" t="str">
        <f>IFERROR(__xludf.DUMMYFUNCTION("""COMPUTED_VALUE"""),"Город приезжих, в городе есть памятники известных скульпторов, в нашем городе дебютировал известный клоун Ю. НИкулин")</f>
        <v>Город приезжих, в городе есть памятники известных скульпторов, в нашем городе дебютировал известный клоун Ю. НИкулин</v>
      </c>
      <c r="U647" s="6" t="str">
        <f>IFERROR(__xludf.DUMMYFUNCTION("""COMPUTED_VALUE"""),"Памятник М.Волкову")</f>
        <v>Памятник М.Волкову</v>
      </c>
      <c r="V647" s="6" t="str">
        <f>IFERROR(__xludf.DUMMYFUNCTION("""COMPUTED_VALUE"""),"Защищали страну в годы В.О. войны, спасали раненых в эвако госпиталях, отстраивали заводы, сажали деревья.")</f>
        <v>Защищали страну в годы В.О. войны, спасали раненых в эвако госпиталях, отстраивали заводы, сажали деревья.</v>
      </c>
      <c r="W647" s="6" t="str">
        <f>IFERROR(__xludf.DUMMYFUNCTION("""COMPUTED_VALUE"""),"Надежные, терпеливые, выносливые, стойкие.")</f>
        <v>Надежные, терпеливые, выносливые, стойкие.</v>
      </c>
      <c r="X647" s="6" t="str">
        <f>IFERROR(__xludf.DUMMYFUNCTION("""COMPUTED_VALUE"""),"Пл.Волкова, ул. Весенняя, набереж реки Томь ")</f>
        <v>Пл.Волкова, ул. Весенняя, набереж реки Томь </v>
      </c>
      <c r="Y647" s="6" t="str">
        <f>IFERROR(__xludf.DUMMYFUNCTION("""COMPUTED_VALUE"""),"Дебют Ю. Никулина, АИК Кузбасс, пожар в зим.вишне.")</f>
        <v>Дебют Ю. Никулина, АИК Кузбасс, пожар в зим.вишне.</v>
      </c>
      <c r="Z647" s="6" t="str">
        <f>IFERROR(__xludf.DUMMYFUNCTION("""COMPUTED_VALUE"""),"Кемеровчанка года, премьеры в театрах")</f>
        <v>Кемеровчанка года, премьеры в театрах</v>
      </c>
      <c r="AA647" s="6" t="str">
        <f>IFERROR(__xludf.DUMMYFUNCTION("""COMPUTED_VALUE"""),"Пожар в з.вишне")</f>
        <v>Пожар в з.вишне</v>
      </c>
      <c r="AB647" s="6" t="str">
        <f>IFERROR(__xludf.DUMMYFUNCTION("""COMPUTED_VALUE"""),"Сообщесва любителей своего города")</f>
        <v>Сообщесва любителей своего города</v>
      </c>
      <c r="AC647" s="6" t="str">
        <f>IFERROR(__xludf.DUMMYFUNCTION("""COMPUTED_VALUE"""),"Показы моды, дней красоты")</f>
        <v>Показы моды, дней красоты</v>
      </c>
      <c r="AD647"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647" s="6" t="str">
        <f>IFERROR(__xludf.DUMMYFUNCTION("""COMPUTED_VALUE"""),"Женский")</f>
        <v>Женский</v>
      </c>
      <c r="AF647" s="6" t="str">
        <f>IFERROR(__xludf.DUMMYFUNCTION("""COMPUTED_VALUE"""),"45-55")</f>
        <v>45-55</v>
      </c>
      <c r="AG647" s="6"/>
      <c r="AH647" s="6"/>
      <c r="AI647" s="6"/>
      <c r="AJ647" s="6"/>
      <c r="AK647" s="6"/>
      <c r="AL647" s="6"/>
      <c r="AM647" s="6"/>
    </row>
    <row r="648">
      <c r="A648" s="6">
        <v>647.0</v>
      </c>
      <c r="B648" s="6" t="str">
        <f>IFERROR(__xludf.DUMMYFUNCTION("""COMPUTED_VALUE"""),"Работаю")</f>
        <v>Работаю</v>
      </c>
      <c r="C648" s="6" t="str">
        <f>IFERROR(__xludf.DUMMYFUNCTION("""COMPUTED_VALUE"""),"Отдыхать")</f>
        <v>Отдыхать</v>
      </c>
      <c r="D648" s="6" t="str">
        <f>IFERROR(__xludf.DUMMYFUNCTION("""COMPUTED_VALUE"""),"Ленинский")</f>
        <v>Ленинский</v>
      </c>
      <c r="E648" s="6" t="str">
        <f>IFERROR(__xludf.DUMMYFUNCTION("""COMPUTED_VALUE"""),"Бульвар")</f>
        <v>Бульвар</v>
      </c>
      <c r="F648" s="6" t="str">
        <f>IFERROR(__xludf.DUMMYFUNCTION("""COMPUTED_VALUE"""),"Живу здесь с рождения")</f>
        <v>Живу здесь с рождения</v>
      </c>
      <c r="G648" s="6" t="str">
        <f>IFERROR(__xludf.DUMMYFUNCTION("""COMPUTED_VALUE"""),"Гуляю по улицам")</f>
        <v>Гуляю по улицам</v>
      </c>
      <c r="H648" s="6" t="str">
        <f>IFERROR(__xludf.DUMMYFUNCTION("""COMPUTED_VALUE"""),"Смог, провинция, тупик, мороз, пожар")</f>
        <v>Смог, провинция, тупик, мороз, пожар</v>
      </c>
      <c r="I648" s="6" t="str">
        <f>IFERROR(__xludf.DUMMYFUNCTION("""COMPUTED_VALUE"""),"Волков, Ван Лохем, Рутгерс, Волошина, Подгорбунский")</f>
        <v>Волков, Ван Лохем, Рутгерс, Волошина, Подгорбунский</v>
      </c>
      <c r="J648" s="6" t="str">
        <f>IFERROR(__xludf.DUMMYFUNCTION("""COMPUTED_VALUE"""),"Гришковец, Тулеев, Федорова, Шелепова, Сухацкий")</f>
        <v>Гришковец, Тулеев, Федорова, Шелепова, Сухацкий</v>
      </c>
      <c r="K648" s="6" t="str">
        <f>IFERROR(__xludf.DUMMYFUNCTION("""COMPUTED_VALUE"""),"Красная горка, Притомская набережная, Парк Ангелов ")</f>
        <v>Красная горка, Притомская набережная, Парк Ангелов </v>
      </c>
      <c r="L648" s="6" t="str">
        <f>IFERROR(__xludf.DUMMYFUNCTION("""COMPUTED_VALUE"""),"60 человек сгорели в торговом центре")</f>
        <v>60 человек сгорели в торговом центре</v>
      </c>
      <c r="M648" s="6" t="str">
        <f>IFERROR(__xludf.DUMMYFUNCTION("""COMPUTED_VALUE"""),"У родника, на Красной Горке")</f>
        <v>У родника, на Красной Горке</v>
      </c>
      <c r="N648" s="6" t="str">
        <f>IFERROR(__xludf.DUMMYFUNCTION("""COMPUTED_VALUE"""),"Чистые улицы, безопасность, отремонтированные дворы, регулярный транспорт, свежий  воздух")</f>
        <v>Чистые улицы, безопасность, отремонтированные дворы, регулярный транспорт, свежий  воздух</v>
      </c>
      <c r="O648" s="6" t="str">
        <f>IFERROR(__xludf.DUMMYFUNCTION("""COMPUTED_VALUE"""),"Правительство")</f>
        <v>Правительство</v>
      </c>
      <c r="P648" s="6" t="str">
        <f>IFERROR(__xludf.DUMMYFUNCTION("""COMPUTED_VALUE"""),"Слухи")</f>
        <v>Слухи</v>
      </c>
      <c r="Q648" s="6" t="str">
        <f>IFERROR(__xludf.DUMMYFUNCTION("""COMPUTED_VALUE"""),"интервью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648" s="6" t="str">
        <f>IFERROR(__xludf.DUMMYFUNCTION("""COMPUTED_VALUE"""),"День города ")</f>
        <v>День города </v>
      </c>
      <c r="S648" s="6" t="str">
        <f>IFERROR(__xludf.DUMMYFUNCTION("""COMPUTED_VALUE"""),"Нет, не приходилось")</f>
        <v>Нет, не приходилось</v>
      </c>
      <c r="T648" s="6" t="str">
        <f>IFERROR(__xludf.DUMMYFUNCTION("""COMPUTED_VALUE"""),"АИР")</f>
        <v>АИР</v>
      </c>
      <c r="U648" s="6" t="str">
        <f>IFERROR(__xludf.DUMMYFUNCTION("""COMPUTED_VALUE"""),"Весенняя")</f>
        <v>Весенняя</v>
      </c>
      <c r="V648" s="6" t="str">
        <f>IFERROR(__xludf.DUMMYFUNCTION("""COMPUTED_VALUE"""),"Выжили в годы войны")</f>
        <v>Выжили в годы войны</v>
      </c>
      <c r="W648" s="6" t="str">
        <f>IFERROR(__xludf.DUMMYFUNCTION("""COMPUTED_VALUE"""),"Хмурые, склочные")</f>
        <v>Хмурые, склочные</v>
      </c>
      <c r="X648" s="6" t="str">
        <f>IFERROR(__xludf.DUMMYFUNCTION("""COMPUTED_VALUE"""),"По Набережной до Красной горки")</f>
        <v>По Набережной до Красной горки</v>
      </c>
      <c r="Y648" s="6" t="str">
        <f>IFERROR(__xludf.DUMMYFUNCTION("""COMPUTED_VALUE"""),"Строительство завода Коксохим")</f>
        <v>Строительство завода Коксохим</v>
      </c>
      <c r="Z648" s="6" t="str">
        <f>IFERROR(__xludf.DUMMYFUNCTION("""COMPUTED_VALUE"""),"Карантин, открытие президентского кадетского корпуса")</f>
        <v>Карантин, открытие президентского кадетского корпуса</v>
      </c>
      <c r="AA648" s="6" t="str">
        <f>IFERROR(__xludf.DUMMYFUNCTION("""COMPUTED_VALUE"""),"Убрали много детских площадок, что бы съэкономить на ремонте")</f>
        <v>Убрали много детских площадок, что бы съэкономить на ремонте</v>
      </c>
      <c r="AB648" s="6" t="str">
        <f>IFERROR(__xludf.DUMMYFUNCTION("""COMPUTED_VALUE"""),"Бесплатная Помощь Уставшим родителям ")</f>
        <v>Бесплатная Помощь Уставшим родителям </v>
      </c>
      <c r="AC648" s="6" t="str">
        <f>IFERROR(__xludf.DUMMYFUNCTION("""COMPUTED_VALUE"""),"Построить аквапарк, бассейн")</f>
        <v>Построить аквапарк, бассейн</v>
      </c>
      <c r="AD648" s="6" t="str">
        <f>IFERROR(__xludf.DUMMYFUNCTION("""COMPUTED_VALUE"""),"Не готов принимать личное участие (укажите, пожалуйста, причину в поле «Другое»), Без денег не получится реализовать ни один проект. ")</f>
        <v>Не готов принимать личное участие (укажите, пожалуйста, причину в поле «Другое»), Без денег не получится реализовать ни один проект. </v>
      </c>
      <c r="AE648" s="6" t="str">
        <f>IFERROR(__xludf.DUMMYFUNCTION("""COMPUTED_VALUE"""),"Мужской")</f>
        <v>Мужской</v>
      </c>
      <c r="AF648" s="6" t="str">
        <f>IFERROR(__xludf.DUMMYFUNCTION("""COMPUTED_VALUE"""),"45-55")</f>
        <v>45-55</v>
      </c>
      <c r="AG648" s="6"/>
      <c r="AH648" s="6"/>
      <c r="AI648" s="6"/>
      <c r="AJ648" s="6"/>
      <c r="AK648" s="6"/>
      <c r="AL648" s="6"/>
      <c r="AM648" s="6"/>
    </row>
    <row r="649">
      <c r="A649" s="6">
        <v>648.0</v>
      </c>
      <c r="B649" s="6" t="str">
        <f>IFERROR(__xludf.DUMMYFUNCTION("""COMPUTED_VALUE""")," Работаю в библиотеке")</f>
        <v> Работаю в библиотеке</v>
      </c>
      <c r="C649" s="6" t="str">
        <f>IFERROR(__xludf.DUMMYFUNCTION("""COMPUTED_VALUE"""),"Люблю петь")</f>
        <v>Люблю петь</v>
      </c>
      <c r="D649" s="6" t="str">
        <f>IFERROR(__xludf.DUMMYFUNCTION("""COMPUTED_VALUE"""),"В ленинском")</f>
        <v>В ленинском</v>
      </c>
      <c r="E649" s="6" t="str">
        <f>IFERROR(__xludf.DUMMYFUNCTION("""COMPUTED_VALUE"""),"Бульвар строителей, фонтан в Шалготарьяне")</f>
        <v>Бульвар строителей, фонтан в Шалготарьяне</v>
      </c>
      <c r="F649" s="6" t="str">
        <f>IFERROR(__xludf.DUMMYFUNCTION("""COMPUTED_VALUE"""),"Живу здесь с рождения")</f>
        <v>Живу здесь с рождения</v>
      </c>
      <c r="G649" s="6" t="str">
        <f>IFERROR(__xludf.DUMMYFUNCTION("""COMPUTED_VALUE"""),"Парк Чудес, Комсомольский парк, набережная, берег Томи")</f>
        <v>Парк Чудес, Комсомольский парк, набережная, берег Томи</v>
      </c>
      <c r="H649" s="6" t="str">
        <f>IFERROR(__xludf.DUMMYFUNCTION("""COMPUTED_VALUE"""),"Красота, парки, библиотеки, культура, детские площадки")</f>
        <v>Красота, парки, библиотеки, культура, детские площадки</v>
      </c>
      <c r="I649" s="6" t="str">
        <f>IFERROR(__xludf.DUMMYFUNCTION("""COMPUTED_VALUE"""),"Леонов, Волошина, Волков Михайло, ")</f>
        <v>Леонов, Волошина, Волков Михайло, </v>
      </c>
      <c r="J649" s="6" t="str">
        <f>IFERROR(__xludf.DUMMYFUNCTION("""COMPUTED_VALUE"""),"Леонов Алексей, ")</f>
        <v>Леонов Алексей, </v>
      </c>
      <c r="K649" s="6" t="str">
        <f>IFERROR(__xludf.DUMMYFUNCTION("""COMPUTED_VALUE"""),"Парк Чудес, Набережная, памятник Леонову")</f>
        <v>Парк Чудес, Набережная, памятник Леонову</v>
      </c>
      <c r="L649" s="6" t="str">
        <f>IFERROR(__xludf.DUMMYFUNCTION("""COMPUTED_VALUE"""),"Сделал дело, гуляй смело. ")</f>
        <v>Сделал дело, гуляй смело. </v>
      </c>
      <c r="M649" s="6" t="str">
        <f>IFERROR(__xludf.DUMMYFUNCTION("""COMPUTED_VALUE"""),"Кемир - это уголь")</f>
        <v>Кемир - это уголь</v>
      </c>
      <c r="N649" s="6" t="str">
        <f>IFERROR(__xludf.DUMMYFUNCTION("""COMPUTED_VALUE"""),"Доступность, клумбы, поддержка чистоты, красивые дома, детские площадки")</f>
        <v>Доступность, клумбы, поддержка чистоты, красивые дома, детские площадки</v>
      </c>
      <c r="O649" s="6" t="str">
        <f>IFERROR(__xludf.DUMMYFUNCTION("""COMPUTED_VALUE"""),"Дороги, больше детских площадок, дворовые территории, так, чтоб детям было где играть")</f>
        <v>Дороги, больше детских площадок, дворовые территории, так, чтоб детям было где играть</v>
      </c>
      <c r="P649" s="6" t="str">
        <f>IFERROR(__xludf.DUMMYFUNCTION("""COMPUTED_VALUE"""),"По радио, телевидению, вконтакте")</f>
        <v>По радио, телевидению, вконтакте</v>
      </c>
      <c r="Q649"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649" s="6" t="str">
        <f>IFERROR(__xludf.DUMMYFUNCTION("""COMPUTED_VALUE"""),"Проводы русской зимы, день шахтера, 9 майя, новый год и др. ")</f>
        <v>Проводы русской зимы, день шахтера, 9 майя, новый год и др. </v>
      </c>
      <c r="S649" s="6" t="str">
        <f>IFERROR(__xludf.DUMMYFUNCTION("""COMPUTED_VALUE"""),"Писал и расклеивал объявления/афиши, Через социальные сети (Какие? Укажите в графе другое), Делал рассылку по электронной почте")</f>
        <v>Писал и расклеивал объявления/афиши, Через социальные сети (Какие? Укажите в графе другое), Делал рассылку по электронной почте</v>
      </c>
      <c r="T649" s="6" t="str">
        <f>IFERROR(__xludf.DUMMYFUNCTION("""COMPUTED_VALUE"""),"Люди, живущие в городе")</f>
        <v>Люди, живущие в городе</v>
      </c>
      <c r="U649" s="6" t="str">
        <f>IFERROR(__xludf.DUMMYFUNCTION("""COMPUTED_VALUE"""),"Площадь Советов, бульвар Строителей, Радуга, Привокзальная площадь, ")</f>
        <v>Площадь Советов, бульвар Строителей, Радуга, Привокзальная площадь, </v>
      </c>
      <c r="V649" s="6" t="str">
        <f>IFERROR(__xludf.DUMMYFUNCTION("""COMPUTED_VALUE"""),"Построили мой город")</f>
        <v>Построили мой город</v>
      </c>
      <c r="W649" s="6" t="str">
        <f>IFERROR(__xludf.DUMMYFUNCTION("""COMPUTED_VALUE"""),"Добрые, порядочные, вежлевые")</f>
        <v>Добрые, порядочные, вежлевые</v>
      </c>
      <c r="X649" s="6" t="str">
        <f>IFERROR(__xludf.DUMMYFUNCTION("""COMPUTED_VALUE"""),"По районам города")</f>
        <v>По районам города</v>
      </c>
      <c r="Y649" s="6" t="str">
        <f>IFERROR(__xludf.DUMMYFUNCTION("""COMPUTED_VALUE"""),"Строительство кадетского корпуса")</f>
        <v>Строительство кадетского корпуса</v>
      </c>
      <c r="Z649" s="6" t="str">
        <f>IFERROR(__xludf.DUMMYFUNCTION("""COMPUTED_VALUE"""),"Преобразование бульвара Строителей")</f>
        <v>Преобразование бульвара Строителей</v>
      </c>
      <c r="AA649" s="6" t="str">
        <f>IFERROR(__xludf.DUMMYFUNCTION("""COMPUTED_VALUE"""),"Плохие дороги")</f>
        <v>Плохие дороги</v>
      </c>
      <c r="AB649" s="6" t="str">
        <f>IFERROR(__xludf.DUMMYFUNCTION("""COMPUTED_VALUE"""),"Никаких")</f>
        <v>Никаких</v>
      </c>
      <c r="AC649" s="6" t="str">
        <f>IFERROR(__xludf.DUMMYFUNCTION("""COMPUTED_VALUE"""),"И так все хорошо")</f>
        <v>И так все хорошо</v>
      </c>
      <c r="AD64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v>
      </c>
      <c r="AE649" s="6" t="str">
        <f>IFERROR(__xludf.DUMMYFUNCTION("""COMPUTED_VALUE"""),"Женский")</f>
        <v>Женский</v>
      </c>
      <c r="AF649" s="6" t="str">
        <f>IFERROR(__xludf.DUMMYFUNCTION("""COMPUTED_VALUE"""),"45-55")</f>
        <v>45-55</v>
      </c>
      <c r="AG649" s="6"/>
      <c r="AH649" s="6"/>
      <c r="AI649" s="6"/>
      <c r="AJ649" s="6"/>
      <c r="AK649" s="6"/>
      <c r="AL649" s="6"/>
      <c r="AM649" s="6"/>
    </row>
    <row r="650">
      <c r="A650" s="6">
        <v>649.0</v>
      </c>
      <c r="B650" s="6" t="str">
        <f>IFERROR(__xludf.DUMMYFUNCTION("""COMPUTED_VALUE"""),"Предприниматель")</f>
        <v>Предприниматель</v>
      </c>
      <c r="C650" s="6" t="str">
        <f>IFERROR(__xludf.DUMMYFUNCTION("""COMPUTED_VALUE"""),"Рукоделие")</f>
        <v>Рукоделие</v>
      </c>
      <c r="D650" s="6" t="str">
        <f>IFERROR(__xludf.DUMMYFUNCTION("""COMPUTED_VALUE"""),"Южный")</f>
        <v>Южный</v>
      </c>
      <c r="E650" s="6" t="str">
        <f>IFERROR(__xludf.DUMMYFUNCTION("""COMPUTED_VALUE"""),"ул.Патриотов, аллея")</f>
        <v>ул.Патриотов, аллея</v>
      </c>
      <c r="F650" s="6" t="str">
        <f>IFERROR(__xludf.DUMMYFUNCTION("""COMPUTED_VALUE"""),"Переехал сюда из другого места (откуда? укажите в графе другое), Ленинск-Кузнецкий, в 1982 году")</f>
        <v>Переехал сюда из другого места (откуда? укажите в графе другое), Ленинск-Кузнецкий, в 1982 году</v>
      </c>
      <c r="G650" s="6" t="str">
        <f>IFERROR(__xludf.DUMMYFUNCTION("""COMPUTED_VALUE"""),"уезжаю за город на дачу, иногда набережная Томи. Из заведений - Филармония, театр драмы. ")</f>
        <v>уезжаю за город на дачу, иногда набережная Томи. Из заведений - Филармония, театр драмы. </v>
      </c>
      <c r="H650" s="6" t="str">
        <f>IFERROR(__xludf.DUMMYFUNCTION("""COMPUTED_VALUE"""),"Смог. Трубы. Томь. Азот. Лазурный")</f>
        <v>Смог. Трубы. Томь. Азот. Лазурный</v>
      </c>
      <c r="I650" s="6" t="str">
        <f>IFERROR(__xludf.DUMMYFUNCTION("""COMPUTED_VALUE"""),"Леонов")</f>
        <v>Леонов</v>
      </c>
      <c r="J650" s="6" t="str">
        <f>IFERROR(__xludf.DUMMYFUNCTION("""COMPUTED_VALUE"""),"Гришковец, Михайлов")</f>
        <v>Гришковец, Михайлов</v>
      </c>
      <c r="K650" s="6" t="str">
        <f>IFERROR(__xludf.DUMMYFUNCTION("""COMPUTED_VALUE"""),"Ресторан Баржа, Драмтеатр, ул.Весенняя, Лесная поляна, набережная Томи")</f>
        <v>Ресторан Баржа, Драмтеатр, ул.Весенняя, Лесная поляна, набережная Томи</v>
      </c>
      <c r="L650" s="6" t="str">
        <f>IFERROR(__xludf.DUMMYFUNCTION("""COMPUTED_VALUE"""),"нет")</f>
        <v>нет</v>
      </c>
      <c r="M650" s="6" t="str">
        <f>IFERROR(__xludf.DUMMYFUNCTION("""COMPUTED_VALUE"""),"нет")</f>
        <v>нет</v>
      </c>
      <c r="N650" s="6" t="str">
        <f>IFERROR(__xludf.DUMMYFUNCTION("""COMPUTED_VALUE"""),"Дороги, чистый воздух, хорошие очистные, чистые реки, общественный транспорт, парки и скверы, чистота. ")</f>
        <v>Дороги, чистый воздух, хорошие очистные, чистые реки, общественный транспорт, парки и скверы, чистота. </v>
      </c>
      <c r="O650" s="6" t="str">
        <f>IFERROR(__xludf.DUMMYFUNCTION("""COMPUTED_VALUE"""),"Экология. Общественный транспорт. Парки, площадки для детей (скейты, футбол, коньки) и взрослых. Площадки для выгула собак, приют для беспризорных животных Освещение, дороги (особенно частный сектор). ")</f>
        <v>Экология. Общественный транспорт. Парки, площадки для детей (скейты, футбол, коньки) и взрослых. Площадки для выгула собак, приют для беспризорных животных Освещение, дороги (особенно частный сектор). </v>
      </c>
      <c r="P650" s="6" t="str">
        <f>IFERROR(__xludf.DUMMYFUNCTION("""COMPUTED_VALUE"""),"Фейсбук")</f>
        <v>Фейсбук</v>
      </c>
      <c r="Q650"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650" s="6" t="str">
        <f>IFERROR(__xludf.DUMMYFUNCTION("""COMPUTED_VALUE"""),"Новый год")</f>
        <v>Новый год</v>
      </c>
      <c r="S650" s="6" t="str">
        <f>IFERROR(__xludf.DUMMYFUNCTION("""COMPUTED_VALUE"""),"Нет, не приходилось")</f>
        <v>Нет, не приходилось</v>
      </c>
      <c r="T650" s="6" t="str">
        <f>IFERROR(__xludf.DUMMYFUNCTION("""COMPUTED_VALUE"""),"К сожалению, его загазованность")</f>
        <v>К сожалению, его загазованность</v>
      </c>
      <c r="U650" s="6" t="str">
        <f>IFERROR(__xludf.DUMMYFUNCTION("""COMPUTED_VALUE"""),"площадь Советов")</f>
        <v>площадь Советов</v>
      </c>
      <c r="V650" s="6" t="str">
        <f>IFERROR(__xludf.DUMMYFUNCTION("""COMPUTED_VALUE"""),"нет ответа")</f>
        <v>нет ответа</v>
      </c>
      <c r="W650" s="6" t="str">
        <f>IFERROR(__xludf.DUMMYFUNCTION("""COMPUTED_VALUE"""),"умеющие выживать. ")</f>
        <v>умеющие выживать. </v>
      </c>
      <c r="X650" s="6" t="str">
        <f>IFERROR(__xludf.DUMMYFUNCTION("""COMPUTED_VALUE"""),"не знаю")</f>
        <v>не знаю</v>
      </c>
      <c r="Y650" s="6" t="str">
        <f>IFERROR(__xludf.DUMMYFUNCTION("""COMPUTED_VALUE"""),"увы, Зимняя Вишня. Прогремели на весь мир....")</f>
        <v>увы, Зимняя Вишня. Прогремели на весь мир....</v>
      </c>
      <c r="Z650" s="6" t="str">
        <f>IFERROR(__xludf.DUMMYFUNCTION("""COMPUTED_VALUE"""),"нет таких")</f>
        <v>нет таких</v>
      </c>
      <c r="AA650" s="6" t="str">
        <f>IFERROR(__xludf.DUMMYFUNCTION("""COMPUTED_VALUE"""),"План строительства Крапивинской ГРЭС. ")</f>
        <v>План строительства Крапивинской ГРЭС. </v>
      </c>
      <c r="AB650" s="6" t="str">
        <f>IFERROR(__xludf.DUMMYFUNCTION("""COMPUTED_VALUE"""),"нет таких")</f>
        <v>нет таких</v>
      </c>
      <c r="AC650" s="6" t="str">
        <f>IFERROR(__xludf.DUMMYFUNCTION("""COMPUTED_VALUE"""),"Открытие новых производств, не связанных с  ухудшением экологии. ")</f>
        <v>Открытие новых производств, не связанных с  ухудшением экологии. </v>
      </c>
      <c r="AD650"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50" s="6" t="str">
        <f>IFERROR(__xludf.DUMMYFUNCTION("""COMPUTED_VALUE"""),"Женский")</f>
        <v>Женский</v>
      </c>
      <c r="AF650" s="6" t="str">
        <f>IFERROR(__xludf.DUMMYFUNCTION("""COMPUTED_VALUE"""),"старше 55")</f>
        <v>старше 55</v>
      </c>
      <c r="AG650" s="6"/>
      <c r="AH650" s="6"/>
      <c r="AI650" s="6"/>
      <c r="AJ650" s="6"/>
      <c r="AK650" s="6"/>
      <c r="AL650" s="6"/>
      <c r="AM650" s="6"/>
    </row>
    <row r="651">
      <c r="A651" s="6">
        <v>650.0</v>
      </c>
      <c r="B651" s="6" t="str">
        <f>IFERROR(__xludf.DUMMYFUNCTION("""COMPUTED_VALUE"""),"Работаю в библиотеке.")</f>
        <v>Работаю в библиотеке.</v>
      </c>
      <c r="C651" s="6" t="str">
        <f>IFERROR(__xludf.DUMMYFUNCTION("""COMPUTED_VALUE"""),"Чтение, рукоделие.")</f>
        <v>Чтение, рукоделие.</v>
      </c>
      <c r="D651" s="6" t="str">
        <f>IFERROR(__xludf.DUMMYFUNCTION("""COMPUTED_VALUE"""),"Ленинский.")</f>
        <v>Ленинский.</v>
      </c>
      <c r="E651" s="6" t="str">
        <f>IFERROR(__xludf.DUMMYFUNCTION("""COMPUTED_VALUE"""),"Бульвар Строителей.")</f>
        <v>Бульвар Строителей.</v>
      </c>
      <c r="F651" s="6" t="str">
        <f>IFERROR(__xludf.DUMMYFUNCTION("""COMPUTED_VALUE"""),"Живу здесь с рождения")</f>
        <v>Живу здесь с рождения</v>
      </c>
      <c r="G651" s="6" t="str">
        <f>IFERROR(__xludf.DUMMYFUNCTION("""COMPUTED_VALUE"""),"На бульвар, в центр.")</f>
        <v>На бульвар, в центр.</v>
      </c>
      <c r="H651" s="6" t="str">
        <f>IFERROR(__xludf.DUMMYFUNCTION("""COMPUTED_VALUE"""),"Советский, молодежный, культурный, зеленый, спортивный.")</f>
        <v>Советский, молодежный, культурный, зеленый, спортивный.</v>
      </c>
      <c r="I651" s="6" t="str">
        <f>IFERROR(__xludf.DUMMYFUNCTION("""COMPUTED_VALUE"""),"Волков, Рутгерс, Ван Лохем")</f>
        <v>Волков, Рутгерс, Ван Лохем</v>
      </c>
      <c r="J651" s="6" t="str">
        <f>IFERROR(__xludf.DUMMYFUNCTION("""COMPUTED_VALUE"""),"Леонов, Моисеенко, Юров")</f>
        <v>Леонов, Моисеенко, Юров</v>
      </c>
      <c r="K651" s="6" t="str">
        <f>IFERROR(__xludf.DUMMYFUNCTION("""COMPUTED_VALUE"""),"Музей-заповедник ""Красная Горка""")</f>
        <v>Музей-заповедник "Красная Горка"</v>
      </c>
      <c r="L651" s="6" t="str">
        <f>IFERROR(__xludf.DUMMYFUNCTION("""COMPUTED_VALUE"""),"Кировский район - самый криминальный.")</f>
        <v>Кировский район - самый криминальный.</v>
      </c>
      <c r="M651" s="6" t="str">
        <f>IFERROR(__xludf.DUMMYFUNCTION("""COMPUTED_VALUE"""),"Не знаю.")</f>
        <v>Не знаю.</v>
      </c>
      <c r="N651" s="6" t="str">
        <f>IFERROR(__xludf.DUMMYFUNCTION("""COMPUTED_VALUE"""),"Ровный асфальт, достаточное количество транспорта и его работа до 1 ночи, наличие скамеек в парках, отсутствие очередей в травмпунктах.")</f>
        <v>Ровный асфальт, достаточное количество транспорта и его работа до 1 ночи, наличие скамеек в парках, отсутствие очередей в травмпунктах.</v>
      </c>
      <c r="O651" s="6" t="str">
        <f>IFERROR(__xludf.DUMMYFUNCTION("""COMPUTED_VALUE"""),"Уменьшить количество пивных точек.")</f>
        <v>Уменьшить количество пивных точек.</v>
      </c>
      <c r="P651" s="6" t="str">
        <f>IFERROR(__xludf.DUMMYFUNCTION("""COMPUTED_VALUE"""),"У коллег, Афиша Кемерово.")</f>
        <v>У коллег, Афиша Кемерово.</v>
      </c>
      <c r="Q651"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651" s="6" t="str">
        <f>IFERROR(__xludf.DUMMYFUNCTION("""COMPUTED_VALUE"""),"Ночь в библиотеке, ночь в музее, ночь искусств.")</f>
        <v>Ночь в библиотеке, ночь в музее, ночь искусств.</v>
      </c>
      <c r="S651" s="6" t="str">
        <f>IFERROR(__xludf.DUMMYFUNCTION("""COMPUTED_VALUE"""),"Нет, не приходилось")</f>
        <v>Нет, не приходилось</v>
      </c>
      <c r="T651" s="6" t="str">
        <f>IFERROR(__xludf.DUMMYFUNCTION("""COMPUTED_VALUE"""),"История - открытие угля, АИК ""Кузбасс""")</f>
        <v>История - открытие угля, АИК "Кузбасс"</v>
      </c>
      <c r="U651" s="6" t="str">
        <f>IFERROR(__xludf.DUMMYFUNCTION("""COMPUTED_VALUE"""),"Музей-заповедник ""Красная Горка"", краеведческий музей, филармония.")</f>
        <v>Музей-заповедник "Красная Горка", краеведческий музей, филармония.</v>
      </c>
      <c r="V651" s="6" t="str">
        <f>IFERROR(__xludf.DUMMYFUNCTION("""COMPUTED_VALUE"""),"Построили город.")</f>
        <v>Построили город.</v>
      </c>
      <c r="W651" s="6" t="str">
        <f>IFERROR(__xludf.DUMMYFUNCTION("""COMPUTED_VALUE"""),"Целеустремленные, свободные.")</f>
        <v>Целеустремленные, свободные.</v>
      </c>
      <c r="X651" s="6" t="str">
        <f>IFERROR(__xludf.DUMMYFUNCTION("""COMPUTED_VALUE"""),"По Весенней и набережной.")</f>
        <v>По Весенней и набережной.</v>
      </c>
      <c r="Y651" s="6" t="str">
        <f>IFERROR(__xludf.DUMMYFUNCTION("""COMPUTED_VALUE"""),"Приезды Хворостовского.")</f>
        <v>Приезды Хворостовского.</v>
      </c>
      <c r="Z651" s="6" t="str">
        <f>IFERROR(__xludf.DUMMYFUNCTION("""COMPUTED_VALUE"""),"Открытие храмов после карантина.")</f>
        <v>Открытие храмов после карантина.</v>
      </c>
      <c r="AA651" s="6" t="str">
        <f>IFERROR(__xludf.DUMMYFUNCTION("""COMPUTED_VALUE"""),"Поддержка Навального.")</f>
        <v>Поддержка Навального.</v>
      </c>
      <c r="AB651" s="6" t="str">
        <f>IFERROR(__xludf.DUMMYFUNCTION("""COMPUTED_VALUE"""),"Всего хватает.")</f>
        <v>Всего хватает.</v>
      </c>
      <c r="AC651" s="6" t="str">
        <f>IFERROR(__xludf.DUMMYFUNCTION("""COMPUTED_VALUE"""),"Показы фильмов на открытых площадках.")</f>
        <v>Показы фильмов на открытых площадках.</v>
      </c>
      <c r="AD651"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651" s="6" t="str">
        <f>IFERROR(__xludf.DUMMYFUNCTION("""COMPUTED_VALUE"""),"Женский")</f>
        <v>Женский</v>
      </c>
      <c r="AF651" s="6" t="str">
        <f>IFERROR(__xludf.DUMMYFUNCTION("""COMPUTED_VALUE"""),"45-55")</f>
        <v>45-55</v>
      </c>
      <c r="AG651" s="6"/>
      <c r="AH651" s="6"/>
      <c r="AI651" s="6"/>
      <c r="AJ651" s="6"/>
      <c r="AK651" s="6"/>
      <c r="AL651" s="6"/>
      <c r="AM651" s="6"/>
    </row>
    <row r="652">
      <c r="A652" s="6">
        <v>651.0</v>
      </c>
      <c r="B652" s="6" t="str">
        <f>IFERROR(__xludf.DUMMYFUNCTION("""COMPUTED_VALUE"""),"Работаю в госсекторе")</f>
        <v>Работаю в госсекторе</v>
      </c>
      <c r="C652" s="6" t="str">
        <f>IFERROR(__xludf.DUMMYFUNCTION("""COMPUTED_VALUE"""),"да, мода/шитье/финес")</f>
        <v>да, мода/шитье/финес</v>
      </c>
      <c r="D652" s="6" t="str">
        <f>IFERROR(__xludf.DUMMYFUNCTION("""COMPUTED_VALUE"""),"Рудничный, ""Радуга""")</f>
        <v>Рудничный, "Радуга"</v>
      </c>
      <c r="E652" s="6" t="str">
        <f>IFERROR(__xludf.DUMMYFUNCTION("""COMPUTED_VALUE"""),"Сосновый бор")</f>
        <v>Сосновый бор</v>
      </c>
      <c r="F652" s="6" t="str">
        <f>IFERROR(__xludf.DUMMYFUNCTION("""COMPUTED_VALUE"""),"Новосибирск")</f>
        <v>Новосибирск</v>
      </c>
      <c r="G652" s="6" t="str">
        <f>IFERROR(__xludf.DUMMYFUNCTION("""COMPUTED_VALUE"""),"Могу прогуляться на районе, в бору. В центре встретиться с друзьями")</f>
        <v>Могу прогуляться на районе, в бору. В центре встретиться с друзьями</v>
      </c>
      <c r="H652" s="6" t="str">
        <f>IFERROR(__xludf.DUMMYFUNCTION("""COMPUTED_VALUE"""),"Шахтерский, областная столица")</f>
        <v>Шахтерский, областная столица</v>
      </c>
      <c r="I652" s="6" t="str">
        <f>IFERROR(__xludf.DUMMYFUNCTION("""COMPUTED_VALUE"""),"-")</f>
        <v>-</v>
      </c>
      <c r="J652" s="6" t="str">
        <f>IFERROR(__xludf.DUMMYFUNCTION("""COMPUTED_VALUE"""),"-")</f>
        <v>-</v>
      </c>
      <c r="K652" s="6" t="str">
        <f>IFERROR(__xludf.DUMMYFUNCTION("""COMPUTED_VALUE"""),"Новый р-н Лесная Поляна, Кадетское училище")</f>
        <v>Новый р-н Лесная Поляна, Кадетское училище</v>
      </c>
      <c r="L652" s="6" t="str">
        <f>IFERROR(__xludf.DUMMYFUNCTION("""COMPUTED_VALUE"""),"-")</f>
        <v>-</v>
      </c>
      <c r="M652" s="6" t="str">
        <f>IFERROR(__xludf.DUMMYFUNCTION("""COMPUTED_VALUE"""),"-")</f>
        <v>-</v>
      </c>
      <c r="N652" s="6" t="str">
        <f>IFERROR(__xludf.DUMMYFUNCTION("""COMPUTED_VALUE"""),"Экология, развитая инфраструктура (начиная от транспорта, который не прекращает ходить в 21.00, заканчивая заведениями и ТРЦ), в ")</f>
        <v>Экология, развитая инфраструктура (начиная от транспорта, который не прекращает ходить в 21.00, заканчивая заведениями и ТРЦ), в </v>
      </c>
      <c r="O652" s="6" t="str">
        <f>IFERROR(__xludf.DUMMYFUNCTION("""COMPUTED_VALUE"""),"О наболевшем - развязка с радуги.  Необходимо, чтобы просто все отошли от 2020 года и стали появляться городские события ""двужуха"". ")</f>
        <v>О наболевшем - развязка с радуги.  Необходимо, чтобы просто все отошли от 2020 года и стали появляться городские события "двужуха". </v>
      </c>
      <c r="P652" s="6" t="str">
        <f>IFERROR(__xludf.DUMMYFUNCTION("""COMPUTED_VALUE"""),"в 2020 году работал сервис Яндекс.Район, его закрыли. Там были все новости и тд. Сейчас куда.go Кемерово и  новости в инстаграме")</f>
        <v>в 2020 году работал сервис Яндекс.Район, его закрыли. Там были все новости и тд. Сейчас куда.go Кемерово и  новости в инстаграме</v>
      </c>
      <c r="Q652" s="6" t="str">
        <f>IFERROR(__xludf.DUMMYFUNCTION("""COMPUTED_VALUE"""),"куда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v>
      </c>
      <c r="R652" s="6" t="str">
        <f>IFERROR(__xludf.DUMMYFUNCTION("""COMPUTED_VALUE"""),"День города")</f>
        <v>День города</v>
      </c>
      <c r="S652" s="6" t="str">
        <f>IFERROR(__xludf.DUMMYFUNCTION("""COMPUTED_VALUE"""),"Через социальные сети (Какие? Укажите в графе другое), Инстаграм")</f>
        <v>Через социальные сети (Какие? Укажите в графе другое), Инстаграм</v>
      </c>
      <c r="T652" s="6" t="str">
        <f>IFERROR(__xludf.DUMMYFUNCTION("""COMPUTED_VALUE"""),"-")</f>
        <v>-</v>
      </c>
      <c r="U652" s="6" t="str">
        <f>IFERROR(__xludf.DUMMYFUNCTION("""COMPUTED_VALUE"""),"Набережная (очень приятная)")</f>
        <v>Набережная (очень приятная)</v>
      </c>
      <c r="V652" s="6" t="str">
        <f>IFERROR(__xludf.DUMMYFUNCTION("""COMPUTED_VALUE"""),"Вклад в развитие угольной промышленности")</f>
        <v>Вклад в развитие угольной промышленности</v>
      </c>
      <c r="W652" s="6" t="str">
        <f>IFERROR(__xludf.DUMMYFUNCTION("""COMPUTED_VALUE"""),"Добрые, немного закрытые")</f>
        <v>Добрые, немного закрытые</v>
      </c>
      <c r="X652" s="6" t="str">
        <f>IFERROR(__xludf.DUMMYFUNCTION("""COMPUTED_VALUE"""),"от Цирка до центра, по набережной, и потом на буквы Кузбасс")</f>
        <v>от Цирка до центра, по набережной, и потом на буквы Кузбасс</v>
      </c>
      <c r="Y652" s="6" t="str">
        <f>IFERROR(__xludf.DUMMYFUNCTION("""COMPUTED_VALUE"""),"-")</f>
        <v>-</v>
      </c>
      <c r="Z652" s="6" t="str">
        <f>IFERROR(__xludf.DUMMYFUNCTION("""COMPUTED_VALUE"""),"Волейбольный клуб в 2019 стал чемпионом.")</f>
        <v>Волейбольный клуб в 2019 стал чемпионом.</v>
      </c>
      <c r="AA652" s="6" t="str">
        <f>IFERROR(__xludf.DUMMYFUNCTION("""COMPUTED_VALUE"""),"Ужасная экология, транспортная развязка с рудничного района просто портит все впечатление о районе. Невозможно.")</f>
        <v>Ужасная экология, транспортная развязка с рудничного района просто портит все впечатление о районе. Невозможно.</v>
      </c>
      <c r="AB652" s="6" t="str">
        <f>IFERROR(__xludf.DUMMYFUNCTION("""COMPUTED_VALUE"""),"Защитников животных. В настоящее время существуют множество отдельных приютов, однако какого единого сообщества нет.")</f>
        <v>Защитников животных. В настоящее время существуют множество отдельных приютов, однако какого единого сообщества нет.</v>
      </c>
      <c r="AC652" s="6" t="str">
        <f>IFERROR(__xludf.DUMMYFUNCTION("""COMPUTED_VALUE"""),"Творческие фестивали (возможно что-то похожее на VKfest только регионального масштаба, goodlinе/волков и тд могут быть партнерами), городские выставки, кинофестивали (в летнее время особенно актуальны). Хочется, чтобы были события со вкусов, а не выступле"&amp;"ния какого-то ДК, хотя иногда в стилистике и это посмотреть можно. Забеги.")</f>
        <v>Творческие фестивали (возможно что-то похожее на VKfest только регионального масштаба, goodlinе/волков и тд могут быть партнерами), городские выставки, кинофестивали (в летнее время особенно актуальны). Хочется, чтобы были события со вкусов, а не выступления какого-то ДК, хотя иногда в стилистике и это посмотреть можно. Забеги.</v>
      </c>
      <c r="AD65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52" s="6" t="str">
        <f>IFERROR(__xludf.DUMMYFUNCTION("""COMPUTED_VALUE"""),"Женский")</f>
        <v>Женский</v>
      </c>
      <c r="AF652" s="6" t="str">
        <f>IFERROR(__xludf.DUMMYFUNCTION("""COMPUTED_VALUE"""),"18-29")</f>
        <v>18-29</v>
      </c>
      <c r="AG652" s="6"/>
      <c r="AH652" s="6"/>
      <c r="AI652" s="6"/>
      <c r="AJ652" s="6"/>
      <c r="AK652" s="6"/>
      <c r="AL652" s="6"/>
      <c r="AM652" s="6"/>
    </row>
    <row r="653">
      <c r="A653" s="6">
        <v>652.0</v>
      </c>
      <c r="B653" s="6" t="str">
        <f>IFERROR(__xludf.DUMMYFUNCTION("""COMPUTED_VALUE"""),"Работаю в сфере культуры")</f>
        <v>Работаю в сфере культуры</v>
      </c>
      <c r="C653" s="6" t="str">
        <f>IFERROR(__xludf.DUMMYFUNCTION("""COMPUTED_VALUE"""),"Рукоделие - моя страсть.")</f>
        <v>Рукоделие - моя страсть.</v>
      </c>
      <c r="D653" s="6" t="str">
        <f>IFERROR(__xludf.DUMMYFUNCTION("""COMPUTED_VALUE"""),"Живу в Рудничном районе на границе с Кировским, поэтому называю - Кировское Пограничье")</f>
        <v>Живу в Рудничном районе на границе с Кировским, поэтому называю - Кировское Пограничье</v>
      </c>
      <c r="E653" s="6" t="str">
        <f>IFERROR(__xludf.DUMMYFUNCTION("""COMPUTED_VALUE"""),"Музей Красная Горка, Сосновый бор, МЖК.")</f>
        <v>Музей Красная Горка, Сосновый бор, МЖК.</v>
      </c>
      <c r="F653" s="6" t="str">
        <f>IFERROR(__xludf.DUMMYFUNCTION("""COMPUTED_VALUE"""),"Переехал сюда из другого места (откуда? укажите в графе другое), из г. Юрга")</f>
        <v>Переехал сюда из другого места (откуда? укажите в графе другое), из г. Юрга</v>
      </c>
      <c r="G653" s="6" t="str">
        <f>IFERROR(__xludf.DUMMYFUNCTION("""COMPUTED_VALUE"""),"В ближайшие библиотеки, иногда кинотеатры, музеи. Время от времени гуляем семьей в городских парках и на набережной.")</f>
        <v>В ближайшие библиотеки, иногда кинотеатры, музеи. Время от времени гуляем семьей в городских парках и на набережной.</v>
      </c>
      <c r="H653" s="6" t="str">
        <f>IFERROR(__xludf.DUMMYFUNCTION("""COMPUTED_VALUE"""),"Индустриализация, серость, контраст, провинция, штамп")</f>
        <v>Индустриализация, серость, контраст, провинция, штамп</v>
      </c>
      <c r="I653" s="6" t="str">
        <f>IFERROR(__xludf.DUMMYFUNCTION("""COMPUTED_VALUE"""),"Балибалов, В.Федоров, А. Леонов")</f>
        <v>Балибалов, В.Федоров, А. Леонов</v>
      </c>
      <c r="J653" s="6" t="str">
        <f>IFERROR(__xludf.DUMMYFUNCTION("""COMPUTED_VALUE"""),"Стас Андреевич Сбитнев, Подгорбунский М.А.")</f>
        <v>Стас Андреевич Сбитнев, Подгорбунский М.А.</v>
      </c>
      <c r="K653" s="6" t="str">
        <f>IFERROR(__xludf.DUMMYFUNCTION("""COMPUTED_VALUE"""),"Драмтеатр, улица Весенняя, Набережная.")</f>
        <v>Драмтеатр, улица Весенняя, Набережная.</v>
      </c>
      <c r="L653" s="6" t="str">
        <f>IFERROR(__xludf.DUMMYFUNCTION("""COMPUTED_VALUE"""),"Без огонька не добыть уголька. ")</f>
        <v>Без огонька не добыть уголька. </v>
      </c>
      <c r="M653" s="6" t="str">
        <f>IFERROR(__xludf.DUMMYFUNCTION("""COMPUTED_VALUE"""),"Нет")</f>
        <v>Нет</v>
      </c>
      <c r="N653" s="6" t="str">
        <f>IFERROR(__xludf.DUMMYFUNCTION("""COMPUTED_VALUE"""),"Транспортная доступность, Наличие зеленых зон в каждом районе, Организации соцзащиты в каждом районе, Культурные мероприятия на высоком уровне, Хорошие образовательные заведения.")</f>
        <v>Транспортная доступность, Наличие зеленых зон в каждом районе, Организации соцзащиты в каждом районе, Культурные мероприятия на высоком уровне, Хорошие образовательные заведения.</v>
      </c>
      <c r="O653" s="6" t="str">
        <f>IFERROR(__xludf.DUMMYFUNCTION("""COMPUTED_VALUE"""),"Убрать грузовой транспорт за черту города, Создание рабочих мест для молодежи")</f>
        <v>Убрать грузовой транспорт за черту города, Создание рабочих мест для молодежи</v>
      </c>
      <c r="P653" s="6" t="str">
        <f>IFERROR(__xludf.DUMMYFUNCTION("""COMPUTED_VALUE"""),"Телеканал ""Мой город"", газета ""Кемерово"", мобильная версия ""Кузбасс онлайн"".")</f>
        <v>Телеканал "Мой город", газета "Кемерово", мобильная версия "Кузбасс онлайн".</v>
      </c>
      <c r="Q653"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653" s="6" t="str">
        <f>IFERROR(__xludf.DUMMYFUNCTION("""COMPUTED_VALUE"""),"День города, День шахтера")</f>
        <v>День города, День шахтера</v>
      </c>
      <c r="S653" s="6" t="str">
        <f>IFERROR(__xludf.DUMMYFUNCTION("""COMPUTED_VALUE"""),"Нет, не приходилось")</f>
        <v>Нет, не приходилось</v>
      </c>
      <c r="T653" s="6" t="str">
        <f>IFERROR(__xludf.DUMMYFUNCTION("""COMPUTED_VALUE"""),"Знаменит Горелой горой. По железной дороге добраться до города проблематично, хотя по северу области проблем с этим нет.")</f>
        <v>Знаменит Горелой горой. По железной дороге добраться до города проблематично, хотя по северу области проблем с этим нет.</v>
      </c>
      <c r="U653" s="6" t="str">
        <f>IFERROR(__xludf.DUMMYFUNCTION("""COMPUTED_VALUE"""),"улица Кирова, Главпочтамт.")</f>
        <v>улица Кирова, Главпочтамт.</v>
      </c>
      <c r="V653" s="6" t="str">
        <f>IFERROR(__xludf.DUMMYFUNCTION("""COMPUTED_VALUE"""),"Все те, кто работал с отдачей, с душой делали и делают наш город таким, какой он есть. И чем больше неравнодушных людей, тем лучше станет наш город.")</f>
        <v>Все те, кто работал с отдачей, с душой делали и делают наш город таким, какой он есть. И чем больше неравнодушных людей, тем лучше станет наш город.</v>
      </c>
      <c r="W653" s="6" t="str">
        <f>IFERROR(__xludf.DUMMYFUNCTION("""COMPUTED_VALUE"""),"Суровые труженики, Неравнодушные к чужим бедам")</f>
        <v>Суровые труженики, Неравнодушные к чужим бедам</v>
      </c>
      <c r="X653" s="6" t="str">
        <f>IFERROR(__xludf.DUMMYFUNCTION("""COMPUTED_VALUE"""),"Парк Ангелов - Площадь Волкова - ул. Весенняя - Театральная площадь - Набережная")</f>
        <v>Парк Ангелов - Площадь Волкова - ул. Весенняя - Театральная площадь - Набережная</v>
      </c>
      <c r="Y653" s="6" t="str">
        <f>IFERROR(__xludf.DUMMYFUNCTION("""COMPUTED_VALUE"""),"Толчком к росту и развитию города послужила переправка большого числа эвакуированных заводов во время ВОВ, создавая город промышленным гигантом.")</f>
        <v>Толчком к росту и развитию города послужила переправка большого числа эвакуированных заводов во время ВОВ, создавая город промышленным гигантом.</v>
      </c>
      <c r="Z653" s="6" t="str">
        <f>IFERROR(__xludf.DUMMYFUNCTION("""COMPUTED_VALUE"""),"Отремонтировали большое количество дорог")</f>
        <v>Отремонтировали большое количество дорог</v>
      </c>
      <c r="AA653" s="6" t="str">
        <f>IFERROR(__xludf.DUMMYFUNCTION("""COMPUTED_VALUE"""),"Пожар в ""Зимней вишне"" и долгое выяснение виноватых.")</f>
        <v>Пожар в "Зимней вишне" и долгое выяснение виноватых.</v>
      </c>
      <c r="AB653" s="6" t="str">
        <f>IFERROR(__xludf.DUMMYFUNCTION("""COMPUTED_VALUE"""),"Меня все устраивает")</f>
        <v>Меня все устраивает</v>
      </c>
      <c r="AC653" s="6" t="str">
        <f>IFERROR(__xludf.DUMMYFUNCTION("""COMPUTED_VALUE"""),"Не концентрировать культурную жизнь только на левом берегу города, не забывать про отдаленные районы Кировского  и Рудничного района.")</f>
        <v>Не концентрировать культурную жизнь только на левом берегу города, не забывать про отдаленные районы Кировского  и Рудничного района.</v>
      </c>
      <c r="AD65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53" s="6" t="str">
        <f>IFERROR(__xludf.DUMMYFUNCTION("""COMPUTED_VALUE"""),"Женский")</f>
        <v>Женский</v>
      </c>
      <c r="AF653" s="6" t="str">
        <f>IFERROR(__xludf.DUMMYFUNCTION("""COMPUTED_VALUE"""),"45-55")</f>
        <v>45-55</v>
      </c>
      <c r="AG653" s="6"/>
      <c r="AH653" s="6"/>
      <c r="AI653" s="6"/>
      <c r="AJ653" s="6"/>
      <c r="AK653" s="6"/>
      <c r="AL653" s="6"/>
      <c r="AM653" s="6"/>
    </row>
    <row r="654">
      <c r="A654" s="6">
        <v>653.0</v>
      </c>
      <c r="B654" s="6" t="str">
        <f>IFERROR(__xludf.DUMMYFUNCTION("""COMPUTED_VALUE"""),"Студент")</f>
        <v>Студент</v>
      </c>
      <c r="C654" s="6" t="str">
        <f>IFERROR(__xludf.DUMMYFUNCTION("""COMPUTED_VALUE"""),"Футбол")</f>
        <v>Футбол</v>
      </c>
      <c r="D654" s="6" t="str">
        <f>IFERROR(__xludf.DUMMYFUNCTION("""COMPUTED_VALUE"""),"Ягуновка")</f>
        <v>Ягуновка</v>
      </c>
      <c r="E654" s="6" t="str">
        <f>IFERROR(__xludf.DUMMYFUNCTION("""COMPUTED_VALUE"""),"Прибой")</f>
        <v>Прибой</v>
      </c>
      <c r="F65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654" s="6" t="str">
        <f>IFERROR(__xludf.DUMMYFUNCTION("""COMPUTED_VALUE"""),"Университет")</f>
        <v>Университет</v>
      </c>
      <c r="H654" s="6" t="str">
        <f>IFERROR(__xludf.DUMMYFUNCTION("""COMPUTED_VALUE"""),"Шахта кокс парки пыль дороги")</f>
        <v>Шахта кокс парки пыль дороги</v>
      </c>
      <c r="I654" s="6" t="str">
        <f>IFERROR(__xludf.DUMMYFUNCTION("""COMPUTED_VALUE"""),"Ломоносов")</f>
        <v>Ломоносов</v>
      </c>
      <c r="J654" s="6" t="str">
        <f>IFERROR(__xludf.DUMMYFUNCTION("""COMPUTED_VALUE"""),"Павел пасов")</f>
        <v>Павел пасов</v>
      </c>
      <c r="K654" s="6" t="str">
        <f>IFERROR(__xludf.DUMMYFUNCTION("""COMPUTED_VALUE"""),"Ягуновка")</f>
        <v>Ягуновка</v>
      </c>
      <c r="L654" s="6" t="str">
        <f>IFERROR(__xludf.DUMMYFUNCTION("""COMPUTED_VALUE"""),"-")</f>
        <v>-</v>
      </c>
      <c r="M654" s="6" t="str">
        <f>IFERROR(__xludf.DUMMYFUNCTION("""COMPUTED_VALUE"""),"-")</f>
        <v>-</v>
      </c>
      <c r="N654" s="6" t="str">
        <f>IFERROR(__xludf.DUMMYFUNCTION("""COMPUTED_VALUE"""),"Воздух ")</f>
        <v>Воздух </v>
      </c>
      <c r="O654" s="6" t="str">
        <f>IFERROR(__xludf.DUMMYFUNCTION("""COMPUTED_VALUE"""),"Воздух")</f>
        <v>Воздух</v>
      </c>
      <c r="P654" s="6" t="str">
        <f>IFERROR(__xludf.DUMMYFUNCTION("""COMPUTED_VALUE"""),"Яндекс")</f>
        <v>Яндекс</v>
      </c>
      <c r="Q654" s="6" t="str">
        <f>IFERROR(__xludf.DUMMYFUNCTION("""COMPUTED_VALUE"""),"городская афиша (кино/театр/концерты), культурные новинки (что почитать/что послушать), интервью с местными предпринимателями, криминальные новости (происшествия/преступления)")</f>
        <v>городская афиша (кино/театр/концерты), культурные новинки (что почитать/что послушать), интервью с местными предпринимателями, криминальные новости (происшествия/преступления)</v>
      </c>
      <c r="R654" s="6" t="str">
        <f>IFERROR(__xludf.DUMMYFUNCTION("""COMPUTED_VALUE"""),"Курбан байрам")</f>
        <v>Курбан байрам</v>
      </c>
      <c r="S654" s="6" t="str">
        <f>IFERROR(__xludf.DUMMYFUNCTION("""COMPUTED_VALUE"""),"Составлял чертеж парка для 9 мая")</f>
        <v>Составлял чертеж парка для 9 мая</v>
      </c>
      <c r="T654" s="6" t="str">
        <f>IFERROR(__xludf.DUMMYFUNCTION("""COMPUTED_VALUE"""),"-")</f>
        <v>-</v>
      </c>
      <c r="U654" s="6" t="str">
        <f>IFERROR(__xludf.DUMMYFUNCTION("""COMPUTED_VALUE"""),"Площадь")</f>
        <v>Площадь</v>
      </c>
      <c r="V654" s="6" t="str">
        <f>IFERROR(__xludf.DUMMYFUNCTION("""COMPUTED_VALUE"""),"Открыли шахты")</f>
        <v>Открыли шахты</v>
      </c>
      <c r="W654" s="6" t="str">
        <f>IFERROR(__xludf.DUMMYFUNCTION("""COMPUTED_VALUE"""),"Открытые добродушные временная печальные люди")</f>
        <v>Открытые добродушные временная печальные люди</v>
      </c>
      <c r="X654" s="6" t="str">
        <f>IFERROR(__xludf.DUMMYFUNCTION("""COMPUTED_VALUE"""),"Комиссаров- ягуновка")</f>
        <v>Комиссаров- ягуновка</v>
      </c>
      <c r="Y654" s="6" t="str">
        <f>IFERROR(__xludf.DUMMYFUNCTION("""COMPUTED_VALUE"""),"Открытие юбилейного")</f>
        <v>Открытие юбилейного</v>
      </c>
      <c r="Z654" s="6" t="str">
        <f>IFERROR(__xludf.DUMMYFUNCTION("""COMPUTED_VALUE"""),"-")</f>
        <v>-</v>
      </c>
      <c r="AA654" s="6" t="str">
        <f>IFERROR(__xludf.DUMMYFUNCTION("""COMPUTED_VALUE"""),"Пожар")</f>
        <v>Пожар</v>
      </c>
      <c r="AB654" s="6" t="str">
        <f>IFERROR(__xludf.DUMMYFUNCTION("""COMPUTED_VALUE"""),"Панки")</f>
        <v>Панки</v>
      </c>
      <c r="AC654" s="6" t="str">
        <f>IFERROR(__xludf.DUMMYFUNCTION("""COMPUTED_VALUE"""),"Ремонт дорог")</f>
        <v>Ремонт дорог</v>
      </c>
      <c r="AD65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54" s="6" t="str">
        <f>IFERROR(__xludf.DUMMYFUNCTION("""COMPUTED_VALUE"""),"Мужской")</f>
        <v>Мужской</v>
      </c>
      <c r="AF654" s="6" t="str">
        <f>IFERROR(__xludf.DUMMYFUNCTION("""COMPUTED_VALUE"""),"18-29")</f>
        <v>18-29</v>
      </c>
      <c r="AG654" s="6"/>
      <c r="AH654" s="6"/>
      <c r="AI654" s="6"/>
      <c r="AJ654" s="6"/>
      <c r="AK654" s="6"/>
      <c r="AL654" s="6"/>
      <c r="AM654" s="6"/>
    </row>
    <row r="655">
      <c r="A655" s="6">
        <v>654.0</v>
      </c>
      <c r="B655" s="6" t="str">
        <f>IFERROR(__xludf.DUMMYFUNCTION("""COMPUTED_VALUE"""),"Культура")</f>
        <v>Культура</v>
      </c>
      <c r="C655" s="6" t="str">
        <f>IFERROR(__xludf.DUMMYFUNCTION("""COMPUTED_VALUE"""),"Нет")</f>
        <v>Нет</v>
      </c>
      <c r="D655" s="6" t="str">
        <f>IFERROR(__xludf.DUMMYFUNCTION("""COMPUTED_VALUE"""),"В центральном")</f>
        <v>В центральном</v>
      </c>
      <c r="E655" s="6" t="str">
        <f>IFERROR(__xludf.DUMMYFUNCTION("""COMPUTED_VALUE"""),"Набережнаяч")</f>
        <v>Набережнаяч</v>
      </c>
      <c r="F655" s="6" t="str">
        <f>IFERROR(__xludf.DUMMYFUNCTION("""COMPUTED_VALUE"""),"Живу здесь с рождения")</f>
        <v>Живу здесь с рождения</v>
      </c>
      <c r="G655" s="6" t="str">
        <f>IFERROR(__xludf.DUMMYFUNCTION("""COMPUTED_VALUE"""),"Никуда")</f>
        <v>Никуда</v>
      </c>
      <c r="H655" s="6" t="str">
        <f>IFERROR(__xludf.DUMMYFUNCTION("""COMPUTED_VALUE"""),"Холод, химические предприятия")</f>
        <v>Холод, химические предприятия</v>
      </c>
      <c r="I655" s="6" t="str">
        <f>IFERROR(__xludf.DUMMYFUNCTION("""COMPUTED_VALUE"""),"М.Волков, Подгорбунский")</f>
        <v>М.Волков, Подгорбунский</v>
      </c>
      <c r="J655" s="6" t="str">
        <f>IFERROR(__xludf.DUMMYFUNCTION("""COMPUTED_VALUE"""),"мэр Михайлов")</f>
        <v>мэр Михайлов</v>
      </c>
      <c r="K655" s="6" t="str">
        <f>IFERROR(__xludf.DUMMYFUNCTION("""COMPUTED_VALUE"""),"Никакие")</f>
        <v>Никакие</v>
      </c>
      <c r="L655" s="6" t="str">
        <f>IFERROR(__xludf.DUMMYFUNCTION("""COMPUTED_VALUE"""),"Не знаю")</f>
        <v>Не знаю</v>
      </c>
      <c r="M655" s="6" t="str">
        <f>IFERROR(__xludf.DUMMYFUNCTION("""COMPUTED_VALUE"""),"Нет")</f>
        <v>Нет</v>
      </c>
      <c r="N655" s="6" t="str">
        <f>IFERROR(__xludf.DUMMYFUNCTION("""COMPUTED_VALUE"""),"Чтобы медицина работала по выходным не было очередей")</f>
        <v>Чтобы медицина работала по выходным не было очередей</v>
      </c>
      <c r="O655" s="6" t="str">
        <f>IFERROR(__xludf.DUMMYFUNCTION("""COMPUTED_VALUE"""),"Дороги")</f>
        <v>Дороги</v>
      </c>
      <c r="P655" s="6" t="str">
        <f>IFERROR(__xludf.DUMMYFUNCTION("""COMPUTED_VALUE"""),"Новости по тв")</f>
        <v>Новости по тв</v>
      </c>
      <c r="Q655" s="6" t="str">
        <f>IFERROR(__xludf.DUMMYFUNCTION("""COMPUTED_VALUE"""),"куда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v>
      </c>
      <c r="R655" s="6" t="str">
        <f>IFERROR(__xludf.DUMMYFUNCTION("""COMPUTED_VALUE"""),"9 мая")</f>
        <v>9 мая</v>
      </c>
      <c r="S655" s="6" t="str">
        <f>IFERROR(__xludf.DUMMYFUNCTION("""COMPUTED_VALUE"""),"Писал и расклеивал объявления/афиши")</f>
        <v>Писал и расклеивал объявления/афиши</v>
      </c>
      <c r="T655" s="6" t="str">
        <f>IFERROR(__xludf.DUMMYFUNCTION("""COMPUTED_VALUE"""),"Сейчас ничем")</f>
        <v>Сейчас ничем</v>
      </c>
      <c r="U655" s="6" t="str">
        <f>IFERROR(__xludf.DUMMYFUNCTION("""COMPUTED_VALUE"""),"Площадь Советов")</f>
        <v>Площадь Советов</v>
      </c>
      <c r="V655" s="6" t="str">
        <f>IFERROR(__xludf.DUMMYFUNCTION("""COMPUTED_VALUE"""),"Работали")</f>
        <v>Работали</v>
      </c>
      <c r="W655" s="6" t="str">
        <f>IFERROR(__xludf.DUMMYFUNCTION("""COMPUTED_VALUE"""),"Творческие, отзывчивые")</f>
        <v>Творческие, отзывчивые</v>
      </c>
      <c r="X655" s="6" t="str">
        <f>IFERROR(__xludf.DUMMYFUNCTION("""COMPUTED_VALUE"""),"Не знаю")</f>
        <v>Не знаю</v>
      </c>
      <c r="Y655" s="6" t="str">
        <f>IFERROR(__xludf.DUMMYFUNCTION("""COMPUTED_VALUE"""),"Чемпионат мира по хоккею с мячом")</f>
        <v>Чемпионат мира по хоккею с мячом</v>
      </c>
      <c r="Z655" s="6" t="str">
        <f>IFERROR(__xludf.DUMMYFUNCTION("""COMPUTED_VALUE"""),"Их не было")</f>
        <v>Их не было</v>
      </c>
      <c r="AA655" s="6" t="str">
        <f>IFERROR(__xludf.DUMMYFUNCTION("""COMPUTED_VALUE"""),"Я за ними не слежу")</f>
        <v>Я за ними не слежу</v>
      </c>
      <c r="AB655" s="6" t="str">
        <f>IFERROR(__xludf.DUMMYFUNCTION("""COMPUTED_VALUE"""),"Мне сообщества не нужны")</f>
        <v>Мне сообщества не нужны</v>
      </c>
      <c r="AC655" s="6" t="str">
        <f>IFERROR(__xludf.DUMMYFUNCTION("""COMPUTED_VALUE"""),"Люблю природу, мероприятия мне не нужны")</f>
        <v>Люблю природу, мероприятия мне не нужны</v>
      </c>
      <c r="AD65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55" s="6" t="str">
        <f>IFERROR(__xludf.DUMMYFUNCTION("""COMPUTED_VALUE"""),"Женский")</f>
        <v>Женский</v>
      </c>
      <c r="AF655" s="6" t="str">
        <f>IFERROR(__xludf.DUMMYFUNCTION("""COMPUTED_VALUE"""),"45-55")</f>
        <v>45-55</v>
      </c>
      <c r="AG655" s="6"/>
      <c r="AH655" s="6"/>
      <c r="AI655" s="6"/>
      <c r="AJ655" s="6"/>
      <c r="AK655" s="6"/>
      <c r="AL655" s="6"/>
      <c r="AM655" s="6"/>
    </row>
    <row r="656">
      <c r="A656" s="6">
        <v>655.0</v>
      </c>
      <c r="B656" s="6" t="str">
        <f>IFERROR(__xludf.DUMMYFUNCTION("""COMPUTED_VALUE"""),"Работаю в культуре")</f>
        <v>Работаю в культуре</v>
      </c>
      <c r="C656" s="6" t="str">
        <f>IFERROR(__xludf.DUMMYFUNCTION("""COMPUTED_VALUE"""),"Конечно. Рукоделие.")</f>
        <v>Конечно. Рукоделие.</v>
      </c>
      <c r="D656" s="6" t="str">
        <f>IFERROR(__xludf.DUMMYFUNCTION("""COMPUTED_VALUE"""),"Ленинский, ""наш""😀 ")</f>
        <v>Ленинский, "наш"😀 </v>
      </c>
      <c r="E656" s="6" t="str">
        <f>IFERROR(__xludf.DUMMYFUNCTION("""COMPUTED_VALUE"""),"Бульвар - линейный парк")</f>
        <v>Бульвар - линейный парк</v>
      </c>
      <c r="F656" s="6" t="str">
        <f>IFERROR(__xludf.DUMMYFUNCTION("""COMPUTED_VALUE"""),"Живу здесь с рождения")</f>
        <v>Живу здесь с рождения</v>
      </c>
      <c r="G656" s="6" t="str">
        <f>IFERROR(__xludf.DUMMYFUNCTION("""COMPUTED_VALUE"""),"Парки, набережная")</f>
        <v>Парки, набережная</v>
      </c>
      <c r="H656" s="6" t="str">
        <f>IFERROR(__xludf.DUMMYFUNCTION("""COMPUTED_VALUE"""),"Индустриальный, шахтерский, многоликий, молодой, серый... ")</f>
        <v>Индустриальный, шахтерский, многоликий, молодой, серый... </v>
      </c>
      <c r="I656" s="6" t="str">
        <f>IFERROR(__xludf.DUMMYFUNCTION("""COMPUTED_VALUE"""),"Подгорбунский, Завадская, Балибалов, Волошина, Селиванов")</f>
        <v>Подгорбунский, Завадская, Балибалов, Волошина, Селиванов</v>
      </c>
      <c r="J656" s="6" t="str">
        <f>IFERROR(__xludf.DUMMYFUNCTION("""COMPUTED_VALUE"""),"Гришковец, Леонов, Юров")</f>
        <v>Гришковец, Леонов, Юров</v>
      </c>
      <c r="K656" s="6" t="str">
        <f>IFERROR(__xludf.DUMMYFUNCTION("""COMPUTED_VALUE"""),"Лесная поляна, Красная горка... ")</f>
        <v>Лесная поляна, Красная горка... </v>
      </c>
      <c r="L656" s="6" t="str">
        <f>IFERROR(__xludf.DUMMYFUNCTION("""COMPUTED_VALUE"""),"Шахтерский байки")</f>
        <v>Шахтерский байки</v>
      </c>
      <c r="M656" s="6" t="str">
        <f>IFERROR(__xludf.DUMMYFUNCTION("""COMPUTED_VALUE"""),"Не знаю")</f>
        <v>Не знаю</v>
      </c>
      <c r="N656" s="6" t="str">
        <f>IFERROR(__xludf.DUMMYFUNCTION("""COMPUTED_VALUE"""),"Чистота, озеленение улиц, радушие людей в общественных местах, отсутствие курящих и тишина в подъезде... ")</f>
        <v>Чистота, озеленение улиц, радушие людей в общественных местах, отсутствие курящих и тишина в подъезде... </v>
      </c>
      <c r="O656" s="6" t="str">
        <f>IFERROR(__xludf.DUMMYFUNCTION("""COMPUTED_VALUE"""),"Много чего")</f>
        <v>Много чего</v>
      </c>
      <c r="P656" s="6" t="str">
        <f>IFERROR(__xludf.DUMMYFUNCTION("""COMPUTED_VALUE"""),"Интернет")</f>
        <v>Интернет</v>
      </c>
      <c r="Q656" s="6" t="str">
        <f>IFERROR(__xludf.DUMMYFUNCTION("""COMPUTED_VALUE"""),"культурные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f>
        <v>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656" s="6" t="str">
        <f>IFERROR(__xludf.DUMMYFUNCTION("""COMPUTED_VALUE"""),"Бессмертный полк 9 мая, день города")</f>
        <v>Бессмертный полк 9 мая, день города</v>
      </c>
      <c r="S656" s="6" t="str">
        <f>IFERROR(__xludf.DUMMYFUNCTION("""COMPUTED_VALUE"""),"Через социальные сети (Какие? Укажите в графе другое), Участие в городских мероприятиях")</f>
        <v>Через социальные сети (Какие? Укажите в графе другое), Участие в городских мероприятиях</v>
      </c>
      <c r="T656" s="6" t="str">
        <f>IFERROR(__xludf.DUMMYFUNCTION("""COMPUTED_VALUE"""),"Шахтерская столица")</f>
        <v>Шахтерская столица</v>
      </c>
      <c r="U656" s="6" t="str">
        <f>IFERROR(__xludf.DUMMYFUNCTION("""COMPUTED_VALUE"""),"Советский проспект, Весенняя улица, набережная")</f>
        <v>Советский проспект, Весенняя улица, набережная</v>
      </c>
      <c r="V656" s="6" t="str">
        <f>IFERROR(__xludf.DUMMYFUNCTION("""COMPUTED_VALUE"""),"Аэропорт, больницы, театры, городской парк... ")</f>
        <v>Аэропорт, больницы, театры, городской парк... </v>
      </c>
      <c r="W656" s="6" t="str">
        <f>IFERROR(__xludf.DUMMYFUNCTION("""COMPUTED_VALUE"""),"Хотелось бы больше приветливых... ")</f>
        <v>Хотелось бы больше приветливых... </v>
      </c>
      <c r="X656" s="6" t="str">
        <f>IFERROR(__xludf.DUMMYFUNCTION("""COMPUTED_VALUE"""),"Советский пр-т, Красная горка")</f>
        <v>Советский пр-т, Красная горка</v>
      </c>
      <c r="Y656" s="6" t="str">
        <f>IFERROR(__xludf.DUMMYFUNCTION("""COMPUTED_VALUE"""),"АИК")</f>
        <v>АИК</v>
      </c>
      <c r="Z656" s="6" t="str">
        <f>IFERROR(__xludf.DUMMYFUNCTION("""COMPUTED_VALUE"""),"Концерт на площади Советов")</f>
        <v>Концерт на площади Советов</v>
      </c>
      <c r="AA656" s="6" t="str">
        <f>IFERROR(__xludf.DUMMYFUNCTION("""COMPUTED_VALUE"""),"Пожар в ""Зимней вишне""")</f>
        <v>Пожар в "Зимней вишне"</v>
      </c>
      <c r="AB656" s="6" t="str">
        <f>IFERROR(__xludf.DUMMYFUNCTION("""COMPUTED_VALUE"""),"Мне хватает... ")</f>
        <v>Мне хватает... </v>
      </c>
      <c r="AC656" s="6" t="str">
        <f>IFERROR(__xludf.DUMMYFUNCTION("""COMPUTED_VALUE"""),"Навести порядок... ")</f>
        <v>Навести порядок... </v>
      </c>
      <c r="AD656"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656" s="6" t="str">
        <f>IFERROR(__xludf.DUMMYFUNCTION("""COMPUTED_VALUE"""),"Женский")</f>
        <v>Женский</v>
      </c>
      <c r="AF656" s="6" t="str">
        <f>IFERROR(__xludf.DUMMYFUNCTION("""COMPUTED_VALUE"""),"старше 55")</f>
        <v>старше 55</v>
      </c>
      <c r="AG656" s="6"/>
      <c r="AH656" s="6"/>
      <c r="AI656" s="6"/>
      <c r="AJ656" s="6"/>
      <c r="AK656" s="6"/>
      <c r="AL656" s="6"/>
      <c r="AM656" s="6"/>
    </row>
    <row r="657">
      <c r="A657" s="6">
        <v>656.0</v>
      </c>
      <c r="B657" s="6" t="str">
        <f>IFERROR(__xludf.DUMMYFUNCTION("""COMPUTED_VALUE"""),"Студент")</f>
        <v>Студент</v>
      </c>
      <c r="C657" s="6" t="str">
        <f>IFERROR(__xludf.DUMMYFUNCTION("""COMPUTED_VALUE"""),"Петь,танцевать")</f>
        <v>Петь,танцевать</v>
      </c>
      <c r="D657" s="6" t="str">
        <f>IFERROR(__xludf.DUMMYFUNCTION("""COMPUTED_VALUE"""),"Ленинский ")</f>
        <v>Ленинский </v>
      </c>
      <c r="E657" s="6" t="str">
        <f>IFERROR(__xludf.DUMMYFUNCTION("""COMPUTED_VALUE"""),"Бульвар")</f>
        <v>Бульвар</v>
      </c>
      <c r="F657" s="6" t="str">
        <f>IFERROR(__xludf.DUMMYFUNCTION("""COMPUTED_VALUE"""),"Приезжий")</f>
        <v>Приезжий</v>
      </c>
      <c r="G657" s="6" t="str">
        <f>IFERROR(__xludf.DUMMYFUNCTION("""COMPUTED_VALUE"""),"Парк ангелов")</f>
        <v>Парк ангелов</v>
      </c>
      <c r="H657" s="6" t="str">
        <f>IFERROR(__xludf.DUMMYFUNCTION("""COMPUTED_VALUE"""),"Парк,бульвар,общежитие,комната,корпус")</f>
        <v>Парк,бульвар,общежитие,комната,корпус</v>
      </c>
      <c r="I657" s="6" t="str">
        <f>IFERROR(__xludf.DUMMYFUNCTION("""COMPUTED_VALUE"""),"Сестра")</f>
        <v>Сестра</v>
      </c>
      <c r="J657" s="6" t="str">
        <f>IFERROR(__xludf.DUMMYFUNCTION("""COMPUTED_VALUE"""),"Незнаю")</f>
        <v>Незнаю</v>
      </c>
      <c r="K657" s="6" t="str">
        <f>IFERROR(__xludf.DUMMYFUNCTION("""COMPUTED_VALUE"""),"Парк чудес")</f>
        <v>Парк чудес</v>
      </c>
      <c r="L657" s="6" t="str">
        <f>IFERROR(__xludf.DUMMYFUNCTION("""COMPUTED_VALUE"""),"Нет")</f>
        <v>Нет</v>
      </c>
      <c r="M657" s="6" t="str">
        <f>IFERROR(__xludf.DUMMYFUNCTION("""COMPUTED_VALUE"""),"Нет")</f>
        <v>Нет</v>
      </c>
      <c r="N657" s="6" t="str">
        <f>IFERROR(__xludf.DUMMYFUNCTION("""COMPUTED_VALUE"""),"Нет")</f>
        <v>Нет</v>
      </c>
      <c r="O657" s="6" t="str">
        <f>IFERROR(__xludf.DUMMYFUNCTION("""COMPUTED_VALUE"""),"Чистоту ")</f>
        <v>Чистоту </v>
      </c>
      <c r="P657" s="6" t="str">
        <f>IFERROR(__xludf.DUMMYFUNCTION("""COMPUTED_VALUE"""),"Интернет")</f>
        <v>Интернет</v>
      </c>
      <c r="Q65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657" s="6" t="str">
        <f>IFERROR(__xludf.DUMMYFUNCTION("""COMPUTED_VALUE"""),"День города")</f>
        <v>День города</v>
      </c>
      <c r="S657" s="6" t="str">
        <f>IFERROR(__xludf.DUMMYFUNCTION("""COMPUTED_VALUE"""),"Нет, не приходилось")</f>
        <v>Нет, не приходилось</v>
      </c>
      <c r="T657" s="6" t="str">
        <f>IFERROR(__xludf.DUMMYFUNCTION("""COMPUTED_VALUE"""),"Скромный тихий город")</f>
        <v>Скромный тихий город</v>
      </c>
      <c r="U657" s="6" t="str">
        <f>IFERROR(__xludf.DUMMYFUNCTION("""COMPUTED_VALUE"""),"Кузбасс")</f>
        <v>Кузбасс</v>
      </c>
      <c r="V657" s="6" t="str">
        <f>IFERROR(__xludf.DUMMYFUNCTION("""COMPUTED_VALUE"""),"Кузбасс")</f>
        <v>Кузбасс</v>
      </c>
      <c r="W657" s="6" t="str">
        <f>IFERROR(__xludf.DUMMYFUNCTION("""COMPUTED_VALUE"""),"Хорошие ")</f>
        <v>Хорошие </v>
      </c>
      <c r="X657" s="6" t="str">
        <f>IFERROR(__xludf.DUMMYFUNCTION("""COMPUTED_VALUE"""),"Лапландия ")</f>
        <v>Лапландия </v>
      </c>
      <c r="Y657" s="6" t="str">
        <f>IFERROR(__xludf.DUMMYFUNCTION("""COMPUTED_VALUE"""),"Нет")</f>
        <v>Нет</v>
      </c>
      <c r="Z657" s="6" t="str">
        <f>IFERROR(__xludf.DUMMYFUNCTION("""COMPUTED_VALUE"""),"Нет")</f>
        <v>Нет</v>
      </c>
      <c r="AA657" s="6" t="str">
        <f>IFERROR(__xludf.DUMMYFUNCTION("""COMPUTED_VALUE"""),"Нет")</f>
        <v>Нет</v>
      </c>
      <c r="AB657" s="6" t="str">
        <f>IFERROR(__xludf.DUMMYFUNCTION("""COMPUTED_VALUE"""),"Нет")</f>
        <v>Нет</v>
      </c>
      <c r="AC657" s="6" t="str">
        <f>IFERROR(__xludf.DUMMYFUNCTION("""COMPUTED_VALUE"""),"Нет")</f>
        <v>Нет</v>
      </c>
      <c r="AD65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v>
      </c>
      <c r="AE657" s="6" t="str">
        <f>IFERROR(__xludf.DUMMYFUNCTION("""COMPUTED_VALUE"""),"Женский")</f>
        <v>Женский</v>
      </c>
      <c r="AF657" s="6" t="str">
        <f>IFERROR(__xludf.DUMMYFUNCTION("""COMPUTED_VALUE"""),"18-29")</f>
        <v>18-29</v>
      </c>
      <c r="AG657" s="6"/>
      <c r="AH657" s="6"/>
      <c r="AI657" s="6"/>
      <c r="AJ657" s="6"/>
      <c r="AK657" s="6"/>
      <c r="AL657" s="6"/>
      <c r="AM657" s="6"/>
    </row>
    <row r="658">
      <c r="A658" s="6">
        <v>657.0</v>
      </c>
      <c r="B658" s="6" t="str">
        <f>IFERROR(__xludf.DUMMYFUNCTION("""COMPUTED_VALUE"""),"Работаю")</f>
        <v>Работаю</v>
      </c>
      <c r="C658" s="6" t="str">
        <f>IFERROR(__xludf.DUMMYFUNCTION("""COMPUTED_VALUE"""),"Есть.")</f>
        <v>Есть.</v>
      </c>
      <c r="D658" s="6" t="str">
        <f>IFERROR(__xludf.DUMMYFUNCTION("""COMPUTED_VALUE"""),"Заводский")</f>
        <v>Заводский</v>
      </c>
      <c r="E658" s="6" t="str">
        <f>IFERROR(__xludf.DUMMYFUNCTION("""COMPUTED_VALUE"""),"Никаких")</f>
        <v>Никаких</v>
      </c>
      <c r="F658" s="6" t="str">
        <f>IFERROR(__xludf.DUMMYFUNCTION("""COMPUTED_VALUE"""),"Живу здесь с рождения")</f>
        <v>Живу здесь с рождения</v>
      </c>
      <c r="G658" s="6" t="str">
        <f>IFERROR(__xludf.DUMMYFUNCTION("""COMPUTED_VALUE"""),"Никуда")</f>
        <v>Никуда</v>
      </c>
      <c r="H658" s="6" t="str">
        <f>IFERROR(__xludf.DUMMYFUNCTION("""COMPUTED_VALUE"""),"Шахтер")</f>
        <v>Шахтер</v>
      </c>
      <c r="I658" s="6" t="str">
        <f>IFERROR(__xludf.DUMMYFUNCTION("""COMPUTED_VALUE"""),"Балибалов")</f>
        <v>Балибалов</v>
      </c>
      <c r="J658" s="6" t="str">
        <f>IFERROR(__xludf.DUMMYFUNCTION("""COMPUTED_VALUE"""),"Михайлов, Тулеев")</f>
        <v>Михайлов, Тулеев</v>
      </c>
      <c r="K658" s="6" t="str">
        <f>IFERROR(__xludf.DUMMYFUNCTION("""COMPUTED_VALUE"""),"нет")</f>
        <v>нет</v>
      </c>
      <c r="L658" s="6" t="str">
        <f>IFERROR(__xludf.DUMMYFUNCTION("""COMPUTED_VALUE"""),"нет")</f>
        <v>нет</v>
      </c>
      <c r="M658" s="6" t="str">
        <f>IFERROR(__xludf.DUMMYFUNCTION("""COMPUTED_VALUE"""),"нет")</f>
        <v>нет</v>
      </c>
      <c r="N658" s="6" t="str">
        <f>IFERROR(__xludf.DUMMYFUNCTION("""COMPUTED_VALUE"""),"никаких")</f>
        <v>никаких</v>
      </c>
      <c r="O658" s="6" t="str">
        <f>IFERROR(__xludf.DUMMYFUNCTION("""COMPUTED_VALUE"""),"уровень жизни")</f>
        <v>уровень жизни</v>
      </c>
      <c r="P658" s="6" t="str">
        <f>IFERROR(__xludf.DUMMYFUNCTION("""COMPUTED_VALUE"""),"газеты")</f>
        <v>газеты</v>
      </c>
      <c r="Q658"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f>
        <v>городская афиша (кино/театр/концерты), культурные новинки (что почитать/что послушать), новости про новые профессии/куда поступать/вакансии</v>
      </c>
      <c r="R658" s="6" t="str">
        <f>IFERROR(__xludf.DUMMYFUNCTION("""COMPUTED_VALUE"""),"9 мая")</f>
        <v>9 мая</v>
      </c>
      <c r="S658" s="6" t="str">
        <f>IFERROR(__xludf.DUMMYFUNCTION("""COMPUTED_VALUE"""),"Нет, не приходилось")</f>
        <v>Нет, не приходилось</v>
      </c>
      <c r="T658" s="6" t="str">
        <f>IFERROR(__xludf.DUMMYFUNCTION("""COMPUTED_VALUE"""),"высокие цены")</f>
        <v>высокие цены</v>
      </c>
      <c r="U658" s="6" t="str">
        <f>IFERROR(__xludf.DUMMYFUNCTION("""COMPUTED_VALUE"""),"улица весенняя")</f>
        <v>улица весенняя</v>
      </c>
      <c r="V658" s="6" t="str">
        <f>IFERROR(__xludf.DUMMYFUNCTION("""COMPUTED_VALUE"""),"строили заводы")</f>
        <v>строили заводы</v>
      </c>
      <c r="W658" s="6" t="str">
        <f>IFERROR(__xludf.DUMMYFUNCTION("""COMPUTED_VALUE"""),"веселые")</f>
        <v>веселые</v>
      </c>
      <c r="X658" s="6" t="str">
        <f>IFERROR(__xludf.DUMMYFUNCTION("""COMPUTED_VALUE"""),"нет такого")</f>
        <v>нет такого</v>
      </c>
      <c r="Y658" s="6" t="str">
        <f>IFERROR(__xludf.DUMMYFUNCTION("""COMPUTED_VALUE"""),"---")</f>
        <v>---</v>
      </c>
      <c r="Z658" s="6" t="str">
        <f>IFERROR(__xludf.DUMMYFUNCTION("""COMPUTED_VALUE"""),"никакие")</f>
        <v>никакие</v>
      </c>
      <c r="AA658" s="6" t="str">
        <f>IFERROR(__xludf.DUMMYFUNCTION("""COMPUTED_VALUE"""),"---")</f>
        <v>---</v>
      </c>
      <c r="AB658" s="6" t="str">
        <f>IFERROR(__xludf.DUMMYFUNCTION("""COMPUTED_VALUE"""),"---")</f>
        <v>---</v>
      </c>
      <c r="AC658" s="6" t="str">
        <f>IFERROR(__xludf.DUMMYFUNCTION("""COMPUTED_VALUE"""),"---")</f>
        <v>---</v>
      </c>
      <c r="AD65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658" s="6" t="str">
        <f>IFERROR(__xludf.DUMMYFUNCTION("""COMPUTED_VALUE"""),"Женский")</f>
        <v>Женский</v>
      </c>
      <c r="AF658" s="6" t="str">
        <f>IFERROR(__xludf.DUMMYFUNCTION("""COMPUTED_VALUE"""),"45-55")</f>
        <v>45-55</v>
      </c>
      <c r="AG658" s="6"/>
      <c r="AH658" s="6"/>
      <c r="AI658" s="6"/>
      <c r="AJ658" s="6"/>
      <c r="AK658" s="6"/>
      <c r="AL658" s="6"/>
      <c r="AM658" s="6"/>
    </row>
    <row r="659">
      <c r="A659" s="6">
        <v>658.0</v>
      </c>
      <c r="B659" s="6" t="str">
        <f>IFERROR(__xludf.DUMMYFUNCTION("""COMPUTED_VALUE"""),"Образование ")</f>
        <v>Образование </v>
      </c>
      <c r="C659" s="6" t="str">
        <f>IFERROR(__xludf.DUMMYFUNCTION("""COMPUTED_VALUE"""),"Чтение, спорт")</f>
        <v>Чтение, спорт</v>
      </c>
      <c r="D659" s="6" t="str">
        <f>IFERROR(__xludf.DUMMYFUNCTION("""COMPUTED_VALUE"""),"Центральный. Центр")</f>
        <v>Центральный. Центр</v>
      </c>
      <c r="E659" s="6" t="str">
        <f>IFERROR(__xludf.DUMMYFUNCTION("""COMPUTED_VALUE"""),"Набережная, площадь советов.")</f>
        <v>Набережная, площадь советов.</v>
      </c>
      <c r="F659" s="6" t="str">
        <f>IFERROR(__xludf.DUMMYFUNCTION("""COMPUTED_VALUE"""),"Живу здесь с рождения")</f>
        <v>Живу здесь с рождения</v>
      </c>
      <c r="G659" s="6" t="str">
        <f>IFERROR(__xludf.DUMMYFUNCTION("""COMPUTED_VALUE"""),"Мечеть")</f>
        <v>Мечеть</v>
      </c>
      <c r="H659" s="6" t="str">
        <f>IFERROR(__xludf.DUMMYFUNCTION("""COMPUTED_VALUE"""),"Чёрное небо, дым, широкие улицы, зелень,  мечеть, университеты")</f>
        <v>Чёрное небо, дым, широкие улицы, зелень,  мечеть, университеты</v>
      </c>
      <c r="I659" s="6" t="str">
        <f>IFERROR(__xludf.DUMMYFUNCTION("""COMPUTED_VALUE"""),"Защитники Отечества и мусульмане трудившиеся во благо обществу и духовным ценностям.")</f>
        <v>Защитники Отечества и мусульмане трудившиеся во благо обществу и духовным ценностям.</v>
      </c>
      <c r="J659" s="6" t="str">
        <f>IFERROR(__xludf.DUMMYFUNCTION("""COMPUTED_VALUE"""),"Имам Кемеровской области - Бикчантаев Тагир Ахмадуллович и  мусульмане 
, которые трудятся во благо обществу и духовным ценностям. ")</f>
        <v>Имам Кемеровской области - Бикчантаев Тагир Ахмадуллович и  мусульмане 
, которые трудятся во благо обществу и духовным ценностям. </v>
      </c>
      <c r="K659" s="6" t="str">
        <f>IFERROR(__xludf.DUMMYFUNCTION("""COMPUTED_VALUE"""),"Мечеть, набережная, парк ангелов")</f>
        <v>Мечеть, набережная, парк ангелов</v>
      </c>
      <c r="L659" s="6" t="str">
        <f>IFERROR(__xludf.DUMMYFUNCTION("""COMPUTED_VALUE"""),"Не припомню")</f>
        <v>Не припомню</v>
      </c>
      <c r="M659" s="6" t="str">
        <f>IFERROR(__xludf.DUMMYFUNCTION("""COMPUTED_VALUE"""),"Нет")</f>
        <v>Нет</v>
      </c>
      <c r="N659" s="6" t="str">
        <f>IFERROR(__xludf.DUMMYFUNCTION("""COMPUTED_VALUE"""),"ХОРОШАЯ ЭКОЛОГИЯ, чистый воздух, налаженная система ОБЩЕСТВЕННОГО транспорта(трамваи, троллейбусы, автобусы), мобильность для инвалидов и мам с детьми, безопасность жителей, хорошее образование")</f>
        <v>ХОРОШАЯ ЭКОЛОГИЯ, чистый воздух, налаженная система ОБЩЕСТВЕННОГО транспорта(трамваи, троллейбусы, автобусы), мобильность для инвалидов и мам с детьми, безопасность жителей, хорошее образование</v>
      </c>
      <c r="O659" s="6" t="str">
        <f>IFERROR(__xludf.DUMMYFUNCTION("""COMPUTED_VALUE"""),"Экологию!  ")</f>
        <v>Экологию!  </v>
      </c>
      <c r="P659" s="6" t="str">
        <f>IFERROR(__xludf.DUMMYFUNCTION("""COMPUTED_VALUE"""),"Радио, газеты, новости. ")</f>
        <v>Радио, газеты, новости. </v>
      </c>
      <c r="Q659" s="6" t="str">
        <f>IFERROR(__xludf.DUMMYFUNCTION("""COMPUTED_VALUE"""),"интервью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раз"&amp;"ные темы (напишите в разделе Другое свои предложения)")</f>
        <v>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659" s="6" t="str">
        <f>IFERROR(__xludf.DUMMYFUNCTION("""COMPUTED_VALUE"""),"Не один, кроме религиозных Ураза байрам и Курбан байрам")</f>
        <v>Не один, кроме религиозных Ураза байрам и Курбан байрам</v>
      </c>
      <c r="S659" s="6" t="str">
        <f>IFERROR(__xludf.DUMMYFUNCTION("""COMPUTED_VALUE"""),"Писал и расклеивал объявления/афиши")</f>
        <v>Писал и расклеивал объявления/афиши</v>
      </c>
      <c r="T659" s="6" t="str">
        <f>IFERROR(__xludf.DUMMYFUNCTION("""COMPUTED_VALUE"""),"Знаменит отравляющим ГРЕС в центре города,  пожаром в Зимней вишне, знаменит коррупцией, шахтерами.")</f>
        <v>Знаменит отравляющим ГРЕС в центре города,  пожаром в Зимней вишне, знаменит коррупцией, шахтерами.</v>
      </c>
      <c r="U659" s="6" t="str">
        <f>IFERROR(__xludf.DUMMYFUNCTION("""COMPUTED_VALUE"""),"Университеты, мечеть.")</f>
        <v>Университеты, мечеть.</v>
      </c>
      <c r="V659" s="6" t="str">
        <f>IFERROR(__xludf.DUMMYFUNCTION("""COMPUTED_VALUE"""),"Жили и трудились во благо обществу и духовным ценностям.")</f>
        <v>Жили и трудились во благо обществу и духовным ценностям.</v>
      </c>
      <c r="W659" s="6" t="str">
        <f>IFERROR(__xludf.DUMMYFUNCTION("""COMPUTED_VALUE"""),"Болеющий, трудящийся, желающий переехать в другой город.")</f>
        <v>Болеющий, трудящийся, желающий переехать в другой город.</v>
      </c>
      <c r="X659" s="6" t="str">
        <f>IFERROR(__xludf.DUMMYFUNCTION("""COMPUTED_VALUE"""),"От набережной, до кадетского корпуса, до мечети.")</f>
        <v>От набережной, до кадетского корпуса, до мечети.</v>
      </c>
      <c r="Y659" s="6" t="str">
        <f>IFERROR(__xludf.DUMMYFUNCTION("""COMPUTED_VALUE"""),"Построили мечеть!")</f>
        <v>Построили мечеть!</v>
      </c>
      <c r="Z659" s="6" t="str">
        <f>IFERROR(__xludf.DUMMYFUNCTION("""COMPUTED_VALUE"""),"Открытие кадетского училища, снятия карантинных мер.")</f>
        <v>Открытие кадетского училища, снятия карантинных мер.</v>
      </c>
      <c r="AA659" s="6" t="str">
        <f>IFERROR(__xludf.DUMMYFUNCTION("""COMPUTED_VALUE"""),"Расформирование бюджета, режим «чёрного неба» ")</f>
        <v>Расформирование бюджета, режим «чёрного неба» </v>
      </c>
      <c r="AB659" s="6" t="str">
        <f>IFERROR(__xludf.DUMMYFUNCTION("""COMPUTED_VALUE"""),"По борьбе за экологию, нравственность и здоровье граждан.")</f>
        <v>По борьбе за экологию, нравственность и здоровье граждан.</v>
      </c>
      <c r="AC659" s="6" t="str">
        <f>IFERROR(__xludf.DUMMYFUNCTION("""COMPUTED_VALUE"""),"Спортивные, религиозно духовно просветительские, мероприятия в сфере науки и улучшения экологии города")</f>
        <v>Спортивные, религиозно духовно просветительские, мероприятия в сфере науки и улучшения экологии города</v>
      </c>
      <c r="AD659"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Волонтер"&amp;"а: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659" s="6" t="str">
        <f>IFERROR(__xludf.DUMMYFUNCTION("""COMPUTED_VALUE"""),"Женский")</f>
        <v>Женский</v>
      </c>
      <c r="AF659" s="6" t="str">
        <f>IFERROR(__xludf.DUMMYFUNCTION("""COMPUTED_VALUE"""),"18-29")</f>
        <v>18-29</v>
      </c>
      <c r="AG659" s="6"/>
      <c r="AH659" s="6"/>
      <c r="AI659" s="6"/>
      <c r="AJ659" s="6"/>
      <c r="AK659" s="6"/>
      <c r="AL659" s="6"/>
      <c r="AM659" s="6"/>
    </row>
    <row r="660">
      <c r="A660" s="6">
        <v>659.0</v>
      </c>
      <c r="B660" s="6" t="str">
        <f>IFERROR(__xludf.DUMMYFUNCTION("""COMPUTED_VALUE"""),"Работа в сфере услуг, учёба в магистратуре")</f>
        <v>Работа в сфере услуг, учёба в магистратуре</v>
      </c>
      <c r="C660" s="6" t="str">
        <f>IFERROR(__xludf.DUMMYFUNCTION("""COMPUTED_VALUE"""),"Чтение, просмотр сериалов")</f>
        <v>Чтение, просмотр сериалов</v>
      </c>
      <c r="D660" s="6" t="str">
        <f>IFERROR(__xludf.DUMMYFUNCTION("""COMPUTED_VALUE"""),"Центральный, центр ")</f>
        <v>Центральный, центр </v>
      </c>
      <c r="E660" s="6" t="str">
        <f>IFERROR(__xludf.DUMMYFUNCTION("""COMPUTED_VALUE"""),"Набережная, Весенняя ")</f>
        <v>Набережная, Весенняя </v>
      </c>
      <c r="F660" s="6" t="str">
        <f>IFERROR(__xludf.DUMMYFUNCTION("""COMPUTED_VALUE"""),"Живу здесь с рождения")</f>
        <v>Живу здесь с рождения</v>
      </c>
      <c r="G660" s="6" t="str">
        <f>IFERROR(__xludf.DUMMYFUNCTION("""COMPUTED_VALUE"""),"Набережная, Весенняя, Кузбасский Центр Искусств ")</f>
        <v>Набережная, Весенняя, Кузбасский Центр Искусств </v>
      </c>
      <c r="H660" s="6" t="str">
        <f>IFERROR(__xludf.DUMMYFUNCTION("""COMPUTED_VALUE"""),"Спокойствие, дом, деревья, Томь, Кузбасс")</f>
        <v>Спокойствие, дом, деревья, Томь, Кузбасс</v>
      </c>
      <c r="I660" s="6" t="str">
        <f>IFERROR(__xludf.DUMMYFUNCTION("""COMPUTED_VALUE"""),"-")</f>
        <v>-</v>
      </c>
      <c r="J660" s="6" t="str">
        <f>IFERROR(__xludf.DUMMYFUNCTION("""COMPUTED_VALUE"""),"- ")</f>
        <v>- </v>
      </c>
      <c r="K660" s="6" t="str">
        <f>IFERROR(__xludf.DUMMYFUNCTION("""COMPUTED_VALUE"""),"Лесная Поляна, Парк Ангелов, Краеведческий музей, Набережная, Бульвар строителей, Память шахтёрам Кузбасса ")</f>
        <v>Лесная Поляна, Парк Ангелов, Краеведческий музей, Набережная, Бульвар строителей, Память шахтёрам Кузбасса </v>
      </c>
      <c r="L660" s="6" t="str">
        <f>IFERROR(__xludf.DUMMYFUNCTION("""COMPUTED_VALUE"""),"- ")</f>
        <v>- </v>
      </c>
      <c r="M660" s="6" t="str">
        <f>IFERROR(__xludf.DUMMYFUNCTION("""COMPUTED_VALUE"""),"- ")</f>
        <v>- </v>
      </c>
      <c r="N660" s="6" t="str">
        <f>IFERROR(__xludf.DUMMYFUNCTION("""COMPUTED_VALUE"""),"Отсутствие пробок, большое количество деревьев, доступность общественного транспорта, чистота улиц и парковых зон, развитая городская инфраструктура ")</f>
        <v>Отсутствие пробок, большое количество деревьев, доступность общественного транспорта, чистота улиц и парковых зон, развитая городская инфраструктура </v>
      </c>
      <c r="O660" s="6" t="str">
        <f>IFERROR(__xludf.DUMMYFUNCTION("""COMPUTED_VALUE"""),"Больше внимания уделить чистоте улиц, ремонту дворов и покраске жилых домов со стороны дворов, усилить поддержку малого бизнеса для развития региональной и муниципальной экономики, разнообразия развлекательных заведений, кафе, ресторанов, привлечь внимани"&amp;"е к проблеме приютов для бездомных животных ")</f>
        <v>Больше внимания уделить чистоте улиц, ремонту дворов и покраске жилых домов со стороны дворов, усилить поддержку малого бизнеса для развития региональной и муниципальной экономики, разнообразия развлекательных заведений, кафе, ресторанов, привлечь внимание к проблеме приютов для бездомных животных </v>
      </c>
      <c r="P660" s="6" t="str">
        <f>IFERROR(__xludf.DUMMYFUNCTION("""COMPUTED_VALUE"""),"-")</f>
        <v>-</v>
      </c>
      <c r="Q660" s="6" t="str">
        <f>IFERROR(__xludf.DUMMYFUNCTION("""COMPUTED_VALUE"""),"куда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660" s="6" t="str">
        <f>IFERROR(__xludf.DUMMYFUNCTION("""COMPUTED_VALUE"""),"-")</f>
        <v>-</v>
      </c>
      <c r="S660" s="6" t="str">
        <f>IFERROR(__xludf.DUMMYFUNCTION("""COMPUTED_VALUE"""),"Нет, не приходилось")</f>
        <v>Нет, не приходилось</v>
      </c>
      <c r="T660" s="6" t="str">
        <f>IFERROR(__xludf.DUMMYFUNCTION("""COMPUTED_VALUE"""),"-")</f>
        <v>-</v>
      </c>
      <c r="U660" s="6" t="str">
        <f>IFERROR(__xludf.DUMMYFUNCTION("""COMPUTED_VALUE"""),"-")</f>
        <v>-</v>
      </c>
      <c r="V660" s="6" t="str">
        <f>IFERROR(__xludf.DUMMYFUNCTION("""COMPUTED_VALUE"""),"-")</f>
        <v>-</v>
      </c>
      <c r="W660" s="6" t="str">
        <f>IFERROR(__xludf.DUMMYFUNCTION("""COMPUTED_VALUE"""),"-")</f>
        <v>-</v>
      </c>
      <c r="X660" s="6" t="str">
        <f>IFERROR(__xludf.DUMMYFUNCTION("""COMPUTED_VALUE"""),"-")</f>
        <v>-</v>
      </c>
      <c r="Y660" s="6" t="str">
        <f>IFERROR(__xludf.DUMMYFUNCTION("""COMPUTED_VALUE"""),"-")</f>
        <v>-</v>
      </c>
      <c r="Z660" s="6" t="str">
        <f>IFERROR(__xludf.DUMMYFUNCTION("""COMPUTED_VALUE"""),"-")</f>
        <v>-</v>
      </c>
      <c r="AA660" s="6" t="str">
        <f>IFERROR(__xludf.DUMMYFUNCTION("""COMPUTED_VALUE"""),"-")</f>
        <v>-</v>
      </c>
      <c r="AB660" s="6" t="str">
        <f>IFERROR(__xludf.DUMMYFUNCTION("""COMPUTED_VALUE"""),"-")</f>
        <v>-</v>
      </c>
      <c r="AC660" s="6" t="str">
        <f>IFERROR(__xludf.DUMMYFUNCTION("""COMPUTED_VALUE"""),"-")</f>
        <v>-</v>
      </c>
      <c r="AD660" s="6" t="str">
        <f>IFERROR(__xludf.DUMMYFUNCTION("""COMPUTED_VALUE"""),"Не готов принимать личное участие (укажите, пожалуйста, причину в поле «Другое»), На данном этапе жизни у меня нет времени/сил заниматься чем-то кроме работы и учёбы. Финансовая помощь будет затруднительна для меня и неощутима для общего дела, поскольку м"&amp;"оя заработная плата практически вдвое ниже средней по региону")</f>
        <v>Не готов принимать личное участие (укажите, пожалуйста, причину в поле «Другое»), На данном этапе жизни у меня нет времени/сил заниматься чем-то кроме работы и учёбы. Финансовая помощь будет затруднительна для меня и неощутима для общего дела, поскольку моя заработная плата практически вдвое ниже средней по региону</v>
      </c>
      <c r="AE660" s="6" t="str">
        <f>IFERROR(__xludf.DUMMYFUNCTION("""COMPUTED_VALUE"""),"Женский")</f>
        <v>Женский</v>
      </c>
      <c r="AF660" s="6" t="str">
        <f>IFERROR(__xludf.DUMMYFUNCTION("""COMPUTED_VALUE"""),"18-29")</f>
        <v>18-29</v>
      </c>
      <c r="AG660" s="6"/>
      <c r="AH660" s="6"/>
      <c r="AI660" s="6"/>
      <c r="AJ660" s="6"/>
      <c r="AK660" s="6"/>
      <c r="AL660" s="6"/>
      <c r="AM660" s="6"/>
    </row>
    <row r="661">
      <c r="A661" s="6">
        <v>660.0</v>
      </c>
      <c r="B661" s="6" t="str">
        <f>IFERROR(__xludf.DUMMYFUNCTION("""COMPUTED_VALUE"""),"Работаю в библиотеке")</f>
        <v>Работаю в библиотеке</v>
      </c>
      <c r="C661" s="6" t="str">
        <f>IFERROR(__xludf.DUMMYFUNCTION("""COMPUTED_VALUE"""),"Дизайн квартиры")</f>
        <v>Дизайн квартиры</v>
      </c>
      <c r="D661" s="6" t="str">
        <f>IFERROR(__xludf.DUMMYFUNCTION("""COMPUTED_VALUE"""),"Центральный / Центр")</f>
        <v>Центральный / Центр</v>
      </c>
      <c r="E661" s="6" t="str">
        <f>IFERROR(__xludf.DUMMYFUNCTION("""COMPUTED_VALUE"""),"Цирк, церковь, шахматный клуб")</f>
        <v>Цирк, церковь, шахматный клуб</v>
      </c>
      <c r="F661" s="6" t="str">
        <f>IFERROR(__xludf.DUMMYFUNCTION("""COMPUTED_VALUE"""),"Переехал сюда из другого места (откуда? укажите в графе другое), Узбекистан. Хотела жить только в Кемерово")</f>
        <v>Переехал сюда из другого места (откуда? укажите в графе другое), Узбекистан. Хотела жить только в Кемерово</v>
      </c>
      <c r="G661" s="6" t="str">
        <f>IFERROR(__xludf.DUMMYFUNCTION("""COMPUTED_VALUE"""),"Музей Красная горка и близлежащий парк")</f>
        <v>Музей Красная горка и близлежащий парк</v>
      </c>
      <c r="H661" s="6" t="str">
        <f>IFERROR(__xludf.DUMMYFUNCTION("""COMPUTED_VALUE"""),"Космонавт Леонов, Михайло Волков, Вера Волошина, Красная горка, памятник Шахтеру")</f>
        <v>Космонавт Леонов, Михайло Волков, Вера Волошина, Красная горка, памятник Шахтеру</v>
      </c>
      <c r="I661" s="6" t="str">
        <f>IFERROR(__xludf.DUMMYFUNCTION("""COMPUTED_VALUE"""),"Космонавт Леонов, Михайло Волков, Вера Волошина, Герман Захаров,  Подгорбунский, Игорь Киселев")</f>
        <v>Космонавт Леонов, Михайло Волков, Вера Волошина, Герман Захаров,  Подгорбунский, Игорь Киселев</v>
      </c>
      <c r="J661" s="6" t="str">
        <f>IFERROR(__xludf.DUMMYFUNCTION("""COMPUTED_VALUE"""),"Космонавт Леонов, Владимир Михайлов, Владимир Павлович Надь, Михаил Шевалье, Василий Попок, Елена Малышева, Евгений Гришковец, Владимир Машков")</f>
        <v>Космонавт Леонов, Владимир Михайлов, Владимир Павлович Надь, Михаил Шевалье, Василий Попок, Елена Малышева, Евгений Гришковец, Владимир Машков</v>
      </c>
      <c r="K661" s="6" t="str">
        <f>IFERROR(__xludf.DUMMYFUNCTION("""COMPUTED_VALUE"""),"Красная горка, Писаные скалы")</f>
        <v>Красная горка, Писаные скалы</v>
      </c>
      <c r="L661" s="6" t="str">
        <f>IFERROR(__xludf.DUMMYFUNCTION("""COMPUTED_VALUE""")," Город-труженник")</f>
        <v> Город-труженник</v>
      </c>
      <c r="M661" s="6" t="str">
        <f>IFERROR(__xludf.DUMMYFUNCTION("""COMPUTED_VALUE"""),"Человек из Кемерово")</f>
        <v>Человек из Кемерово</v>
      </c>
      <c r="N661" s="6" t="str">
        <f>IFERROR(__xludf.DUMMYFUNCTION("""COMPUTED_VALUE"""),"Компактный, чистый, отличный городской транспорт,  скамейки, урны, небольшие места отдыха")</f>
        <v>Компактный, чистый, отличный городской транспорт,  скамейки, урны, небольшие места отдыха</v>
      </c>
      <c r="O661" s="6" t="str">
        <f>IFERROR(__xludf.DUMMYFUNCTION("""COMPUTED_VALUE"""),"Украсить фасады многих домов, убрать убогий аэропорт  и построить новый, современный")</f>
        <v>Украсить фасады многих домов, убрать убогий аэропорт  и построить новый, современный</v>
      </c>
      <c r="P661" s="6" t="str">
        <f>IFERROR(__xludf.DUMMYFUNCTION("""COMPUTED_VALUE"""),"Телевидение. На работе")</f>
        <v>Телевидение. На работе</v>
      </c>
      <c r="Q661" s="6" t="str">
        <f>IFERROR(__xludf.DUMMYFUNCTION("""COMPUTED_VALUE"""),"интервью с местными политиками, интервью с местными творческими личностями, криминальные новости (происшествия/преступления)")</f>
        <v>интервью с местными политиками, интервью с местными творческими личностями, криминальные новости (происшествия/преступления)</v>
      </c>
      <c r="R661" s="6" t="str">
        <f>IFERROR(__xludf.DUMMYFUNCTION("""COMPUTED_VALUE"""),"День шахтера день города, день Победы")</f>
        <v>День шахтера день города, день Победы</v>
      </c>
      <c r="S661" s="6" t="str">
        <f>IFERROR(__xludf.DUMMYFUNCTION("""COMPUTED_VALUE"""),"Нет, не приходилось")</f>
        <v>Нет, не приходилось</v>
      </c>
      <c r="T661" s="6" t="str">
        <f>IFERROR(__xludf.DUMMYFUNCTION("""COMPUTED_VALUE"""),"Уголь,  песня Человек из Кемерово, дорогие машины")</f>
        <v>Уголь,  песня Человек из Кемерово, дорогие машины</v>
      </c>
      <c r="U661" s="6" t="str">
        <f>IFERROR(__xludf.DUMMYFUNCTION("""COMPUTED_VALUE"""),"Ул. Весенняя, площадь Советов, парк Ангелов")</f>
        <v>Ул. Весенняя, площадь Советов, парк Ангелов</v>
      </c>
      <c r="V661" s="6" t="str">
        <f>IFERROR(__xludf.DUMMYFUNCTION("""COMPUTED_VALUE"""),"Строительство жилья, спортивные сооружения, дороги")</f>
        <v>Строительство жилья, спортивные сооружения, дороги</v>
      </c>
      <c r="W661" s="6" t="str">
        <f>IFERROR(__xludf.DUMMYFUNCTION("""COMPUTED_VALUE"""),"Динамичные, красивые, гостеприимные")</f>
        <v>Динамичные, красивые, гостеприимные</v>
      </c>
      <c r="X661" s="6" t="str">
        <f>IFERROR(__xludf.DUMMYFUNCTION("""COMPUTED_VALUE"""),"Томская писаница")</f>
        <v>Томская писаница</v>
      </c>
      <c r="Y661" s="6" t="str">
        <f>IFERROR(__xludf.DUMMYFUNCTION("""COMPUTED_VALUE"""),"Стал столицей Кемеровской области")</f>
        <v>Стал столицей Кемеровской области</v>
      </c>
      <c r="Z661" s="6" t="str">
        <f>IFERROR(__xludf.DUMMYFUNCTION("""COMPUTED_VALUE"""),"Ремонт бульвара Строителей")</f>
        <v>Ремонт бульвара Строителей</v>
      </c>
      <c r="AA661" s="6" t="str">
        <f>IFERROR(__xludf.DUMMYFUNCTION("""COMPUTED_VALUE"""),"Пожар Зимней вишни, хотя это случилось раньше")</f>
        <v>Пожар Зимней вишни, хотя это случилось раньше</v>
      </c>
      <c r="AB661" s="6" t="str">
        <f>IFERROR(__xludf.DUMMYFUNCTION("""COMPUTED_VALUE"""),"Всё хватает")</f>
        <v>Всё хватает</v>
      </c>
      <c r="AC661" s="6" t="str">
        <f>IFERROR(__xludf.DUMMYFUNCTION("""COMPUTED_VALUE"""),"Всё есть")</f>
        <v>Всё есть</v>
      </c>
      <c r="AD66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61" s="6" t="str">
        <f>IFERROR(__xludf.DUMMYFUNCTION("""COMPUTED_VALUE"""),"Женский")</f>
        <v>Женский</v>
      </c>
      <c r="AF661" s="6" t="str">
        <f>IFERROR(__xludf.DUMMYFUNCTION("""COMPUTED_VALUE"""),"45-55")</f>
        <v>45-55</v>
      </c>
      <c r="AG661" s="6"/>
      <c r="AH661" s="6"/>
      <c r="AI661" s="6"/>
      <c r="AJ661" s="6"/>
      <c r="AK661" s="6"/>
      <c r="AL661" s="6"/>
      <c r="AM661" s="6"/>
    </row>
    <row r="662">
      <c r="A662" s="6">
        <v>661.0</v>
      </c>
      <c r="B662" s="6" t="str">
        <f>IFERROR(__xludf.DUMMYFUNCTION("""COMPUTED_VALUE"""),"Работа в сфере услуг, учёба в магистратуре")</f>
        <v>Работа в сфере услуг, учёба в магистратуре</v>
      </c>
      <c r="C662" s="6" t="str">
        <f>IFERROR(__xludf.DUMMYFUNCTION("""COMPUTED_VALUE"""),"Чтение, просмотр сериалов")</f>
        <v>Чтение, просмотр сериалов</v>
      </c>
      <c r="D662" s="6" t="str">
        <f>IFERROR(__xludf.DUMMYFUNCTION("""COMPUTED_VALUE"""),"Центральный, центр ")</f>
        <v>Центральный, центр </v>
      </c>
      <c r="E662" s="6" t="str">
        <f>IFERROR(__xludf.DUMMYFUNCTION("""COMPUTED_VALUE"""),"Набережная, Весенняя ")</f>
        <v>Набережная, Весенняя </v>
      </c>
      <c r="F662" s="6" t="str">
        <f>IFERROR(__xludf.DUMMYFUNCTION("""COMPUTED_VALUE"""),"Живу здесь с рождения")</f>
        <v>Живу здесь с рождения</v>
      </c>
      <c r="G662" s="6" t="str">
        <f>IFERROR(__xludf.DUMMYFUNCTION("""COMPUTED_VALUE"""),"Набережная, Весенняя, Кузбасский Центр Искусств ")</f>
        <v>Набережная, Весенняя, Кузбасский Центр Искусств </v>
      </c>
      <c r="H662" s="6" t="str">
        <f>IFERROR(__xludf.DUMMYFUNCTION("""COMPUTED_VALUE"""),"Спокойствие, дом, деревья, Томь, Кузбасс")</f>
        <v>Спокойствие, дом, деревья, Томь, Кузбасс</v>
      </c>
      <c r="I662" s="6" t="str">
        <f>IFERROR(__xludf.DUMMYFUNCTION("""COMPUTED_VALUE"""),"-")</f>
        <v>-</v>
      </c>
      <c r="J662" s="6" t="str">
        <f>IFERROR(__xludf.DUMMYFUNCTION("""COMPUTED_VALUE"""),"- ")</f>
        <v>- </v>
      </c>
      <c r="K662" s="6" t="str">
        <f>IFERROR(__xludf.DUMMYFUNCTION("""COMPUTED_VALUE"""),"Лесная Поляна, Парк Ангелов, Краеведческий музей, Набережная, Бульвар строителей, Память шахтёрам Кузбасса ")</f>
        <v>Лесная Поляна, Парк Ангелов, Краеведческий музей, Набережная, Бульвар строителей, Память шахтёрам Кузбасса </v>
      </c>
      <c r="L662" s="6" t="str">
        <f>IFERROR(__xludf.DUMMYFUNCTION("""COMPUTED_VALUE"""),"- ")</f>
        <v>- </v>
      </c>
      <c r="M662" s="6" t="str">
        <f>IFERROR(__xludf.DUMMYFUNCTION("""COMPUTED_VALUE"""),"- ")</f>
        <v>- </v>
      </c>
      <c r="N662" s="6" t="str">
        <f>IFERROR(__xludf.DUMMYFUNCTION("""COMPUTED_VALUE"""),"Отсутствие пробок, большое количество деревьев, доступность общественного транспорта, чистота улиц и парковых зон, развитая городская инфраструктура ")</f>
        <v>Отсутствие пробок, большое количество деревьев, доступность общественного транспорта, чистота улиц и парковых зон, развитая городская инфраструктура </v>
      </c>
      <c r="O662" s="6" t="str">
        <f>IFERROR(__xludf.DUMMYFUNCTION("""COMPUTED_VALUE"""),"Больше внимания уделить чистоте улиц, ремонту дворов и покраске жилых домов со стороны дворов, усилить поддержку малого бизнеса для развития региональной и муниципальной экономики, разнообразия развлекательных заведений, кафе, ресторанов, привлечь внимани"&amp;"е к проблеме приютов для бездомных животных ")</f>
        <v>Больше внимания уделить чистоте улиц, ремонту дворов и покраске жилых домов со стороны дворов, усилить поддержку малого бизнеса для развития региональной и муниципальной экономики, разнообразия развлекательных заведений, кафе, ресторанов, привлечь внимание к проблеме приютов для бездомных животных </v>
      </c>
      <c r="P662" s="6" t="str">
        <f>IFERROR(__xludf.DUMMYFUNCTION("""COMPUTED_VALUE"""),"-")</f>
        <v>-</v>
      </c>
      <c r="Q662" s="6" t="str">
        <f>IFERROR(__xludf.DUMMYFUNCTION("""COMPUTED_VALUE"""),"куда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662" s="6" t="str">
        <f>IFERROR(__xludf.DUMMYFUNCTION("""COMPUTED_VALUE"""),"-")</f>
        <v>-</v>
      </c>
      <c r="S662" s="6" t="str">
        <f>IFERROR(__xludf.DUMMYFUNCTION("""COMPUTED_VALUE"""),"Нет, не приходилось")</f>
        <v>Нет, не приходилось</v>
      </c>
      <c r="T662" s="6" t="str">
        <f>IFERROR(__xludf.DUMMYFUNCTION("""COMPUTED_VALUE"""),"-")</f>
        <v>-</v>
      </c>
      <c r="U662" s="6" t="str">
        <f>IFERROR(__xludf.DUMMYFUNCTION("""COMPUTED_VALUE"""),"-")</f>
        <v>-</v>
      </c>
      <c r="V662" s="6" t="str">
        <f>IFERROR(__xludf.DUMMYFUNCTION("""COMPUTED_VALUE"""),"-")</f>
        <v>-</v>
      </c>
      <c r="W662" s="6" t="str">
        <f>IFERROR(__xludf.DUMMYFUNCTION("""COMPUTED_VALUE"""),"-")</f>
        <v>-</v>
      </c>
      <c r="X662" s="6" t="str">
        <f>IFERROR(__xludf.DUMMYFUNCTION("""COMPUTED_VALUE"""),"-")</f>
        <v>-</v>
      </c>
      <c r="Y662" s="6" t="str">
        <f>IFERROR(__xludf.DUMMYFUNCTION("""COMPUTED_VALUE"""),"-")</f>
        <v>-</v>
      </c>
      <c r="Z662" s="6" t="str">
        <f>IFERROR(__xludf.DUMMYFUNCTION("""COMPUTED_VALUE"""),"-")</f>
        <v>-</v>
      </c>
      <c r="AA662" s="6" t="str">
        <f>IFERROR(__xludf.DUMMYFUNCTION("""COMPUTED_VALUE"""),"-")</f>
        <v>-</v>
      </c>
      <c r="AB662" s="6" t="str">
        <f>IFERROR(__xludf.DUMMYFUNCTION("""COMPUTED_VALUE"""),"-")</f>
        <v>-</v>
      </c>
      <c r="AC662" s="6" t="str">
        <f>IFERROR(__xludf.DUMMYFUNCTION("""COMPUTED_VALUE"""),"-")</f>
        <v>-</v>
      </c>
      <c r="AD662" s="6" t="str">
        <f>IFERROR(__xludf.DUMMYFUNCTION("""COMPUTED_VALUE"""),"Не готов принимать личное участие (укажите, пожалуйста, причину в поле «Другое»), На данном этапе жизни у меня нет времени/сил заниматься чем-то кроме работы и учёбы. Финансовая помощь будет затруднительна для меня и неощутима для общего дела, поскольку м"&amp;"оя заработная плата практически вдвое ниже средней по региону")</f>
        <v>Не готов принимать личное участие (укажите, пожалуйста, причину в поле «Другое»), На данном этапе жизни у меня нет времени/сил заниматься чем-то кроме работы и учёбы. Финансовая помощь будет затруднительна для меня и неощутима для общего дела, поскольку моя заработная плата практически вдвое ниже средней по региону</v>
      </c>
      <c r="AE662" s="6" t="str">
        <f>IFERROR(__xludf.DUMMYFUNCTION("""COMPUTED_VALUE"""),"Женский")</f>
        <v>Женский</v>
      </c>
      <c r="AF662" s="6" t="str">
        <f>IFERROR(__xludf.DUMMYFUNCTION("""COMPUTED_VALUE"""),"18-29")</f>
        <v>18-29</v>
      </c>
      <c r="AG662" s="6"/>
      <c r="AH662" s="6"/>
      <c r="AI662" s="6"/>
      <c r="AJ662" s="6"/>
      <c r="AK662" s="6"/>
      <c r="AL662" s="6"/>
      <c r="AM662" s="6"/>
    </row>
    <row r="663">
      <c r="A663" s="6">
        <v>662.0</v>
      </c>
      <c r="B663" s="6" t="str">
        <f>IFERROR(__xludf.DUMMYFUNCTION("""COMPUTED_VALUE"""),"Культура ")</f>
        <v>Культура </v>
      </c>
      <c r="C663" s="6" t="str">
        <f>IFERROR(__xludf.DUMMYFUNCTION("""COMPUTED_VALUE"""),"Работа")</f>
        <v>Работа</v>
      </c>
      <c r="D663" s="6" t="str">
        <f>IFERROR(__xludf.DUMMYFUNCTION("""COMPUTED_VALUE"""),"Грамотеино")</f>
        <v>Грамотеино</v>
      </c>
      <c r="E663" s="6" t="str">
        <f>IFERROR(__xludf.DUMMYFUNCTION("""COMPUTED_VALUE"""),"Аллея Шахтёров ")</f>
        <v>Аллея Шахтёров </v>
      </c>
      <c r="F663" s="6" t="str">
        <f>IFERROR(__xludf.DUMMYFUNCTION("""COMPUTED_VALUE"""),"Родился здесь,но сейчас живу в другом городе")</f>
        <v>Родился здесь,но сейчас живу в другом городе</v>
      </c>
      <c r="G663" s="6" t="str">
        <f>IFERROR(__xludf.DUMMYFUNCTION("""COMPUTED_VALUE"""),"В парки и торговые центры ")</f>
        <v>В парки и торговые центры </v>
      </c>
      <c r="H663" s="6" t="str">
        <f>IFERROR(__xludf.DUMMYFUNCTION("""COMPUTED_VALUE"""),"Шахта, разрез, уголь, культура, дорогиЛеонов, ")</f>
        <v>Шахта, разрез, уголь, культура, дорогиЛеонов, </v>
      </c>
      <c r="I663" s="6" t="str">
        <f>IFERROR(__xludf.DUMMYFUNCTION("""COMPUTED_VALUE"""),"Леонов, Белов, Фёдоров, Тулеев, Евдокимов")</f>
        <v>Леонов, Белов, Фёдоров, Тулеев, Евдокимов</v>
      </c>
      <c r="J663" s="6" t="str">
        <f>IFERROR(__xludf.DUMMYFUNCTION("""COMPUTED_VALUE"""),"Кемеровский, Тулеев, Машков, Тиньков, Распутина")</f>
        <v>Кемеровский, Тулеев, Машков, Тиньков, Распутина</v>
      </c>
      <c r="K663" s="6" t="str">
        <f>IFERROR(__xludf.DUMMYFUNCTION("""COMPUTED_VALUE"""),"Парк Ангелов")</f>
        <v>Парк Ангелов</v>
      </c>
      <c r="L663" s="6" t="str">
        <f>IFERROR(__xludf.DUMMYFUNCTION("""COMPUTED_VALUE"""),"Затрудняюсь ответить ")</f>
        <v>Затрудняюсь ответить </v>
      </c>
      <c r="M663" s="6" t="str">
        <f>IFERROR(__xludf.DUMMYFUNCTION("""COMPUTED_VALUE"""),"Затрудняюсь ответить ")</f>
        <v>Затрудняюсь ответить </v>
      </c>
      <c r="N663" s="6" t="str">
        <f>IFERROR(__xludf.DUMMYFUNCTION("""COMPUTED_VALUE"""),"Дороги, чистый воздух, наличие парков и детских площадок, достойное образование ")</f>
        <v>Дороги, чистый воздух, наличие парков и детских площадок, достойное образование </v>
      </c>
      <c r="O663" s="6" t="str">
        <f>IFERROR(__xludf.DUMMYFUNCTION("""COMPUTED_VALUE"""),"Дороги")</f>
        <v>Дороги</v>
      </c>
      <c r="P663" s="6" t="str">
        <f>IFERROR(__xludf.DUMMYFUNCTION("""COMPUTED_VALUE"""),"Инстаграм, вк, ок")</f>
        <v>Инстаграм, вк, ок</v>
      </c>
      <c r="Q663"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663" s="6" t="str">
        <f>IFERROR(__xludf.DUMMYFUNCTION("""COMPUTED_VALUE"""),"День шахтёра, 9 мая")</f>
        <v>День шахтёра, 9 мая</v>
      </c>
      <c r="S663" s="6" t="str">
        <f>IFERROR(__xludf.DUMMYFUNCTION("""COMPUTED_VALUE"""),"Писал и расклеивал объявления/афиши")</f>
        <v>Писал и расклеивал объявления/афиши</v>
      </c>
      <c r="T663" s="6" t="str">
        <f>IFERROR(__xludf.DUMMYFUNCTION("""COMPUTED_VALUE"""),"Затрудняюсь ответить ")</f>
        <v>Затрудняюсь ответить </v>
      </c>
      <c r="U663" s="6" t="str">
        <f>IFERROR(__xludf.DUMMYFUNCTION("""COMPUTED_VALUE"""),"Парк ангелов")</f>
        <v>Парк ангелов</v>
      </c>
      <c r="V663" s="6" t="str">
        <f>IFERROR(__xludf.DUMMYFUNCTION("""COMPUTED_VALUE"""),"Затрудняюсь ответить ")</f>
        <v>Затрудняюсь ответить </v>
      </c>
      <c r="W663" s="6" t="str">
        <f>IFERROR(__xludf.DUMMYFUNCTION("""COMPUTED_VALUE"""),"Затрудняюсь ответить ")</f>
        <v>Затрудняюсь ответить </v>
      </c>
      <c r="X663" s="6" t="str">
        <f>IFERROR(__xludf.DUMMYFUNCTION("""COMPUTED_VALUE"""),"Затрудняюсь ответить ")</f>
        <v>Затрудняюсь ответить </v>
      </c>
      <c r="Y663" s="6" t="str">
        <f>IFERROR(__xludf.DUMMYFUNCTION("""COMPUTED_VALUE"""),"Пожар в Зимней вишне")</f>
        <v>Пожар в Зимней вишне</v>
      </c>
      <c r="Z663" s="6" t="str">
        <f>IFERROR(__xludf.DUMMYFUNCTION("""COMPUTED_VALUE"""),"Открытие парка ")</f>
        <v>Открытие парка </v>
      </c>
      <c r="AA663" s="6" t="str">
        <f>IFERROR(__xludf.DUMMYFUNCTION("""COMPUTED_VALUE"""),"Конфликт с Навальным ")</f>
        <v>Конфликт с Навальным </v>
      </c>
      <c r="AB663" s="6" t="str">
        <f>IFERROR(__xludf.DUMMYFUNCTION("""COMPUTED_VALUE"""),"Мне всего хватает")</f>
        <v>Мне всего хватает</v>
      </c>
      <c r="AC663" s="6" t="str">
        <f>IFERROR(__xludf.DUMMYFUNCTION("""COMPUTED_VALUE"""),"Развлекательные")</f>
        <v>Развлекательные</v>
      </c>
      <c r="AD66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63" s="6" t="str">
        <f>IFERROR(__xludf.DUMMYFUNCTION("""COMPUTED_VALUE"""),"Женский")</f>
        <v>Женский</v>
      </c>
      <c r="AF663" s="6" t="str">
        <f>IFERROR(__xludf.DUMMYFUNCTION("""COMPUTED_VALUE"""),"30-44")</f>
        <v>30-44</v>
      </c>
      <c r="AG663" s="6"/>
      <c r="AH663" s="6"/>
      <c r="AI663" s="6"/>
      <c r="AJ663" s="6"/>
      <c r="AK663" s="6"/>
      <c r="AL663" s="6"/>
      <c r="AM663" s="6"/>
    </row>
    <row r="664">
      <c r="A664" s="6">
        <v>663.0</v>
      </c>
      <c r="B664" s="6" t="str">
        <f>IFERROR(__xludf.DUMMYFUNCTION("""COMPUTED_VALUE"""),"Мама двоих детей. В декрете. ")</f>
        <v>Мама двоих детей. В декрете. </v>
      </c>
      <c r="C664" s="6" t="str">
        <f>IFERROR(__xludf.DUMMYFUNCTION("""COMPUTED_VALUE"""),"Собираю алмазные мозайки. ")</f>
        <v>Собираю алмазные мозайки. </v>
      </c>
      <c r="D664" s="6" t="str">
        <f>IFERROR(__xludf.DUMMYFUNCTION("""COMPUTED_VALUE"""),"Заводской район Кемерово п. Улус. ")</f>
        <v>Заводской район Кемерово п. Улус. </v>
      </c>
      <c r="E664" s="6" t="str">
        <f>IFERROR(__xludf.DUMMYFUNCTION("""COMPUTED_VALUE"""),"Нет ничего. Ни детских площадок, ни тротуаров, ни дорог, ни воды. ")</f>
        <v>Нет ничего. Ни детских площадок, ни тротуаров, ни дорог, ни воды. </v>
      </c>
      <c r="F664" s="6" t="str">
        <f>IFERROR(__xludf.DUMMYFUNCTION("""COMPUTED_VALUE"""),"Переехал сюда из другого места (откуда? укажите в графе другое), с. Красное Ленинск-кузнецкий район")</f>
        <v>Переехал сюда из другого места (откуда? укажите в графе другое), с. Красное Ленинск-кузнецкий район</v>
      </c>
      <c r="G664" s="6" t="str">
        <f>IFERROR(__xludf.DUMMYFUNCTION("""COMPUTED_VALUE"""),"Гуляем по проулкам своего поселка. Или нахожусь в своем дворе. ")</f>
        <v>Гуляем по проулкам своего поселка. Или нахожусь в своем дворе. </v>
      </c>
      <c r="H664" s="6" t="str">
        <f>IFERROR(__xludf.DUMMYFUNCTION("""COMPUTED_VALUE"""),"Плохая экология, отсутствие воды в нашем посёлке, ")</f>
        <v>Плохая экология, отсутствие воды в нашем посёлке, </v>
      </c>
      <c r="I664" s="6" t="str">
        <f>IFERROR(__xludf.DUMMYFUNCTION("""COMPUTED_VALUE"""),"Не знаю. ")</f>
        <v>Не знаю. </v>
      </c>
      <c r="J664" s="6" t="str">
        <f>IFERROR(__xludf.DUMMYFUNCTION("""COMPUTED_VALUE"""),"Не знаю. ")</f>
        <v>Не знаю. </v>
      </c>
      <c r="K664" s="6" t="str">
        <f>IFERROR(__xludf.DUMMYFUNCTION("""COMPUTED_VALUE"""),"Не знаю. ")</f>
        <v>Не знаю. </v>
      </c>
      <c r="L664" s="6" t="str">
        <f>IFERROR(__xludf.DUMMYFUNCTION("""COMPUTED_VALUE"""),"Не знаю. ")</f>
        <v>Не знаю. </v>
      </c>
      <c r="M664" s="6" t="str">
        <f>IFERROR(__xludf.DUMMYFUNCTION("""COMPUTED_VALUE"""),"Не знаю. ")</f>
        <v>Не знаю. </v>
      </c>
      <c r="N664" s="6" t="str">
        <f>IFERROR(__xludf.DUMMYFUNCTION("""COMPUTED_VALUE"""),"Централизованнач вода, тротуары, безопасные дороги, мусорные контецнеры, современные детские площадки. Всего этого нет в нашем посёлке. Кемерово п. Улус. ")</f>
        <v>Централизованнач вода, тротуары, безопасные дороги, мусорные контецнеры, современные детские площадки. Всего этого нет в нашем посёлке. Кемерово п. Улус. </v>
      </c>
      <c r="O664" s="6" t="str">
        <f>IFERROR(__xludf.DUMMYFUNCTION("""COMPUTED_VALUE"""),"Начните хотябы с воды. ")</f>
        <v>Начните хотябы с воды. </v>
      </c>
      <c r="P664" s="6" t="str">
        <f>IFERROR(__xludf.DUMMYFUNCTION("""COMPUTED_VALUE"""),"Вк, инстаграм. ")</f>
        <v>Вк, инстаграм. </v>
      </c>
      <c r="Q664"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664" s="6" t="str">
        <f>IFERROR(__xludf.DUMMYFUNCTION("""COMPUTED_VALUE"""),"9 мая, день города. ")</f>
        <v>9 мая, день города. </v>
      </c>
      <c r="S664" s="6" t="str">
        <f>IFERROR(__xludf.DUMMYFUNCTION("""COMPUTED_VALUE"""),"Нет, не приходилось")</f>
        <v>Нет, не приходилось</v>
      </c>
      <c r="T664" s="6" t="str">
        <f>IFERROR(__xludf.DUMMYFUNCTION("""COMPUTED_VALUE"""),"Не знаю. ")</f>
        <v>Не знаю. </v>
      </c>
      <c r="U664" s="6" t="str">
        <f>IFERROR(__xludf.DUMMYFUNCTION("""COMPUTED_VALUE"""),"Не знаю. ")</f>
        <v>Не знаю. </v>
      </c>
      <c r="V664" s="6" t="str">
        <f>IFERROR(__xludf.DUMMYFUNCTION("""COMPUTED_VALUE"""),"Не знаю. ")</f>
        <v>Не знаю. </v>
      </c>
      <c r="W664" s="6" t="str">
        <f>IFERROR(__xludf.DUMMYFUNCTION("""COMPUTED_VALUE"""),"Угрюмые, не довольные жизнью люди, злобные. ")</f>
        <v>Угрюмые, не довольные жизнью люди, злобные. </v>
      </c>
      <c r="X664" s="6" t="str">
        <f>IFERROR(__xludf.DUMMYFUNCTION("""COMPUTED_VALUE"""),"Пр. Советский. ")</f>
        <v>Пр. Советский. </v>
      </c>
      <c r="Y664" s="6" t="str">
        <f>IFERROR(__xludf.DUMMYFUNCTION("""COMPUTED_VALUE"""),"Не знаю. ")</f>
        <v>Не знаю. </v>
      </c>
      <c r="Z664" s="6" t="str">
        <f>IFERROR(__xludf.DUMMYFUNCTION("""COMPUTED_VALUE"""),"Нет таких. ")</f>
        <v>Нет таких. </v>
      </c>
      <c r="AA664" s="6" t="str">
        <f>IFERROR(__xludf.DUMMYFUNCTION("""COMPUTED_VALUE"""),"Пожар в тц Зимняя вишня. ")</f>
        <v>Пожар в тц Зимняя вишня. </v>
      </c>
      <c r="AB664" s="6" t="str">
        <f>IFERROR(__xludf.DUMMYFUNCTION("""COMPUTED_VALUE"""),"Не знаю. ")</f>
        <v>Не знаю. </v>
      </c>
      <c r="AC664" s="6" t="str">
        <f>IFERROR(__xludf.DUMMYFUNCTION("""COMPUTED_VALUE"""),"Зарплаты людям поднимити. ")</f>
        <v>Зарплаты людям поднимити. </v>
      </c>
      <c r="AD664"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664" s="6" t="str">
        <f>IFERROR(__xludf.DUMMYFUNCTION("""COMPUTED_VALUE"""),"Женский")</f>
        <v>Женский</v>
      </c>
      <c r="AF664" s="6" t="str">
        <f>IFERROR(__xludf.DUMMYFUNCTION("""COMPUTED_VALUE"""),"30-44")</f>
        <v>30-44</v>
      </c>
      <c r="AG664" s="6"/>
      <c r="AH664" s="6"/>
      <c r="AI664" s="6"/>
      <c r="AJ664" s="6"/>
      <c r="AK664" s="6"/>
      <c r="AL664" s="6"/>
      <c r="AM664" s="6"/>
    </row>
    <row r="665">
      <c r="A665" s="6">
        <v>664.0</v>
      </c>
      <c r="B665" s="6" t="str">
        <f>IFERROR(__xludf.DUMMYFUNCTION("""COMPUTED_VALUE"""),"Руководитель студии")</f>
        <v>Руководитель студии</v>
      </c>
      <c r="C665" s="6" t="str">
        <f>IFERROR(__xludf.DUMMYFUNCTION("""COMPUTED_VALUE"""),"Да. Рисование. Декорирования")</f>
        <v>Да. Рисование. Декорирования</v>
      </c>
      <c r="D665" s="6" t="str">
        <f>IFERROR(__xludf.DUMMYFUNCTION("""COMPUTED_VALUE"""),"Колмогоры")</f>
        <v>Колмогоры</v>
      </c>
      <c r="E665" s="6" t="str">
        <f>IFERROR(__xludf.DUMMYFUNCTION("""COMPUTED_VALUE"""),"Аллея Ветеранов, аллея Шахтеров")</f>
        <v>Аллея Ветеранов, аллея Шахтеров</v>
      </c>
      <c r="F665" s="6" t="str">
        <f>IFERROR(__xludf.DUMMYFUNCTION("""COMPUTED_VALUE"""),"Живу здесь с рождения")</f>
        <v>Живу здесь с рождения</v>
      </c>
      <c r="G665" s="6" t="str">
        <f>IFERROR(__xludf.DUMMYFUNCTION("""COMPUTED_VALUE"""),"В парк")</f>
        <v>В парк</v>
      </c>
      <c r="H665" s="6" t="str">
        <f>IFERROR(__xludf.DUMMYFUNCTION("""COMPUTED_VALUE"""),"Молодой, цветущий, шумный активный, родной")</f>
        <v>Молодой, цветущий, шумный активный, родной</v>
      </c>
      <c r="I665" s="6" t="str">
        <f>IFERROR(__xludf.DUMMYFUNCTION("""COMPUTED_VALUE"""),"Тулеев")</f>
        <v>Тулеев</v>
      </c>
      <c r="J665" s="6" t="str">
        <f>IFERROR(__xludf.DUMMYFUNCTION("""COMPUTED_VALUE"""),"Тулеев")</f>
        <v>Тулеев</v>
      </c>
      <c r="K665" s="6" t="str">
        <f>IFERROR(__xludf.DUMMYFUNCTION("""COMPUTED_VALUE"""),"Парки отдыха")</f>
        <v>Парки отдыха</v>
      </c>
      <c r="L665" s="6" t="str">
        <f>IFERROR(__xludf.DUMMYFUNCTION("""COMPUTED_VALUE"""),"Старый друг лучше новых двух")</f>
        <v>Старый друг лучше новых двух</v>
      </c>
      <c r="M665" s="6" t="str">
        <f>IFERROR(__xludf.DUMMYFUNCTION("""COMPUTED_VALUE"""),"Нет")</f>
        <v>Нет</v>
      </c>
      <c r="N665" s="6" t="str">
        <f>IFERROR(__xludf.DUMMYFUNCTION("""COMPUTED_VALUE"""),"Парки отдыха, Студии для детей, спортивные секции, детские и семейные кафе, спортплощадки")</f>
        <v>Парки отдыха, Студии для детей, спортивные секции, детские и семейные кафе, спортплощадки</v>
      </c>
      <c r="O665" s="6" t="str">
        <f>IFERROR(__xludf.DUMMYFUNCTION("""COMPUTED_VALUE"""),"Освещение")</f>
        <v>Освещение</v>
      </c>
      <c r="P665" s="6" t="str">
        <f>IFERROR(__xludf.DUMMYFUNCTION("""COMPUTED_VALUE"""),"На работе")</f>
        <v>На работе</v>
      </c>
      <c r="Q66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665" s="6" t="str">
        <f>IFERROR(__xludf.DUMMYFUNCTION("""COMPUTED_VALUE"""),"9 мая, день защиты детей")</f>
        <v>9 мая, день защиты детей</v>
      </c>
      <c r="S665" s="6" t="str">
        <f>IFERROR(__xludf.DUMMYFUNCTION("""COMPUTED_VALUE"""),"Нет, не приходилось")</f>
        <v>Нет, не приходилось</v>
      </c>
      <c r="T665" s="6" t="str">
        <f>IFERROR(__xludf.DUMMYFUNCTION("""COMPUTED_VALUE"""),"Памятниками культуры")</f>
        <v>Памятниками культуры</v>
      </c>
      <c r="U665" s="6" t="str">
        <f>IFERROR(__xludf.DUMMYFUNCTION("""COMPUTED_VALUE"""),"Парк судес")</f>
        <v>Парк судес</v>
      </c>
      <c r="V665" s="6" t="str">
        <f>IFERROR(__xludf.DUMMYFUNCTION("""COMPUTED_VALUE"""),"Берегут чистоту и памятники культуры")</f>
        <v>Берегут чистоту и памятники культуры</v>
      </c>
      <c r="W665" s="6" t="str">
        <f>IFERROR(__xludf.DUMMYFUNCTION("""COMPUTED_VALUE"""),"Доброжелательность")</f>
        <v>Доброжелательность</v>
      </c>
      <c r="X665" s="6" t="str">
        <f>IFERROR(__xludf.DUMMYFUNCTION("""COMPUTED_VALUE"""),"По центру города")</f>
        <v>По центру города</v>
      </c>
      <c r="Y665" s="6" t="str">
        <f>IFERROR(__xludf.DUMMYFUNCTION("""COMPUTED_VALUE"""),"Поведения праздничных мероприятий ко Дню города")</f>
        <v>Поведения праздничных мероприятий ко Дню города</v>
      </c>
      <c r="Z665" s="6" t="str">
        <f>IFERROR(__xludf.DUMMYFUNCTION("""COMPUTED_VALUE"""),"Строительство новых домов")</f>
        <v>Строительство новых домов</v>
      </c>
      <c r="AA665" s="6" t="str">
        <f>IFERROR(__xludf.DUMMYFUNCTION("""COMPUTED_VALUE"""),"Подорожание цен на жилье")</f>
        <v>Подорожание цен на жилье</v>
      </c>
      <c r="AB665" s="6" t="str">
        <f>IFERROR(__xludf.DUMMYFUNCTION("""COMPUTED_VALUE"""),"Творческих людей")</f>
        <v>Творческих людей</v>
      </c>
      <c r="AC665" s="6" t="str">
        <f>IFERROR(__xludf.DUMMYFUNCTION("""COMPUTED_VALUE"""),"Детские мероприятия и праздники")</f>
        <v>Детские мероприятия и праздники</v>
      </c>
      <c r="AD66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665" s="6" t="str">
        <f>IFERROR(__xludf.DUMMYFUNCTION("""COMPUTED_VALUE"""),"Женский")</f>
        <v>Женский</v>
      </c>
      <c r="AF665" s="6" t="str">
        <f>IFERROR(__xludf.DUMMYFUNCTION("""COMPUTED_VALUE"""),"30-44")</f>
        <v>30-44</v>
      </c>
      <c r="AG665" s="6"/>
      <c r="AH665" s="6"/>
      <c r="AI665" s="6"/>
      <c r="AJ665" s="6"/>
      <c r="AK665" s="6"/>
      <c r="AL665" s="6"/>
      <c r="AM665" s="6"/>
    </row>
    <row r="666">
      <c r="A666" s="6">
        <v>665.0</v>
      </c>
      <c r="B666" s="6" t="str">
        <f>IFERROR(__xludf.DUMMYFUNCTION("""COMPUTED_VALUE"""),"Работаю ")</f>
        <v>Работаю </v>
      </c>
      <c r="C666" s="6" t="str">
        <f>IFERROR(__xludf.DUMMYFUNCTION("""COMPUTED_VALUE"""),"Спорт ")</f>
        <v>Спорт </v>
      </c>
      <c r="D666" s="6" t="str">
        <f>IFERROR(__xludf.DUMMYFUNCTION("""COMPUTED_VALUE"""),"Центральный ")</f>
        <v>Центральный </v>
      </c>
      <c r="E666" s="6" t="str">
        <f>IFERROR(__xludf.DUMMYFUNCTION("""COMPUTED_VALUE"""),"Парк")</f>
        <v>Парк</v>
      </c>
      <c r="F666"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666" s="6" t="str">
        <f>IFERROR(__xludf.DUMMYFUNCTION("""COMPUTED_VALUE"""),"Гулять ")</f>
        <v>Гулять </v>
      </c>
      <c r="H666" s="6" t="str">
        <f>IFERROR(__xludf.DUMMYFUNCTION("""COMPUTED_VALUE"""),"Красота 
Жизнь 
Работа 
Место
")</f>
        <v>Красота 
Жизнь 
Работа 
Место
</v>
      </c>
      <c r="I666" s="6" t="str">
        <f>IFERROR(__xludf.DUMMYFUNCTION("""COMPUTED_VALUE"""),"Не знаю ")</f>
        <v>Не знаю </v>
      </c>
      <c r="J666" s="6" t="str">
        <f>IFERROR(__xludf.DUMMYFUNCTION("""COMPUTED_VALUE"""),"Не знаю ")</f>
        <v>Не знаю </v>
      </c>
      <c r="K666" s="6" t="str">
        <f>IFERROR(__xludf.DUMMYFUNCTION("""COMPUTED_VALUE"""),"Набережная ")</f>
        <v>Набережная </v>
      </c>
      <c r="L666" s="6" t="str">
        <f>IFERROR(__xludf.DUMMYFUNCTION("""COMPUTED_VALUE"""),".")</f>
        <v>.</v>
      </c>
      <c r="M666" s="6" t="str">
        <f>IFERROR(__xludf.DUMMYFUNCTION("""COMPUTED_VALUE"""),".")</f>
        <v>.</v>
      </c>
      <c r="N666" s="6" t="str">
        <f>IFERROR(__xludf.DUMMYFUNCTION("""COMPUTED_VALUE"""),".")</f>
        <v>.</v>
      </c>
      <c r="O666" s="6" t="str">
        <f>IFERROR(__xludf.DUMMYFUNCTION("""COMPUTED_VALUE"""),"Больше мест отдыха ")</f>
        <v>Больше мест отдыха </v>
      </c>
      <c r="P666" s="6" t="str">
        <f>IFERROR(__xludf.DUMMYFUNCTION("""COMPUTED_VALUE"""),"Интернет ")</f>
        <v>Интернет </v>
      </c>
      <c r="Q666" s="6" t="str">
        <f>IFERROR(__xludf.DUMMYFUNCTION("""COMPUTED_VALUE"""),"куда пойти в свободное время, где вкусно поесть/открытие новых кафе/ресторанов, интервью с местными творческими личностями")</f>
        <v>куда пойти в свободное время, где вкусно поесть/открытие новых кафе/ресторанов, интервью с местными творческими личностями</v>
      </c>
      <c r="R666" s="6" t="str">
        <f>IFERROR(__xludf.DUMMYFUNCTION("""COMPUTED_VALUE"""),"День города ")</f>
        <v>День города </v>
      </c>
      <c r="S666" s="6" t="str">
        <f>IFERROR(__xludf.DUMMYFUNCTION("""COMPUTED_VALUE"""),"Нет, не приходилось")</f>
        <v>Нет, не приходилось</v>
      </c>
      <c r="T666" s="6" t="str">
        <f>IFERROR(__xludf.DUMMYFUNCTION("""COMPUTED_VALUE"""),".")</f>
        <v>.</v>
      </c>
      <c r="U666" s="6" t="str">
        <f>IFERROR(__xludf.DUMMYFUNCTION("""COMPUTED_VALUE"""),".")</f>
        <v>.</v>
      </c>
      <c r="V666" s="6" t="str">
        <f>IFERROR(__xludf.DUMMYFUNCTION("""COMPUTED_VALUE"""),".")</f>
        <v>.</v>
      </c>
      <c r="W666" s="6" t="str">
        <f>IFERROR(__xludf.DUMMYFUNCTION("""COMPUTED_VALUE"""),".")</f>
        <v>.</v>
      </c>
      <c r="X666" s="6" t="str">
        <f>IFERROR(__xludf.DUMMYFUNCTION("""COMPUTED_VALUE"""),".")</f>
        <v>.</v>
      </c>
      <c r="Y666" s="6" t="str">
        <f>IFERROR(__xludf.DUMMYFUNCTION("""COMPUTED_VALUE"""),".")</f>
        <v>.</v>
      </c>
      <c r="Z666" s="6" t="str">
        <f>IFERROR(__xludf.DUMMYFUNCTION("""COMPUTED_VALUE"""),".")</f>
        <v>.</v>
      </c>
      <c r="AA666" s="6" t="str">
        <f>IFERROR(__xludf.DUMMYFUNCTION("""COMPUTED_VALUE"""),".")</f>
        <v>.</v>
      </c>
      <c r="AB666" s="6" t="str">
        <f>IFERROR(__xludf.DUMMYFUNCTION("""COMPUTED_VALUE"""),".")</f>
        <v>.</v>
      </c>
      <c r="AC666" s="6" t="str">
        <f>IFERROR(__xludf.DUMMYFUNCTION("""COMPUTED_VALUE"""),".")</f>
        <v>.</v>
      </c>
      <c r="AD666"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666" s="6" t="str">
        <f>IFERROR(__xludf.DUMMYFUNCTION("""COMPUTED_VALUE"""),"Женский")</f>
        <v>Женский</v>
      </c>
      <c r="AF666" s="6" t="str">
        <f>IFERROR(__xludf.DUMMYFUNCTION("""COMPUTED_VALUE"""),"18-29")</f>
        <v>18-29</v>
      </c>
      <c r="AG666" s="6"/>
      <c r="AH666" s="6"/>
      <c r="AI666" s="6"/>
      <c r="AJ666" s="6"/>
      <c r="AK666" s="6"/>
      <c r="AL666" s="6"/>
      <c r="AM666" s="6"/>
    </row>
    <row r="667">
      <c r="A667" s="6">
        <v>666.0</v>
      </c>
      <c r="B667" s="6" t="str">
        <f>IFERROR(__xludf.DUMMYFUNCTION("""COMPUTED_VALUE"""),"Студент КузГту ")</f>
        <v>Студент КузГту </v>
      </c>
      <c r="C667" s="6" t="str">
        <f>IFERROR(__xludf.DUMMYFUNCTION("""COMPUTED_VALUE"""),"Отсутствует ")</f>
        <v>Отсутствует </v>
      </c>
      <c r="D667" s="6" t="str">
        <f>IFERROR(__xludf.DUMMYFUNCTION("""COMPUTED_VALUE"""),"В центральном. Центр")</f>
        <v>В центральном. Центр</v>
      </c>
      <c r="E667" s="6" t="str">
        <f>IFERROR(__xludf.DUMMYFUNCTION("""COMPUTED_VALUE"""),"Цирк ")</f>
        <v>Цирк </v>
      </c>
      <c r="F667" s="6" t="str">
        <f>IFERROR(__xludf.DUMMYFUNCTION("""COMPUTED_VALUE"""),"Живу здесь с рождения")</f>
        <v>Живу здесь с рождения</v>
      </c>
      <c r="G667" s="6" t="str">
        <f>IFERROR(__xludf.DUMMYFUNCTION("""COMPUTED_VALUE"""),"На набережную ")</f>
        <v>На набережную </v>
      </c>
      <c r="H667" s="6" t="str">
        <f>IFERROR(__xludf.DUMMYFUNCTION("""COMPUTED_VALUE"""),"Пыль, заводы, зима, шахтеры , уголь")</f>
        <v>Пыль, заводы, зима, шахтеры , уголь</v>
      </c>
      <c r="I667" s="6" t="str">
        <f>IFERROR(__xludf.DUMMYFUNCTION("""COMPUTED_VALUE"""),"Алексей Леонов")</f>
        <v>Алексей Леонов</v>
      </c>
      <c r="J667" s="6" t="str">
        <f>IFERROR(__xludf.DUMMYFUNCTION("""COMPUTED_VALUE"""),"Аман Гумирович Тулеев")</f>
        <v>Аман Гумирович Тулеев</v>
      </c>
      <c r="K667" s="6" t="str">
        <f>IFERROR(__xludf.DUMMYFUNCTION("""COMPUTED_VALUE"""),"Красная горка")</f>
        <v>Красная горка</v>
      </c>
      <c r="L667" s="6" t="str">
        <f>IFERROR(__xludf.DUMMYFUNCTION("""COMPUTED_VALUE"""),"Не знаю ")</f>
        <v>Не знаю </v>
      </c>
      <c r="M667" s="6" t="str">
        <f>IFERROR(__xludf.DUMMYFUNCTION("""COMPUTED_VALUE"""),"Сокращение слов, например Юбилейный-юбик и тд")</f>
        <v>Сокращение слов, например Юбилейный-юбик и тд</v>
      </c>
      <c r="N667" s="6" t="str">
        <f>IFERROR(__xludf.DUMMYFUNCTION("""COMPUTED_VALUE"""),"Хорошие дороги, отсутсвие пробок, наличие кафе, наличие мест развлекательного характера, наличие недорого транспорта ")</f>
        <v>Хорошие дороги, отсутсвие пробок, наличие кафе, наличие мест развлекательного характера, наличие недорого транспорта </v>
      </c>
      <c r="O667" s="6" t="str">
        <f>IFERROR(__xludf.DUMMYFUNCTION("""COMPUTED_VALUE"""),"Дороги")</f>
        <v>Дороги</v>
      </c>
      <c r="P667" s="6" t="str">
        <f>IFERROR(__xludf.DUMMYFUNCTION("""COMPUTED_VALUE"""),"Инстаграмм")</f>
        <v>Инстаграмм</v>
      </c>
      <c r="Q667"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667" s="6" t="str">
        <f>IFERROR(__xludf.DUMMYFUNCTION("""COMPUTED_VALUE"""),"9 мая")</f>
        <v>9 мая</v>
      </c>
      <c r="S667" s="6" t="str">
        <f>IFERROR(__xludf.DUMMYFUNCTION("""COMPUTED_VALUE"""),"Нет, не приходилось")</f>
        <v>Нет, не приходилось</v>
      </c>
      <c r="T667" s="6" t="str">
        <f>IFERROR(__xludf.DUMMYFUNCTION("""COMPUTED_VALUE"""),"Наличие большого числа полезных ископаемых")</f>
        <v>Наличие большого числа полезных ископаемых</v>
      </c>
      <c r="U667" s="6" t="str">
        <f>IFERROR(__xludf.DUMMYFUNCTION("""COMPUTED_VALUE"""),"Фонтан ")</f>
        <v>Фонтан </v>
      </c>
      <c r="V667" s="6" t="str">
        <f>IFERROR(__xludf.DUMMYFUNCTION("""COMPUTED_VALUE"""),"Не знаю ")</f>
        <v>Не знаю </v>
      </c>
      <c r="W667" s="6" t="str">
        <f>IFERROR(__xludf.DUMMYFUNCTION("""COMPUTED_VALUE"""),"Грустные ")</f>
        <v>Грустные </v>
      </c>
      <c r="X667" s="6" t="str">
        <f>IFERROR(__xludf.DUMMYFUNCTION("""COMPUTED_VALUE"""),"Набережная ")</f>
        <v>Набережная </v>
      </c>
      <c r="Y667" s="6" t="str">
        <f>IFERROR(__xludf.DUMMYFUNCTION("""COMPUTED_VALUE"""),"Не знаю ")</f>
        <v>Не знаю </v>
      </c>
      <c r="Z667" s="6" t="str">
        <f>IFERROR(__xludf.DUMMYFUNCTION("""COMPUTED_VALUE"""),"День города ")</f>
        <v>День города </v>
      </c>
      <c r="AA667" s="6" t="str">
        <f>IFERROR(__xludf.DUMMYFUNCTION("""COMPUTED_VALUE"""),"Пожар комплекса зимняя вишня")</f>
        <v>Пожар комплекса зимняя вишня</v>
      </c>
      <c r="AB667" s="6" t="str">
        <f>IFERROR(__xludf.DUMMYFUNCTION("""COMPUTED_VALUE"""),"Всего хватает ")</f>
        <v>Всего хватает </v>
      </c>
      <c r="AC667" s="6" t="str">
        <f>IFERROR(__xludf.DUMMYFUNCTION("""COMPUTED_VALUE"""),"Не знаю ")</f>
        <v>Не знаю </v>
      </c>
      <c r="AD66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67" s="6" t="str">
        <f>IFERROR(__xludf.DUMMYFUNCTION("""COMPUTED_VALUE"""),"Женский")</f>
        <v>Женский</v>
      </c>
      <c r="AF667" s="6" t="str">
        <f>IFERROR(__xludf.DUMMYFUNCTION("""COMPUTED_VALUE"""),"18-29")</f>
        <v>18-29</v>
      </c>
      <c r="AG667" s="6"/>
      <c r="AH667" s="6"/>
      <c r="AI667" s="6"/>
      <c r="AJ667" s="6"/>
      <c r="AK667" s="6"/>
      <c r="AL667" s="6"/>
      <c r="AM667" s="6"/>
    </row>
    <row r="668">
      <c r="A668" s="6">
        <v>667.0</v>
      </c>
      <c r="B668" s="6" t="str">
        <f>IFERROR(__xludf.DUMMYFUNCTION("""COMPUTED_VALUE"""),"Библиотекарь. Обслуживаю читателей и потенциальных пользователей, провожу тематические мероприятия, оформляю книжные выставки, помогаю осуществлять поиск в Интернете, работаю в соцсетях.")</f>
        <v>Библиотекарь. Обслуживаю читателей и потенциальных пользователей, провожу тематические мероприятия, оформляю книжные выставки, помогаю осуществлять поиск в Интернете, работаю в соцсетях.</v>
      </c>
      <c r="C668" s="6" t="str">
        <f>IFERROR(__xludf.DUMMYFUNCTION("""COMPUTED_VALUE"""),"Рисую, редактирую фотографии, монтаж видео.")</f>
        <v>Рисую, редактирую фотографии, монтаж видео.</v>
      </c>
      <c r="D668" s="6" t="str">
        <f>IFERROR(__xludf.DUMMYFUNCTION("""COMPUTED_VALUE"""),"Центральный ")</f>
        <v>Центральный </v>
      </c>
      <c r="E668" s="6" t="str">
        <f>IFERROR(__xludf.DUMMYFUNCTION("""COMPUTED_VALUE"""),"Улица Терешковой, Набережная, улица Весенняя, Драматический театр, Парк Победы имени Жукова, Филармония.")</f>
        <v>Улица Терешковой, Набережная, улица Весенняя, Драматический театр, Парк Победы имени Жукова, Филармония.</v>
      </c>
      <c r="F668" s="6" t="str">
        <f>IFERROR(__xludf.DUMMYFUNCTION("""COMPUTED_VALUE"""),"Живу здесь с рождения")</f>
        <v>Живу здесь с рождения</v>
      </c>
      <c r="G668" s="6" t="str">
        <f>IFERROR(__xludf.DUMMYFUNCTION("""COMPUTED_VALUE"""),"Лесная поляна, Сосновый Бор, Набережная")</f>
        <v>Лесная поляна, Сосновый Бор, Набережная</v>
      </c>
      <c r="H668" s="6" t="str">
        <f>IFERROR(__xludf.DUMMYFUNCTION("""COMPUTED_VALUE"""),"Дым. Река. Время. Зелень. Азот")</f>
        <v>Дым. Река. Время. Зелень. Азот</v>
      </c>
      <c r="I668" s="6" t="str">
        <f>IFERROR(__xludf.DUMMYFUNCTION("""COMPUTED_VALUE"""),"Михаила Волков")</f>
        <v>Михаила Волков</v>
      </c>
      <c r="J668" s="6" t="str">
        <f>IFERROR(__xludf.DUMMYFUNCTION("""COMPUTED_VALUE"""),"Елена Малышева, Виктор Логинов, Евгений Гришковец, Алена Бабенко")</f>
        <v>Елена Малышева, Виктор Логинов, Евгений Гришковец, Алена Бабенко</v>
      </c>
      <c r="K668" s="6" t="str">
        <f>IFERROR(__xludf.DUMMYFUNCTION("""COMPUTED_VALUE"""),"Лесная поляна, Линейный парк")</f>
        <v>Лесная поляна, Линейный парк</v>
      </c>
      <c r="L668" s="6" t="str">
        <f>IFERROR(__xludf.DUMMYFUNCTION("""COMPUTED_VALUE"""),"Кто в лес, кто по дрова, а я из Кемерова. ")</f>
        <v>Кто в лес, кто по дрова, а я из Кемерова. </v>
      </c>
      <c r="M668" s="6" t="str">
        <f>IFERROR(__xludf.DUMMYFUNCTION("""COMPUTED_VALUE"""),"Еслив ")</f>
        <v>Еслив </v>
      </c>
      <c r="N668" s="6" t="str">
        <f>IFERROR(__xludf.DUMMYFUNCTION("""COMPUTED_VALUE"""),"Заработная плата, наличие работы, чистота, транспорт, комфортное жилье, благоустройство.")</f>
        <v>Заработная плата, наличие работы, чистота, транспорт, комфортное жилье, благоустройство.</v>
      </c>
      <c r="O668" s="6" t="str">
        <f>IFERROR(__xludf.DUMMYFUNCTION("""COMPUTED_VALUE"""),"Общественный транспорт (больше маршрутов и рейсов) ")</f>
        <v>Общественный транспорт (больше маршрутов и рейсов) </v>
      </c>
      <c r="P668" s="6" t="str">
        <f>IFERROR(__xludf.DUMMYFUNCTION("""COMPUTED_VALUE"""),"Инстаграм, Вк ")</f>
        <v>Инстаграм, Вк </v>
      </c>
      <c r="Q668" s="6" t="str">
        <f>IFERROR(__xludf.DUMMYFUNCTION("""COMPUTED_VALUE"""),"культурные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f>
        <v>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v>
      </c>
      <c r="R668" s="6" t="str">
        <f>IFERROR(__xludf.DUMMYFUNCTION("""COMPUTED_VALUE"""),"Новый год, День знаний")</f>
        <v>Новый год, День знаний</v>
      </c>
      <c r="S668" s="6" t="str">
        <f>IFERROR(__xludf.DUMMYFUNCTION("""COMPUTED_VALUE"""),"Через социальные сети (Какие? Укажите в графе другое), Инстаграм, Вк ")</f>
        <v>Через социальные сети (Какие? Укажите в графе другое), Инстаграм, Вк </v>
      </c>
      <c r="T668" s="6" t="str">
        <f>IFERROR(__xludf.DUMMYFUNCTION("""COMPUTED_VALUE"""),"Угольная и химическая промышленность")</f>
        <v>Угольная и химическая промышленность</v>
      </c>
      <c r="U668" s="6" t="str">
        <f>IFERROR(__xludf.DUMMYFUNCTION("""COMPUTED_VALUE"""),"Красная горка, Площадь Советов")</f>
        <v>Красная горка, Площадь Советов</v>
      </c>
      <c r="V668" s="6" t="str">
        <f>IFERROR(__xludf.DUMMYFUNCTION("""COMPUTED_VALUE"""),"Писали историю создания города, стихи, рассказы")</f>
        <v>Писали историю создания города, стихи, рассказы</v>
      </c>
      <c r="W668" s="6" t="str">
        <f>IFERROR(__xludf.DUMMYFUNCTION("""COMPUTED_VALUE"""),"Суровые, вдумчивые, трудолюбивые")</f>
        <v>Суровые, вдумчивые, трудолюбивые</v>
      </c>
      <c r="X668" s="6" t="str">
        <f>IFERROR(__xludf.DUMMYFUNCTION("""COMPUTED_VALUE"""),"Посетить краеведческий музей, Набережную, Драматический театр, Площадь Советов, Сосновый Бор")</f>
        <v>Посетить краеведческий музей, Набережную, Драматический театр, Площадь Советов, Сосновый Бор</v>
      </c>
      <c r="Y668" s="6" t="str">
        <f>IFERROR(__xludf.DUMMYFUNCTION("""COMPUTED_VALUE"""),"Открытие самого большого линейного парка в Сибири")</f>
        <v>Открытие самого большого линейного парка в Сибири</v>
      </c>
      <c r="Z668" s="6" t="str">
        <f>IFERROR(__xludf.DUMMYFUNCTION("""COMPUTED_VALUE"""),"Проведение онлайн-мероприятий")</f>
        <v>Проведение онлайн-мероприятий</v>
      </c>
      <c r="AA668" s="6" t="str">
        <f>IFERROR(__xludf.DUMMYFUNCTION("""COMPUTED_VALUE"""),"Эпидемия, карантин ")</f>
        <v>Эпидемия, карантин </v>
      </c>
      <c r="AB668" s="6" t="str">
        <f>IFERROR(__xludf.DUMMYFUNCTION("""COMPUTED_VALUE"""),"Экологических и инновационных ")</f>
        <v>Экологических и инновационных </v>
      </c>
      <c r="AC668" s="6" t="str">
        <f>IFERROR(__xludf.DUMMYFUNCTION("""COMPUTED_VALUE"""),"Проведение фестивалей")</f>
        <v>Проведение фестивалей</v>
      </c>
      <c r="AD668"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668" s="6" t="str">
        <f>IFERROR(__xludf.DUMMYFUNCTION("""COMPUTED_VALUE"""),"Женский")</f>
        <v>Женский</v>
      </c>
      <c r="AF668" s="6" t="str">
        <f>IFERROR(__xludf.DUMMYFUNCTION("""COMPUTED_VALUE"""),"18-29")</f>
        <v>18-29</v>
      </c>
      <c r="AG668" s="6"/>
      <c r="AH668" s="6"/>
      <c r="AI668" s="6"/>
      <c r="AJ668" s="6"/>
      <c r="AK668" s="6"/>
      <c r="AL668" s="6"/>
      <c r="AM668" s="6"/>
    </row>
    <row r="669">
      <c r="A669" s="6">
        <v>668.0</v>
      </c>
      <c r="B669" s="6" t="str">
        <f>IFERROR(__xludf.DUMMYFUNCTION("""COMPUTED_VALUE"""),"Работаю с закупками")</f>
        <v>Работаю с закупками</v>
      </c>
      <c r="C669" s="6" t="str">
        <f>IFERROR(__xludf.DUMMYFUNCTION("""COMPUTED_VALUE"""),"Кальян, игры в пеку ")</f>
        <v>Кальян, игры в пеку </v>
      </c>
      <c r="D669" s="6" t="str">
        <f>IFERROR(__xludf.DUMMYFUNCTION("""COMPUTED_VALUE"""),"Центральный, ЦАО")</f>
        <v>Центральный, ЦАО</v>
      </c>
      <c r="E669" s="6" t="str">
        <f>IFERROR(__xludf.DUMMYFUNCTION("""COMPUTED_VALUE"""),"Главпочтамт, Каравелла, филармония")</f>
        <v>Главпочтамт, Каравелла, филармония</v>
      </c>
      <c r="F669" s="6" t="str">
        <f>IFERROR(__xludf.DUMMYFUNCTION("""COMPUTED_VALUE"""),"Живу здесь с рождения")</f>
        <v>Живу здесь с рождения</v>
      </c>
      <c r="G669" s="6" t="str">
        <f>IFERROR(__xludf.DUMMYFUNCTION("""COMPUTED_VALUE"""),"Гуляю возле кадетки на Московском, возле филармонии и в ленинском районе")</f>
        <v>Гуляю возле кадетки на Московском, возле филармонии и в ленинском районе</v>
      </c>
      <c r="H669" s="6" t="str">
        <f>IFERROR(__xludf.DUMMYFUNCTION("""COMPUTED_VALUE"""),"Холодный, серый, налоговая ужасно наглеет, безработица, низкая зарплата")</f>
        <v>Холодный, серый, налоговая ужасно наглеет, безработица, низкая зарплата</v>
      </c>
      <c r="I669" s="6" t="str">
        <f>IFERROR(__xludf.DUMMYFUNCTION("""COMPUTED_VALUE"""),"Гришковец, Тулеев, косяненко")</f>
        <v>Гришковец, Тулеев, косяненко</v>
      </c>
      <c r="J669" s="6" t="str">
        <f>IFERROR(__xludf.DUMMYFUNCTION("""COMPUTED_VALUE"""),"Виктор Логинов(Гена букин)")</f>
        <v>Виктор Логинов(Гена букин)</v>
      </c>
      <c r="K669" s="6" t="str">
        <f>IFERROR(__xludf.DUMMYFUNCTION("""COMPUTED_VALUE"""),"Проспект московский, строящаяся ледовая арена,")</f>
        <v>Проспект московский, строящаяся ледовая арена,</v>
      </c>
      <c r="L669" s="6" t="str">
        <f>IFERROR(__xludf.DUMMYFUNCTION("""COMPUTED_VALUE"""),"Денег нет, но вы держитесь; на словах ты Лев Толстой, а на деле *простой*")</f>
        <v>Денег нет, но вы держитесь; на словах ты Лев Толстой, а на деле *простой*</v>
      </c>
      <c r="M669" s="6" t="str">
        <f>IFERROR(__xludf.DUMMYFUNCTION("""COMPUTED_VALUE"""),"Кемерово, а не в Кемерове; кееемерава мы едем в кееемерава (Витя ак47 из 2008)")</f>
        <v>Кемерово, а не в Кемерове; кееемерава мы едем в кееемерава (Витя ак47 из 2008)</v>
      </c>
      <c r="N669" s="6" t="str">
        <f>IFERROR(__xludf.DUMMYFUNCTION("""COMPUTED_VALUE"""),"Маленькие расстояния, широкие дороги, очень много новых домов, много народу, кашка на праздники ")</f>
        <v>Маленькие расстояния, широкие дороги, очень много новых домов, много народу, кашка на праздники </v>
      </c>
      <c r="O669" s="6" t="str">
        <f>IFERROR(__xludf.DUMMYFUNCTION("""COMPUTED_VALUE"""),"Сделать реально зарплату не ниже 40 тысяч ")</f>
        <v>Сделать реально зарплату не ниже 40 тысяч </v>
      </c>
      <c r="P669" s="6" t="str">
        <f>IFERROR(__xludf.DUMMYFUNCTION("""COMPUTED_VALUE"""),"От коллег по работе, но новости про Кемерово мне не интересны. Начинаю читать про Кемерово только перед праздниками, чтобы узнать программу мероприятий и какие дороги будут перекрыты")</f>
        <v>От коллег по работе, но новости про Кемерово мне не интересны. Начинаю читать про Кемерово только перед праздниками, чтобы узнать программу мероприятий и какие дороги будут перекрыты</v>
      </c>
      <c r="Q669" s="6" t="str">
        <f>IFERROR(__xludf.DUMMYFUNCTION("""COMPUTED_VALUE"""),"куда пойти в свободное время, культурные новинки (что почитать/что послушать), результаты местных исследований (рейтинги/аналитика/тенденции)")</f>
        <v>куда пойти в свободное время, культурные новинки (что почитать/что послушать), результаты местных исследований (рейтинги/аналитика/тенденции)</v>
      </c>
      <c r="R669" s="6" t="str">
        <f>IFERROR(__xludf.DUMMYFUNCTION("""COMPUTED_VALUE"""),"9 мая, 1 мая")</f>
        <v>9 мая, 1 мая</v>
      </c>
      <c r="S669" s="6" t="str">
        <f>IFERROR(__xludf.DUMMYFUNCTION("""COMPUTED_VALUE"""),"Писал и расклеивал объявления/афиши")</f>
        <v>Писал и расклеивал объявления/афиши</v>
      </c>
      <c r="T669" s="6" t="str">
        <f>IFERROR(__xludf.DUMMYFUNCTION("""COMPUTED_VALUE"""),"Углём и тем, что это самый коррумпированный город (судебный департамент, администрация области, архитектура города, куми района)")</f>
        <v>Углём и тем, что это самый коррумпированный город (судебный департамент, администрация области, архитектура города, куми района)</v>
      </c>
      <c r="U669" s="6" t="str">
        <f>IFERROR(__xludf.DUMMYFUNCTION("""COMPUTED_VALUE"""),"Площадь советлв")</f>
        <v>Площадь советлв</v>
      </c>
      <c r="V669" s="6" t="str">
        <f>IFERROR(__xludf.DUMMYFUNCTION("""COMPUTED_VALUE"""),"Только уголь нашли")</f>
        <v>Только уголь нашли</v>
      </c>
      <c r="W669" s="6" t="str">
        <f>IFERROR(__xludf.DUMMYFUNCTION("""COMPUTED_VALUE"""),"Тёмные, серые, грустные, злые")</f>
        <v>Тёмные, серые, грустные, злые</v>
      </c>
      <c r="X669" s="6" t="str">
        <f>IFERROR(__xludf.DUMMYFUNCTION("""COMPUTED_VALUE"""),"Весенняя улмца")</f>
        <v>Весенняя улмца</v>
      </c>
      <c r="Y669" s="6" t="str">
        <f>IFERROR(__xludf.DUMMYFUNCTION("""COMPUTED_VALUE"""),"Зимняя вишня ")</f>
        <v>Зимняя вишня </v>
      </c>
      <c r="Z669" s="6" t="str">
        <f>IFERROR(__xludf.DUMMYFUNCTION("""COMPUTED_VALUE"""),"Зимняя вишня и приход к власти цивелева")</f>
        <v>Зимняя вишня и приход к власти цивелева</v>
      </c>
      <c r="AA669" s="6" t="str">
        <f>IFERROR(__xludf.DUMMYFUNCTION("""COMPUTED_VALUE"""),"Стройка моста между каравеллой и объездной, закрытие БАССЕЙНА где плавать то")</f>
        <v>Стройка моста между каравеллой и объездной, закрытие БАССЕЙНА где плавать то</v>
      </c>
      <c r="AB669" s="6" t="str">
        <f>IFERROR(__xludf.DUMMYFUNCTION("""COMPUTED_VALUE"""),"Всех хватает")</f>
        <v>Всех хватает</v>
      </c>
      <c r="AC669" s="6" t="str">
        <f>IFERROR(__xludf.DUMMYFUNCTION("""COMPUTED_VALUE"""),"Ничего уже не поможет ")</f>
        <v>Ничего уже не поможет </v>
      </c>
      <c r="AD669" s="6" t="str">
        <f>IFERROR(__xludf.DUMMYFUNCTION("""COMPUTED_VALUE"""),"Не готов принимать личное участие (укажите, пожалуйста, причину в поле «Другое»), Не хочу и не вижу смысла в этом")</f>
        <v>Не готов принимать личное участие (укажите, пожалуйста, причину в поле «Другое»), Не хочу и не вижу смысла в этом</v>
      </c>
      <c r="AE669" s="6" t="str">
        <f>IFERROR(__xludf.DUMMYFUNCTION("""COMPUTED_VALUE"""),"Мужской")</f>
        <v>Мужской</v>
      </c>
      <c r="AF669" s="6" t="str">
        <f>IFERROR(__xludf.DUMMYFUNCTION("""COMPUTED_VALUE"""),"18-29")</f>
        <v>18-29</v>
      </c>
      <c r="AG669" s="6"/>
      <c r="AH669" s="6"/>
      <c r="AI669" s="6"/>
      <c r="AJ669" s="6"/>
      <c r="AK669" s="6"/>
      <c r="AL669" s="6"/>
      <c r="AM669" s="6"/>
    </row>
    <row r="670">
      <c r="A670" s="6">
        <v>669.0</v>
      </c>
      <c r="B670" s="6" t="str">
        <f>IFERROR(__xludf.DUMMYFUNCTION("""COMPUTED_VALUE"""),"Инженер")</f>
        <v>Инженер</v>
      </c>
      <c r="C670" s="6" t="str">
        <f>IFERROR(__xludf.DUMMYFUNCTION("""COMPUTED_VALUE"""),"Музыка, ремонт авто, анимэ.")</f>
        <v>Музыка, ремонт авто, анимэ.</v>
      </c>
      <c r="D670" s="6" t="str">
        <f>IFERROR(__xludf.DUMMYFUNCTION("""COMPUTED_VALUE"""),"Шалготарьян. Называю ""Шалго""")</f>
        <v>Шалготарьян. Называю "Шалго"</v>
      </c>
      <c r="E670" s="6" t="str">
        <f>IFERROR(__xludf.DUMMYFUNCTION("""COMPUTED_VALUE"""),"Фонтан, магазин Наград, почта России, диспетчерская и поликлиника.")</f>
        <v>Фонтан, магазин Наград, почта России, диспетчерская и поликлиника.</v>
      </c>
      <c r="F670" s="6" t="str">
        <f>IFERROR(__xludf.DUMMYFUNCTION("""COMPUTED_VALUE"""),"Живу здесь с рождения")</f>
        <v>Живу здесь с рождения</v>
      </c>
      <c r="G670" s="6" t="str">
        <f>IFERROR(__xludf.DUMMYFUNCTION("""COMPUTED_VALUE"""),"Озеро Красное, парк ""Кузбасский"", побережье Томи, но это только летом. Зимой делать нечего.")</f>
        <v>Озеро Красное, парк "Кузбасский", побережье Томи, но это только летом. Зимой делать нечего.</v>
      </c>
      <c r="H670" s="6" t="str">
        <f>IFERROR(__xludf.DUMMYFUNCTION("""COMPUTED_VALUE"""),"Надпись Кузбасс, холод, смог.")</f>
        <v>Надпись Кузбасс, холод, смог.</v>
      </c>
      <c r="I670" s="6" t="str">
        <f>IFERROR(__xludf.DUMMYFUNCTION("""COMPUTED_VALUE"""),"Алексей Леонов, Себальд Рутгерс.")</f>
        <v>Алексей Леонов, Себальд Рутгерс.</v>
      </c>
      <c r="J670" s="6" t="str">
        <f>IFERROR(__xludf.DUMMYFUNCTION("""COMPUTED_VALUE"""),"Михаил Алфёров")</f>
        <v>Михаил Алфёров</v>
      </c>
      <c r="K670" s="6" t="str">
        <f>IFERROR(__xludf.DUMMYFUNCTION("""COMPUTED_VALUE"""),"Набережная, парк Ангелов, сосновый бор.")</f>
        <v>Набережная, парк Ангелов, сосновый бор.</v>
      </c>
      <c r="L670" s="6" t="str">
        <f>IFERROR(__xludf.DUMMYFUNCTION("""COMPUTED_VALUE"""),"Вспомниается только слова Тулеева, после пожара в Зимней вишне. Когда он назвал недовольных людей бузотерами.")</f>
        <v>Вспомниается только слова Тулеева, после пожара в Зимней вишне. Когда он назвал недовольных людей бузотерами.</v>
      </c>
      <c r="M670" s="6" t="str">
        <f>IFERROR(__xludf.DUMMYFUNCTION("""COMPUTED_VALUE"""),"Мультифорка")</f>
        <v>Мультифорка</v>
      </c>
      <c r="N670" s="6" t="str">
        <f>IFERROR(__xludf.DUMMYFUNCTION("""COMPUTED_VALUE"""),"Высокая зарплата, нормальная экология, добросовестная полиция и чиновники, хорошие дороги, современная архитектура, а не модернизированные советские панельки.")</f>
        <v>Высокая зарплата, нормальная экология, добросовестная полиция и чиновники, хорошие дороги, современная архитектура, а не модернизированные советские панельки.</v>
      </c>
      <c r="O670" s="6" t="str">
        <f>IFERROR(__xludf.DUMMYFUNCTION("""COMPUTED_VALUE"""),"Экологию. Проблемы с преступностью и наркоманией.")</f>
        <v>Экологию. Проблемы с преступностью и наркоманией.</v>
      </c>
      <c r="P670" s="6" t="str">
        <f>IFERROR(__xludf.DUMMYFUNCTION("""COMPUTED_VALUE"""),"ВК, Инстаграм, VSE42.")</f>
        <v>ВК, Инстаграм, VSE42.</v>
      </c>
      <c r="Q670"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новости про нов"&amp;"ые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670" s="6" t="str">
        <f>IFERROR(__xludf.DUMMYFUNCTION("""COMPUTED_VALUE"""),"Таких нет")</f>
        <v>Таких нет</v>
      </c>
      <c r="S670" s="6" t="str">
        <f>IFERROR(__xludf.DUMMYFUNCTION("""COMPUTED_VALUE"""),"Нет, не приходилось")</f>
        <v>Нет, не приходилось</v>
      </c>
      <c r="T670" s="6" t="str">
        <f>IFERROR(__xludf.DUMMYFUNCTION("""COMPUTED_VALUE"""),"Угольный центр")</f>
        <v>Угольный центр</v>
      </c>
      <c r="U670" s="6" t="str">
        <f>IFERROR(__xludf.DUMMYFUNCTION("""COMPUTED_VALUE"""),"Фонтан у театра драмы ")</f>
        <v>Фонтан у театра драмы </v>
      </c>
      <c r="V670" s="6" t="str">
        <f>IFERROR(__xludf.DUMMYFUNCTION("""COMPUTED_VALUE"""),"Затрудняюсь ответить")</f>
        <v>Затрудняюсь ответить</v>
      </c>
      <c r="W670" s="6" t="str">
        <f>IFERROR(__xludf.DUMMYFUNCTION("""COMPUTED_VALUE"""),"Не вижу разницы, между жителями Кемерово и других городов России")</f>
        <v>Не вижу разницы, между жителями Кемерово и других городов России</v>
      </c>
      <c r="X670" s="6" t="str">
        <f>IFERROR(__xludf.DUMMYFUNCTION("""COMPUTED_VALUE"""),"По набережной")</f>
        <v>По набережной</v>
      </c>
      <c r="Y670" s="6" t="str">
        <f>IFERROR(__xludf.DUMMYFUNCTION("""COMPUTED_VALUE"""),"Концерт ""Герои мирового рока"" лето 2019г")</f>
        <v>Концерт "Герои мирового рока" лето 2019г</v>
      </c>
      <c r="Z670" s="6" t="str">
        <f>IFERROR(__xludf.DUMMYFUNCTION("""COMPUTED_VALUE"""),"Концерт ""Герои мирового рока"" лето 2019г")</f>
        <v>Концерт "Герои мирового рока" лето 2019г</v>
      </c>
      <c r="AA670" s="6" t="str">
        <f>IFERROR(__xludf.DUMMYFUNCTION("""COMPUTED_VALUE"""),"Пожар в зимней вишне, прибывание во власти Цивелева и единой России. Повышение тарифов ЖКХ и цен. Постоянное привышение должностных обязанностей полиции, и их безнаказанность. Бездействие полиции во время убийства Веры Пехтелевой.")</f>
        <v>Пожар в зимней вишне, прибывание во власти Цивелева и единой России. Повышение тарифов ЖКХ и цен. Постоянное привышение должностных обязанностей полиции, и их безнаказанность. Бездействие полиции во время убийства Веры Пехтелевой.</v>
      </c>
      <c r="AB670" s="6" t="str">
        <f>IFERROR(__xludf.DUMMYFUNCTION("""COMPUTED_VALUE"""),"Правозащитников")</f>
        <v>Правозащитников</v>
      </c>
      <c r="AC670" s="6" t="str">
        <f>IFERROR(__xludf.DUMMYFUNCTION("""COMPUTED_VALUE"""),"Концерты известных исполнителей, мирового масштаба.")</f>
        <v>Концерты известных исполнителей, мирового масштаба.</v>
      </c>
      <c r="AD670"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70" s="6" t="str">
        <f>IFERROR(__xludf.DUMMYFUNCTION("""COMPUTED_VALUE"""),"Мужской")</f>
        <v>Мужской</v>
      </c>
      <c r="AF670" s="6" t="str">
        <f>IFERROR(__xludf.DUMMYFUNCTION("""COMPUTED_VALUE"""),"30-44")</f>
        <v>30-44</v>
      </c>
      <c r="AG670" s="6"/>
      <c r="AH670" s="6"/>
      <c r="AI670" s="6"/>
      <c r="AJ670" s="6"/>
      <c r="AK670" s="6"/>
      <c r="AL670" s="6"/>
      <c r="AM670" s="6"/>
    </row>
    <row r="671">
      <c r="A671" s="6">
        <v>670.0</v>
      </c>
      <c r="B671" s="6" t="str">
        <f>IFERROR(__xludf.DUMMYFUNCTION("""COMPUTED_VALUE"""),"Ремонт Гороного оборудования")</f>
        <v>Ремонт Гороного оборудования</v>
      </c>
      <c r="C671" s="6" t="str">
        <f>IFERROR(__xludf.DUMMYFUNCTION("""COMPUTED_VALUE"""),"Фото/Видео")</f>
        <v>Фото/Видео</v>
      </c>
      <c r="D671" s="6" t="str">
        <f>IFERROR(__xludf.DUMMYFUNCTION("""COMPUTED_VALUE"""),"Центральный")</f>
        <v>Центральный</v>
      </c>
      <c r="E671" s="6" t="str">
        <f>IFERROR(__xludf.DUMMYFUNCTION("""COMPUTED_VALUE"""),"Площадь Пушкина")</f>
        <v>Площадь Пушкина</v>
      </c>
      <c r="F671" s="6" t="str">
        <f>IFERROR(__xludf.DUMMYFUNCTION("""COMPUTED_VALUE"""),"Живу здесь с рождения")</f>
        <v>Живу здесь с рождения</v>
      </c>
      <c r="G671" s="6" t="str">
        <f>IFERROR(__xludf.DUMMYFUNCTION("""COMPUTED_VALUE"""),"Кальянные")</f>
        <v>Кальянные</v>
      </c>
      <c r="H671" s="6" t="str">
        <f>IFERROR(__xludf.DUMMYFUNCTION("""COMPUTED_VALUE"""),"Пробки;закаты;Скука;бедность;застой")</f>
        <v>Пробки;закаты;Скука;бедность;застой</v>
      </c>
      <c r="I671" s="6" t="str">
        <f>IFERROR(__xludf.DUMMYFUNCTION("""COMPUTED_VALUE"""),"Тулеев;Волков;Приставка")</f>
        <v>Тулеев;Волков;Приставка</v>
      </c>
      <c r="J671" s="6" t="str">
        <f>IFERROR(__xludf.DUMMYFUNCTION("""COMPUTED_VALUE"""),"Кудреватых Н.В.")</f>
        <v>Кудреватых Н.В.</v>
      </c>
      <c r="K671" s="6" t="str">
        <f>IFERROR(__xludf.DUMMYFUNCTION("""COMPUTED_VALUE"""),"Красная горка. ")</f>
        <v>Красная горка. </v>
      </c>
      <c r="L671" s="6" t="str">
        <f>IFERROR(__xludf.DUMMYFUNCTION("""COMPUTED_VALUE"""),"Кто последний улетит , выключи за собой свет в аэропорту")</f>
        <v>Кто последний улетит , выключи за собой свет в аэропорту</v>
      </c>
      <c r="M671" s="6" t="str">
        <f>IFERROR(__xludf.DUMMYFUNCTION("""COMPUTED_VALUE"""),"КЕМГУ-высшее образование ")</f>
        <v>КЕМГУ-высшее образование </v>
      </c>
      <c r="N671" s="6" t="str">
        <f>IFERROR(__xludf.DUMMYFUNCTION("""COMPUTED_VALUE"""),"Нет пробок, парки , места отдыха и досуга. Хорошие дороги")</f>
        <v>Нет пробок, парки , места отдыха и досуга. Хорошие дороги</v>
      </c>
      <c r="O671" s="6" t="str">
        <f>IFERROR(__xludf.DUMMYFUNCTION("""COMPUTED_VALUE"""),"Дороги")</f>
        <v>Дороги</v>
      </c>
      <c r="P671" s="6" t="str">
        <f>IFERROR(__xludf.DUMMYFUNCTION("""COMPUTED_VALUE"""),"Интернет:VK")</f>
        <v>Интернет:VK</v>
      </c>
      <c r="Q671" s="6" t="str">
        <f>IFERROR(__xludf.DUMMYFUNCTION("""COMPUTED_VALUE"""),"интервью с местными политиками, интервью с местными предпринимателями, криминальные новости (происшествия/преступления)")</f>
        <v>интервью с местными политиками, интервью с местными предпринимателями, криминальные новости (происшествия/преступления)</v>
      </c>
      <c r="R671" s="6" t="str">
        <f>IFERROR(__xludf.DUMMYFUNCTION("""COMPUTED_VALUE"""),"День Шахтеров")</f>
        <v>День Шахтеров</v>
      </c>
      <c r="S671" s="6" t="str">
        <f>IFERROR(__xludf.DUMMYFUNCTION("""COMPUTED_VALUE"""),"Нет, не приходилось")</f>
        <v>Нет, не приходилось</v>
      </c>
      <c r="T671" s="6" t="str">
        <f>IFERROR(__xludf.DUMMYFUNCTION("""COMPUTED_VALUE"""),"Закаты; кальянные")</f>
        <v>Закаты; кальянные</v>
      </c>
      <c r="U671" s="6" t="str">
        <f>IFERROR(__xludf.DUMMYFUNCTION("""COMPUTED_VALUE"""),"Площадь советов")</f>
        <v>Площадь советов</v>
      </c>
      <c r="V671" s="6" t="str">
        <f>IFERROR(__xludf.DUMMYFUNCTION("""COMPUTED_VALUE"""),"Уехали ")</f>
        <v>Уехали </v>
      </c>
      <c r="W671" s="6" t="str">
        <f>IFERROR(__xludf.DUMMYFUNCTION("""COMPUTED_VALUE"""),"Злые , суровые, сами себе на уме")</f>
        <v>Злые , суровые, сами себе на уме</v>
      </c>
      <c r="X671" s="6" t="str">
        <f>IFERROR(__xludf.DUMMYFUNCTION("""COMPUTED_VALUE"""),"Из Кемерова")</f>
        <v>Из Кемерова</v>
      </c>
      <c r="Y671" s="6" t="str">
        <f>IFERROR(__xludf.DUMMYFUNCTION("""COMPUTED_VALUE"""),"Не было таких ")</f>
        <v>Не было таких </v>
      </c>
      <c r="Z671" s="6" t="str">
        <f>IFERROR(__xludf.DUMMYFUNCTION("""COMPUTED_VALUE"""),"Не отчислили ")</f>
        <v>Не отчислили </v>
      </c>
      <c r="AA671" s="6" t="str">
        <f>IFERROR(__xludf.DUMMYFUNCTION("""COMPUTED_VALUE"""),"Друга отчислили ")</f>
        <v>Друга отчислили </v>
      </c>
      <c r="AB671" s="6" t="str">
        <f>IFERROR(__xludf.DUMMYFUNCTION("""COMPUTED_VALUE"""),"Хватает")</f>
        <v>Хватает</v>
      </c>
      <c r="AC671" s="6" t="str">
        <f>IFERROR(__xludf.DUMMYFUNCTION("""COMPUTED_VALUE"""),"Я не знаю их никогда не было")</f>
        <v>Я не знаю их никогда не было</v>
      </c>
      <c r="AD671"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671" s="6" t="str">
        <f>IFERROR(__xludf.DUMMYFUNCTION("""COMPUTED_VALUE"""),"Мужской")</f>
        <v>Мужской</v>
      </c>
      <c r="AF671" s="6" t="str">
        <f>IFERROR(__xludf.DUMMYFUNCTION("""COMPUTED_VALUE"""),"старше 55")</f>
        <v>старше 55</v>
      </c>
      <c r="AG671" s="6"/>
      <c r="AH671" s="6"/>
      <c r="AI671" s="6"/>
      <c r="AJ671" s="6"/>
      <c r="AK671" s="6"/>
      <c r="AL671" s="6"/>
      <c r="AM671" s="6"/>
    </row>
    <row r="672">
      <c r="A672" s="6">
        <v>671.0</v>
      </c>
      <c r="B672" s="6" t="str">
        <f>IFERROR(__xludf.DUMMYFUNCTION("""COMPUTED_VALUE"""),"Работа в больнице")</f>
        <v>Работа в больнице</v>
      </c>
      <c r="C672" s="6" t="str">
        <f>IFERROR(__xludf.DUMMYFUNCTION("""COMPUTED_VALUE"""),"Цветы,мозайка ")</f>
        <v>Цветы,мозайка </v>
      </c>
      <c r="D672" s="6" t="str">
        <f>IFERROR(__xludf.DUMMYFUNCTION("""COMPUTED_VALUE"""),"Рудничный,красновка ")</f>
        <v>Рудничный,красновка </v>
      </c>
      <c r="E672" s="6" t="str">
        <f>IFERROR(__xludf.DUMMYFUNCTION("""COMPUTED_VALUE"""),"Нет")</f>
        <v>Нет</v>
      </c>
      <c r="F672" s="6" t="str">
        <f>IFERROR(__xludf.DUMMYFUNCTION("""COMPUTED_VALUE"""),"Переехал сюда из другого места (откуда? укажите в графе другое), Из деревни")</f>
        <v>Переехал сюда из другого места (откуда? укажите в графе другое), Из деревни</v>
      </c>
      <c r="G672" s="6" t="str">
        <f>IFERROR(__xludf.DUMMYFUNCTION("""COMPUTED_VALUE"""),"Тц я,кинотеатр юбилейный,театр драмы ")</f>
        <v>Тц я,кинотеатр юбилейный,театр драмы </v>
      </c>
      <c r="H672" s="6" t="str">
        <f>IFERROR(__xludf.DUMMYFUNCTION("""COMPUTED_VALUE"""),"Нет")</f>
        <v>Нет</v>
      </c>
      <c r="I672" s="6" t="str">
        <f>IFERROR(__xludf.DUMMYFUNCTION("""COMPUTED_VALUE"""),"Не знаю")</f>
        <v>Не знаю</v>
      </c>
      <c r="J672" s="6" t="str">
        <f>IFERROR(__xludf.DUMMYFUNCTION("""COMPUTED_VALUE"""),"Тулеев ")</f>
        <v>Тулеев </v>
      </c>
      <c r="K672" s="6" t="str">
        <f>IFERROR(__xludf.DUMMYFUNCTION("""COMPUTED_VALUE"""),"Вечный огонь")</f>
        <v>Вечный огонь</v>
      </c>
      <c r="L672" s="6" t="str">
        <f>IFERROR(__xludf.DUMMYFUNCTION("""COMPUTED_VALUE"""),"Не знаю")</f>
        <v>Не знаю</v>
      </c>
      <c r="M672" s="6" t="str">
        <f>IFERROR(__xludf.DUMMYFUNCTION("""COMPUTED_VALUE"""),"Нет")</f>
        <v>Нет</v>
      </c>
      <c r="N672" s="6" t="str">
        <f>IFERROR(__xludf.DUMMYFUNCTION("""COMPUTED_VALUE"""),"Чистота,дороги,транспорт,уважение к людям,зарплата повыше")</f>
        <v>Чистота,дороги,транспорт,уважение к людям,зарплата повыше</v>
      </c>
      <c r="O672" s="6" t="str">
        <f>IFERROR(__xludf.DUMMYFUNCTION("""COMPUTED_VALUE"""),"Дороги,транспорт,хамство водителей и продавцов,власть")</f>
        <v>Дороги,транспорт,хамство водителей и продавцов,власть</v>
      </c>
      <c r="P672" s="6" t="str">
        <f>IFERROR(__xludf.DUMMYFUNCTION("""COMPUTED_VALUE"""),"Инстаграм,вк ")</f>
        <v>Инстаграм,вк </v>
      </c>
      <c r="Q672"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672" s="6" t="str">
        <f>IFERROR(__xludf.DUMMYFUNCTION("""COMPUTED_VALUE"""),"День города,9 мая,день защиты детей,новый год")</f>
        <v>День города,9 мая,день защиты детей,новый год</v>
      </c>
      <c r="S672" s="6" t="str">
        <f>IFERROR(__xludf.DUMMYFUNCTION("""COMPUTED_VALUE"""),"Нет, не приходилось")</f>
        <v>Нет, не приходилось</v>
      </c>
      <c r="T672" s="6" t="str">
        <f>IFERROR(__xludf.DUMMYFUNCTION("""COMPUTED_VALUE"""),"Ничего")</f>
        <v>Ничего</v>
      </c>
      <c r="U672" s="6" t="str">
        <f>IFERROR(__xludf.DUMMYFUNCTION("""COMPUTED_VALUE"""),"Ничего ")</f>
        <v>Ничего </v>
      </c>
      <c r="V672" s="6" t="str">
        <f>IFERROR(__xludf.DUMMYFUNCTION("""COMPUTED_VALUE"""),"Ничего ")</f>
        <v>Ничего </v>
      </c>
      <c r="W672" s="6" t="str">
        <f>IFERROR(__xludf.DUMMYFUNCTION("""COMPUTED_VALUE"""),"Озлобленные,жадные")</f>
        <v>Озлобленные,жадные</v>
      </c>
      <c r="X672" s="6" t="str">
        <f>IFERROR(__xludf.DUMMYFUNCTION("""COMPUTED_VALUE"""),"Нет такого")</f>
        <v>Нет такого</v>
      </c>
      <c r="Y672" s="6" t="str">
        <f>IFERROR(__xludf.DUMMYFUNCTION("""COMPUTED_VALUE"""),"Не знаю")</f>
        <v>Не знаю</v>
      </c>
      <c r="Z672" s="6" t="str">
        <f>IFERROR(__xludf.DUMMYFUNCTION("""COMPUTED_VALUE"""),"Елка за огромные деньги")</f>
        <v>Елка за огромные деньги</v>
      </c>
      <c r="AA672" s="6" t="str">
        <f>IFERROR(__xludf.DUMMYFUNCTION("""COMPUTED_VALUE"""),"Елка за огромные день,постройка судов,заместо садов и школ")</f>
        <v>Елка за огромные день,постройка судов,заместо садов и школ</v>
      </c>
      <c r="AB672" s="6" t="str">
        <f>IFERROR(__xludf.DUMMYFUNCTION("""COMPUTED_VALUE"""),"Нет")</f>
        <v>Нет</v>
      </c>
      <c r="AC672" s="6" t="str">
        <f>IFERROR(__xludf.DUMMYFUNCTION("""COMPUTED_VALUE"""),"Развитие для детей,бесплатные кружки в садах и школах,чистка во время снега и вывоз мусора,постройка площадок детских,школ,садов,побольше мероприятий для детей дет.сада")</f>
        <v>Развитие для детей,бесплатные кружки в садах и школах,чистка во время снега и вывоз мусора,постройка площадок детских,школ,садов,побольше мероприятий для детей дет.сада</v>
      </c>
      <c r="AD67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v>
      </c>
      <c r="AE672" s="6" t="str">
        <f>IFERROR(__xludf.DUMMYFUNCTION("""COMPUTED_VALUE"""),"Женский")</f>
        <v>Женский</v>
      </c>
      <c r="AF672" s="6" t="str">
        <f>IFERROR(__xludf.DUMMYFUNCTION("""COMPUTED_VALUE"""),"18-29")</f>
        <v>18-29</v>
      </c>
      <c r="AG672" s="6"/>
      <c r="AH672" s="6"/>
      <c r="AI672" s="6"/>
      <c r="AJ672" s="6"/>
      <c r="AK672" s="6"/>
      <c r="AL672" s="6"/>
      <c r="AM672" s="6"/>
    </row>
    <row r="673">
      <c r="A673" s="6">
        <v>672.0</v>
      </c>
      <c r="B673" s="6" t="str">
        <f>IFERROR(__xludf.DUMMYFUNCTION("""COMPUTED_VALUE"""),"Ретушёр фотографий")</f>
        <v>Ретушёр фотографий</v>
      </c>
      <c r="C673" s="6" t="str">
        <f>IFERROR(__xludf.DUMMYFUNCTION("""COMPUTED_VALUE"""),"Фотошоп, соционика, немного видеоигр, музыка")</f>
        <v>Фотошоп, соционика, немного видеоигр, музыка</v>
      </c>
      <c r="D673" s="6" t="str">
        <f>IFERROR(__xludf.DUMMYFUNCTION("""COMPUTED_VALUE"""),"Шалготарьян. Шалго")</f>
        <v>Шалготарьян. Шалго</v>
      </c>
      <c r="E673" s="6" t="str">
        <f>IFERROR(__xludf.DUMMYFUNCTION("""COMPUTED_VALUE"""),"маленький тц Ноград")</f>
        <v>маленький тц Ноград</v>
      </c>
      <c r="F673" s="6" t="str">
        <f>IFERROR(__xludf.DUMMYFUNCTION("""COMPUTED_VALUE"""),"Живу здесь с рождения")</f>
        <v>Живу здесь с рождения</v>
      </c>
      <c r="G673" s="6" t="str">
        <f>IFERROR(__xludf.DUMMYFUNCTION("""COMPUTED_VALUE"""),"в пределах своего района, иногда прогулки в центре")</f>
        <v>в пределах своего района, иногда прогулки в центре</v>
      </c>
      <c r="H673" s="6" t="str">
        <f>IFERROR(__xludf.DUMMYFUNCTION("""COMPUTED_VALUE"""),"Мороз, Смог, Безработица, плохое здоровье, губернатор-холуй")</f>
        <v>Мороз, Смог, Безработица, плохое здоровье, губернатор-холуй</v>
      </c>
      <c r="I673" s="6" t="str">
        <f>IFERROR(__xludf.DUMMYFUNCTION("""COMPUTED_VALUE"""),"Леонов, Алексей Павлович Хмелевской")</f>
        <v>Леонов, Алексей Павлович Хмелевской</v>
      </c>
      <c r="J673" s="6" t="str">
        <f>IFERROR(__xludf.DUMMYFUNCTION("""COMPUTED_VALUE"""),"Михаил Алфёров")</f>
        <v>Михаил Алфёров</v>
      </c>
      <c r="K673" s="6" t="str">
        <f>IFERROR(__xludf.DUMMYFUNCTION("""COMPUTED_VALUE"""),"Центр города, Парк Ангелов, Сосновый бор, скульптуры А.П. Хмелевского")</f>
        <v>Центр города, Парк Ангелов, Сосновый бор, скульптуры А.П. Хмелевского</v>
      </c>
      <c r="L673" s="6" t="str">
        <f>IFERROR(__xludf.DUMMYFUNCTION("""COMPUTED_VALUE"""),"-")</f>
        <v>-</v>
      </c>
      <c r="M673" s="6" t="str">
        <f>IFERROR(__xludf.DUMMYFUNCTION("""COMPUTED_VALUE"""),"""Это не смог, это всё частный сектор виноват""")</f>
        <v>"Это не смог, это всё частный сектор виноват"</v>
      </c>
      <c r="N673" s="6" t="str">
        <f>IFERROR(__xludf.DUMMYFUNCTION("""COMPUTED_VALUE"""),"Высокая зарплата и интересная работа, Экология, Климат, Честное правительство, Качественное здравоохранение - всего этого в Кемерово нет")</f>
        <v>Высокая зарплата и интересная работа, Экология, Климат, Честное правительство, Качественное здравоохранение - всего этого в Кемерово нет</v>
      </c>
      <c r="O673" s="6" t="str">
        <f>IFERROR(__xludf.DUMMYFUNCTION("""COMPUTED_VALUE"""),"Экологическую обстановку, зарплаты, правительство")</f>
        <v>Экологическую обстановку, зарплаты, правительство</v>
      </c>
      <c r="P673" s="6" t="str">
        <f>IFERROR(__xludf.DUMMYFUNCTION("""COMPUTED_VALUE"""),"новостные паблики из ВК и Инстаграм")</f>
        <v>новостные паблики из ВК и Инстаграм</v>
      </c>
      <c r="Q673" s="6" t="str">
        <f>IFERROR(__xludf.DUMMYFUNCTION("""COMPUTED_VALUE"""),"интервью с местными политиками, криминальные новости (происшествия/преступления), результаты местных исследований (рейтинги/аналитика/тенденции)")</f>
        <v>интервью с местными политиками, криминальные новости (происшествия/преступления), результаты местных исследований (рейтинги/аналитика/тенденции)</v>
      </c>
      <c r="R673" s="6" t="str">
        <f>IFERROR(__xludf.DUMMYFUNCTION("""COMPUTED_VALUE"""),"Не важны городские праздники")</f>
        <v>Не важны городские праздники</v>
      </c>
      <c r="S673" s="6" t="str">
        <f>IFERROR(__xludf.DUMMYFUNCTION("""COMPUTED_VALUE"""),"Нет, не приходилось")</f>
        <v>Нет, не приходилось</v>
      </c>
      <c r="T673" s="6" t="str">
        <f>IFERROR(__xludf.DUMMYFUNCTION("""COMPUTED_VALUE"""),"город печально известен Зимней Вишней, Верой Пехтелевой, С. Цивилёвым")</f>
        <v>город печально известен Зимней Вишней, Верой Пехтелевой, С. Цивилёвым</v>
      </c>
      <c r="U673" s="6" t="str">
        <f>IFERROR(__xludf.DUMMYFUNCTION("""COMPUTED_VALUE"""),"ЦУМ, Драмтеатр, Набережная")</f>
        <v>ЦУМ, Драмтеатр, Набережная</v>
      </c>
      <c r="V673" s="6" t="str">
        <f>IFERROR(__xludf.DUMMYFUNCTION("""COMPUTED_VALUE"""),"-")</f>
        <v>-</v>
      </c>
      <c r="W673" s="6" t="str">
        <f>IFERROR(__xludf.DUMMYFUNCTION("""COMPUTED_VALUE"""),"Замученные и озлобленные от безысходности и неперспективности данного города")</f>
        <v>Замученные и озлобленные от безысходности и неперспективности данного города</v>
      </c>
      <c r="X673" s="6" t="str">
        <f>IFERROR(__xludf.DUMMYFUNCTION("""COMPUTED_VALUE"""),"Центр города, Сосновый бор")</f>
        <v>Центр города, Сосновый бор</v>
      </c>
      <c r="Y673" s="6" t="str">
        <f>IFERROR(__xludf.DUMMYFUNCTION("""COMPUTED_VALUE"""),"Герои мирового рока летом 2019")</f>
        <v>Герои мирового рока летом 2019</v>
      </c>
      <c r="Z673" s="6" t="str">
        <f>IFERROR(__xludf.DUMMYFUNCTION("""COMPUTED_VALUE"""),"Герои мирового рока летом 2019")</f>
        <v>Герои мирового рока летом 2019</v>
      </c>
      <c r="AA673" s="6" t="str">
        <f>IFERROR(__xludf.DUMMYFUNCTION("""COMPUTED_VALUE"""),"пожар в Зимней Вишне, приход к власти грубияна и уголовника С. Цивелёва, убийство Веры пехтелевой в связи с бездействием полиции , повышение цен на все сферы жизни")</f>
        <v>пожар в Зимней Вишне, приход к власти грубияна и уголовника С. Цивелёва, убийство Веры пехтелевой в связи с бездействием полиции , повышение цен на все сферы жизни</v>
      </c>
      <c r="AB673" s="6" t="str">
        <f>IFERROR(__xludf.DUMMYFUNCTION("""COMPUTED_VALUE"""),"крупных сообществ по увлечениям и хобби разных направленностей (музыка, актёрское мастерство и прочее)")</f>
        <v>крупных сообществ по увлечениям и хобби разных направленностей (музыка, актёрское мастерство и прочее)</v>
      </c>
      <c r="AC673" s="6" t="str">
        <f>IFERROR(__xludf.DUMMYFUNCTION("""COMPUTED_VALUE"""),"крупные и масштабные концерты с мировыми музыкантами/личностями, мероприятия наподобие комикон, арт-постановки и перформансы и т.д.")</f>
        <v>крупные и масштабные концерты с мировыми музыкантами/личностями, мероприятия наподобие комикон, арт-постановки и перформансы и т.д.</v>
      </c>
      <c r="AD67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73" s="6" t="str">
        <f>IFERROR(__xludf.DUMMYFUNCTION("""COMPUTED_VALUE"""),"Женский")</f>
        <v>Женский</v>
      </c>
      <c r="AF673" s="6" t="str">
        <f>IFERROR(__xludf.DUMMYFUNCTION("""COMPUTED_VALUE"""),"18-29")</f>
        <v>18-29</v>
      </c>
      <c r="AG673" s="6"/>
      <c r="AH673" s="6"/>
      <c r="AI673" s="6"/>
      <c r="AJ673" s="6"/>
      <c r="AK673" s="6"/>
      <c r="AL673" s="6"/>
      <c r="AM673" s="6"/>
    </row>
    <row r="674">
      <c r="A674" s="6">
        <v>673.0</v>
      </c>
      <c r="B674" s="6" t="str">
        <f>IFERROR(__xludf.DUMMYFUNCTION("""COMPUTED_VALUE"""),"Домохозяйка ")</f>
        <v>Домохозяйка </v>
      </c>
      <c r="C674" s="6" t="str">
        <f>IFERROR(__xludf.DUMMYFUNCTION("""COMPUTED_VALUE"""),"Творчество")</f>
        <v>Творчество</v>
      </c>
      <c r="D674" s="6" t="str">
        <f>IFERROR(__xludf.DUMMYFUNCTION("""COMPUTED_VALUE"""),"Фпк")</f>
        <v>Фпк</v>
      </c>
      <c r="E674" s="6" t="str">
        <f>IFERROR(__xludf.DUMMYFUNCTION("""COMPUTED_VALUE"""),"Сквер возле школы 99")</f>
        <v>Сквер возле школы 99</v>
      </c>
      <c r="F674" s="6" t="str">
        <f>IFERROR(__xludf.DUMMYFUNCTION("""COMPUTED_VALUE"""),"Живу здесь с рождения")</f>
        <v>Живу здесь с рождения</v>
      </c>
      <c r="G674" s="6" t="str">
        <f>IFERROR(__xludf.DUMMYFUNCTION("""COMPUTED_VALUE"""),"Парк Веры Волошиной, парк Победы, набережная ")</f>
        <v>Парк Веры Волошиной, парк Победы, набережная </v>
      </c>
      <c r="H674" s="6" t="str">
        <f>IFERROR(__xludf.DUMMYFUNCTION("""COMPUTED_VALUE"""),"Театр опереты, драм театр, гор сад, набережная, Собор")</f>
        <v>Театр опереты, драм театр, гор сад, набережная, Собор</v>
      </c>
      <c r="I674" s="6" t="str">
        <f>IFERROR(__xludf.DUMMYFUNCTION("""COMPUTED_VALUE"""),"Алексей Леонов")</f>
        <v>Алексей Леонов</v>
      </c>
      <c r="J674" s="6" t="str">
        <f>IFERROR(__xludf.DUMMYFUNCTION("""COMPUTED_VALUE"""),"Алексей Леонов, лётчик космонавт ")</f>
        <v>Алексей Леонов, лётчик космонавт </v>
      </c>
      <c r="K674" s="6" t="str">
        <f>IFERROR(__xludf.DUMMYFUNCTION("""COMPUTED_VALUE"""),"Красная горка, все храмы города, берёзовая роща, ")</f>
        <v>Красная горка, все храмы города, берёзовая роща, </v>
      </c>
      <c r="L674" s="6" t="str">
        <f>IFERROR(__xludf.DUMMYFUNCTION("""COMPUTED_VALUE"""),"Не знаю ")</f>
        <v>Не знаю </v>
      </c>
      <c r="M674" s="6" t="str">
        <f>IFERROR(__xludf.DUMMYFUNCTION("""COMPUTED_VALUE"""),"Нет")</f>
        <v>Нет</v>
      </c>
      <c r="N674" s="6" t="str">
        <f>IFERROR(__xludf.DUMMYFUNCTION("""COMPUTED_VALUE"""),"Любимый город во всем ")</f>
        <v>Любимый город во всем </v>
      </c>
      <c r="O674" s="6" t="str">
        <f>IFERROR(__xludf.DUMMYFUNCTION("""COMPUTED_VALUE"""),"Дороги для людей. Во дворах дороги. Детские площадки ")</f>
        <v>Дороги для людей. Во дворах дороги. Детские площадки </v>
      </c>
      <c r="P674" s="6" t="str">
        <f>IFERROR(__xludf.DUMMYFUNCTION("""COMPUTED_VALUE"""),"Инстаграмм")</f>
        <v>Инстаграмм</v>
      </c>
      <c r="Q674" s="6" t="str">
        <f>IFERROR(__xludf.DUMMYFUNCTION("""COMPUTED_VALUE"""),"интервью с экспертами на разные темы (напишите в разделе Другое свои предложения)")</f>
        <v>интервью с экспертами на разные темы (напишите в разделе Другое свои предложения)</v>
      </c>
      <c r="R674" s="6" t="str">
        <f>IFERROR(__xludf.DUMMYFUNCTION("""COMPUTED_VALUE"""),"День победы. День семьи, любви и верности. ")</f>
        <v>День победы. День семьи, любви и верности. </v>
      </c>
      <c r="S674" s="6" t="str">
        <f>IFERROR(__xludf.DUMMYFUNCTION("""COMPUTED_VALUE"""),"Нет, не приходилось")</f>
        <v>Нет, не приходилось</v>
      </c>
      <c r="T674" s="6" t="str">
        <f>IFERROR(__xludf.DUMMYFUNCTION("""COMPUTED_VALUE"""),"Пожар в зимней вишни")</f>
        <v>Пожар в зимней вишни</v>
      </c>
      <c r="U674" s="6" t="str">
        <f>IFERROR(__xludf.DUMMYFUNCTION("""COMPUTED_VALUE"""),"Драм театр ")</f>
        <v>Драм театр </v>
      </c>
      <c r="V674" s="6" t="str">
        <f>IFERROR(__xludf.DUMMYFUNCTION("""COMPUTED_VALUE"""),"Заводы, здания ")</f>
        <v>Заводы, здания </v>
      </c>
      <c r="W674" s="6" t="str">
        <f>IFERROR(__xludf.DUMMYFUNCTION("""COMPUTED_VALUE"""),"Все разные")</f>
        <v>Все разные</v>
      </c>
      <c r="X674" s="6" t="str">
        <f>IFERROR(__xludf.DUMMYFUNCTION("""COMPUTED_VALUE"""),"Набережная, весенняя")</f>
        <v>Набережная, весенняя</v>
      </c>
      <c r="Y674" s="6" t="str">
        <f>IFERROR(__xludf.DUMMYFUNCTION("""COMPUTED_VALUE"""),"Пожар в зимней вишни")</f>
        <v>Пожар в зимней вишни</v>
      </c>
      <c r="Z674" s="6" t="str">
        <f>IFERROR(__xludf.DUMMYFUNCTION("""COMPUTED_VALUE"""),"Не знаю ")</f>
        <v>Не знаю </v>
      </c>
      <c r="AA674" s="6" t="str">
        <f>IFERROR(__xludf.DUMMYFUNCTION("""COMPUTED_VALUE"""),"Зимняя вишня ")</f>
        <v>Зимняя вишня </v>
      </c>
      <c r="AB674" s="6" t="str">
        <f>IFERROR(__xludf.DUMMYFUNCTION("""COMPUTED_VALUE"""),"Семейные клубы ")</f>
        <v>Семейные клубы </v>
      </c>
      <c r="AC674" s="6" t="str">
        <f>IFERROR(__xludf.DUMMYFUNCTION("""COMPUTED_VALUE"""),"Семейные ценности")</f>
        <v>Семейные ценности</v>
      </c>
      <c r="AD67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674" s="6" t="str">
        <f>IFERROR(__xludf.DUMMYFUNCTION("""COMPUTED_VALUE"""),"Женский")</f>
        <v>Женский</v>
      </c>
      <c r="AF674" s="6" t="str">
        <f>IFERROR(__xludf.DUMMYFUNCTION("""COMPUTED_VALUE"""),"30-44")</f>
        <v>30-44</v>
      </c>
      <c r="AG674" s="6"/>
      <c r="AH674" s="6"/>
      <c r="AI674" s="6"/>
      <c r="AJ674" s="6"/>
      <c r="AK674" s="6"/>
      <c r="AL674" s="6"/>
      <c r="AM674" s="6"/>
    </row>
    <row r="675">
      <c r="A675" s="6">
        <v>674.0</v>
      </c>
      <c r="B675" s="6" t="str">
        <f>IFERROR(__xludf.DUMMYFUNCTION("""COMPUTED_VALUE"""),"Работаю")</f>
        <v>Работаю</v>
      </c>
      <c r="C675" s="6" t="str">
        <f>IFERROR(__xludf.DUMMYFUNCTION("""COMPUTED_VALUE"""),"Автомобили ")</f>
        <v>Автомобили </v>
      </c>
      <c r="D675" s="6" t="str">
        <f>IFERROR(__xludf.DUMMYFUNCTION("""COMPUTED_VALUE"""),"Ленинский. Разговаривая между собой и общаясь с другими людьми называем ""наш район, в нашем районе"". И это больше относится к микрорайону в котором мы живём. ")</f>
        <v>Ленинский. Разговаривая между собой и общаясь с другими людьми называем "наш район, в нашем районе". И это больше относится к микрорайону в котором мы живём. </v>
      </c>
      <c r="E675" s="6" t="str">
        <f>IFERROR(__xludf.DUMMYFUNCTION("""COMPUTED_VALUE"""),"Бульвар Строителей ")</f>
        <v>Бульвар Строителей </v>
      </c>
      <c r="F675" s="6" t="str">
        <f>IFERROR(__xludf.DUMMYFUNCTION("""COMPUTED_VALUE"""),"Переехал сюда из другого места (откуда? укажите в графе другое), Поиск более комфортных и лучших условий жизни для себя и своих детей, переехали из города Белово ")</f>
        <v>Переехал сюда из другого места (откуда? укажите в графе другое), Поиск более комфортных и лучших условий жизни для себя и своих детей, переехали из города Белово </v>
      </c>
      <c r="G675" s="6" t="str">
        <f>IFERROR(__xludf.DUMMYFUNCTION("""COMPUTED_VALUE"""),"Бульвар Строителей, Бор на Руднике, иногда центральная часть города")</f>
        <v>Бульвар Строителей, Бор на Руднике, иногда центральная часть города</v>
      </c>
      <c r="H675" s="6" t="str">
        <f>IFERROR(__xludf.DUMMYFUNCTION("""COMPUTED_VALUE"""),"Уголь, Азот, набережная, Томь, Лапландия")</f>
        <v>Уголь, Азот, набережная, Томь, Лапландия</v>
      </c>
      <c r="I675" s="6" t="str">
        <f>IFERROR(__xludf.DUMMYFUNCTION("""COMPUTED_VALUE"""),"Космонавт Леонов и мэр Михайлов")</f>
        <v>Космонавт Леонов и мэр Михайлов</v>
      </c>
      <c r="J675" s="6" t="str">
        <f>IFERROR(__xludf.DUMMYFUNCTION("""COMPUTED_VALUE"""),"Цивилёв ")</f>
        <v>Цивилёв </v>
      </c>
      <c r="K675" s="6" t="str">
        <f>IFERROR(__xludf.DUMMYFUNCTION("""COMPUTED_VALUE"""),"Шахтёрское сердце Эрнста и Красную горку")</f>
        <v>Шахтёрское сердце Эрнста и Красную горку</v>
      </c>
      <c r="L675" s="6" t="str">
        <f>IFERROR(__xludf.DUMMYFUNCTION("""COMPUTED_VALUE"""),"Сложный вопрос")</f>
        <v>Сложный вопрос</v>
      </c>
      <c r="M675" s="6" t="str">
        <f>IFERROR(__xludf.DUMMYFUNCTION("""COMPUTED_VALUE"""),"Нет")</f>
        <v>Нет</v>
      </c>
      <c r="N675" s="6" t="str">
        <f>IFERROR(__xludf.DUMMYFUNCTION("""COMPUTED_VALUE"""),"Чистота от мусора (пластик и стеклотара, собачьи экскременты), экология, общедоступные парки и зоны прогулок, современные качественные дороги, разноцветные дома")</f>
        <v>Чистота от мусора (пластик и стеклотара, собачьи экскременты), экология, общедоступные парки и зоны прогулок, современные качественные дороги, разноцветные дома</v>
      </c>
      <c r="O675" s="6" t="str">
        <f>IFERROR(__xludf.DUMMYFUNCTION("""COMPUTED_VALUE"""),"Центральный частный сектор ")</f>
        <v>Центральный частный сектор </v>
      </c>
      <c r="P675" s="6" t="str">
        <f>IFERROR(__xludf.DUMMYFUNCTION("""COMPUTED_VALUE"""),"Общераспространённые интернет - ресурсы")</f>
        <v>Общераспространённые интернет - ресурсы</v>
      </c>
      <c r="Q675" s="6" t="str">
        <f>IFERROR(__xludf.DUMMYFUNCTION("""COMPUTED_VALUE"""),"городская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675" s="6" t="str">
        <f>IFERROR(__xludf.DUMMYFUNCTION("""COMPUTED_VALUE"""),"Ден шахтёра, День города ")</f>
        <v>Ден шахтёра, День города </v>
      </c>
      <c r="S675" s="6" t="str">
        <f>IFERROR(__xludf.DUMMYFUNCTION("""COMPUTED_VALUE"""),"Нет, не приходилось")</f>
        <v>Нет, не приходилось</v>
      </c>
      <c r="T675" s="6" t="str">
        <f>IFERROR(__xludf.DUMMYFUNCTION("""COMPUTED_VALUE"""),"Последнее время режимом ""чёрного неба"" ")</f>
        <v>Последнее время режимом "чёрного неба" </v>
      </c>
      <c r="U675" s="6" t="str">
        <f>IFERROR(__xludf.DUMMYFUNCTION("""COMPUTED_VALUE"""),"Исторический центр ")</f>
        <v>Исторический центр </v>
      </c>
      <c r="V675" s="6" t="str">
        <f>IFERROR(__xludf.DUMMYFUNCTION("""COMPUTED_VALUE"""),"В исторических хрониках посмотрите")</f>
        <v>В исторических хрониках посмотрите</v>
      </c>
      <c r="W675" s="6" t="str">
        <f>IFERROR(__xludf.DUMMYFUNCTION("""COMPUTED_VALUE"""),"Не приветливые, много маргиналов, заметна наследственность ссыльных лагерей")</f>
        <v>Не приветливые, много маргиналов, заметна наследственность ссыльных лагерей</v>
      </c>
      <c r="X675" s="6" t="str">
        <f>IFERROR(__xludf.DUMMYFUNCTION("""COMPUTED_VALUE"""),"По набережной к Драмтеатру и по Весеней к Политеху")</f>
        <v>По набережной к Драмтеатру и по Весеней к Политеху</v>
      </c>
      <c r="Y675" s="6" t="str">
        <f>IFERROR(__xludf.DUMMYFUNCTION("""COMPUTED_VALUE"""),"Приезд Путина после пожара в ""Зимней вишне""")</f>
        <v>Приезд Путина после пожара в "Зимней вишне"</v>
      </c>
      <c r="Z675" s="6" t="str">
        <f>IFERROR(__xludf.DUMMYFUNCTION("""COMPUTED_VALUE"""),"Президентское училище и больше не припомню ")</f>
        <v>Президентское училище и больше не припомню </v>
      </c>
      <c r="AA675" s="6" t="str">
        <f>IFERROR(__xludf.DUMMYFUNCTION("""COMPUTED_VALUE"""),"Ситуация с бродячими собаками пущена на самотёк")</f>
        <v>Ситуация с бродячими собаками пущена на самотёк</v>
      </c>
      <c r="AB675" s="6" t="str">
        <f>IFERROR(__xludf.DUMMYFUNCTION("""COMPUTED_VALUE"""),"Я самодостаточная личность")</f>
        <v>Я самодостаточная личность</v>
      </c>
      <c r="AC675" s="6" t="str">
        <f>IFERROR(__xludf.DUMMYFUNCTION("""COMPUTED_VALUE"""),"Больше социальной рекламы о том, что нельзя мусорить. Необходимо утилизировать мусор. Менять сознание и отношение людей к этому вопросу. ")</f>
        <v>Больше социальной рекламы о том, что нельзя мусорить. Необходимо утилизировать мусор. Менять сознание и отношение людей к этому вопросу. </v>
      </c>
      <c r="AD67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75" s="6" t="str">
        <f>IFERROR(__xludf.DUMMYFUNCTION("""COMPUTED_VALUE"""),"Мужской")</f>
        <v>Мужской</v>
      </c>
      <c r="AF675" s="6" t="str">
        <f>IFERROR(__xludf.DUMMYFUNCTION("""COMPUTED_VALUE"""),"30-44")</f>
        <v>30-44</v>
      </c>
      <c r="AG675" s="6"/>
      <c r="AH675" s="6"/>
      <c r="AI675" s="6"/>
      <c r="AJ675" s="6"/>
      <c r="AK675" s="6"/>
      <c r="AL675" s="6"/>
      <c r="AM675" s="6"/>
    </row>
    <row r="676">
      <c r="A676" s="6">
        <v>675.0</v>
      </c>
      <c r="B676" s="6" t="str">
        <f>IFERROR(__xludf.DUMMYFUNCTION("""COMPUTED_VALUE"""),"Работаю в крупной компании.")</f>
        <v>Работаю в крупной компании.</v>
      </c>
      <c r="C676" s="6" t="str">
        <f>IFERROR(__xludf.DUMMYFUNCTION("""COMPUTED_VALUE"""),"Вышивание бисером, спорт.")</f>
        <v>Вышивание бисером, спорт.</v>
      </c>
      <c r="D676" s="6" t="str">
        <f>IFERROR(__xludf.DUMMYFUNCTION("""COMPUTED_VALUE"""),"Рудничный. Радуга.")</f>
        <v>Рудничный. Радуга.</v>
      </c>
      <c r="E676" s="6" t="str">
        <f>IFERROR(__xludf.DUMMYFUNCTION("""COMPUTED_VALUE"""),"Серебряный бор.")</f>
        <v>Серебряный бор.</v>
      </c>
      <c r="F676" s="6" t="str">
        <f>IFERROR(__xludf.DUMMYFUNCTION("""COMPUTED_VALUE"""),"Живу здесь с рождения")</f>
        <v>Живу здесь с рождения</v>
      </c>
      <c r="G676" s="6" t="str">
        <f>IFERROR(__xludf.DUMMYFUNCTION("""COMPUTED_VALUE"""),"В тренажёрный зал, сосновый бор. Город либо грязный, либо завален снегом круглый год - гулять по аллеям и тротуарам на улице неприятно.")</f>
        <v>В тренажёрный зал, сосновый бор. Город либо грязный, либо завален снегом круглый год - гулять по аллеям и тротуарам на улице неприятно.</v>
      </c>
      <c r="H676" s="6" t="str">
        <f>IFERROR(__xludf.DUMMYFUNCTION("""COMPUTED_VALUE"""),"Уголь, лес, Владимир Васильевич Михайлов (бывший мэр города), плохая экология, ""Зимняя вишня"".")</f>
        <v>Уголь, лес, Владимир Васильевич Михайлов (бывший мэр города), плохая экология, "Зимняя вишня".</v>
      </c>
      <c r="I676" s="6" t="str">
        <f>IFERROR(__xludf.DUMMYFUNCTION("""COMPUTED_VALUE"""),"Тулеев, Владимир Васильевич Михайлов, Андрей Панин")</f>
        <v>Тулеев, Владимир Васильевич Михайлов, Андрей Панин</v>
      </c>
      <c r="J676" s="6" t="str">
        <f>IFERROR(__xludf.DUMMYFUNCTION("""COMPUTED_VALUE"""),"Владимир Васильевич Михайлов")</f>
        <v>Владимир Васильевич Михайлов</v>
      </c>
      <c r="K676" s="6" t="str">
        <f>IFERROR(__xludf.DUMMYFUNCTION("""COMPUTED_VALUE"""),"Сосновый бор")</f>
        <v>Сосновый бор</v>
      </c>
      <c r="L676" s="6" t="str">
        <f>IFERROR(__xludf.DUMMYFUNCTION("""COMPUTED_VALUE"""),"не знаю")</f>
        <v>не знаю</v>
      </c>
      <c r="M676" s="6" t="str">
        <f>IFERROR(__xludf.DUMMYFUNCTION("""COMPUTED_VALUE"""),"нет")</f>
        <v>нет</v>
      </c>
      <c r="N676" s="6" t="str">
        <f>IFERROR(__xludf.DUMMYFUNCTION("""COMPUTED_VALUE"""),"Чистые дороги и пешеходные тротуары, экология, развитие производства - рабочие места, комфортный и чистый общественный транспорт, жёсткий контроль за работой ЖКХ.")</f>
        <v>Чистые дороги и пешеходные тротуары, экология, развитие производства - рабочие места, комфортный и чистый общественный транспорт, жёсткий контроль за работой ЖКХ.</v>
      </c>
      <c r="O676" s="6" t="str">
        <f>IFERROR(__xludf.DUMMYFUNCTION("""COMPUTED_VALUE"""),"Очистить дворы от автомобилей (сделать автостоянки в районах, гаражные кооперативы) - детям негде гулять и играть свободно.
Отмыть дороги и пешеходные тротуары от грязи, мусора, реагентов; 
построить третий мост через Томь.")</f>
        <v>Очистить дворы от автомобилей (сделать автостоянки в районах, гаражные кооперативы) - детям негде гулять и играть свободно.
Отмыть дороги и пешеходные тротуары от грязи, мусора, реагентов; 
построить третий мост через Томь.</v>
      </c>
      <c r="P676" s="6" t="str">
        <f>IFERROR(__xludf.DUMMYFUNCTION("""COMPUTED_VALUE"""),"Яндекс")</f>
        <v>Яндекс</v>
      </c>
      <c r="Q676" s="6" t="str">
        <f>IFERROR(__xludf.DUMMYFUNCTION("""COMPUTED_VALUE"""),"куда пойти в свободное время, городская афиша (кино/театр/концерты), интервью с местными политиками")</f>
        <v>куда пойти в свободное время, городская афиша (кино/театр/концерты), интервью с местными политиками</v>
      </c>
      <c r="R676" s="6" t="str">
        <f>IFERROR(__xludf.DUMMYFUNCTION("""COMPUTED_VALUE"""),"Новый год")</f>
        <v>Новый год</v>
      </c>
      <c r="S676" s="6" t="str">
        <f>IFERROR(__xludf.DUMMYFUNCTION("""COMPUTED_VALUE"""),"Нет, не приходилось")</f>
        <v>Нет, не приходилось</v>
      </c>
      <c r="T676" s="6" t="str">
        <f>IFERROR(__xludf.DUMMYFUNCTION("""COMPUTED_VALUE"""),"Столица Кузбасса. Ничего уникального нет - всё обыденно, серо и грязно, кроме леса.")</f>
        <v>Столица Кузбасса. Ничего уникального нет - всё обыденно, серо и грязно, кроме леса.</v>
      </c>
      <c r="U676" s="6" t="str">
        <f>IFERROR(__xludf.DUMMYFUNCTION("""COMPUTED_VALUE"""),"Площадь Советов.")</f>
        <v>Площадь Советов.</v>
      </c>
      <c r="V676" s="6" t="str">
        <f>IFERROR(__xludf.DUMMYFUNCTION("""COMPUTED_VALUE"""),"Обучились и уехали в крупные города на достойную зарплату.")</f>
        <v>Обучились и уехали в крупные города на достойную зарплату.</v>
      </c>
      <c r="W676" s="6" t="str">
        <f>IFERROR(__xludf.DUMMYFUNCTION("""COMPUTED_VALUE"""),"Коренных кемеровчан почти не осталось, кругом одни ""понаехали"", которые паркуются где хотят, едут по автодорогам как хотят и хамят, засоряют город мусором.")</f>
        <v>Коренных кемеровчан почти не осталось, кругом одни "понаехали", которые паркуются где хотят, едут по автодорогам как хотят и хамят, засоряют город мусором.</v>
      </c>
      <c r="X676" s="6" t="str">
        <f>IFERROR(__xludf.DUMMYFUNCTION("""COMPUTED_VALUE"""),"В городе такого нет.")</f>
        <v>В городе такого нет.</v>
      </c>
      <c r="Y676" s="6" t="str">
        <f>IFERROR(__xludf.DUMMYFUNCTION("""COMPUTED_VALUE"""),"""Зимняя вишня"" сгорела, погибли люди, дети. Виновные до сих пор не наказаны.")</f>
        <v>"Зимняя вишня" сгорела, погибли люди, дети. Виновные до сих пор не наказаны.</v>
      </c>
      <c r="Z676" s="6" t="str">
        <f>IFERROR(__xludf.DUMMYFUNCTION("""COMPUTED_VALUE"""),"Новые комфортные автобусы появились и стали чаще ходить.")</f>
        <v>Новые комфортные автобусы появились и стали чаще ходить.</v>
      </c>
      <c r="AA676" s="6" t="str">
        <f>IFERROR(__xludf.DUMMYFUNCTION("""COMPUTED_VALUE"""),"С каждым годом всё грязнее становится на улицах города: снег не вывозиться регулярно с автодорог, а пешеходные тротуары безобразно очищаются, весной и летом пыль столбом, дышать нормально невозможно.")</f>
        <v>С каждым годом всё грязнее становится на улицах города: снег не вывозиться регулярно с автодорог, а пешеходные тротуары безобразно очищаются, весной и летом пыль столбом, дышать нормально невозможно.</v>
      </c>
      <c r="AB676" s="6" t="str">
        <f>IFERROR(__xludf.DUMMYFUNCTION("""COMPUTED_VALUE"""),"Субботников")</f>
        <v>Субботников</v>
      </c>
      <c r="AC676" s="6" t="str">
        <f>IFERROR(__xludf.DUMMYFUNCTION("""COMPUTED_VALUE"""),"Субботники, масленница, новый год")</f>
        <v>Субботники, масленница, новый год</v>
      </c>
      <c r="AD67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76" s="6" t="str">
        <f>IFERROR(__xludf.DUMMYFUNCTION("""COMPUTED_VALUE"""),"Женский")</f>
        <v>Женский</v>
      </c>
      <c r="AF676" s="6" t="str">
        <f>IFERROR(__xludf.DUMMYFUNCTION("""COMPUTED_VALUE"""),"30-44")</f>
        <v>30-44</v>
      </c>
      <c r="AG676" s="6"/>
      <c r="AH676" s="6"/>
      <c r="AI676" s="6"/>
      <c r="AJ676" s="6"/>
      <c r="AK676" s="6"/>
      <c r="AL676" s="6"/>
      <c r="AM676" s="6"/>
    </row>
    <row r="677">
      <c r="A677" s="6">
        <v>676.0</v>
      </c>
      <c r="B677" s="6" t="str">
        <f>IFERROR(__xludf.DUMMYFUNCTION("""COMPUTED_VALUE"""),"пенсионер")</f>
        <v>пенсионер</v>
      </c>
      <c r="C677" s="6" t="str">
        <f>IFERROR(__xludf.DUMMYFUNCTION("""COMPUTED_VALUE"""),"цветы")</f>
        <v>цветы</v>
      </c>
      <c r="D677" s="6" t="str">
        <f>IFERROR(__xludf.DUMMYFUNCTION("""COMPUTED_VALUE"""),"Шалготорьян")</f>
        <v>Шалготорьян</v>
      </c>
      <c r="E677" s="6" t="str">
        <f>IFERROR(__xludf.DUMMYFUNCTION("""COMPUTED_VALUE"""),"Скверик, посвященный блокаде Ленинграда и интересный фонтан в районе магазина. с красивыми  насаждениями вокруг.Еще у нас прекрасная  озелененная зона у кадетского, где можно и гулять и кататься на велосипедах. Озеро Красное и Томь совсем рядом.")</f>
        <v>Скверик, посвященный блокаде Ленинграда и интересный фонтан в районе магазина. с красивыми  насаждениями вокруг.Еще у нас прекрасная  озелененная зона у кадетского, где можно и гулять и кататься на велосипедах. Озеро Красное и Томь совсем рядом.</v>
      </c>
      <c r="F677" s="6" t="str">
        <f>IFERROR(__xludf.DUMMYFUNCTION("""COMPUTED_VALUE"""),"Живу здесь с рождения")</f>
        <v>Живу здесь с рождения</v>
      </c>
      <c r="G677" s="6" t="str">
        <f>IFERROR(__xludf.DUMMYFUNCTION("""COMPUTED_VALUE"""),"Гуляем по Бульвару строителей и возле кадетского . Летом ходим на озеро Красное и на Томь.")</f>
        <v>Гуляем по Бульвару строителей и возле кадетского . Летом ходим на озеро Красное и на Томь.</v>
      </c>
      <c r="H677" s="6" t="str">
        <f>IFERROR(__xludf.DUMMYFUNCTION("""COMPUTED_VALUE"""),"Зеленый, чистый,  красивый,  развивающийся, строящийся.")</f>
        <v>Зеленый, чистый,  красивый,  развивающийся, строящийся.</v>
      </c>
      <c r="I677" s="6" t="str">
        <f>IFERROR(__xludf.DUMMYFUNCTION("""COMPUTED_VALUE"""),"Леонов")</f>
        <v>Леонов</v>
      </c>
      <c r="J677" s="6" t="str">
        <f>IFERROR(__xludf.DUMMYFUNCTION("""COMPUTED_VALUE"""),"затрудняюсь сказать")</f>
        <v>затрудняюсь сказать</v>
      </c>
      <c r="K677" s="6" t="str">
        <f>IFERROR(__xludf.DUMMYFUNCTION("""COMPUTED_VALUE"""),"Памятник у вечного огня, Красная горка, театр Драмы,  Улица Весенняя, Бульвар Строителей, Кадетский,Парк Ангелов")</f>
        <v>Памятник у вечного огня, Красная горка, театр Драмы,  Улица Весенняя, Бульвар Строителей, Кадетский,Парк Ангелов</v>
      </c>
      <c r="L677" s="6" t="str">
        <f>IFERROR(__xludf.DUMMYFUNCTION("""COMPUTED_VALUE"""),"Не знаю")</f>
        <v>Не знаю</v>
      </c>
      <c r="M677" s="6" t="str">
        <f>IFERROR(__xludf.DUMMYFUNCTION("""COMPUTED_VALUE"""),"нет")</f>
        <v>нет</v>
      </c>
      <c r="N677" s="6" t="str">
        <f>IFERROR(__xludf.DUMMYFUNCTION("""COMPUTED_VALUE"""),"Затрудняюсь ответить")</f>
        <v>Затрудняюсь ответить</v>
      </c>
      <c r="O677" s="6" t="str">
        <f>IFERROR(__xludf.DUMMYFUNCTION("""COMPUTED_VALUE"""),"Решить вопрос об уборке за своими собаками. А то как растает снег весь город ( прошу прощения ) в говне. Хотелось бы чтобы в городе открывались новые предприятия ( тем самым давая возможность людям зарабатывать) У нас нет обустроенного места отдыха  возле"&amp;" речки.Благоустройство дворов идет очень медленно Медицина хромает")</f>
        <v>Решить вопрос об уборке за своими собаками. А то как растает снег весь город ( прошу прощения ) в говне. Хотелось бы чтобы в городе открывались новые предприятия ( тем самым давая возможность людям зарабатывать) У нас нет обустроенного места отдыха  возле речки.Благоустройство дворов идет очень медленно Медицина хромает</v>
      </c>
      <c r="P677" s="6" t="str">
        <f>IFERROR(__xludf.DUMMYFUNCTION("""COMPUTED_VALUE"""),"Инстаграм")</f>
        <v>Инстаграм</v>
      </c>
      <c r="Q677" s="6" t="str">
        <f>IFERROR(__xludf.DUMMYFUNCTION("""COMPUTED_VALUE"""),"культурные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Др"&amp;"угое свои предложения)")</f>
        <v>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677" s="6" t="str">
        <f>IFERROR(__xludf.DUMMYFUNCTION("""COMPUTED_VALUE"""),"День Победы, День Города")</f>
        <v>День Победы, День Города</v>
      </c>
      <c r="S677" s="6" t="str">
        <f>IFERROR(__xludf.DUMMYFUNCTION("""COMPUTED_VALUE"""),"Нет, не приходилось")</f>
        <v>Нет, не приходилось</v>
      </c>
      <c r="T677" s="6" t="str">
        <f>IFERROR(__xludf.DUMMYFUNCTION("""COMPUTED_VALUE"""),"К сожалению, наш говот стал знаменит , после трагедии в ""Зимней вишне"". Но и тем что это угольная  столица ")</f>
        <v>К сожалению, наш говот стал знаменит , после трагедии в "Зимней вишне". Но и тем что это угольная  столица </v>
      </c>
      <c r="U677" s="6" t="str">
        <f>IFERROR(__xludf.DUMMYFUNCTION("""COMPUTED_VALUE"""),"Улица весенняя, Проспект Советский, Горсад")</f>
        <v>Улица весенняя, Проспект Советский, Горсад</v>
      </c>
      <c r="V677" s="6" t="str">
        <f>IFERROR(__xludf.DUMMYFUNCTION("""COMPUTED_VALUE"""),"Не знаю")</f>
        <v>Не знаю</v>
      </c>
      <c r="W677" s="6" t="str">
        <f>IFERROR(__xludf.DUMMYFUNCTION("""COMPUTED_VALUE"""),"Затрудняюсь ответить")</f>
        <v>Затрудняюсь ответить</v>
      </c>
      <c r="X677" s="6" t="str">
        <f>IFERROR(__xludf.DUMMYFUNCTION("""COMPUTED_VALUE"""),"Прогулка в Парке Ангелов")</f>
        <v>Прогулка в Парке Ангелов</v>
      </c>
      <c r="Y677" s="6" t="str">
        <f>IFERROR(__xludf.DUMMYFUNCTION("""COMPUTED_VALUE"""),"Не знаю")</f>
        <v>Не знаю</v>
      </c>
      <c r="Z677" s="6" t="str">
        <f>IFERROR(__xludf.DUMMYFUNCTION("""COMPUTED_VALUE"""),"Облагородили Бульвар Строителей. Построили Парк Ангелов")</f>
        <v>Облагородили Бульвар Строителей. Построили Парк Ангелов</v>
      </c>
      <c r="AA677" s="6" t="str">
        <f>IFERROR(__xludf.DUMMYFUNCTION("""COMPUTED_VALUE"""),"Отмена маршрутного такси № 126. Ходит только одна частная, да и то ломается")</f>
        <v>Отмена маршрутного такси № 126. Ходит только одна частная, да и то ломается</v>
      </c>
      <c r="AB677" s="6" t="str">
        <f>IFERROR(__xludf.DUMMYFUNCTION("""COMPUTED_VALUE"""),"Мне всего хватает")</f>
        <v>Мне всего хватает</v>
      </c>
      <c r="AC677" s="6" t="str">
        <f>IFERROR(__xludf.DUMMYFUNCTION("""COMPUTED_VALUE"""),"Создавать больше рабочих мест, чтобы молодежь оставалась жить здесь")</f>
        <v>Создавать больше рабочих мест, чтобы молодежь оставалась жить здесь</v>
      </c>
      <c r="AD677"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677" s="6" t="str">
        <f>IFERROR(__xludf.DUMMYFUNCTION("""COMPUTED_VALUE"""),"Женский")</f>
        <v>Женский</v>
      </c>
      <c r="AF677" s="6" t="str">
        <f>IFERROR(__xludf.DUMMYFUNCTION("""COMPUTED_VALUE"""),"старше 55")</f>
        <v>старше 55</v>
      </c>
      <c r="AG677" s="6"/>
      <c r="AH677" s="6"/>
      <c r="AI677" s="6"/>
      <c r="AJ677" s="6"/>
      <c r="AK677" s="6"/>
      <c r="AL677" s="6"/>
      <c r="AM677" s="6"/>
    </row>
    <row r="678">
      <c r="A678" s="6">
        <v>677.0</v>
      </c>
      <c r="B678" s="6" t="str">
        <f>IFERROR(__xludf.DUMMYFUNCTION("""COMPUTED_VALUE"""),"Работаю по найму")</f>
        <v>Работаю по найму</v>
      </c>
      <c r="C678" s="6" t="str">
        <f>IFERROR(__xludf.DUMMYFUNCTION("""COMPUTED_VALUE"""),"Люблю путешествовать")</f>
        <v>Люблю путешествовать</v>
      </c>
      <c r="D678" s="6" t="str">
        <f>IFERROR(__xludf.DUMMYFUNCTION("""COMPUTED_VALUE"""),"В центральном. У цирка.")</f>
        <v>В центральном. У цирка.</v>
      </c>
      <c r="E678" s="6" t="str">
        <f>IFERROR(__xludf.DUMMYFUNCTION("""COMPUTED_VALUE"""),"Парки Антошка, Жукова, сквер у ДК Строителей, набережная, Весенняя улица, Пионерский бульвар.")</f>
        <v>Парки Антошка, Жукова, сквер у ДК Строителей, набережная, Весенняя улица, Пионерский бульвар.</v>
      </c>
      <c r="F678" s="6" t="str">
        <f>IFERROR(__xludf.DUMMYFUNCTION("""COMPUTED_VALUE"""),"Переехал сюда из другого места (откуда? укажите в графе другое), Из Новокузнецка приехала учиться в 1980")</f>
        <v>Переехал сюда из другого места (откуда? укажите в графе другое), Из Новокузнецка приехала учиться в 1980</v>
      </c>
      <c r="G678" s="6" t="str">
        <f>IFERROR(__xludf.DUMMYFUNCTION("""COMPUTED_VALUE"""),"В сосновый бор на Радуге. В Осиновку. Весенняя, парк Антошка. Набережная.")</f>
        <v>В сосновый бор на Радуге. В Осиновку. Весенняя, парк Антошка. Набережная.</v>
      </c>
      <c r="H678" s="6" t="str">
        <f>IFERROR(__xludf.DUMMYFUNCTION("""COMPUTED_VALUE"""),"Удобный. Компактный. Стильный. Провинциальный. Доступный.")</f>
        <v>Удобный. Компактный. Стильный. Провинциальный. Доступный.</v>
      </c>
      <c r="I678" s="6" t="str">
        <f>IFERROR(__xludf.DUMMYFUNCTION("""COMPUTED_VALUE"""),"Леонов. Рутгерс. Волков Михайло.")</f>
        <v>Леонов. Рутгерс. Волков Михайло.</v>
      </c>
      <c r="J678" s="6" t="str">
        <f>IFERROR(__xludf.DUMMYFUNCTION("""COMPUTED_VALUE"""),"Михайлов, бывший мэр. ")</f>
        <v>Михайлов, бывший мэр. </v>
      </c>
      <c r="K678" s="6" t="str">
        <f>IFERROR(__xludf.DUMMYFUNCTION("""COMPUTED_VALUE"""),"Площадь Волкова, Лесная поляна, кадетский корпус, ул. Весенняя, набережная.")</f>
        <v>Площадь Волкова, Лесная поляна, кадетский корпус, ул. Весенняя, набережная.</v>
      </c>
      <c r="L678" s="6" t="str">
        <f>IFERROR(__xludf.DUMMYFUNCTION("""COMPUTED_VALUE"""),"Не знаю")</f>
        <v>Не знаю</v>
      </c>
      <c r="M678" s="6" t="str">
        <f>IFERROR(__xludf.DUMMYFUNCTION("""COMPUTED_VALUE"""),"Нет.")</f>
        <v>Нет.</v>
      </c>
      <c r="N678" s="6" t="str">
        <f>IFERROR(__xludf.DUMMYFUNCTION("""COMPUTED_VALUE"""),"Отсутствие пробок. Хорошие дороги. Развитый транспортный парк. Общедоступная информация о городской жизни. Чистый воздух.")</f>
        <v>Отсутствие пробок. Хорошие дороги. Развитый транспортный парк. Общедоступная информация о городской жизни. Чистый воздух.</v>
      </c>
      <c r="O678" s="6" t="str">
        <f>IFERROR(__xludf.DUMMYFUNCTION("""COMPUTED_VALUE"""),"Навести чистоту. Перестать вырубать деревья. Сделать пляж.")</f>
        <v>Навести чистоту. Перестать вырубать деревья. Сделать пляж.</v>
      </c>
      <c r="P678" s="6" t="str">
        <f>IFERROR(__xludf.DUMMYFUNCTION("""COMPUTED_VALUE"""),"Яндекс")</f>
        <v>Яндекс</v>
      </c>
      <c r="Q678"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678" s="6" t="str">
        <f>IFERROR(__xludf.DUMMYFUNCTION("""COMPUTED_VALUE"""),"День Победы. День шахтеров. Новый год.")</f>
        <v>День Победы. День шахтеров. Новый год.</v>
      </c>
      <c r="S678" s="6" t="str">
        <f>IFERROR(__xludf.DUMMYFUNCTION("""COMPUTED_VALUE"""),"Нет, не приходилось")</f>
        <v>Нет, не приходилось</v>
      </c>
      <c r="T678" s="6" t="str">
        <f>IFERROR(__xludf.DUMMYFUNCTION("""COMPUTED_VALUE"""),"Красивый маленький провинциальный город.")</f>
        <v>Красивый маленький провинциальный город.</v>
      </c>
      <c r="U678" s="6" t="str">
        <f>IFERROR(__xludf.DUMMYFUNCTION("""COMPUTED_VALUE"""),"Советский проспект. Бульвар Строителей.")</f>
        <v>Советский проспект. Бульвар Строителей.</v>
      </c>
      <c r="V678" s="6" t="str">
        <f>IFERROR(__xludf.DUMMYFUNCTION("""COMPUTED_VALUE"""),"Построили красивый город")</f>
        <v>Построили красивый город</v>
      </c>
      <c r="W678" s="6" t="str">
        <f>IFERROR(__xludf.DUMMYFUNCTION("""COMPUTED_VALUE"""),"Отзывчивые. Дружелюбные.")</f>
        <v>Отзывчивые. Дружелюбные.</v>
      </c>
      <c r="X678" s="6" t="str">
        <f>IFERROR(__xludf.DUMMYFUNCTION("""COMPUTED_VALUE"""),"От площади Волкова по Весенней до набережной через филармонию к паркам Жукова и Антошка через Цирк до Пионерского бульвара.")</f>
        <v>От площади Волкова по Весенней до набережной через филармонию к паркам Жукова и Антошка через Цирк до Пионерского бульвара.</v>
      </c>
      <c r="Y678" s="6" t="str">
        <f>IFERROR(__xludf.DUMMYFUNCTION("""COMPUTED_VALUE"""),"Чемпионат мира по хоккею с мячом!")</f>
        <v>Чемпионат мира по хоккею с мячом!</v>
      </c>
      <c r="Z678" s="6" t="str">
        <f>IFERROR(__xludf.DUMMYFUNCTION("""COMPUTED_VALUE"""),"Бессмертный полк")</f>
        <v>Бессмертный полк</v>
      </c>
      <c r="AA678" s="6" t="str">
        <f>IFERROR(__xludf.DUMMYFUNCTION("""COMPUTED_VALUE"""),"Зимняя вишня")</f>
        <v>Зимняя вишня</v>
      </c>
      <c r="AB678" s="6" t="str">
        <f>IFERROR(__xludf.DUMMYFUNCTION("""COMPUTED_VALUE"""),"Сообщества пенсионеров")</f>
        <v>Сообщества пенсионеров</v>
      </c>
      <c r="AC678" s="6" t="str">
        <f>IFERROR(__xludf.DUMMYFUNCTION("""COMPUTED_VALUE"""),"Больше фестивалей, соревнований.")</f>
        <v>Больше фестивалей, соревнований.</v>
      </c>
      <c r="AD67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78" s="6" t="str">
        <f>IFERROR(__xludf.DUMMYFUNCTION("""COMPUTED_VALUE"""),"Женский")</f>
        <v>Женский</v>
      </c>
      <c r="AF678" s="6" t="str">
        <f>IFERROR(__xludf.DUMMYFUNCTION("""COMPUTED_VALUE"""),"старше 55")</f>
        <v>старше 55</v>
      </c>
      <c r="AG678" s="6"/>
      <c r="AH678" s="6"/>
      <c r="AI678" s="6"/>
      <c r="AJ678" s="6"/>
      <c r="AK678" s="6"/>
      <c r="AL678" s="6"/>
      <c r="AM678" s="6"/>
    </row>
    <row r="679">
      <c r="A679" s="6">
        <v>678.0</v>
      </c>
      <c r="B679" s="6" t="str">
        <f>IFERROR(__xludf.DUMMYFUNCTION("""COMPUTED_VALUE"""),"Работаю.")</f>
        <v>Работаю.</v>
      </c>
      <c r="C679" s="6" t="str">
        <f>IFERROR(__xludf.DUMMYFUNCTION("""COMPUTED_VALUE"""),"Изобразительное творчество.")</f>
        <v>Изобразительное творчество.</v>
      </c>
      <c r="D679" s="6" t="str">
        <f>IFERROR(__xludf.DUMMYFUNCTION("""COMPUTED_VALUE"""),"Ленинский район.")</f>
        <v>Ленинский район.</v>
      </c>
      <c r="E679" s="6" t="str">
        <f>IFERROR(__xludf.DUMMYFUNCTION("""COMPUTED_VALUE"""),"Бульвар Строителей.")</f>
        <v>Бульвар Строителей.</v>
      </c>
      <c r="F679" s="6" t="str">
        <f>IFERROR(__xludf.DUMMYFUNCTION("""COMPUTED_VALUE"""),"Живу здесь с рождения")</f>
        <v>Живу здесь с рождения</v>
      </c>
      <c r="G679" s="6" t="str">
        <f>IFERROR(__xludf.DUMMYFUNCTION("""COMPUTED_VALUE"""),"Храмы, филармония, музей ИЗО. Набережная Томи.")</f>
        <v>Храмы, филармония, музей ИЗО. Набережная Томи.</v>
      </c>
      <c r="H679" s="6" t="str">
        <f>IFERROR(__xludf.DUMMYFUNCTION("""COMPUTED_VALUE"""),"Простор; движение; река; холмы; воздух.")</f>
        <v>Простор; движение; река; холмы; воздух.</v>
      </c>
      <c r="I679" s="6" t="str">
        <f>IFERROR(__xludf.DUMMYFUNCTION("""COMPUTED_VALUE"""),"Вера Волошина; Михаил Небогатов, Игорь Киселев. ")</f>
        <v>Вера Волошина; Михаил Небогатов, Игорь Киселев. </v>
      </c>
      <c r="J679" s="6" t="str">
        <f>IFERROR(__xludf.DUMMYFUNCTION("""COMPUTED_VALUE"""),"Е. Гришковец.")</f>
        <v>Е. Гришковец.</v>
      </c>
      <c r="K679" s="6" t="str">
        <f>IFERROR(__xludf.DUMMYFUNCTION("""COMPUTED_VALUE"""),"Сосновый бор, Набережная, Красная горка.")</f>
        <v>Сосновый бор, Набережная, Красная горка.</v>
      </c>
      <c r="L679" s="6" t="str">
        <f>IFERROR(__xludf.DUMMYFUNCTION("""COMPUTED_VALUE"""),"""Без труда не выловишь рыбку из пруда"".")</f>
        <v>"Без труда не выловишь рыбку из пруда".</v>
      </c>
      <c r="M679" s="6" t="str">
        <f>IFERROR(__xludf.DUMMYFUNCTION("""COMPUTED_VALUE"""),"Весенька (ул. Весенняя).")</f>
        <v>Весенька (ул. Весенняя).</v>
      </c>
      <c r="N679" s="6" t="str">
        <f>IFERROR(__xludf.DUMMYFUNCTION("""COMPUTED_VALUE"""),"Наличие общественного транспорта;
Много культурных учреждений, сосредоточенных в каждом м/районе; 
Сохранение памятников, исторических и природных;
Возможность выбора  предприятий ЖКХ;
Уменьшение проблем с экологией.
")</f>
        <v>Наличие общественного транспорта;
Много культурных учреждений, сосредоточенных в каждом м/районе; 
Сохранение памятников, исторических и природных;
Возможность выбора  предприятий ЖКХ;
Уменьшение проблем с экологией.
</v>
      </c>
      <c r="O679" s="6" t="str">
        <f>IFERROR(__xludf.DUMMYFUNCTION("""COMPUTED_VALUE"""),"Изменение отношения к культурным и природным памятникам; Улучшение работы общественного транспорта; 
Озеленение.")</f>
        <v>Изменение отношения к культурным и природным памятникам; Улучшение работы общественного транспорта; 
Озеленение.</v>
      </c>
      <c r="P679" s="6" t="str">
        <f>IFERROR(__xludf.DUMMYFUNCTION("""COMPUTED_VALUE"""),"Группы Вк; портал Афиша Кемерово.")</f>
        <v>Группы Вк; портал Афиша Кемерово.</v>
      </c>
      <c r="Q679"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679" s="6" t="str">
        <f>IFERROR(__xludf.DUMMYFUNCTION("""COMPUTED_VALUE"""),"9 мая; 6 июня.")</f>
        <v>9 мая; 6 июня.</v>
      </c>
      <c r="S679" s="6" t="str">
        <f>IFERROR(__xludf.DUMMYFUNCTION("""COMPUTED_VALUE"""),"Нет, не приходилось")</f>
        <v>Нет, не приходилось</v>
      </c>
      <c r="T679" s="6" t="str">
        <f>IFERROR(__xludf.DUMMYFUNCTION("""COMPUTED_VALUE"""),"Сосновый бор, набережная Томи.")</f>
        <v>Сосновый бор, набережная Томи.</v>
      </c>
      <c r="U679" s="6" t="str">
        <f>IFERROR(__xludf.DUMMYFUNCTION("""COMPUTED_VALUE"""),"Соцгород, старый вокзал.")</f>
        <v>Соцгород, старый вокзал.</v>
      </c>
      <c r="V679" s="6" t="str">
        <f>IFERROR(__xludf.DUMMYFUNCTION("""COMPUTED_VALUE"""),"Много трудились.")</f>
        <v>Много трудились.</v>
      </c>
      <c r="W679" s="6" t="str">
        <f>IFERROR(__xludf.DUMMYFUNCTION("""COMPUTED_VALUE"""),"Любознательность, открытость.")</f>
        <v>Любознательность, открытость.</v>
      </c>
      <c r="X679" s="6" t="str">
        <f>IFERROR(__xludf.DUMMYFUNCTION("""COMPUTED_VALUE"""),"Сосновый бор, набережная, ул. Весенняя.")</f>
        <v>Сосновый бор, набережная, ул. Весенняя.</v>
      </c>
      <c r="Y679" s="6" t="str">
        <f>IFERROR(__xludf.DUMMYFUNCTION("""COMPUTED_VALUE"""),"Перенос производства в город во время В. О. в.")</f>
        <v>Перенос производства в город во время В. О. в.</v>
      </c>
      <c r="Z679" s="6" t="str">
        <f>IFERROR(__xludf.DUMMYFUNCTION("""COMPUTED_VALUE"""),"Пушуинский юбилей в 2019 г. Фестиваль ""Кемерово театральный"" в 2019 г. Шукшинский фестиваль в 2019 г.")</f>
        <v>Пушуинский юбилей в 2019 г. Фестиваль "Кемерово театральный" в 2019 г. Шукшинский фестиваль в 2019 г.</v>
      </c>
      <c r="AA679" s="6" t="str">
        <f>IFERROR(__xludf.DUMMYFUNCTION("""COMPUTED_VALUE"""),"Пожар в ТЦ Зимняя вишня.")</f>
        <v>Пожар в ТЦ Зимняя вишня.</v>
      </c>
      <c r="AB679" s="6" t="str">
        <f>IFERROR(__xludf.DUMMYFUNCTION("""COMPUTED_VALUE"""),"По сохранению памятников истории, культуры, природы города.")</f>
        <v>По сохранению памятников истории, культуры, природы города.</v>
      </c>
      <c r="AC679" s="6" t="str">
        <f>IFERROR(__xludf.DUMMYFUNCTION("""COMPUTED_VALUE"""),"Театральные фестивали, культурные акции.")</f>
        <v>Театральные фестивали, культурные акции.</v>
      </c>
      <c r="AD67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79" s="6" t="str">
        <f>IFERROR(__xludf.DUMMYFUNCTION("""COMPUTED_VALUE"""),"Женский")</f>
        <v>Женский</v>
      </c>
      <c r="AF679" s="6" t="str">
        <f>IFERROR(__xludf.DUMMYFUNCTION("""COMPUTED_VALUE"""),"45-55")</f>
        <v>45-55</v>
      </c>
      <c r="AG679" s="6"/>
      <c r="AH679" s="6"/>
      <c r="AI679" s="6"/>
      <c r="AJ679" s="6"/>
      <c r="AK679" s="6"/>
      <c r="AL679" s="6"/>
      <c r="AM679" s="6"/>
    </row>
    <row r="680">
      <c r="A680" s="6">
        <v>679.0</v>
      </c>
      <c r="B680" s="6" t="str">
        <f>IFERROR(__xludf.DUMMYFUNCTION("""COMPUTED_VALUE"""),"работая в сфере культуры")</f>
        <v>работая в сфере культуры</v>
      </c>
      <c r="C680" s="6" t="str">
        <f>IFERROR(__xludf.DUMMYFUNCTION("""COMPUTED_VALUE"""),"нет")</f>
        <v>нет</v>
      </c>
      <c r="D680" s="6" t="str">
        <f>IFERROR(__xludf.DUMMYFUNCTION("""COMPUTED_VALUE"""),"Кировский район")</f>
        <v>Кировский район</v>
      </c>
      <c r="E680" s="6" t="str">
        <f>IFERROR(__xludf.DUMMYFUNCTION("""COMPUTED_VALUE"""),"Берёзовая роща, набережная")</f>
        <v>Берёзовая роща, набережная</v>
      </c>
      <c r="F680" s="6" t="str">
        <f>IFERROR(__xludf.DUMMYFUNCTION("""COMPUTED_VALUE"""),"Переехал сюда из другого места (откуда? укажите в графе другое), приехала в детстве из Топкинского райна Кемеровской олбласти")</f>
        <v>Переехал сюда из другого места (откуда? укажите в графе другое), приехала в детстве из Топкинского райна Кемеровской олбласти</v>
      </c>
      <c r="G680" s="6" t="str">
        <f>IFERROR(__xludf.DUMMYFUNCTION("""COMPUTED_VALUE"""),"Горсад, набережная, Музыкальный театр, Краеведческий музей, Музей ИЗО, Красная горка")</f>
        <v>Горсад, набережная, Музыкальный театр, Краеведческий музей, Музей ИЗО, Красная горка</v>
      </c>
      <c r="H680" s="6" t="str">
        <f>IFERROR(__xludf.DUMMYFUNCTION("""COMPUTED_VALUE"""),"Весенняя, Томь, Красная горка, Сосновый бор, Копикуз")</f>
        <v>Весенняя, Томь, Красная горка, Сосновый бор, Копикуз</v>
      </c>
      <c r="I680" s="6" t="str">
        <f>IFERROR(__xludf.DUMMYFUNCTION("""COMPUTED_VALUE"""),"М. Волков, С. Рутгерс")</f>
        <v>М. Волков, С. Рутгерс</v>
      </c>
      <c r="J680" s="6" t="str">
        <f>IFERROR(__xludf.DUMMYFUNCTION("""COMPUTED_VALUE"""),"А. Леонов, А. Бобров,  М.А. Подгорбунский")</f>
        <v>А. Леонов, А. Бобров,  М.А. Подгорбунский</v>
      </c>
      <c r="K680" s="6" t="str">
        <f>IFERROR(__xludf.DUMMYFUNCTION("""COMPUTED_VALUE"""),"ул. Весенняя, набережная, Парк Ангелов")</f>
        <v>ул. Весенняя, набережная, Парк Ангелов</v>
      </c>
      <c r="L680" s="6" t="str">
        <f>IFERROR(__xludf.DUMMYFUNCTION("""COMPUTED_VALUE"""),"так сразу и не скажу")</f>
        <v>так сразу и не скажу</v>
      </c>
      <c r="M680" s="6" t="str">
        <f>IFERROR(__xludf.DUMMYFUNCTION("""COMPUTED_VALUE"""),"не задумывалась")</f>
        <v>не задумывалась</v>
      </c>
      <c r="N680" s="6" t="str">
        <f>IFERROR(__xludf.DUMMYFUNCTION("""COMPUTED_VALUE"""),"чистый, зелёный, отзывчивые жители")</f>
        <v>чистый, зелёный, отзывчивые жители</v>
      </c>
      <c r="O680" s="6" t="str">
        <f>IFERROR(__xludf.DUMMYFUNCTION("""COMPUTED_VALUE"""),"наладить работу общественного транспорта")</f>
        <v>наладить работу общественного транспорта</v>
      </c>
      <c r="P680" s="6" t="str">
        <f>IFERROR(__xludf.DUMMYFUNCTION("""COMPUTED_VALUE"""),"VSE-42, Сибдепо")</f>
        <v>VSE-42, Сибдепо</v>
      </c>
      <c r="Q680"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v>
      </c>
      <c r="R680" s="6" t="str">
        <f>IFERROR(__xludf.DUMMYFUNCTION("""COMPUTED_VALUE"""),"Новый год, День Победы, День города")</f>
        <v>Новый год, День Победы, День города</v>
      </c>
      <c r="S680" s="6" t="str">
        <f>IFERROR(__xludf.DUMMYFUNCTION("""COMPUTED_VALUE"""),"Нет, не приходилось")</f>
        <v>Нет, не приходилось</v>
      </c>
      <c r="T680" s="6" t="str">
        <f>IFERROR(__xludf.DUMMYFUNCTION("""COMPUTED_VALUE"""),"История АИК")</f>
        <v>История АИК</v>
      </c>
      <c r="U680" s="6" t="str">
        <f>IFERROR(__xludf.DUMMYFUNCTION("""COMPUTED_VALUE"""),"Городской сад")</f>
        <v>Городской сад</v>
      </c>
      <c r="V680" s="6" t="str">
        <f>IFERROR(__xludf.DUMMYFUNCTION("""COMPUTED_VALUE"""),"трудились")</f>
        <v>трудились</v>
      </c>
      <c r="W680" s="6" t="str">
        <f>IFERROR(__xludf.DUMMYFUNCTION("""COMPUTED_VALUE"""),"отзывчивые")</f>
        <v>отзывчивые</v>
      </c>
      <c r="X680" s="6" t="str">
        <f>IFERROR(__xludf.DUMMYFUNCTION("""COMPUTED_VALUE"""),"от Парка Ангелов по Весенней через набережную до Красной горка")</f>
        <v>от Парка Ангелов по Весенней через набережную до Красной горка</v>
      </c>
      <c r="Y680" s="6" t="str">
        <f>IFERROR(__xludf.DUMMYFUNCTION("""COMPUTED_VALUE"""),"создание города")</f>
        <v>создание города</v>
      </c>
      <c r="Z680" s="6" t="str">
        <f>IFERROR(__xludf.DUMMYFUNCTION("""COMPUTED_VALUE"""),"не участвую")</f>
        <v>не участвую</v>
      </c>
      <c r="AA680" s="6" t="str">
        <f>IFERROR(__xludf.DUMMYFUNCTION("""COMPUTED_VALUE"""),"избегаю негатив")</f>
        <v>избегаю негатив</v>
      </c>
      <c r="AB680" s="6" t="str">
        <f>IFERROR(__xludf.DUMMYFUNCTION("""COMPUTED_VALUE"""),"к сожалению, времени")</f>
        <v>к сожалению, времени</v>
      </c>
      <c r="AC680" s="6" t="str">
        <f>IFERROR(__xludf.DUMMYFUNCTION("""COMPUTED_VALUE"""),"т.к. с общественным транспортом плохо, не хватает красивых и масштабных городских праздников по районам")</f>
        <v>т.к. с общественным транспортом плохо, не хватает красивых и масштабных городских праздников по районам</v>
      </c>
      <c r="AD68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80" s="6" t="str">
        <f>IFERROR(__xludf.DUMMYFUNCTION("""COMPUTED_VALUE"""),"Женский")</f>
        <v>Женский</v>
      </c>
      <c r="AF680" s="6" t="str">
        <f>IFERROR(__xludf.DUMMYFUNCTION("""COMPUTED_VALUE"""),"45-55")</f>
        <v>45-55</v>
      </c>
      <c r="AG680" s="6"/>
      <c r="AH680" s="6"/>
      <c r="AI680" s="6"/>
      <c r="AJ680" s="6"/>
      <c r="AK680" s="6"/>
      <c r="AL680" s="6"/>
      <c r="AM680" s="6"/>
    </row>
    <row r="681">
      <c r="A681" s="6">
        <v>680.0</v>
      </c>
      <c r="B681" s="6" t="str">
        <f>IFERROR(__xludf.DUMMYFUNCTION("""COMPUTED_VALUE"""),"Студент. Тренер в танцеввльной школе. ")</f>
        <v>Студент. Тренер в танцеввльной школе. </v>
      </c>
      <c r="C681" s="6" t="str">
        <f>IFERROR(__xludf.DUMMYFUNCTION("""COMPUTED_VALUE"""),"Танцы, фотография")</f>
        <v>Танцы, фотография</v>
      </c>
      <c r="D681" s="6" t="str">
        <f>IFERROR(__xludf.DUMMYFUNCTION("""COMPUTED_VALUE"""),"Центр. Кемерово-сити")</f>
        <v>Центр. Кемерово-сити</v>
      </c>
      <c r="E681" s="6" t="str">
        <f>IFERROR(__xludf.DUMMYFUNCTION("""COMPUTED_VALUE"""),"Драмтеатр, набережная")</f>
        <v>Драмтеатр, набережная</v>
      </c>
      <c r="F681" s="6" t="str">
        <f>IFERROR(__xludf.DUMMYFUNCTION("""COMPUTED_VALUE"""),"Живу здесь с рождения")</f>
        <v>Живу здесь с рождения</v>
      </c>
      <c r="G681" s="6" t="str">
        <f>IFERROR(__xludf.DUMMYFUNCTION("""COMPUTED_VALUE"""),"Советский проспект, Притомский проспект, Комсомольский парк, ГорСад, Бор")</f>
        <v>Советский проспект, Притомский проспект, Комсомольский парк, ГорСад, Бор</v>
      </c>
      <c r="H681" s="6" t="str">
        <f>IFERROR(__xludf.DUMMYFUNCTION("""COMPUTED_VALUE"""),"Ровный, грустный, грязный, серый, город-грустных-безинициативных-людей")</f>
        <v>Ровный, грустный, грязный, серый, город-грустных-безинициативных-людей</v>
      </c>
      <c r="I681" s="6" t="str">
        <f>IFERROR(__xludf.DUMMYFUNCTION("""COMPUTED_VALUE"""),"Волков, Леонов")</f>
        <v>Волков, Леонов</v>
      </c>
      <c r="J681" s="6" t="str">
        <f>IFERROR(__xludf.DUMMYFUNCTION("""COMPUTED_VALUE"""),"—")</f>
        <v>—</v>
      </c>
      <c r="K681" s="6" t="str">
        <f>IFERROR(__xludf.DUMMYFUNCTION("""COMPUTED_VALUE"""),"Парк Победы, Красная Горка.. так особо показывать нечего. ")</f>
        <v>Парк Победы, Красная Горка.. так особо показывать нечего. </v>
      </c>
      <c r="L681" s="6" t="str">
        <f>IFERROR(__xludf.DUMMYFUNCTION("""COMPUTED_VALUE"""),"—")</f>
        <v>—</v>
      </c>
      <c r="M681" s="6" t="str">
        <f>IFERROR(__xludf.DUMMYFUNCTION("""COMPUTED_VALUE"""),"мультифора")</f>
        <v>мультифора</v>
      </c>
      <c r="N681" s="6" t="str">
        <f>IFERROR(__xludf.DUMMYFUNCTION("""COMPUTED_VALUE"""),"Уютно; яркие дома; городские праздники, мероприятия ; УКРАШЕНИЕ ГОРОДА во время праздников; безопасность")</f>
        <v>Уютно; яркие дома; городские праздники, мероприятия ; УКРАШЕНИЕ ГОРОДА во время праздников; безопасность</v>
      </c>
      <c r="O681" s="6" t="str">
        <f>IFERROR(__xludf.DUMMYFUNCTION("""COMPUTED_VALUE"""),"Отношение к глав города к обычным людям. Внимание к творческим людям, школам танцев. Перестать вырубать деревья!!!!!! ")</f>
        <v>Отношение к глав города к обычным людям. Внимание к творческим людям, школам танцев. Перестать вырубать деревья!!!!!! </v>
      </c>
      <c r="P681" s="6" t="str">
        <f>IFERROR(__xludf.DUMMYFUNCTION("""COMPUTED_VALUE"""),"Вконтакте")</f>
        <v>Вконтакте</v>
      </c>
      <c r="Q681"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681" s="6" t="str">
        <f>IFERROR(__xludf.DUMMYFUNCTION("""COMPUTED_VALUE"""),"Новый год, день города")</f>
        <v>Новый год, день города</v>
      </c>
      <c r="S681" s="6" t="str">
        <f>IFERROR(__xludf.DUMMYFUNCTION("""COMPUTED_VALUE"""),"Нет, не приходилось")</f>
        <v>Нет, не приходилось</v>
      </c>
      <c r="T681" s="6" t="str">
        <f>IFERROR(__xludf.DUMMYFUNCTION("""COMPUTED_VALUE"""),"Всей стране он печально известен Зимней вишней. Так же топ по заболеваемости тубркулезом, вич.  Ничего уникального. ")</f>
        <v>Всей стране он печально известен Зимней вишней. Так же топ по заболеваемости тубркулезом, вич.  Ничего уникального. </v>
      </c>
      <c r="U681" s="6" t="str">
        <f>IFERROR(__xludf.DUMMYFUNCTION("""COMPUTED_VALUE"""),"Советский + октябрьский, набережная, весенняя")</f>
        <v>Советский + октябрьский, набережная, весенняя</v>
      </c>
      <c r="V681" s="6" t="str">
        <f>IFERROR(__xludf.DUMMYFUNCTION("""COMPUTED_VALUE"""),"Уголь. ")</f>
        <v>Уголь. </v>
      </c>
      <c r="W681" s="6" t="str">
        <f>IFERROR(__xludf.DUMMYFUNCTION("""COMPUTED_VALUE"""),"Грустные, безинициативные, терпилы. А действительно интересные люди города в скором времени покидают его, и не просто так, а во избежание угасания, которое здесь неизбежно")</f>
        <v>Грустные, безинициативные, терпилы. А действительно интересные люди города в скором времени покидают его, и не просто так, а во избежание угасания, которое здесь неизбежно</v>
      </c>
      <c r="X681" s="6" t="str">
        <f>IFERROR(__xludf.DUMMYFUNCTION("""COMPUTED_VALUE"""),"От ""Я""шки по Советскому наверх")</f>
        <v>От "Я"шки по Советскому наверх</v>
      </c>
      <c r="Y681" s="6" t="str">
        <f>IFERROR(__xludf.DUMMYFUNCTION("""COMPUTED_VALUE"""),"—")</f>
        <v>—</v>
      </c>
      <c r="Z681" s="6" t="str">
        <f>IFERROR(__xludf.DUMMYFUNCTION("""COMPUTED_VALUE"""),"их не было")</f>
        <v>их не было</v>
      </c>
      <c r="AA681" s="6" t="str">
        <f>IFERROR(__xludf.DUMMYFUNCTION("""COMPUTED_VALUE"""),"Дружинники во время пандемии; ограничение движения транспорта во время приезда ""важного человека"" из Мск; реакция управления и полиции на мирные протестные акции")</f>
        <v>Дружинники во время пандемии; ограничение движения транспорта во время приезда "важного человека" из Мск; реакция управления и полиции на мирные протестные акции</v>
      </c>
      <c r="AB681" s="6" t="str">
        <f>IFERROR(__xludf.DUMMYFUNCTION("""COMPUTED_VALUE"""),"-")</f>
        <v>-</v>
      </c>
      <c r="AC681" s="6" t="str">
        <f>IFERROR(__xludf.DUMMYFUNCTION("""COMPUTED_VALUE"""),"Хоть какие-нибудь, интересные, зажигающие народ. ")</f>
        <v>Хоть какие-нибудь, интересные, зажигающие народ. </v>
      </c>
      <c r="AD681"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681" s="6" t="str">
        <f>IFERROR(__xludf.DUMMYFUNCTION("""COMPUTED_VALUE"""),"Женский")</f>
        <v>Женский</v>
      </c>
      <c r="AF681" s="6" t="str">
        <f>IFERROR(__xludf.DUMMYFUNCTION("""COMPUTED_VALUE"""),"18-29")</f>
        <v>18-29</v>
      </c>
      <c r="AG681" s="6"/>
      <c r="AH681" s="6"/>
      <c r="AI681" s="6"/>
      <c r="AJ681" s="6"/>
      <c r="AK681" s="6"/>
      <c r="AL681" s="6"/>
      <c r="AM681" s="6"/>
    </row>
    <row r="682">
      <c r="A682" s="6">
        <v>681.0</v>
      </c>
      <c r="B682" s="6" t="str">
        <f>IFERROR(__xludf.DUMMYFUNCTION("""COMPUTED_VALUE"""),"В сфере культуры ")</f>
        <v>В сфере культуры </v>
      </c>
      <c r="C682" s="6" t="str">
        <f>IFERROR(__xludf.DUMMYFUNCTION("""COMPUTED_VALUE"""),"Нет ")</f>
        <v>Нет </v>
      </c>
      <c r="D682" s="6" t="str">
        <f>IFERROR(__xludf.DUMMYFUNCTION("""COMPUTED_VALUE"""),"Беловский район ")</f>
        <v>Беловский район </v>
      </c>
      <c r="E682" s="6" t="str">
        <f>IFERROR(__xludf.DUMMYFUNCTION("""COMPUTED_VALUE"""),"Городской парк ")</f>
        <v>Городской парк </v>
      </c>
      <c r="F682" s="6" t="str">
        <f>IFERROR(__xludf.DUMMYFUNCTION("""COMPUTED_VALUE"""),"Живу здесь с рождения")</f>
        <v>Живу здесь с рождения</v>
      </c>
      <c r="G682" s="6" t="str">
        <f>IFERROR(__xludf.DUMMYFUNCTION("""COMPUTED_VALUE"""),"Кинотеатр ")</f>
        <v>Кинотеатр </v>
      </c>
      <c r="H682" s="6" t="str">
        <f>IFERROR(__xludf.DUMMYFUNCTION("""COMPUTED_VALUE"""),"Нету")</f>
        <v>Нету</v>
      </c>
      <c r="I682" s="6" t="str">
        <f>IFERROR(__xludf.DUMMYFUNCTION("""COMPUTED_VALUE"""),"Не знаю ")</f>
        <v>Не знаю </v>
      </c>
      <c r="J682" s="6" t="str">
        <f>IFERROR(__xludf.DUMMYFUNCTION("""COMPUTED_VALUE"""),"Не знаю ")</f>
        <v>Не знаю </v>
      </c>
      <c r="K682" s="6" t="str">
        <f>IFERROR(__xludf.DUMMYFUNCTION("""COMPUTED_VALUE"""),"Аллея , городской парк ")</f>
        <v>Аллея , городской парк </v>
      </c>
      <c r="L682" s="6" t="str">
        <f>IFERROR(__xludf.DUMMYFUNCTION("""COMPUTED_VALUE"""),"Не знаю ")</f>
        <v>Не знаю </v>
      </c>
      <c r="M682" s="6" t="str">
        <f>IFERROR(__xludf.DUMMYFUNCTION("""COMPUTED_VALUE"""),"Нет")</f>
        <v>Нет</v>
      </c>
      <c r="N682" s="6" t="str">
        <f>IFERROR(__xludf.DUMMYFUNCTION("""COMPUTED_VALUE"""),"Не знаю")</f>
        <v>Не знаю</v>
      </c>
      <c r="O682" s="6" t="str">
        <f>IFERROR(__xludf.DUMMYFUNCTION("""COMPUTED_VALUE"""),"Дороги ")</f>
        <v>Дороги </v>
      </c>
      <c r="P682" s="6" t="str">
        <f>IFERROR(__xludf.DUMMYFUNCTION("""COMPUTED_VALUE"""),"ТП Белово ")</f>
        <v>ТП Белово </v>
      </c>
      <c r="Q682" s="6" t="str">
        <f>IFERROR(__xludf.DUMMYFUNCTION("""COMPUTED_VALUE"""),"куда пойти в свободное время")</f>
        <v>куда пойти в свободное время</v>
      </c>
      <c r="R682" s="6" t="str">
        <f>IFERROR(__xludf.DUMMYFUNCTION("""COMPUTED_VALUE"""),"9 мая ")</f>
        <v>9 мая </v>
      </c>
      <c r="S682" s="6" t="str">
        <f>IFERROR(__xludf.DUMMYFUNCTION("""COMPUTED_VALUE"""),"Нет, не приходилось")</f>
        <v>Нет, не приходилось</v>
      </c>
      <c r="T682" s="6" t="str">
        <f>IFERROR(__xludf.DUMMYFUNCTION("""COMPUTED_VALUE"""),"Не знаю ")</f>
        <v>Не знаю </v>
      </c>
      <c r="U682" s="6" t="str">
        <f>IFERROR(__xludf.DUMMYFUNCTION("""COMPUTED_VALUE"""),"Не знаю ")</f>
        <v>Не знаю </v>
      </c>
      <c r="V682" s="6" t="str">
        <f>IFERROR(__xludf.DUMMYFUNCTION("""COMPUTED_VALUE"""),"Не знаю ")</f>
        <v>Не знаю </v>
      </c>
      <c r="W682" s="6" t="str">
        <f>IFERROR(__xludf.DUMMYFUNCTION("""COMPUTED_VALUE"""),"Обычные")</f>
        <v>Обычные</v>
      </c>
      <c r="X682" s="6" t="str">
        <f>IFERROR(__xludf.DUMMYFUNCTION("""COMPUTED_VALUE"""),"Парк чудес ")</f>
        <v>Парк чудес </v>
      </c>
      <c r="Y682" s="6" t="str">
        <f>IFERROR(__xludf.DUMMYFUNCTION("""COMPUTED_VALUE"""),"Не знаю ")</f>
        <v>Не знаю </v>
      </c>
      <c r="Z682" s="6" t="str">
        <f>IFERROR(__xludf.DUMMYFUNCTION("""COMPUTED_VALUE"""),"Построили автовокзал ")</f>
        <v>Построили автовокзал </v>
      </c>
      <c r="AA682" s="6" t="str">
        <f>IFERROR(__xludf.DUMMYFUNCTION("""COMPUTED_VALUE"""),"Дороги")</f>
        <v>Дороги</v>
      </c>
      <c r="AB682" s="6" t="str">
        <f>IFERROR(__xludf.DUMMYFUNCTION("""COMPUTED_VALUE"""),"Не знаю ")</f>
        <v>Не знаю </v>
      </c>
      <c r="AC682" s="6" t="str">
        <f>IFERROR(__xludf.DUMMYFUNCTION("""COMPUTED_VALUE"""),"Не знаю ")</f>
        <v>Не знаю </v>
      </c>
      <c r="AD68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682" s="6" t="str">
        <f>IFERROR(__xludf.DUMMYFUNCTION("""COMPUTED_VALUE"""),"Женский")</f>
        <v>Женский</v>
      </c>
      <c r="AF682" s="6" t="str">
        <f>IFERROR(__xludf.DUMMYFUNCTION("""COMPUTED_VALUE"""),"18-29")</f>
        <v>18-29</v>
      </c>
      <c r="AG682" s="6"/>
      <c r="AH682" s="6"/>
      <c r="AI682" s="6"/>
      <c r="AJ682" s="6"/>
      <c r="AK682" s="6"/>
      <c r="AL682" s="6"/>
      <c r="AM682" s="6"/>
    </row>
    <row r="683">
      <c r="A683" s="6">
        <v>682.0</v>
      </c>
      <c r="B683" s="6" t="str">
        <f>IFERROR(__xludf.DUMMYFUNCTION("""COMPUTED_VALUE"""),"Госслужащий")</f>
        <v>Госслужащий</v>
      </c>
      <c r="C683" s="6" t="str">
        <f>IFERROR(__xludf.DUMMYFUNCTION("""COMPUTED_VALUE"""),"интеллектуальные игры")</f>
        <v>интеллектуальные игры</v>
      </c>
      <c r="D683" s="6" t="str">
        <f>IFERROR(__xludf.DUMMYFUNCTION("""COMPUTED_VALUE"""),"Бульвар Строителей.  Бульвар.")</f>
        <v>Бульвар Строителей.  Бульвар.</v>
      </c>
      <c r="E683" s="6" t="str">
        <f>IFERROR(__xludf.DUMMYFUNCTION("""COMPUTED_VALUE"""),"Собственно, сам бульвар Строителей")</f>
        <v>Собственно, сам бульвар Строителей</v>
      </c>
      <c r="F683" s="6" t="str">
        <f>IFERROR(__xludf.DUMMYFUNCTION("""COMPUTED_VALUE"""),"Живу здесь с рождения")</f>
        <v>Живу здесь с рождения</v>
      </c>
      <c r="G683" s="6" t="str">
        <f>IFERROR(__xludf.DUMMYFUNCTION("""COMPUTED_VALUE"""),"Бульвар Строителей, Набережная, Весенняя, проспект Московский")</f>
        <v>Бульвар Строителей, Набережная, Весенняя, проспект Московский</v>
      </c>
      <c r="H683" s="6" t="str">
        <f>IFERROR(__xludf.DUMMYFUNCTION("""COMPUTED_VALUE"""),"Пыль, липы, ко'лба (лабораторная), холод, бор")</f>
        <v>Пыль, липы, ко'лба (лабораторная), холод, бор</v>
      </c>
      <c r="I683" s="6" t="str">
        <f>IFERROR(__xludf.DUMMYFUNCTION("""COMPUTED_VALUE"""),"Алексей Леонов, Себальд Рутгерс, Йохан Ван Лохем, Эрнст Май, Владимир Мартемьянов, Теодор Драйзер, Андрей Панин")</f>
        <v>Алексей Леонов, Себальд Рутгерс, Йохан Ван Лохем, Эрнст Май, Владимир Мартемьянов, Теодор Драйзер, Андрей Панин</v>
      </c>
      <c r="J683" s="6" t="str">
        <f>IFERROR(__xludf.DUMMYFUNCTION("""COMPUTED_VALUE"""),"Владимир Михайлов, Владимир Сухацкий, Евгений Гришковец, Павел Шубин")</f>
        <v>Владимир Михайлов, Владимир Сухацкий, Евгений Гришковец, Павел Шубин</v>
      </c>
      <c r="K683" s="6" t="str">
        <f>IFERROR(__xludf.DUMMYFUNCTION("""COMPUTED_VALUE"""),"Красная горка, вид с Красной горки на заводы, Бор, Набережная")</f>
        <v>Красная горка, вид с Красной горки на заводы, Бор, Набережная</v>
      </c>
      <c r="L683" s="6" t="str">
        <f>IFERROR(__xludf.DUMMYFUNCTION("""COMPUTED_VALUE"""),"Кемеровчане никогда не склоняют слово ""Кемерово"". Другие кемеровчане считают первых ""понаехавшими"" и считают, что ""Кемерово"" следует склонять.")</f>
        <v>Кемеровчане никогда не склоняют слово "Кемерово". Другие кемеровчане считают первых "понаехавшими" и считают, что "Кемерово" следует склонять.</v>
      </c>
      <c r="M683" s="6" t="str">
        <f>IFERROR(__xludf.DUMMYFUNCTION("""COMPUTED_VALUE"""),"Неофициальные названия районов: Ру'дник, Радуга, Левый (берег), Правый (берег). улица Александро'ва. Ща'вель.")</f>
        <v>Неофициальные названия районов: Ру'дник, Радуга, Левый (берег), Правый (берег). улица Александро'ва. Ща'вель.</v>
      </c>
      <c r="N683" s="6" t="str">
        <f>IFERROR(__xludf.DUMMYFUNCTION("""COMPUTED_VALUE"""),"Чистый воздух, развитый общественный транспорт, удобство для пешеходов, чистые улицы, наличие театров, музеев, фестивалей")</f>
        <v>Чистый воздух, развитый общественный транспорт, удобство для пешеходов, чистые улицы, наличие театров, музеев, фестивалей</v>
      </c>
      <c r="O683" s="6" t="str">
        <f>IFERROR(__xludf.DUMMYFUNCTION("""COMPUTED_VALUE"""),"Улучшить состояние воздуха: газифицировать частный сектор, ограничить движение автомобилей с ДВС на бензине и дизеле.")</f>
        <v>Улучшить состояние воздуха: газифицировать частный сектор, ограничить движение автомобилей с ДВС на бензине и дизеле.</v>
      </c>
      <c r="P683" s="6" t="str">
        <f>IFERROR(__xludf.DUMMYFUNCTION("""COMPUTED_VALUE"""),"Интернет (sibdepo.ru, a42.ru, avoka.do)")</f>
        <v>Интернет (sibdepo.ru, a42.ru, avoka.do)</v>
      </c>
      <c r="Q683" s="6" t="str">
        <f>IFERROR(__xludf.DUMMYFUNCTION("""COMPUTED_VALUE"""),"куда пойти в свободное время, городская афиша (кино/театр/концерты), интервью с местными творческими личностями, результаты местных исследований (рейтинги/аналитика/тенденции)")</f>
        <v>куда пойти в свободное время, городская афиша (кино/театр/концерты), интервью с местными творческими личностями, результаты местных исследований (рейтинги/аналитика/тенденции)</v>
      </c>
      <c r="R683" s="6" t="str">
        <f>IFERROR(__xludf.DUMMYFUNCTION("""COMPUTED_VALUE"""),"День Победы")</f>
        <v>День Победы</v>
      </c>
      <c r="S683" s="6" t="str">
        <f>IFERROR(__xludf.DUMMYFUNCTION("""COMPUTED_VALUE"""),"Нет, не приходилось")</f>
        <v>Нет, не приходилось</v>
      </c>
      <c r="T683" s="6" t="str">
        <f>IFERROR(__xludf.DUMMYFUNCTION("""COMPUTED_VALUE"""),"Особо ничем. Кемерово превосходит заниженные ожидания о нем - он в целом чище и приятнее, чем от него ждут, несмотря на всю критику.")</f>
        <v>Особо ничем. Кемерово превосходит заниженные ожидания о нем - он в целом чище и приятнее, чем от него ждут, несмотря на всю критику.</v>
      </c>
      <c r="U683" s="6" t="str">
        <f>IFERROR(__xludf.DUMMYFUNCTION("""COMPUTED_VALUE"""),"улица Весенняя от КузГТУ до Набережной")</f>
        <v>улица Весенняя от КузГТУ до Набережной</v>
      </c>
      <c r="V683" s="6" t="str">
        <f>IFERROR(__xludf.DUMMYFUNCTION("""COMPUTED_VALUE"""),"Сохранили город  в 1990-е. Профинансировали издание журнала Трамвай в начале 1990-х годов.")</f>
        <v>Сохранили город  в 1990-е. Профинансировали издание журнала Трамвай в начале 1990-х годов.</v>
      </c>
      <c r="W683" s="6" t="str">
        <f>IFERROR(__xludf.DUMMYFUNCTION("""COMPUTED_VALUE"""),"Угрюмые")</f>
        <v>Угрюмые</v>
      </c>
      <c r="X683" s="6" t="str">
        <f>IFERROR(__xludf.DUMMYFUNCTION("""COMPUTED_VALUE"""),"Бор-Красная горка - Притомская набережная - Драмтеатр")</f>
        <v>Бор-Красная горка - Притомская набережная - Драмтеатр</v>
      </c>
      <c r="Y683" s="6" t="str">
        <f>IFERROR(__xludf.DUMMYFUNCTION("""COMPUTED_VALUE"""),"Основание АИК ""Кузбасс""")</f>
        <v>Основание АИК "Кузбасс"</v>
      </c>
      <c r="Z683" s="6" t="str">
        <f>IFERROR(__xludf.DUMMYFUNCTION("""COMPUTED_VALUE"""),"Фестиваль Монстры рока был ничего.")</f>
        <v>Фестиваль Монстры рока был ничего.</v>
      </c>
      <c r="AA683" s="6" t="str">
        <f>IFERROR(__xludf.DUMMYFUNCTION("""COMPUTED_VALUE"""),"Обрушение потолка в новой детском саду")</f>
        <v>Обрушение потолка в новой детском саду</v>
      </c>
      <c r="AB683" s="6" t="str">
        <f>IFERROR(__xludf.DUMMYFUNCTION("""COMPUTED_VALUE"""),"Сложных интеллектуальных игр (ЧГК, 60 секунд и т.д.)")</f>
        <v>Сложных интеллектуальных игр (ЧГК, 60 секунд и т.д.)</v>
      </c>
      <c r="AC683" s="6" t="str">
        <f>IFERROR(__xludf.DUMMYFUNCTION("""COMPUTED_VALUE"""),"Какая-нибудь современная музыка: академическая, электронная, любая интересная в любом формате.")</f>
        <v>Какая-нибудь современная музыка: академическая, электронная, любая интересная в любом формате.</v>
      </c>
      <c r="AD683" s="6" t="str">
        <f>IFERROR(__xludf.DUMMYFUNCTION("""COMPUTED_VALUE"""),"Не готов принимать личное участие (укажите, пожалуйста, причину в поле «Другое»), лень")</f>
        <v>Не готов принимать личное участие (укажите, пожалуйста, причину в поле «Другое»), лень</v>
      </c>
      <c r="AE683" s="6" t="str">
        <f>IFERROR(__xludf.DUMMYFUNCTION("""COMPUTED_VALUE"""),"Мужской")</f>
        <v>Мужской</v>
      </c>
      <c r="AF683" s="6" t="str">
        <f>IFERROR(__xludf.DUMMYFUNCTION("""COMPUTED_VALUE"""),"30-44")</f>
        <v>30-44</v>
      </c>
      <c r="AG683" s="6"/>
      <c r="AH683" s="6"/>
      <c r="AI683" s="6"/>
      <c r="AJ683" s="6"/>
      <c r="AK683" s="6"/>
      <c r="AL683" s="6"/>
      <c r="AM683" s="6"/>
    </row>
    <row r="684">
      <c r="A684" s="6">
        <v>683.0</v>
      </c>
      <c r="B684" s="6" t="str">
        <f>IFERROR(__xludf.DUMMYFUNCTION("""COMPUTED_VALUE"""),"Работаю в библиотеке ")</f>
        <v>Работаю в библиотеке </v>
      </c>
      <c r="C684" s="6" t="str">
        <f>IFERROR(__xludf.DUMMYFUNCTION("""COMPUTED_VALUE"""),"Чтение книг и прогулки с любимым человеком")</f>
        <v>Чтение книг и прогулки с любимым человеком</v>
      </c>
      <c r="D684" s="6" t="str">
        <f>IFERROR(__xludf.DUMMYFUNCTION("""COMPUTED_VALUE"""),"В центральном, мой дом")</f>
        <v>В центральном, мой дом</v>
      </c>
      <c r="E684" s="6" t="str">
        <f>IFERROR(__xludf.DUMMYFUNCTION("""COMPUTED_VALUE"""),"Комсомольский парк")</f>
        <v>Комсомольский парк</v>
      </c>
      <c r="F684" s="6" t="str">
        <f>IFERROR(__xludf.DUMMYFUNCTION("""COMPUTED_VALUE"""),"Живу здесь с рождения")</f>
        <v>Живу здесь с рождения</v>
      </c>
      <c r="G684" s="6" t="str">
        <f>IFERROR(__xludf.DUMMYFUNCTION("""COMPUTED_VALUE"""),"Гуляю рядом с филармонией, хожу в кинотеатр юбилейный мимо комсомольском парка, часто бываю на бульваре строителей, иногда езжу на лесную поляну. ")</f>
        <v>Гуляю рядом с филармонией, хожу в кинотеатр юбилейный мимо комсомольском парка, часто бываю на бульваре строителей, иногда езжу на лесную поляну. </v>
      </c>
      <c r="H684" s="6" t="str">
        <f>IFERROR(__xludf.DUMMYFUNCTION("""COMPUTED_VALUE"""),"У меня сразу приходят ассоциации: милый город, нет работы, загазованность, родной")</f>
        <v>У меня сразу приходят ассоциации: милый город, нет работы, загазованность, родной</v>
      </c>
      <c r="I684" s="6" t="str">
        <f>IFERROR(__xludf.DUMMYFUNCTION("""COMPUTED_VALUE"""),"Вера Волошина, Юрий Гагарин, Юрий Двужильный, Ворошилова Климент и т.д.")</f>
        <v>Вера Волошина, Юрий Гагарин, Юрий Двужильный, Ворошилова Климент и т.д.</v>
      </c>
      <c r="J684" s="6" t="str">
        <f>IFERROR(__xludf.DUMMYFUNCTION("""COMPUTED_VALUE"""),"Для меня был хороший губернатор города, который следил за чистотой улиц, дороги были всегда убраны, заслуга А. Г. Тулеева. ")</f>
        <v>Для меня был хороший губернатор города, который следил за чистотой улиц, дороги были всегда убраны, заслуга А. Г. Тулеева. </v>
      </c>
      <c r="K684" s="6" t="str">
        <f>IFERROR(__xludf.DUMMYFUNCTION("""COMPUTED_VALUE"""),"Обязательно к посещению это спокойное и красивое место рядом с филармонией. Затем улица Весенняя и парк ангелов. И лесная поляна ")</f>
        <v>Обязательно к посещению это спокойное и красивое место рядом с филармонией. Затем улица Весенняя и парк ангелов. И лесная поляна </v>
      </c>
      <c r="L684" s="6" t="str">
        <f>IFERROR(__xludf.DUMMYFUNCTION("""COMPUTED_VALUE"""),"Нету такого в моей памяти")</f>
        <v>Нету такого в моей памяти</v>
      </c>
      <c r="M684" s="6" t="str">
        <f>IFERROR(__xludf.DUMMYFUNCTION("""COMPUTED_VALUE"""),"Я всю жизнь живу в Кемерово, для меня все слова и выражения по кемеровски)) ")</f>
        <v>Я всю жизнь живу в Кемерово, для меня все слова и выражения по кемеровски)) </v>
      </c>
      <c r="N684" s="6" t="str">
        <f>IFERROR(__xludf.DUMMYFUNCTION("""COMPUTED_VALUE"""),"Чистота на улице, своевременная уборка снега каждую зиму, наличие детских площадок в каждом дворе, ровные дороги каждом дворе и парковки в каждом дворе ")</f>
        <v>Чистота на улице, своевременная уборка снега каждую зиму, наличие детских площадок в каждом дворе, ровные дороги каждом дворе и парковки в каждом дворе </v>
      </c>
      <c r="O684" s="6" t="str">
        <f>IFERROR(__xludf.DUMMYFUNCTION("""COMPUTED_VALUE"""),"Нужно починить все дороги, убрать горы снега в каждом районе и убрать мусор, а также освещение играет большую роль, освещает я центральный район хорошо, но ведь город Кемерово, в первую очередь не только один район, есть и другие районы. Освещение для мал"&amp;"еньких школьников, которые учатся во вторую смену и для пенсионеров, которые пошли вечером за хлебом и освещение для молодых мам с колясками. ")</f>
        <v>Нужно починить все дороги, убрать горы снега в каждом районе и убрать мусор, а также освещение играет большую роль, освещает я центральный район хорошо, но ведь город Кемерово, в первую очередь не только один район, есть и другие районы. Освещение для маленьких школьников, которые учатся во вторую смену и для пенсионеров, которые пошли вечером за хлебом и освещение для молодых мам с колясками. </v>
      </c>
      <c r="P684" s="6" t="str">
        <f>IFERROR(__xludf.DUMMYFUNCTION("""COMPUTED_VALUE"""),"В контакте, инстаграм ")</f>
        <v>В контакте, инстаграм </v>
      </c>
      <c r="Q68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684" s="6" t="str">
        <f>IFERROR(__xludf.DUMMYFUNCTION("""COMPUTED_VALUE"""),"9 мая ")</f>
        <v>9 мая </v>
      </c>
      <c r="S684" s="6" t="str">
        <f>IFERROR(__xludf.DUMMYFUNCTION("""COMPUTED_VALUE"""),"Нет, не приходилось")</f>
        <v>Нет, не приходилось</v>
      </c>
      <c r="T684" s="6" t="str">
        <f>IFERROR(__xludf.DUMMYFUNCTION("""COMPUTED_VALUE"""),"Затрудняюсь ответить")</f>
        <v>Затрудняюсь ответить</v>
      </c>
      <c r="U684" s="6" t="str">
        <f>IFERROR(__xludf.DUMMYFUNCTION("""COMPUTED_VALUE"""),"Затрудняюсь ответить")</f>
        <v>Затрудняюсь ответить</v>
      </c>
      <c r="V684" s="6" t="str">
        <f>IFERROR(__xludf.DUMMYFUNCTION("""COMPUTED_VALUE"""),"Затрудняюсь ответить")</f>
        <v>Затрудняюсь ответить</v>
      </c>
      <c r="W684" s="6" t="str">
        <f>IFERROR(__xludf.DUMMYFUNCTION("""COMPUTED_VALUE"""),"Мы доброжелательный народ, который хочет только лучшего для всех нас, но мы смиряемся, что не все в городе сделано, так как хочется, всегда надеемся на улучшение нашего города. ")</f>
        <v>Мы доброжелательный народ, который хочет только лучшего для всех нас, но мы смиряемся, что не все в городе сделано, так как хочется, всегда надеемся на улучшение нашего города. </v>
      </c>
      <c r="X684" s="6" t="str">
        <f>IFERROR(__xludf.DUMMYFUNCTION("""COMPUTED_VALUE"""),"Пройтись от цирка до улицы Кирова. ")</f>
        <v>Пройтись от цирка до улицы Кирова. </v>
      </c>
      <c r="Y684" s="6" t="str">
        <f>IFERROR(__xludf.DUMMYFUNCTION("""COMPUTED_VALUE"""),"Затрудняюсь ответить")</f>
        <v>Затрудняюсь ответить</v>
      </c>
      <c r="Z684" s="6" t="str">
        <f>IFERROR(__xludf.DUMMYFUNCTION("""COMPUTED_VALUE"""),"Затрудняюсь ответить")</f>
        <v>Затрудняюсь ответить</v>
      </c>
      <c r="AA684" s="6" t="str">
        <f>IFERROR(__xludf.DUMMYFUNCTION("""COMPUTED_VALUE"""),"Пандемия вызвала очень большой рост цен на продукты. Я в шоке из-за этого. ")</f>
        <v>Пандемия вызвала очень большой рост цен на продукты. Я в шоке из-за этого. </v>
      </c>
      <c r="AB684" s="6" t="str">
        <f>IFERROR(__xludf.DUMMYFUNCTION("""COMPUTED_VALUE"""),"Мне впринципи никакие сообщества не нужны ")</f>
        <v>Мне впринципи никакие сообщества не нужны </v>
      </c>
      <c r="AC684" s="6" t="str">
        <f>IFERROR(__xludf.DUMMYFUNCTION("""COMPUTED_VALUE"""),"Стало бы лучше, если бы город смог позволить аквапарк и большой магазин икеа. ")</f>
        <v>Стало бы лучше, если бы город смог позволить аквапарк и большой магазин икеа. </v>
      </c>
      <c r="AD68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684" s="6" t="str">
        <f>IFERROR(__xludf.DUMMYFUNCTION("""COMPUTED_VALUE"""),"Женский")</f>
        <v>Женский</v>
      </c>
      <c r="AF684" s="6" t="str">
        <f>IFERROR(__xludf.DUMMYFUNCTION("""COMPUTED_VALUE"""),"18-29")</f>
        <v>18-29</v>
      </c>
      <c r="AG684" s="6"/>
      <c r="AH684" s="6"/>
      <c r="AI684" s="6"/>
      <c r="AJ684" s="6"/>
      <c r="AK684" s="6"/>
      <c r="AL684" s="6"/>
      <c r="AM684" s="6"/>
    </row>
    <row r="685">
      <c r="A685" s="6">
        <v>684.0</v>
      </c>
      <c r="B685" s="6" t="str">
        <f>IFERROR(__xludf.DUMMYFUNCTION("""COMPUTED_VALUE"""),"Работаю в сфере финансов в самой неэкологичной части города ( район токем, кокс) ")</f>
        <v>Работаю в сфере финансов в самой неэкологичной части города ( район токем, кокс) </v>
      </c>
      <c r="C685" s="6" t="str">
        <f>IFERROR(__xludf.DUMMYFUNCTION("""COMPUTED_VALUE"""),"Путешествия, кулинария")</f>
        <v>Путешествия, кулинария</v>
      </c>
      <c r="D685" s="6" t="str">
        <f>IFERROR(__xludf.DUMMYFUNCTION("""COMPUTED_VALUE"""),"Рудничный, Серебряный бор")</f>
        <v>Рудничный, Серебряный бор</v>
      </c>
      <c r="E685" s="6" t="str">
        <f>IFERROR(__xludf.DUMMYFUNCTION("""COMPUTED_VALUE"""),"Серебряный бор, основной бор(радуга), красная горка")</f>
        <v>Серебряный бор, основной бор(радуга), красная горка</v>
      </c>
      <c r="F685" s="6" t="str">
        <f>IFERROR(__xludf.DUMMYFUNCTION("""COMPUTED_VALUE"""),"Живу здесь с рождения")</f>
        <v>Живу здесь с рождения</v>
      </c>
      <c r="G685" s="6" t="str">
        <f>IFERROR(__xludf.DUMMYFUNCTION("""COMPUTED_VALUE"""),"Прогулки внутри района, центр города ( торговые центры), выезд за город район Верхотомки")</f>
        <v>Прогулки внутри района, центр города ( торговые центры), выезд за город район Верхотомки</v>
      </c>
      <c r="H685" s="6" t="str">
        <f>IFERROR(__xludf.DUMMYFUNCTION("""COMPUTED_VALUE"""),"Серый, грязный, вонючий(из-за заводов), транспортно неудобный (пробки, общественный транспорт), скучный")</f>
        <v>Серый, грязный, вонючий(из-за заводов), транспортно неудобный (пробки, общественный транспорт), скучный</v>
      </c>
      <c r="I685" s="6" t="str">
        <f>IFERROR(__xludf.DUMMYFUNCTION("""COMPUTED_VALUE"""),"Упс")</f>
        <v>Упс</v>
      </c>
      <c r="J685" s="6" t="str">
        <f>IFERROR(__xludf.DUMMYFUNCTION("""COMPUTED_VALUE"""),"Жители, которые благоустраивают на собственные средства и в свое собственного время, но точно не правительство Кузбасса, которое обязано все это делать, но за каждую клумбу новость на ТВ.... показуха")</f>
        <v>Жители, которые благоустраивают на собственные средства и в свое собственного время, но точно не правительство Кузбасса, которое обязано все это делать, но за каждую клумбу новость на ТВ.... показуха</v>
      </c>
      <c r="K685" s="6" t="str">
        <f>IFERROR(__xludf.DUMMYFUNCTION("""COMPUTED_VALUE"""),"Красная горка с панорамой на заводы ( просто шикарная картинка), Томская писаница (медведь в клетке), шашлычные в Красновке(летом), гора Люскус со съездом на автотрассу на плюшке, Татарское кладбище в Серебряном бору.....")</f>
        <v>Красная горка с панорамой на заводы ( просто шикарная картинка), Томская писаница (медведь в клетке), шашлычные в Красновке(летом), гора Люскус со съездом на автотрассу на плюшке, Татарское кладбище в Серебряном бору.....</v>
      </c>
      <c r="L685" s="6" t="str">
        <f>IFERROR(__xludf.DUMMYFUNCTION("""COMPUTED_VALUE"""),"Оптимизм и безизходность")</f>
        <v>Оптимизм и безизходность</v>
      </c>
      <c r="M685" s="6" t="str">
        <f>IFERROR(__xludf.DUMMYFUNCTION("""COMPUTED_VALUE"""),"Сайлент хил")</f>
        <v>Сайлент хил</v>
      </c>
      <c r="N685" s="6" t="str">
        <f>IFERROR(__xludf.DUMMYFUNCTION("""COMPUTED_VALUE"""),"Чистый воздух, белый снег зимой, достойная заработная плата для сибирского региона, транспортная доступность (авиа, ЖД, авто), остальное купим")</f>
        <v>Чистый воздух, белый снег зимой, достойная заработная плата для сибирского региона, транспортная доступность (авиа, ЖД, авто), остальное купим</v>
      </c>
      <c r="O685" s="6" t="str">
        <f>IFERROR(__xludf.DUMMYFUNCTION("""COMPUTED_VALUE"""),"Очистные сооружения ( вода, воздух), объезд города для фур, трамвайные пути увеличить/расширить (экологично и  без пробок), ну и обновить сам транспорт, московский бу разваливается, может Москва нам метро отдаст....тогда нафиг трамвай")</f>
        <v>Очистные сооружения ( вода, воздух), объезд города для фур, трамвайные пути увеличить/расширить (экологично и  без пробок), ну и обновить сам транспорт, московский бу разваливается, может Москва нам метро отдаст....тогда нафиг трамвай</v>
      </c>
      <c r="P685" s="6" t="str">
        <f>IFERROR(__xludf.DUMMYFUNCTION("""COMPUTED_VALUE"""),"Яндекс")</f>
        <v>Яндекс</v>
      </c>
      <c r="Q685"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685" s="6" t="str">
        <f>IFERROR(__xludf.DUMMYFUNCTION("""COMPUTED_VALUE"""),"День шахтера, День города")</f>
        <v>День шахтера, День города</v>
      </c>
      <c r="S685" s="6" t="str">
        <f>IFERROR(__xludf.DUMMYFUNCTION("""COMPUTED_VALUE"""),"Нет, не приходилось")</f>
        <v>Нет, не приходилось</v>
      </c>
      <c r="T685" s="6" t="str">
        <f>IFERROR(__xludf.DUMMYFUNCTION("""COMPUTED_VALUE"""),"С детства помню : шахтеры на рельсах, и сейчас город в антирейтингах")</f>
        <v>С детства помню : шахтеры на рельсах, и сейчас город в антирейтингах</v>
      </c>
      <c r="U685" s="6" t="str">
        <f>IFERROR(__xludf.DUMMYFUNCTION("""COMPUTED_VALUE"""),"Улица Весенняя, автовокзал")</f>
        <v>Улица Весенняя, автовокзал</v>
      </c>
      <c r="V685" s="6" t="str">
        <f>IFERROR(__xludf.DUMMYFUNCTION("""COMPUTED_VALUE"""),"Все и так гордятся, только по факту нечем... ")</f>
        <v>Все и так гордятся, только по факту нечем... </v>
      </c>
      <c r="W685" s="6" t="str">
        <f>IFERROR(__xludf.DUMMYFUNCTION("""COMPUTED_VALUE"""),"Молодежь веселая, среднее поколение серьезные, пожилые бдительны.")</f>
        <v>Молодежь веселая, среднее поколение серьезные, пожилые бдительны.</v>
      </c>
      <c r="X685" s="6" t="str">
        <f>IFERROR(__xludf.DUMMYFUNCTION("""COMPUTED_VALUE"""),"Летом улица Весенняя, зимой Сосновый бор")</f>
        <v>Летом улица Весенняя, зимой Сосновый бор</v>
      </c>
      <c r="Y685" s="6" t="str">
        <f>IFERROR(__xludf.DUMMYFUNCTION("""COMPUTED_VALUE"""),"Для меня, рок шоу организованное Стройсервисом")</f>
        <v>Для меня, рок шоу организованное Стройсервисом</v>
      </c>
      <c r="Z685" s="6" t="str">
        <f>IFERROR(__xludf.DUMMYFUNCTION("""COMPUTED_VALUE"""),"Видимо не запомнились")</f>
        <v>Видимо не запомнились</v>
      </c>
      <c r="AA685" s="6" t="str">
        <f>IFERROR(__xludf.DUMMYFUNCTION("""COMPUTED_VALUE"""),"Дороги убитые , асфальт исчезает вместе со снегом, реорганизация медицины, коронавирус показал что медицина в ..опе")</f>
        <v>Дороги убитые , асфальт исчезает вместе со снегом, реорганизация медицины, коронавирус показал что медицина в ..опе</v>
      </c>
      <c r="AB685" s="6" t="str">
        <f>IFERROR(__xludf.DUMMYFUNCTION("""COMPUTED_VALUE"""),"Контроля власти")</f>
        <v>Контроля власти</v>
      </c>
      <c r="AC685" s="6" t="str">
        <f>IFERROR(__xludf.DUMMYFUNCTION("""COMPUTED_VALUE"""),"Украшений города (освещение, декор), концертов бесплатных")</f>
        <v>Украшений города (освещение, декор), концертов бесплатных</v>
      </c>
      <c r="AD68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85" s="6" t="str">
        <f>IFERROR(__xludf.DUMMYFUNCTION("""COMPUTED_VALUE"""),"Женский")</f>
        <v>Женский</v>
      </c>
      <c r="AF685" s="6" t="str">
        <f>IFERROR(__xludf.DUMMYFUNCTION("""COMPUTED_VALUE"""),"30-44")</f>
        <v>30-44</v>
      </c>
      <c r="AG685" s="6"/>
      <c r="AH685" s="6"/>
      <c r="AI685" s="6"/>
      <c r="AJ685" s="6"/>
      <c r="AK685" s="6"/>
      <c r="AL685" s="6"/>
      <c r="AM685" s="6"/>
    </row>
    <row r="686">
      <c r="A686" s="6">
        <v>685.0</v>
      </c>
      <c r="B686" s="6" t="str">
        <f>IFERROR(__xludf.DUMMYFUNCTION("""COMPUTED_VALUE"""),"Работаю")</f>
        <v>Работаю</v>
      </c>
      <c r="C686" s="6" t="str">
        <f>IFERROR(__xludf.DUMMYFUNCTION("""COMPUTED_VALUE"""),"Да,история")</f>
        <v>Да,история</v>
      </c>
      <c r="D686" s="6" t="str">
        <f>IFERROR(__xludf.DUMMYFUNCTION("""COMPUTED_VALUE"""),"Ленинский,именно на Нижнем бульваре,возле Авроры")</f>
        <v>Ленинский,именно на Нижнем бульваре,возле Авроры</v>
      </c>
      <c r="E686" s="6" t="str">
        <f>IFERROR(__xludf.DUMMYFUNCTION("""COMPUTED_VALUE"""),"Сцена на бульваре, Троицкий собор")</f>
        <v>Сцена на бульваре, Троицкий собор</v>
      </c>
      <c r="F686" s="6" t="str">
        <f>IFERROR(__xludf.DUMMYFUNCTION("""COMPUTED_VALUE"""),"Живу здесь с рождения")</f>
        <v>Живу здесь с рождения</v>
      </c>
      <c r="G686" s="6" t="str">
        <f>IFERROR(__xludf.DUMMYFUNCTION("""COMPUTED_VALUE"""),"Кировский,особенно в сторону бывшей промзоны")</f>
        <v>Кировский,особенно в сторону бывшей промзоны</v>
      </c>
      <c r="H686" s="6" t="str">
        <f>IFERROR(__xludf.DUMMYFUNCTION("""COMPUTED_VALUE"""),"Заводы, рабочие, Красная Горка, трубы, уголь")</f>
        <v>Заводы, рабочие, Красная Горка, трубы, уголь</v>
      </c>
      <c r="I686" s="6" t="str">
        <f>IFERROR(__xludf.DUMMYFUNCTION("""COMPUTED_VALUE"""),"Альберт Поморцев, Алексей Леонов, Себальд Рутгерс, Иосиф Федорович, Рут Кеннел, Вячеслав Иваненко, Яков Толстиков, Николай Вдовин, Абызов,Мызо, Волошин, митр. Евлогий ( Смирнов), прот.Михаил Михайловский, архим. Нифонт( Глазов), архиеп. Софроний ( Будько)"&amp;", Елена Груднева")</f>
        <v>Альберт Поморцев, Алексей Леонов, Себальд Рутгерс, Иосиф Федорович, Рут Кеннел, Вячеслав Иваненко, Яков Толстиков, Николай Вдовин, Абызов,Мызо, Волошин, митр. Евлогий ( Смирнов), прот.Михаил Михайловский, архим. Нифонт( Глазов), архиеп. Софроний ( Будько), Елена Груднева</v>
      </c>
      <c r="J686" s="6" t="str">
        <f>IFERROR(__xludf.DUMMYFUNCTION("""COMPUTED_VALUE"""),"Владимир Михайлов, Наталья Шелепова, Ирина Федорова, Илья Сердюк")</f>
        <v>Владимир Михайлов, Наталья Шелепова, Ирина Федорова, Илья Сердюк</v>
      </c>
      <c r="K686" s="6" t="str">
        <f>IFERROR(__xludf.DUMMYFUNCTION("""COMPUTED_VALUE"""),"Лесная Поляна, бор, Красная Горка, парк ангелов, Знаменский собор, монумент "" память шахтёрам Кузбасса"", центр (Советский,набережная)")</f>
        <v>Лесная Поляна, бор, Красная Горка, парк ангелов, Знаменский собор, монумент " память шахтёрам Кузбасса", центр (Советский,набережная)</v>
      </c>
      <c r="L686" s="6" t="str">
        <f>IFERROR(__xludf.DUMMYFUNCTION("""COMPUTED_VALUE"""),"Город,на одном берегу которого весна,на другом лето; жители правого берега города спрашивают :"" ты в город поехал?""")</f>
        <v>Город,на одном берегу которого весна,на другом лето; жители правого берега города спрашивают :" ты в город поехал?"</v>
      </c>
      <c r="M686" s="6" t="str">
        <f>IFERROR(__xludf.DUMMYFUNCTION("""COMPUTED_VALUE"""),"Нет")</f>
        <v>Нет</v>
      </c>
      <c r="N686" s="6" t="str">
        <f>IFERROR(__xludf.DUMMYFUNCTION("""COMPUTED_VALUE"""),"Удобная инфраструктура, вежливость и культурность,ухоженность,наличие работы, наличие мест отдыха (парки, детские и спортплощадки, пляжи)")</f>
        <v>Удобная инфраструктура, вежливость и культурность,ухоженность,наличие работы, наличие мест отдыха (парки, детские и спортплощадки, пляжи)</v>
      </c>
      <c r="O686" s="6" t="str">
        <f>IFERROR(__xludf.DUMMYFUNCTION("""COMPUTED_VALUE"""),"Достроить ул. Институтскую, верхний бульвар, при спуске с Радуги на мост расширить сужение дороги, доделать лестницу,соединяющую набережную и Кузнецкий мост")</f>
        <v>Достроить ул. Институтскую, верхний бульвар, при спуске с Радуги на мост расширить сужение дороги, доделать лестницу,соединяющую набережную и Кузнецкий мост</v>
      </c>
      <c r="P686" s="6" t="str">
        <f>IFERROR(__xludf.DUMMYFUNCTION("""COMPUTED_VALUE"""),"Знакомые")</f>
        <v>Знакомые</v>
      </c>
      <c r="Q686" s="6" t="str">
        <f>IFERROR(__xludf.DUMMYFUNCTION("""COMPUTED_VALUE"""),"куда пойти в свободное время, городская афиша (кино/театр/концерты), Краеведение")</f>
        <v>куда пойти в свободное время, городская афиша (кино/театр/концерты), Краеведение</v>
      </c>
      <c r="R686" s="6" t="str">
        <f>IFERROR(__xludf.DUMMYFUNCTION("""COMPUTED_VALUE"""),"День Победы,День города")</f>
        <v>День Победы,День города</v>
      </c>
      <c r="S686" s="6" t="str">
        <f>IFERROR(__xludf.DUMMYFUNCTION("""COMPUTED_VALUE"""),"Нет, не приходилось")</f>
        <v>Нет, не приходилось</v>
      </c>
      <c r="T686" s="6" t="str">
        <f>IFERROR(__xludf.DUMMYFUNCTION("""COMPUTED_VALUE"""),"К сожалению,Зимней вишней. Уникален тем,что впитал в себя атмосферу классического советского города рабочих,что в годы войны производили треть всех порохов Союза")</f>
        <v>К сожалению,Зимней вишней. Уникален тем,что впитал в себя атмосферу классического советского города рабочих,что в годы войны производили треть всех порохов Союза</v>
      </c>
      <c r="U686" s="6" t="str">
        <f>IFERROR(__xludf.DUMMYFUNCTION("""COMPUTED_VALUE"""),"Проспект Советский ( от КемГУ до перекрестка с Кирова)")</f>
        <v>Проспект Советский ( от КемГУ до перекрестка с Кирова)</v>
      </c>
      <c r="V686" s="6" t="str">
        <f>IFERROR(__xludf.DUMMYFUNCTION("""COMPUTED_VALUE"""),"Ударно работали")</f>
        <v>Ударно работали</v>
      </c>
      <c r="W686" s="6" t="str">
        <f>IFERROR(__xludf.DUMMYFUNCTION("""COMPUTED_VALUE"""),"К сожалению, матерщина,грубость. При этом, отзывчивость,доброта")</f>
        <v>К сожалению, матерщина,грубость. При этом, отзывчивость,доброта</v>
      </c>
      <c r="X686" s="6" t="str">
        <f>IFERROR(__xludf.DUMMYFUNCTION("""COMPUTED_VALUE"""),"По Советскому с переходом на Набережную,через Кузнецкий мост, остаток бора на Красную Горку")</f>
        <v>По Советскому с переходом на Набережную,через Кузнецкий мост, остаток бора на Красную Горку</v>
      </c>
      <c r="Y686" s="6" t="str">
        <f>IFERROR(__xludf.DUMMYFUNCTION("""COMPUTED_VALUE"""),"Михайло Волков взял образец каменного угля с Горелой горы если говорить о месте, где сейчас расположен город. Стал областным центром созданной области в 1943 г.,админ.центром организованной в 1993 г.епархии,пущен первый кхз за Уралом,первый кхз по отечест"&amp;"венным проектам,первый атз за Уралом,в 1939 г. Пущен один из трёх пороховых комбинатов на Востоке страны, была сделана попытка ввести в строй первого в стране завода по переработке сапропелитов в бензин. 1936- Кемеровское дело.")</f>
        <v>Михайло Волков взял образец каменного угля с Горелой горы если говорить о месте, где сейчас расположен город. Стал областным центром созданной области в 1943 г.,админ.центром организованной в 1993 г.епархии,пущен первый кхз за Уралом,первый кхз по отечественным проектам,первый атз за Уралом,в 1939 г. Пущен один из трёх пороховых комбинатов на Востоке страны, была сделана попытка ввести в строй первого в стране завода по переработке сапропелитов в бензин. 1936- Кемеровское дело.</v>
      </c>
      <c r="Z686" s="6" t="str">
        <f>IFERROR(__xludf.DUMMYFUNCTION("""COMPUTED_VALUE"""),"Сделана набережная Кировского района")</f>
        <v>Сделана набережная Кировского района</v>
      </c>
      <c r="AA686" s="6" t="str">
        <f>IFERROR(__xludf.DUMMYFUNCTION("""COMPUTED_VALUE"""),"Не достроили ул.Институтскую")</f>
        <v>Не достроили ул.Институтскую</v>
      </c>
      <c r="AB686" s="6" t="str">
        <f>IFERROR(__xludf.DUMMYFUNCTION("""COMPUTED_VALUE"""),"Людей,увлекающихся изучением Кировского района")</f>
        <v>Людей,увлекающихся изучением Кировского района</v>
      </c>
      <c r="AC686" s="6" t="str">
        <f>IFERROR(__xludf.DUMMYFUNCTION("""COMPUTED_VALUE"""),"Побольше экскурсий на производство, организация достопримечательного места "" Красная Горка"", преобразование бывшей промзоны в том числе Кировского района в место для туризма наподобие Рура")</f>
        <v>Побольше экскурсий на производство, организация достопримечательного места " Красная Горка", преобразование бывшей промзоны в том числе Кировского района в место для туризма наподобие Рура</v>
      </c>
      <c r="AD68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86" s="6" t="str">
        <f>IFERROR(__xludf.DUMMYFUNCTION("""COMPUTED_VALUE"""),"Женский")</f>
        <v>Женский</v>
      </c>
      <c r="AF686" s="6" t="str">
        <f>IFERROR(__xludf.DUMMYFUNCTION("""COMPUTED_VALUE"""),"30-44")</f>
        <v>30-44</v>
      </c>
      <c r="AG686" s="6"/>
      <c r="AH686" s="6"/>
      <c r="AI686" s="6"/>
      <c r="AJ686" s="6"/>
      <c r="AK686" s="6"/>
      <c r="AL686" s="6"/>
      <c r="AM686" s="6"/>
    </row>
    <row r="687">
      <c r="A687" s="6">
        <v>686.0</v>
      </c>
      <c r="B687" s="6" t="str">
        <f>IFERROR(__xludf.DUMMYFUNCTION("""COMPUTED_VALUE"""),"Студент КузГту ")</f>
        <v>Студент КузГту </v>
      </c>
      <c r="C687" s="6" t="str">
        <f>IFERROR(__xludf.DUMMYFUNCTION("""COMPUTED_VALUE"""),"Отсутствует ")</f>
        <v>Отсутствует </v>
      </c>
      <c r="D687" s="6" t="str">
        <f>IFERROR(__xludf.DUMMYFUNCTION("""COMPUTED_VALUE"""),"В центральном. Центр")</f>
        <v>В центральном. Центр</v>
      </c>
      <c r="E687" s="6" t="str">
        <f>IFERROR(__xludf.DUMMYFUNCTION("""COMPUTED_VALUE"""),"Цирк ")</f>
        <v>Цирк </v>
      </c>
      <c r="F687" s="6" t="str">
        <f>IFERROR(__xludf.DUMMYFUNCTION("""COMPUTED_VALUE"""),"Живу здесь с рождения")</f>
        <v>Живу здесь с рождения</v>
      </c>
      <c r="G687" s="6" t="str">
        <f>IFERROR(__xludf.DUMMYFUNCTION("""COMPUTED_VALUE"""),"На набережную ")</f>
        <v>На набережную </v>
      </c>
      <c r="H687" s="6" t="str">
        <f>IFERROR(__xludf.DUMMYFUNCTION("""COMPUTED_VALUE"""),"Пыль, заводы, зима, шахтеры , уголь")</f>
        <v>Пыль, заводы, зима, шахтеры , уголь</v>
      </c>
      <c r="I687" s="6" t="str">
        <f>IFERROR(__xludf.DUMMYFUNCTION("""COMPUTED_VALUE"""),"Алексей Леонов")</f>
        <v>Алексей Леонов</v>
      </c>
      <c r="J687" s="6" t="str">
        <f>IFERROR(__xludf.DUMMYFUNCTION("""COMPUTED_VALUE"""),"Аман Гумирович Тулеев")</f>
        <v>Аман Гумирович Тулеев</v>
      </c>
      <c r="K687" s="6" t="str">
        <f>IFERROR(__xludf.DUMMYFUNCTION("""COMPUTED_VALUE"""),"Красная горка")</f>
        <v>Красная горка</v>
      </c>
      <c r="L687" s="6" t="str">
        <f>IFERROR(__xludf.DUMMYFUNCTION("""COMPUTED_VALUE"""),"Не знаю ")</f>
        <v>Не знаю </v>
      </c>
      <c r="M687" s="6" t="str">
        <f>IFERROR(__xludf.DUMMYFUNCTION("""COMPUTED_VALUE"""),"Сокращение слов, например Юбилейный-юбик и тд")</f>
        <v>Сокращение слов, например Юбилейный-юбик и тд</v>
      </c>
      <c r="N687" s="6" t="str">
        <f>IFERROR(__xludf.DUMMYFUNCTION("""COMPUTED_VALUE"""),"Хорошие дороги, отсутсвие пробок, наличие кафе, наличие мест развлекательного характера, наличие недорого транспорта ")</f>
        <v>Хорошие дороги, отсутсвие пробок, наличие кафе, наличие мест развлекательного характера, наличие недорого транспорта </v>
      </c>
      <c r="O687" s="6" t="str">
        <f>IFERROR(__xludf.DUMMYFUNCTION("""COMPUTED_VALUE"""),"Дороги")</f>
        <v>Дороги</v>
      </c>
      <c r="P687" s="6" t="str">
        <f>IFERROR(__xludf.DUMMYFUNCTION("""COMPUTED_VALUE"""),"Инстаграмм")</f>
        <v>Инстаграмм</v>
      </c>
      <c r="Q687"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687" s="6" t="str">
        <f>IFERROR(__xludf.DUMMYFUNCTION("""COMPUTED_VALUE"""),"9 мая")</f>
        <v>9 мая</v>
      </c>
      <c r="S687" s="6" t="str">
        <f>IFERROR(__xludf.DUMMYFUNCTION("""COMPUTED_VALUE"""),"Нет, не приходилось")</f>
        <v>Нет, не приходилось</v>
      </c>
      <c r="T687" s="6" t="str">
        <f>IFERROR(__xludf.DUMMYFUNCTION("""COMPUTED_VALUE"""),"Наличие большого числа полезных ископаемых")</f>
        <v>Наличие большого числа полезных ископаемых</v>
      </c>
      <c r="U687" s="6" t="str">
        <f>IFERROR(__xludf.DUMMYFUNCTION("""COMPUTED_VALUE"""),"Фонтан ")</f>
        <v>Фонтан </v>
      </c>
      <c r="V687" s="6" t="str">
        <f>IFERROR(__xludf.DUMMYFUNCTION("""COMPUTED_VALUE"""),"Не знаю ")</f>
        <v>Не знаю </v>
      </c>
      <c r="W687" s="6" t="str">
        <f>IFERROR(__xludf.DUMMYFUNCTION("""COMPUTED_VALUE"""),"Грустные ")</f>
        <v>Грустные </v>
      </c>
      <c r="X687" s="6" t="str">
        <f>IFERROR(__xludf.DUMMYFUNCTION("""COMPUTED_VALUE"""),"Набережная ")</f>
        <v>Набережная </v>
      </c>
      <c r="Y687" s="6" t="str">
        <f>IFERROR(__xludf.DUMMYFUNCTION("""COMPUTED_VALUE"""),"Не знаю ")</f>
        <v>Не знаю </v>
      </c>
      <c r="Z687" s="6" t="str">
        <f>IFERROR(__xludf.DUMMYFUNCTION("""COMPUTED_VALUE"""),"День города ")</f>
        <v>День города </v>
      </c>
      <c r="AA687" s="6" t="str">
        <f>IFERROR(__xludf.DUMMYFUNCTION("""COMPUTED_VALUE"""),"Пожар комплекса зимняя вишня")</f>
        <v>Пожар комплекса зимняя вишня</v>
      </c>
      <c r="AB687" s="6" t="str">
        <f>IFERROR(__xludf.DUMMYFUNCTION("""COMPUTED_VALUE"""),"Всего хватает ")</f>
        <v>Всего хватает </v>
      </c>
      <c r="AC687" s="6" t="str">
        <f>IFERROR(__xludf.DUMMYFUNCTION("""COMPUTED_VALUE"""),"Не знаю ")</f>
        <v>Не знаю </v>
      </c>
      <c r="AD68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87" s="6" t="str">
        <f>IFERROR(__xludf.DUMMYFUNCTION("""COMPUTED_VALUE"""),"Женский")</f>
        <v>Женский</v>
      </c>
      <c r="AF687" s="6" t="str">
        <f>IFERROR(__xludf.DUMMYFUNCTION("""COMPUTED_VALUE"""),"18-29")</f>
        <v>18-29</v>
      </c>
      <c r="AG687" s="6"/>
      <c r="AH687" s="6"/>
      <c r="AI687" s="6"/>
      <c r="AJ687" s="6"/>
      <c r="AK687" s="6"/>
      <c r="AL687" s="6"/>
      <c r="AM687" s="6"/>
    </row>
    <row r="688">
      <c r="A688" s="6">
        <v>687.0</v>
      </c>
      <c r="B688" s="6" t="str">
        <f>IFERROR(__xludf.DUMMYFUNCTION("""COMPUTED_VALUE"""),"Инженер по орнитологическому обеспечению безопасности полетов ")</f>
        <v>Инженер по орнитологическому обеспечению безопасности полетов </v>
      </c>
      <c r="C688" s="6" t="str">
        <f>IFERROR(__xludf.DUMMYFUNCTION("""COMPUTED_VALUE"""),"Футбол, волейбол ")</f>
        <v>Футбол, волейбол </v>
      </c>
      <c r="D688" s="6" t="str">
        <f>IFERROR(__xludf.DUMMYFUNCTION("""COMPUTED_VALUE"""),"Заводский")</f>
        <v>Заводский</v>
      </c>
      <c r="E688" s="6" t="str">
        <f>IFERROR(__xludf.DUMMYFUNCTION("""COMPUTED_VALUE"""),"Таких нет ")</f>
        <v>Таких нет </v>
      </c>
      <c r="F688" s="6" t="str">
        <f>IFERROR(__xludf.DUMMYFUNCTION("""COMPUTED_VALUE"""),"Живу здесь с рождения")</f>
        <v>Живу здесь с рождения</v>
      </c>
      <c r="G688" s="6" t="str">
        <f>IFERROR(__xludf.DUMMYFUNCTION("""COMPUTED_VALUE"""),"Центральный парк, президенское кадетское училище, набережная в кировском, парк ангелов ")</f>
        <v>Центральный парк, президенское кадетское училище, набережная в кировском, парк ангелов </v>
      </c>
      <c r="H688" s="6" t="str">
        <f>IFERROR(__xludf.DUMMYFUNCTION("""COMPUTED_VALUE"""),"Смок, уголь, пивнушки, аптеки, торговые центы, ")</f>
        <v>Смок, уголь, пивнушки, аптеки, торговые центы, </v>
      </c>
      <c r="I688" s="6" t="str">
        <f>IFERROR(__xludf.DUMMYFUNCTION("""COMPUTED_VALUE"""),"Михайло Волков")</f>
        <v>Михайло Волков</v>
      </c>
      <c r="J688" s="6" t="str">
        <f>IFERROR(__xludf.DUMMYFUNCTION("""COMPUTED_VALUE"""),"Братья Раздаевы")</f>
        <v>Братья Раздаевы</v>
      </c>
      <c r="K688" s="6" t="str">
        <f>IFERROR(__xludf.DUMMYFUNCTION("""COMPUTED_VALUE"""),"Красная горка, парк ангелов, кадетское училище")</f>
        <v>Красная горка, парк ангелов, кадетское училище</v>
      </c>
      <c r="L688" s="6" t="str">
        <f>IFERROR(__xludf.DUMMYFUNCTION("""COMPUTED_VALUE"""),"Елка за 30 миллионов рублей ")</f>
        <v>Елка за 30 миллионов рублей </v>
      </c>
      <c r="M688" s="6" t="str">
        <f>IFERROR(__xludf.DUMMYFUNCTION("""COMPUTED_VALUE"""),"Нет")</f>
        <v>Нет</v>
      </c>
      <c r="N688" s="6" t="str">
        <f>IFERROR(__xludf.DUMMYFUNCTION("""COMPUTED_VALUE"""),"Экологичность, большое количество детских игравых площадок, большое количество качественных спортивных площадок, развитая социальна сфера(медицина, образование, жкх), достойный уровень дохода ")</f>
        <v>Экологичность, большое количество детских игравых площадок, большое количество качественных спортивных площадок, развитая социальна сфера(медицина, образование, жкх), достойный уровень дохода </v>
      </c>
      <c r="O688" s="6" t="str">
        <f>IFERROR(__xludf.DUMMYFUNCTION("""COMPUTED_VALUE"""),"В первую очередь заняться экологией, во вторую как минимум на каждый квартал построить хорошие спортивные площадки, в каждом дворе должны быть качественные детские площадки и парковки. Заняться соц сферой и развитием спорта в регионе. ")</f>
        <v>В первую очередь заняться экологией, во вторую как минимум на каждый квартал построить хорошие спортивные площадки, в каждом дворе должны быть качественные детские площадки и парковки. Заняться соц сферой и развитием спорта в регионе. </v>
      </c>
      <c r="P688" s="6" t="str">
        <f>IFERROR(__xludf.DUMMYFUNCTION("""COMPUTED_VALUE"""),"Соц сети")</f>
        <v>Соц сети</v>
      </c>
      <c r="Q688" s="6" t="str">
        <f>IFERROR(__xludf.DUMMYFUNCTION("""COMPUTED_VALUE"""),"куда пойти в свободное время, городская афиша (кино/театр/концерты), культурные новинки (что почитать/что послушать), бизнес-новости (средний чек/рекламные акции/запуск новых предприятий)")</f>
        <v>куда пойти в свободное время, городская афиша (кино/театр/концерты), культурные новинки (что почитать/что послушать), бизнес-новости (средний чек/рекламные акции/запуск новых предприятий)</v>
      </c>
      <c r="R688" s="6" t="str">
        <f>IFERROR(__xludf.DUMMYFUNCTION("""COMPUTED_VALUE"""),"9 мая")</f>
        <v>9 мая</v>
      </c>
      <c r="S688" s="6" t="str">
        <f>IFERROR(__xludf.DUMMYFUNCTION("""COMPUTED_VALUE"""),"Нет, не приходилось")</f>
        <v>Нет, не приходилось</v>
      </c>
      <c r="T688" s="6" t="str">
        <f>IFERROR(__xludf.DUMMYFUNCTION("""COMPUTED_VALUE"""),"Ничего ")</f>
        <v>Ничего </v>
      </c>
      <c r="U688" s="6" t="str">
        <f>IFERROR(__xludf.DUMMYFUNCTION("""COMPUTED_VALUE"""),"Парк чудес ")</f>
        <v>Парк чудес </v>
      </c>
      <c r="V688" s="6" t="str">
        <f>IFERROR(__xludf.DUMMYFUNCTION("""COMPUTED_VALUE"""),"Ничего ")</f>
        <v>Ничего </v>
      </c>
      <c r="W688" s="6" t="str">
        <f>IFERROR(__xludf.DUMMYFUNCTION("""COMPUTED_VALUE"""),"Злые, необразованные любители пивка(не все конечно, но большинство) ")</f>
        <v>Злые, необразованные любители пивка(не все конечно, но большинство) </v>
      </c>
      <c r="X688" s="6" t="str">
        <f>IFERROR(__xludf.DUMMYFUNCTION("""COMPUTED_VALUE"""),"Парк ангелов, парк антошка, филармония, парк чудес")</f>
        <v>Парк ангелов, парк антошка, филармония, парк чудес</v>
      </c>
      <c r="Y688" s="6" t="str">
        <f>IFERROR(__xludf.DUMMYFUNCTION("""COMPUTED_VALUE"""),"Пожар в зимний вишне")</f>
        <v>Пожар в зимний вишне</v>
      </c>
      <c r="Z688" s="6" t="str">
        <f>IFERROR(__xludf.DUMMYFUNCTION("""COMPUTED_VALUE"""),"Строительство новой арены на притомском")</f>
        <v>Строительство новой арены на притомском</v>
      </c>
      <c r="AA688" s="6" t="str">
        <f>IFERROR(__xludf.DUMMYFUNCTION("""COMPUTED_VALUE"""),"Зимняя вишня, убитые дороги весной, большое количество торговых центров ")</f>
        <v>Зимняя вишня, убитые дороги весной, большое количество торговых центров </v>
      </c>
      <c r="AB688" s="6" t="str">
        <f>IFERROR(__xludf.DUMMYFUNCTION("""COMPUTED_VALUE"""),"Спортивных")</f>
        <v>Спортивных</v>
      </c>
      <c r="AC688" s="6" t="str">
        <f>IFERROR(__xludf.DUMMYFUNCTION("""COMPUTED_VALUE"""),"Спорт, культура")</f>
        <v>Спорт, культура</v>
      </c>
      <c r="AD688"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88" s="6" t="str">
        <f>IFERROR(__xludf.DUMMYFUNCTION("""COMPUTED_VALUE"""),"Мужской")</f>
        <v>Мужской</v>
      </c>
      <c r="AF688" s="6" t="str">
        <f>IFERROR(__xludf.DUMMYFUNCTION("""COMPUTED_VALUE"""),"30-44")</f>
        <v>30-44</v>
      </c>
      <c r="AG688" s="6"/>
      <c r="AH688" s="6"/>
      <c r="AI688" s="6"/>
      <c r="AJ688" s="6"/>
      <c r="AK688" s="6"/>
      <c r="AL688" s="6"/>
      <c r="AM688" s="6"/>
    </row>
    <row r="689">
      <c r="A689" s="6">
        <v>688.0</v>
      </c>
      <c r="B689" s="6" t="str">
        <f>IFERROR(__xludf.DUMMYFUNCTION("""COMPUTED_VALUE"""),"Инженер")</f>
        <v>Инженер</v>
      </c>
      <c r="C689" s="6" t="str">
        <f>IFERROR(__xludf.DUMMYFUNCTION("""COMPUTED_VALUE"""),"Футбол")</f>
        <v>Футбол</v>
      </c>
      <c r="D689" s="6" t="str">
        <f>IFERROR(__xludf.DUMMYFUNCTION("""COMPUTED_VALUE"""),"Рудничный. Радуга")</f>
        <v>Рудничный. Радуга</v>
      </c>
      <c r="E689" s="6" t="str">
        <f>IFERROR(__xludf.DUMMYFUNCTION("""COMPUTED_VALUE"""),"Рудничный бор")</f>
        <v>Рудничный бор</v>
      </c>
      <c r="F689" s="6" t="str">
        <f>IFERROR(__xludf.DUMMYFUNCTION("""COMPUTED_VALUE"""),"Живу здесь с рождения")</f>
        <v>Живу здесь с рождения</v>
      </c>
      <c r="G689" s="6" t="str">
        <f>IFERROR(__xludf.DUMMYFUNCTION("""COMPUTED_VALUE"""),"Рудничный бор, центр, кафе, рестораны")</f>
        <v>Рудничный бор, центр, кафе, рестораны</v>
      </c>
      <c r="H689" s="6" t="str">
        <f>IFERROR(__xludf.DUMMYFUNCTION("""COMPUTED_VALUE"""),"Набережная, улица Весенняя, Рудничный бор, Радуга, Кировский")</f>
        <v>Набережная, улица Весенняя, Рудничный бор, Радуга, Кировский</v>
      </c>
      <c r="I689" s="6" t="str">
        <f>IFERROR(__xludf.DUMMYFUNCTION("""COMPUTED_VALUE"""),"Леонов, Мартемьянов.")</f>
        <v>Леонов, Мартемьянов.</v>
      </c>
      <c r="J689" s="6" t="str">
        <f>IFERROR(__xludf.DUMMYFUNCTION("""COMPUTED_VALUE"""),"Тулеев, Раздаев.")</f>
        <v>Тулеев, Раздаев.</v>
      </c>
      <c r="K689" s="6" t="str">
        <f>IFERROR(__xludf.DUMMYFUNCTION("""COMPUTED_VALUE"""),"Музей ""Красная горка"", Рудничный бор, памятник Шахтёру, набережная, улица Весенняя.")</f>
        <v>Музей "Красная горка", Рудничный бор, памятник Шахтёру, набережная, улица Весенняя.</v>
      </c>
      <c r="L689" s="6" t="str">
        <f>IFERROR(__xludf.DUMMYFUNCTION("""COMPUTED_VALUE"""),"Нужно будет выпить на ночь два литра воды,
Чтоб с утра была цела голова –
Ведь сегодня я собираюсь пить
С человеком из Кемерова.")</f>
        <v>Нужно будет выпить на ночь два литра воды,
Чтоб с утра была цела голова –
Ведь сегодня я собираюсь пить
С человеком из Кемерова.</v>
      </c>
      <c r="M689" s="6" t="str">
        <f>IFERROR(__xludf.DUMMYFUNCTION("""COMPUTED_VALUE"""),"нет")</f>
        <v>нет</v>
      </c>
      <c r="N689" s="6" t="str">
        <f>IFERROR(__xludf.DUMMYFUNCTION("""COMPUTED_VALUE"""),"удобный общественный транспорт, много зелёных насаждений, чистота, наличие парковых, прогулочных зон, возможность культурно проводить досуг.")</f>
        <v>удобный общественный транспорт, много зелёных насаждений, чистота, наличие парковых, прогулочных зон, возможность культурно проводить досуг.</v>
      </c>
      <c r="O689" s="6" t="str">
        <f>IFERROR(__xludf.DUMMYFUNCTION("""COMPUTED_VALUE"""),"Отдать управление культурой города молодым, современным людям")</f>
        <v>Отдать управление культурой города молодым, современным людям</v>
      </c>
      <c r="P689" s="6" t="str">
        <f>IFERROR(__xludf.DUMMYFUNCTION("""COMPUTED_VALUE"""),"Вконтакте, Instagram")</f>
        <v>Вконтакте, Instagram</v>
      </c>
      <c r="Q689" s="6" t="str">
        <f>IFERROR(__xludf.DUMMYFUNCTION("""COMPUTED_VALUE"""),"где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689" s="6" t="str">
        <f>IFERROR(__xludf.DUMMYFUNCTION("""COMPUTED_VALUE"""),"День победы, День города, Новый год.")</f>
        <v>День победы, День города, Новый год.</v>
      </c>
      <c r="S689" s="6" t="str">
        <f>IFERROR(__xludf.DUMMYFUNCTION("""COMPUTED_VALUE"""),"Нет, не приходилось")</f>
        <v>Нет, не приходилось</v>
      </c>
      <c r="T689" s="6" t="str">
        <f>IFERROR(__xludf.DUMMYFUNCTION("""COMPUTED_VALUE"""),"Столица угледобывающего региона")</f>
        <v>Столица угледобывающего региона</v>
      </c>
      <c r="U689" s="6" t="str">
        <f>IFERROR(__xludf.DUMMYFUNCTION("""COMPUTED_VALUE"""),"Набережная")</f>
        <v>Набережная</v>
      </c>
      <c r="V689" s="6" t="str">
        <f>IFERROR(__xludf.DUMMYFUNCTION("""COMPUTED_VALUE"""),"Обустроили культурную часть центра города, обустроили рудничный район")</f>
        <v>Обустроили культурную часть центра города, обустроили рудничный район</v>
      </c>
      <c r="W689" s="6" t="str">
        <f>IFERROR(__xludf.DUMMYFUNCTION("""COMPUTED_VALUE"""),"Открытость")</f>
        <v>Открытость</v>
      </c>
      <c r="X689" s="6" t="str">
        <f>IFERROR(__xludf.DUMMYFUNCTION("""COMPUTED_VALUE"""),"Музей ""Красная горка"" - набережная - улица Весенняя")</f>
        <v>Музей "Красная горка" - набережная - улица Весенняя</v>
      </c>
      <c r="Y689" s="6" t="str">
        <f>IFERROR(__xludf.DUMMYFUNCTION("""COMPUTED_VALUE"""),"1943 г. Кемерово стало административным центром Кемеровской области")</f>
        <v>1943 г. Кемерово стало административным центром Кемеровской области</v>
      </c>
      <c r="Z689" s="6" t="str">
        <f>IFERROR(__xludf.DUMMYFUNCTION("""COMPUTED_VALUE"""),"Фестиваль ""Легенды мирового рока""")</f>
        <v>Фестиваль "Легенды мирового рока"</v>
      </c>
      <c r="AA689" s="6" t="str">
        <f>IFERROR(__xludf.DUMMYFUNCTION("""COMPUTED_VALUE"""),"пожар в ТЦ ""Зимняя вишня""")</f>
        <v>пожар в ТЦ "Зимняя вишня"</v>
      </c>
      <c r="AB689" s="6" t="str">
        <f>IFERROR(__xludf.DUMMYFUNCTION("""COMPUTED_VALUE"""),"не могу ответить")</f>
        <v>не могу ответить</v>
      </c>
      <c r="AC689" s="6" t="str">
        <f>IFERROR(__xludf.DUMMYFUNCTION("""COMPUTED_VALUE"""),"проведение молодёжных неформальных мероприятий")</f>
        <v>проведение молодёжных неформальных мероприятий</v>
      </c>
      <c r="AD68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689" s="6" t="str">
        <f>IFERROR(__xludf.DUMMYFUNCTION("""COMPUTED_VALUE"""),"Мужской")</f>
        <v>Мужской</v>
      </c>
      <c r="AF689" s="6" t="str">
        <f>IFERROR(__xludf.DUMMYFUNCTION("""COMPUTED_VALUE"""),"30-44")</f>
        <v>30-44</v>
      </c>
      <c r="AG689" s="6"/>
      <c r="AH689" s="6"/>
      <c r="AI689" s="6"/>
      <c r="AJ689" s="6"/>
      <c r="AK689" s="6"/>
      <c r="AL689" s="6"/>
      <c r="AM689" s="6"/>
    </row>
    <row r="690">
      <c r="A690" s="6">
        <v>689.0</v>
      </c>
      <c r="B690" s="6" t="str">
        <f>IFERROR(__xludf.DUMMYFUNCTION("""COMPUTED_VALUE"""),"культурно-социальная, музееведение")</f>
        <v>культурно-социальная, музееведение</v>
      </c>
      <c r="C690" s="6" t="str">
        <f>IFERROR(__xludf.DUMMYFUNCTION("""COMPUTED_VALUE"""),"садоводство")</f>
        <v>садоводство</v>
      </c>
      <c r="D690" s="6" t="str">
        <f>IFERROR(__xludf.DUMMYFUNCTION("""COMPUTED_VALUE"""),"беловский район")</f>
        <v>беловский район</v>
      </c>
      <c r="E690" s="6" t="str">
        <f>IFERROR(__xludf.DUMMYFUNCTION("""COMPUTED_VALUE"""),"памятник воинам ВОВ")</f>
        <v>памятник воинам ВОВ</v>
      </c>
      <c r="F690" s="6" t="str">
        <f>IFERROR(__xludf.DUMMYFUNCTION("""COMPUTED_VALUE"""),"Живу здесь с рождения")</f>
        <v>Живу здесь с рождения</v>
      </c>
      <c r="G690" s="6" t="str">
        <f>IFERROR(__xludf.DUMMYFUNCTION("""COMPUTED_VALUE"""),"кинотеатр")</f>
        <v>кинотеатр</v>
      </c>
      <c r="H690" s="6" t="str">
        <f>IFERROR(__xludf.DUMMYFUNCTION("""COMPUTED_VALUE"""),"трудолюбивый, красивый, статный, достопримечательный, ")</f>
        <v>трудолюбивый, красивый, статный, достопримечательный, </v>
      </c>
      <c r="I690" s="6" t="str">
        <f>IFERROR(__xludf.DUMMYFUNCTION("""COMPUTED_VALUE"""),"Николай Яковлевич Козленко")</f>
        <v>Николай Яковлевич Козленко</v>
      </c>
      <c r="J690" s="6" t="str">
        <f>IFERROR(__xludf.DUMMYFUNCTION("""COMPUTED_VALUE"""),"Константин Эпов, Марина Коломеец")</f>
        <v>Константин Эпов, Марина Коломеец</v>
      </c>
      <c r="K690" s="6" t="str">
        <f>IFERROR(__xludf.DUMMYFUNCTION("""COMPUTED_VALUE"""),"Памятник Волкову")</f>
        <v>Памятник Волкову</v>
      </c>
      <c r="L690" s="6" t="str">
        <f>IFERROR(__xludf.DUMMYFUNCTION("""COMPUTED_VALUE"""),"где родился, там и пригодился")</f>
        <v>где родился, там и пригодился</v>
      </c>
      <c r="M690" s="6" t="str">
        <f>IFERROR(__xludf.DUMMYFUNCTION("""COMPUTED_VALUE"""),"кузбассовцы, сибиряки")</f>
        <v>кузбассовцы, сибиряки</v>
      </c>
      <c r="N690" s="6" t="str">
        <f>IFERROR(__xludf.DUMMYFUNCTION("""COMPUTED_VALUE"""),"доступность, чистота, открытость, гостеприимность, вежливость")</f>
        <v>доступность, чистота, открытость, гостеприимность, вежливость</v>
      </c>
      <c r="O690" s="6" t="str">
        <f>IFERROR(__xludf.DUMMYFUNCTION("""COMPUTED_VALUE"""),"не могу ответить")</f>
        <v>не могу ответить</v>
      </c>
      <c r="P690" s="6" t="str">
        <f>IFERROR(__xludf.DUMMYFUNCTION("""COMPUTED_VALUE"""),"Новости, соц.сети")</f>
        <v>Новости, соц.сети</v>
      </c>
      <c r="Q690"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690" s="6" t="str">
        <f>IFERROR(__xludf.DUMMYFUNCTION("""COMPUTED_VALUE"""),"день шахтера")</f>
        <v>день шахтера</v>
      </c>
      <c r="S690" s="6" t="str">
        <f>IFERROR(__xludf.DUMMYFUNCTION("""COMPUTED_VALUE"""),"Нет, не приходилось")</f>
        <v>Нет, не приходилось</v>
      </c>
      <c r="T690" s="6" t="str">
        <f>IFERROR(__xludf.DUMMYFUNCTION("""COMPUTED_VALUE"""),"Томская писаница")</f>
        <v>Томская писаница</v>
      </c>
      <c r="U690" s="6" t="str">
        <f>IFERROR(__xludf.DUMMYFUNCTION("""COMPUTED_VALUE"""),"Цирк, административное здание")</f>
        <v>Цирк, административное здание</v>
      </c>
      <c r="V690" s="6" t="str">
        <f>IFERROR(__xludf.DUMMYFUNCTION("""COMPUTED_VALUE"""),"свой опыт")</f>
        <v>свой опыт</v>
      </c>
      <c r="W690" s="6" t="str">
        <f>IFERROR(__xludf.DUMMYFUNCTION("""COMPUTED_VALUE"""),"мобильные, активные")</f>
        <v>мобильные, активные</v>
      </c>
      <c r="X690" s="6" t="str">
        <f>IFERROR(__xludf.DUMMYFUNCTION("""COMPUTED_VALUE"""),"набережная")</f>
        <v>набережная</v>
      </c>
      <c r="Y690" s="6" t="str">
        <f>IFERROR(__xludf.DUMMYFUNCTION("""COMPUTED_VALUE"""),"празднование дня шахтера")</f>
        <v>празднование дня шахтера</v>
      </c>
      <c r="Z690" s="6" t="str">
        <f>IFERROR(__xludf.DUMMYFUNCTION("""COMPUTED_VALUE"""),"строительство жилых домов")</f>
        <v>строительство жилых домов</v>
      </c>
      <c r="AA690" s="6" t="str">
        <f>IFERROR(__xludf.DUMMYFUNCTION("""COMPUTED_VALUE"""),"таких нет")</f>
        <v>таких нет</v>
      </c>
      <c r="AB690" s="6" t="str">
        <f>IFERROR(__xludf.DUMMYFUNCTION("""COMPUTED_VALUE"""),"все устраивает")</f>
        <v>все устраивает</v>
      </c>
      <c r="AC690" s="6" t="str">
        <f>IFERROR(__xludf.DUMMYFUNCTION("""COMPUTED_VALUE"""),"мероприятий по отношению к водителям, которые не хотят принимать правила дорожного движения")</f>
        <v>мероприятий по отношению к водителям, которые не хотят принимать правила дорожного движения</v>
      </c>
      <c r="AD69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690" s="6" t="str">
        <f>IFERROR(__xludf.DUMMYFUNCTION("""COMPUTED_VALUE"""),"Женский")</f>
        <v>Женский</v>
      </c>
      <c r="AF690" s="6" t="str">
        <f>IFERROR(__xludf.DUMMYFUNCTION("""COMPUTED_VALUE"""),"45-55")</f>
        <v>45-55</v>
      </c>
      <c r="AG690" s="6"/>
      <c r="AH690" s="6"/>
      <c r="AI690" s="6"/>
      <c r="AJ690" s="6"/>
      <c r="AK690" s="6"/>
      <c r="AL690" s="6"/>
      <c r="AM690" s="6"/>
    </row>
    <row r="691">
      <c r="A691" s="6">
        <v>690.0</v>
      </c>
      <c r="B691" s="6" t="str">
        <f>IFERROR(__xludf.DUMMYFUNCTION("""COMPUTED_VALUE"""),"Связи с общественностью")</f>
        <v>Связи с общественностью</v>
      </c>
      <c r="C691" s="6" t="str">
        <f>IFERROR(__xludf.DUMMYFUNCTION("""COMPUTED_VALUE"""),"Дача")</f>
        <v>Дача</v>
      </c>
      <c r="D691" s="6" t="str">
        <f>IFERROR(__xludf.DUMMYFUNCTION("""COMPUTED_VALUE"""),"Шалготарьян")</f>
        <v>Шалготарьян</v>
      </c>
      <c r="E691" s="6" t="str">
        <f>IFERROR(__xludf.DUMMYFUNCTION("""COMPUTED_VALUE"""),"Китайская стена (проспект Ленина, 164), магазин Ноград, мечеть Мунира, храм Казанской иконы Божией матери")</f>
        <v>Китайская стена (проспект Ленина, 164), магазин Ноград, мечеть Мунира, храм Казанской иконы Божией матери</v>
      </c>
      <c r="F691" s="6" t="str">
        <f>IFERROR(__xludf.DUMMYFUNCTION("""COMPUTED_VALUE"""),"Родился здесь,но сейчас живу в другом городе")</f>
        <v>Родился здесь,но сейчас живу в другом городе</v>
      </c>
      <c r="G691" s="6" t="str">
        <f>IFERROR(__xludf.DUMMYFUNCTION("""COMPUTED_VALUE"""),"Сосновый бор, бульвар Строителей, Московский проспект, Советский проспект, Обзорная площадка")</f>
        <v>Сосновый бор, бульвар Строителей, Московский проспект, Советский проспект, Обзорная площадка</v>
      </c>
      <c r="H691" s="6" t="str">
        <f>IFERROR(__xludf.DUMMYFUNCTION("""COMPUTED_VALUE"""),"Химик, Кузбасс, уголь, свобода, движение")</f>
        <v>Химик, Кузбасс, уголь, свобода, движение</v>
      </c>
      <c r="I691" s="6" t="str">
        <f>IFERROR(__xludf.DUMMYFUNCTION("""COMPUTED_VALUE"""),"Подгорбунский, Мартемьянов, братья Раздаевы, Михайлов")</f>
        <v>Подгорбунский, Мартемьянов, братья Раздаевы, Михайлов</v>
      </c>
      <c r="J691" s="6" t="str">
        <f>IFERROR(__xludf.DUMMYFUNCTION("""COMPUTED_VALUE"""),"Забавин, Васильева (Кот да Винчи), Солоух (писатель)")</f>
        <v>Забавин, Васильева (Кот да Винчи), Солоух (писатель)</v>
      </c>
      <c r="K691" s="6" t="str">
        <f>IFERROR(__xludf.DUMMYFUNCTION("""COMPUTED_VALUE"""),"Обзорная площадка, Красная горка, бульвар Строителей, Притомская набережная и улица Весенняя, Лесная поляна, Шалготарьян")</f>
        <v>Обзорная площадка, Красная горка, бульвар Строителей, Притомская набережная и улица Весенняя, Лесная поляна, Шалготарьян</v>
      </c>
      <c r="L691" s="6" t="str">
        <f>IFERROR(__xludf.DUMMYFUNCTION("""COMPUTED_VALUE"""),"Не знаю таких")</f>
        <v>Не знаю таких</v>
      </c>
      <c r="M691" s="6" t="str">
        <f>IFERROR(__xludf.DUMMYFUNCTION("""COMPUTED_VALUE"""),"Нет")</f>
        <v>Нет</v>
      </c>
      <c r="N691" s="6" t="str">
        <f>IFERROR(__xludf.DUMMYFUNCTION("""COMPUTED_VALUE"""),"Чистота на улицах, освещенность улиц, магистралей и дворовых территорий, отсутствие точечной развязки, налаженная транспортная система, голубое небо с большим количеством облаков")</f>
        <v>Чистота на улицах, освещенность улиц, магистралей и дворовых территорий, отсутствие точечной развязки, налаженная транспортная система, голубое небо с большим количеством облаков</v>
      </c>
      <c r="O691" s="6" t="str">
        <f>IFERROR(__xludf.DUMMYFUNCTION("""COMPUTED_VALUE"""),"Организовать международный беговой марафон для привлечения спонсоров, инвесторов и туристов")</f>
        <v>Организовать международный беговой марафон для привлечения спонсоров, инвесторов и туристов</v>
      </c>
      <c r="P691" s="6" t="str">
        <f>IFERROR(__xludf.DUMMYFUNCTION("""COMPUTED_VALUE"""),"Друзья, Facebook")</f>
        <v>Друзья, Facebook</v>
      </c>
      <c r="Q691" s="6" t="str">
        <f>IFERROR(__xludf.DUMMYFUNCTION("""COMPUTED_VALUE"""),"интервью с местными творческими личностями, интервью с местными предпринимателями, результаты местных исследований (рейтинги/аналитика/тенденции)")</f>
        <v>интервью с местными творческими личностями, интервью с местными предпринимателями, результаты местных исследований (рейтинги/аналитика/тенденции)</v>
      </c>
      <c r="R691" s="6" t="str">
        <f>IFERROR(__xludf.DUMMYFUNCTION("""COMPUTED_VALUE"""),"День города, день молодёжи")</f>
        <v>День города, день молодёжи</v>
      </c>
      <c r="S691" s="6" t="str">
        <f>IFERROR(__xludf.DUMMYFUNCTION("""COMPUTED_VALUE"""),"Я бывший журналист и действующий пиарщик, да создавал инфоповоды ")</f>
        <v>Я бывший журналист и действующий пиарщик, да создавал инфоповоды </v>
      </c>
      <c r="T691" s="6" t="str">
        <f>IFERROR(__xludf.DUMMYFUNCTION("""COMPUTED_VALUE"""),"Сочетание красивой природы, искренности жителей и эклектичной архитектуры")</f>
        <v>Сочетание красивой природы, искренности жителей и эклектичной архитектуры</v>
      </c>
      <c r="U691" s="6" t="str">
        <f>IFERROR(__xludf.DUMMYFUNCTION("""COMPUTED_VALUE"""),"Фонтан перед театром драмы")</f>
        <v>Фонтан перед театром драмы</v>
      </c>
      <c r="V691" s="6" t="str">
        <f>IFERROR(__xludf.DUMMYFUNCTION("""COMPUTED_VALUE"""),"Прожили достойную жизнь")</f>
        <v>Прожили достойную жизнь</v>
      </c>
      <c r="W691" s="6" t="str">
        <f>IFERROR(__xludf.DUMMYFUNCTION("""COMPUTED_VALUE"""),"Искренность, неравнодушие, подвижничество, доброта, смелость")</f>
        <v>Искренность, неравнодушие, подвижничество, доброта, смелость</v>
      </c>
      <c r="X691" s="6" t="str">
        <f>IFERROR(__xludf.DUMMYFUNCTION("""COMPUTED_VALUE"""),"От Красной горки к обзорной площадке далее Притомская набережная улица Весенняя Советский проспект площадь Советов Цирк Проспект Ленина Комсомольский парк бульвар Строителей Шалготарьян")</f>
        <v>От Красной горки к обзорной площадке далее Притомская набережная улица Весенняя Советский проспект площадь Советов Цирк Проспект Ленина Комсомольский парк бульвар Строителей Шалготарьян</v>
      </c>
      <c r="Y691" s="6" t="str">
        <f>IFERROR(__xludf.DUMMYFUNCTION("""COMPUTED_VALUE"""),"Основание города")</f>
        <v>Основание города</v>
      </c>
      <c r="Z691" s="6" t="str">
        <f>IFERROR(__xludf.DUMMYFUNCTION("""COMPUTED_VALUE"""),"Открытие президентского кадетского училища")</f>
        <v>Открытие президентского кадетского училища</v>
      </c>
      <c r="AA691" s="6" t="str">
        <f>IFERROR(__xludf.DUMMYFUNCTION("""COMPUTED_VALUE"""),"Не было такого")</f>
        <v>Не было такого</v>
      </c>
      <c r="AB691" s="6" t="str">
        <f>IFERROR(__xludf.DUMMYFUNCTION("""COMPUTED_VALUE"""),"Затрудняюсь ответить")</f>
        <v>Затрудняюсь ответить</v>
      </c>
      <c r="AC691" s="6" t="str">
        <f>IFERROR(__xludf.DUMMYFUNCTION("""COMPUTED_VALUE"""),"Международный беговой марафон")</f>
        <v>Международный беговой марафон</v>
      </c>
      <c r="AD691"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691" s="6" t="str">
        <f>IFERROR(__xludf.DUMMYFUNCTION("""COMPUTED_VALUE"""),"Мужской")</f>
        <v>Мужской</v>
      </c>
      <c r="AF691" s="6" t="str">
        <f>IFERROR(__xludf.DUMMYFUNCTION("""COMPUTED_VALUE"""),"30-44")</f>
        <v>30-44</v>
      </c>
      <c r="AG691" s="6"/>
      <c r="AH691" s="6"/>
      <c r="AI691" s="6"/>
      <c r="AJ691" s="6"/>
      <c r="AK691" s="6"/>
      <c r="AL691" s="6"/>
      <c r="AM691" s="6"/>
    </row>
    <row r="692">
      <c r="A692" s="6">
        <v>691.0</v>
      </c>
      <c r="B692" s="6" t="str">
        <f>IFERROR(__xludf.DUMMYFUNCTION("""COMPUTED_VALUE"""),"торговля")</f>
        <v>торговля</v>
      </c>
      <c r="C692" s="6" t="str">
        <f>IFERROR(__xludf.DUMMYFUNCTION("""COMPUTED_VALUE"""),"спорт")</f>
        <v>спорт</v>
      </c>
      <c r="D692" s="6" t="str">
        <f>IFERROR(__xludf.DUMMYFUNCTION("""COMPUTED_VALUE"""),"ленинский")</f>
        <v>ленинский</v>
      </c>
      <c r="E692" s="6" t="str">
        <f>IFERROR(__xludf.DUMMYFUNCTION("""COMPUTED_VALUE"""),"Бульвар Строителей")</f>
        <v>Бульвар Строителей</v>
      </c>
      <c r="F692" s="6" t="str">
        <f>IFERROR(__xludf.DUMMYFUNCTION("""COMPUTED_VALUE"""),"Живу здесь с рождения")</f>
        <v>Живу здесь с рождения</v>
      </c>
      <c r="G692" s="6" t="str">
        <f>IFERROR(__xludf.DUMMYFUNCTION("""COMPUTED_VALUE"""),"Бульвар Строителей, парк им. В. Волошиной")</f>
        <v>Бульвар Строителей, парк им. В. Волошиной</v>
      </c>
      <c r="H692" s="6" t="str">
        <f>IFERROR(__xludf.DUMMYFUNCTION("""COMPUTED_VALUE"""),"шахта, Томь, парк Чудес")</f>
        <v>шахта, Томь, парк Чудес</v>
      </c>
      <c r="I692" s="6" t="str">
        <f>IFERROR(__xludf.DUMMYFUNCTION("""COMPUTED_VALUE"""),"А. А. Леонов, М. А. Подгорбунский, Вера Волошина")</f>
        <v>А. А. Леонов, М. А. Подгорбунский, Вера Волошина</v>
      </c>
      <c r="J692" s="6" t="str">
        <f>IFERROR(__xludf.DUMMYFUNCTION("""COMPUTED_VALUE"""),"А. Г. Тулеев, ")</f>
        <v>А. Г. Тулеев, </v>
      </c>
      <c r="K692" s="6" t="str">
        <f>IFERROR(__xludf.DUMMYFUNCTION("""COMPUTED_VALUE"""),"Томская Писаница, музей Красная Горка")</f>
        <v>Томская Писаница, музей Красная Горка</v>
      </c>
      <c r="L692" s="6" t="str">
        <f>IFERROR(__xludf.DUMMYFUNCTION("""COMPUTED_VALUE"""),"не знаю")</f>
        <v>не знаю</v>
      </c>
      <c r="M692" s="6" t="str">
        <f>IFERROR(__xludf.DUMMYFUNCTION("""COMPUTED_VALUE"""),"не знаю")</f>
        <v>не знаю</v>
      </c>
      <c r="N692" s="6" t="str">
        <f>IFERROR(__xludf.DUMMYFUNCTION("""COMPUTED_VALUE"""),"чистые улицы, свежий воздух, зелёные зоны отдыха")</f>
        <v>чистые улицы, свежий воздух, зелёные зоны отдыха</v>
      </c>
      <c r="O692" s="6" t="str">
        <f>IFERROR(__xludf.DUMMYFUNCTION("""COMPUTED_VALUE"""),"убрать все пивточки на первых этажах жилых домов")</f>
        <v>убрать все пивточки на первых этажах жилых домов</v>
      </c>
      <c r="P692" s="7" t="str">
        <f>IFERROR(__xludf.DUMMYFUNCTION("""COMPUTED_VALUE"""),"https://gazeta.a42.ru/")</f>
        <v>https://gazeta.a42.ru/</v>
      </c>
      <c r="Q692" s="6" t="str">
        <f>IFERROR(__xludf.DUMMYFUNCTION("""COMPUTED_VALUE"""),"городская афиша (кино/театр/концерты), интервью с местными творческими личностями, новости про новые профессии/куда поступать/вакансии")</f>
        <v>городская афиша (кино/театр/концерты), интервью с местными творческими личностями, новости про новые профессии/куда поступать/вакансии</v>
      </c>
      <c r="R692" s="6" t="str">
        <f>IFERROR(__xludf.DUMMYFUNCTION("""COMPUTED_VALUE"""),"День шахтёра, День города")</f>
        <v>День шахтёра, День города</v>
      </c>
      <c r="S692" s="6" t="str">
        <f>IFERROR(__xludf.DUMMYFUNCTION("""COMPUTED_VALUE"""),"Нет, не приходилось")</f>
        <v>Нет, не приходилось</v>
      </c>
      <c r="T692" s="6" t="str">
        <f>IFERROR(__xludf.DUMMYFUNCTION("""COMPUTED_VALUE"""),"угольной промышленностью")</f>
        <v>угольной промышленностью</v>
      </c>
      <c r="U692" s="6" t="str">
        <f>IFERROR(__xludf.DUMMYFUNCTION("""COMPUTED_VALUE"""),"фонтан у театра Драмы, парк Чудес")</f>
        <v>фонтан у театра Драмы, парк Чудес</v>
      </c>
      <c r="V692" s="6" t="str">
        <f>IFERROR(__xludf.DUMMYFUNCTION("""COMPUTED_VALUE"""),"не знаю")</f>
        <v>не знаю</v>
      </c>
      <c r="W692" s="6" t="str">
        <f>IFERROR(__xludf.DUMMYFUNCTION("""COMPUTED_VALUE"""),"открытые")</f>
        <v>открытые</v>
      </c>
      <c r="X692" s="6" t="str">
        <f>IFERROR(__xludf.DUMMYFUNCTION("""COMPUTED_VALUE"""),"не знаю")</f>
        <v>не знаю</v>
      </c>
      <c r="Y692" s="6" t="str">
        <f>IFERROR(__xludf.DUMMYFUNCTION("""COMPUTED_VALUE"""),"1943 год - образование Кемеровской области, Кемерово становится областным центром")</f>
        <v>1943 год - образование Кемеровской области, Кемерово становится областным центром</v>
      </c>
      <c r="Z692" s="6" t="str">
        <f>IFERROR(__xludf.DUMMYFUNCTION("""COMPUTED_VALUE"""),"открытие киноцентра ""Юбилейный"" после реконструкции")</f>
        <v>открытие киноцентра "Юбилейный" после реконструкции</v>
      </c>
      <c r="AA692" s="6" t="str">
        <f>IFERROR(__xludf.DUMMYFUNCTION("""COMPUTED_VALUE"""),"трагедия в ТРЦ ""Зимняя вишня"", ограничения, связанные с COVID-19")</f>
        <v>трагедия в ТРЦ "Зимняя вишня", ограничения, связанные с COVID-19</v>
      </c>
      <c r="AB692" s="6" t="str">
        <f>IFERROR(__xludf.DUMMYFUNCTION("""COMPUTED_VALUE"""),"не знаю")</f>
        <v>не знаю</v>
      </c>
      <c r="AC692" s="6" t="str">
        <f>IFERROR(__xludf.DUMMYFUNCTION("""COMPUTED_VALUE"""),"не знаю")</f>
        <v>не знаю</v>
      </c>
      <c r="AD692" s="6" t="str">
        <f>IFERROR(__xludf.DUMMYFUNCTION("""COMPUTED_VALUE"""),"Не готов принимать личное участие (укажите, пожалуйста, причину в поле «Другое»), Каждый должен заниматься своим делом")</f>
        <v>Не готов принимать личное участие (укажите, пожалуйста, причину в поле «Другое»), Каждый должен заниматься своим делом</v>
      </c>
      <c r="AE692" s="6" t="str">
        <f>IFERROR(__xludf.DUMMYFUNCTION("""COMPUTED_VALUE"""),"Женский")</f>
        <v>Женский</v>
      </c>
      <c r="AF692" s="6" t="str">
        <f>IFERROR(__xludf.DUMMYFUNCTION("""COMPUTED_VALUE"""),"45-55")</f>
        <v>45-55</v>
      </c>
      <c r="AG692" s="6"/>
      <c r="AH692" s="6"/>
      <c r="AI692" s="6"/>
      <c r="AJ692" s="6"/>
      <c r="AK692" s="6"/>
      <c r="AL692" s="6"/>
      <c r="AM692" s="6"/>
    </row>
    <row r="693">
      <c r="A693" s="6">
        <v>692.0</v>
      </c>
      <c r="B693" s="6" t="str">
        <f>IFERROR(__xludf.DUMMYFUNCTION("""COMPUTED_VALUE"""),"культура")</f>
        <v>культура</v>
      </c>
      <c r="C693" s="6" t="str">
        <f>IFERROR(__xludf.DUMMYFUNCTION("""COMPUTED_VALUE"""),"путешествие")</f>
        <v>путешествие</v>
      </c>
      <c r="D693" s="6" t="str">
        <f>IFERROR(__xludf.DUMMYFUNCTION("""COMPUTED_VALUE"""),"нет")</f>
        <v>нет</v>
      </c>
      <c r="E693" s="6" t="str">
        <f>IFERROR(__xludf.DUMMYFUNCTION("""COMPUTED_VALUE"""),"нет")</f>
        <v>нет</v>
      </c>
      <c r="F693" s="6" t="str">
        <f>IFERROR(__xludf.DUMMYFUNCTION("""COMPUTED_VALUE"""),"Не живу,но приезжаю сюда (к родственникам/друзьям)")</f>
        <v>Не живу,но приезжаю сюда (к родственникам/друзьям)</v>
      </c>
      <c r="G693" s="6" t="str">
        <f>IFERROR(__xludf.DUMMYFUNCTION("""COMPUTED_VALUE"""),"Лапландия")</f>
        <v>Лапландия</v>
      </c>
      <c r="H693" s="6" t="str">
        <f>IFERROR(__xludf.DUMMYFUNCTION("""COMPUTED_VALUE"""),"нет")</f>
        <v>нет</v>
      </c>
      <c r="I693" s="6" t="str">
        <f>IFERROR(__xludf.DUMMYFUNCTION("""COMPUTED_VALUE"""),"нет")</f>
        <v>нет</v>
      </c>
      <c r="J693" s="6" t="str">
        <f>IFERROR(__xludf.DUMMYFUNCTION("""COMPUTED_VALUE"""),"нет")</f>
        <v>нет</v>
      </c>
      <c r="K693" s="6" t="str">
        <f>IFERROR(__xludf.DUMMYFUNCTION("""COMPUTED_VALUE"""),"нет")</f>
        <v>нет</v>
      </c>
      <c r="L693" s="6" t="str">
        <f>IFERROR(__xludf.DUMMYFUNCTION("""COMPUTED_VALUE"""),"нет")</f>
        <v>нет</v>
      </c>
      <c r="M693" s="6" t="str">
        <f>IFERROR(__xludf.DUMMYFUNCTION("""COMPUTED_VALUE"""),"нет")</f>
        <v>нет</v>
      </c>
      <c r="N693" s="6" t="str">
        <f>IFERROR(__xludf.DUMMYFUNCTION("""COMPUTED_VALUE"""),"нет")</f>
        <v>нет</v>
      </c>
      <c r="O693" s="6" t="str">
        <f>IFERROR(__xludf.DUMMYFUNCTION("""COMPUTED_VALUE"""),"нет")</f>
        <v>нет</v>
      </c>
      <c r="P693" s="6" t="str">
        <f>IFERROR(__xludf.DUMMYFUNCTION("""COMPUTED_VALUE"""),"нет")</f>
        <v>нет</v>
      </c>
      <c r="Q693" s="6" t="str">
        <f>IFERROR(__xludf.DUMMYFUNCTION("""COMPUTED_VALUE"""),"культурные новинки (что почитать/что послушать)")</f>
        <v>культурные новинки (что почитать/что послушать)</v>
      </c>
      <c r="R693" s="6" t="str">
        <f>IFERROR(__xludf.DUMMYFUNCTION("""COMPUTED_VALUE"""),"нет")</f>
        <v>нет</v>
      </c>
      <c r="S693" s="6" t="str">
        <f>IFERROR(__xludf.DUMMYFUNCTION("""COMPUTED_VALUE"""),"Нет, не приходилось")</f>
        <v>Нет, не приходилось</v>
      </c>
      <c r="T693" s="6" t="str">
        <f>IFERROR(__xludf.DUMMYFUNCTION("""COMPUTED_VALUE"""),"нет")</f>
        <v>нет</v>
      </c>
      <c r="U693" s="6" t="str">
        <f>IFERROR(__xludf.DUMMYFUNCTION("""COMPUTED_VALUE"""),"нет")</f>
        <v>нет</v>
      </c>
      <c r="V693" s="6" t="str">
        <f>IFERROR(__xludf.DUMMYFUNCTION("""COMPUTED_VALUE"""),"нет")</f>
        <v>нет</v>
      </c>
      <c r="W693" s="6" t="str">
        <f>IFERROR(__xludf.DUMMYFUNCTION("""COMPUTED_VALUE"""),"нет")</f>
        <v>нет</v>
      </c>
      <c r="X693" s="6" t="str">
        <f>IFERROR(__xludf.DUMMYFUNCTION("""COMPUTED_VALUE"""),"нет")</f>
        <v>нет</v>
      </c>
      <c r="Y693" s="6" t="str">
        <f>IFERROR(__xludf.DUMMYFUNCTION("""COMPUTED_VALUE"""),"нет")</f>
        <v>нет</v>
      </c>
      <c r="Z693" s="6" t="str">
        <f>IFERROR(__xludf.DUMMYFUNCTION("""COMPUTED_VALUE"""),"нет")</f>
        <v>нет</v>
      </c>
      <c r="AA693" s="6" t="str">
        <f>IFERROR(__xludf.DUMMYFUNCTION("""COMPUTED_VALUE"""),"нет")</f>
        <v>нет</v>
      </c>
      <c r="AB693" s="6" t="str">
        <f>IFERROR(__xludf.DUMMYFUNCTION("""COMPUTED_VALUE"""),"нет")</f>
        <v>нет</v>
      </c>
      <c r="AC693" s="6" t="str">
        <f>IFERROR(__xludf.DUMMYFUNCTION("""COMPUTED_VALUE"""),"нет")</f>
        <v>нет</v>
      </c>
      <c r="AD69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693" s="6" t="str">
        <f>IFERROR(__xludf.DUMMYFUNCTION("""COMPUTED_VALUE"""),"Женский")</f>
        <v>Женский</v>
      </c>
      <c r="AF693" s="6" t="str">
        <f>IFERROR(__xludf.DUMMYFUNCTION("""COMPUTED_VALUE"""),"30-44")</f>
        <v>30-44</v>
      </c>
      <c r="AG693" s="6"/>
      <c r="AH693" s="6"/>
      <c r="AI693" s="6"/>
      <c r="AJ693" s="6"/>
      <c r="AK693" s="6"/>
      <c r="AL693" s="6"/>
      <c r="AM693" s="6"/>
    </row>
    <row r="694">
      <c r="A694" s="6">
        <v>693.0</v>
      </c>
      <c r="B694" s="6" t="str">
        <f>IFERROR(__xludf.DUMMYFUNCTION("""COMPUTED_VALUE"""),"Аппаратчик , хим. Производство ")</f>
        <v>Аппаратчик , хим. Производство </v>
      </c>
      <c r="C694" s="6" t="str">
        <f>IFERROR(__xludf.DUMMYFUNCTION("""COMPUTED_VALUE"""),"Плавать")</f>
        <v>Плавать</v>
      </c>
      <c r="D694" s="6" t="str">
        <f>IFERROR(__xludf.DUMMYFUNCTION("""COMPUTED_VALUE"""),"Южный ")</f>
        <v>Южный </v>
      </c>
      <c r="E694" s="6" t="str">
        <f>IFERROR(__xludf.DUMMYFUNCTION("""COMPUTED_VALUE"""),"Аллея ")</f>
        <v>Аллея </v>
      </c>
      <c r="F694" s="6" t="str">
        <f>IFERROR(__xludf.DUMMYFUNCTION("""COMPUTED_VALUE"""),"Переехал сюда из другого места (откуда? укажите в графе другое), Серов, свердловская обл.")</f>
        <v>Переехал сюда из другого места (откуда? укажите в графе другое), Серов, свердловская обл.</v>
      </c>
      <c r="G694" s="6" t="str">
        <f>IFERROR(__xludf.DUMMYFUNCTION("""COMPUTED_VALUE"""),"На набережную и сосновый бор")</f>
        <v>На набережную и сосновый бор</v>
      </c>
      <c r="H694" s="6" t="str">
        <f>IFERROR(__xludf.DUMMYFUNCTION("""COMPUTED_VALUE"""),"Дым, шахты, торговые центры, томь, транспорт ")</f>
        <v>Дым, шахты, торговые центры, томь, транспорт </v>
      </c>
      <c r="I694" s="6" t="str">
        <f>IFERROR(__xludf.DUMMYFUNCTION("""COMPUTED_VALUE"""),"Рутгерс ")</f>
        <v>Рутгерс </v>
      </c>
      <c r="J694" s="6" t="str">
        <f>IFERROR(__xludf.DUMMYFUNCTION("""COMPUTED_VALUE"""),"Не скажу ")</f>
        <v>Не скажу </v>
      </c>
      <c r="K694" s="6" t="str">
        <f>IFERROR(__xludf.DUMMYFUNCTION("""COMPUTED_VALUE"""),"Парк ангелов, набережная, красная горка")</f>
        <v>Парк ангелов, набережная, красная горка</v>
      </c>
      <c r="L694" s="6" t="str">
        <f>IFERROR(__xludf.DUMMYFUNCTION("""COMPUTED_VALUE"""),"Бухают три алкаша. Вдруг один из них отключается и падает мордой в грязь. Другой говорит третьему: — Вот, за что я люблю Леху, так это за то, что он всегда знает, когда остановиться!")</f>
        <v>Бухают три алкаша. Вдруг один из них отключается и падает мордой в грязь. Другой говорит третьему: — Вот, за что я люблю Леху, так это за то, что он всегда знает, когда остановиться!</v>
      </c>
      <c r="M694" s="6" t="str">
        <f>IFERROR(__xludf.DUMMYFUNCTION("""COMPUTED_VALUE"""),"Нет")</f>
        <v>Нет</v>
      </c>
      <c r="N694" s="6" t="str">
        <f>IFERROR(__xludf.DUMMYFUNCTION("""COMPUTED_VALUE"""),"Нормально работающий общественный транспорт, рабочие места с карьерный ростом, возможность сходить отдохнуть не только в боулинг бильярд и караоке, чистота")</f>
        <v>Нормально работающий общественный транспорт, рабочие места с карьерный ростом, возможность сходить отдохнуть не только в боулинг бильярд и караоке, чистота</v>
      </c>
      <c r="O694" s="6" t="str">
        <f>IFERROR(__xludf.DUMMYFUNCTION("""COMPUTED_VALUE"""),"ОБЩЕСТВЕННЫЙ ТРАНСПОРТ")</f>
        <v>ОБЩЕСТВЕННЫЙ ТРАНСПОРТ</v>
      </c>
      <c r="P694" s="6" t="str">
        <f>IFERROR(__xludf.DUMMYFUNCTION("""COMPUTED_VALUE"""),"Vk")</f>
        <v>Vk</v>
      </c>
      <c r="Q694" s="6" t="str">
        <f>IFERROR(__xludf.DUMMYFUNCTION("""COMPUTED_VALUE"""),"городская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694" s="6" t="str">
        <f>IFERROR(__xludf.DUMMYFUNCTION("""COMPUTED_VALUE"""),"Никакие ")</f>
        <v>Никакие </v>
      </c>
      <c r="S694" s="6" t="str">
        <f>IFERROR(__xludf.DUMMYFUNCTION("""COMPUTED_VALUE"""),"Нет, не приходилось")</f>
        <v>Нет, не приходилось</v>
      </c>
      <c r="T694" s="6" t="str">
        <f>IFERROR(__xludf.DUMMYFUNCTION("""COMPUTED_VALUE"""),"Я удивлю вас но по угледобывающей промышленности нас не знают. Нас знают только по Зимней вишни ")</f>
        <v>Я удивлю вас но по угледобывающей промышленности нас не знают. Нас знают только по Зимней вишни </v>
      </c>
      <c r="U694" s="6" t="str">
        <f>IFERROR(__xludf.DUMMYFUNCTION("""COMPUTED_VALUE"""),"Площадь советов ")</f>
        <v>Площадь советов </v>
      </c>
      <c r="V694" s="6" t="str">
        <f>IFERROR(__xludf.DUMMYFUNCTION("""COMPUTED_VALUE"""),"Аллеи выпускников, которые деревья садят")</f>
        <v>Аллеи выпускников, которые деревья садят</v>
      </c>
      <c r="W694" s="6" t="str">
        <f>IFERROR(__xludf.DUMMYFUNCTION("""COMPUTED_VALUE"""),"В основном это пропитый пролетариат")</f>
        <v>В основном это пропитый пролетариат</v>
      </c>
      <c r="X694" s="6" t="str">
        <f>IFERROR(__xludf.DUMMYFUNCTION("""COMPUTED_VALUE"""),"Токем-азот ")</f>
        <v>Токем-азот </v>
      </c>
      <c r="Y694" s="6" t="str">
        <f>IFERROR(__xludf.DUMMYFUNCTION("""COMPUTED_VALUE"""),"Зимняя вишня ")</f>
        <v>Зимняя вишня </v>
      </c>
      <c r="Z694" s="6" t="str">
        <f>IFERROR(__xludf.DUMMYFUNCTION("""COMPUTED_VALUE"""),"Парк ангелов")</f>
        <v>Парк ангелов</v>
      </c>
      <c r="AA694" s="6" t="str">
        <f>IFERROR(__xludf.DUMMYFUNCTION("""COMPUTED_VALUE"""),"Ежемесячный режим чёрного неба")</f>
        <v>Ежемесячный режим чёрного неба</v>
      </c>
      <c r="AB694" s="6" t="str">
        <f>IFERROR(__xludf.DUMMYFUNCTION("""COMPUTED_VALUE"""),"Да не скажу")</f>
        <v>Да не скажу</v>
      </c>
      <c r="AC694" s="6" t="str">
        <f>IFERROR(__xludf.DUMMYFUNCTION("""COMPUTED_VALUE"""),"Не нужны мероприятия, нужна комфортная среда")</f>
        <v>Не нужны мероприятия, нужна комфортная среда</v>
      </c>
      <c r="AD694"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694" s="6" t="str">
        <f>IFERROR(__xludf.DUMMYFUNCTION("""COMPUTED_VALUE"""),"Мужской")</f>
        <v>Мужской</v>
      </c>
      <c r="AF694" s="6" t="str">
        <f>IFERROR(__xludf.DUMMYFUNCTION("""COMPUTED_VALUE"""),"18-29")</f>
        <v>18-29</v>
      </c>
      <c r="AG694" s="6"/>
      <c r="AH694" s="6"/>
      <c r="AI694" s="6"/>
      <c r="AJ694" s="6"/>
      <c r="AK694" s="6"/>
      <c r="AL694" s="6"/>
      <c r="AM694" s="6"/>
    </row>
    <row r="695">
      <c r="A695" s="6">
        <v>694.0</v>
      </c>
      <c r="B695" s="6" t="str">
        <f>IFERROR(__xludf.DUMMYFUNCTION("""COMPUTED_VALUE"""),"работаю")</f>
        <v>работаю</v>
      </c>
      <c r="C695" s="6" t="str">
        <f>IFERROR(__xludf.DUMMYFUNCTION("""COMPUTED_VALUE"""),"нет")</f>
        <v>нет</v>
      </c>
      <c r="D695" s="6" t="str">
        <f>IFERROR(__xludf.DUMMYFUNCTION("""COMPUTED_VALUE"""),"не живу в Кемерово")</f>
        <v>не живу в Кемерово</v>
      </c>
      <c r="E695" s="6" t="str">
        <f>IFERROR(__xludf.DUMMYFUNCTION("""COMPUTED_VALUE"""),"не живу в Кемерово")</f>
        <v>не живу в Кемерово</v>
      </c>
      <c r="F695" s="6" t="str">
        <f>IFERROR(__xludf.DUMMYFUNCTION("""COMPUTED_VALUE"""),"приезжаю в больницу")</f>
        <v>приезжаю в больницу</v>
      </c>
      <c r="G695" s="6" t="str">
        <f>IFERROR(__xludf.DUMMYFUNCTION("""COMPUTED_VALUE"""),"в областную больницу")</f>
        <v>в областную больницу</v>
      </c>
      <c r="H695" s="6" t="str">
        <f>IFERROR(__xludf.DUMMYFUNCTION("""COMPUTED_VALUE"""),"больница")</f>
        <v>больница</v>
      </c>
      <c r="I695" s="6" t="str">
        <f>IFERROR(__xludf.DUMMYFUNCTION("""COMPUTED_VALUE"""),"не знаю")</f>
        <v>не знаю</v>
      </c>
      <c r="J695" s="6" t="str">
        <f>IFERROR(__xludf.DUMMYFUNCTION("""COMPUTED_VALUE"""),"не знаю")</f>
        <v>не знаю</v>
      </c>
      <c r="K695" s="6" t="str">
        <f>IFERROR(__xludf.DUMMYFUNCTION("""COMPUTED_VALUE"""),"не живу в Кемерово")</f>
        <v>не живу в Кемерово</v>
      </c>
      <c r="L695" s="6" t="str">
        <f>IFERROR(__xludf.DUMMYFUNCTION("""COMPUTED_VALUE"""),"нет")</f>
        <v>нет</v>
      </c>
      <c r="M695" s="6" t="str">
        <f>IFERROR(__xludf.DUMMYFUNCTION("""COMPUTED_VALUE"""),"нет")</f>
        <v>нет</v>
      </c>
      <c r="N695" s="6" t="str">
        <f>IFERROR(__xludf.DUMMYFUNCTION("""COMPUTED_VALUE"""),"не знаю")</f>
        <v>не знаю</v>
      </c>
      <c r="O695" s="6" t="str">
        <f>IFERROR(__xludf.DUMMYFUNCTION("""COMPUTED_VALUE"""),"не знаю")</f>
        <v>не знаю</v>
      </c>
      <c r="P695" s="6" t="str">
        <f>IFERROR(__xludf.DUMMYFUNCTION("""COMPUTED_VALUE"""),"интернет")</f>
        <v>интернет</v>
      </c>
      <c r="Q695" s="6" t="str">
        <f>IFERROR(__xludf.DUMMYFUNCTION("""COMPUTED_VALUE"""),"интервью с местными творческими личностями")</f>
        <v>интервью с местными творческими личностями</v>
      </c>
      <c r="R695" s="6" t="str">
        <f>IFERROR(__xludf.DUMMYFUNCTION("""COMPUTED_VALUE"""),"день города")</f>
        <v>день города</v>
      </c>
      <c r="S695" s="6" t="str">
        <f>IFERROR(__xludf.DUMMYFUNCTION("""COMPUTED_VALUE"""),"Нет, не приходилось")</f>
        <v>Нет, не приходилось</v>
      </c>
      <c r="T695" s="6" t="str">
        <f>IFERROR(__xludf.DUMMYFUNCTION("""COMPUTED_VALUE"""),"Областная клиническая больница")</f>
        <v>Областная клиническая больница</v>
      </c>
      <c r="U695" s="6" t="str">
        <f>IFERROR(__xludf.DUMMYFUNCTION("""COMPUTED_VALUE"""),"Областная клиническая больница")</f>
        <v>Областная клиническая больница</v>
      </c>
      <c r="V695" s="6" t="str">
        <f>IFERROR(__xludf.DUMMYFUNCTION("""COMPUTED_VALUE"""),"не знаю")</f>
        <v>не знаю</v>
      </c>
      <c r="W695" s="6" t="str">
        <f>IFERROR(__xludf.DUMMYFUNCTION("""COMPUTED_VALUE"""),"не знаю")</f>
        <v>не знаю</v>
      </c>
      <c r="X695" s="6" t="str">
        <f>IFERROR(__xludf.DUMMYFUNCTION("""COMPUTED_VALUE"""),"не знаю")</f>
        <v>не знаю</v>
      </c>
      <c r="Y695" s="6" t="str">
        <f>IFERROR(__xludf.DUMMYFUNCTION("""COMPUTED_VALUE"""),"не знаю")</f>
        <v>не знаю</v>
      </c>
      <c r="Z695" s="6" t="str">
        <f>IFERROR(__xludf.DUMMYFUNCTION("""COMPUTED_VALUE"""),"не знаю")</f>
        <v>не знаю</v>
      </c>
      <c r="AA695" s="6" t="str">
        <f>IFERROR(__xludf.DUMMYFUNCTION("""COMPUTED_VALUE"""),"не знаю")</f>
        <v>не знаю</v>
      </c>
      <c r="AB695" s="6" t="str">
        <f>IFERROR(__xludf.DUMMYFUNCTION("""COMPUTED_VALUE"""),"не знаю")</f>
        <v>не знаю</v>
      </c>
      <c r="AC695" s="6" t="str">
        <f>IFERROR(__xludf.DUMMYFUNCTION("""COMPUTED_VALUE"""),"не знаю")</f>
        <v>не знаю</v>
      </c>
      <c r="AD695" s="6" t="str">
        <f>IFERROR(__xludf.DUMMYFUNCTION("""COMPUTED_VALUE"""),"не хочу принимать участие")</f>
        <v>не хочу принимать участие</v>
      </c>
      <c r="AE695" s="6" t="str">
        <f>IFERROR(__xludf.DUMMYFUNCTION("""COMPUTED_VALUE"""),"Женский")</f>
        <v>Женский</v>
      </c>
      <c r="AF695" s="6" t="str">
        <f>IFERROR(__xludf.DUMMYFUNCTION("""COMPUTED_VALUE"""),"30-44")</f>
        <v>30-44</v>
      </c>
      <c r="AG695" s="6"/>
      <c r="AH695" s="6"/>
      <c r="AI695" s="6"/>
      <c r="AJ695" s="6"/>
      <c r="AK695" s="6"/>
      <c r="AL695" s="6"/>
      <c r="AM695" s="6"/>
    </row>
    <row r="696">
      <c r="A696" s="6">
        <v>695.0</v>
      </c>
      <c r="B696" s="6" t="str">
        <f>IFERROR(__xludf.DUMMYFUNCTION("""COMPUTED_VALUE"""),"Работаю в учреждении культуры")</f>
        <v>Работаю в учреждении культуры</v>
      </c>
      <c r="C696" s="6" t="str">
        <f>IFERROR(__xludf.DUMMYFUNCTION("""COMPUTED_VALUE"""),"есть, декупаж")</f>
        <v>есть, декупаж</v>
      </c>
      <c r="D696" s="6" t="str">
        <f>IFERROR(__xludf.DUMMYFUNCTION("""COMPUTED_VALUE"""),"Южный
")</f>
        <v>Южный
</v>
      </c>
      <c r="E696" s="6" t="str">
        <f>IFERROR(__xludf.DUMMYFUNCTION("""COMPUTED_VALUE"""),"Улица Патриотов, церковь")</f>
        <v>Улица Патриотов, церковь</v>
      </c>
      <c r="F696" s="6" t="str">
        <f>IFERROR(__xludf.DUMMYFUNCTION("""COMPUTED_VALUE"""),"Переехала из Красноярска")</f>
        <v>Переехала из Красноярска</v>
      </c>
      <c r="G696" s="6" t="str">
        <f>IFERROR(__xludf.DUMMYFUNCTION("""COMPUTED_VALUE"""),"Томская писаница, набережная")</f>
        <v>Томская писаница, набережная</v>
      </c>
      <c r="H696" s="6" t="str">
        <f>IFERROR(__xludf.DUMMYFUNCTION("""COMPUTED_VALUE"""),"Чистый; зеленый; плохой воздух; ужасные маршрутки; тупик (в смысле ж/д перевозки, невозможно никуда выехать).")</f>
        <v>Чистый; зеленый; плохой воздух; ужасные маршрутки; тупик (в смысле ж/д перевозки, невозможно никуда выехать).</v>
      </c>
      <c r="I696" s="6" t="str">
        <f>IFERROR(__xludf.DUMMYFUNCTION("""COMPUTED_VALUE"""),"М. Волков, А.Леонов")</f>
        <v>М. Волков, А.Леонов</v>
      </c>
      <c r="J696" s="6" t="str">
        <f>IFERROR(__xludf.DUMMYFUNCTION("""COMPUTED_VALUE"""),"-")</f>
        <v>-</v>
      </c>
      <c r="K696" s="6" t="str">
        <f>IFERROR(__xludf.DUMMYFUNCTION("""COMPUTED_VALUE"""),"Красная горка, томская писаница")</f>
        <v>Красная горка, томская писаница</v>
      </c>
      <c r="L696" s="6" t="str">
        <f>IFERROR(__xludf.DUMMYFUNCTION("""COMPUTED_VALUE"""),"На то и власть, чтобы жить всласть. Те, кто создают правила, живут по исключениям.")</f>
        <v>На то и власть, чтобы жить всласть. Те, кто создают правила, живут по исключениям.</v>
      </c>
      <c r="M696" s="6" t="str">
        <f>IFERROR(__xludf.DUMMYFUNCTION("""COMPUTED_VALUE"""),"нет")</f>
        <v>нет</v>
      </c>
      <c r="N696" s="6" t="str">
        <f>IFERROR(__xludf.DUMMYFUNCTION("""COMPUTED_VALUE"""),"Чистота; чистый воздух; чистый и вежливый общественный транспорт; чистые подъезды; ""богатая"", разнообразная культурная жизнь. ")</f>
        <v>Чистота; чистый воздух; чистый и вежливый общественный транспорт; чистые подъезды; "богатая", разнообразная культурная жизнь. </v>
      </c>
      <c r="O696" s="6" t="str">
        <f>IFERROR(__xludf.DUMMYFUNCTION("""COMPUTED_VALUE"""),"1. Обновить общественный транспорт (не ""убогие"" маршрутки, а комфортабельные автобусы с воспитанными водителями. 2. Обустроить места отдыха в летнее время (пляжи). 3. Убрать ""пивнушки"", которые почти в каждом доме (это вообще позор для города).")</f>
        <v>1. Обновить общественный транспорт (не "убогие" маршрутки, а комфортабельные автобусы с воспитанными водителями. 2. Обустроить места отдыха в летнее время (пляжи). 3. Убрать "пивнушки", которые почти в каждом доме (это вообще позор для города).</v>
      </c>
      <c r="P696" s="6" t="str">
        <f>IFERROR(__xludf.DUMMYFUNCTION("""COMPUTED_VALUE"""),"Афиши театров (на их сайтах), наружная реклама.")</f>
        <v>Афиши театров (на их сайтах), наружная реклама.</v>
      </c>
      <c r="Q696"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696" s="6" t="str">
        <f>IFERROR(__xludf.DUMMYFUNCTION("""COMPUTED_VALUE"""),"9 мая, Масленица")</f>
        <v>9 мая, Масленица</v>
      </c>
      <c r="S696" s="6" t="str">
        <f>IFERROR(__xludf.DUMMYFUNCTION("""COMPUTED_VALUE"""),"Нет, не приходилось")</f>
        <v>Нет, не приходилось</v>
      </c>
      <c r="T696" s="6" t="str">
        <f>IFERROR(__xludf.DUMMYFUNCTION("""COMPUTED_VALUE"""),"-")</f>
        <v>-</v>
      </c>
      <c r="U696" s="6" t="str">
        <f>IFERROR(__xludf.DUMMYFUNCTION("""COMPUTED_VALUE"""),"Набережная")</f>
        <v>Набережная</v>
      </c>
      <c r="V696" s="6" t="str">
        <f>IFERROR(__xludf.DUMMYFUNCTION("""COMPUTED_VALUE"""),"Сделали город более-менее чистым")</f>
        <v>Сделали город более-менее чистым</v>
      </c>
      <c r="W696" s="6" t="str">
        <f>IFERROR(__xludf.DUMMYFUNCTION("""COMPUTED_VALUE"""),"В большинстве доброжелательные, отзывчивые")</f>
        <v>В большинстве доброжелательные, отзывчивые</v>
      </c>
      <c r="X696" s="6" t="str">
        <f>IFERROR(__xludf.DUMMYFUNCTION("""COMPUTED_VALUE"""),"Драмтеатр, ул. Весенняя, набережная")</f>
        <v>Драмтеатр, ул. Весенняя, набережная</v>
      </c>
      <c r="Y696" s="6" t="str">
        <f>IFERROR(__xludf.DUMMYFUNCTION("""COMPUTED_VALUE"""),"Создание интересных памятников")</f>
        <v>Создание интересных памятников</v>
      </c>
      <c r="Z696" s="6" t="str">
        <f>IFERROR(__xludf.DUMMYFUNCTION("""COMPUTED_VALUE"""),"-")</f>
        <v>-</v>
      </c>
      <c r="AA696" s="6" t="str">
        <f>IFERROR(__xludf.DUMMYFUNCTION("""COMPUTED_VALUE"""),"Зимняя вишня")</f>
        <v>Зимняя вишня</v>
      </c>
      <c r="AB696" s="6" t="str">
        <f>IFERROR(__xludf.DUMMYFUNCTION("""COMPUTED_VALUE"""),"-")</f>
        <v>-</v>
      </c>
      <c r="AC696" s="6" t="str">
        <f>IFERROR(__xludf.DUMMYFUNCTION("""COMPUTED_VALUE"""),"Больше экскурсий по городу для гостей (пешие, автобусные)")</f>
        <v>Больше экскурсий по городу для гостей (пешие, автобусные)</v>
      </c>
      <c r="AD696" s="6" t="str">
        <f>IFERROR(__xludf.DUMMYFUNCTION("""COMPUTED_VALUE"""),"По мере возможности - волонтером")</f>
        <v>По мере возможности - волонтером</v>
      </c>
      <c r="AE696" s="6" t="str">
        <f>IFERROR(__xludf.DUMMYFUNCTION("""COMPUTED_VALUE"""),"Женский")</f>
        <v>Женский</v>
      </c>
      <c r="AF696" s="6" t="str">
        <f>IFERROR(__xludf.DUMMYFUNCTION("""COMPUTED_VALUE"""),"45-55")</f>
        <v>45-55</v>
      </c>
      <c r="AG696" s="6"/>
      <c r="AH696" s="6"/>
      <c r="AI696" s="6"/>
      <c r="AJ696" s="6"/>
      <c r="AK696" s="6"/>
      <c r="AL696" s="6"/>
      <c r="AM696" s="6"/>
    </row>
    <row r="697">
      <c r="A697" s="6">
        <v>696.0</v>
      </c>
      <c r="B697" s="6" t="str">
        <f>IFERROR(__xludf.DUMMYFUNCTION("""COMPUTED_VALUE"""),"Образование")</f>
        <v>Образование</v>
      </c>
      <c r="C697" s="6" t="str">
        <f>IFERROR(__xludf.DUMMYFUNCTION("""COMPUTED_VALUE"""),"Сад")</f>
        <v>Сад</v>
      </c>
      <c r="D697" s="6" t="str">
        <f>IFERROR(__xludf.DUMMYFUNCTION("""COMPUTED_VALUE"""),"Заводский")</f>
        <v>Заводский</v>
      </c>
      <c r="E697" s="6" t="str">
        <f>IFERROR(__xludf.DUMMYFUNCTION("""COMPUTED_VALUE"""),"Район швейной фабрики, теперь уже бывшей")</f>
        <v>Район швейной фабрики, теперь уже бывшей</v>
      </c>
      <c r="F697" s="6" t="str">
        <f>IFERROR(__xludf.DUMMYFUNCTION("""COMPUTED_VALUE"""),"Переехал сюда из другого места (откуда? укажите в графе другое), Север России")</f>
        <v>Переехал сюда из другого места (откуда? укажите в графе другое), Север России</v>
      </c>
      <c r="G697" s="6" t="str">
        <f>IFERROR(__xludf.DUMMYFUNCTION("""COMPUTED_VALUE"""),"Лес и река")</f>
        <v>Лес и река</v>
      </c>
      <c r="H697" s="6" t="str">
        <f>IFERROR(__xludf.DUMMYFUNCTION("""COMPUTED_VALUE"""),"К сожалению, шум, пыль, дым... Стало мало зелёных насаждений, даже если сравнивать с началом века")</f>
        <v>К сожалению, шум, пыль, дым... Стало мало зелёных насаждений, даже если сравнивать с началом века</v>
      </c>
      <c r="I697" s="6" t="str">
        <f>IFERROR(__xludf.DUMMYFUNCTION("""COMPUTED_VALUE"""),"Ван Лохем, Рутгерс")</f>
        <v>Ван Лохем, Рутгерс</v>
      </c>
      <c r="J697" s="6" t="str">
        <f>IFERROR(__xludf.DUMMYFUNCTION("""COMPUTED_VALUE"""),"Михайлов")</f>
        <v>Михайлов</v>
      </c>
      <c r="K697" s="6" t="str">
        <f>IFERROR(__xludf.DUMMYFUNCTION("""COMPUTED_VALUE"""),"Городской сад, набережная")</f>
        <v>Городской сад, набережная</v>
      </c>
      <c r="L697" s="6" t="str">
        <f>IFERROR(__xludf.DUMMYFUNCTION("""COMPUTED_VALUE"""),"Две погоды: грязь замерзла и грязь засохла")</f>
        <v>Две погоды: грязь замерзла и грязь засохла</v>
      </c>
      <c r="M697" s="6" t="str">
        <f>IFERROR(__xludf.DUMMYFUNCTION("""COMPUTED_VALUE"""),"Нет")</f>
        <v>Нет</v>
      </c>
      <c r="N697" s="6" t="str">
        <f>IFERROR(__xludf.DUMMYFUNCTION("""COMPUTED_VALUE"""),"Транспорт, парки, скверы, качество дорожного покрытия, количество деревьев в городе, проведение культурного досуга")</f>
        <v>Транспорт, парки, скверы, качество дорожного покрытия, количество деревьев в городе, проведение культурного досуга</v>
      </c>
      <c r="O697" s="6" t="str">
        <f>IFERROR(__xludf.DUMMYFUNCTION("""COMPUTED_VALUE"""),"Уровень зарплат... Сейчас в новых микрорайонах при застройке жутко экономят место... При строительстве хрущёвок было больше сделано для людей в плане организации пространства внутри квартала, площадки внутридворовые, озеленение, сейчас ничего этого нет, б"&amp;"етон стекло и автомобили...")</f>
        <v>Уровень зарплат... Сейчас в новых микрорайонах при застройке жутко экономят место... При строительстве хрущёвок было больше сделано для людей в плане организации пространства внутри квартала, площадки внутридворовые, озеленение, сейчас ничего этого нет, бетон стекло и автомобили...</v>
      </c>
      <c r="P697" s="6" t="str">
        <f>IFERROR(__xludf.DUMMYFUNCTION("""COMPUTED_VALUE"""),"Инстаграм, ВК, яндекс-новости")</f>
        <v>Инстаграм, ВК, яндекс-новости</v>
      </c>
      <c r="Q697" s="6" t="str">
        <f>IFERROR(__xludf.DUMMYFUNCTION("""COMPUTED_VALUE"""),"городская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н"&amp;"овых предприятий), результаты местных исследований (рейтинги/аналитика/тенденции)")</f>
        <v>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697" s="6" t="str">
        <f>IFERROR(__xludf.DUMMYFUNCTION("""COMPUTED_VALUE"""),"День Победы, новый год")</f>
        <v>День Победы, новый год</v>
      </c>
      <c r="S697" s="6" t="str">
        <f>IFERROR(__xludf.DUMMYFUNCTION("""COMPUTED_VALUE"""),"Нет, не приходилось")</f>
        <v>Нет, не приходилось</v>
      </c>
      <c r="T697" s="6" t="str">
        <f>IFERROR(__xludf.DUMMYFUNCTION("""COMPUTED_VALUE"""),"К сожалению, последнее время отрицательные события ")</f>
        <v>К сожалению, последнее время отрицательные события </v>
      </c>
      <c r="U697" s="6" t="str">
        <f>IFERROR(__xludf.DUMMYFUNCTION("""COMPUTED_VALUE"""),"Район цирка, район бывшего второго универсама, площадь советов")</f>
        <v>Район цирка, район бывшего второго универсама, площадь советов</v>
      </c>
      <c r="V697" s="6" t="str">
        <f>IFERROR(__xludf.DUMMYFUNCTION("""COMPUTED_VALUE"""),"Победили фашизм, трудились в тылу, просто учились и работали, чтобы сделать жизнь лучше")</f>
        <v>Победили фашизм, трудились в тылу, просто учились и работали, чтобы сделать жизнь лучше</v>
      </c>
      <c r="W697" s="6" t="str">
        <f>IFERROR(__xludf.DUMMYFUNCTION("""COMPUTED_VALUE"""),"Слишком добрые")</f>
        <v>Слишком добрые</v>
      </c>
      <c r="X697" s="6" t="str">
        <f>IFERROR(__xludf.DUMMYFUNCTION("""COMPUTED_VALUE"""),"По рудничному району погулять, а потом на советский проспект")</f>
        <v>По рудничному району погулять, а потом на советский проспект</v>
      </c>
      <c r="Y697" s="6" t="str">
        <f>IFERROR(__xludf.DUMMYFUNCTION("""COMPUTED_VALUE"""),"Выставка ""Даёшь Кузбасс"" из последнего, открытие горы горелой М.Волковым, с него все и началось")</f>
        <v>Выставка "Даёшь Кузбасс" из последнего, открытие горы горелой М.Волковым, с него все и началось</v>
      </c>
      <c r="Z697" s="6" t="str">
        <f>IFERROR(__xludf.DUMMYFUNCTION("""COMPUTED_VALUE"""),"На самом деле происходит много хорошего и интересного, но человеческая психика устроена так, что отчётливее помнит не ""очень хорошее"", потому что хорошо - так должно быть, а плохое выбивает из колеи")</f>
        <v>На самом деле происходит много хорошего и интересного, но человеческая психика устроена так, что отчётливее помнит не "очень хорошее", потому что хорошо - так должно быть, а плохое выбивает из колеи</v>
      </c>
      <c r="AA697" s="6" t="str">
        <f>IFERROR(__xludf.DUMMYFUNCTION("""COMPUTED_VALUE"""),"Кумовство, коррупция и круговая порука во власти, игнорирование мнения граждан")</f>
        <v>Кумовство, коррупция и круговая порука во власти, игнорирование мнения граждан</v>
      </c>
      <c r="AB697" s="6" t="str">
        <f>IFERROR(__xludf.DUMMYFUNCTION("""COMPUTED_VALUE"""),"Не интересуют сообщества")</f>
        <v>Не интересуют сообщества</v>
      </c>
      <c r="AC697" s="6" t="str">
        <f>IFERROR(__xludf.DUMMYFUNCTION("""COMPUTED_VALUE"""),"Наличие работы с зарплатой, адекватной среднему уровню жизни, тогда будет и возможность и желание посещать различные культурные события и мероприятия")</f>
        <v>Наличие работы с зарплатой, адекватной среднему уровню жизни, тогда будет и возможность и желание посещать различные культурные события и мероприятия</v>
      </c>
      <c r="AD69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697" s="6" t="str">
        <f>IFERROR(__xludf.DUMMYFUNCTION("""COMPUTED_VALUE"""),"Женский")</f>
        <v>Женский</v>
      </c>
      <c r="AF697" s="6" t="str">
        <f>IFERROR(__xludf.DUMMYFUNCTION("""COMPUTED_VALUE"""),"30-44")</f>
        <v>30-44</v>
      </c>
      <c r="AG697" s="6"/>
      <c r="AH697" s="6"/>
      <c r="AI697" s="6"/>
      <c r="AJ697" s="6"/>
      <c r="AK697" s="6"/>
      <c r="AL697" s="6"/>
      <c r="AM697" s="6"/>
    </row>
    <row r="698">
      <c r="A698" s="6">
        <v>697.0</v>
      </c>
      <c r="B698" s="6" t="str">
        <f>IFERROR(__xludf.DUMMYFUNCTION("""COMPUTED_VALUE"""),"Студент")</f>
        <v>Студент</v>
      </c>
      <c r="C698" s="6" t="str">
        <f>IFERROR(__xludf.DUMMYFUNCTION("""COMPUTED_VALUE"""),"Волонтёрская деятельность")</f>
        <v>Волонтёрская деятельность</v>
      </c>
      <c r="D698" s="6" t="str">
        <f>IFERROR(__xludf.DUMMYFUNCTION("""COMPUTED_VALUE"""),"Центральном")</f>
        <v>Центральном</v>
      </c>
      <c r="E698" s="6" t="str">
        <f>IFERROR(__xludf.DUMMYFUNCTION("""COMPUTED_VALUE"""),"Кинотеатр Юбилейный ")</f>
        <v>Кинотеатр Юбилейный </v>
      </c>
      <c r="F698" s="6" t="str">
        <f>IFERROR(__xludf.DUMMYFUNCTION("""COMPUTED_VALUE"""),"Живу здесь с рождения")</f>
        <v>Живу здесь с рождения</v>
      </c>
      <c r="G698" s="6" t="str">
        <f>IFERROR(__xludf.DUMMYFUNCTION("""COMPUTED_VALUE"""),"В комсомольском парке, бульваре строителей")</f>
        <v>В комсомольском парке, бульваре строителей</v>
      </c>
      <c r="H698" s="6" t="str">
        <f>IFERROR(__xludf.DUMMYFUNCTION("""COMPUTED_VALUE"""),"Столица, ")</f>
        <v>Столица, </v>
      </c>
      <c r="I698" s="6" t="str">
        <f>IFERROR(__xludf.DUMMYFUNCTION("""COMPUTED_VALUE"""),"Вера Волошина, Юрий Двужильный")</f>
        <v>Вера Волошина, Юрий Двужильный</v>
      </c>
      <c r="J698" s="6" t="str">
        <f>IFERROR(__xludf.DUMMYFUNCTION("""COMPUTED_VALUE"""),"Аман Гумирович Тулеев, больше никто на ум не приходит")</f>
        <v>Аман Гумирович Тулеев, больше никто на ум не приходит</v>
      </c>
      <c r="K698" s="6" t="str">
        <f>IFERROR(__xludf.DUMMYFUNCTION("""COMPUTED_VALUE"""),"Красная горка")</f>
        <v>Красная горка</v>
      </c>
      <c r="L698" s="6" t="str">
        <f>IFERROR(__xludf.DUMMYFUNCTION("""COMPUTED_VALUE"""),"Не знаю")</f>
        <v>Не знаю</v>
      </c>
      <c r="M698" s="6" t="str">
        <f>IFERROR(__xludf.DUMMYFUNCTION("""COMPUTED_VALUE"""),"В КемеровЕ")</f>
        <v>В КемеровЕ</v>
      </c>
      <c r="N698" s="6" t="str">
        <f>IFERROR(__xludf.DUMMYFUNCTION("""COMPUTED_VALUE"""),"Чистые улицы, зелёные насаждения, чистый воздух, места для прогулок, свободные места для парковок")</f>
        <v>Чистые улицы, зелёные насаждения, чистый воздух, места для прогулок, свободные места для парковок</v>
      </c>
      <c r="O698" s="6" t="str">
        <f>IFERROR(__xludf.DUMMYFUNCTION("""COMPUTED_VALUE"""),"Решить проблему ""черного неба""")</f>
        <v>Решить проблему "черного неба"</v>
      </c>
      <c r="P698" s="6" t="str">
        <f>IFERROR(__xludf.DUMMYFUNCTION("""COMPUTED_VALUE"""),"Яндекс новости")</f>
        <v>Яндекс новости</v>
      </c>
      <c r="Q698" s="6" t="str">
        <f>IFERROR(__xludf.DUMMYFUNCTION("""COMPUTED_VALUE"""),"куда пойти в свободное время")</f>
        <v>куда пойти в свободное время</v>
      </c>
      <c r="R698" s="6" t="str">
        <f>IFERROR(__xludf.DUMMYFUNCTION("""COMPUTED_VALUE"""),"Новый год, День Победы.")</f>
        <v>Новый год, День Победы.</v>
      </c>
      <c r="S698" s="6" t="str">
        <f>IFERROR(__xludf.DUMMYFUNCTION("""COMPUTED_VALUE"""),"Нет, не приходилось")</f>
        <v>Нет, не приходилось</v>
      </c>
      <c r="T698" s="6" t="str">
        <f>IFERROR(__xludf.DUMMYFUNCTION("""COMPUTED_VALUE"""),"Ничего уникального")</f>
        <v>Ничего уникального</v>
      </c>
      <c r="U698" s="6" t="str">
        <f>IFERROR(__xludf.DUMMYFUNCTION("""COMPUTED_VALUE"""),"Бульвар Строителей")</f>
        <v>Бульвар Строителей</v>
      </c>
      <c r="V698" s="6" t="str">
        <f>IFERROR(__xludf.DUMMYFUNCTION("""COMPUTED_VALUE"""),"Не знаю")</f>
        <v>Не знаю</v>
      </c>
      <c r="W698" s="6" t="str">
        <f>IFERROR(__xludf.DUMMYFUNCTION("""COMPUTED_VALUE"""),"Не знаю")</f>
        <v>Не знаю</v>
      </c>
      <c r="X698" s="6" t="str">
        <f>IFERROR(__xludf.DUMMYFUNCTION("""COMPUTED_VALUE"""),"Нужно пройти по проспекту Ленина. От грязи и разрухи привокзальной территории начала проспекта, мимо памятника безответственного отношения к человеческим жизням, до красивого Бульвара Строителей")</f>
        <v>Нужно пройти по проспекту Ленина. От грязи и разрухи привокзальной территории начала проспекта, мимо памятника безответственного отношения к человеческим жизням, до красивого Бульвара Строителей</v>
      </c>
      <c r="Y698" s="6" t="str">
        <f>IFERROR(__xludf.DUMMYFUNCTION("""COMPUTED_VALUE"""),"строительство президентского кадетского училища")</f>
        <v>строительство президентского кадетского училища</v>
      </c>
      <c r="Z698" s="6" t="str">
        <f>IFERROR(__xludf.DUMMYFUNCTION("""COMPUTED_VALUE"""),"Ремонт Бульвара Строителей, строительство президентского кадетского училища")</f>
        <v>Ремонт Бульвара Строителей, строительство президентского кадетского училища</v>
      </c>
      <c r="AA698" s="6" t="str">
        <f>IFERROR(__xludf.DUMMYFUNCTION("""COMPUTED_VALUE"""),"Не знаю")</f>
        <v>Не знаю</v>
      </c>
      <c r="AB698" s="6" t="str">
        <f>IFERROR(__xludf.DUMMYFUNCTION("""COMPUTED_VALUE"""),"авиамоделистов ")</f>
        <v>авиамоделистов </v>
      </c>
      <c r="AC698" s="6" t="str">
        <f>IFERROR(__xludf.DUMMYFUNCTION("""COMPUTED_VALUE"""),"фестивалей творчества, типа Детализации ")</f>
        <v>фестивалей творчества, типа Детализации </v>
      </c>
      <c r="AD69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v>
      </c>
      <c r="AE698" s="6" t="str">
        <f>IFERROR(__xludf.DUMMYFUNCTION("""COMPUTED_VALUE"""),"Мужской")</f>
        <v>Мужской</v>
      </c>
      <c r="AF698" s="6" t="str">
        <f>IFERROR(__xludf.DUMMYFUNCTION("""COMPUTED_VALUE"""),"18-29")</f>
        <v>18-29</v>
      </c>
      <c r="AG698" s="6"/>
      <c r="AH698" s="6"/>
      <c r="AI698" s="6"/>
      <c r="AJ698" s="6"/>
      <c r="AK698" s="6"/>
      <c r="AL698" s="6"/>
      <c r="AM698" s="6"/>
    </row>
    <row r="699">
      <c r="A699" s="6">
        <v>698.0</v>
      </c>
      <c r="B699" s="6" t="str">
        <f>IFERROR(__xludf.DUMMYFUNCTION("""COMPUTED_VALUE"""),"Экономист ")</f>
        <v>Экономист </v>
      </c>
      <c r="C699" s="6" t="str">
        <f>IFERROR(__xludf.DUMMYFUNCTION("""COMPUTED_VALUE"""),"Есть. Спорт , рисование ")</f>
        <v>Есть. Спорт , рисование </v>
      </c>
      <c r="D699" s="6" t="str">
        <f>IFERROR(__xludf.DUMMYFUNCTION("""COMPUTED_VALUE"""),"В центральном ")</f>
        <v>В центральном </v>
      </c>
      <c r="E699" s="6" t="str">
        <f>IFERROR(__xludf.DUMMYFUNCTION("""COMPUTED_VALUE"""),"Район строящийся, ждём окончания завершения строительства спортивных объектов, набережной и Московской площади.Пока ничего знакового нет.")</f>
        <v>Район строящийся, ждём окончания завершения строительства спортивных объектов, набережной и Московской площади.Пока ничего знакового нет.</v>
      </c>
      <c r="F699" s="6" t="str">
        <f>IFERROR(__xludf.DUMMYFUNCTION("""COMPUTED_VALUE"""),"Переехал сюда из другого места (откуда? укажите в графе другое), Топки")</f>
        <v>Переехал сюда из другого места (откуда? укажите в графе другое), Топки</v>
      </c>
      <c r="G699" s="6" t="str">
        <f>IFERROR(__xludf.DUMMYFUNCTION("""COMPUTED_VALUE"""),"Рудничный Бор, в муз ., драм.,театр,филармония, планетарий, в  музеи, рестораны , кафе. ")</f>
        <v>Рудничный Бор, в муз ., драм.,театр,филармония, планетарий, в  музеи, рестораны , кафе. </v>
      </c>
      <c r="H699" s="6" t="str">
        <f>IFERROR(__xludf.DUMMYFUNCTION("""COMPUTED_VALUE"""),"Уголь, шахтёр,Шерегеш, Кузнецкий Алатау, Горная шория. ")</f>
        <v>Уголь, шахтёр,Шерегеш, Кузнецкий Алатау, Горная шория. </v>
      </c>
      <c r="I699" s="6" t="str">
        <f>IFERROR(__xludf.DUMMYFUNCTION("""COMPUTED_VALUE"""),"Михайло Волков")</f>
        <v>Михайло Волков</v>
      </c>
      <c r="J699" s="6" t="str">
        <f>IFERROR(__xludf.DUMMYFUNCTION("""COMPUTED_VALUE"""),"Тулеев А.Г.")</f>
        <v>Тулеев А.Г.</v>
      </c>
      <c r="K699" s="6" t="str">
        <f>IFERROR(__xludf.DUMMYFUNCTION("""COMPUTED_VALUE"""),"Музей -Красная горка")</f>
        <v>Музей -Красная горка</v>
      </c>
      <c r="L699" s="6" t="str">
        <f>IFERROR(__xludf.DUMMYFUNCTION("""COMPUTED_VALUE"""),"Во глубине сибирских руд храните гордое терпенье, Не пропадёт ваш скорбный  труд И дум высокое стремление...и.т.д.")</f>
        <v>Во глубине сибирских руд храните гордое терпенье, Не пропадёт ваш скорбный  труд И дум высокое стремление...и.т.д.</v>
      </c>
      <c r="M699" s="6" t="str">
        <f>IFERROR(__xludf.DUMMYFUNCTION("""COMPUTED_VALUE"""),"Мультифора ")</f>
        <v>Мультифора </v>
      </c>
      <c r="N699" s="6" t="str">
        <f>IFERROR(__xludf.DUMMYFUNCTION("""COMPUTED_VALUE"""),"Экология. Чистота.Озеленение. Прогулочные зоны для отдыха . Доступность услуг и товаров ")</f>
        <v>Экология. Чистота.Озеленение. Прогулочные зоны для отдыха . Доступность услуг и товаров </v>
      </c>
      <c r="O699" s="6" t="str">
        <f>IFERROR(__xludf.DUMMYFUNCTION("""COMPUTED_VALUE"""),"Дороги во дворах и при въезде в город привести в порядок, а так же ремонт фасадов зданий. Не моются дороги и тротуары. Очень пыльно и грязно. Особенно сейчас , пешком гулять не возможно. ")</f>
        <v>Дороги во дворах и при въезде в город привести в порядок, а так же ремонт фасадов зданий. Не моются дороги и тротуары. Очень пыльно и грязно. Особенно сейчас , пешком гулять не возможно. </v>
      </c>
      <c r="P699" s="6" t="str">
        <f>IFERROR(__xludf.DUMMYFUNCTION("""COMPUTED_VALUE"""),"Кузбассонлайн, Гугл, афиша")</f>
        <v>Кузбассонлайн, Гугл, афиша</v>
      </c>
      <c r="Q699"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м"&amp;"естных исследований (рейтинги/аналитика/тенденции), интервью с экспертами на разные темы (напишите в разделе Другое свои предложения), Экономика Кузбасса, перспективы развития и улучшения уровня жизни населения и качество жизни. Медицина и образование. Бо"&amp;"льшой отток квалифицированных кадров из данных отраслей.")</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Экономика Кузбасса, перспективы развития и улучшения уровня жизни населения и качество жизни. Медицина и образование. Большой отток квалифицированных кадров из данных отраслей.</v>
      </c>
      <c r="R699" s="6" t="str">
        <f>IFERROR(__xludf.DUMMYFUNCTION("""COMPUTED_VALUE"""),"День города. День шахтера.День победы. Новый год. ")</f>
        <v>День города. День шахтера.День победы. Новый год. </v>
      </c>
      <c r="S699" s="6" t="str">
        <f>IFERROR(__xludf.DUMMYFUNCTION("""COMPUTED_VALUE"""),"Нет, не приходилось")</f>
        <v>Нет, не приходилось</v>
      </c>
      <c r="T699" s="6" t="str">
        <f>IFERROR(__xludf.DUMMYFUNCTION("""COMPUTED_VALUE"""),"Кузбасский угольный бассейн. Шахтерский край. Ужасная трагедия в Зимней вишне. Уникальности не заметила.  небольшой Сибирский город уютный. ")</f>
        <v>Кузбасский угольный бассейн. Шахтерский край. Ужасная трагедия в Зимней вишне. Уникальности не заметила.  небольшой Сибирский город уютный. </v>
      </c>
      <c r="U699" s="6" t="str">
        <f>IFERROR(__xludf.DUMMYFUNCTION("""COMPUTED_VALUE"""),"Площадь Советов")</f>
        <v>Площадь Советов</v>
      </c>
      <c r="V699" s="6" t="str">
        <f>IFERROR(__xludf.DUMMYFUNCTION("""COMPUTED_VALUE"""),"Трудились.")</f>
        <v>Трудились.</v>
      </c>
      <c r="W699" s="6" t="str">
        <f>IFERROR(__xludf.DUMMYFUNCTION("""COMPUTED_VALUE"""),"Добрые , отзывчивые.")</f>
        <v>Добрые , отзывчивые.</v>
      </c>
      <c r="X699" s="6" t="str">
        <f>IFERROR(__xludf.DUMMYFUNCTION("""COMPUTED_VALUE"""),"Старый центр")</f>
        <v>Старый центр</v>
      </c>
      <c r="Y699" s="6" t="str">
        <f>IFERROR(__xludf.DUMMYFUNCTION("""COMPUTED_VALUE"""),"Не подскажу ")</f>
        <v>Не подскажу </v>
      </c>
      <c r="Z699" s="6" t="str">
        <f>IFERROR(__xludf.DUMMYFUNCTION("""COMPUTED_VALUE"""),"Не подскажу")</f>
        <v>Не подскажу</v>
      </c>
      <c r="AA699" s="6" t="str">
        <f>IFERROR(__xludf.DUMMYFUNCTION("""COMPUTED_VALUE"""),"Не подскажу")</f>
        <v>Не подскажу</v>
      </c>
      <c r="AB699" s="6" t="str">
        <f>IFERROR(__xludf.DUMMYFUNCTION("""COMPUTED_VALUE"""),"Ещё не разобралась")</f>
        <v>Ещё не разобралась</v>
      </c>
      <c r="AC699" s="6" t="str">
        <f>IFERROR(__xludf.DUMMYFUNCTION("""COMPUTED_VALUE"""),"По больше интересных мастерклассов для детей , различных акций и розыгрышей для привлечения активных жителей города на выставки в музеи театры, увлеченность населения ")</f>
        <v>По больше интересных мастерклассов для детей , различных акций и розыгрышей для привлечения активных жителей города на выставки в музеи театры, увлеченность населения </v>
      </c>
      <c r="AD699" s="6" t="str">
        <f>IFERROR(__xludf.DUMMYFUNCTION("""COMPUTED_VALUE"""),"Не закончилась адаптация в связи с переездом ")</f>
        <v>Не закончилась адаптация в связи с переездом </v>
      </c>
      <c r="AE699" s="6" t="str">
        <f>IFERROR(__xludf.DUMMYFUNCTION("""COMPUTED_VALUE"""),"Женский")</f>
        <v>Женский</v>
      </c>
      <c r="AF699" s="6" t="str">
        <f>IFERROR(__xludf.DUMMYFUNCTION("""COMPUTED_VALUE"""),"30-44")</f>
        <v>30-44</v>
      </c>
      <c r="AG699" s="6"/>
      <c r="AH699" s="6"/>
      <c r="AI699" s="6"/>
      <c r="AJ699" s="6"/>
      <c r="AK699" s="6"/>
      <c r="AL699" s="6"/>
      <c r="AM699" s="6"/>
    </row>
    <row r="700">
      <c r="A700" s="6">
        <v>699.0</v>
      </c>
      <c r="B700" s="6" t="str">
        <f>IFERROR(__xludf.DUMMYFUNCTION("""COMPUTED_VALUE"""),"Работаю в GoodLine. Хожу в тренажерный зал. ")</f>
        <v>Работаю в GoodLine. Хожу в тренажерный зал. </v>
      </c>
      <c r="C700" s="6" t="str">
        <f>IFERROR(__xludf.DUMMYFUNCTION("""COMPUTED_VALUE"""),"Визаж. Параллельно также приносит небольшой заработок")</f>
        <v>Визаж. Параллельно также приносит небольшой заработок</v>
      </c>
      <c r="D700" s="6" t="str">
        <f>IFERROR(__xludf.DUMMYFUNCTION("""COMPUTED_VALUE"""),"Рудничный (Радуга)")</f>
        <v>Рудничный (Радуга)</v>
      </c>
      <c r="E700" s="6" t="str">
        <f>IFERROR(__xludf.DUMMYFUNCTION("""COMPUTED_VALUE"""),"Красная горка, аллея с памятником Волкову")</f>
        <v>Красная горка, аллея с памятником Волкову</v>
      </c>
      <c r="F700" s="6" t="str">
        <f>IFERROR(__xludf.DUMMYFUNCTION("""COMPUTED_VALUE"""),"Живу здесь с рождения")</f>
        <v>Живу здесь с рождения</v>
      </c>
      <c r="G700" s="6" t="str">
        <f>IFERROR(__xludf.DUMMYFUNCTION("""COMPUTED_VALUE"""),"Центр, Бульвары Пионерский и Строителей, Радуга (новая)")</f>
        <v>Центр, Бульвары Пионерский и Строителей, Радуга (новая)</v>
      </c>
      <c r="H700" s="6" t="str">
        <f>IFERROR(__xludf.DUMMYFUNCTION("""COMPUTED_VALUE"""),"Тишина, Красивая набережная, Заводы, Плохая логистика, Столица")</f>
        <v>Тишина, Красивая набережная, Заводы, Плохая логистика, Столица</v>
      </c>
      <c r="I700" s="6" t="str">
        <f>IFERROR(__xludf.DUMMYFUNCTION("""COMPUTED_VALUE"""),"Михайло Волков")</f>
        <v>Михайло Волков</v>
      </c>
      <c r="J700" s="6" t="str">
        <f>IFERROR(__xludf.DUMMYFUNCTION("""COMPUTED_VALUE"""),"Нет ответа")</f>
        <v>Нет ответа</v>
      </c>
      <c r="K700" s="6" t="str">
        <f>IFERROR(__xludf.DUMMYFUNCTION("""COMPUTED_VALUE"""),"Красная горка, набережная")</f>
        <v>Красная горка, набережная</v>
      </c>
      <c r="L700" s="6" t="str">
        <f>IFERROR(__xludf.DUMMYFUNCTION("""COMPUTED_VALUE"""),"Не пойман - не вор")</f>
        <v>Не пойман - не вор</v>
      </c>
      <c r="M700" s="6" t="str">
        <f>IFERROR(__xludf.DUMMYFUNCTION("""COMPUTED_VALUE"""),"нет")</f>
        <v>нет</v>
      </c>
      <c r="N700" s="6" t="str">
        <f>IFERROR(__xludf.DUMMYFUNCTION("""COMPUTED_VALUE"""),"Тихо, пробок не так много, спокойно (без криминала), красивый, есть река")</f>
        <v>Тихо, пробок не так много, спокойно (без криминала), красивый, есть река</v>
      </c>
      <c r="O700" s="6" t="str">
        <f>IFERROR(__xludf.DUMMYFUNCTION("""COMPUTED_VALUE"""),"Логистика с другими городами и странами, Более современные ТЦ, Крутые современные парки")</f>
        <v>Логистика с другими городами и странами, Более современные ТЦ, Крутые современные парки</v>
      </c>
      <c r="P700" s="6" t="str">
        <f>IFERROR(__xludf.DUMMYFUNCTION("""COMPUTED_VALUE"""),"Гугл, Инцидент Кемерово (инст), Типичный Кемерово (ВК), Все42")</f>
        <v>Гугл, Инцидент Кемерово (инст), Типичный Кемерово (ВК), Все42</v>
      </c>
      <c r="Q700"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результаты местных исследований ("&amp;"рейтинги/аналитика/тенденции)")</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700" s="6" t="str">
        <f>IFERROR(__xludf.DUMMYFUNCTION("""COMPUTED_VALUE"""),"День города, День Победы")</f>
        <v>День города, День Победы</v>
      </c>
      <c r="S700" s="6" t="str">
        <f>IFERROR(__xludf.DUMMYFUNCTION("""COMPUTED_VALUE"""),"Нет, не приходилось")</f>
        <v>Нет, не приходилось</v>
      </c>
      <c r="T700" s="6" t="str">
        <f>IFERROR(__xludf.DUMMYFUNCTION("""COMPUTED_VALUE"""),"Зимняя вишня, к сожалению. Когда общаешься с жителями других городов и называешь свой, это самая частая ассоциация у людей.")</f>
        <v>Зимняя вишня, к сожалению. Когда общаешься с жителями других городов и называешь свой, это самая частая ассоциация у людей.</v>
      </c>
      <c r="U700" s="6" t="str">
        <f>IFERROR(__xludf.DUMMYFUNCTION("""COMPUTED_VALUE"""),"Площадь советов")</f>
        <v>Площадь советов</v>
      </c>
      <c r="V700" s="6" t="str">
        <f>IFERROR(__xludf.DUMMYFUNCTION("""COMPUTED_VALUE"""),"Архитектура")</f>
        <v>Архитектура</v>
      </c>
      <c r="W700" s="6" t="str">
        <f>IFERROR(__xludf.DUMMYFUNCTION("""COMPUTED_VALUE"""),"Спокойные, отзывчивые")</f>
        <v>Спокойные, отзывчивые</v>
      </c>
      <c r="X700" s="6" t="str">
        <f>IFERROR(__xludf.DUMMYFUNCTION("""COMPUTED_VALUE"""),"Центр (набережная, гор сад, площадь совета, площадь Пушкина)")</f>
        <v>Центр (набережная, гор сад, площадь совета, площадь Пушкина)</v>
      </c>
      <c r="Y700" s="6" t="str">
        <f>IFERROR(__xludf.DUMMYFUNCTION("""COMPUTED_VALUE"""),"не знаю")</f>
        <v>не знаю</v>
      </c>
      <c r="Z700" s="6" t="str">
        <f>IFERROR(__xludf.DUMMYFUNCTION("""COMPUTED_VALUE"""),"Когда приезжали артисты на день города (Гагарина, Тимати итд)")</f>
        <v>Когда приезжали артисты на день города (Гагарина, Тимати итд)</v>
      </c>
      <c r="AA700" s="6" t="str">
        <f>IFERROR(__xludf.DUMMYFUNCTION("""COMPUTED_VALUE"""),"Зимняя вишня")</f>
        <v>Зимняя вишня</v>
      </c>
      <c r="AB700" s="6" t="str">
        <f>IFERROR(__xludf.DUMMYFUNCTION("""COMPUTED_VALUE"""),"не могу ответить")</f>
        <v>не могу ответить</v>
      </c>
      <c r="AC700" s="6" t="str">
        <f>IFERROR(__xludf.DUMMYFUNCTION("""COMPUTED_VALUE"""),"больше открытых вечеринок (раньше на красном озере проходили опэн эйры), интересные выставки")</f>
        <v>больше открытых вечеринок (раньше на красном озере проходили опэн эйры), интересные выставки</v>
      </c>
      <c r="AD70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00" s="6" t="str">
        <f>IFERROR(__xludf.DUMMYFUNCTION("""COMPUTED_VALUE"""),"Женский")</f>
        <v>Женский</v>
      </c>
      <c r="AF700" s="6" t="str">
        <f>IFERROR(__xludf.DUMMYFUNCTION("""COMPUTED_VALUE"""),"18-29")</f>
        <v>18-29</v>
      </c>
      <c r="AG700" s="6"/>
      <c r="AH700" s="6"/>
      <c r="AI700" s="6"/>
      <c r="AJ700" s="6"/>
      <c r="AK700" s="6"/>
      <c r="AL700" s="6"/>
      <c r="AM700" s="6"/>
    </row>
    <row r="701">
      <c r="A701" s="6">
        <v>700.0</v>
      </c>
      <c r="B701" s="6" t="str">
        <f>IFERROR(__xludf.DUMMYFUNCTION("""COMPUTED_VALUE"""),"Работник культуры ")</f>
        <v>Работник культуры </v>
      </c>
      <c r="C701" s="6" t="str">
        <f>IFERROR(__xludf.DUMMYFUNCTION("""COMPUTED_VALUE"""),"Вокал")</f>
        <v>Вокал</v>
      </c>
      <c r="D701" s="6" t="str">
        <f>IFERROR(__xludf.DUMMYFUNCTION("""COMPUTED_VALUE"""),"Ленинский ")</f>
        <v>Ленинский </v>
      </c>
      <c r="E701" s="6" t="str">
        <f>IFERROR(__xludf.DUMMYFUNCTION("""COMPUTED_VALUE"""),"Лента")</f>
        <v>Лента</v>
      </c>
      <c r="F701" s="6" t="str">
        <f>IFERROR(__xludf.DUMMYFUNCTION("""COMPUTED_VALUE"""),"Не живу,но приезжаю сюда (к родственникам/друзьям)")</f>
        <v>Не живу,но приезжаю сюда (к родственникам/друзьям)</v>
      </c>
      <c r="G701" s="6" t="str">
        <f>IFERROR(__xludf.DUMMYFUNCTION("""COMPUTED_VALUE"""),"Парк чудес")</f>
        <v>Парк чудес</v>
      </c>
      <c r="H701" s="6" t="str">
        <f>IFERROR(__xludf.DUMMYFUNCTION("""COMPUTED_VALUE"""),"Драмтеатр
Филармония
Набережная
Кузбасс
Томь")</f>
        <v>Драмтеатр
Филармония
Набережная
Кузбасс
Томь</v>
      </c>
      <c r="I701" s="6" t="str">
        <f>IFERROR(__xludf.DUMMYFUNCTION("""COMPUTED_VALUE"""),"Леонов")</f>
        <v>Леонов</v>
      </c>
      <c r="J701" s="6" t="str">
        <f>IFERROR(__xludf.DUMMYFUNCTION("""COMPUTED_VALUE"""),"Цивилев С. Е")</f>
        <v>Цивилев С. Е</v>
      </c>
      <c r="K701" s="6" t="str">
        <f>IFERROR(__xludf.DUMMYFUNCTION("""COMPUTED_VALUE"""),"Парк ангелов")</f>
        <v>Парк ангелов</v>
      </c>
      <c r="L701" s="6" t="str">
        <f>IFERROR(__xludf.DUMMYFUNCTION("""COMPUTED_VALUE"""),"Не знаю")</f>
        <v>Не знаю</v>
      </c>
      <c r="M701" s="6" t="str">
        <f>IFERROR(__xludf.DUMMYFUNCTION("""COMPUTED_VALUE"""),"Нет")</f>
        <v>Нет</v>
      </c>
      <c r="N701" s="6" t="str">
        <f>IFERROR(__xludf.DUMMYFUNCTION("""COMPUTED_VALUE"""),"Места для прогулки с детьми ")</f>
        <v>Места для прогулки с детьми </v>
      </c>
      <c r="O701" s="6" t="str">
        <f>IFERROR(__xludf.DUMMYFUNCTION("""COMPUTED_VALUE"""),"Нет ответа")</f>
        <v>Нет ответа</v>
      </c>
      <c r="P701" s="6" t="str">
        <f>IFERROR(__xludf.DUMMYFUNCTION("""COMPUTED_VALUE"""),"Инстаграм")</f>
        <v>Инстаграм</v>
      </c>
      <c r="Q701" s="6" t="str">
        <f>IFERROR(__xludf.DUMMYFUNCTION("""COMPUTED_VALUE"""),"городская афиша (кино/театр/концерты), интервью с местными творческими личностями, криминальные новости (происшествия/преступления),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криминальные новости (происшествия/преступления), интервью с экспертами на разные темы (напишите в разделе Другое свои предложения)</v>
      </c>
      <c r="R701" s="6" t="str">
        <f>IFERROR(__xludf.DUMMYFUNCTION("""COMPUTED_VALUE"""),"День победы
День шахтёра ")</f>
        <v>День победы
День шахтёра </v>
      </c>
      <c r="S701" s="6" t="str">
        <f>IFERROR(__xludf.DUMMYFUNCTION("""COMPUTED_VALUE"""),"Нет, не приходилось")</f>
        <v>Нет, не приходилось</v>
      </c>
      <c r="T701" s="6" t="str">
        <f>IFERROR(__xludf.DUMMYFUNCTION("""COMPUTED_VALUE"""),"Парк ангелов ")</f>
        <v>Парк ангелов </v>
      </c>
      <c r="U701" s="6" t="str">
        <f>IFERROR(__xludf.DUMMYFUNCTION("""COMPUTED_VALUE"""),"Набережная")</f>
        <v>Набережная</v>
      </c>
      <c r="V701" s="6" t="str">
        <f>IFERROR(__xludf.DUMMYFUNCTION("""COMPUTED_VALUE"""),"Нет ответа ")</f>
        <v>Нет ответа </v>
      </c>
      <c r="W701" s="6" t="str">
        <f>IFERROR(__xludf.DUMMYFUNCTION("""COMPUTED_VALUE"""),"Суетливые
Грубоватые")</f>
        <v>Суетливые
Грубоватые</v>
      </c>
      <c r="X701" s="6" t="str">
        <f>IFERROR(__xludf.DUMMYFUNCTION("""COMPUTED_VALUE"""),"Парк ангелов ")</f>
        <v>Парк ангелов </v>
      </c>
      <c r="Y701" s="6" t="str">
        <f>IFERROR(__xludf.DUMMYFUNCTION("""COMPUTED_VALUE"""),"Пожар в зимней вишне")</f>
        <v>Пожар в зимней вишне</v>
      </c>
      <c r="Z701" s="6" t="str">
        <f>IFERROR(__xludf.DUMMYFUNCTION("""COMPUTED_VALUE"""),"Нет ответа ")</f>
        <v>Нет ответа </v>
      </c>
      <c r="AA701" s="6" t="str">
        <f>IFERROR(__xludf.DUMMYFUNCTION("""COMPUTED_VALUE"""),"Нет ответа ")</f>
        <v>Нет ответа </v>
      </c>
      <c r="AB701" s="6" t="str">
        <f>IFERROR(__xludf.DUMMYFUNCTION("""COMPUTED_VALUE"""),"Всего хватает")</f>
        <v>Всего хватает</v>
      </c>
      <c r="AC701" s="6" t="str">
        <f>IFERROR(__xludf.DUMMYFUNCTION("""COMPUTED_VALUE"""),"Не знаю ")</f>
        <v>Не знаю </v>
      </c>
      <c r="AD70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01" s="6" t="str">
        <f>IFERROR(__xludf.DUMMYFUNCTION("""COMPUTED_VALUE"""),"Женский")</f>
        <v>Женский</v>
      </c>
      <c r="AF701" s="6" t="str">
        <f>IFERROR(__xludf.DUMMYFUNCTION("""COMPUTED_VALUE"""),"30-44")</f>
        <v>30-44</v>
      </c>
      <c r="AG701" s="6"/>
      <c r="AH701" s="6"/>
      <c r="AI701" s="6"/>
      <c r="AJ701" s="6"/>
      <c r="AK701" s="6"/>
      <c r="AL701" s="6"/>
      <c r="AM701" s="6"/>
    </row>
    <row r="702">
      <c r="A702" s="6">
        <v>701.0</v>
      </c>
      <c r="B702" s="6" t="str">
        <f>IFERROR(__xludf.DUMMYFUNCTION("""COMPUTED_VALUE"""),"сельским хозяйством")</f>
        <v>сельским хозяйством</v>
      </c>
      <c r="C702" s="6" t="str">
        <f>IFERROR(__xludf.DUMMYFUNCTION("""COMPUTED_VALUE"""),"учеба")</f>
        <v>учеба</v>
      </c>
      <c r="D702" s="6" t="str">
        <f>IFERROR(__xludf.DUMMYFUNCTION("""COMPUTED_VALUE"""),"рудничный, ленинский")</f>
        <v>рудничный, ленинский</v>
      </c>
      <c r="E702" s="6" t="str">
        <f>IFERROR(__xludf.DUMMYFUNCTION("""COMPUTED_VALUE"""),"сосновый бор, красная горка")</f>
        <v>сосновый бор, красная горка</v>
      </c>
      <c r="F702" s="6" t="str">
        <f>IFERROR(__xludf.DUMMYFUNCTION("""COMPUTED_VALUE"""),"Не живу,но приезжаю сюда (к родственникам/друзьям)")</f>
        <v>Не живу,но приезжаю сюда (к родственникам/друзьям)</v>
      </c>
      <c r="G702" s="6" t="str">
        <f>IFERROR(__xludf.DUMMYFUNCTION("""COMPUTED_VALUE"""),"не куда")</f>
        <v>не куда</v>
      </c>
      <c r="H702" s="6" t="str">
        <f>IFERROR(__xludf.DUMMYFUNCTION("""COMPUTED_VALUE"""),"уголь
кузбасс
бассейн 
азот
")</f>
        <v>уголь
кузбасс
бассейн 
азот
</v>
      </c>
      <c r="I702" s="6" t="str">
        <f>IFERROR(__xludf.DUMMYFUNCTION("""COMPUTED_VALUE"""),"волков михайло")</f>
        <v>волков михайло</v>
      </c>
      <c r="J702" s="6" t="str">
        <f>IFERROR(__xludf.DUMMYFUNCTION("""COMPUTED_VALUE"""),"виктор логинов")</f>
        <v>виктор логинов</v>
      </c>
      <c r="K702" s="6" t="str">
        <f>IFERROR(__xludf.DUMMYFUNCTION("""COMPUTED_VALUE"""),"надпись кузбасс")</f>
        <v>надпись кузбасс</v>
      </c>
      <c r="L702" s="6" t="str">
        <f>IFERROR(__xludf.DUMMYFUNCTION("""COMPUTED_VALUE"""),"где живут там и срут")</f>
        <v>где живут там и срут</v>
      </c>
      <c r="M702" s="6" t="str">
        <f>IFERROR(__xludf.DUMMYFUNCTION("""COMPUTED_VALUE"""),"в кемерове")</f>
        <v>в кемерове</v>
      </c>
      <c r="N702" s="6" t="str">
        <f>IFERROR(__xludf.DUMMYFUNCTION("""COMPUTED_VALUE"""),"комфортные улицы и места для гуляния")</f>
        <v>комфортные улицы и места для гуляния</v>
      </c>
      <c r="O702" s="6" t="str">
        <f>IFERROR(__xludf.DUMMYFUNCTION("""COMPUTED_VALUE"""),"дороги
пробки
правительство")</f>
        <v>дороги
пробки
правительство</v>
      </c>
      <c r="P702" s="6" t="str">
        <f>IFERROR(__xludf.DUMMYFUNCTION("""COMPUTED_VALUE"""),"вести кузбасс")</f>
        <v>вести кузбасс</v>
      </c>
      <c r="Q702" s="6" t="str">
        <f>IFERROR(__xludf.DUMMYFUNCTION("""COMPUTED_VALUE"""),"интервью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f>
        <v>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v>
      </c>
      <c r="R702" s="6" t="str">
        <f>IFERROR(__xludf.DUMMYFUNCTION("""COMPUTED_VALUE"""),"день победы")</f>
        <v>день победы</v>
      </c>
      <c r="S702" s="6" t="str">
        <f>IFERROR(__xludf.DUMMYFUNCTION("""COMPUTED_VALUE"""),"Нет, не приходилось")</f>
        <v>Нет, не приходилось</v>
      </c>
      <c r="T702" s="6" t="str">
        <f>IFERROR(__xludf.DUMMYFUNCTION("""COMPUTED_VALUE"""),"не знаю")</f>
        <v>не знаю</v>
      </c>
      <c r="U702" s="6" t="str">
        <f>IFERROR(__xludf.DUMMYFUNCTION("""COMPUTED_VALUE"""),"площадь советов")</f>
        <v>площадь советов</v>
      </c>
      <c r="V702" s="6" t="str">
        <f>IFERROR(__xludf.DUMMYFUNCTION("""COMPUTED_VALUE"""),"не помню")</f>
        <v>не помню</v>
      </c>
      <c r="W702" s="6" t="str">
        <f>IFERROR(__xludf.DUMMYFUNCTION("""COMPUTED_VALUE"""),"злопамятные")</f>
        <v>злопамятные</v>
      </c>
      <c r="X702" s="6" t="str">
        <f>IFERROR(__xludf.DUMMYFUNCTION("""COMPUTED_VALUE"""),"улица ленина")</f>
        <v>улица ленина</v>
      </c>
      <c r="Y702" s="6" t="str">
        <f>IFERROR(__xludf.DUMMYFUNCTION("""COMPUTED_VALUE"""),"открытие угля")</f>
        <v>открытие угля</v>
      </c>
      <c r="Z702" s="6" t="str">
        <f>IFERROR(__xludf.DUMMYFUNCTION("""COMPUTED_VALUE"""),"не знаю")</f>
        <v>не знаю</v>
      </c>
      <c r="AA702" s="6" t="str">
        <f>IFERROR(__xludf.DUMMYFUNCTION("""COMPUTED_VALUE"""),"не интересовался")</f>
        <v>не интересовался</v>
      </c>
      <c r="AB702" s="6" t="str">
        <f>IFERROR(__xludf.DUMMYFUNCTION("""COMPUTED_VALUE"""),"всего хватает")</f>
        <v>всего хватает</v>
      </c>
      <c r="AC702" s="6" t="str">
        <f>IFERROR(__xludf.DUMMYFUNCTION("""COMPUTED_VALUE"""),"открытие новых рабочих мест, создание благоприятной среды проживания")</f>
        <v>открытие новых рабочих мест, создание благоприятной среды проживания</v>
      </c>
      <c r="AD702"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702" s="6" t="str">
        <f>IFERROR(__xludf.DUMMYFUNCTION("""COMPUTED_VALUE"""),"Мужской")</f>
        <v>Мужской</v>
      </c>
      <c r="AF702" s="6" t="str">
        <f>IFERROR(__xludf.DUMMYFUNCTION("""COMPUTED_VALUE"""),"18-29")</f>
        <v>18-29</v>
      </c>
      <c r="AG702" s="6"/>
      <c r="AH702" s="6"/>
      <c r="AI702" s="6"/>
      <c r="AJ702" s="6"/>
      <c r="AK702" s="6"/>
      <c r="AL702" s="6"/>
      <c r="AM702" s="6"/>
    </row>
    <row r="703">
      <c r="A703" s="6">
        <v>702.0</v>
      </c>
      <c r="B703" s="6" t="str">
        <f>IFERROR(__xludf.DUMMYFUNCTION("""COMPUTED_VALUE"""),"Танцевальный инструктор. ")</f>
        <v>Танцевальный инструктор. </v>
      </c>
      <c r="C703" s="6" t="str">
        <f>IFERROR(__xludf.DUMMYFUNCTION("""COMPUTED_VALUE"""),"Занимаюсь изготовлением эксклюзивных украшений в винтажном стиле и амулетов ловец снов. ")</f>
        <v>Занимаюсь изготовлением эксклюзивных украшений в винтажном стиле и амулетов ловец снов. </v>
      </c>
      <c r="D703" s="6" t="str">
        <f>IFERROR(__xludf.DUMMYFUNCTION("""COMPUTED_VALUE"""),"Кировский")</f>
        <v>Кировский</v>
      </c>
      <c r="E703" s="6" t="str">
        <f>IFERROR(__xludf.DUMMYFUNCTION("""COMPUTED_VALUE"""),"Набережная")</f>
        <v>Набережная</v>
      </c>
      <c r="F703" s="6" t="str">
        <f>IFERROR(__xludf.DUMMYFUNCTION("""COMPUTED_VALUE"""),"Переехал сюда из другого места (откуда? укажите в графе другое), Кыргызстан ")</f>
        <v>Переехал сюда из другого места (откуда? укажите в графе другое), Кыргызстан </v>
      </c>
      <c r="G703" s="6" t="str">
        <f>IFERROR(__xludf.DUMMYFUNCTION("""COMPUTED_VALUE"""),"Набережная кировского, парки, рощи")</f>
        <v>Набережная кировского, парки, рощи</v>
      </c>
      <c r="H703" s="6" t="str">
        <f>IFERROR(__xludf.DUMMYFUNCTION("""COMPUTED_VALUE"""),"Аккуратный, скромный, маленький, тихий, спокойный")</f>
        <v>Аккуратный, скромный, маленький, тихий, спокойный</v>
      </c>
      <c r="I703" s="6" t="str">
        <f>IFERROR(__xludf.DUMMYFUNCTION("""COMPUTED_VALUE"""),"Леонов")</f>
        <v>Леонов</v>
      </c>
      <c r="J703" s="6" t="str">
        <f>IFERROR(__xludf.DUMMYFUNCTION("""COMPUTED_VALUE"""),"Гришковец. ")</f>
        <v>Гришковец. </v>
      </c>
      <c r="K703" s="6" t="str">
        <f>IFERROR(__xludf.DUMMYFUNCTION("""COMPUTED_VALUE"""),"Заброшенные заводы кировского. Больше не знаю ")</f>
        <v>Заброшенные заводы кировского. Больше не знаю </v>
      </c>
      <c r="L703" s="6" t="str">
        <f>IFERROR(__xludf.DUMMYFUNCTION("""COMPUTED_VALUE"""),"""человек из Кемерово"" 😄")</f>
        <v>"человек из Кемерово" 😄</v>
      </c>
      <c r="M703" s="6" t="str">
        <f>IFERROR(__xludf.DUMMYFUNCTION("""COMPUTED_VALUE"""),"---нет")</f>
        <v>---нет</v>
      </c>
      <c r="N703" s="6" t="str">
        <f>IFERROR(__xludf.DUMMYFUNCTION("""COMPUTED_VALUE"""),"Безопасность, вежливость, чистота, удобство, приличная работа общественного транспорта, ")</f>
        <v>Безопасность, вежливость, чистота, удобство, приличная работа общественного транспорта, </v>
      </c>
      <c r="O703" s="6" t="str">
        <f>IFERROR(__xludf.DUMMYFUNCTION("""COMPUTED_VALUE"""),"Экология в плачевно состоянии")</f>
        <v>Экология в плачевно состоянии</v>
      </c>
      <c r="P703" s="6" t="str">
        <f>IFERROR(__xludf.DUMMYFUNCTION("""COMPUTED_VALUE"""),"С этим туго, очень мало ресурсов, откуда можно узнать о мероприятиях. ")</f>
        <v>С этим туго, очень мало ресурсов, откуда можно узнать о мероприятиях. </v>
      </c>
      <c r="Q703"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703" s="6" t="str">
        <f>IFERROR(__xludf.DUMMYFUNCTION("""COMPUTED_VALUE"""),"Летние мероприятия, уличные ярмарки, праздники города")</f>
        <v>Летние мероприятия, уличные ярмарки, праздники города</v>
      </c>
      <c r="S703" s="6" t="str">
        <f>IFERROR(__xludf.DUMMYFUNCTION("""COMPUTED_VALUE"""),"Через социальные сети (Какие? Укажите в графе другое), Вк, инстаграм ")</f>
        <v>Через социальные сети (Какие? Укажите в графе другое), Вк, инстаграм </v>
      </c>
      <c r="T703" s="6" t="str">
        <f>IFERROR(__xludf.DUMMYFUNCTION("""COMPUTED_VALUE"""),"Затрудняюсь ответить")</f>
        <v>Затрудняюсь ответить</v>
      </c>
      <c r="U703" s="6" t="str">
        <f>IFERROR(__xludf.DUMMYFUNCTION("""COMPUTED_VALUE"""),"Фантан, весенняя")</f>
        <v>Фантан, весенняя</v>
      </c>
      <c r="V703" s="6" t="str">
        <f>IFERROR(__xludf.DUMMYFUNCTION("""COMPUTED_VALUE"""),"Архитектура кировского достойна гордости. ")</f>
        <v>Архитектура кировского достойна гордости. </v>
      </c>
      <c r="W703" s="6" t="str">
        <f>IFERROR(__xludf.DUMMYFUNCTION("""COMPUTED_VALUE"""),"Замкнутые, осуждаюшие ярких людей, скучные, вежливые")</f>
        <v>Замкнутые, осуждаюшие ярких людей, скучные, вежливые</v>
      </c>
      <c r="X703" s="6" t="str">
        <f>IFERROR(__xludf.DUMMYFUNCTION("""COMPUTED_VALUE"""),"Весенняя, набережная, горсад, набережная кировского ")</f>
        <v>Весенняя, набережная, горсад, набережная кировского </v>
      </c>
      <c r="Y703" s="6" t="str">
        <f>IFERROR(__xludf.DUMMYFUNCTION("""COMPUTED_VALUE"""),"Затрудняюсь ответить, очень много")</f>
        <v>Затрудняюсь ответить, очень много</v>
      </c>
      <c r="Z703" s="6" t="str">
        <f>IFERROR(__xludf.DUMMYFUNCTION("""COMPUTED_VALUE"""),"Выступления нашей танцевальной группы на уличных мероприятиях")</f>
        <v>Выступления нашей танцевальной группы на уличных мероприятиях</v>
      </c>
      <c r="AA703" s="6" t="str">
        <f>IFERROR(__xludf.DUMMYFUNCTION("""COMPUTED_VALUE"""),"Зимняя вишня, ужасные происшествия с подростками и детьми. ")</f>
        <v>Зимняя вишня, ужасные происшествия с подростками и детьми. </v>
      </c>
      <c r="AB703" s="6" t="str">
        <f>IFERROR(__xludf.DUMMYFUNCTION("""COMPUTED_VALUE"""),"Танцевальных")</f>
        <v>Танцевальных</v>
      </c>
      <c r="AC703" s="6" t="str">
        <f>IFERROR(__xludf.DUMMYFUNCTION("""COMPUTED_VALUE"""),"Уличные ярмарки, яркие выступления, интересные шоу")</f>
        <v>Уличные ярмарки, яркие выступления, интересные шоу</v>
      </c>
      <c r="AD703"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703" s="6" t="str">
        <f>IFERROR(__xludf.DUMMYFUNCTION("""COMPUTED_VALUE"""),"Женский")</f>
        <v>Женский</v>
      </c>
      <c r="AF703" s="6" t="str">
        <f>IFERROR(__xludf.DUMMYFUNCTION("""COMPUTED_VALUE"""),"30-44")</f>
        <v>30-44</v>
      </c>
      <c r="AG703" s="6"/>
      <c r="AH703" s="6"/>
      <c r="AI703" s="6"/>
      <c r="AJ703" s="6"/>
      <c r="AK703" s="6"/>
      <c r="AL703" s="6"/>
      <c r="AM703" s="6"/>
    </row>
    <row r="704">
      <c r="A704" s="6">
        <v>703.0</v>
      </c>
      <c r="B704" s="6" t="str">
        <f>IFERROR(__xludf.DUMMYFUNCTION("""COMPUTED_VALUE"""),"студент")</f>
        <v>студент</v>
      </c>
      <c r="C704" s="6" t="str">
        <f>IFERROR(__xludf.DUMMYFUNCTION("""COMPUTED_VALUE"""),"нет")</f>
        <v>нет</v>
      </c>
      <c r="D704" s="6" t="str">
        <f>IFERROR(__xludf.DUMMYFUNCTION("""COMPUTED_VALUE"""),"Ленинский ")</f>
        <v>Ленинский </v>
      </c>
      <c r="E704" s="6" t="str">
        <f>IFERROR(__xludf.DUMMYFUNCTION("""COMPUTED_VALUE"""),"бульвар строителей")</f>
        <v>бульвар строителей</v>
      </c>
      <c r="F704" s="6" t="str">
        <f>IFERROR(__xludf.DUMMYFUNCTION("""COMPUTED_VALUE"""),"Бываю как турист")</f>
        <v>Бываю как турист</v>
      </c>
      <c r="G704" s="6" t="str">
        <f>IFERROR(__xludf.DUMMYFUNCTION("""COMPUTED_VALUE"""),"бульвар строителей")</f>
        <v>бульвар строителей</v>
      </c>
      <c r="H704" s="6" t="str">
        <f>IFERROR(__xludf.DUMMYFUNCTION("""COMPUTED_VALUE"""),"пробки, томь, учеба, грязь, дым")</f>
        <v>пробки, томь, учеба, грязь, дым</v>
      </c>
      <c r="I704" s="6" t="str">
        <f>IFERROR(__xludf.DUMMYFUNCTION("""COMPUTED_VALUE""")," Кирчанов Александр Николаевич")</f>
        <v> Кирчанов Александр Николаевич</v>
      </c>
      <c r="J704" s="6" t="str">
        <f>IFERROR(__xludf.DUMMYFUNCTION("""COMPUTED_VALUE"""),"нет таких")</f>
        <v>нет таких</v>
      </c>
      <c r="K704" s="6" t="str">
        <f>IFERROR(__xludf.DUMMYFUNCTION("""COMPUTED_VALUE"""),"нет таких мест")</f>
        <v>нет таких мест</v>
      </c>
      <c r="L704" s="6" t="str">
        <f>IFERROR(__xludf.DUMMYFUNCTION("""COMPUTED_VALUE"""),"-")</f>
        <v>-</v>
      </c>
      <c r="M704" s="6" t="str">
        <f>IFERROR(__xludf.DUMMYFUNCTION("""COMPUTED_VALUE"""),"в кемерово")</f>
        <v>в кемерово</v>
      </c>
      <c r="N704" s="6" t="str">
        <f>IFERROR(__xludf.DUMMYFUNCTION("""COMPUTED_VALUE"""),"-")</f>
        <v>-</v>
      </c>
      <c r="O704" s="6" t="str">
        <f>IFERROR(__xludf.DUMMYFUNCTION("""COMPUTED_VALUE"""),"экологию")</f>
        <v>экологию</v>
      </c>
      <c r="P704" s="6" t="str">
        <f>IFERROR(__xludf.DUMMYFUNCTION("""COMPUTED_VALUE"""),"вк")</f>
        <v>вк</v>
      </c>
      <c r="Q704" s="6" t="str">
        <f>IFERROR(__xludf.DUMMYFUNCTION("""COMPUTED_VALUE"""),"криминальные новости (происшествия/преступления), новости про новые профессии/куда поступать/вакансии")</f>
        <v>криминальные новости (происшествия/преступления), новости про новые профессии/куда поступать/вакансии</v>
      </c>
      <c r="R704" s="6" t="str">
        <f>IFERROR(__xludf.DUMMYFUNCTION("""COMPUTED_VALUE"""),"новый год")</f>
        <v>новый год</v>
      </c>
      <c r="S704" s="6" t="str">
        <f>IFERROR(__xludf.DUMMYFUNCTION("""COMPUTED_VALUE"""),"Нет, не приходилось")</f>
        <v>Нет, не приходилось</v>
      </c>
      <c r="T704" s="6" t="str">
        <f>IFERROR(__xludf.DUMMYFUNCTION("""COMPUTED_VALUE"""),"-")</f>
        <v>-</v>
      </c>
      <c r="U704" s="6" t="str">
        <f>IFERROR(__xludf.DUMMYFUNCTION("""COMPUTED_VALUE"""),"жд вокзал, автовокзал")</f>
        <v>жд вокзал, автовокзал</v>
      </c>
      <c r="V704" s="6" t="str">
        <f>IFERROR(__xludf.DUMMYFUNCTION("""COMPUTED_VALUE"""),"-")</f>
        <v>-</v>
      </c>
      <c r="W704" s="6" t="str">
        <f>IFERROR(__xludf.DUMMYFUNCTION("""COMPUTED_VALUE"""),"Кемеровчане — люди дела. Их можно узнать в других городах, потому что они не бросают слов на ветер")</f>
        <v>Кемеровчане — люди дела. Их можно узнать в других городах, потому что они не бросают слов на ветер</v>
      </c>
      <c r="X704" s="6" t="str">
        <f>IFERROR(__xludf.DUMMYFUNCTION("""COMPUTED_VALUE"""),"набережная")</f>
        <v>набережная</v>
      </c>
      <c r="Y704" s="6" t="str">
        <f>IFERROR(__xludf.DUMMYFUNCTION("""COMPUTED_VALUE"""),"пожар зимней вишни")</f>
        <v>пожар зимней вишни</v>
      </c>
      <c r="Z704" s="6" t="str">
        <f>IFERROR(__xludf.DUMMYFUNCTION("""COMPUTED_VALUE"""),"-")</f>
        <v>-</v>
      </c>
      <c r="AA704" s="6" t="str">
        <f>IFERROR(__xludf.DUMMYFUNCTION("""COMPUTED_VALUE"""),"-")</f>
        <v>-</v>
      </c>
      <c r="AB704" s="6" t="str">
        <f>IFERROR(__xludf.DUMMYFUNCTION("""COMPUTED_VALUE"""),"-")</f>
        <v>-</v>
      </c>
      <c r="AC704" s="6" t="str">
        <f>IFERROR(__xludf.DUMMYFUNCTION("""COMPUTED_VALUE"""),"мероприятия по очистке улиц ")</f>
        <v>мероприятия по очистке улиц </v>
      </c>
      <c r="AD70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04" s="6" t="str">
        <f>IFERROR(__xludf.DUMMYFUNCTION("""COMPUTED_VALUE"""),"Женский")</f>
        <v>Женский</v>
      </c>
      <c r="AF704" s="6" t="str">
        <f>IFERROR(__xludf.DUMMYFUNCTION("""COMPUTED_VALUE"""),"18-29")</f>
        <v>18-29</v>
      </c>
      <c r="AG704" s="6"/>
      <c r="AH704" s="6"/>
      <c r="AI704" s="6"/>
      <c r="AJ704" s="6"/>
      <c r="AK704" s="6"/>
      <c r="AL704" s="6"/>
      <c r="AM704" s="6"/>
    </row>
    <row r="705">
      <c r="A705" s="6">
        <v>704.0</v>
      </c>
      <c r="B705" s="6" t="str">
        <f>IFERROR(__xludf.DUMMYFUNCTION("""COMPUTED_VALUE"""),"Учусь ")</f>
        <v>Учусь </v>
      </c>
      <c r="C705" s="6" t="str">
        <f>IFERROR(__xludf.DUMMYFUNCTION("""COMPUTED_VALUE"""),"Красота и здоровье ")</f>
        <v>Красота и здоровье </v>
      </c>
      <c r="D705" s="6" t="str">
        <f>IFERROR(__xludf.DUMMYFUNCTION("""COMPUTED_VALUE"""),"Радуга")</f>
        <v>Радуга</v>
      </c>
      <c r="E705" s="6" t="str">
        <f>IFERROR(__xludf.DUMMYFUNCTION("""COMPUTED_VALUE"""),"Аллея")</f>
        <v>Аллея</v>
      </c>
      <c r="F705" s="6" t="str">
        <f>IFERROR(__xludf.DUMMYFUNCTION("""COMPUTED_VALUE"""),"Переехал сюда из другого места (откуда? укажите в графе другое), Юрга")</f>
        <v>Переехал сюда из другого места (откуда? укажите в графе другое), Юрга</v>
      </c>
      <c r="G705" s="6" t="str">
        <f>IFERROR(__xludf.DUMMYFUNCTION("""COMPUTED_VALUE"""),"По улицам ")</f>
        <v>По улицам </v>
      </c>
      <c r="H705" s="6" t="str">
        <f>IFERROR(__xludf.DUMMYFUNCTION("""COMPUTED_VALUE"""),"Уголь Кузбасс Вера волошина ")</f>
        <v>Уголь Кузбасс Вера волошина </v>
      </c>
      <c r="I705" s="6" t="str">
        <f>IFERROR(__xludf.DUMMYFUNCTION("""COMPUTED_VALUE"""),"Тулеев ленин карл маркс ")</f>
        <v>Тулеев ленин карл маркс </v>
      </c>
      <c r="J705" s="6" t="str">
        <f>IFERROR(__xludf.DUMMYFUNCTION("""COMPUTED_VALUE"""),"Тулеев середюк")</f>
        <v>Тулеев середюк</v>
      </c>
      <c r="K705" s="6" t="str">
        <f>IFERROR(__xludf.DUMMYFUNCTION("""COMPUTED_VALUE"""),"Парки памятники")</f>
        <v>Парки памятники</v>
      </c>
      <c r="L705" s="6" t="str">
        <f>IFERROR(__xludf.DUMMYFUNCTION("""COMPUTED_VALUE"""),"Нет таких ")</f>
        <v>Нет таких </v>
      </c>
      <c r="M705" s="6" t="str">
        <f>IFERROR(__xludf.DUMMYFUNCTION("""COMPUTED_VALUE"""),"Нет")</f>
        <v>Нет</v>
      </c>
      <c r="N705" s="6" t="str">
        <f>IFERROR(__xludf.DUMMYFUNCTION("""COMPUTED_VALUE"""),"Нет таких ")</f>
        <v>Нет таких </v>
      </c>
      <c r="O705" s="6" t="str">
        <f>IFERROR(__xludf.DUMMYFUNCTION("""COMPUTED_VALUE"""),"Убрать улицы от мусора и чтобы все соблюдали законы не мусорить и давать за это штраф кто не соблюдает ")</f>
        <v>Убрать улицы от мусора и чтобы все соблюдали законы не мусорить и давать за это штраф кто не соблюдает </v>
      </c>
      <c r="P705" s="6" t="str">
        <f>IFERROR(__xludf.DUMMYFUNCTION("""COMPUTED_VALUE"""),"Вк инста ")</f>
        <v>Вк инста </v>
      </c>
      <c r="Q70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v>
      </c>
      <c r="R705" s="6" t="str">
        <f>IFERROR(__xludf.DUMMYFUNCTION("""COMPUTED_VALUE"""),"День шахтеров 9 мая")</f>
        <v>День шахтеров 9 мая</v>
      </c>
      <c r="S705" s="6" t="str">
        <f>IFERROR(__xludf.DUMMYFUNCTION("""COMPUTED_VALUE"""),"Нет, не приходилось")</f>
        <v>Нет, не приходилось</v>
      </c>
      <c r="T705" s="6" t="str">
        <f>IFERROR(__xludf.DUMMYFUNCTION("""COMPUTED_VALUE"""),"Добывание угля ")</f>
        <v>Добывание угля </v>
      </c>
      <c r="U705" s="6" t="str">
        <f>IFERROR(__xludf.DUMMYFUNCTION("""COMPUTED_VALUE"""),"Центр район ")</f>
        <v>Центр район </v>
      </c>
      <c r="V705" s="6" t="str">
        <f>IFERROR(__xludf.DUMMYFUNCTION("""COMPUTED_VALUE"""),"Не знаю")</f>
        <v>Не знаю</v>
      </c>
      <c r="W705" s="6" t="str">
        <f>IFERROR(__xludf.DUMMYFUNCTION("""COMPUTED_VALUE"""),"Не самый чистоплотный но как люди вообще хорошие ")</f>
        <v>Не самый чистоплотный но как люди вообще хорошие </v>
      </c>
      <c r="X705" s="6" t="str">
        <f>IFERROR(__xludf.DUMMYFUNCTION("""COMPUTED_VALUE"""),"Центр весенняя улица ")</f>
        <v>Центр весенняя улица </v>
      </c>
      <c r="Y705" s="6" t="str">
        <f>IFERROR(__xludf.DUMMYFUNCTION("""COMPUTED_VALUE"""),"Зимняя вишня ")</f>
        <v>Зимняя вишня </v>
      </c>
      <c r="Z705" s="6" t="str">
        <f>IFERROR(__xludf.DUMMYFUNCTION("""COMPUTED_VALUE"""),"Не знаю ")</f>
        <v>Не знаю </v>
      </c>
      <c r="AA705" s="6" t="str">
        <f>IFERROR(__xludf.DUMMYFUNCTION("""COMPUTED_VALUE"""),"Зимняя вишня горела ")</f>
        <v>Зимняя вишня горела </v>
      </c>
      <c r="AB705" s="6" t="str">
        <f>IFERROR(__xludf.DUMMYFUNCTION("""COMPUTED_VALUE"""),"Всего хватает лучше бы деньги ветеранам раздавали а не мероприятия устраивали многомиллионные ")</f>
        <v>Всего хватает лучше бы деньги ветеранам раздавали а не мероприятия устраивали многомиллионные </v>
      </c>
      <c r="AC705" s="6" t="str">
        <f>IFERROR(__xludf.DUMMYFUNCTION("""COMPUTED_VALUE"""),"Развлекательные ")</f>
        <v>Развлекательные </v>
      </c>
      <c r="AD70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05" s="6" t="str">
        <f>IFERROR(__xludf.DUMMYFUNCTION("""COMPUTED_VALUE"""),"Женский")</f>
        <v>Женский</v>
      </c>
      <c r="AF705" s="6" t="str">
        <f>IFERROR(__xludf.DUMMYFUNCTION("""COMPUTED_VALUE"""),"18-29")</f>
        <v>18-29</v>
      </c>
      <c r="AG705" s="6"/>
      <c r="AH705" s="6"/>
      <c r="AI705" s="6"/>
      <c r="AJ705" s="6"/>
      <c r="AK705" s="6"/>
      <c r="AL705" s="6"/>
      <c r="AM705" s="6"/>
    </row>
    <row r="706">
      <c r="A706" s="6">
        <v>705.0</v>
      </c>
      <c r="B706" s="6" t="str">
        <f>IFERROR(__xludf.DUMMYFUNCTION("""COMPUTED_VALUE"""),"Работаю")</f>
        <v>Работаю</v>
      </c>
      <c r="C706" s="6" t="str">
        <f>IFERROR(__xludf.DUMMYFUNCTION("""COMPUTED_VALUE"""),"Люблю рисовать")</f>
        <v>Люблю рисовать</v>
      </c>
      <c r="D706" s="6" t="str">
        <f>IFERROR(__xludf.DUMMYFUNCTION("""COMPUTED_VALUE"""),"Кировский")</f>
        <v>Кировский</v>
      </c>
      <c r="E706" s="6" t="str">
        <f>IFERROR(__xludf.DUMMYFUNCTION("""COMPUTED_VALUE"""),"Площадь ")</f>
        <v>Площадь </v>
      </c>
      <c r="F706" s="6" t="str">
        <f>IFERROR(__xludf.DUMMYFUNCTION("""COMPUTED_VALUE"""),"Живу здесь с рождения")</f>
        <v>Живу здесь с рождения</v>
      </c>
      <c r="G706" s="6" t="str">
        <f>IFERROR(__xludf.DUMMYFUNCTION("""COMPUTED_VALUE"""),"гуляю в парках, если есть время")</f>
        <v>гуляю в парках, если есть время</v>
      </c>
      <c r="H706" s="6" t="str">
        <f>IFERROR(__xludf.DUMMYFUNCTION("""COMPUTED_VALUE"""),"Большой, добрый , красивый, грязный,  родной")</f>
        <v>Большой, добрый , красивый, грязный,  родной</v>
      </c>
      <c r="I706" s="6" t="str">
        <f>IFERROR(__xludf.DUMMYFUNCTION("""COMPUTED_VALUE"""),"Рутгерс")</f>
        <v>Рутгерс</v>
      </c>
      <c r="J706" s="6" t="str">
        <f>IFERROR(__xludf.DUMMYFUNCTION("""COMPUTED_VALUE"""),"Затрудняюсь ответить")</f>
        <v>Затрудняюсь ответить</v>
      </c>
      <c r="K706" s="6" t="str">
        <f>IFERROR(__xludf.DUMMYFUNCTION("""COMPUTED_VALUE"""),"Цирк, Красная горка")</f>
        <v>Цирк, Красная горка</v>
      </c>
      <c r="L706" s="6" t="str">
        <f>IFERROR(__xludf.DUMMYFUNCTION("""COMPUTED_VALUE"""),"_")</f>
        <v>_</v>
      </c>
      <c r="M706" s="6" t="str">
        <f>IFERROR(__xludf.DUMMYFUNCTION("""COMPUTED_VALUE"""),"_")</f>
        <v>_</v>
      </c>
      <c r="N706" s="6" t="str">
        <f>IFERROR(__xludf.DUMMYFUNCTION("""COMPUTED_VALUE"""),"_")</f>
        <v>_</v>
      </c>
      <c r="O706" s="6" t="str">
        <f>IFERROR(__xludf.DUMMYFUNCTION("""COMPUTED_VALUE"""),"Очень многое")</f>
        <v>Очень многое</v>
      </c>
      <c r="P706" s="6" t="str">
        <f>IFERROR(__xludf.DUMMYFUNCTION("""COMPUTED_VALUE"""),"инстаграм")</f>
        <v>инстаграм</v>
      </c>
      <c r="Q70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706" s="6" t="str">
        <f>IFERROR(__xludf.DUMMYFUNCTION("""COMPUTED_VALUE"""),"Бессмертный полк")</f>
        <v>Бессмертный полк</v>
      </c>
      <c r="S706" s="6" t="str">
        <f>IFERROR(__xludf.DUMMYFUNCTION("""COMPUTED_VALUE"""),"Нет, не приходилось")</f>
        <v>Нет, не приходилось</v>
      </c>
      <c r="T706" s="6" t="str">
        <f>IFERROR(__xludf.DUMMYFUNCTION("""COMPUTED_VALUE"""),"-")</f>
        <v>-</v>
      </c>
      <c r="U706" s="6" t="str">
        <f>IFERROR(__xludf.DUMMYFUNCTION("""COMPUTED_VALUE"""),"Площадь в центре горда")</f>
        <v>Площадь в центре горда</v>
      </c>
      <c r="V706" s="6" t="str">
        <f>IFERROR(__xludf.DUMMYFUNCTION("""COMPUTED_VALUE"""),"_")</f>
        <v>_</v>
      </c>
      <c r="W706" s="6" t="str">
        <f>IFERROR(__xludf.DUMMYFUNCTION("""COMPUTED_VALUE"""),"-")</f>
        <v>-</v>
      </c>
      <c r="X706" s="6" t="str">
        <f>IFERROR(__xludf.DUMMYFUNCTION("""COMPUTED_VALUE"""),"-")</f>
        <v>-</v>
      </c>
      <c r="Y706" s="6" t="str">
        <f>IFERROR(__xludf.DUMMYFUNCTION("""COMPUTED_VALUE"""),"-")</f>
        <v>-</v>
      </c>
      <c r="Z706" s="6" t="str">
        <f>IFERROR(__xludf.DUMMYFUNCTION("""COMPUTED_VALUE"""),"-")</f>
        <v>-</v>
      </c>
      <c r="AA706" s="6" t="str">
        <f>IFERROR(__xludf.DUMMYFUNCTION("""COMPUTED_VALUE"""),"-")</f>
        <v>-</v>
      </c>
      <c r="AB706" s="6" t="str">
        <f>IFERROR(__xludf.DUMMYFUNCTION("""COMPUTED_VALUE"""),"-")</f>
        <v>-</v>
      </c>
      <c r="AC706" s="6" t="str">
        <f>IFERROR(__xludf.DUMMYFUNCTION("""COMPUTED_VALUE"""),"-")</f>
        <v>-</v>
      </c>
      <c r="AD706"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706" s="6" t="str">
        <f>IFERROR(__xludf.DUMMYFUNCTION("""COMPUTED_VALUE"""),"Женский")</f>
        <v>Женский</v>
      </c>
      <c r="AF706" s="6" t="str">
        <f>IFERROR(__xludf.DUMMYFUNCTION("""COMPUTED_VALUE"""),"45-55")</f>
        <v>45-55</v>
      </c>
      <c r="AG706" s="6"/>
      <c r="AH706" s="6"/>
      <c r="AI706" s="6"/>
      <c r="AJ706" s="6"/>
      <c r="AK706" s="6"/>
      <c r="AL706" s="6"/>
      <c r="AM706" s="6"/>
    </row>
    <row r="707">
      <c r="A707" s="6">
        <v>706.0</v>
      </c>
      <c r="B707" s="6" t="str">
        <f>IFERROR(__xludf.DUMMYFUNCTION("""COMPUTED_VALUE"""),"служащая")</f>
        <v>служащая</v>
      </c>
      <c r="C707" s="6" t="str">
        <f>IFERROR(__xludf.DUMMYFUNCTION("""COMPUTED_VALUE"""),"нет")</f>
        <v>нет</v>
      </c>
      <c r="D707" s="6" t="str">
        <f>IFERROR(__xludf.DUMMYFUNCTION("""COMPUTED_VALUE"""),"заводский")</f>
        <v>заводский</v>
      </c>
      <c r="E707" s="6" t="str">
        <f>IFERROR(__xludf.DUMMYFUNCTION("""COMPUTED_VALUE"""),"нет")</f>
        <v>нет</v>
      </c>
      <c r="F707" s="6" t="str">
        <f>IFERROR(__xludf.DUMMYFUNCTION("""COMPUTED_VALUE"""),"Живу здесь с рождения")</f>
        <v>Живу здесь с рождения</v>
      </c>
      <c r="G707" s="6" t="str">
        <f>IFERROR(__xludf.DUMMYFUNCTION("""COMPUTED_VALUE"""),"горсад")</f>
        <v>горсад</v>
      </c>
      <c r="H707" s="6" t="str">
        <f>IFERROR(__xludf.DUMMYFUNCTION("""COMPUTED_VALUE"""),"родной, грязный, ")</f>
        <v>родной, грязный, </v>
      </c>
      <c r="I707" s="6" t="str">
        <f>IFERROR(__xludf.DUMMYFUNCTION("""COMPUTED_VALUE"""),"Михайло Волков")</f>
        <v>Михайло Волков</v>
      </c>
      <c r="J707" s="6" t="str">
        <f>IFERROR(__xludf.DUMMYFUNCTION("""COMPUTED_VALUE"""),"А.Леонов, А.Тулеев")</f>
        <v>А.Леонов, А.Тулеев</v>
      </c>
      <c r="K707" s="6" t="str">
        <f>IFERROR(__xludf.DUMMYFUNCTION("""COMPUTED_VALUE"""),"парк Победы")</f>
        <v>парк Победы</v>
      </c>
      <c r="L707" s="6" t="str">
        <f>IFERROR(__xludf.DUMMYFUNCTION("""COMPUTED_VALUE"""),"не знаю таких")</f>
        <v>не знаю таких</v>
      </c>
      <c r="M707" s="6" t="str">
        <f>IFERROR(__xludf.DUMMYFUNCTION("""COMPUTED_VALUE"""),"нет")</f>
        <v>нет</v>
      </c>
      <c r="N707" s="6" t="str">
        <f>IFERROR(__xludf.DUMMYFUNCTION("""COMPUTED_VALUE"""),"нет")</f>
        <v>нет</v>
      </c>
      <c r="O707" s="6" t="str">
        <f>IFERROR(__xludf.DUMMYFUNCTION("""COMPUTED_VALUE"""),"транспорт")</f>
        <v>транспорт</v>
      </c>
      <c r="P707" s="6" t="str">
        <f>IFERROR(__xludf.DUMMYFUNCTION("""COMPUTED_VALUE"""),"инстаграм")</f>
        <v>инстаграм</v>
      </c>
      <c r="Q707" s="6" t="str">
        <f>IFERROR(__xludf.DUMMYFUNCTION("""COMPUTED_VALUE"""),"нет таких")</f>
        <v>нет таких</v>
      </c>
      <c r="R707" s="6" t="str">
        <f>IFERROR(__xludf.DUMMYFUNCTION("""COMPUTED_VALUE"""),"День Победы")</f>
        <v>День Победы</v>
      </c>
      <c r="S707" s="6" t="str">
        <f>IFERROR(__xludf.DUMMYFUNCTION("""COMPUTED_VALUE"""),"Нет, не приходилось")</f>
        <v>Нет, не приходилось</v>
      </c>
      <c r="T707" s="6" t="str">
        <f>IFERROR(__xludf.DUMMYFUNCTION("""COMPUTED_VALUE"""),"Красная горка, Томская Писаница")</f>
        <v>Красная горка, Томская Писаница</v>
      </c>
      <c r="U707" s="6" t="str">
        <f>IFERROR(__xludf.DUMMYFUNCTION("""COMPUTED_VALUE"""),"памятник Пушкину")</f>
        <v>памятник Пушкину</v>
      </c>
      <c r="V707" s="6" t="str">
        <f>IFERROR(__xludf.DUMMYFUNCTION("""COMPUTED_VALUE"""),"построили город")</f>
        <v>построили город</v>
      </c>
      <c r="W707" s="6" t="str">
        <f>IFERROR(__xludf.DUMMYFUNCTION("""COMPUTED_VALUE"""),"доброта, сочувствие, искренность")</f>
        <v>доброта, сочувствие, искренность</v>
      </c>
      <c r="X707" s="6" t="str">
        <f>IFERROR(__xludf.DUMMYFUNCTION("""COMPUTED_VALUE"""),"не знаю")</f>
        <v>не знаю</v>
      </c>
      <c r="Y707" s="6" t="str">
        <f>IFERROR(__xludf.DUMMYFUNCTION("""COMPUTED_VALUE"""),"не знаю")</f>
        <v>не знаю</v>
      </c>
      <c r="Z707" s="6" t="str">
        <f>IFERROR(__xludf.DUMMYFUNCTION("""COMPUTED_VALUE"""),"нет таких")</f>
        <v>нет таких</v>
      </c>
      <c r="AA707" s="6" t="str">
        <f>IFERROR(__xludf.DUMMYFUNCTION("""COMPUTED_VALUE"""),"Зимняя вишня")</f>
        <v>Зимняя вишня</v>
      </c>
      <c r="AB707" s="6" t="str">
        <f>IFERROR(__xludf.DUMMYFUNCTION("""COMPUTED_VALUE"""),"всего хватает")</f>
        <v>всего хватает</v>
      </c>
      <c r="AC707" s="6" t="str">
        <f>IFERROR(__xludf.DUMMYFUNCTION("""COMPUTED_VALUE"""),"не знаю")</f>
        <v>не знаю</v>
      </c>
      <c r="AD70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07" s="6" t="str">
        <f>IFERROR(__xludf.DUMMYFUNCTION("""COMPUTED_VALUE"""),"Женский")</f>
        <v>Женский</v>
      </c>
      <c r="AF707" s="6" t="str">
        <f>IFERROR(__xludf.DUMMYFUNCTION("""COMPUTED_VALUE"""),"45-55")</f>
        <v>45-55</v>
      </c>
      <c r="AG707" s="6"/>
      <c r="AH707" s="6"/>
      <c r="AI707" s="6"/>
      <c r="AJ707" s="6"/>
      <c r="AK707" s="6"/>
      <c r="AL707" s="6"/>
      <c r="AM707" s="6"/>
    </row>
    <row r="708">
      <c r="A708" s="6">
        <v>707.0</v>
      </c>
      <c r="B708" s="6" t="str">
        <f>IFERROR(__xludf.DUMMYFUNCTION("""COMPUTED_VALUE"""),"Производство")</f>
        <v>Производство</v>
      </c>
      <c r="C708" s="6" t="str">
        <f>IFERROR(__xludf.DUMMYFUNCTION("""COMPUTED_VALUE"""),"Шитье")</f>
        <v>Шитье</v>
      </c>
      <c r="D708" s="6" t="str">
        <f>IFERROR(__xludf.DUMMYFUNCTION("""COMPUTED_VALUE"""),"Кировский")</f>
        <v>Кировский</v>
      </c>
      <c r="E708" s="6" t="str">
        <f>IFERROR(__xludf.DUMMYFUNCTION("""COMPUTED_VALUE"""),"Ленинский, Кировский")</f>
        <v>Ленинский, Кировский</v>
      </c>
      <c r="F708" s="6" t="str">
        <f>IFERROR(__xludf.DUMMYFUNCTION("""COMPUTED_VALUE"""),"Переехал сюда из другого места (откуда? укажите в графе другое), Грузия")</f>
        <v>Переехал сюда из другого места (откуда? укажите в графе другое), Грузия</v>
      </c>
      <c r="G708" s="6" t="str">
        <f>IFERROR(__xludf.DUMMYFUNCTION("""COMPUTED_VALUE"""),"Кинотеатр, KFC, ")</f>
        <v>Кинотеатр, KFC, </v>
      </c>
      <c r="H708" s="6" t="str">
        <f>IFERROR(__xludf.DUMMYFUNCTION("""COMPUTED_VALUE"""),"Зелёный, компактный, маленький, уютный, пыльный")</f>
        <v>Зелёный, компактный, маленький, уютный, пыльный</v>
      </c>
      <c r="I708" s="6" t="str">
        <f>IFERROR(__xludf.DUMMYFUNCTION("""COMPUTED_VALUE"""),"Волков, Подгорбунский, Марковцев")</f>
        <v>Волков, Подгорбунский, Марковцев</v>
      </c>
      <c r="J708" s="6" t="str">
        <f>IFERROR(__xludf.DUMMYFUNCTION("""COMPUTED_VALUE"""),"Не знаюр")</f>
        <v>Не знаюр</v>
      </c>
      <c r="K708" s="6" t="str">
        <f>IFERROR(__xludf.DUMMYFUNCTION("""COMPUTED_VALUE"""),"Весенняя улица, площадь Пушкина, бульвар Строителей, Набережная, фонтан")</f>
        <v>Весенняя улица, площадь Пушкина, бульвар Строителей, Набережная, фонтан</v>
      </c>
      <c r="L708" s="6" t="str">
        <f>IFERROR(__xludf.DUMMYFUNCTION("""COMPUTED_VALUE"""),"Не знаю")</f>
        <v>Не знаю</v>
      </c>
      <c r="M708" s="6" t="str">
        <f>IFERROR(__xludf.DUMMYFUNCTION("""COMPUTED_VALUE"""),"Нет")</f>
        <v>Нет</v>
      </c>
      <c r="N708" s="6" t="str">
        <f>IFERROR(__xludf.DUMMYFUNCTION("""COMPUTED_VALUE"""),"Компактность, транспортная развязка, наличие продуктовых магазинов, общественно-развлекательные мероприятия, доступность аптек")</f>
        <v>Компактность, транспортная развязка, наличие продуктовых магазинов, общественно-развлекательные мероприятия, доступность аптек</v>
      </c>
      <c r="O708" s="6" t="str">
        <f>IFERROR(__xludf.DUMMYFUNCTION("""COMPUTED_VALUE"""),"Решить проблему с пробками общественного транспорта, наличие работы, достаточной зарплаты")</f>
        <v>Решить проблему с пробками общественного транспорта, наличие работы, достаточной зарплаты</v>
      </c>
      <c r="P708" s="6" t="str">
        <f>IFERROR(__xludf.DUMMYFUNCTION("""COMPUTED_VALUE"""),"Телевидение, гугл")</f>
        <v>Телевидение, гугл</v>
      </c>
      <c r="Q708"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f>
        <v>куда пойти в свободное время, новости про новые профессии/куда поступать/вакансии, бизнес-новости (средний чек/рекламные акции/запуск новых предприятий)</v>
      </c>
      <c r="R708" s="6" t="str">
        <f>IFERROR(__xludf.DUMMYFUNCTION("""COMPUTED_VALUE"""),"День Победы, День города ")</f>
        <v>День Победы, День города </v>
      </c>
      <c r="S708" s="6" t="str">
        <f>IFERROR(__xludf.DUMMYFUNCTION("""COMPUTED_VALUE"""),"Нет, не приходилось")</f>
        <v>Нет, не приходилось</v>
      </c>
      <c r="T708" s="6" t="str">
        <f>IFERROR(__xludf.DUMMYFUNCTION("""COMPUTED_VALUE"""),"Тулеевым, шахтерами")</f>
        <v>Тулеевым, шахтерами</v>
      </c>
      <c r="U708" s="6" t="str">
        <f>IFERROR(__xludf.DUMMYFUNCTION("""COMPUTED_VALUE"""),"Площадь Ленина")</f>
        <v>Площадь Ленина</v>
      </c>
      <c r="V708" s="6" t="str">
        <f>IFERROR(__xludf.DUMMYFUNCTION("""COMPUTED_VALUE"""),"Обустройство города ")</f>
        <v>Обустройство города </v>
      </c>
      <c r="W708" s="6" t="str">
        <f>IFERROR(__xludf.DUMMYFUNCTION("""COMPUTED_VALUE"""),"Терпеливые ")</f>
        <v>Терпеливые </v>
      </c>
      <c r="X708" s="6" t="str">
        <f>IFERROR(__xludf.DUMMYFUNCTION("""COMPUTED_VALUE"""),"Центральная часть города")</f>
        <v>Центральная часть города</v>
      </c>
      <c r="Y708" s="6" t="str">
        <f>IFERROR(__xludf.DUMMYFUNCTION("""COMPUTED_VALUE"""),"Не знаю")</f>
        <v>Не знаю</v>
      </c>
      <c r="Z708" s="6" t="str">
        <f>IFERROR(__xludf.DUMMYFUNCTION("""COMPUTED_VALUE"""),"Ночь музеев")</f>
        <v>Ночь музеев</v>
      </c>
      <c r="AA708" s="6" t="str">
        <f>IFERROR(__xludf.DUMMYFUNCTION("""COMPUTED_VALUE"""),"Пожар в Зимней вишне")</f>
        <v>Пожар в Зимней вишне</v>
      </c>
      <c r="AB708" s="6" t="str">
        <f>IFERROR(__xludf.DUMMYFUNCTION("""COMPUTED_VALUE"""),"Не знаю")</f>
        <v>Не знаю</v>
      </c>
      <c r="AC708" s="6" t="str">
        <f>IFERROR(__xludf.DUMMYFUNCTION("""COMPUTED_VALUE"""),"Больше общественных праздников ")</f>
        <v>Больше общественных праздников </v>
      </c>
      <c r="AD70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08" s="6" t="str">
        <f>IFERROR(__xludf.DUMMYFUNCTION("""COMPUTED_VALUE"""),"Женский")</f>
        <v>Женский</v>
      </c>
      <c r="AF708" s="6" t="str">
        <f>IFERROR(__xludf.DUMMYFUNCTION("""COMPUTED_VALUE"""),"45-55")</f>
        <v>45-55</v>
      </c>
      <c r="AG708" s="6"/>
      <c r="AH708" s="6"/>
      <c r="AI708" s="6"/>
      <c r="AJ708" s="6"/>
      <c r="AK708" s="6"/>
      <c r="AL708" s="6"/>
      <c r="AM708" s="6"/>
    </row>
    <row r="709">
      <c r="A709" s="6">
        <v>708.0</v>
      </c>
      <c r="B709" s="6" t="str">
        <f>IFERROR(__xludf.DUMMYFUNCTION("""COMPUTED_VALUE"""),"Работник культуры")</f>
        <v>Работник культуры</v>
      </c>
      <c r="C709" s="6" t="str">
        <f>IFERROR(__xludf.DUMMYFUNCTION("""COMPUTED_VALUE"""),"Вокал")</f>
        <v>Вокал</v>
      </c>
      <c r="D709" s="6" t="str">
        <f>IFERROR(__xludf.DUMMYFUNCTION("""COMPUTED_VALUE"""),"Центральный")</f>
        <v>Центральный</v>
      </c>
      <c r="E709" s="6" t="str">
        <f>IFERROR(__xludf.DUMMYFUNCTION("""COMPUTED_VALUE"""),"Центральная библиотека")</f>
        <v>Центральная библиотека</v>
      </c>
      <c r="F709" s="6" t="str">
        <f>IFERROR(__xludf.DUMMYFUNCTION("""COMPUTED_VALUE"""),"Живу здесь с рождения")</f>
        <v>Живу здесь с рождения</v>
      </c>
      <c r="G709" s="6" t="str">
        <f>IFERROR(__xludf.DUMMYFUNCTION("""COMPUTED_VALUE"""),"Библиотека, Центр культурного развития")</f>
        <v>Библиотека, Центр культурного развития</v>
      </c>
      <c r="H709" s="6" t="str">
        <f>IFERROR(__xludf.DUMMYFUNCTION("""COMPUTED_VALUE"""),"Березы, Родина, Лес, Грязь, Разруха, Мусор")</f>
        <v>Березы, Родина, Лес, Грязь, Разруха, Мусор</v>
      </c>
      <c r="I709" s="6" t="str">
        <f>IFERROR(__xludf.DUMMYFUNCTION("""COMPUTED_VALUE"""),"Леонид Михайлович Гержидович")</f>
        <v>Леонид Михайлович Гержидович</v>
      </c>
      <c r="J709" s="6" t="str">
        <f>IFERROR(__xludf.DUMMYFUNCTION("""COMPUTED_VALUE"""),"Не знаю")</f>
        <v>Не знаю</v>
      </c>
      <c r="K709" s="6" t="str">
        <f>IFERROR(__xludf.DUMMYFUNCTION("""COMPUTED_VALUE"""),"Таких много, долго объяснять")</f>
        <v>Таких много, долго объяснять</v>
      </c>
      <c r="L709" s="6" t="str">
        <f>IFERROR(__xludf.DUMMYFUNCTION("""COMPUTED_VALUE"""),"Не знаю")</f>
        <v>Не знаю</v>
      </c>
      <c r="M709" s="6" t="str">
        <f>IFERROR(__xludf.DUMMYFUNCTION("""COMPUTED_VALUE"""),"Нет")</f>
        <v>Нет</v>
      </c>
      <c r="N709" s="6" t="str">
        <f>IFERROR(__xludf.DUMMYFUNCTION("""COMPUTED_VALUE"""),"Мобильность, доступность, комфорт, чистота, культурное наследие")</f>
        <v>Мобильность, доступность, комфорт, чистота, культурное наследие</v>
      </c>
      <c r="O709" s="6" t="str">
        <f>IFERROR(__xludf.DUMMYFUNCTION("""COMPUTED_VALUE"""),"Дороги и сбор мусора")</f>
        <v>Дороги и сбор мусора</v>
      </c>
      <c r="P709" s="6" t="str">
        <f>IFERROR(__xludf.DUMMYFUNCTION("""COMPUTED_VALUE"""),"Вконтакте, Telegram? Instagram")</f>
        <v>Вконтакте, Telegram? Instagram</v>
      </c>
      <c r="Q709"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709" s="6" t="str">
        <f>IFERROR(__xludf.DUMMYFUNCTION("""COMPUTED_VALUE"""),"День города")</f>
        <v>День города</v>
      </c>
      <c r="S709" s="6" t="str">
        <f>IFERROR(__xludf.DUMMYFUNCTION("""COMPUTED_VALUE"""),"Через социальные сети (Какие? Укажите в графе другое), Делал рассылку по электронной почте, Обращался в редакции городских газет, телевидения, радио, Вконтакте, Одноклассники, Instagram")</f>
        <v>Через социальные сети (Какие? Укажите в графе другое), Делал рассылку по электронной почте, Обращался в редакции городских газет, телевидения, радио, Вконтакте, Одноклассники, Instagram</v>
      </c>
      <c r="T709" s="6" t="str">
        <f>IFERROR(__xludf.DUMMYFUNCTION("""COMPUTED_VALUE"""),"Известен углем")</f>
        <v>Известен углем</v>
      </c>
      <c r="U709" s="6" t="str">
        <f>IFERROR(__xludf.DUMMYFUNCTION("""COMPUTED_VALUE"""),"Не знаю")</f>
        <v>Не знаю</v>
      </c>
      <c r="V709" s="6" t="str">
        <f>IFERROR(__xludf.DUMMYFUNCTION("""COMPUTED_VALUE"""),"Не знаю")</f>
        <v>Не знаю</v>
      </c>
      <c r="W709" s="6" t="str">
        <f>IFERROR(__xludf.DUMMYFUNCTION("""COMPUTED_VALUE"""),"Не знаю")</f>
        <v>Не знаю</v>
      </c>
      <c r="X709" s="6" t="str">
        <f>IFERROR(__xludf.DUMMYFUNCTION("""COMPUTED_VALUE"""),"Не знаю")</f>
        <v>Не знаю</v>
      </c>
      <c r="Y709" s="6" t="str">
        <f>IFERROR(__xludf.DUMMYFUNCTION("""COMPUTED_VALUE"""),"Не знаю")</f>
        <v>Не знаю</v>
      </c>
      <c r="Z709" s="6" t="str">
        <f>IFERROR(__xludf.DUMMYFUNCTION("""COMPUTED_VALUE"""),"Рок фестиваль на юбилей Черниговец")</f>
        <v>Рок фестиваль на юбилей Черниговец</v>
      </c>
      <c r="AA709" s="6" t="str">
        <f>IFERROR(__xludf.DUMMYFUNCTION("""COMPUTED_VALUE"""),"Не знаю")</f>
        <v>Не знаю</v>
      </c>
      <c r="AB709" s="6" t="str">
        <f>IFERROR(__xludf.DUMMYFUNCTION("""COMPUTED_VALUE"""),"Творческих, по интересам среди молодежи")</f>
        <v>Творческих, по интересам среди молодежи</v>
      </c>
      <c r="AC709" s="6" t="str">
        <f>IFERROR(__xludf.DUMMYFUNCTION("""COMPUTED_VALUE"""),"Творческие концерты")</f>
        <v>Творческие концерты</v>
      </c>
      <c r="AD70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09" s="6" t="str">
        <f>IFERROR(__xludf.DUMMYFUNCTION("""COMPUTED_VALUE"""),"Женский")</f>
        <v>Женский</v>
      </c>
      <c r="AF709" s="6" t="str">
        <f>IFERROR(__xludf.DUMMYFUNCTION("""COMPUTED_VALUE"""),"18-29")</f>
        <v>18-29</v>
      </c>
      <c r="AG709" s="6"/>
      <c r="AH709" s="6"/>
      <c r="AI709" s="6"/>
      <c r="AJ709" s="6"/>
      <c r="AK709" s="6"/>
      <c r="AL709" s="6"/>
      <c r="AM709" s="6"/>
    </row>
    <row r="710">
      <c r="A710" s="6">
        <v>709.0</v>
      </c>
      <c r="B710" s="6" t="str">
        <f>IFERROR(__xludf.DUMMYFUNCTION("""COMPUTED_VALUE"""),"Студент")</f>
        <v>Студент</v>
      </c>
      <c r="C710" s="6" t="str">
        <f>IFERROR(__xludf.DUMMYFUNCTION("""COMPUTED_VALUE"""),"Рисование, чтение, походы в кино")</f>
        <v>Рисование, чтение, походы в кино</v>
      </c>
      <c r="D710" s="6" t="str">
        <f>IFERROR(__xludf.DUMMYFUNCTION("""COMPUTED_VALUE"""),"Рудничный, Радуга")</f>
        <v>Рудничный, Радуга</v>
      </c>
      <c r="E710" s="6" t="str">
        <f>IFERROR(__xludf.DUMMYFUNCTION("""COMPUTED_VALUE"""),"Сосновый бор, Музей заповедник красная горка, Память шахтерам Кузбасса")</f>
        <v>Сосновый бор, Музей заповедник красная горка, Память шахтерам Кузбасса</v>
      </c>
      <c r="F710" s="6" t="str">
        <f>IFERROR(__xludf.DUMMYFUNCTION("""COMPUTED_VALUE"""),"Живу здесь с рождения")</f>
        <v>Живу здесь с рождения</v>
      </c>
      <c r="G710" s="6" t="str">
        <f>IFERROR(__xludf.DUMMYFUNCTION("""COMPUTED_VALUE"""),"Бульвар строителей, Набережная реки Томи , Сосновый Бор")</f>
        <v>Бульвар строителей, Набережная реки Томи , Сосновый Бор</v>
      </c>
      <c r="H710" s="6" t="str">
        <f>IFERROR(__xludf.DUMMYFUNCTION("""COMPUTED_VALUE"""),"Фонтан, Кузбасс, Азот, Шахта, Черное небо")</f>
        <v>Фонтан, Кузбасс, Азот, Шахта, Черное небо</v>
      </c>
      <c r="I710" s="6" t="str">
        <f>IFERROR(__xludf.DUMMYFUNCTION("""COMPUTED_VALUE"""),"Алексей Леонов, Вера Волошина, Михайло Волков , ")</f>
        <v>Алексей Леонов, Вера Волошина, Михайло Волков , </v>
      </c>
      <c r="J710" s="6" t="str">
        <f>IFERROR(__xludf.DUMMYFUNCTION("""COMPUTED_VALUE"""),"Аман Тулеев")</f>
        <v>Аман Тулеев</v>
      </c>
      <c r="K710" s="6" t="str">
        <f>IFERROR(__xludf.DUMMYFUNCTION("""COMPUTED_VALUE"""),"Парк Ангелов, Бульвар Строителей, Набережная , Сосновый бульвар")</f>
        <v>Парк Ангелов, Бульвар Строителей, Набережная , Сосновый бульвар</v>
      </c>
      <c r="L710" s="6" t="str">
        <f>IFERROR(__xludf.DUMMYFUNCTION("""COMPUTED_VALUE"""),"не знаю")</f>
        <v>не знаю</v>
      </c>
      <c r="M710" s="6" t="str">
        <f>IFERROR(__xludf.DUMMYFUNCTION("""COMPUTED_VALUE"""),"кемеровООО")</f>
        <v>кемеровООО</v>
      </c>
      <c r="N710" s="6" t="str">
        <f>IFERROR(__xludf.DUMMYFUNCTION("""COMPUTED_VALUE"""),"Свежий воздух, чистые улицы , возможность вылета в другие города из кемеровского аэропорта , ")</f>
        <v>Свежий воздух, чистые улицы , возможность вылета в другие города из кемеровского аэропорта , </v>
      </c>
      <c r="O710" s="6" t="str">
        <f>IFERROR(__xludf.DUMMYFUNCTION("""COMPUTED_VALUE"""),"Повысить заработную плату, понизить стоимость ЖКХ")</f>
        <v>Повысить заработную плату, понизить стоимость ЖКХ</v>
      </c>
      <c r="P710" s="6" t="str">
        <f>IFERROR(__xludf.DUMMYFUNCTION("""COMPUTED_VALUE"""),"Социальные сети (Вконтакте) , учебное заведение")</f>
        <v>Социальные сети (Вконтакте) , учебное заведение</v>
      </c>
      <c r="Q710"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(рейтинги/аналитика/те"&amp;"нденции)")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v>
      </c>
      <c r="R710" s="6" t="str">
        <f>IFERROR(__xludf.DUMMYFUNCTION("""COMPUTED_VALUE"""),"9 мая, день города , день шахтера ")</f>
        <v>9 мая, день города , день шахтера </v>
      </c>
      <c r="S710" s="6" t="str">
        <f>IFERROR(__xludf.DUMMYFUNCTION("""COMPUTED_VALUE"""),"Писал и расклеивал объявления/афиши")</f>
        <v>Писал и расклеивал объявления/афиши</v>
      </c>
      <c r="T710" s="6" t="str">
        <f>IFERROR(__xludf.DUMMYFUNCTION("""COMPUTED_VALUE"""),"Уголь")</f>
        <v>Уголь</v>
      </c>
      <c r="U710" s="6" t="str">
        <f>IFERROR(__xludf.DUMMYFUNCTION("""COMPUTED_VALUE"""),"Фонтан ")</f>
        <v>Фонтан </v>
      </c>
      <c r="V710" s="6" t="str">
        <f>IFERROR(__xludf.DUMMYFUNCTION("""COMPUTED_VALUE"""),"Затрудняюсь ответить ")</f>
        <v>Затрудняюсь ответить </v>
      </c>
      <c r="W710" s="6" t="str">
        <f>IFERROR(__xludf.DUMMYFUNCTION("""COMPUTED_VALUE"""),"Нытье ")</f>
        <v>Нытье </v>
      </c>
      <c r="X710" s="6" t="str">
        <f>IFERROR(__xludf.DUMMYFUNCTION("""COMPUTED_VALUE"""),"Вокзал - Парк Ангелов- Парк Чудес - Набережная- Бульвар Строителей - Комсомольский Парк ")</f>
        <v>Вокзал - Парк Ангелов- Парк Чудес - Набережная- Бульвар Строителей - Комсомольский Парк </v>
      </c>
      <c r="Y710" s="6" t="str">
        <f>IFERROR(__xludf.DUMMYFUNCTION("""COMPUTED_VALUE"""),"100 лет городу Кемерово ")</f>
        <v>100 лет городу Кемерово </v>
      </c>
      <c r="Z710" s="6" t="str">
        <f>IFERROR(__xludf.DUMMYFUNCTION("""COMPUTED_VALUE"""),"Было спокойно")</f>
        <v>Было спокойно</v>
      </c>
      <c r="AA710" s="6" t="str">
        <f>IFERROR(__xludf.DUMMYFUNCTION("""COMPUTED_VALUE"""),"Выборы губернатора Города")</f>
        <v>Выборы губернатора Города</v>
      </c>
      <c r="AB710" s="6" t="str">
        <f>IFERROR(__xludf.DUMMYFUNCTION("""COMPUTED_VALUE"""),"Сообщество книголюбов ")</f>
        <v>Сообщество книголюбов </v>
      </c>
      <c r="AC710" s="6" t="str">
        <f>IFERROR(__xludf.DUMMYFUNCTION("""COMPUTED_VALUE"""),"Проведение фестивалей, концертов, организация досуговой деятельности для детей и пенсионеров, строительство дорог во дворах города и проезжих частей,  ")</f>
        <v>Проведение фестивалей, концертов, организация досуговой деятельности для детей и пенсионеров, строительство дорог во дворах города и проезжих частей,  </v>
      </c>
      <c r="AD71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10" s="6" t="str">
        <f>IFERROR(__xludf.DUMMYFUNCTION("""COMPUTED_VALUE"""),"Женский")</f>
        <v>Женский</v>
      </c>
      <c r="AF710" s="6" t="str">
        <f>IFERROR(__xludf.DUMMYFUNCTION("""COMPUTED_VALUE"""),"18-29")</f>
        <v>18-29</v>
      </c>
      <c r="AG710" s="6"/>
      <c r="AH710" s="6"/>
      <c r="AI710" s="6"/>
      <c r="AJ710" s="6"/>
      <c r="AK710" s="6"/>
      <c r="AL710" s="6"/>
      <c r="AM710" s="6"/>
    </row>
    <row r="711">
      <c r="A711" s="6">
        <v>710.0</v>
      </c>
      <c r="B711" s="6" t="str">
        <f>IFERROR(__xludf.DUMMYFUNCTION("""COMPUTED_VALUE"""),"Студент ")</f>
        <v>Студент </v>
      </c>
      <c r="C711" s="6" t="str">
        <f>IFERROR(__xludf.DUMMYFUNCTION("""COMPUTED_VALUE"""),"Нет")</f>
        <v>Нет</v>
      </c>
      <c r="D711" s="6" t="str">
        <f>IFERROR(__xludf.DUMMYFUNCTION("""COMPUTED_VALUE"""),"Ленинский район")</f>
        <v>Ленинский район</v>
      </c>
      <c r="E711" s="6" t="str">
        <f>IFERROR(__xludf.DUMMYFUNCTION("""COMPUTED_VALUE"""),"Бульвар строителей")</f>
        <v>Бульвар строителей</v>
      </c>
      <c r="F711" s="6" t="str">
        <f>IFERROR(__xludf.DUMMYFUNCTION("""COMPUTED_VALUE"""),"Прохожу обучение ")</f>
        <v>Прохожу обучение </v>
      </c>
      <c r="G711" s="6" t="str">
        <f>IFERROR(__xludf.DUMMYFUNCTION("""COMPUTED_VALUE"""),"-")</f>
        <v>-</v>
      </c>
      <c r="H711" s="6" t="str">
        <f>IFERROR(__xludf.DUMMYFUNCTION("""COMPUTED_VALUE"""),"-")</f>
        <v>-</v>
      </c>
      <c r="I711" s="6" t="str">
        <f>IFERROR(__xludf.DUMMYFUNCTION("""COMPUTED_VALUE"""),"-")</f>
        <v>-</v>
      </c>
      <c r="J711" s="6" t="str">
        <f>IFERROR(__xludf.DUMMYFUNCTION("""COMPUTED_VALUE"""),"Не знаю")</f>
        <v>Не знаю</v>
      </c>
      <c r="K711" s="6" t="str">
        <f>IFERROR(__xludf.DUMMYFUNCTION("""COMPUTED_VALUE"""),"Аллея на бульваре, парк чудес")</f>
        <v>Аллея на бульваре, парк чудес</v>
      </c>
      <c r="L711" s="6" t="str">
        <f>IFERROR(__xludf.DUMMYFUNCTION("""COMPUTED_VALUE"""),"Ничего не приходит на ум")</f>
        <v>Ничего не приходит на ум</v>
      </c>
      <c r="M711" s="6" t="str">
        <f>IFERROR(__xludf.DUMMYFUNCTION("""COMPUTED_VALUE"""),"Нет")</f>
        <v>Нет</v>
      </c>
      <c r="N711" s="6" t="str">
        <f>IFERROR(__xludf.DUMMYFUNCTION("""COMPUTED_VALUE"""),"Их нет")</f>
        <v>Их нет</v>
      </c>
      <c r="O711" s="6" t="str">
        <f>IFERROR(__xludf.DUMMYFUNCTION("""COMPUTED_VALUE"""),"Общество ")</f>
        <v>Общество </v>
      </c>
      <c r="P711" s="6" t="str">
        <f>IFERROR(__xludf.DUMMYFUNCTION("""COMPUTED_VALUE"""),"Приложение вконтакте ")</f>
        <v>Приложение вконтакте </v>
      </c>
      <c r="Q711" s="6" t="str">
        <f>IFERROR(__xludf.DUMMYFUNCTION("""COMPUTED_VALUE"""),"где вкусно поесть/открытие новых кафе/ресторанов, городская афиша (кино/театр/концерты), новости про новые профессии/куда поступать/вакансии")</f>
        <v>где вкусно поесть/открытие новых кафе/ресторанов, городская афиша (кино/театр/концерты), новости про новые профессии/куда поступать/вакансии</v>
      </c>
      <c r="R711" s="6" t="str">
        <f>IFERROR(__xludf.DUMMYFUNCTION("""COMPUTED_VALUE"""),"-")</f>
        <v>-</v>
      </c>
      <c r="S711" s="6" t="str">
        <f>IFERROR(__xludf.DUMMYFUNCTION("""COMPUTED_VALUE"""),"Нет, не приходилось")</f>
        <v>Нет, не приходилось</v>
      </c>
      <c r="T711" s="6" t="str">
        <f>IFERROR(__xludf.DUMMYFUNCTION("""COMPUTED_VALUE"""),"Затрудняюсь ответить ")</f>
        <v>Затрудняюсь ответить </v>
      </c>
      <c r="U711" s="6" t="str">
        <f>IFERROR(__xludf.DUMMYFUNCTION("""COMPUTED_VALUE"""),"Музыкальный театр на улице Кирова ")</f>
        <v>Музыкальный театр на улице Кирова </v>
      </c>
      <c r="V711" s="6" t="str">
        <f>IFERROR(__xludf.DUMMYFUNCTION("""COMPUTED_VALUE"""),"-")</f>
        <v>-</v>
      </c>
      <c r="W711" s="6" t="str">
        <f>IFERROR(__xludf.DUMMYFUNCTION("""COMPUTED_VALUE"""),"Иногда равнодушные ")</f>
        <v>Иногда равнодушные </v>
      </c>
      <c r="X711" s="6" t="str">
        <f>IFERROR(__xludf.DUMMYFUNCTION("""COMPUTED_VALUE"""),"Набережная ")</f>
        <v>Набережная </v>
      </c>
      <c r="Y711" s="6" t="str">
        <f>IFERROR(__xludf.DUMMYFUNCTION("""COMPUTED_VALUE"""),"Нет таких ")</f>
        <v>Нет таких </v>
      </c>
      <c r="Z711" s="6" t="str">
        <f>IFERROR(__xludf.DUMMYFUNCTION("""COMPUTED_VALUE"""),"Концерт ")</f>
        <v>Концерт </v>
      </c>
      <c r="AA711" s="6" t="str">
        <f>IFERROR(__xludf.DUMMYFUNCTION("""COMPUTED_VALUE"""),"Повышение цен")</f>
        <v>Повышение цен</v>
      </c>
      <c r="AB711" s="6" t="str">
        <f>IFERROR(__xludf.DUMMYFUNCTION("""COMPUTED_VALUE"""),"Творческих ")</f>
        <v>Творческих </v>
      </c>
      <c r="AC711" s="6" t="str">
        <f>IFERROR(__xludf.DUMMYFUNCTION("""COMPUTED_VALUE"""),"Открытие новых развлечений, таких как аквапарки, бассейны и тд")</f>
        <v>Открытие новых развлечений, таких как аквапарки, бассейны и тд</v>
      </c>
      <c r="AD711" s="6" t="str">
        <f>IFERROR(__xludf.DUMMYFUNCTION("""COMPUTED_VALUE"""),"Не готов принимать личное участие (укажите, пожалуйста, причину в поле «Другое»), Не хочу")</f>
        <v>Не готов принимать личное участие (укажите, пожалуйста, причину в поле «Другое»), Не хочу</v>
      </c>
      <c r="AE711" s="6" t="str">
        <f>IFERROR(__xludf.DUMMYFUNCTION("""COMPUTED_VALUE"""),"Женский")</f>
        <v>Женский</v>
      </c>
      <c r="AF711" s="6" t="str">
        <f>IFERROR(__xludf.DUMMYFUNCTION("""COMPUTED_VALUE"""),"18-29")</f>
        <v>18-29</v>
      </c>
      <c r="AG711" s="6"/>
      <c r="AH711" s="6"/>
      <c r="AI711" s="6"/>
      <c r="AJ711" s="6"/>
      <c r="AK711" s="6"/>
      <c r="AL711" s="6"/>
      <c r="AM711" s="6"/>
    </row>
    <row r="712">
      <c r="A712" s="6">
        <v>711.0</v>
      </c>
      <c r="B712" s="6" t="str">
        <f>IFERROR(__xludf.DUMMYFUNCTION("""COMPUTED_VALUE"""),"Хореография")</f>
        <v>Хореография</v>
      </c>
      <c r="C712" s="6" t="str">
        <f>IFERROR(__xludf.DUMMYFUNCTION("""COMPUTED_VALUE"""),"Танцы")</f>
        <v>Танцы</v>
      </c>
      <c r="D712" s="6" t="str">
        <f>IFERROR(__xludf.DUMMYFUNCTION("""COMPUTED_VALUE"""),"Белово")</f>
        <v>Белово</v>
      </c>
      <c r="E712" s="6" t="str">
        <f>IFERROR(__xludf.DUMMYFUNCTION("""COMPUTED_VALUE"""),"Не знаю")</f>
        <v>Не знаю</v>
      </c>
      <c r="F712" s="6" t="str">
        <f>IFERROR(__xludf.DUMMYFUNCTION("""COMPUTED_VALUE"""),"Живу здесь с рождения")</f>
        <v>Живу здесь с рождения</v>
      </c>
      <c r="G712" s="6" t="str">
        <f>IFERROR(__xludf.DUMMYFUNCTION("""COMPUTED_VALUE"""),"Парк атракционов, кино, кафе, игровые")</f>
        <v>Парк атракционов, кино, кафе, игровые</v>
      </c>
      <c r="H712" s="6" t="str">
        <f>IFERROR(__xludf.DUMMYFUNCTION("""COMPUTED_VALUE"""),"Красивый, большой, чистый")</f>
        <v>Красивый, большой, чистый</v>
      </c>
      <c r="I712" s="6" t="str">
        <f>IFERROR(__xludf.DUMMYFUNCTION("""COMPUTED_VALUE"""),"Леонов")</f>
        <v>Леонов</v>
      </c>
      <c r="J712" s="6" t="str">
        <f>IFERROR(__xludf.DUMMYFUNCTION("""COMPUTED_VALUE"""),"ЦИВИЛЕВ")</f>
        <v>ЦИВИЛЕВ</v>
      </c>
      <c r="K712" s="6" t="str">
        <f>IFERROR(__xludf.DUMMYFUNCTION("""COMPUTED_VALUE"""),"Весь город")</f>
        <v>Весь город</v>
      </c>
      <c r="L712" s="6" t="str">
        <f>IFERROR(__xludf.DUMMYFUNCTION("""COMPUTED_VALUE"""),"Не знаю")</f>
        <v>Не знаю</v>
      </c>
      <c r="M712" s="6" t="str">
        <f>IFERROR(__xludf.DUMMYFUNCTION("""COMPUTED_VALUE"""),"Не знаю")</f>
        <v>Не знаю</v>
      </c>
      <c r="N712" s="6" t="str">
        <f>IFERROR(__xludf.DUMMYFUNCTION("""COMPUTED_VALUE"""),"Затрудняюсь ответить")</f>
        <v>Затрудняюсь ответить</v>
      </c>
      <c r="O712" s="6" t="str">
        <f>IFERROR(__xludf.DUMMYFUNCTION("""COMPUTED_VALUE"""),"Затрудняюсь ответить")</f>
        <v>Затрудняюсь ответить</v>
      </c>
      <c r="P712" s="6" t="str">
        <f>IFERROR(__xludf.DUMMYFUNCTION("""COMPUTED_VALUE"""),"Инстаграм, вк. ")</f>
        <v>Инстаграм, вк. </v>
      </c>
      <c r="Q712"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v>
      </c>
      <c r="R712" s="6" t="str">
        <f>IFERROR(__xludf.DUMMYFUNCTION("""COMPUTED_VALUE"""),"Нет таких")</f>
        <v>Нет таких</v>
      </c>
      <c r="S712" s="6" t="str">
        <f>IFERROR(__xludf.DUMMYFUNCTION("""COMPUTED_VALUE"""),"Нет, не приходилось")</f>
        <v>Нет, не приходилось</v>
      </c>
      <c r="T712" s="6" t="str">
        <f>IFERROR(__xludf.DUMMYFUNCTION("""COMPUTED_VALUE"""),"Не знаю")</f>
        <v>Не знаю</v>
      </c>
      <c r="U712" s="6" t="str">
        <f>IFERROR(__xludf.DUMMYFUNCTION("""COMPUTED_VALUE"""),"Площадь")</f>
        <v>Площадь</v>
      </c>
      <c r="V712" s="6" t="str">
        <f>IFERROR(__xludf.DUMMYFUNCTION("""COMPUTED_VALUE"""),"Затрудняюсь ответить")</f>
        <v>Затрудняюсь ответить</v>
      </c>
      <c r="W712" s="6" t="str">
        <f>IFERROR(__xludf.DUMMYFUNCTION("""COMPUTED_VALUE"""),"Добрые, отзывчивые")</f>
        <v>Добрые, отзывчивые</v>
      </c>
      <c r="X712" s="6" t="str">
        <f>IFERROR(__xludf.DUMMYFUNCTION("""COMPUTED_VALUE"""),"Не знаю")</f>
        <v>Не знаю</v>
      </c>
      <c r="Y712" s="6" t="str">
        <f>IFERROR(__xludf.DUMMYFUNCTION("""COMPUTED_VALUE"""),"Не знаю")</f>
        <v>Не знаю</v>
      </c>
      <c r="Z712" s="6" t="str">
        <f>IFERROR(__xludf.DUMMYFUNCTION("""COMPUTED_VALUE"""),"Много таких ")</f>
        <v>Много таких </v>
      </c>
      <c r="AA712" s="6" t="str">
        <f>IFERROR(__xludf.DUMMYFUNCTION("""COMPUTED_VALUE"""),"Нет таких")</f>
        <v>Нет таких</v>
      </c>
      <c r="AB712" s="6" t="str">
        <f>IFERROR(__xludf.DUMMYFUNCTION("""COMPUTED_VALUE"""),"Затрудняюсь ответить")</f>
        <v>Затрудняюсь ответить</v>
      </c>
      <c r="AC712" s="6" t="str">
        <f>IFERROR(__xludf.DUMMYFUNCTION("""COMPUTED_VALUE"""),"Не знаю")</f>
        <v>Не знаю</v>
      </c>
      <c r="AD71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12" s="6" t="str">
        <f>IFERROR(__xludf.DUMMYFUNCTION("""COMPUTED_VALUE"""),"Женский")</f>
        <v>Женский</v>
      </c>
      <c r="AF712" s="6" t="str">
        <f>IFERROR(__xludf.DUMMYFUNCTION("""COMPUTED_VALUE"""),"30-44")</f>
        <v>30-44</v>
      </c>
      <c r="AG712" s="6"/>
      <c r="AH712" s="6"/>
      <c r="AI712" s="6"/>
      <c r="AJ712" s="6"/>
      <c r="AK712" s="6"/>
      <c r="AL712" s="6"/>
      <c r="AM712" s="6"/>
    </row>
    <row r="713">
      <c r="A713" s="6">
        <v>712.0</v>
      </c>
      <c r="B713" s="6" t="str">
        <f>IFERROR(__xludf.DUMMYFUNCTION("""COMPUTED_VALUE"""),"Преподаватель вокала")</f>
        <v>Преподаватель вокала</v>
      </c>
      <c r="C713" s="6" t="str">
        <f>IFERROR(__xludf.DUMMYFUNCTION("""COMPUTED_VALUE"""),"Рыбалка")</f>
        <v>Рыбалка</v>
      </c>
      <c r="D713" s="6" t="str">
        <f>IFERROR(__xludf.DUMMYFUNCTION("""COMPUTED_VALUE"""),"3й микрорайон г. Белово")</f>
        <v>3й микрорайон г. Белово</v>
      </c>
      <c r="E713" s="6" t="str">
        <f>IFERROR(__xludf.DUMMYFUNCTION("""COMPUTED_VALUE"""),"Беловское море")</f>
        <v>Беловское море</v>
      </c>
      <c r="F713" s="6" t="str">
        <f>IFERROR(__xludf.DUMMYFUNCTION("""COMPUTED_VALUE"""),"Живу здесь с рождения")</f>
        <v>Живу здесь с рождения</v>
      </c>
      <c r="G713" s="6" t="str">
        <f>IFERROR(__xludf.DUMMYFUNCTION("""COMPUTED_VALUE"""),"Парки")</f>
        <v>Парки</v>
      </c>
      <c r="H713" s="6" t="str">
        <f>IFERROR(__xludf.DUMMYFUNCTION("""COMPUTED_VALUE"""),"Маленький, уютный, молодой, не перспективный,  не шумный")</f>
        <v>Маленький, уютный, молодой, не перспективный,  не шумный</v>
      </c>
      <c r="I713" s="6" t="str">
        <f>IFERROR(__xludf.DUMMYFUNCTION("""COMPUTED_VALUE"""),"Не знаю")</f>
        <v>Не знаю</v>
      </c>
      <c r="J713" s="6" t="str">
        <f>IFERROR(__xludf.DUMMYFUNCTION("""COMPUTED_VALUE"""),"Не знаю")</f>
        <v>Не знаю</v>
      </c>
      <c r="K713" s="6" t="str">
        <f>IFERROR(__xludf.DUMMYFUNCTION("""COMPUTED_VALUE"""),"Не знаю")</f>
        <v>Не знаю</v>
      </c>
      <c r="L713" s="6" t="str">
        <f>IFERROR(__xludf.DUMMYFUNCTION("""COMPUTED_VALUE"""),"Терпение труд всё перетрут")</f>
        <v>Терпение труд всё перетрут</v>
      </c>
      <c r="M713" s="6" t="str">
        <f>IFERROR(__xludf.DUMMYFUNCTION("""COMPUTED_VALUE"""),"Нет")</f>
        <v>Нет</v>
      </c>
      <c r="N713" s="6" t="str">
        <f>IFERROR(__xludf.DUMMYFUNCTION("""COMPUTED_VALUE"""),"Не знаю")</f>
        <v>Не знаю</v>
      </c>
      <c r="O713" s="6" t="str">
        <f>IFERROR(__xludf.DUMMYFUNCTION("""COMPUTED_VALUE"""),"Сделать прямые рейсы с 3го мкр до Н. Городках")</f>
        <v>Сделать прямые рейсы с 3го мкр до Н. Городках</v>
      </c>
      <c r="P713" s="6" t="str">
        <f>IFERROR(__xludf.DUMMYFUNCTION("""COMPUTED_VALUE"""),"Соцсети")</f>
        <v>Соцсети</v>
      </c>
      <c r="Q713" s="6" t="str">
        <f>IFERROR(__xludf.DUMMYFUNCTION("""COMPUTED_VALUE"""),"куда пойти в свободное время, где вкусно поесть/открытие новых кафе/ресторанов, бизнес-новости (средний чек/рекламные акции/запуск новых предприятий)")</f>
        <v>куда пойти в свободное время, где вкусно поесть/открытие новых кафе/ресторанов, бизнес-новости (средний чек/рекламные акции/запуск новых предприятий)</v>
      </c>
      <c r="R713" s="6" t="str">
        <f>IFERROR(__xludf.DUMMYFUNCTION("""COMPUTED_VALUE"""),"День Шахтёра")</f>
        <v>День Шахтёра</v>
      </c>
      <c r="S713" s="6" t="str">
        <f>IFERROR(__xludf.DUMMYFUNCTION("""COMPUTED_VALUE"""),"Нет, не приходилось")</f>
        <v>Нет, не приходилось</v>
      </c>
      <c r="T713" s="6" t="str">
        <f>IFERROR(__xludf.DUMMYFUNCTION("""COMPUTED_VALUE"""),"Не знаю")</f>
        <v>Не знаю</v>
      </c>
      <c r="U713" s="6" t="str">
        <f>IFERROR(__xludf.DUMMYFUNCTION("""COMPUTED_VALUE"""),"Не знаю")</f>
        <v>Не знаю</v>
      </c>
      <c r="V713" s="6" t="str">
        <f>IFERROR(__xludf.DUMMYFUNCTION("""COMPUTED_VALUE"""),"Не знаю")</f>
        <v>Не знаю</v>
      </c>
      <c r="W713" s="6" t="str">
        <f>IFERROR(__xludf.DUMMYFUNCTION("""COMPUTED_VALUE"""),"Хорошие, добрые")</f>
        <v>Хорошие, добрые</v>
      </c>
      <c r="X713" s="6" t="str">
        <f>IFERROR(__xludf.DUMMYFUNCTION("""COMPUTED_VALUE"""),"Не знаю")</f>
        <v>Не знаю</v>
      </c>
      <c r="Y713" s="6" t="str">
        <f>IFERROR(__xludf.DUMMYFUNCTION("""COMPUTED_VALUE"""),"Не знаю")</f>
        <v>Не знаю</v>
      </c>
      <c r="Z713" s="6" t="str">
        <f>IFERROR(__xludf.DUMMYFUNCTION("""COMPUTED_VALUE"""),"Не знаю")</f>
        <v>Не знаю</v>
      </c>
      <c r="AA713" s="6" t="str">
        <f>IFERROR(__xludf.DUMMYFUNCTION("""COMPUTED_VALUE"""),"Не знаю")</f>
        <v>Не знаю</v>
      </c>
      <c r="AB713" s="6" t="str">
        <f>IFERROR(__xludf.DUMMYFUNCTION("""COMPUTED_VALUE"""),"Затрудняюсь ответить")</f>
        <v>Затрудняюсь ответить</v>
      </c>
      <c r="AC713" s="6" t="str">
        <f>IFERROR(__xludf.DUMMYFUNCTION("""COMPUTED_VALUE"""),"Мероприятий достаточно")</f>
        <v>Мероприятий достаточно</v>
      </c>
      <c r="AD713"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713" s="6" t="str">
        <f>IFERROR(__xludf.DUMMYFUNCTION("""COMPUTED_VALUE"""),"Женский")</f>
        <v>Женский</v>
      </c>
      <c r="AF713" s="6" t="str">
        <f>IFERROR(__xludf.DUMMYFUNCTION("""COMPUTED_VALUE"""),"30-44")</f>
        <v>30-44</v>
      </c>
      <c r="AG713" s="6"/>
      <c r="AH713" s="6"/>
      <c r="AI713" s="6"/>
      <c r="AJ713" s="6"/>
      <c r="AK713" s="6"/>
      <c r="AL713" s="6"/>
      <c r="AM713" s="6"/>
    </row>
    <row r="714">
      <c r="A714" s="6">
        <v>713.0</v>
      </c>
      <c r="B714" s="6" t="str">
        <f>IFERROR(__xludf.DUMMYFUNCTION("""COMPUTED_VALUE"""),"Руководитель отдела продаж")</f>
        <v>Руководитель отдела продаж</v>
      </c>
      <c r="C714" s="6" t="str">
        <f>IFERROR(__xludf.DUMMYFUNCTION("""COMPUTED_VALUE"""),"Музыка, автомобили")</f>
        <v>Музыка, автомобили</v>
      </c>
      <c r="D714" s="6" t="str">
        <f>IFERROR(__xludf.DUMMYFUNCTION("""COMPUTED_VALUE"""),"Ленинский")</f>
        <v>Ленинский</v>
      </c>
      <c r="E714" s="6" t="str">
        <f>IFERROR(__xludf.DUMMYFUNCTION("""COMPUTED_VALUE"""),"Пл. Пушкина, Ленина, набережная центр и Кировская, Красная горка, Сосновый Бор ")</f>
        <v>Пл. Пушкина, Ленина, набережная центр и Кировская, Красная горка, Сосновый Бор </v>
      </c>
      <c r="F714" s="6" t="str">
        <f>IFERROR(__xludf.DUMMYFUNCTION("""COMPUTED_VALUE"""),"Переехал сюда из другого места (откуда? укажите в графе другое), Крапивинский")</f>
        <v>Переехал сюда из другого места (откуда? укажите в графе другое), Крапивинский</v>
      </c>
      <c r="G714" s="6" t="str">
        <f>IFERROR(__xludf.DUMMYFUNCTION("""COMPUTED_VALUE"""),"ТЦ(которые отвратительны) прогулки по скверам Ленинского района, река в Сухово")</f>
        <v>ТЦ(которые отвратительны) прогулки по скверам Ленинского района, река в Сухово</v>
      </c>
      <c r="H714" s="6" t="str">
        <f>IFERROR(__xludf.DUMMYFUNCTION("""COMPUTED_VALUE"""),"Азот, Уголь, Тулеев, Волков, коксохимик ")</f>
        <v>Азот, Уголь, Тулеев, Волков, коксохимик </v>
      </c>
      <c r="I714" s="6" t="str">
        <f>IFERROR(__xludf.DUMMYFUNCTION("""COMPUTED_VALUE"""),"Тулеев, Леонов, Гришковец, Мартынов А.И")</f>
        <v>Тулеев, Леонов, Гришковец, Мартынов А.И</v>
      </c>
      <c r="J714" s="6" t="str">
        <f>IFERROR(__xludf.DUMMYFUNCTION("""COMPUTED_VALUE"""),"Не знаю на кого тут равняются")</f>
        <v>Не знаю на кого тут равняются</v>
      </c>
      <c r="K714" s="6" t="str">
        <f>IFERROR(__xludf.DUMMYFUNCTION("""COMPUTED_VALUE"""),"🤷‍♂️")</f>
        <v>🤷‍♂️</v>
      </c>
      <c r="L714" s="6" t="str">
        <f>IFERROR(__xludf.DUMMYFUNCTION("""COMPUTED_VALUE"""),"Не знаю")</f>
        <v>Не знаю</v>
      </c>
      <c r="M714" s="6" t="str">
        <f>IFERROR(__xludf.DUMMYFUNCTION("""COMPUTED_VALUE"""),"🤷‍♂️")</f>
        <v>🤷‍♂️</v>
      </c>
      <c r="N714" s="6" t="str">
        <f>IFERROR(__xludf.DUMMYFUNCTION("""COMPUTED_VALUE"""),"Спокойный, компактный, дружный")</f>
        <v>Спокойный, компактный, дружный</v>
      </c>
      <c r="O714" s="6" t="str">
        <f>IFERROR(__xludf.DUMMYFUNCTION("""COMPUTED_VALUE"""),"Хозяев")</f>
        <v>Хозяев</v>
      </c>
      <c r="P714" s="6" t="str">
        <f>IFERROR(__xludf.DUMMYFUNCTION("""COMPUTED_VALUE"""),"Их много")</f>
        <v>Их много</v>
      </c>
      <c r="Q714"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бизнес-новости"&amp;" (средний чек/рекламные акции/запуск новых предприятий)")</f>
        <v>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714" s="6" t="str">
        <f>IFERROR(__xludf.DUMMYFUNCTION("""COMPUTED_VALUE"""),"День города, и День Победы! Нет больше праздников в этом городе")</f>
        <v>День города, и День Победы! Нет больше праздников в этом городе</v>
      </c>
      <c r="S714" s="6" t="str">
        <f>IFERROR(__xludf.DUMMYFUNCTION("""COMPUTED_VALUE"""),"Нет, не приходилось")</f>
        <v>Нет, не приходилось</v>
      </c>
      <c r="T714" s="6" t="str">
        <f>IFERROR(__xludf.DUMMYFUNCTION("""COMPUTED_VALUE"""),"Когда то был зелёный красивый город")</f>
        <v>Когда то был зелёный красивый город</v>
      </c>
      <c r="U714" s="6" t="str">
        <f>IFERROR(__xludf.DUMMYFUNCTION("""COMPUTED_VALUE"""),"Пушкин, весенняя")</f>
        <v>Пушкин, весенняя</v>
      </c>
      <c r="V714" s="6" t="str">
        <f>IFERROR(__xludf.DUMMYFUNCTION("""COMPUTED_VALUE"""),"Трудились, поднимали город! А сейчас все в ж")</f>
        <v>Трудились, поднимали город! А сейчас все в ж</v>
      </c>
      <c r="W714" s="6" t="str">
        <f>IFERROR(__xludf.DUMMYFUNCTION("""COMPUTED_VALUE"""),"В целом раньше были добрые, начитанные! Сейчас не могу утверждать ни первое ни второе")</f>
        <v>В целом раньше были добрые, начитанные! Сейчас не могу утверждать ни первое ни второе</v>
      </c>
      <c r="X714" s="6" t="str">
        <f>IFERROR(__xludf.DUMMYFUNCTION("""COMPUTED_VALUE"""),"Любой")</f>
        <v>Любой</v>
      </c>
      <c r="Y714" s="6" t="str">
        <f>IFERROR(__xludf.DUMMYFUNCTION("""COMPUTED_VALUE"""),"Пожар ")</f>
        <v>Пожар </v>
      </c>
      <c r="Z714" s="6" t="str">
        <f>IFERROR(__xludf.DUMMYFUNCTION("""COMPUTED_VALUE"""),"Да нет их")</f>
        <v>Да нет их</v>
      </c>
      <c r="AA714" s="6" t="str">
        <f>IFERROR(__xludf.DUMMYFUNCTION("""COMPUTED_VALUE"""),"Пожар ")</f>
        <v>Пожар </v>
      </c>
      <c r="AB714" s="6" t="str">
        <f>IFERROR(__xludf.DUMMYFUNCTION("""COMPUTED_VALUE"""),"🤷‍♂️")</f>
        <v>🤷‍♂️</v>
      </c>
      <c r="AC714" s="6" t="str">
        <f>IFERROR(__xludf.DUMMYFUNCTION("""COMPUTED_VALUE"""),"Уже звёзды мимо проезжают, так как организация в ж, площадок нет хороших! Сервис тоже на дне")</f>
        <v>Уже звёзды мимо проезжают, так как организация в ж, площадок нет хороших! Сервис тоже на дне</v>
      </c>
      <c r="AD71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14" s="6" t="str">
        <f>IFERROR(__xludf.DUMMYFUNCTION("""COMPUTED_VALUE"""),"Мужской")</f>
        <v>Мужской</v>
      </c>
      <c r="AF714" s="6" t="str">
        <f>IFERROR(__xludf.DUMMYFUNCTION("""COMPUTED_VALUE"""),"30-44")</f>
        <v>30-44</v>
      </c>
      <c r="AG714" s="6"/>
      <c r="AH714" s="6"/>
      <c r="AI714" s="6"/>
      <c r="AJ714" s="6"/>
      <c r="AK714" s="6"/>
      <c r="AL714" s="6"/>
      <c r="AM714" s="6"/>
    </row>
    <row r="715">
      <c r="A715" s="6">
        <v>714.0</v>
      </c>
      <c r="B715" s="6" t="str">
        <f>IFERROR(__xludf.DUMMYFUNCTION("""COMPUTED_VALUE"""),"Культура")</f>
        <v>Культура</v>
      </c>
      <c r="C715" s="6" t="str">
        <f>IFERROR(__xludf.DUMMYFUNCTION("""COMPUTED_VALUE"""),"Танцы ")</f>
        <v>Танцы </v>
      </c>
      <c r="D715" s="6" t="str">
        <f>IFERROR(__xludf.DUMMYFUNCTION("""COMPUTED_VALUE"""),"Белово")</f>
        <v>Белово</v>
      </c>
      <c r="E715" s="6" t="str">
        <f>IFERROR(__xludf.DUMMYFUNCTION("""COMPUTED_VALUE"""),"Дк ")</f>
        <v>Дк </v>
      </c>
      <c r="F715" s="6" t="str">
        <f>IFERROR(__xludf.DUMMYFUNCTION("""COMPUTED_VALUE"""),"Живу здесь с рождения")</f>
        <v>Живу здесь с рождения</v>
      </c>
      <c r="G715" s="6" t="str">
        <f>IFERROR(__xludf.DUMMYFUNCTION("""COMPUTED_VALUE"""),"Кино")</f>
        <v>Кино</v>
      </c>
      <c r="H715" s="6" t="str">
        <f>IFERROR(__xludf.DUMMYFUNCTION("""COMPUTED_VALUE"""),"Кино
Культура
Музей
Вернисаж
")</f>
        <v>Кино
Культура
Музей
Вернисаж
</v>
      </c>
      <c r="I715" s="6" t="str">
        <f>IFERROR(__xludf.DUMMYFUNCTION("""COMPUTED_VALUE"""),"Глебов")</f>
        <v>Глебов</v>
      </c>
      <c r="J715" s="6" t="str">
        <f>IFERROR(__xludf.DUMMYFUNCTION("""COMPUTED_VALUE"""),"Курносов")</f>
        <v>Курносов</v>
      </c>
      <c r="K715" s="6" t="str">
        <f>IFERROR(__xludf.DUMMYFUNCTION("""COMPUTED_VALUE"""),"Памчтники")</f>
        <v>Памчтники</v>
      </c>
      <c r="L715" s="6" t="str">
        <f>IFERROR(__xludf.DUMMYFUNCTION("""COMPUTED_VALUE"""),"Не знаю ")</f>
        <v>Не знаю </v>
      </c>
      <c r="M715" s="6" t="str">
        <f>IFERROR(__xludf.DUMMYFUNCTION("""COMPUTED_VALUE"""),"Нет")</f>
        <v>Нет</v>
      </c>
      <c r="N715" s="6" t="str">
        <f>IFERROR(__xludf.DUMMYFUNCTION("""COMPUTED_VALUE"""),"Затрудняюсь")</f>
        <v>Затрудняюсь</v>
      </c>
      <c r="O715" s="6" t="str">
        <f>IFERROR(__xludf.DUMMYFUNCTION("""COMPUTED_VALUE"""),"Дороги")</f>
        <v>Дороги</v>
      </c>
      <c r="P715" s="6" t="str">
        <f>IFERROR(__xludf.DUMMYFUNCTION("""COMPUTED_VALUE"""),"Интернет")</f>
        <v>Интернет</v>
      </c>
      <c r="Q715" s="6" t="str">
        <f>IFERROR(__xludf.DUMMYFUNCTION("""COMPUTED_VALUE"""),"где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v>
      </c>
      <c r="R715" s="6" t="str">
        <f>IFERROR(__xludf.DUMMYFUNCTION("""COMPUTED_VALUE"""),"День шахтера")</f>
        <v>День шахтера</v>
      </c>
      <c r="S715" s="6" t="str">
        <f>IFERROR(__xludf.DUMMYFUNCTION("""COMPUTED_VALUE"""),"Нет, не приходилось")</f>
        <v>Нет, не приходилось</v>
      </c>
      <c r="T715" s="6" t="str">
        <f>IFERROR(__xludf.DUMMYFUNCTION("""COMPUTED_VALUE"""),"Красивый ")</f>
        <v>Красивый </v>
      </c>
      <c r="U715" s="6" t="str">
        <f>IFERROR(__xludf.DUMMYFUNCTION("""COMPUTED_VALUE"""),"Затрудяюсь ответить")</f>
        <v>Затрудяюсь ответить</v>
      </c>
      <c r="V715" s="6" t="str">
        <f>IFERROR(__xludf.DUMMYFUNCTION("""COMPUTED_VALUE"""),"Затрудяюсь ответить")</f>
        <v>Затрудяюсь ответить</v>
      </c>
      <c r="W715" s="6" t="str">
        <f>IFERROR(__xludf.DUMMYFUNCTION("""COMPUTED_VALUE"""),"Дружелюбные")</f>
        <v>Дружелюбные</v>
      </c>
      <c r="X715" s="6" t="str">
        <f>IFERROR(__xludf.DUMMYFUNCTION("""COMPUTED_VALUE"""),"Не
 Знаю")</f>
        <v>Не
 Знаю</v>
      </c>
      <c r="Y715" s="6" t="str">
        <f>IFERROR(__xludf.DUMMYFUNCTION("""COMPUTED_VALUE"""),"Не знаю ")</f>
        <v>Не знаю </v>
      </c>
      <c r="Z715" s="6" t="str">
        <f>IFERROR(__xludf.DUMMYFUNCTION("""COMPUTED_VALUE"""),"Не знаю ")</f>
        <v>Не знаю </v>
      </c>
      <c r="AA715" s="6" t="str">
        <f>IFERROR(__xludf.DUMMYFUNCTION("""COMPUTED_VALUE"""),"Пожары")</f>
        <v>Пожары</v>
      </c>
      <c r="AB715" s="6" t="str">
        <f>IFERROR(__xludf.DUMMYFUNCTION("""COMPUTED_VALUE"""),"Цырков")</f>
        <v>Цырков</v>
      </c>
      <c r="AC715" s="6" t="str">
        <f>IFERROR(__xludf.DUMMYFUNCTION("""COMPUTED_VALUE"""),"Не знаю ")</f>
        <v>Не знаю </v>
      </c>
      <c r="AD71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715" s="6" t="str">
        <f>IFERROR(__xludf.DUMMYFUNCTION("""COMPUTED_VALUE"""),"Женский")</f>
        <v>Женский</v>
      </c>
      <c r="AF715" s="6" t="str">
        <f>IFERROR(__xludf.DUMMYFUNCTION("""COMPUTED_VALUE"""),"30-44")</f>
        <v>30-44</v>
      </c>
      <c r="AG715" s="6"/>
      <c r="AH715" s="6"/>
      <c r="AI715" s="6"/>
      <c r="AJ715" s="6"/>
      <c r="AK715" s="6"/>
      <c r="AL715" s="6"/>
      <c r="AM715" s="6"/>
    </row>
    <row r="716">
      <c r="A716" s="6">
        <v>715.0</v>
      </c>
      <c r="B716" s="6" t="str">
        <f>IFERROR(__xludf.DUMMYFUNCTION("""COMPUTED_VALUE"""),"Учусь в ВУЗе")</f>
        <v>Учусь в ВУЗе</v>
      </c>
      <c r="C716" s="6" t="str">
        <f>IFERROR(__xludf.DUMMYFUNCTION("""COMPUTED_VALUE"""),"Рукоделие")</f>
        <v>Рукоделие</v>
      </c>
      <c r="D716" s="6" t="str">
        <f>IFERROR(__xludf.DUMMYFUNCTION("""COMPUTED_VALUE"""),"Рудничный район, Радуга")</f>
        <v>Рудничный район, Радуга</v>
      </c>
      <c r="E716" s="6" t="str">
        <f>IFERROR(__xludf.DUMMYFUNCTION("""COMPUTED_VALUE"""),"Площадь Советов, Набережная, различные парки и скверы")</f>
        <v>Площадь Советов, Набережная, различные парки и скверы</v>
      </c>
      <c r="F716" s="6" t="str">
        <f>IFERROR(__xludf.DUMMYFUNCTION("""COMPUTED_VALUE"""),"Переехал сюда из другого места (откуда? укажите в графе другое), Переехала из пгт. Яшкино ")</f>
        <v>Переехал сюда из другого места (откуда? укажите в графе другое), Переехала из пгт. Яшкино </v>
      </c>
      <c r="G716" s="6" t="str">
        <f>IFERROR(__xludf.DUMMYFUNCTION("""COMPUTED_VALUE"""),"Парки, Сосновый бор")</f>
        <v>Парки, Сосновый бор</v>
      </c>
      <c r="H716" s="6" t="str">
        <f>IFERROR(__xludf.DUMMYFUNCTION("""COMPUTED_VALUE"""),"Смог, Томь")</f>
        <v>Смог, Томь</v>
      </c>
      <c r="I716" s="6" t="str">
        <f>IFERROR(__xludf.DUMMYFUNCTION("""COMPUTED_VALUE"""),". ")</f>
        <v>. </v>
      </c>
      <c r="J716" s="6" t="str">
        <f>IFERROR(__xludf.DUMMYFUNCTION("""COMPUTED_VALUE"""),"Тулеев")</f>
        <v>Тулеев</v>
      </c>
      <c r="K716" s="6" t="str">
        <f>IFERROR(__xludf.DUMMYFUNCTION("""COMPUTED_VALUE"""),"Парк Ангелов, Сосновый бор")</f>
        <v>Парк Ангелов, Сосновый бор</v>
      </c>
      <c r="L716" s="6" t="str">
        <f>IFERROR(__xludf.DUMMYFUNCTION("""COMPUTED_VALUE"""),". ")</f>
        <v>. </v>
      </c>
      <c r="M716" s="6" t="str">
        <f>IFERROR(__xludf.DUMMYFUNCTION("""COMPUTED_VALUE"""),". ")</f>
        <v>. </v>
      </c>
      <c r="N716" s="6" t="str">
        <f>IFERROR(__xludf.DUMMYFUNCTION("""COMPUTED_VALUE"""),"Таких нет")</f>
        <v>Таких нет</v>
      </c>
      <c r="O716" s="6" t="str">
        <f>IFERROR(__xludf.DUMMYFUNCTION("""COMPUTED_VALUE"""),"Экологию! ")</f>
        <v>Экологию! </v>
      </c>
      <c r="P716" s="6" t="str">
        <f>IFERROR(__xludf.DUMMYFUNCTION("""COMPUTED_VALUE"""),"Новости, общение со знакомыми")</f>
        <v>Новости, общение со знакомыми</v>
      </c>
      <c r="Q716" s="6" t="str">
        <f>IFERROR(__xludf.DUMMYFUNCTION("""COMPUTED_VALUE"""),"куда пойти в свободное время, криминальные новости (происшествия/преступления), результаты местных исследований (рейтинги/аналитика/тенденции)")</f>
        <v>куда пойти в свободное время, криминальные новости (происшествия/преступления), результаты местных исследований (рейтинги/аналитика/тенденции)</v>
      </c>
      <c r="R716" s="6" t="str">
        <f>IFERROR(__xludf.DUMMYFUNCTION("""COMPUTED_VALUE"""),". ")</f>
        <v>. </v>
      </c>
      <c r="S716" s="6" t="str">
        <f>IFERROR(__xludf.DUMMYFUNCTION("""COMPUTED_VALUE"""),"Нет, не приходилось")</f>
        <v>Нет, не приходилось</v>
      </c>
      <c r="T716" s="6" t="str">
        <f>IFERROR(__xludf.DUMMYFUNCTION("""COMPUTED_VALUE"""),"Угледобывающий регион")</f>
        <v>Угледобывающий регион</v>
      </c>
      <c r="U716" s="6" t="str">
        <f>IFERROR(__xludf.DUMMYFUNCTION("""COMPUTED_VALUE"""),"Площадь Советов ")</f>
        <v>Площадь Советов </v>
      </c>
      <c r="V716" s="6" t="str">
        <f>IFERROR(__xludf.DUMMYFUNCTION("""COMPUTED_VALUE"""),". ")</f>
        <v>. </v>
      </c>
      <c r="W716" s="6" t="str">
        <f>IFERROR(__xludf.DUMMYFUNCTION("""COMPUTED_VALUE"""),". ")</f>
        <v>. </v>
      </c>
      <c r="X716" s="6" t="str">
        <f>IFERROR(__xludf.DUMMYFUNCTION("""COMPUTED_VALUE"""),"Сосновый бор")</f>
        <v>Сосновый бор</v>
      </c>
      <c r="Y716" s="6" t="str">
        <f>IFERROR(__xludf.DUMMYFUNCTION("""COMPUTED_VALUE"""),". ")</f>
        <v>. </v>
      </c>
      <c r="Z716" s="6" t="str">
        <f>IFERROR(__xludf.DUMMYFUNCTION("""COMPUTED_VALUE"""),". ")</f>
        <v>. </v>
      </c>
      <c r="AA716" s="6" t="str">
        <f>IFERROR(__xludf.DUMMYFUNCTION("""COMPUTED_VALUE"""),". ")</f>
        <v>. </v>
      </c>
      <c r="AB716" s="6" t="str">
        <f>IFERROR(__xludf.DUMMYFUNCTION("""COMPUTED_VALUE"""),". ")</f>
        <v>. </v>
      </c>
      <c r="AC716" s="6" t="str">
        <f>IFERROR(__xludf.DUMMYFUNCTION("""COMPUTED_VALUE"""),". ")</f>
        <v>. </v>
      </c>
      <c r="AD71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16" s="6" t="str">
        <f>IFERROR(__xludf.DUMMYFUNCTION("""COMPUTED_VALUE"""),"Женский")</f>
        <v>Женский</v>
      </c>
      <c r="AF716" s="6" t="str">
        <f>IFERROR(__xludf.DUMMYFUNCTION("""COMPUTED_VALUE"""),"18-29")</f>
        <v>18-29</v>
      </c>
      <c r="AG716" s="6"/>
      <c r="AH716" s="6"/>
      <c r="AI716" s="6"/>
      <c r="AJ716" s="6"/>
      <c r="AK716" s="6"/>
      <c r="AL716" s="6"/>
      <c r="AM716" s="6"/>
    </row>
    <row r="717">
      <c r="A717" s="6">
        <v>716.0</v>
      </c>
      <c r="B717" s="6" t="str">
        <f>IFERROR(__xludf.DUMMYFUNCTION("""COMPUTED_VALUE"""),"Студент")</f>
        <v>Студент</v>
      </c>
      <c r="C717" s="6" t="str">
        <f>IFERROR(__xludf.DUMMYFUNCTION("""COMPUTED_VALUE"""),"Спорт, квадроциклы ")</f>
        <v>Спорт, квадроциклы </v>
      </c>
      <c r="D717" s="6" t="str">
        <f>IFERROR(__xludf.DUMMYFUNCTION("""COMPUTED_VALUE"""),"Центральный. Центр ")</f>
        <v>Центральный. Центр </v>
      </c>
      <c r="E717" s="6" t="str">
        <f>IFERROR(__xludf.DUMMYFUNCTION("""COMPUTED_VALUE"""),"Площадь советов, весенняя, советский ")</f>
        <v>Площадь советов, весенняя, советский </v>
      </c>
      <c r="F717" s="6" t="str">
        <f>IFERROR(__xludf.DUMMYFUNCTION("""COMPUTED_VALUE"""),"Переехал сюда из другого места (откуда? укажите в графе другое), Волгоград ")</f>
        <v>Переехал сюда из другого места (откуда? укажите в графе другое), Волгоград </v>
      </c>
      <c r="G717" s="6" t="str">
        <f>IFERROR(__xludf.DUMMYFUNCTION("""COMPUTED_VALUE"""),"Кофейни, рестораны ")</f>
        <v>Кофейни, рестораны </v>
      </c>
      <c r="H717" s="6" t="str">
        <f>IFERROR(__xludf.DUMMYFUNCTION("""COMPUTED_VALUE"""),"Дом, лето, закат, две дымящиеся трубы, мост")</f>
        <v>Дом, лето, закат, две дымящиеся трубы, мост</v>
      </c>
      <c r="I717" s="6" t="str">
        <f>IFERROR(__xludf.DUMMYFUNCTION("""COMPUTED_VALUE"""),"Михайлов Владимир Васильевич ")</f>
        <v>Михайлов Владимир Васильевич </v>
      </c>
      <c r="J717" s="6" t="str">
        <f>IFERROR(__xludf.DUMMYFUNCTION("""COMPUTED_VALUE"""),"Евгения Волкова")</f>
        <v>Евгения Волкова</v>
      </c>
      <c r="K717" s="6" t="str">
        <f>IFERROR(__xludf.DUMMYFUNCTION("""COMPUTED_VALUE"""),"Набережная")</f>
        <v>Набережная</v>
      </c>
      <c r="L717" s="6" t="str">
        <f>IFERROR(__xludf.DUMMYFUNCTION("""COMPUTED_VALUE"""),"За нас, за вас, и за Кузбасс")</f>
        <v>За нас, за вас, и за Кузбасс</v>
      </c>
      <c r="M717" s="6" t="str">
        <f>IFERROR(__xludf.DUMMYFUNCTION("""COMPUTED_VALUE"""),"Радуга в Кемерово не на небе ")</f>
        <v>Радуга в Кемерово не на небе </v>
      </c>
      <c r="N717" s="6" t="str">
        <f>IFERROR(__xludf.DUMMYFUNCTION("""COMPUTED_VALUE"""),"Чистота, безопасность, высокий доход населения, наличие качественных дорог")</f>
        <v>Чистота, безопасность, высокий доход населения, наличие качественных дорог</v>
      </c>
      <c r="O717" s="6" t="str">
        <f>IFERROR(__xludf.DUMMYFUNCTION("""COMPUTED_VALUE"""),"Парковка, дорога, выбросы в атмосферу")</f>
        <v>Парковка, дорога, выбросы в атмосферу</v>
      </c>
      <c r="P717" s="6" t="str">
        <f>IFERROR(__xludf.DUMMYFUNCTION("""COMPUTED_VALUE"""),"Инцидент Кемерово ")</f>
        <v>Инцидент Кемерово </v>
      </c>
      <c r="Q717" s="6" t="str">
        <f>IFERROR(__xludf.DUMMYFUNCTION("""COMPUTED_VALUE"""),"интервью с местными творческими личностями, интервью с местными предпринимателями, результаты местных исследований (рейтинги/аналитика/тенденции)")</f>
        <v>интервью с местными творческими личностями, интервью с местными предпринимателями, результаты местных исследований (рейтинги/аналитика/тенденции)</v>
      </c>
      <c r="R717" s="6" t="str">
        <f>IFERROR(__xludf.DUMMYFUNCTION("""COMPUTED_VALUE"""),"День города, 9 мая ")</f>
        <v>День города, 9 мая </v>
      </c>
      <c r="S717" s="6" t="str">
        <f>IFERROR(__xludf.DUMMYFUNCTION("""COMPUTED_VALUE"""),"Нет, не приходилось")</f>
        <v>Нет, не приходилось</v>
      </c>
      <c r="T717" s="6" t="str">
        <f>IFERROR(__xludf.DUMMYFUNCTION("""COMPUTED_VALUE"""),"Домашний уют ")</f>
        <v>Домашний уют </v>
      </c>
      <c r="U717" s="6" t="str">
        <f>IFERROR(__xludf.DUMMYFUNCTION("""COMPUTED_VALUE"""),"Советский, весенняя, набережная, ЦУМ")</f>
        <v>Советский, весенняя, набережная, ЦУМ</v>
      </c>
      <c r="V717" s="6" t="str">
        <f>IFERROR(__xludf.DUMMYFUNCTION("""COMPUTED_VALUE"""),"-")</f>
        <v>-</v>
      </c>
      <c r="W717" s="6" t="str">
        <f>IFERROR(__xludf.DUMMYFUNCTION("""COMPUTED_VALUE"""),"Спокойный, порой грубые, но в тоже время добрые и отзывчивые ")</f>
        <v>Спокойный, порой грубые, но в тоже время добрые и отзывчивые </v>
      </c>
      <c r="X717" s="6" t="str">
        <f>IFERROR(__xludf.DUMMYFUNCTION("""COMPUTED_VALUE"""),"Весенняя-&gt; Советский-&gt;Набережная 
Летний пятничный вечер")</f>
        <v>Весенняя-&gt; Советский-&gt;Набережная 
Летний пятничный вечер</v>
      </c>
      <c r="Y717" s="6" t="str">
        <f>IFERROR(__xludf.DUMMYFUNCTION("""COMPUTED_VALUE"""),"-")</f>
        <v>-</v>
      </c>
      <c r="Z717" s="6" t="str">
        <f>IFERROR(__xludf.DUMMYFUNCTION("""COMPUTED_VALUE"""),"-")</f>
        <v>-</v>
      </c>
      <c r="AA717" s="6" t="str">
        <f>IFERROR(__xludf.DUMMYFUNCTION("""COMPUTED_VALUE"""),"Выбросы в атмосферу, ДТП, Полиция ")</f>
        <v>Выбросы в атмосферу, ДТП, Полиция </v>
      </c>
      <c r="AB717" s="6" t="str">
        <f>IFERROR(__xludf.DUMMYFUNCTION("""COMPUTED_VALUE"""),"-")</f>
        <v>-</v>
      </c>
      <c r="AC717" s="6" t="str">
        <f>IFERROR(__xludf.DUMMYFUNCTION("""COMPUTED_VALUE"""),"Уборка и ремонт дорог")</f>
        <v>Уборка и ремонт дорог</v>
      </c>
      <c r="AD717"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717" s="6" t="str">
        <f>IFERROR(__xludf.DUMMYFUNCTION("""COMPUTED_VALUE"""),"Мужской")</f>
        <v>Мужской</v>
      </c>
      <c r="AF717" s="6" t="str">
        <f>IFERROR(__xludf.DUMMYFUNCTION("""COMPUTED_VALUE"""),"18-29")</f>
        <v>18-29</v>
      </c>
      <c r="AG717" s="6"/>
      <c r="AH717" s="6"/>
      <c r="AI717" s="6"/>
      <c r="AJ717" s="6"/>
      <c r="AK717" s="6"/>
      <c r="AL717" s="6"/>
      <c r="AM717" s="6"/>
    </row>
    <row r="718">
      <c r="A718" s="6">
        <v>717.0</v>
      </c>
      <c r="B718" s="6" t="str">
        <f>IFERROR(__xludf.DUMMYFUNCTION("""COMPUTED_VALUE"""),"Работаю в IT- компании, бережливый сервис")</f>
        <v>Работаю в IT- компании, бережливый сервис</v>
      </c>
      <c r="C718" s="6" t="str">
        <f>IFERROR(__xludf.DUMMYFUNCTION("""COMPUTED_VALUE"""),"занимаюсь спортом")</f>
        <v>занимаюсь спортом</v>
      </c>
      <c r="D718" s="6" t="str">
        <f>IFERROR(__xludf.DUMMYFUNCTION("""COMPUTED_VALUE"""),"Рудничный (Радуга)")</f>
        <v>Рудничный (Радуга)</v>
      </c>
      <c r="E718" s="6" t="str">
        <f>IFERROR(__xludf.DUMMYFUNCTION("""COMPUTED_VALUE"""),"Бор")</f>
        <v>Бор</v>
      </c>
      <c r="F718" s="6" t="str">
        <f>IFERROR(__xludf.DUMMYFUNCTION("""COMPUTED_VALUE"""),"Живу здесь с рождения, переезжала в Томск, но вернулась")</f>
        <v>Живу здесь с рождения, переезжала в Томск, но вернулась</v>
      </c>
      <c r="G718" s="6" t="str">
        <f>IFERROR(__xludf.DUMMYFUNCTION("""COMPUTED_VALUE"""),"в кафе, бары, кино, магазины")</f>
        <v>в кафе, бары, кино, магазины</v>
      </c>
      <c r="H718" s="6" t="str">
        <f>IFERROR(__xludf.DUMMYFUNCTION("""COMPUTED_VALUE"""),"добрый, чистый, развивающийся, домашний, спальный")</f>
        <v>добрый, чистый, развивающийся, домашний, спальный</v>
      </c>
      <c r="I718" s="6" t="str">
        <f>IFERROR(__xludf.DUMMYFUNCTION("""COMPUTED_VALUE"""),"Елена Малышева, Виктор Логинов")</f>
        <v>Елена Малышева, Виктор Логинов</v>
      </c>
      <c r="J718" s="6" t="str">
        <f>IFERROR(__xludf.DUMMYFUNCTION("""COMPUTED_VALUE"""),"Евгений Гришковец")</f>
        <v>Евгений Гришковец</v>
      </c>
      <c r="K718" s="6" t="str">
        <f>IFERROR(__xludf.DUMMYFUNCTION("""COMPUTED_VALUE"""),"Красная горка, вечный огонь")</f>
        <v>Красная горка, вечный огонь</v>
      </c>
      <c r="L718" s="6" t="str">
        <f>IFERROR(__xludf.DUMMYFUNCTION("""COMPUTED_VALUE"""),"Не имей сто рублей, а имей сто друзей.")</f>
        <v>Не имей сто рублей, а имей сто друзей.</v>
      </c>
      <c r="M718" s="6" t="str">
        <f>IFERROR(__xludf.DUMMYFUNCTION("""COMPUTED_VALUE"""),"мультифора, шавуха")</f>
        <v>мультифора, шавуха</v>
      </c>
      <c r="N718" s="6" t="str">
        <f>IFERROR(__xludf.DUMMYFUNCTION("""COMPUTED_VALUE"""),"все близко расположено, есть места для прогулок")</f>
        <v>все близко расположено, есть места для прогулок</v>
      </c>
      <c r="O718" s="6" t="str">
        <f>IFERROR(__xludf.DUMMYFUNCTION("""COMPUTED_VALUE"""),"построить большой красивый ТЦ")</f>
        <v>построить большой красивый ТЦ</v>
      </c>
      <c r="P718" s="6" t="str">
        <f>IFERROR(__xludf.DUMMYFUNCTION("""COMPUTED_VALUE"""),"инстаграм")</f>
        <v>инстаграм</v>
      </c>
      <c r="Q718"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718" s="6" t="str">
        <f>IFERROR(__xludf.DUMMYFUNCTION("""COMPUTED_VALUE"""),"Масленица")</f>
        <v>Масленица</v>
      </c>
      <c r="S718" s="6" t="str">
        <f>IFERROR(__xludf.DUMMYFUNCTION("""COMPUTED_VALUE"""),"Нет, не приходилось")</f>
        <v>Нет, не приходилось</v>
      </c>
      <c r="T718" s="6" t="str">
        <f>IFERROR(__xludf.DUMMYFUNCTION("""COMPUTED_VALUE"""),"Парк Ангелов")</f>
        <v>Парк Ангелов</v>
      </c>
      <c r="U718" s="6" t="str">
        <f>IFERROR(__xludf.DUMMYFUNCTION("""COMPUTED_VALUE"""),"Площадь Советов")</f>
        <v>Площадь Советов</v>
      </c>
      <c r="V718" s="6" t="str">
        <f>IFERROR(__xludf.DUMMYFUNCTION("""COMPUTED_VALUE"""),"посадили много деревьев и цветов")</f>
        <v>посадили много деревьев и цветов</v>
      </c>
      <c r="W718" s="6" t="str">
        <f>IFERROR(__xludf.DUMMYFUNCTION("""COMPUTED_VALUE"""),"добродушные, отзывчивые, простые")</f>
        <v>добродушные, отзывчивые, простые</v>
      </c>
      <c r="X718" s="6" t="str">
        <f>IFERROR(__xludf.DUMMYFUNCTION("""COMPUTED_VALUE"""),"по набережной и Парку Чудес")</f>
        <v>по набережной и Парку Чудес</v>
      </c>
      <c r="Y718" s="6" t="str">
        <f>IFERROR(__xludf.DUMMYFUNCTION("""COMPUTED_VALUE"""),"Волков нашел уголь")</f>
        <v>Волков нашел уголь</v>
      </c>
      <c r="Z718" s="6" t="str">
        <f>IFERROR(__xludf.DUMMYFUNCTION("""COMPUTED_VALUE"""),"Открытие кадетского училища")</f>
        <v>Открытие кадетского училища</v>
      </c>
      <c r="AA718" s="6" t="str">
        <f>IFERROR(__xludf.DUMMYFUNCTION("""COMPUTED_VALUE"""),"Ситуация с Зимней Вишней")</f>
        <v>Ситуация с Зимней Вишней</v>
      </c>
      <c r="AB718" s="6" t="str">
        <f>IFERROR(__xludf.DUMMYFUNCTION("""COMPUTED_VALUE"""),"Сообщества ""Покупки со скидками""")</f>
        <v>Сообщества "Покупки со скидками"</v>
      </c>
      <c r="AC718" s="6" t="str">
        <f>IFERROR(__xludf.DUMMYFUNCTION("""COMPUTED_VALUE"""),"Развлекательных: выставки, артисты и тд")</f>
        <v>Развлекательных: выставки, артисты и тд</v>
      </c>
      <c r="AD718" s="6" t="str">
        <f>IFERROR(__xludf.DUMMYFUNCTION("""COMPUTED_VALUE"""),"Не готов принимать личное участие (укажите, пожалуйста, причину в поле «Другое»), участвую в мероприятиях компании, а которой работаю")</f>
        <v>Не готов принимать личное участие (укажите, пожалуйста, причину в поле «Другое»), участвую в мероприятиях компании, а которой работаю</v>
      </c>
      <c r="AE718" s="6" t="str">
        <f>IFERROR(__xludf.DUMMYFUNCTION("""COMPUTED_VALUE"""),"Женский")</f>
        <v>Женский</v>
      </c>
      <c r="AF718" s="6" t="str">
        <f>IFERROR(__xludf.DUMMYFUNCTION("""COMPUTED_VALUE"""),"30-44")</f>
        <v>30-44</v>
      </c>
      <c r="AG718" s="6"/>
      <c r="AH718" s="6"/>
      <c r="AI718" s="6"/>
      <c r="AJ718" s="6"/>
      <c r="AK718" s="6"/>
      <c r="AL718" s="6"/>
      <c r="AM718" s="6"/>
    </row>
    <row r="719">
      <c r="A719" s="6">
        <v>718.0</v>
      </c>
      <c r="B719" s="6" t="str">
        <f>IFERROR(__xludf.DUMMYFUNCTION("""COMPUTED_VALUE"""),"студент")</f>
        <v>студент</v>
      </c>
      <c r="C719" s="6" t="str">
        <f>IFERROR(__xludf.DUMMYFUNCTION("""COMPUTED_VALUE"""),"фото")</f>
        <v>фото</v>
      </c>
      <c r="D719" s="6" t="str">
        <f>IFERROR(__xludf.DUMMYFUNCTION("""COMPUTED_VALUE"""),"центральный")</f>
        <v>центральный</v>
      </c>
      <c r="E719" s="6" t="str">
        <f>IFERROR(__xludf.DUMMYFUNCTION("""COMPUTED_VALUE"""),"парк ангелов")</f>
        <v>парк ангелов</v>
      </c>
      <c r="F719" s="6" t="str">
        <f>IFERROR(__xludf.DUMMYFUNCTION("""COMPUTED_VALUE"""),"Переехал сюда из другого места (откуда? укажите в графе другое), тайга")</f>
        <v>Переехал сюда из другого места (откуда? укажите в графе другое), тайга</v>
      </c>
      <c r="G719" s="6" t="str">
        <f>IFERROR(__xludf.DUMMYFUNCTION("""COMPUTED_VALUE"""),"в парки, поля")</f>
        <v>в парки, поля</v>
      </c>
      <c r="H719" s="6" t="str">
        <f>IFERROR(__xludf.DUMMYFUNCTION("""COMPUTED_VALUE"""),"Грязный воздух, общежития, Томь, зимняя вишня, цивилев")</f>
        <v>Грязный воздух, общежития, Томь, зимняя вишня, цивилев</v>
      </c>
      <c r="I719" s="6" t="str">
        <f>IFERROR(__xludf.DUMMYFUNCTION("""COMPUTED_VALUE"""),"не знаю таких")</f>
        <v>не знаю таких</v>
      </c>
      <c r="J719" s="6" t="str">
        <f>IFERROR(__xludf.DUMMYFUNCTION("""COMPUTED_VALUE"""),"никто")</f>
        <v>никто</v>
      </c>
      <c r="K719" s="6" t="str">
        <f>IFERROR(__xludf.DUMMYFUNCTION("""COMPUTED_VALUE"""),"парк ангелов, суховское озеро, лесная поляна, река Томь, ботанический сад")</f>
        <v>парк ангелов, суховское озеро, лесная поляна, река Томь, ботанический сад</v>
      </c>
      <c r="L719" s="6" t="str">
        <f>IFERROR(__xludf.DUMMYFUNCTION("""COMPUTED_VALUE"""),"не знаю")</f>
        <v>не знаю</v>
      </c>
      <c r="M719" s="6" t="str">
        <f>IFERROR(__xludf.DUMMYFUNCTION("""COMPUTED_VALUE"""),"не знаю")</f>
        <v>не знаю</v>
      </c>
      <c r="N719" s="6" t="str">
        <f>IFERROR(__xludf.DUMMYFUNCTION("""COMPUTED_VALUE"""),"чистый воздух, чистый город без мусора, ухоженные фасады домов, зеленые зоны, парки")</f>
        <v>чистый воздух, чистый город без мусора, ухоженные фасады домов, зеленые зоны, парки</v>
      </c>
      <c r="O719" s="6" t="str">
        <f>IFERROR(__xludf.DUMMYFUNCTION("""COMPUTED_VALUE"""),"воздух, фасады домов")</f>
        <v>воздух, фасады домов</v>
      </c>
      <c r="P719" s="6" t="str">
        <f>IFERROR(__xludf.DUMMYFUNCTION("""COMPUTED_VALUE"""),"интернет, вконтакте, инстаграм, фейсбук через репосты друзей")</f>
        <v>интернет, вконтакте, инстаграм, фейсбук через репосты друзей</v>
      </c>
      <c r="Q719" s="6" t="str">
        <f>IFERROR(__xludf.DUMMYFUNCTION("""COMPUTED_VALUE"""),"куда пойти в свободное время, городская афиша (кино/театр/концерты),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"&amp;"бизнес-новости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719" s="6" t="str">
        <f>IFERROR(__xludf.DUMMYFUNCTION("""COMPUTED_VALUE"""),"новый год")</f>
        <v>новый год</v>
      </c>
      <c r="S719" s="6" t="str">
        <f>IFERROR(__xludf.DUMMYFUNCTION("""COMPUTED_VALUE"""),"Обращался в редакции городских газет, телевидения, радио")</f>
        <v>Обращался в редакции городских газет, телевидения, радио</v>
      </c>
      <c r="T719" s="6" t="str">
        <f>IFERROR(__xludf.DUMMYFUNCTION("""COMPUTED_VALUE"""),"уголь ( сомнительно )")</f>
        <v>уголь ( сомнительно )</v>
      </c>
      <c r="U719" s="6" t="str">
        <f>IFERROR(__xludf.DUMMYFUNCTION("""COMPUTED_VALUE"""),"бульвар строителя с общежитиями")</f>
        <v>бульвар строителя с общежитиями</v>
      </c>
      <c r="V719" s="6" t="str">
        <f>IFERROR(__xludf.DUMMYFUNCTION("""COMPUTED_VALUE"""),"построили общежития")</f>
        <v>построили общежития</v>
      </c>
      <c r="W719" s="6" t="str">
        <f>IFERROR(__xludf.DUMMYFUNCTION("""COMPUTED_VALUE"""),"алкоголь, нецензурная брань, хмурые, неприветливые, контраст ")</f>
        <v>алкоголь, нецензурная брань, хмурые, неприветливые, контраст </v>
      </c>
      <c r="X719" s="6" t="str">
        <f>IFERROR(__xludf.DUMMYFUNCTION("""COMPUTED_VALUE"""),"кузбасский парк, президентское кадетское училище, советский проспект")</f>
        <v>кузбасский парк, президентское кадетское училище, советский проспект</v>
      </c>
      <c r="Y719" s="6" t="str">
        <f>IFERROR(__xludf.DUMMYFUNCTION("""COMPUTED_VALUE"""),"зимняя вишня")</f>
        <v>зимняя вишня</v>
      </c>
      <c r="Z719" s="6" t="str">
        <f>IFERROR(__xludf.DUMMYFUNCTION("""COMPUTED_VALUE"""),"день шахтеров")</f>
        <v>день шахтеров</v>
      </c>
      <c r="AA719" s="6" t="str">
        <f>IFERROR(__xludf.DUMMYFUNCTION("""COMPUTED_VALUE"""),"режим черного неба")</f>
        <v>режим черного неба</v>
      </c>
      <c r="AB719" s="6" t="str">
        <f>IFERROR(__xludf.DUMMYFUNCTION("""COMPUTED_VALUE"""),"зоологических")</f>
        <v>зоологических</v>
      </c>
      <c r="AC719" s="6" t="str">
        <f>IFERROR(__xludf.DUMMYFUNCTION("""COMPUTED_VALUE"""),"зоопарк, аквапарк")</f>
        <v>зоопарк, аквапарк</v>
      </c>
      <c r="AD719"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19" s="6" t="str">
        <f>IFERROR(__xludf.DUMMYFUNCTION("""COMPUTED_VALUE"""),"Женский")</f>
        <v>Женский</v>
      </c>
      <c r="AF719" s="6" t="str">
        <f>IFERROR(__xludf.DUMMYFUNCTION("""COMPUTED_VALUE"""),"18-29")</f>
        <v>18-29</v>
      </c>
      <c r="AG719" s="6"/>
      <c r="AH719" s="6"/>
      <c r="AI719" s="6"/>
      <c r="AJ719" s="6"/>
      <c r="AK719" s="6"/>
      <c r="AL719" s="6"/>
      <c r="AM719" s="6"/>
    </row>
    <row r="720">
      <c r="A720" s="6">
        <v>719.0</v>
      </c>
      <c r="B720" s="6" t="str">
        <f>IFERROR(__xludf.DUMMYFUNCTION("""COMPUTED_VALUE"""),"Работаю")</f>
        <v>Работаю</v>
      </c>
      <c r="C720" s="6" t="str">
        <f>IFERROR(__xludf.DUMMYFUNCTION("""COMPUTED_VALUE"""),"Да. Творчество")</f>
        <v>Да. Творчество</v>
      </c>
      <c r="D720" s="6" t="str">
        <f>IFERROR(__xludf.DUMMYFUNCTION("""COMPUTED_VALUE"""),"Центральный")</f>
        <v>Центральный</v>
      </c>
      <c r="E720" s="6" t="str">
        <f>IFERROR(__xludf.DUMMYFUNCTION("""COMPUTED_VALUE"""),"Кадетский корпус")</f>
        <v>Кадетский корпус</v>
      </c>
      <c r="F720"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720" s="6" t="str">
        <f>IFERROR(__xludf.DUMMYFUNCTION("""COMPUTED_VALUE"""),"Набережная, парки")</f>
        <v>Набережная, парки</v>
      </c>
      <c r="H720" s="6" t="str">
        <f>IFERROR(__xludf.DUMMYFUNCTION("""COMPUTED_VALUE"""),"Серость, загазованность, нечем дышать")</f>
        <v>Серость, загазованность, нечем дышать</v>
      </c>
      <c r="I720" s="6" t="str">
        <f>IFERROR(__xludf.DUMMYFUNCTION("""COMPUTED_VALUE"""),"Михайло Волков")</f>
        <v>Михайло Волков</v>
      </c>
      <c r="J720" s="6" t="str">
        <f>IFERROR(__xludf.DUMMYFUNCTION("""COMPUTED_VALUE"""),"Не знаю")</f>
        <v>Не знаю</v>
      </c>
      <c r="K720" s="6" t="str">
        <f>IFERROR(__xludf.DUMMYFUNCTION("""COMPUTED_VALUE"""),"Красная горка, набережная, сосновый бор")</f>
        <v>Красная горка, набережная, сосновый бор</v>
      </c>
      <c r="L720" s="6" t="str">
        <f>IFERROR(__xludf.DUMMYFUNCTION("""COMPUTED_VALUE"""),"не знаю")</f>
        <v>не знаю</v>
      </c>
      <c r="M720" s="6" t="str">
        <f>IFERROR(__xludf.DUMMYFUNCTION("""COMPUTED_VALUE"""),"нет")</f>
        <v>нет</v>
      </c>
      <c r="N720" s="6" t="str">
        <f>IFERROR(__xludf.DUMMYFUNCTION("""COMPUTED_VALUE"""),"Городской транспорт, доступность образования, медицины, продуктов питания, культурные мероприятия, досуг")</f>
        <v>Городской транспорт, доступность образования, медицины, продуктов питания, культурные мероприятия, досуг</v>
      </c>
      <c r="O720" s="6" t="str">
        <f>IFERROR(__xludf.DUMMYFUNCTION("""COMPUTED_VALUE"""),"Воздух")</f>
        <v>Воздух</v>
      </c>
      <c r="P720" s="6" t="str">
        <f>IFERROR(__xludf.DUMMYFUNCTION("""COMPUTED_VALUE"""),"Инстаграм")</f>
        <v>Инстаграм</v>
      </c>
      <c r="Q720"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720" s="6" t="str">
        <f>IFERROR(__xludf.DUMMYFUNCTION("""COMPUTED_VALUE"""),"День города")</f>
        <v>День города</v>
      </c>
      <c r="S720" s="6" t="str">
        <f>IFERROR(__xludf.DUMMYFUNCTION("""COMPUTED_VALUE"""),"Нет, не приходилось")</f>
        <v>Нет, не приходилось</v>
      </c>
      <c r="T720" s="6" t="str">
        <f>IFERROR(__xludf.DUMMYFUNCTION("""COMPUTED_VALUE"""),"Шахтами")</f>
        <v>Шахтами</v>
      </c>
      <c r="U720" s="6" t="str">
        <f>IFERROR(__xludf.DUMMYFUNCTION("""COMPUTED_VALUE"""),"Памятник Шахтерам")</f>
        <v>Памятник Шахтерам</v>
      </c>
      <c r="V720" s="6" t="str">
        <f>IFERROR(__xludf.DUMMYFUNCTION("""COMPUTED_VALUE"""),"Строительство новых дорог, зданий, домов, культурных объектов")</f>
        <v>Строительство новых дорог, зданий, домов, культурных объектов</v>
      </c>
      <c r="W720" s="6" t="str">
        <f>IFERROR(__xludf.DUMMYFUNCTION("""COMPUTED_VALUE"""),"Все люди разные, есть добрые и открытые, предприимчивые, а есть корыстные, завистливые и т.п. ")</f>
        <v>Все люди разные, есть добрые и открытые, предприимчивые, а есть корыстные, завистливые и т.п. </v>
      </c>
      <c r="X720" s="6" t="str">
        <f>IFERROR(__xludf.DUMMYFUNCTION("""COMPUTED_VALUE"""),"Набережная, памятник Шахтерам, Красная горка, Лесная поляна, Ботанический сад, Таежная заимка")</f>
        <v>Набережная, памятник Шахтерам, Красная горка, Лесная поляна, Ботанический сад, Таежная заимка</v>
      </c>
      <c r="Y720" s="6" t="str">
        <f>IFERROR(__xludf.DUMMYFUNCTION("""COMPUTED_VALUE"""),"Таких событий очень много")</f>
        <v>Таких событий очень много</v>
      </c>
      <c r="Z720" s="6" t="str">
        <f>IFERROR(__xludf.DUMMYFUNCTION("""COMPUTED_VALUE"""),"Пандемия, закрытие бассейна ""Лазурный""")</f>
        <v>Пандемия, закрытие бассейна "Лазурный"</v>
      </c>
      <c r="AA720" s="6" t="str">
        <f>IFERROR(__xludf.DUMMYFUNCTION("""COMPUTED_VALUE"""),"Постоянно откладывают строительство аквапарка, мешают его стройке.")</f>
        <v>Постоянно откладывают строительство аквапарка, мешают его стройке.</v>
      </c>
      <c r="AB720" s="6" t="str">
        <f>IFERROR(__xludf.DUMMYFUNCTION("""COMPUTED_VALUE"""),"Есть выбор")</f>
        <v>Есть выбор</v>
      </c>
      <c r="AC720" s="6" t="str">
        <f>IFERROR(__xludf.DUMMYFUNCTION("""COMPUTED_VALUE"""),"Нужен аквапарк")</f>
        <v>Нужен аквапарк</v>
      </c>
      <c r="AD72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20" s="6" t="str">
        <f>IFERROR(__xludf.DUMMYFUNCTION("""COMPUTED_VALUE"""),"Женский")</f>
        <v>Женский</v>
      </c>
      <c r="AF720" s="6" t="str">
        <f>IFERROR(__xludf.DUMMYFUNCTION("""COMPUTED_VALUE"""),"30-44")</f>
        <v>30-44</v>
      </c>
      <c r="AG720" s="6"/>
      <c r="AH720" s="6"/>
      <c r="AI720" s="6"/>
      <c r="AJ720" s="6"/>
      <c r="AK720" s="6"/>
      <c r="AL720" s="6"/>
      <c r="AM720" s="6"/>
    </row>
    <row r="721">
      <c r="A721" s="6">
        <v>720.0</v>
      </c>
      <c r="B721" s="6" t="str">
        <f>IFERROR(__xludf.DUMMYFUNCTION("""COMPUTED_VALUE"""),"студент")</f>
        <v>студент</v>
      </c>
      <c r="C721" s="6" t="str">
        <f>IFERROR(__xludf.DUMMYFUNCTION("""COMPUTED_VALUE"""),"кинология")</f>
        <v>кинология</v>
      </c>
      <c r="D721" s="6" t="str">
        <f>IFERROR(__xludf.DUMMYFUNCTION("""COMPUTED_VALUE"""),"ленинский")</f>
        <v>ленинский</v>
      </c>
      <c r="E721" s="6" t="str">
        <f>IFERROR(__xludf.DUMMYFUNCTION("""COMPUTED_VALUE"""),"президентское кадетское училище")</f>
        <v>президентское кадетское училище</v>
      </c>
      <c r="F721" s="6" t="str">
        <f>IFERROR(__xludf.DUMMYFUNCTION("""COMPUTED_VALUE"""),"Переехал сюда из другого места (откуда? укажите в графе другое), тайга")</f>
        <v>Переехал сюда из другого места (откуда? укажите в графе другое), тайга</v>
      </c>
      <c r="G721" s="6" t="str">
        <f>IFERROR(__xludf.DUMMYFUNCTION("""COMPUTED_VALUE"""),"в парки")</f>
        <v>в парки</v>
      </c>
      <c r="H721" s="6" t="str">
        <f>IFERROR(__xludf.DUMMYFUNCTION("""COMPUTED_VALUE"""),"зимняяя вишня, уголь, шахты, цивилев, Тулеев")</f>
        <v>зимняяя вишня, уголь, шахты, цивилев, Тулеев</v>
      </c>
      <c r="I721" s="6" t="str">
        <f>IFERROR(__xludf.DUMMYFUNCTION("""COMPUTED_VALUE"""),"Тулеев")</f>
        <v>Тулеев</v>
      </c>
      <c r="J721" s="6" t="str">
        <f>IFERROR(__xludf.DUMMYFUNCTION("""COMPUTED_VALUE"""),"волков")</f>
        <v>волков</v>
      </c>
      <c r="K721" s="6" t="str">
        <f>IFERROR(__xludf.DUMMYFUNCTION("""COMPUTED_VALUE"""),"парк ангелов, кузбасский парк, ботанический сад, суховское озеро6 лесная поляна, елыкаево, томская писанина, хаскилэнд")</f>
        <v>парк ангелов, кузбасский парк, ботанический сад, суховское озеро6 лесная поляна, елыкаево, томская писанина, хаскилэнд</v>
      </c>
      <c r="L721" s="6" t="str">
        <f>IFERROR(__xludf.DUMMYFUNCTION("""COMPUTED_VALUE"""),"не знаю")</f>
        <v>не знаю</v>
      </c>
      <c r="M721" s="6" t="str">
        <f>IFERROR(__xludf.DUMMYFUNCTION("""COMPUTED_VALUE"""),"не знаю")</f>
        <v>не знаю</v>
      </c>
      <c r="N721" s="6" t="str">
        <f>IFERROR(__xludf.DUMMYFUNCTION("""COMPUTED_VALUE"""),"чистота на улицах, инфраструктура, места где отдохнуть, парки, чистый воздух, красивые дома")</f>
        <v>чистота на улицах, инфраструктура, места где отдохнуть, парки, чистый воздух, красивые дома</v>
      </c>
      <c r="O721" s="6" t="str">
        <f>IFERROR(__xludf.DUMMYFUNCTION("""COMPUTED_VALUE"""),"капитальный ремонт фасадов домов")</f>
        <v>капитальный ремонт фасадов домов</v>
      </c>
      <c r="P721" s="6" t="str">
        <f>IFERROR(__xludf.DUMMYFUNCTION("""COMPUTED_VALUE"""),"вконтакте репосты друзей")</f>
        <v>вконтакте репосты друзей</v>
      </c>
      <c r="Q72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721" s="6" t="str">
        <f>IFERROR(__xludf.DUMMYFUNCTION("""COMPUTED_VALUE"""),"Новый год, день святого Валентина, день города, Хэллоуин")</f>
        <v>Новый год, день святого Валентина, день города, Хэллоуин</v>
      </c>
      <c r="S721" s="6" t="str">
        <f>IFERROR(__xludf.DUMMYFUNCTION("""COMPUTED_VALUE"""),"Нет, не приходилось")</f>
        <v>Нет, не приходилось</v>
      </c>
      <c r="T721" s="6" t="str">
        <f>IFERROR(__xludf.DUMMYFUNCTION("""COMPUTED_VALUE"""),"Зимняя вишня, шахты, уголь, коррупция, общежития, убитые дороги")</f>
        <v>Зимняя вишня, шахты, уголь, коррупция, общежития, убитые дороги</v>
      </c>
      <c r="U721" s="6" t="str">
        <f>IFERROR(__xludf.DUMMYFUNCTION("""COMPUTED_VALUE"""),"советский проспект")</f>
        <v>советский проспект</v>
      </c>
      <c r="V721" s="6" t="str">
        <f>IFERROR(__xludf.DUMMYFUNCTION("""COMPUTED_VALUE"""),"наворовали")</f>
        <v>наворовали</v>
      </c>
      <c r="W721" s="6" t="str">
        <f>IFERROR(__xludf.DUMMYFUNCTION("""COMPUTED_VALUE"""),"мерзкие, двуличные, одни сильно бедные, другие сильно богатые")</f>
        <v>мерзкие, двуличные, одни сильно бедные, другие сильно богатые</v>
      </c>
      <c r="X721" s="6" t="str">
        <f>IFERROR(__xludf.DUMMYFUNCTION("""COMPUTED_VALUE"""),"дорога на елыкаево")</f>
        <v>дорога на елыкаево</v>
      </c>
      <c r="Y721" s="6" t="str">
        <f>IFERROR(__xludf.DUMMYFUNCTION("""COMPUTED_VALUE"""),"зимняя вишня")</f>
        <v>зимняя вишня</v>
      </c>
      <c r="Z721" s="6" t="str">
        <f>IFERROR(__xludf.DUMMYFUNCTION("""COMPUTED_VALUE"""),"день шахтеров")</f>
        <v>день шахтеров</v>
      </c>
      <c r="AA721" s="6" t="str">
        <f>IFERROR(__xludf.DUMMYFUNCTION("""COMPUTED_VALUE"""),"зимняя вишня")</f>
        <v>зимняя вишня</v>
      </c>
      <c r="AB721" s="6" t="str">
        <f>IFERROR(__xludf.DUMMYFUNCTION("""COMPUTED_VALUE"""),"зоопарк")</f>
        <v>зоопарк</v>
      </c>
      <c r="AC721" s="6" t="str">
        <f>IFERROR(__xludf.DUMMYFUNCTION("""COMPUTED_VALUE"""),"зоопарк")</f>
        <v>зоопарк</v>
      </c>
      <c r="AD72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21" s="6" t="str">
        <f>IFERROR(__xludf.DUMMYFUNCTION("""COMPUTED_VALUE"""),"Мужской")</f>
        <v>Мужской</v>
      </c>
      <c r="AF721" s="6" t="str">
        <f>IFERROR(__xludf.DUMMYFUNCTION("""COMPUTED_VALUE"""),"18-29")</f>
        <v>18-29</v>
      </c>
      <c r="AG721" s="6"/>
      <c r="AH721" s="6"/>
      <c r="AI721" s="6"/>
      <c r="AJ721" s="6"/>
      <c r="AK721" s="6"/>
      <c r="AL721" s="6"/>
      <c r="AM721" s="6"/>
    </row>
    <row r="722">
      <c r="A722" s="6">
        <v>721.0</v>
      </c>
      <c r="B722" s="6" t="str">
        <f>IFERROR(__xludf.DUMMYFUNCTION("""COMPUTED_VALUE"""),"Культура ")</f>
        <v>Культура </v>
      </c>
      <c r="C722" s="6" t="str">
        <f>IFERROR(__xludf.DUMMYFUNCTION("""COMPUTED_VALUE"""),"Спорт")</f>
        <v>Спорт</v>
      </c>
      <c r="D722" s="6" t="str">
        <f>IFERROR(__xludf.DUMMYFUNCTION("""COMPUTED_VALUE"""),"Нет")</f>
        <v>Нет</v>
      </c>
      <c r="E722" s="6" t="str">
        <f>IFERROR(__xludf.DUMMYFUNCTION("""COMPUTED_VALUE"""),"Цирк")</f>
        <v>Цирк</v>
      </c>
      <c r="F722" s="6" t="str">
        <f>IFERROR(__xludf.DUMMYFUNCTION("""COMPUTED_VALUE"""),"Бываю как турист")</f>
        <v>Бываю как турист</v>
      </c>
      <c r="G722" s="6" t="str">
        <f>IFERROR(__xludf.DUMMYFUNCTION("""COMPUTED_VALUE"""),"Нет")</f>
        <v>Нет</v>
      </c>
      <c r="H722" s="6" t="str">
        <f>IFERROR(__xludf.DUMMYFUNCTION("""COMPUTED_VALUE"""),"Нет")</f>
        <v>Нет</v>
      </c>
      <c r="I722" s="6" t="str">
        <f>IFERROR(__xludf.DUMMYFUNCTION("""COMPUTED_VALUE"""),"Нет")</f>
        <v>Нет</v>
      </c>
      <c r="J722" s="6" t="str">
        <f>IFERROR(__xludf.DUMMYFUNCTION("""COMPUTED_VALUE"""),"Аман Гумирович")</f>
        <v>Аман Гумирович</v>
      </c>
      <c r="K722" s="6" t="str">
        <f>IFERROR(__xludf.DUMMYFUNCTION("""COMPUTED_VALUE"""),"Нет")</f>
        <v>Нет</v>
      </c>
      <c r="L722" s="6" t="str">
        <f>IFERROR(__xludf.DUMMYFUNCTION("""COMPUTED_VALUE"""),"Все знаю давно, что Кемерово.....")</f>
        <v>Все знаю давно, что Кемерово.....</v>
      </c>
      <c r="M722" s="6" t="str">
        <f>IFERROR(__xludf.DUMMYFUNCTION("""COMPUTED_VALUE"""),"Нет")</f>
        <v>Нет</v>
      </c>
      <c r="N722" s="6" t="str">
        <f>IFERROR(__xludf.DUMMYFUNCTION("""COMPUTED_VALUE"""),"Нет")</f>
        <v>Нет</v>
      </c>
      <c r="O722" s="6" t="str">
        <f>IFERROR(__xludf.DUMMYFUNCTION("""COMPUTED_VALUE"""),"Власть")</f>
        <v>Власть</v>
      </c>
      <c r="P722" s="6" t="str">
        <f>IFERROR(__xludf.DUMMYFUNCTION("""COMPUTED_VALUE"""),"Нет")</f>
        <v>Нет</v>
      </c>
      <c r="Q722" s="6" t="str">
        <f>IFERROR(__xludf.DUMMYFUNCTION("""COMPUTED_VALUE"""),"криминальные новости (происшествия/преступления)")</f>
        <v>криминальные новости (происшествия/преступления)</v>
      </c>
      <c r="R722" s="6" t="str">
        <f>IFERROR(__xludf.DUMMYFUNCTION("""COMPUTED_VALUE"""),"9 мая")</f>
        <v>9 мая</v>
      </c>
      <c r="S722" s="6" t="str">
        <f>IFERROR(__xludf.DUMMYFUNCTION("""COMPUTED_VALUE"""),"Обращался в редакции городских газет, телевидения, радио")</f>
        <v>Обращался в редакции городских газет, телевидения, радио</v>
      </c>
      <c r="T722" s="6" t="str">
        <f>IFERROR(__xludf.DUMMYFUNCTION("""COMPUTED_VALUE"""),"Тулеевым")</f>
        <v>Тулеевым</v>
      </c>
      <c r="U722" s="6" t="str">
        <f>IFERROR(__xludf.DUMMYFUNCTION("""COMPUTED_VALUE"""),"Нет")</f>
        <v>Нет</v>
      </c>
      <c r="V722" s="6" t="str">
        <f>IFERROR(__xludf.DUMMYFUNCTION("""COMPUTED_VALUE"""),"Нет")</f>
        <v>Нет</v>
      </c>
      <c r="W722" s="6" t="str">
        <f>IFERROR(__xludf.DUMMYFUNCTION("""COMPUTED_VALUE"""),"Нет")</f>
        <v>Нет</v>
      </c>
      <c r="X722" s="6" t="str">
        <f>IFERROR(__xludf.DUMMYFUNCTION("""COMPUTED_VALUE"""),"В объезд")</f>
        <v>В объезд</v>
      </c>
      <c r="Y722" s="6" t="str">
        <f>IFERROR(__xludf.DUMMYFUNCTION("""COMPUTED_VALUE"""),"Нет")</f>
        <v>Нет</v>
      </c>
      <c r="Z722" s="6" t="str">
        <f>IFERROR(__xludf.DUMMYFUNCTION("""COMPUTED_VALUE"""),"Бега за Европой ")</f>
        <v>Бега за Европой </v>
      </c>
      <c r="AA722" s="6" t="str">
        <f>IFERROR(__xludf.DUMMYFUNCTION("""COMPUTED_VALUE"""),"Нет")</f>
        <v>Нет</v>
      </c>
      <c r="AB722" s="6" t="str">
        <f>IFERROR(__xludf.DUMMYFUNCTION("""COMPUTED_VALUE"""),"Нет")</f>
        <v>Нет</v>
      </c>
      <c r="AC722" s="6" t="str">
        <f>IFERROR(__xludf.DUMMYFUNCTION("""COMPUTED_VALUE"""),"Нет")</f>
        <v>Нет</v>
      </c>
      <c r="AD72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22" s="6" t="str">
        <f>IFERROR(__xludf.DUMMYFUNCTION("""COMPUTED_VALUE"""),"Мужской")</f>
        <v>Мужской</v>
      </c>
      <c r="AF722" s="6" t="str">
        <f>IFERROR(__xludf.DUMMYFUNCTION("""COMPUTED_VALUE"""),"18-29")</f>
        <v>18-29</v>
      </c>
      <c r="AG722" s="6"/>
      <c r="AH722" s="6"/>
      <c r="AI722" s="6"/>
      <c r="AJ722" s="6"/>
      <c r="AK722" s="6"/>
      <c r="AL722" s="6"/>
      <c r="AM722" s="6"/>
    </row>
    <row r="723">
      <c r="A723" s="6">
        <v>722.0</v>
      </c>
      <c r="B723" s="6" t="str">
        <f>IFERROR(__xludf.DUMMYFUNCTION("""COMPUTED_VALUE"""),"Учусь и работаю")</f>
        <v>Учусь и работаю</v>
      </c>
      <c r="C723" s="6" t="str">
        <f>IFERROR(__xludf.DUMMYFUNCTION("""COMPUTED_VALUE"""),"Музыка")</f>
        <v>Музыка</v>
      </c>
      <c r="D723" s="6" t="str">
        <f>IFERROR(__xludf.DUMMYFUNCTION("""COMPUTED_VALUE"""),"Рудничный район ")</f>
        <v>Рудничный район </v>
      </c>
      <c r="E723" s="6" t="str">
        <f>IFERROR(__xludf.DUMMYFUNCTION("""COMPUTED_VALUE"""),"Красивый парк ")</f>
        <v>Красивый парк </v>
      </c>
      <c r="F723" s="6" t="str">
        <f>IFERROR(__xludf.DUMMYFUNCTION("""COMPUTED_VALUE"""),"Живу здесь с рождения")</f>
        <v>Живу здесь с рождения</v>
      </c>
      <c r="G723" s="6" t="str">
        <f>IFERROR(__xludf.DUMMYFUNCTION("""COMPUTED_VALUE"""),"Кино")</f>
        <v>Кино</v>
      </c>
      <c r="H723" s="6" t="str">
        <f>IFERROR(__xludf.DUMMYFUNCTION("""COMPUTED_VALUE"""),"Загрязненный, аккуратный, местами милый, суетливый, молодежный ")</f>
        <v>Загрязненный, аккуратный, местами милый, суетливый, молодежный </v>
      </c>
      <c r="I723" s="6" t="str">
        <f>IFERROR(__xludf.DUMMYFUNCTION("""COMPUTED_VALUE"""),"Евгений Гришковец ")</f>
        <v>Евгений Гришковец </v>
      </c>
      <c r="J723" s="6" t="str">
        <f>IFERROR(__xludf.DUMMYFUNCTION("""COMPUTED_VALUE"""),"Евгений Гришковец")</f>
        <v>Евгений Гришковец</v>
      </c>
      <c r="K723" s="6" t="str">
        <f>IFERROR(__xludf.DUMMYFUNCTION("""COMPUTED_VALUE"""),"Набережная")</f>
        <v>Набережная</v>
      </c>
      <c r="L723" s="6" t="str">
        <f>IFERROR(__xludf.DUMMYFUNCTION("""COMPUTED_VALUE"""),"Копейка рубль бережет")</f>
        <v>Копейка рубль бережет</v>
      </c>
      <c r="M723" s="6" t="str">
        <f>IFERROR(__xludf.DUMMYFUNCTION("""COMPUTED_VALUE"""),"нет")</f>
        <v>нет</v>
      </c>
      <c r="N723" s="6" t="str">
        <f>IFERROR(__xludf.DUMMYFUNCTION("""COMPUTED_VALUE"""),"Аккуратный, местами тихий, местами успокаивающий, ")</f>
        <v>Аккуратный, местами тихий, местами успокаивающий, </v>
      </c>
      <c r="O723" s="6" t="str">
        <f>IFERROR(__xludf.DUMMYFUNCTION("""COMPUTED_VALUE"""),"Экологию")</f>
        <v>Экологию</v>
      </c>
      <c r="P723" s="6" t="str">
        <f>IFERROR(__xludf.DUMMYFUNCTION("""COMPUTED_VALUE"""),"ВК")</f>
        <v>ВК</v>
      </c>
      <c r="Q723"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723" s="6" t="str">
        <f>IFERROR(__xludf.DUMMYFUNCTION("""COMPUTED_VALUE"""),"День Шахтеров")</f>
        <v>День Шахтеров</v>
      </c>
      <c r="S723" s="6" t="str">
        <f>IFERROR(__xludf.DUMMYFUNCTION("""COMPUTED_VALUE"""),"Нет, не приходилось")</f>
        <v>Нет, не приходилось</v>
      </c>
      <c r="T723" s="6" t="str">
        <f>IFERROR(__xludf.DUMMYFUNCTION("""COMPUTED_VALUE"""),"Набережная")</f>
        <v>Набережная</v>
      </c>
      <c r="U723" s="6" t="str">
        <f>IFERROR(__xludf.DUMMYFUNCTION("""COMPUTED_VALUE"""),"Набережная")</f>
        <v>Набережная</v>
      </c>
      <c r="V723" s="6" t="str">
        <f>IFERROR(__xludf.DUMMYFUNCTION("""COMPUTED_VALUE"""),"Не знаю")</f>
        <v>Не знаю</v>
      </c>
      <c r="W723" s="6" t="str">
        <f>IFERROR(__xludf.DUMMYFUNCTION("""COMPUTED_VALUE"""),"Приветливые ")</f>
        <v>Приветливые </v>
      </c>
      <c r="X723" s="6" t="str">
        <f>IFERROR(__xludf.DUMMYFUNCTION("""COMPUTED_VALUE"""),"Набережная")</f>
        <v>Набережная</v>
      </c>
      <c r="Y723" s="6" t="str">
        <f>IFERROR(__xludf.DUMMYFUNCTION("""COMPUTED_VALUE"""),"Какое-нибудь")</f>
        <v>Какое-нибудь</v>
      </c>
      <c r="Z723" s="6" t="str">
        <f>IFERROR(__xludf.DUMMYFUNCTION("""COMPUTED_VALUE"""),"Таких нет")</f>
        <v>Таких нет</v>
      </c>
      <c r="AA723" s="6" t="str">
        <f>IFERROR(__xludf.DUMMYFUNCTION("""COMPUTED_VALUE"""),".")</f>
        <v>.</v>
      </c>
      <c r="AB723" s="6" t="str">
        <f>IFERROR(__xludf.DUMMYFUNCTION("""COMPUTED_VALUE"""),"Все отлично ")</f>
        <v>Все отлично </v>
      </c>
      <c r="AC723" s="6" t="str">
        <f>IFERROR(__xludf.DUMMYFUNCTION("""COMPUTED_VALUE"""),"Масштабное очищение воздуха ")</f>
        <v>Масштабное очищение воздуха </v>
      </c>
      <c r="AD72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23" s="6" t="str">
        <f>IFERROR(__xludf.DUMMYFUNCTION("""COMPUTED_VALUE"""),"Мужской")</f>
        <v>Мужской</v>
      </c>
      <c r="AF723" s="6" t="str">
        <f>IFERROR(__xludf.DUMMYFUNCTION("""COMPUTED_VALUE"""),"18-29")</f>
        <v>18-29</v>
      </c>
      <c r="AG723" s="6"/>
      <c r="AH723" s="6"/>
      <c r="AI723" s="6"/>
      <c r="AJ723" s="6"/>
      <c r="AK723" s="6"/>
      <c r="AL723" s="6"/>
      <c r="AM723" s="6"/>
    </row>
    <row r="724">
      <c r="A724" s="6">
        <v>723.0</v>
      </c>
      <c r="B724" s="6" t="str">
        <f>IFERROR(__xludf.DUMMYFUNCTION("""COMPUTED_VALUE"""),"Обучаюсь в Вузе на очном обучении")</f>
        <v>Обучаюсь в Вузе на очном обучении</v>
      </c>
      <c r="C724" s="6" t="str">
        <f>IFERROR(__xludf.DUMMYFUNCTION("""COMPUTED_VALUE"""),"Саморазвитие")</f>
        <v>Саморазвитие</v>
      </c>
      <c r="D724" s="6" t="str">
        <f>IFERROR(__xludf.DUMMYFUNCTION("""COMPUTED_VALUE"""),"Ленинский")</f>
        <v>Ленинский</v>
      </c>
      <c r="E724" s="6" t="str">
        <f>IFERROR(__xludf.DUMMYFUNCTION("""COMPUTED_VALUE"""),"Бульвар Строителей, призедентское училище")</f>
        <v>Бульвар Строителей, призедентское училище</v>
      </c>
      <c r="F724" s="6" t="str">
        <f>IFERROR(__xludf.DUMMYFUNCTION("""COMPUTED_VALUE"""),"Живу здесь с рождения")</f>
        <v>Живу здесь с рождения</v>
      </c>
      <c r="G724" s="6" t="str">
        <f>IFERROR(__xludf.DUMMYFUNCTION("""COMPUTED_VALUE"""),"Бульвар Строителей, ТЦ Лапландия, Центр города")</f>
        <v>Бульвар Строителей, ТЦ Лапландия, Центр города</v>
      </c>
      <c r="H724" s="6" t="str">
        <f>IFERROR(__xludf.DUMMYFUNCTION("""COMPUTED_VALUE"""),"Столица Кузбасса, Родной город, дом")</f>
        <v>Столица Кузбасса, Родной город, дом</v>
      </c>
      <c r="I724" s="6" t="str">
        <f>IFERROR(__xludf.DUMMYFUNCTION("""COMPUTED_VALUE"""),"Михайло Волков, А.Г. Тулеев")</f>
        <v>Михайло Волков, А.Г. Тулеев</v>
      </c>
      <c r="J724" s="6" t="str">
        <f>IFERROR(__xludf.DUMMYFUNCTION("""COMPUTED_VALUE"""),"А.Г. Тулеев")</f>
        <v>А.Г. Тулеев</v>
      </c>
      <c r="K724" s="6" t="str">
        <f>IFERROR(__xludf.DUMMYFUNCTION("""COMPUTED_VALUE"""),"Центр города, Бульвар Строителей")</f>
        <v>Центр города, Бульвар Строителей</v>
      </c>
      <c r="L724" s="6" t="str">
        <f>IFERROR(__xludf.DUMMYFUNCTION("""COMPUTED_VALUE"""),"Не знаю")</f>
        <v>Не знаю</v>
      </c>
      <c r="M724" s="6" t="str">
        <f>IFERROR(__xludf.DUMMYFUNCTION("""COMPUTED_VALUE"""),"Нет")</f>
        <v>Нет</v>
      </c>
      <c r="N724" s="6" t="str">
        <f>IFERROR(__xludf.DUMMYFUNCTION("""COMPUTED_VALUE"""),"Чистота воздуха, безбарьерная среда, хороший общественный транспорт, интересные и доступные общественные места, чистота города. Но у нас с этим в городе проблемы.")</f>
        <v>Чистота воздуха, безбарьерная среда, хороший общественный транспорт, интересные и доступные общественные места, чистота города. Но у нас с этим в городе проблемы.</v>
      </c>
      <c r="O724" s="6" t="str">
        <f>IFERROR(__xludf.DUMMYFUNCTION("""COMPUTED_VALUE"""),"Чистоту воздуха, обустроить безбарьерную среду, хороший общественный транспорт, интересные и доступные общественные места, чистоту города. ")</f>
        <v>Чистоту воздуха, обустроить безбарьерную среду, хороший общественный транспорт, интересные и доступные общественные места, чистоту города. </v>
      </c>
      <c r="P724" s="6" t="str">
        <f>IFERROR(__xludf.DUMMYFUNCTION("""COMPUTED_VALUE"""),"В новостях ВКонтакте, от друзей и знакомых")</f>
        <v>В новостях ВКонтакте, от друзей и знакомых</v>
      </c>
      <c r="Q724" s="6" t="str">
        <f>IFERROR(__xludf.DUMMYFUNCTION("""COMPUTED_VALUE"""),"куда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724" s="6" t="str">
        <f>IFERROR(__xludf.DUMMYFUNCTION("""COMPUTED_VALUE"""),"Новый год, 9 мая")</f>
        <v>Новый год, 9 мая</v>
      </c>
      <c r="S724" s="6" t="str">
        <f>IFERROR(__xludf.DUMMYFUNCTION("""COMPUTED_VALUE"""),"Нет, не приходилось")</f>
        <v>Нет, не приходилось</v>
      </c>
      <c r="T724" s="6" t="str">
        <f>IFERROR(__xludf.DUMMYFUNCTION("""COMPUTED_VALUE"""),"Когда то была дорогая новогодняя елка для центра города")</f>
        <v>Когда то была дорогая новогодняя елка для центра города</v>
      </c>
      <c r="U724" s="6" t="str">
        <f>IFERROR(__xludf.DUMMYFUNCTION("""COMPUTED_VALUE"""),"Драм театр, площадь Советов, набережная, горсад, ")</f>
        <v>Драм театр, площадь Советов, набережная, горсад, </v>
      </c>
      <c r="V724" s="6" t="str">
        <f>IFERROR(__xludf.DUMMYFUNCTION("""COMPUTED_VALUE"""),"Затрудняюсь ответить")</f>
        <v>Затрудняюсь ответить</v>
      </c>
      <c r="W724" s="6" t="str">
        <f>IFERROR(__xludf.DUMMYFUNCTION("""COMPUTED_VALUE"""),"Затрудняюсь ответить")</f>
        <v>Затрудняюсь ответить</v>
      </c>
      <c r="X724" s="6" t="str">
        <f>IFERROR(__xludf.DUMMYFUNCTION("""COMPUTED_VALUE"""),"По центру города")</f>
        <v>По центру города</v>
      </c>
      <c r="Y724" s="6" t="str">
        <f>IFERROR(__xludf.DUMMYFUNCTION("""COMPUTED_VALUE"""),"Открытие бульвара Строителей после реконструкции")</f>
        <v>Открытие бульвара Строителей после реконструкции</v>
      </c>
      <c r="Z724" s="6" t="str">
        <f>IFERROR(__xludf.DUMMYFUNCTION("""COMPUTED_VALUE"""),"Открытие бульвара Строителей после реконструкции")</f>
        <v>Открытие бульвара Строителей после реконструкции</v>
      </c>
      <c r="AA724" s="6" t="str">
        <f>IFERROR(__xludf.DUMMYFUNCTION("""COMPUTED_VALUE"""),"Затрудняюсь ответить")</f>
        <v>Затрудняюсь ответить</v>
      </c>
      <c r="AB724" s="6" t="str">
        <f>IFERROR(__xludf.DUMMYFUNCTION("""COMPUTED_VALUE"""),"Затрудняюсь ответить")</f>
        <v>Затрудняюсь ответить</v>
      </c>
      <c r="AC724" s="6" t="str">
        <f>IFERROR(__xludf.DUMMYFUNCTION("""COMPUTED_VALUE"""),"Бесплатные концерты, праздники")</f>
        <v>Бесплатные концерты, праздники</v>
      </c>
      <c r="AD72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24" s="6" t="str">
        <f>IFERROR(__xludf.DUMMYFUNCTION("""COMPUTED_VALUE"""),"Женский")</f>
        <v>Женский</v>
      </c>
      <c r="AF724" s="6" t="str">
        <f>IFERROR(__xludf.DUMMYFUNCTION("""COMPUTED_VALUE"""),"18-29")</f>
        <v>18-29</v>
      </c>
      <c r="AG724" s="6"/>
      <c r="AH724" s="6"/>
      <c r="AI724" s="6"/>
      <c r="AJ724" s="6"/>
      <c r="AK724" s="6"/>
      <c r="AL724" s="6"/>
      <c r="AM724" s="6"/>
    </row>
    <row r="725">
      <c r="A725" s="6">
        <v>724.0</v>
      </c>
      <c r="B725" s="6" t="str">
        <f>IFERROR(__xludf.DUMMYFUNCTION("""COMPUTED_VALUE"""),"Студентка")</f>
        <v>Студентка</v>
      </c>
      <c r="C725" s="6" t="str">
        <f>IFERROR(__xludf.DUMMYFUNCTION("""COMPUTED_VALUE"""),"Рисовать, читать")</f>
        <v>Рисовать, читать</v>
      </c>
      <c r="D725" s="6" t="str">
        <f>IFERROR(__xludf.DUMMYFUNCTION("""COMPUTED_VALUE"""),"Центральный")</f>
        <v>Центральный</v>
      </c>
      <c r="E725" s="6" t="str">
        <f>IFERROR(__xludf.DUMMYFUNCTION("""COMPUTED_VALUE"""),"Драмтеатр, площадь Советов")</f>
        <v>Драмтеатр, площадь Советов</v>
      </c>
      <c r="F725" s="6" t="str">
        <f>IFERROR(__xludf.DUMMYFUNCTION("""COMPUTED_VALUE"""),"Живу здесь с рождения")</f>
        <v>Живу здесь с рождения</v>
      </c>
      <c r="G725" s="6" t="str">
        <f>IFERROR(__xludf.DUMMYFUNCTION("""COMPUTED_VALUE"""),"Томская писаница, набережная, парк чудес")</f>
        <v>Томская писаница, набережная, парк чудес</v>
      </c>
      <c r="H725" s="6" t="str">
        <f>IFERROR(__xludf.DUMMYFUNCTION("""COMPUTED_VALUE"""),"Красивый, уютный, удобный, родной, спокойный")</f>
        <v>Красивый, уютный, удобный, родной, спокойный</v>
      </c>
      <c r="I725" s="6" t="str">
        <f>IFERROR(__xludf.DUMMYFUNCTION("""COMPUTED_VALUE"""),"Михайло Волков")</f>
        <v>Михайло Волков</v>
      </c>
      <c r="J725" s="6" t="str">
        <f>IFERROR(__xludf.DUMMYFUNCTION("""COMPUTED_VALUE"""),"Середюк")</f>
        <v>Середюк</v>
      </c>
      <c r="K725" s="6" t="str">
        <f>IFERROR(__xludf.DUMMYFUNCTION("""COMPUTED_VALUE"""),"Парк Ангелов, проспект Советский")</f>
        <v>Парк Ангелов, проспект Советский</v>
      </c>
      <c r="L725" s="6" t="str">
        <f>IFERROR(__xludf.DUMMYFUNCTION("""COMPUTED_VALUE"""),"Нет")</f>
        <v>Нет</v>
      </c>
      <c r="M725" s="6" t="str">
        <f>IFERROR(__xludf.DUMMYFUNCTION("""COMPUTED_VALUE"""),"Нет")</f>
        <v>Нет</v>
      </c>
      <c r="N725" s="6" t="str">
        <f>IFERROR(__xludf.DUMMYFUNCTION("""COMPUTED_VALUE"""),"Расположение улиц")</f>
        <v>Расположение улиц</v>
      </c>
      <c r="O725" s="6" t="str">
        <f>IFERROR(__xludf.DUMMYFUNCTION("""COMPUTED_VALUE"""),"Не знаю")</f>
        <v>Не знаю</v>
      </c>
      <c r="P725" s="6" t="str">
        <f>IFERROR(__xludf.DUMMYFUNCTION("""COMPUTED_VALUE"""),"Инстаграм, ВК")</f>
        <v>Инстаграм, ВК</v>
      </c>
      <c r="Q725"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725" s="6" t="str">
        <f>IFERROR(__xludf.DUMMYFUNCTION("""COMPUTED_VALUE"""),"День города")</f>
        <v>День города</v>
      </c>
      <c r="S725" s="6" t="str">
        <f>IFERROR(__xludf.DUMMYFUNCTION("""COMPUTED_VALUE"""),"Нет, не приходилось")</f>
        <v>Нет, не приходилось</v>
      </c>
      <c r="T725" s="6" t="str">
        <f>IFERROR(__xludf.DUMMYFUNCTION("""COMPUTED_VALUE"""),"Пожар в ТЦ Зимняя вишня, уголь")</f>
        <v>Пожар в ТЦ Зимняя вишня, уголь</v>
      </c>
      <c r="U725" s="6" t="str">
        <f>IFERROR(__xludf.DUMMYFUNCTION("""COMPUTED_VALUE"""),"Драмтеатр ")</f>
        <v>Драмтеатр </v>
      </c>
      <c r="V725" s="6" t="str">
        <f>IFERROR(__xludf.DUMMYFUNCTION("""COMPUTED_VALUE"""),"Не знаю")</f>
        <v>Не знаю</v>
      </c>
      <c r="W725" s="6" t="str">
        <f>IFERROR(__xludf.DUMMYFUNCTION("""COMPUTED_VALUE"""),"Нет ничего определенного")</f>
        <v>Нет ничего определенного</v>
      </c>
      <c r="X725" s="6" t="str">
        <f>IFERROR(__xludf.DUMMYFUNCTION("""COMPUTED_VALUE"""),"По центру")</f>
        <v>По центру</v>
      </c>
      <c r="Y725" s="6" t="str">
        <f>IFERROR(__xludf.DUMMYFUNCTION("""COMPUTED_VALUE"""),"Его создание")</f>
        <v>Его создание</v>
      </c>
      <c r="Z725" s="6" t="str">
        <f>IFERROR(__xludf.DUMMYFUNCTION("""COMPUTED_VALUE"""),"День города")</f>
        <v>День города</v>
      </c>
      <c r="AA725" s="6" t="str">
        <f>IFERROR(__xludf.DUMMYFUNCTION("""COMPUTED_VALUE"""),"Пожар в тц зимняя вишня")</f>
        <v>Пожар в тц зимняя вишня</v>
      </c>
      <c r="AB725" s="6" t="str">
        <f>IFERROR(__xludf.DUMMYFUNCTION("""COMPUTED_VALUE"""),"Женских")</f>
        <v>Женских</v>
      </c>
      <c r="AC725" s="6" t="str">
        <f>IFERROR(__xludf.DUMMYFUNCTION("""COMPUTED_VALUE"""),"Кинопоказы под открытым небом")</f>
        <v>Кинопоказы под открытым небом</v>
      </c>
      <c r="AD72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25" s="6" t="str">
        <f>IFERROR(__xludf.DUMMYFUNCTION("""COMPUTED_VALUE"""),"Женский")</f>
        <v>Женский</v>
      </c>
      <c r="AF725" s="6" t="str">
        <f>IFERROR(__xludf.DUMMYFUNCTION("""COMPUTED_VALUE"""),"18-29")</f>
        <v>18-29</v>
      </c>
      <c r="AG725" s="6"/>
      <c r="AH725" s="6"/>
      <c r="AI725" s="6"/>
      <c r="AJ725" s="6"/>
      <c r="AK725" s="6"/>
      <c r="AL725" s="6"/>
      <c r="AM725" s="6"/>
    </row>
    <row r="726">
      <c r="A726" s="6">
        <v>725.0</v>
      </c>
      <c r="B726" s="6" t="str">
        <f>IFERROR(__xludf.DUMMYFUNCTION("""COMPUTED_VALUE"""),"Работаю с детьми")</f>
        <v>Работаю с детьми</v>
      </c>
      <c r="C726" s="6" t="str">
        <f>IFERROR(__xludf.DUMMYFUNCTION("""COMPUTED_VALUE"""),"Вышивка")</f>
        <v>Вышивка</v>
      </c>
      <c r="D726" s="6" t="str">
        <f>IFERROR(__xludf.DUMMYFUNCTION("""COMPUTED_VALUE"""),"Кемеровская область")</f>
        <v>Кемеровская область</v>
      </c>
      <c r="E726" s="6" t="str">
        <f>IFERROR(__xludf.DUMMYFUNCTION("""COMPUTED_VALUE"""),"Парки отдыха ")</f>
        <v>Парки отдыха </v>
      </c>
      <c r="F726" s="6" t="str">
        <f>IFERROR(__xludf.DUMMYFUNCTION("""COMPUTED_VALUE"""),"Живу здесь с рождения")</f>
        <v>Живу здесь с рождения</v>
      </c>
      <c r="G726" s="6" t="str">
        <f>IFERROR(__xludf.DUMMYFUNCTION("""COMPUTED_VALUE"""),"Дома культурного отдыха")</f>
        <v>Дома культурного отдыха</v>
      </c>
      <c r="H726" s="6" t="str">
        <f>IFERROR(__xludf.DUMMYFUNCTION("""COMPUTED_VALUE"""),"Нет")</f>
        <v>Нет</v>
      </c>
      <c r="I726" s="6" t="str">
        <f>IFERROR(__xludf.DUMMYFUNCTION("""COMPUTED_VALUE"""),"Маша Распутина, Леонов")</f>
        <v>Маша Распутина, Леонов</v>
      </c>
      <c r="J726" s="6" t="str">
        <f>IFERROR(__xludf.DUMMYFUNCTION("""COMPUTED_VALUE"""),"Нет")</f>
        <v>Нет</v>
      </c>
      <c r="K726" s="6" t="str">
        <f>IFERROR(__xludf.DUMMYFUNCTION("""COMPUTED_VALUE"""),"Беловское море")</f>
        <v>Беловское море</v>
      </c>
      <c r="L726" s="6" t="str">
        <f>IFERROR(__xludf.DUMMYFUNCTION("""COMPUTED_VALUE"""),"Нет")</f>
        <v>Нет</v>
      </c>
      <c r="M726" s="6" t="str">
        <f>IFERROR(__xludf.DUMMYFUNCTION("""COMPUTED_VALUE"""),"Нет")</f>
        <v>Нет</v>
      </c>
      <c r="N726" s="6" t="str">
        <f>IFERROR(__xludf.DUMMYFUNCTION("""COMPUTED_VALUE"""),"Нет ")</f>
        <v>Нет </v>
      </c>
      <c r="O726" s="6" t="str">
        <f>IFERROR(__xludf.DUMMYFUNCTION("""COMPUTED_VALUE"""),"Незнаю ")</f>
        <v>Незнаю </v>
      </c>
      <c r="P726" s="6" t="str">
        <f>IFERROR(__xludf.DUMMYFUNCTION("""COMPUTED_VALUE"""),"Инстаграм")</f>
        <v>Инстаграм</v>
      </c>
      <c r="Q726"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726" s="6" t="str">
        <f>IFERROR(__xludf.DUMMYFUNCTION("""COMPUTED_VALUE"""),"День Шахтера")</f>
        <v>День Шахтера</v>
      </c>
      <c r="S726" s="6" t="str">
        <f>IFERROR(__xludf.DUMMYFUNCTION("""COMPUTED_VALUE"""),"Нет, не приходилось")</f>
        <v>Нет, не приходилось</v>
      </c>
      <c r="T726" s="6" t="str">
        <f>IFERROR(__xludf.DUMMYFUNCTION("""COMPUTED_VALUE"""),"Культура, творчество ")</f>
        <v>Культура, творчество </v>
      </c>
      <c r="U726" s="6" t="str">
        <f>IFERROR(__xludf.DUMMYFUNCTION("""COMPUTED_VALUE"""),"Цирк")</f>
        <v>Цирк</v>
      </c>
      <c r="V726" s="6" t="str">
        <f>IFERROR(__xludf.DUMMYFUNCTION("""COMPUTED_VALUE"""),"Незнаю ")</f>
        <v>Незнаю </v>
      </c>
      <c r="W726" s="6" t="str">
        <f>IFERROR(__xludf.DUMMYFUNCTION("""COMPUTED_VALUE"""),"Злые сейчас все")</f>
        <v>Злые сейчас все</v>
      </c>
      <c r="X726" s="6" t="str">
        <f>IFERROR(__xludf.DUMMYFUNCTION("""COMPUTED_VALUE"""),"По Ленина ")</f>
        <v>По Ленина </v>
      </c>
      <c r="Y726" s="6" t="str">
        <f>IFERROR(__xludf.DUMMYFUNCTION("""COMPUTED_VALUE"""),"Незнаю ")</f>
        <v>Незнаю </v>
      </c>
      <c r="Z726" s="6" t="str">
        <f>IFERROR(__xludf.DUMMYFUNCTION("""COMPUTED_VALUE"""),"Пандемия")</f>
        <v>Пандемия</v>
      </c>
      <c r="AA726" s="6" t="str">
        <f>IFERROR(__xludf.DUMMYFUNCTION("""COMPUTED_VALUE"""),"Незнаю ")</f>
        <v>Незнаю </v>
      </c>
      <c r="AB726" s="6" t="str">
        <f>IFERROR(__xludf.DUMMYFUNCTION("""COMPUTED_VALUE"""),"Незнаю ")</f>
        <v>Незнаю </v>
      </c>
      <c r="AC726" s="6" t="str">
        <f>IFERROR(__xludf.DUMMYFUNCTION("""COMPUTED_VALUE"""),"Незнаю ")</f>
        <v>Незнаю </v>
      </c>
      <c r="AD726"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726" s="6" t="str">
        <f>IFERROR(__xludf.DUMMYFUNCTION("""COMPUTED_VALUE"""),"Женский")</f>
        <v>Женский</v>
      </c>
      <c r="AF726" s="6" t="str">
        <f>IFERROR(__xludf.DUMMYFUNCTION("""COMPUTED_VALUE"""),"30-44")</f>
        <v>30-44</v>
      </c>
      <c r="AG726" s="6"/>
      <c r="AH726" s="6"/>
      <c r="AI726" s="6"/>
      <c r="AJ726" s="6"/>
      <c r="AK726" s="6"/>
      <c r="AL726" s="6"/>
      <c r="AM726" s="6"/>
    </row>
    <row r="727">
      <c r="A727" s="6">
        <v>726.0</v>
      </c>
      <c r="B727" s="6" t="str">
        <f>IFERROR(__xludf.DUMMYFUNCTION("""COMPUTED_VALUE"""),"Свободный художник")</f>
        <v>Свободный художник</v>
      </c>
      <c r="C727" s="6" t="str">
        <f>IFERROR(__xludf.DUMMYFUNCTION("""COMPUTED_VALUE"""),"Текстильная авторская игрушка")</f>
        <v>Текстильная авторская игрушка</v>
      </c>
      <c r="D727" s="6" t="str">
        <f>IFERROR(__xludf.DUMMYFUNCTION("""COMPUTED_VALUE"""),"Заводский (""Самый конченый"") ")</f>
        <v>Заводский ("Самый конченый") </v>
      </c>
      <c r="E727" s="6" t="str">
        <f>IFERROR(__xludf.DUMMYFUNCTION("""COMPUTED_VALUE"""),"Вокзал")</f>
        <v>Вокзал</v>
      </c>
      <c r="F727" s="6" t="str">
        <f>IFERROR(__xludf.DUMMYFUNCTION("""COMPUTED_VALUE"""),"Переехал сюда из другого места (откуда? укажите в графе другое), Обширная география")</f>
        <v>Переехал сюда из другого места (откуда? укажите в графе другое), Обширная география</v>
      </c>
      <c r="G727" s="6" t="str">
        <f>IFERROR(__xludf.DUMMYFUNCTION("""COMPUTED_VALUE"""),"Некуда пойти. Набережная")</f>
        <v>Некуда пойти. Набережная</v>
      </c>
      <c r="H727" s="6" t="str">
        <f>IFERROR(__xludf.DUMMYFUNCTION("""COMPUTED_VALUE"""),"Серый, ссылка, немцы, уголь, скука")</f>
        <v>Серый, ссылка, немцы, уголь, скука</v>
      </c>
      <c r="I727" s="6" t="str">
        <f>IFERROR(__xludf.DUMMYFUNCTION("""COMPUTED_VALUE"""),"М. Волков")</f>
        <v>М. Волков</v>
      </c>
      <c r="J727" s="6" t="str">
        <f>IFERROR(__xludf.DUMMYFUNCTION("""COMPUTED_VALUE"""),"Гришковец")</f>
        <v>Гришковец</v>
      </c>
      <c r="K727" s="6" t="str">
        <f>IFERROR(__xludf.DUMMYFUNCTION("""COMPUTED_VALUE"""),"Набережная, Советский")</f>
        <v>Набережная, Советский</v>
      </c>
      <c r="L727" s="6" t="str">
        <f>IFERROR(__xludf.DUMMYFUNCTION("""COMPUTED_VALUE"""),"Каждый кулик свое болото хвалит")</f>
        <v>Каждый кулик свое болото хвалит</v>
      </c>
      <c r="M727" s="6" t="str">
        <f>IFERROR(__xludf.DUMMYFUNCTION("""COMPUTED_VALUE"""),"Нет")</f>
        <v>Нет</v>
      </c>
      <c r="N727" s="6" t="str">
        <f>IFERROR(__xludf.DUMMYFUNCTION("""COMPUTED_VALUE"""),"Эстетика, чистые дворы, регулярный транспорт, убирающие за собаками хозяева, большой выбор культурных мероприятий")</f>
        <v>Эстетика, чистые дворы, регулярный транспорт, убирающие за собаками хозяева, большой выбор культурных мероприятий</v>
      </c>
      <c r="O727" s="6" t="str">
        <f>IFERROR(__xludf.DUMMYFUNCTION("""COMPUTED_VALUE"""),"1. Благоустроить дворы. Асфальта нет, в межсезонье грязь неимоверная, детские площадки разобраны. 2. Разобраться с транспортом. В некоторые районы фиг уедешь. ")</f>
        <v>1. Благоустроить дворы. Асфальта нет, в межсезонье грязь неимоверная, детские площадки разобраны. 2. Разобраться с транспортом. В некоторые районы фиг уедешь. </v>
      </c>
      <c r="P727" s="6" t="str">
        <f>IFERROR(__xludf.DUMMYFUNCTION("""COMPUTED_VALUE"""),"Афиша42, Вконтакте")</f>
        <v>Афиша42, Вконтакте</v>
      </c>
      <c r="Q727"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727" s="6" t="str">
        <f>IFERROR(__xludf.DUMMYFUNCTION("""COMPUTED_VALUE"""),"День города")</f>
        <v>День города</v>
      </c>
      <c r="S727" s="6" t="str">
        <f>IFERROR(__xludf.DUMMYFUNCTION("""COMPUTED_VALUE"""),"Нет, не приходилось")</f>
        <v>Нет, не приходилось</v>
      </c>
      <c r="T727" s="6" t="str">
        <f>IFERROR(__xludf.DUMMYFUNCTION("""COMPUTED_VALUE"""),"Отвратной экологией и черным снегом. ")</f>
        <v>Отвратной экологией и черным снегом. </v>
      </c>
      <c r="U727" s="6" t="str">
        <f>IFERROR(__xludf.DUMMYFUNCTION("""COMPUTED_VALUE"""),"Набережная")</f>
        <v>Набережная</v>
      </c>
      <c r="V727" s="6" t="str">
        <f>IFERROR(__xludf.DUMMYFUNCTION("""COMPUTED_VALUE"""),"Нашли уголь")</f>
        <v>Нашли уголь</v>
      </c>
      <c r="W727" s="6" t="str">
        <f>IFERROR(__xludf.DUMMYFUNCTION("""COMPUTED_VALUE"""),"Замкнутые, консервативные, хмурые, закрытые, малокультурные")</f>
        <v>Замкнутые, консервативные, хмурые, закрытые, малокультурные</v>
      </c>
      <c r="X727" s="6" t="str">
        <f>IFERROR(__xludf.DUMMYFUNCTION("""COMPUTED_VALUE"""),"По Лесной Поляне")</f>
        <v>По Лесной Поляне</v>
      </c>
      <c r="Y727" s="6" t="str">
        <f>IFERROR(__xludf.DUMMYFUNCTION("""COMPUTED_VALUE"""),"Его основание")</f>
        <v>Его основание</v>
      </c>
      <c r="Z727" s="6" t="str">
        <f>IFERROR(__xludf.DUMMYFUNCTION("""COMPUTED_VALUE"""),"Кино под открытым небом в Кузбасскино")</f>
        <v>Кино под открытым небом в Кузбасскино</v>
      </c>
      <c r="AA727" s="6" t="str">
        <f>IFERROR(__xludf.DUMMYFUNCTION("""COMPUTED_VALUE"""),"Периодический смог")</f>
        <v>Периодический смог</v>
      </c>
      <c r="AB727" s="6" t="str">
        <f>IFERROR(__xludf.DUMMYFUNCTION("""COMPUTED_VALUE"""),"Не слежу за сообществами города")</f>
        <v>Не слежу за сообществами города</v>
      </c>
      <c r="AC727" s="6" t="str">
        <f>IFERROR(__xludf.DUMMYFUNCTION("""COMPUTED_VALUE"""),"Пока затрудняюсь")</f>
        <v>Пока затрудняюсь</v>
      </c>
      <c r="AD72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27" s="6" t="str">
        <f>IFERROR(__xludf.DUMMYFUNCTION("""COMPUTED_VALUE"""),"Женский")</f>
        <v>Женский</v>
      </c>
      <c r="AF727" s="6" t="str">
        <f>IFERROR(__xludf.DUMMYFUNCTION("""COMPUTED_VALUE"""),"30-44")</f>
        <v>30-44</v>
      </c>
      <c r="AG727" s="6"/>
      <c r="AH727" s="6"/>
      <c r="AI727" s="6"/>
      <c r="AJ727" s="6"/>
      <c r="AK727" s="6"/>
      <c r="AL727" s="6"/>
      <c r="AM727" s="6"/>
    </row>
    <row r="728">
      <c r="A728" s="6">
        <v>727.0</v>
      </c>
      <c r="B728" s="6" t="str">
        <f>IFERROR(__xludf.DUMMYFUNCTION("""COMPUTED_VALUE"""),"Стунет КузГСХА")</f>
        <v>Стунет КузГСХА</v>
      </c>
      <c r="C728" s="6" t="str">
        <f>IFERROR(__xludf.DUMMYFUNCTION("""COMPUTED_VALUE"""),"БИ")</f>
        <v>БИ</v>
      </c>
      <c r="D728" s="6" t="str">
        <f>IFERROR(__xludf.DUMMYFUNCTION("""COMPUTED_VALUE"""),"Рудничный - лучший")</f>
        <v>Рудничный - лучший</v>
      </c>
      <c r="E728" s="6" t="str">
        <f>IFERROR(__xludf.DUMMYFUNCTION("""COMPUTED_VALUE"""),"Аллея с памятником шахтеров")</f>
        <v>Аллея с памятником шахтеров</v>
      </c>
      <c r="F728" s="6" t="str">
        <f>IFERROR(__xludf.DUMMYFUNCTION("""COMPUTED_VALUE"""),"Живу здесь с рождения")</f>
        <v>Живу здесь с рождения</v>
      </c>
      <c r="G728" s="6" t="str">
        <f>IFERROR(__xludf.DUMMYFUNCTION("""COMPUTED_VALUE"""),"Парк Чудес ")</f>
        <v>Парк Чудес </v>
      </c>
      <c r="H728" s="6" t="str">
        <f>IFERROR(__xludf.DUMMYFUNCTION("""COMPUTED_VALUE"""),"Спорт-комплекс 
Томская писаница 
Отсутствие метро 
Отсутствие более масштабных развлекательных комплексом (аквапарк) 
Небольшие Торговые центры (с отсутствием многих популярных магазинов )")</f>
        <v>Спорт-комплекс 
Томская писаница 
Отсутствие метро 
Отсутствие более масштабных развлекательных комплексом (аквапарк) 
Небольшие Торговые центры (с отсутствием многих популярных магазинов )</v>
      </c>
      <c r="I728" s="6" t="str">
        <f>IFERROR(__xludf.DUMMYFUNCTION("""COMPUTED_VALUE"""),"
Тулеев
Вера Волошина
Волков")</f>
        <v>
Тулеев
Вера Волошина
Волков</v>
      </c>
      <c r="J728" s="6" t="str">
        <f>IFERROR(__xludf.DUMMYFUNCTION("""COMPUTED_VALUE"""),"Волков")</f>
        <v>Волков</v>
      </c>
      <c r="K728" s="6" t="str">
        <f>IFERROR(__xludf.DUMMYFUNCTION("""COMPUTED_VALUE"""),"Площадь с памятником Ленина")</f>
        <v>Площадь с памятником Ленина</v>
      </c>
      <c r="L728" s="6" t="str">
        <f>IFERROR(__xludf.DUMMYFUNCTION("""COMPUTED_VALUE"""),"-")</f>
        <v>-</v>
      </c>
      <c r="M728" s="6" t="str">
        <f>IFERROR(__xludf.DUMMYFUNCTION("""COMPUTED_VALUE"""),"-")</f>
        <v>-</v>
      </c>
      <c r="N728" s="6" t="str">
        <f>IFERROR(__xludf.DUMMYFUNCTION("""COMPUTED_VALUE"""),"Достаточное количество магазинов расположенных рядом с домом 
")</f>
        <v>Достаточное количество магазинов расположенных рядом с домом 
</v>
      </c>
      <c r="O728" s="6" t="str">
        <f>IFERROR(__xludf.DUMMYFUNCTION("""COMPUTED_VALUE"""),"1.Закон о нарушении экологии (более ужесточить ) 
2.Создать комфортные условия для собаководов 
3.Отслеживать более тщательно работы коммунальных служб
4. Улучшить средства передвижения и пустить больше общественных транспортных средств 
5. Построить боль"&amp;"ше достопримечательностей, что-бы люди не ездили за этим в другие города ( зоопарк, аквапарк) 
6. Построить больше питомников для содержания бродячих животных ( с помощью государственного обеспечения)
7. Ввести закон для собаководов ( Что не все люди могу"&amp;"т заводить животных, чтобы каждое животное было чипированным, числился в базе Кемеровской области , числился хозяин ответственный за этого животного, при бросании или потери животного, нёс уголовную ответственность за это)
8. Принимать заявки людей в комм"&amp;"унальных службах, об улучшениях дорог ( улицах, дворах, переулках).
9. Увеличить бюджетные места в образовательных учреждениях.
10. Составить план образовательного процесса, основанного больше на практически чем на теории.")</f>
        <v>1.Закон о нарушении экологии (более ужесточить ) 
2.Создать комфортные условия для собаководов 
3.Отслеживать более тщательно работы коммунальных служб
4. Улучшить средства передвижения и пустить больше общественных транспортных средств 
5. Построить больше достопримечательностей, что-бы люди не ездили за этим в другие города ( зоопарк, аквапарк) 
6. Построить больше питомников для содержания бродячих животных ( с помощью государственного обеспечения)
7. Ввести закон для собаководов ( Что не все люди могут заводить животных, чтобы каждое животное было чипированным, числился в базе Кемеровской области , числился хозяин ответственный за этого животного, при бросании или потери животного, нёс уголовную ответственность за это)
8. Принимать заявки людей в коммунальных службах, об улучшениях дорог ( улицах, дворах, переулках).
9. Увеличить бюджетные места в образовательных учреждениях.
10. Составить план образовательного процесса, основанного больше на практически чем на теории.</v>
      </c>
      <c r="P728" s="6" t="str">
        <f>IFERROR(__xludf.DUMMYFUNCTION("""COMPUTED_VALUE"""),"Новости. Различные социальные группы ВК , Инстаграмм.")</f>
        <v>Новости. Различные социальные группы ВК , Инстаграмм.</v>
      </c>
      <c r="Q728" s="6" t="str">
        <f>IFERROR(__xludf.DUMMYFUNCTION("""COMPUTED_VALUE"""),"новости про новые профессии/куда поступать/вакансии")</f>
        <v>новости про новые профессии/куда поступать/вакансии</v>
      </c>
      <c r="R728" s="6" t="str">
        <f>IFERROR(__xludf.DUMMYFUNCTION("""COMPUTED_VALUE"""),"9 мая, день шахтера. ")</f>
        <v>9 мая, день шахтера. </v>
      </c>
      <c r="S728" s="6" t="str">
        <f>IFERROR(__xludf.DUMMYFUNCTION("""COMPUTED_VALUE"""),"Нет, не приходилось")</f>
        <v>Нет, не приходилось</v>
      </c>
      <c r="T728" s="6" t="str">
        <f>IFERROR(__xludf.DUMMYFUNCTION("""COMPUTED_VALUE"""),"Шахтерами ")</f>
        <v>Шахтерами </v>
      </c>
      <c r="U728" s="6" t="str">
        <f>IFERROR(__xludf.DUMMYFUNCTION("""COMPUTED_VALUE"""),"Площадь Волкова ")</f>
        <v>Площадь Волкова </v>
      </c>
      <c r="V728" s="6" t="str">
        <f>IFERROR(__xludf.DUMMYFUNCTION("""COMPUTED_VALUE"""),"Воевали за сохранение жизни и города ")</f>
        <v>Воевали за сохранение жизни и города </v>
      </c>
      <c r="W728" s="6" t="str">
        <f>IFERROR(__xludf.DUMMYFUNCTION("""COMPUTED_VALUE"""),"Вечно недовольные 
Не следящие за соблюдением чистоты в городе 
Стадо ")</f>
        <v>Вечно недовольные 
Не следящие за соблюдением чистоты в городе 
Стадо </v>
      </c>
      <c r="X728" s="6" t="str">
        <f>IFERROR(__xludf.DUMMYFUNCTION("""COMPUTED_VALUE"""),"Улица Весенняя")</f>
        <v>Улица Весенняя</v>
      </c>
      <c r="Y728" s="6" t="str">
        <f>IFERROR(__xludf.DUMMYFUNCTION("""COMPUTED_VALUE"""),"2017 открыт самый большой линейный парк в Сибири")</f>
        <v>2017 открыт самый большой линейный парк в Сибири</v>
      </c>
      <c r="Z728" s="6" t="str">
        <f>IFERROR(__xludf.DUMMYFUNCTION("""COMPUTED_VALUE"""),"-")</f>
        <v>-</v>
      </c>
      <c r="AA728" s="6" t="str">
        <f>IFERROR(__xludf.DUMMYFUNCTION("""COMPUTED_VALUE"""),"Пожар в Зимней вишне ")</f>
        <v>Пожар в Зимней вишне </v>
      </c>
      <c r="AB728" s="6" t="str">
        <f>IFERROR(__xludf.DUMMYFUNCTION("""COMPUTED_VALUE"""),"- ")</f>
        <v>- </v>
      </c>
      <c r="AC728" s="6" t="str">
        <f>IFERROR(__xludf.DUMMYFUNCTION("""COMPUTED_VALUE"""),"Развлекательных комплексов 
Расширение аттракционов в парке")</f>
        <v>Развлекательных комплексов 
Расширение аттракционов в парке</v>
      </c>
      <c r="AD72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28" s="6" t="str">
        <f>IFERROR(__xludf.DUMMYFUNCTION("""COMPUTED_VALUE"""),"Женский")</f>
        <v>Женский</v>
      </c>
      <c r="AF728" s="6" t="str">
        <f>IFERROR(__xludf.DUMMYFUNCTION("""COMPUTED_VALUE"""),"18-29")</f>
        <v>18-29</v>
      </c>
      <c r="AG728" s="6"/>
      <c r="AH728" s="6"/>
      <c r="AI728" s="6"/>
      <c r="AJ728" s="6"/>
      <c r="AK728" s="6"/>
      <c r="AL728" s="6"/>
      <c r="AM728" s="6"/>
    </row>
    <row r="729">
      <c r="A729" s="6">
        <v>728.0</v>
      </c>
      <c r="B729" s="6" t="str">
        <f>IFERROR(__xludf.DUMMYFUNCTION("""COMPUTED_VALUE"""),"я работаю методистом в Кузбасской ГСХА")</f>
        <v>я работаю методистом в Кузбасской ГСХА</v>
      </c>
      <c r="C729" s="6" t="str">
        <f>IFERROR(__xludf.DUMMYFUNCTION("""COMPUTED_VALUE"""),"я люблю спорт, занимаюсь фитнесом")</f>
        <v>я люблю спорт, занимаюсь фитнесом</v>
      </c>
      <c r="D729" s="6" t="str">
        <f>IFERROR(__xludf.DUMMYFUNCTION("""COMPUTED_VALUE"""),"Южный район. Южный")</f>
        <v>Южный район. Южный</v>
      </c>
      <c r="E729" s="6" t="str">
        <f>IFERROR(__xludf.DUMMYFUNCTION("""COMPUTED_VALUE"""),"наличие большого количества детских садов")</f>
        <v>наличие большого количества детских садов</v>
      </c>
      <c r="F729" s="6" t="str">
        <f>IFERROR(__xludf.DUMMYFUNCTION("""COMPUTED_VALUE"""),"Переехал сюда из другого места (откуда? укажите в графе другое), деревня Ключи Крапивинский район")</f>
        <v>Переехал сюда из другого места (откуда? укажите в графе другое), деревня Ключи Крапивинский район</v>
      </c>
      <c r="G729" s="6" t="str">
        <f>IFERROR(__xludf.DUMMYFUNCTION("""COMPUTED_VALUE"""),"магазины, кафе")</f>
        <v>магазины, кафе</v>
      </c>
      <c r="H729" s="6" t="str">
        <f>IFERROR(__xludf.DUMMYFUNCTION("""COMPUTED_VALUE"""),"Серый, тихий, маленький, недружный, скучный")</f>
        <v>Серый, тихий, маленький, недружный, скучный</v>
      </c>
      <c r="I729" s="6" t="str">
        <f>IFERROR(__xludf.DUMMYFUNCTION("""COMPUTED_VALUE"""),"Алексей Леонов, Вера Волошина, Юрий Двужильный")</f>
        <v>Алексей Леонов, Вера Волошина, Юрий Двужильный</v>
      </c>
      <c r="J729" s="6" t="str">
        <f>IFERROR(__xludf.DUMMYFUNCTION("""COMPUTED_VALUE"""),"А,Г. Тулеев, ")</f>
        <v>А,Г. Тулеев, </v>
      </c>
      <c r="K729" s="6" t="str">
        <f>IFERROR(__xludf.DUMMYFUNCTION("""COMPUTED_VALUE"""),"Вечный огонь, стела памяти, монумент Эрнста Неизвестного")</f>
        <v>Вечный огонь, стела памяти, монумент Эрнста Неизвестного</v>
      </c>
      <c r="L729" s="6" t="str">
        <f>IFERROR(__xludf.DUMMYFUNCTION("""COMPUTED_VALUE"""),"Уголек как золото, и блестит и ценится")</f>
        <v>Уголек как золото, и блестит и ценится</v>
      </c>
      <c r="M729" s="6" t="str">
        <f>IFERROR(__xludf.DUMMYFUNCTION("""COMPUTED_VALUE"""),"нет")</f>
        <v>нет</v>
      </c>
      <c r="N729" s="6" t="str">
        <f>IFERROR(__xludf.DUMMYFUNCTION("""COMPUTED_VALUE"""),"маленький, все есть, рядом с домом родителей, хорошая работа, друзья")</f>
        <v>маленький, все есть, рядом с домом родителей, хорошая работа, друзья</v>
      </c>
      <c r="O729" s="6" t="str">
        <f>IFERROR(__xludf.DUMMYFUNCTION("""COMPUTED_VALUE"""),"дороги")</f>
        <v>дороги</v>
      </c>
      <c r="P729" s="6" t="str">
        <f>IFERROR(__xludf.DUMMYFUNCTION("""COMPUTED_VALUE"""),"инстаграмм")</f>
        <v>инстаграмм</v>
      </c>
      <c r="Q729"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729" s="6" t="str">
        <f>IFERROR(__xludf.DUMMYFUNCTION("""COMPUTED_VALUE"""),"день победы")</f>
        <v>день победы</v>
      </c>
      <c r="S729" s="6" t="str">
        <f>IFERROR(__xludf.DUMMYFUNCTION("""COMPUTED_VALUE"""),"Нет, не приходилось")</f>
        <v>Нет, не приходилось</v>
      </c>
      <c r="T729" s="6" t="str">
        <f>IFERROR(__xludf.DUMMYFUNCTION("""COMPUTED_VALUE"""),"шахтами, добычей угля")</f>
        <v>шахтами, добычей угля</v>
      </c>
      <c r="U729" s="6" t="str">
        <f>IFERROR(__xludf.DUMMYFUNCTION("""COMPUTED_VALUE"""),"набережная")</f>
        <v>набережная</v>
      </c>
      <c r="V729" s="6" t="str">
        <f>IFERROR(__xludf.DUMMYFUNCTION("""COMPUTED_VALUE"""),"многое")</f>
        <v>многое</v>
      </c>
      <c r="W729" s="6" t="str">
        <f>IFERROR(__xludf.DUMMYFUNCTION("""COMPUTED_VALUE"""),"тихие, молчаливые")</f>
        <v>тихие, молчаливые</v>
      </c>
      <c r="X729" s="6" t="str">
        <f>IFERROR(__xludf.DUMMYFUNCTION("""COMPUTED_VALUE"""),"набережная")</f>
        <v>набережная</v>
      </c>
      <c r="Y729" s="6" t="str">
        <f>IFERROR(__xludf.DUMMYFUNCTION("""COMPUTED_VALUE"""),"бессмертный полк")</f>
        <v>бессмертный полк</v>
      </c>
      <c r="Z729" s="6" t="str">
        <f>IFERROR(__xludf.DUMMYFUNCTION("""COMPUTED_VALUE"""),"день города")</f>
        <v>день города</v>
      </c>
      <c r="AA729" s="6" t="str">
        <f>IFERROR(__xludf.DUMMYFUNCTION("""COMPUTED_VALUE"""),"карантин")</f>
        <v>карантин</v>
      </c>
      <c r="AB729" s="6" t="str">
        <f>IFERROR(__xludf.DUMMYFUNCTION("""COMPUTED_VALUE"""),"нет таких")</f>
        <v>нет таких</v>
      </c>
      <c r="AC729" s="6" t="str">
        <f>IFERROR(__xludf.DUMMYFUNCTION("""COMPUTED_VALUE"""),"общие праздники")</f>
        <v>общие праздники</v>
      </c>
      <c r="AD729" s="6" t="str">
        <f>IFERROR(__xludf.DUMMYFUNCTION("""COMPUTED_VALUE"""),"Не готов принимать личное участие (укажите, пожалуйста, причину в поле «Другое»), нет времени")</f>
        <v>Не готов принимать личное участие (укажите, пожалуйста, причину в поле «Другое»), нет времени</v>
      </c>
      <c r="AE729" s="6" t="str">
        <f>IFERROR(__xludf.DUMMYFUNCTION("""COMPUTED_VALUE"""),"Женский")</f>
        <v>Женский</v>
      </c>
      <c r="AF729" s="6" t="str">
        <f>IFERROR(__xludf.DUMMYFUNCTION("""COMPUTED_VALUE"""),"18-29")</f>
        <v>18-29</v>
      </c>
      <c r="AG729" s="6"/>
      <c r="AH729" s="6"/>
      <c r="AI729" s="6"/>
      <c r="AJ729" s="6"/>
      <c r="AK729" s="6"/>
      <c r="AL729" s="6"/>
      <c r="AM729" s="6"/>
    </row>
    <row r="730">
      <c r="A730" s="6">
        <v>729.0</v>
      </c>
      <c r="B730" s="6" t="str">
        <f>IFERROR(__xludf.DUMMYFUNCTION("""COMPUTED_VALUE"""),"безработный")</f>
        <v>безработный</v>
      </c>
      <c r="C730" s="6" t="str">
        <f>IFERROR(__xludf.DUMMYFUNCTION("""COMPUTED_VALUE"""),"нет")</f>
        <v>нет</v>
      </c>
      <c r="D730" s="6" t="str">
        <f>IFERROR(__xludf.DUMMYFUNCTION("""COMPUTED_VALUE"""),"центральный")</f>
        <v>центральный</v>
      </c>
      <c r="E730" s="6" t="str">
        <f>IFERROR(__xludf.DUMMYFUNCTION("""COMPUTED_VALUE"""),"нет")</f>
        <v>нет</v>
      </c>
      <c r="F730" s="6" t="str">
        <f>IFERROR(__xludf.DUMMYFUNCTION("""COMPUTED_VALUE"""),"Живу здесь с рождения")</f>
        <v>Живу здесь с рождения</v>
      </c>
      <c r="G730" s="6" t="str">
        <f>IFERROR(__xludf.DUMMYFUNCTION("""COMPUTED_VALUE"""),"Кинотеатр ""Юбилейный"", парк на бульваре Строителей ")</f>
        <v>Кинотеатр "Юбилейный", парк на бульваре Строителей </v>
      </c>
      <c r="H730" s="6" t="str">
        <f>IFERROR(__xludf.DUMMYFUNCTION("""COMPUTED_VALUE"""),"нет")</f>
        <v>нет</v>
      </c>
      <c r="I730" s="6" t="str">
        <f>IFERROR(__xludf.DUMMYFUNCTION("""COMPUTED_VALUE"""),"Владимир Михайлов (мэр)")</f>
        <v>Владимир Михайлов (мэр)</v>
      </c>
      <c r="J730" s="6" t="str">
        <f>IFERROR(__xludf.DUMMYFUNCTION("""COMPUTED_VALUE"""),"нет")</f>
        <v>нет</v>
      </c>
      <c r="K730" s="6" t="str">
        <f>IFERROR(__xludf.DUMMYFUNCTION("""COMPUTED_VALUE"""),"Красная Горка, Томская Писаница")</f>
        <v>Красная Горка, Томская Писаница</v>
      </c>
      <c r="L730" s="6" t="str">
        <f>IFERROR(__xludf.DUMMYFUNCTION("""COMPUTED_VALUE"""),"нет")</f>
        <v>нет</v>
      </c>
      <c r="M730" s="6" t="str">
        <f>IFERROR(__xludf.DUMMYFUNCTION("""COMPUTED_VALUE"""),"нет")</f>
        <v>нет</v>
      </c>
      <c r="N730" s="6" t="str">
        <f>IFERROR(__xludf.DUMMYFUNCTION("""COMPUTED_VALUE"""),"дороги, чистота, ")</f>
        <v>дороги, чистота, </v>
      </c>
      <c r="O730" s="6" t="str">
        <f>IFERROR(__xludf.DUMMYFUNCTION("""COMPUTED_VALUE"""),"не знаю")</f>
        <v>не знаю</v>
      </c>
      <c r="P730" s="6" t="str">
        <f>IFERROR(__xludf.DUMMYFUNCTION("""COMPUTED_VALUE"""),"телек")</f>
        <v>телек</v>
      </c>
      <c r="Q730"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v>
      </c>
      <c r="R730" s="6" t="str">
        <f>IFERROR(__xludf.DUMMYFUNCTION("""COMPUTED_VALUE"""),"Новый год, Масленица, Проводы зимы")</f>
        <v>Новый год, Масленица, Проводы зимы</v>
      </c>
      <c r="S730" s="6" t="str">
        <f>IFERROR(__xludf.DUMMYFUNCTION("""COMPUTED_VALUE"""),"Нет, не приходилось")</f>
        <v>Нет, не приходилось</v>
      </c>
      <c r="T730" s="6" t="str">
        <f>IFERROR(__xludf.DUMMYFUNCTION("""COMPUTED_VALUE"""),"не знаю")</f>
        <v>не знаю</v>
      </c>
      <c r="U730" s="6" t="str">
        <f>IFERROR(__xludf.DUMMYFUNCTION("""COMPUTED_VALUE"""),"не знаю ")</f>
        <v>не знаю </v>
      </c>
      <c r="V730" s="6" t="str">
        <f>IFERROR(__xludf.DUMMYFUNCTION("""COMPUTED_VALUE"""),"не знаю")</f>
        <v>не знаю</v>
      </c>
      <c r="W730" s="6" t="str">
        <f>IFERROR(__xludf.DUMMYFUNCTION("""COMPUTED_VALUE"""),"всякие")</f>
        <v>всякие</v>
      </c>
      <c r="X730" s="6" t="str">
        <f>IFERROR(__xludf.DUMMYFUNCTION("""COMPUTED_VALUE"""),"не знаю")</f>
        <v>не знаю</v>
      </c>
      <c r="Y730" s="6" t="str">
        <f>IFERROR(__xludf.DUMMYFUNCTION("""COMPUTED_VALUE"""),"не знаю")</f>
        <v>не знаю</v>
      </c>
      <c r="Z730" s="6" t="str">
        <f>IFERROR(__xludf.DUMMYFUNCTION("""COMPUTED_VALUE"""),"не помню")</f>
        <v>не помню</v>
      </c>
      <c r="AA730" s="6" t="str">
        <f>IFERROR(__xludf.DUMMYFUNCTION("""COMPUTED_VALUE"""),"закрытие родильного дома в Кировском районе, пожар ""Красной вишни"" ")</f>
        <v>закрытие родильного дома в Кировском районе, пожар "Красной вишни" </v>
      </c>
      <c r="AB730" s="6" t="str">
        <f>IFERROR(__xludf.DUMMYFUNCTION("""COMPUTED_VALUE"""),"нет")</f>
        <v>нет</v>
      </c>
      <c r="AC730" s="6" t="str">
        <f>IFERROR(__xludf.DUMMYFUNCTION("""COMPUTED_VALUE"""),"нет")</f>
        <v>нет</v>
      </c>
      <c r="AD73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30" s="6" t="str">
        <f>IFERROR(__xludf.DUMMYFUNCTION("""COMPUTED_VALUE"""),"Женский")</f>
        <v>Женский</v>
      </c>
      <c r="AF730" s="6" t="str">
        <f>IFERROR(__xludf.DUMMYFUNCTION("""COMPUTED_VALUE"""),"45-55")</f>
        <v>45-55</v>
      </c>
      <c r="AG730" s="6"/>
      <c r="AH730" s="6"/>
      <c r="AI730" s="6"/>
      <c r="AJ730" s="6"/>
      <c r="AK730" s="6"/>
      <c r="AL730" s="6"/>
      <c r="AM730" s="6"/>
    </row>
    <row r="731">
      <c r="A731" s="6">
        <v>730.0</v>
      </c>
      <c r="B731" s="6" t="str">
        <f>IFERROR(__xludf.DUMMYFUNCTION("""COMPUTED_VALUE"""),"Учусь ")</f>
        <v>Учусь </v>
      </c>
      <c r="C731" s="6" t="str">
        <f>IFERROR(__xludf.DUMMYFUNCTION("""COMPUTED_VALUE"""),"Спорт, баскетбол ")</f>
        <v>Спорт, баскетбол </v>
      </c>
      <c r="D731" s="6" t="str">
        <f>IFERROR(__xludf.DUMMYFUNCTION("""COMPUTED_VALUE"""),"Ленинский")</f>
        <v>Ленинский</v>
      </c>
      <c r="E731" s="6" t="str">
        <f>IFERROR(__xludf.DUMMYFUNCTION("""COMPUTED_VALUE"""),"Аллея на бульваре ")</f>
        <v>Аллея на бульваре </v>
      </c>
      <c r="F731" s="6" t="str">
        <f>IFERROR(__xludf.DUMMYFUNCTION("""COMPUTED_VALUE"""),"Живу здесь с рождения")</f>
        <v>Живу здесь с рождения</v>
      </c>
      <c r="G731" s="6" t="str">
        <f>IFERROR(__xludf.DUMMYFUNCTION("""COMPUTED_VALUE"""),"В магазин, и в центр ")</f>
        <v>В магазин, и в центр </v>
      </c>
      <c r="H731" s="6" t="str">
        <f>IFERROR(__xludf.DUMMYFUNCTION("""COMPUTED_VALUE"""),"Уголь, новый, маленький, ")</f>
        <v>Уголь, новый, маленький, </v>
      </c>
      <c r="I731" s="6" t="str">
        <f>IFERROR(__xludf.DUMMYFUNCTION("""COMPUTED_VALUE"""),"Волков")</f>
        <v>Волков</v>
      </c>
      <c r="J731" s="6" t="str">
        <f>IFERROR(__xludf.DUMMYFUNCTION("""COMPUTED_VALUE"""),"Цивелев ")</f>
        <v>Цивелев </v>
      </c>
      <c r="K731" s="6" t="str">
        <f>IFERROR(__xludf.DUMMYFUNCTION("""COMPUTED_VALUE"""),"Мальчик в капусте, девочка с большой туфлей ")</f>
        <v>Мальчик в капусте, девочка с большой туфлей </v>
      </c>
      <c r="L731" s="6" t="str">
        <f>IFERROR(__xludf.DUMMYFUNCTION("""COMPUTED_VALUE"""),"Не знаю ")</f>
        <v>Не знаю </v>
      </c>
      <c r="M731" s="6" t="str">
        <f>IFERROR(__xludf.DUMMYFUNCTION("""COMPUTED_VALUE"""),"Сити, кем, яшка ")</f>
        <v>Сити, кем, яшка </v>
      </c>
      <c r="N731" s="6" t="str">
        <f>IFERROR(__xludf.DUMMYFUNCTION("""COMPUTED_VALUE"""),"Близко, чисто, интересные люди ")</f>
        <v>Близко, чисто, интересные люди </v>
      </c>
      <c r="O731" s="6" t="str">
        <f>IFERROR(__xludf.DUMMYFUNCTION("""COMPUTED_VALUE"""),"Дороги, зарплаты ")</f>
        <v>Дороги, зарплаты </v>
      </c>
      <c r="P731" s="6" t="str">
        <f>IFERROR(__xludf.DUMMYFUNCTION("""COMPUTED_VALUE"""),"Вк, и просто новости из интернета ")</f>
        <v>Вк, и просто новости из интернета </v>
      </c>
      <c r="Q731" s="6" t="str">
        <f>IFERROR(__xludf.DUMMYFUNCTION("""COMPUTED_VALUE"""),"где вкусно поесть/открытие новых кафе/ресторанов, 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где вкусно поесть/открытие новых кафе/ресторанов, 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731" s="6" t="str">
        <f>IFERROR(__xludf.DUMMYFUNCTION("""COMPUTED_VALUE"""),"Новый год ")</f>
        <v>Новый год </v>
      </c>
      <c r="S731" s="6" t="str">
        <f>IFERROR(__xludf.DUMMYFUNCTION("""COMPUTED_VALUE"""),"Нет, не приходилось")</f>
        <v>Нет, не приходилось</v>
      </c>
      <c r="T731" s="6" t="str">
        <f>IFERROR(__xludf.DUMMYFUNCTION("""COMPUTED_VALUE"""),"Углем, то что он становится новым и большим ")</f>
        <v>Углем, то что он становится новым и большим </v>
      </c>
      <c r="U731" s="6" t="str">
        <f>IFERROR(__xludf.DUMMYFUNCTION("""COMPUTED_VALUE"""),"Площадь советов ")</f>
        <v>Площадь советов </v>
      </c>
      <c r="V731" s="6" t="str">
        <f>IFERROR(__xludf.DUMMYFUNCTION("""COMPUTED_VALUE"""),"Продвинутым, и с дорогами ")</f>
        <v>Продвинутым, и с дорогами </v>
      </c>
      <c r="W731" s="6" t="str">
        <f>IFERROR(__xludf.DUMMYFUNCTION("""COMPUTED_VALUE"""),"Неплохие, если надо может и помогут, но не все ")</f>
        <v>Неплохие, если надо может и помогут, но не все </v>
      </c>
      <c r="X731" s="6" t="str">
        <f>IFERROR(__xludf.DUMMYFUNCTION("""COMPUTED_VALUE"""),"Ленина ")</f>
        <v>Ленина </v>
      </c>
      <c r="Y731" s="6" t="str">
        <f>IFERROR(__xludf.DUMMYFUNCTION("""COMPUTED_VALUE"""),"Добыча угля ")</f>
        <v>Добыча угля </v>
      </c>
      <c r="Z731" s="6" t="str">
        <f>IFERROR(__xludf.DUMMYFUNCTION("""COMPUTED_VALUE"""),"Пенная туса ")</f>
        <v>Пенная туса </v>
      </c>
      <c r="AA731" s="6" t="str">
        <f>IFERROR(__xludf.DUMMYFUNCTION("""COMPUTED_VALUE"""),"Нечего")</f>
        <v>Нечего</v>
      </c>
      <c r="AB731" s="6" t="str">
        <f>IFERROR(__xludf.DUMMYFUNCTION("""COMPUTED_VALUE"""),"Больше продвинутых читальн ")</f>
        <v>Больше продвинутых читальн </v>
      </c>
      <c r="AC731" s="6" t="str">
        <f>IFERROR(__xludf.DUMMYFUNCTION("""COMPUTED_VALUE"""),"То что обьядинит нас, ")</f>
        <v>То что обьядинит нас, </v>
      </c>
      <c r="AD731"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31" s="6" t="str">
        <f>IFERROR(__xludf.DUMMYFUNCTION("""COMPUTED_VALUE"""),"Мужской")</f>
        <v>Мужской</v>
      </c>
      <c r="AF731" s="6" t="str">
        <f>IFERROR(__xludf.DUMMYFUNCTION("""COMPUTED_VALUE"""),"18-29")</f>
        <v>18-29</v>
      </c>
      <c r="AG731" s="6"/>
      <c r="AH731" s="6"/>
      <c r="AI731" s="6"/>
      <c r="AJ731" s="6"/>
      <c r="AK731" s="6"/>
      <c r="AL731" s="6"/>
      <c r="AM731" s="6"/>
    </row>
    <row r="732">
      <c r="A732" s="6">
        <v>731.0</v>
      </c>
      <c r="B732" s="6" t="str">
        <f>IFERROR(__xludf.DUMMYFUNCTION("""COMPUTED_VALUE"""),"На заслуженном отдыхе")</f>
        <v>На заслуженном отдыхе</v>
      </c>
      <c r="C732" s="6" t="str">
        <f>IFERROR(__xludf.DUMMYFUNCTION("""COMPUTED_VALUE"""),"Роспись: стекло, дерево, керамика, ткань")</f>
        <v>Роспись: стекло, дерево, керамика, ткань</v>
      </c>
      <c r="D732" s="6" t="str">
        <f>IFERROR(__xludf.DUMMYFUNCTION("""COMPUTED_VALUE"""),"Заводский, ФПК")</f>
        <v>Заводский, ФПК</v>
      </c>
      <c r="E732" s="6" t="str">
        <f>IFERROR(__xludf.DUMMYFUNCTION("""COMPUTED_VALUE"""),"Сквер Новорожденных, Гринвич")</f>
        <v>Сквер Новорожденных, Гринвич</v>
      </c>
      <c r="F732" s="6" t="str">
        <f>IFERROR(__xludf.DUMMYFUNCTION("""COMPUTED_VALUE"""),"Живу здесь с рождения")</f>
        <v>Живу здесь с рождения</v>
      </c>
      <c r="G732" s="6" t="str">
        <f>IFERROR(__xludf.DUMMYFUNCTION("""COMPUTED_VALUE"""),"Летом: Весенняя, Набережная; зимой ФПК")</f>
        <v>Летом: Весенняя, Набережная; зимой ФПК</v>
      </c>
      <c r="H732" s="6" t="str">
        <f>IFERROR(__xludf.DUMMYFUNCTION("""COMPUTED_VALUE"""),"трубы, липы, театр драмы, ")</f>
        <v>трубы, липы, театр драмы, </v>
      </c>
      <c r="I732" s="6" t="str">
        <f>IFERROR(__xludf.DUMMYFUNCTION("""COMPUTED_VALUE"""),"Вера Волошина, Мызо, Михайло Волков, Рутгерс, ")</f>
        <v>Вера Волошина, Мызо, Михайло Волков, Рутгерс, </v>
      </c>
      <c r="J732" s="6" t="str">
        <f>IFERROR(__xludf.DUMMYFUNCTION("""COMPUTED_VALUE""")," Саша Антипов, Алексей Леонов,  Раздаев")</f>
        <v> Саша Антипов, Алексей Леонов,  Раздаев</v>
      </c>
      <c r="K732" s="6" t="str">
        <f>IFERROR(__xludf.DUMMYFUNCTION("""COMPUTED_VALUE"""),"площадь Пушкина, бор")</f>
        <v>площадь Пушкина, бор</v>
      </c>
      <c r="L732" s="6" t="str">
        <f>IFERROR(__xludf.DUMMYFUNCTION("""COMPUTED_VALUE"""),"не знаю")</f>
        <v>не знаю</v>
      </c>
      <c r="M732" s="6" t="str">
        <f>IFERROR(__xludf.DUMMYFUNCTION("""COMPUTED_VALUE"""),"Лисий хвост ")</f>
        <v>Лисий хвост </v>
      </c>
      <c r="N732" s="6" t="str">
        <f>IFERROR(__xludf.DUMMYFUNCTION("""COMPUTED_VALUE"""),"компактное размещение, возможность посещения культурных мероприятий; проживаю на ФПК - чисто, спокойно, все в шаговой доступности от дома;")</f>
        <v>компактное размещение, возможность посещения культурных мероприятий; проживаю на ФПК - чисто, спокойно, все в шаговой доступности от дома;</v>
      </c>
      <c r="O732" s="6" t="str">
        <f>IFERROR(__xludf.DUMMYFUNCTION("""COMPUTED_VALUE"""),"облагородить Весеннюю и Набережную; транспорт в вечернее время; экология-очищение атмосферы; ")</f>
        <v>облагородить Весеннюю и Набережную; транспорт в вечернее время; экология-очищение атмосферы; </v>
      </c>
      <c r="P732" s="6" t="str">
        <f>IFERROR(__xludf.DUMMYFUNCTION("""COMPUTED_VALUE"""),"В основном ""сарафанноа радио"", т.к. человек творческий, знакомые все из этой среды, постоянно идет обмен информацией. 
Или просто задаю вопрос в интернете: мероприятия города на сегодня. А уж там, как повезет.")</f>
        <v>В основном "сарафанноа радио", т.к. человек творческий, знакомые все из этой среды, постоянно идет обмен информацией. 
Или просто задаю вопрос в интернете: мероприятия города на сегодня. А уж там, как повезет.</v>
      </c>
      <c r="Q732" s="6" t="str">
        <f>IFERROR(__xludf.DUMMYFUNCTION("""COMPUTED_VALUE"""),"куда пойти в свободное время, интервью с местными творческими личностями, ежедневно обзор новостей региона.")</f>
        <v>куда пойти в свободное время, интервью с местными творческими личностями, ежедневно обзор новостей региона.</v>
      </c>
      <c r="R732" s="6" t="str">
        <f>IFERROR(__xludf.DUMMYFUNCTION("""COMPUTED_VALUE"""),"день города, Зеленый марафон, масленица")</f>
        <v>день города, Зеленый марафон, масленица</v>
      </c>
      <c r="S732" s="6" t="str">
        <f>IFERROR(__xludf.DUMMYFUNCTION("""COMPUTED_VALUE"""),"Нет, не приходилось, с удовольствием принимаю участие в городских мероприятиях ")</f>
        <v>Нет, не приходилось, с удовольствием принимаю участие в городских мероприятиях </v>
      </c>
      <c r="T732" s="6" t="str">
        <f>IFERROR(__xludf.DUMMYFUNCTION("""COMPUTED_VALUE"""),"Раньше это город Химии, сейчас, старое развалилось, а новое в процессе.")</f>
        <v>Раньше это город Химии, сейчас, старое развалилось, а новое в процессе.</v>
      </c>
      <c r="U732" s="6" t="str">
        <f>IFERROR(__xludf.DUMMYFUNCTION("""COMPUTED_VALUE"""),"площадь Пушкина")</f>
        <v>площадь Пушкина</v>
      </c>
      <c r="V732" s="6" t="str">
        <f>IFERROR(__xludf.DUMMYFUNCTION("""COMPUTED_VALUE"""),"благоустройство города")</f>
        <v>благоустройство города</v>
      </c>
      <c r="W732" s="6" t="str">
        <f>IFERROR(__xludf.DUMMYFUNCTION("""COMPUTED_VALUE"""),"люди разные: доброжелательные, озлобленные, вежливые и хамы. Как такового портрета Кемеровчанина создать не могу. ")</f>
        <v>люди разные: доброжелательные, озлобленные, вежливые и хамы. Как такового портрета Кемеровчанина создать не могу. </v>
      </c>
      <c r="X732" s="6" t="str">
        <f>IFERROR(__xludf.DUMMYFUNCTION("""COMPUTED_VALUE"""),"Парк Жукова, площадь Советов, Набережная, улица Весенняя")</f>
        <v>Парк Жукова, площадь Советов, Набережная, улица Весенняя</v>
      </c>
      <c r="Y732" s="6" t="str">
        <f>IFERROR(__xludf.DUMMYFUNCTION("""COMPUTED_VALUE"""),"Знакового события города не знаю.")</f>
        <v>Знакового события города не знаю.</v>
      </c>
      <c r="Z732" s="6" t="str">
        <f>IFERROR(__xludf.DUMMYFUNCTION("""COMPUTED_VALUE"""),"концерты в католическом храме")</f>
        <v>концерты в католическом храме</v>
      </c>
      <c r="AA732" s="6" t="str">
        <f>IFERROR(__xludf.DUMMYFUNCTION("""COMPUTED_VALUE"""),"может и были, но плохое не держу в памяти")</f>
        <v>может и были, но плохое не держу в памяти</v>
      </c>
      <c r="AB732" s="6" t="str">
        <f>IFERROR(__xludf.DUMMYFUNCTION("""COMPUTED_VALUE"""),"клуб творческих личностей.")</f>
        <v>клуб творческих личностей.</v>
      </c>
      <c r="AC732" s="6" t="str">
        <f>IFERROR(__xludf.DUMMYFUNCTION("""COMPUTED_VALUE"""),"Концерты на открытой площадке в свободном доступе; кино под открытым небом (в летний период на постоянной основе); творческие фестивали и ярмарки на постоянной основе")</f>
        <v>Концерты на открытой площадке в свободном доступе; кино под открытым небом (в летний период на постоянной основе); творческие фестивали и ярмарки на постоянной основе</v>
      </c>
      <c r="AD73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32" s="6" t="str">
        <f>IFERROR(__xludf.DUMMYFUNCTION("""COMPUTED_VALUE"""),"Женский")</f>
        <v>Женский</v>
      </c>
      <c r="AF732" s="6" t="str">
        <f>IFERROR(__xludf.DUMMYFUNCTION("""COMPUTED_VALUE"""),"старше 55")</f>
        <v>старше 55</v>
      </c>
      <c r="AG732" s="6"/>
      <c r="AH732" s="6"/>
      <c r="AI732" s="6"/>
      <c r="AJ732" s="6"/>
      <c r="AK732" s="6"/>
      <c r="AL732" s="6"/>
      <c r="AM732" s="6"/>
    </row>
    <row r="733">
      <c r="A733" s="6">
        <v>732.0</v>
      </c>
      <c r="B733" s="6" t="str">
        <f>IFERROR(__xludf.DUMMYFUNCTION("""COMPUTED_VALUE"""),"Студент")</f>
        <v>Студент</v>
      </c>
      <c r="C733" s="6" t="str">
        <f>IFERROR(__xludf.DUMMYFUNCTION("""COMPUTED_VALUE"""),"Страйкбол")</f>
        <v>Страйкбол</v>
      </c>
      <c r="D733" s="6" t="str">
        <f>IFERROR(__xludf.DUMMYFUNCTION("""COMPUTED_VALUE"""),"Заводской")</f>
        <v>Заводской</v>
      </c>
      <c r="E733" s="6" t="str">
        <f>IFERROR(__xludf.DUMMYFUNCTION("""COMPUTED_VALUE"""),"Парк ангелов")</f>
        <v>Парк ангелов</v>
      </c>
      <c r="F733" s="6" t="str">
        <f>IFERROR(__xludf.DUMMYFUNCTION("""COMPUTED_VALUE"""),"Переехал сюда из другого места (откуда? укажите в графе другое), Из Тайги")</f>
        <v>Переехал сюда из другого места (откуда? укажите в графе другое), Из Тайги</v>
      </c>
      <c r="G733" s="6" t="str">
        <f>IFERROR(__xludf.DUMMYFUNCTION("""COMPUTED_VALUE"""),"В сосновый бор, в парк")</f>
        <v>В сосновый бор, в парк</v>
      </c>
      <c r="H733" s="6" t="str">
        <f>IFERROR(__xludf.DUMMYFUNCTION("""COMPUTED_VALUE"""),"Вдохновение, дом, мусор, уют, призрение")</f>
        <v>Вдохновение, дом, мусор, уют, призрение</v>
      </c>
      <c r="I733" s="6" t="str">
        <f>IFERROR(__xludf.DUMMYFUNCTION("""COMPUTED_VALUE"""),"Вера Волошина")</f>
        <v>Вера Волошина</v>
      </c>
      <c r="J733" s="6" t="str">
        <f>IFERROR(__xludf.DUMMYFUNCTION("""COMPUTED_VALUE"""),"Шахтёры")</f>
        <v>Шахтёры</v>
      </c>
      <c r="K733" s="6" t="str">
        <f>IFERROR(__xludf.DUMMYFUNCTION("""COMPUTED_VALUE"""),"Памятник шахтёрам")</f>
        <v>Памятник шахтёрам</v>
      </c>
      <c r="L733" s="6" t="str">
        <f>IFERROR(__xludf.DUMMYFUNCTION("""COMPUTED_VALUE"""),"Не знаю")</f>
        <v>Не знаю</v>
      </c>
      <c r="M733" s="6" t="str">
        <f>IFERROR(__xludf.DUMMYFUNCTION("""COMPUTED_VALUE"""),"Нет")</f>
        <v>Нет</v>
      </c>
      <c r="N733" s="6" t="str">
        <f>IFERROR(__xludf.DUMMYFUNCTION("""COMPUTED_VALUE"""),"Чистота, безопасность, честность, доброта")</f>
        <v>Чистота, безопасность, честность, доброта</v>
      </c>
      <c r="O733" s="6" t="str">
        <f>IFERROR(__xludf.DUMMYFUNCTION("""COMPUTED_VALUE"""),"Научить людей не мусорить")</f>
        <v>Научить людей не мусорить</v>
      </c>
      <c r="P733" s="6" t="str">
        <f>IFERROR(__xludf.DUMMYFUNCTION("""COMPUTED_VALUE"""),"ВКонтакте, афиша, остановки, реклама")</f>
        <v>ВКонтакте, афиша, остановки, реклама</v>
      </c>
      <c r="Q733" s="6" t="str">
        <f>IFERROR(__xludf.DUMMYFUNCTION("""COMPUTED_VALUE"""),"куда пойти в свободное время, культурные новинки (что почитать/что послушать), интервью с местными творческими личностями, новости про новые профессии/куда поступать/вакансии")</f>
        <v>куда пойти в свободное время, культурные новинки (что почитать/что послушать), интервью с местными творческими личностями, новости про новые профессии/куда поступать/вакансии</v>
      </c>
      <c r="R733" s="6" t="str">
        <f>IFERROR(__xludf.DUMMYFUNCTION("""COMPUTED_VALUE"""),"День города")</f>
        <v>День города</v>
      </c>
      <c r="S733" s="6" t="str">
        <f>IFERROR(__xludf.DUMMYFUNCTION("""COMPUTED_VALUE"""),"Нет, не приходилось")</f>
        <v>Нет, не приходилось</v>
      </c>
      <c r="T733" s="6" t="str">
        <f>IFERROR(__xludf.DUMMYFUNCTION("""COMPUTED_VALUE"""),"ДК Шахтёров")</f>
        <v>ДК Шахтёров</v>
      </c>
      <c r="U733" s="6" t="str">
        <f>IFERROR(__xludf.DUMMYFUNCTION("""COMPUTED_VALUE"""),"Не знаю")</f>
        <v>Не знаю</v>
      </c>
      <c r="V733" s="6" t="str">
        <f>IFERROR(__xludf.DUMMYFUNCTION("""COMPUTED_VALUE"""),"Добыли уголь, построили шахты")</f>
        <v>Добыли уголь, построили шахты</v>
      </c>
      <c r="W733" s="6" t="str">
        <f>IFERROR(__xludf.DUMMYFUNCTION("""COMPUTED_VALUE"""),"Все разные, грубые и добрые, пьяницы и спортсмены, разнообразные")</f>
        <v>Все разные, грубые и добрые, пьяницы и спортсмены, разнообразные</v>
      </c>
      <c r="X733" s="6" t="str">
        <f>IFERROR(__xludf.DUMMYFUNCTION("""COMPUTED_VALUE"""),"Поход на крест")</f>
        <v>Поход на крест</v>
      </c>
      <c r="Y733" s="6" t="str">
        <f>IFERROR(__xludf.DUMMYFUNCTION("""COMPUTED_VALUE"""),"Затрудняюсь ответить")</f>
        <v>Затрудняюсь ответить</v>
      </c>
      <c r="Z733" s="6" t="str">
        <f>IFERROR(__xludf.DUMMYFUNCTION("""COMPUTED_VALUE"""),"Нет таких")</f>
        <v>Нет таких</v>
      </c>
      <c r="AA733" s="6" t="str">
        <f>IFERROR(__xludf.DUMMYFUNCTION("""COMPUTED_VALUE"""),"Инфкекция, вирусы, пожары, убийства")</f>
        <v>Инфкекция, вирусы, пожары, убийства</v>
      </c>
      <c r="AB733" s="6" t="str">
        <f>IFERROR(__xludf.DUMMYFUNCTION("""COMPUTED_VALUE"""),"Массовая уборка города, помощь для постройки детский площадок , там где они правда нужны")</f>
        <v>Массовая уборка города, помощь для постройки детский площадок , там где они правда нужны</v>
      </c>
      <c r="AC733" s="6" t="str">
        <f>IFERROR(__xludf.DUMMYFUNCTION("""COMPUTED_VALUE"""),"Побольше позитивных эмоций, конкурсы для детей и родителей, фестивали красок , огней. Дни без алкоголя .")</f>
        <v>Побольше позитивных эмоций, конкурсы для детей и родителей, фестивали красок , огней. Дни без алкоголя .</v>
      </c>
      <c r="AD733"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33" s="6" t="str">
        <f>IFERROR(__xludf.DUMMYFUNCTION("""COMPUTED_VALUE"""),"Женский")</f>
        <v>Женский</v>
      </c>
      <c r="AF733" s="6" t="str">
        <f>IFERROR(__xludf.DUMMYFUNCTION("""COMPUTED_VALUE"""),"18-29")</f>
        <v>18-29</v>
      </c>
      <c r="AG733" s="6"/>
      <c r="AH733" s="6"/>
      <c r="AI733" s="6"/>
      <c r="AJ733" s="6"/>
      <c r="AK733" s="6"/>
      <c r="AL733" s="6"/>
      <c r="AM733" s="6"/>
    </row>
    <row r="734">
      <c r="A734" s="6">
        <v>733.0</v>
      </c>
      <c r="B734" s="6" t="str">
        <f>IFERROR(__xludf.DUMMYFUNCTION("""COMPUTED_VALUE"""),"Работаю")</f>
        <v>Работаю</v>
      </c>
      <c r="C734" s="6" t="str">
        <f>IFERROR(__xludf.DUMMYFUNCTION("""COMPUTED_VALUE"""),"Да вязание, чтение")</f>
        <v>Да вязание, чтение</v>
      </c>
      <c r="D734" s="6" t="str">
        <f>IFERROR(__xludf.DUMMYFUNCTION("""COMPUTED_VALUE"""),"Кемерово ")</f>
        <v>Кемерово </v>
      </c>
      <c r="E734" s="6" t="str">
        <f>IFERROR(__xludf.DUMMYFUNCTION("""COMPUTED_VALUE"""),"Фонтан, аллея. Набережная, бульвар. Развлекательные центры")</f>
        <v>Фонтан, аллея. Набережная, бульвар. Развлекательные центры</v>
      </c>
      <c r="F734" s="6" t="str">
        <f>IFERROR(__xludf.DUMMYFUNCTION("""COMPUTED_VALUE"""),"Переехал из села")</f>
        <v>Переехал из села</v>
      </c>
      <c r="G734" s="6" t="str">
        <f>IFERROR(__xludf.DUMMYFUNCTION("""COMPUTED_VALUE"""),"Кино, парк")</f>
        <v>Кино, парк</v>
      </c>
      <c r="H734" s="6" t="str">
        <f>IFERROR(__xludf.DUMMYFUNCTION("""COMPUTED_VALUE"""),"Уголь, бор, обучение, культура, традиции ")</f>
        <v>Уголь, бор, обучение, культура, традиции </v>
      </c>
      <c r="I734" s="6" t="str">
        <f>IFERROR(__xludf.DUMMYFUNCTION("""COMPUTED_VALUE"""),"Михайло Волков. Аман Тулеев и многие писатели и учёные. ")</f>
        <v>Михайло Волков. Аман Тулеев и многие писатели и учёные. </v>
      </c>
      <c r="J734" s="6" t="str">
        <f>IFERROR(__xludf.DUMMYFUNCTION("""COMPUTED_VALUE"""),"Тулеев")</f>
        <v>Тулеев</v>
      </c>
      <c r="K734" s="6" t="str">
        <f>IFERROR(__xludf.DUMMYFUNCTION("""COMPUTED_VALUE"""),"Красная горка, Томская писаница ")</f>
        <v>Красная горка, Томская писаница </v>
      </c>
      <c r="L734" s="6" t="str">
        <f>IFERROR(__xludf.DUMMYFUNCTION("""COMPUTED_VALUE"""),"Кто в Кемерово живёт - тот самый мудрый народ. ")</f>
        <v>Кто в Кемерово живёт - тот самый мудрый народ. </v>
      </c>
      <c r="M734" s="6" t="str">
        <f>IFERROR(__xludf.DUMMYFUNCTION("""COMPUTED_VALUE"""),"Нет")</f>
        <v>Нет</v>
      </c>
      <c r="N734" s="6" t="str">
        <f>IFERROR(__xludf.DUMMYFUNCTION("""COMPUTED_VALUE"""),"Не знаю")</f>
        <v>Не знаю</v>
      </c>
      <c r="O734" s="6" t="str">
        <f>IFERROR(__xludf.DUMMYFUNCTION("""COMPUTED_VALUE"""),"Построить объездную дорогу, чтобы разгрузить от пробок. ")</f>
        <v>Построить объездную дорогу, чтобы разгрузить от пробок. </v>
      </c>
      <c r="P734" s="6" t="str">
        <f>IFERROR(__xludf.DUMMYFUNCTION("""COMPUTED_VALUE"""),"Новости ")</f>
        <v>Новости </v>
      </c>
      <c r="Q734"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734" s="6" t="str">
        <f>IFERROR(__xludf.DUMMYFUNCTION("""COMPUTED_VALUE"""),"День шахтера")</f>
        <v>День шахтера</v>
      </c>
      <c r="S734" s="6" t="str">
        <f>IFERROR(__xludf.DUMMYFUNCTION("""COMPUTED_VALUE"""),"Нет, не приходилось")</f>
        <v>Нет, не приходилось</v>
      </c>
      <c r="T734" s="6" t="str">
        <f>IFERROR(__xludf.DUMMYFUNCTION("""COMPUTED_VALUE"""),"Добычей угля. Лесом. ")</f>
        <v>Добычей угля. Лесом. </v>
      </c>
      <c r="U734" s="6" t="str">
        <f>IFERROR(__xludf.DUMMYFUNCTION("""COMPUTED_VALUE"""),"Набережная")</f>
        <v>Набережная</v>
      </c>
      <c r="V734" s="6" t="str">
        <f>IFERROR(__xludf.DUMMYFUNCTION("""COMPUTED_VALUE"""),"Очень многоим ")</f>
        <v>Очень многоим </v>
      </c>
      <c r="W734" s="6" t="str">
        <f>IFERROR(__xludf.DUMMYFUNCTION("""COMPUTED_VALUE"""),"Твёрдость характера, добротой души. Б")</f>
        <v>Твёрдость характера, добротой души. Б</v>
      </c>
      <c r="X734" s="6" t="str">
        <f>IFERROR(__xludf.DUMMYFUNCTION("""COMPUTED_VALUE"""),"Бор")</f>
        <v>Бор</v>
      </c>
      <c r="Y734" s="6" t="str">
        <f>IFERROR(__xludf.DUMMYFUNCTION("""COMPUTED_VALUE"""),"Нет")</f>
        <v>Нет</v>
      </c>
      <c r="Z734" s="6" t="str">
        <f>IFERROR(__xludf.DUMMYFUNCTION("""COMPUTED_VALUE"""),"Нет таких")</f>
        <v>Нет таких</v>
      </c>
      <c r="AA734" s="6" t="str">
        <f>IFERROR(__xludf.DUMMYFUNCTION("""COMPUTED_VALUE"""),"Нет")</f>
        <v>Нет</v>
      </c>
      <c r="AB734" s="6" t="str">
        <f>IFERROR(__xludf.DUMMYFUNCTION("""COMPUTED_VALUE"""),"Нет таких")</f>
        <v>Нет таких</v>
      </c>
      <c r="AC734" s="6" t="str">
        <f>IFERROR(__xludf.DUMMYFUNCTION("""COMPUTED_VALUE"""),"Улучшение демографии и экологии. ")</f>
        <v>Улучшение демографии и экологии. </v>
      </c>
      <c r="AD73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734" s="6" t="str">
        <f>IFERROR(__xludf.DUMMYFUNCTION("""COMPUTED_VALUE"""),"Женский")</f>
        <v>Женский</v>
      </c>
      <c r="AF734" s="6" t="str">
        <f>IFERROR(__xludf.DUMMYFUNCTION("""COMPUTED_VALUE"""),"30-44")</f>
        <v>30-44</v>
      </c>
      <c r="AG734" s="6"/>
      <c r="AH734" s="6"/>
      <c r="AI734" s="6"/>
      <c r="AJ734" s="6"/>
      <c r="AK734" s="6"/>
      <c r="AL734" s="6"/>
      <c r="AM734" s="6"/>
    </row>
    <row r="735">
      <c r="A735" s="6">
        <v>734.0</v>
      </c>
      <c r="B735" s="6" t="str">
        <f>IFERROR(__xludf.DUMMYFUNCTION("""COMPUTED_VALUE"""),"Студентка Куз.ГСХА зоотехнического факультета. Учусь, занимаюсь творчеством в студ.клубе")</f>
        <v>Студентка Куз.ГСХА зоотехнического факультета. Учусь, занимаюсь творчеством в студ.клубе</v>
      </c>
      <c r="C735" s="6" t="str">
        <f>IFERROR(__xludf.DUMMYFUNCTION("""COMPUTED_VALUE"""),"Да есть, пишу стихи, играю в бадминтон")</f>
        <v>Да есть, пишу стихи, играю в бадминтон</v>
      </c>
      <c r="D735" s="6" t="str">
        <f>IFERROR(__xludf.DUMMYFUNCTION("""COMPUTED_VALUE"""),"Живу в Ленинском районе, называю его Бульвар, так как проживаю на Бульваре Строителей.")</f>
        <v>Живу в Ленинском районе, называю его Бульвар, так как проживаю на Бульваре Строителей.</v>
      </c>
      <c r="E735" s="6" t="str">
        <f>IFERROR(__xludf.DUMMYFUNCTION("""COMPUTED_VALUE"""),"Бульвар- Строителей аллея, парк Веры Волошиной")</f>
        <v>Бульвар- Строителей аллея, парк Веры Волошиной</v>
      </c>
      <c r="F735" s="6" t="str">
        <f>IFERROR(__xludf.DUMMYFUNCTION("""COMPUTED_VALUE"""),"Приехала сюда на учебу")</f>
        <v>Приехала сюда на учебу</v>
      </c>
      <c r="G735" s="6" t="str">
        <f>IFERROR(__xludf.DUMMYFUNCTION("""COMPUTED_VALUE"""),"Парк Веры Волошиной, аграрный парк")</f>
        <v>Парк Веры Волошиной, аграрный парк</v>
      </c>
      <c r="H735" s="6" t="str">
        <f>IFERROR(__xludf.DUMMYFUNCTION("""COMPUTED_VALUE"""),"Шахтеры, уголь, дорога, Сити город, Волков")</f>
        <v>Шахтеры, уголь, дорога, Сити город, Волков</v>
      </c>
      <c r="I735" s="6" t="str">
        <f>IFERROR(__xludf.DUMMYFUNCTION("""COMPUTED_VALUE"""),"Михайло Волков, Тулеев")</f>
        <v>Михайло Волков, Тулеев</v>
      </c>
      <c r="J735" s="6" t="str">
        <f>IFERROR(__xludf.DUMMYFUNCTION("""COMPUTED_VALUE"""),"Цевелев, Ижмулкина Е.А")</f>
        <v>Цевелев, Ижмулкина Е.А</v>
      </c>
      <c r="K735" s="6" t="str">
        <f>IFERROR(__xludf.DUMMYFUNCTION("""COMPUTED_VALUE"""),"Я сама еще мало ориентируюсь")</f>
        <v>Я сама еще мало ориентируюсь</v>
      </c>
      <c r="L735" s="6" t="str">
        <f>IFERROR(__xludf.DUMMYFUNCTION("""COMPUTED_VALUE"""),"Что посеешь- то и можмешь")</f>
        <v>Что посеешь- то и можмешь</v>
      </c>
      <c r="M735" s="6" t="str">
        <f>IFERROR(__xludf.DUMMYFUNCTION("""COMPUTED_VALUE"""),"Нет")</f>
        <v>Нет</v>
      </c>
      <c r="N735" s="6" t="str">
        <f>IFERROR(__xludf.DUMMYFUNCTION("""COMPUTED_VALUE"""),"Много автобусов, фермерские продукты, хорошее место учебы")</f>
        <v>Много автобусов, фермерские продукты, хорошее место учебы</v>
      </c>
      <c r="O735" s="6" t="str">
        <f>IFERROR(__xludf.DUMMYFUNCTION("""COMPUTED_VALUE"""),"Исправить экологическую проблему")</f>
        <v>Исправить экологическую проблему</v>
      </c>
      <c r="P735" s="6" t="str">
        <f>IFERROR(__xludf.DUMMYFUNCTION("""COMPUTED_VALUE"""),"Новости с инстаграмма, вк, ТВ")</f>
        <v>Новости с инстаграмма, вк, ТВ</v>
      </c>
      <c r="Q735"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новости про новые профессии/куда поступать/вакансии, бизнес-новости (средний чек/рекламные а"&amp;"кции/запуск новых предприятий)")</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v>
      </c>
      <c r="R735" s="6" t="str">
        <f>IFERROR(__xludf.DUMMYFUNCTION("""COMPUTED_VALUE"""),"Масленница, день города, Новый год")</f>
        <v>Масленница, день города, Новый год</v>
      </c>
      <c r="S735"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735" s="6" t="str">
        <f>IFERROR(__xludf.DUMMYFUNCTION("""COMPUTED_VALUE"""),"Добыча угля, новые инновационные технологии в сельском хозяйстве")</f>
        <v>Добыча угля, новые инновационные технологии в сельском хозяйстве</v>
      </c>
      <c r="U735" s="6" t="str">
        <f>IFERROR(__xludf.DUMMYFUNCTION("""COMPUTED_VALUE"""),"Набережная")</f>
        <v>Набережная</v>
      </c>
      <c r="V735" s="6" t="str">
        <f>IFERROR(__xludf.DUMMYFUNCTION("""COMPUTED_VALUE"""),"Строительство заводов, добыча угля, нефти")</f>
        <v>Строительство заводов, добыча угля, нефти</v>
      </c>
      <c r="W735" s="6" t="str">
        <f>IFERROR(__xludf.DUMMYFUNCTION("""COMPUTED_VALUE"""),"Кемеровчане это честные добрые люди которые знают свое дело, это трудолюбивые рабочие кузбассовцы")</f>
        <v>Кемеровчане это честные добрые люди которые знают свое дело, это трудолюбивые рабочие кузбассовцы</v>
      </c>
      <c r="X735" s="6" t="str">
        <f>IFERROR(__xludf.DUMMYFUNCTION("""COMPUTED_VALUE"""),"Бульвар-строителей")</f>
        <v>Бульвар-строителей</v>
      </c>
      <c r="Y735" s="6" t="str">
        <f>IFERROR(__xludf.DUMMYFUNCTION("""COMPUTED_VALUE"""),"Кузбассу 300 лет")</f>
        <v>Кузбассу 300 лет</v>
      </c>
      <c r="Z735" s="6" t="str">
        <f>IFERROR(__xludf.DUMMYFUNCTION("""COMPUTED_VALUE"""),"Я живу здесь всего 6 месяцев, мне еще ничего не запомнилось")</f>
        <v>Я живу здесь всего 6 месяцев, мне еще ничего не запомнилось</v>
      </c>
      <c r="AA735" s="6" t="str">
        <f>IFERROR(__xludf.DUMMYFUNCTION("""COMPUTED_VALUE"""),"Химический завод ( экологическая проблема)")</f>
        <v>Химический завод ( экологическая проблема)</v>
      </c>
      <c r="AB735" s="6" t="str">
        <f>IFERROR(__xludf.DUMMYFUNCTION("""COMPUTED_VALUE"""),"Не хватает какого то спортивного движения")</f>
        <v>Не хватает какого то спортивного движения</v>
      </c>
      <c r="AC735" s="6" t="str">
        <f>IFERROR(__xludf.DUMMYFUNCTION("""COMPUTED_VALUE"""),"Спортивное движения, какие то арт мероприятия")</f>
        <v>Спортивное движения, какие то арт мероприятия</v>
      </c>
      <c r="AD73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35" s="6" t="str">
        <f>IFERROR(__xludf.DUMMYFUNCTION("""COMPUTED_VALUE"""),"Женский")</f>
        <v>Женский</v>
      </c>
      <c r="AF735" s="6" t="str">
        <f>IFERROR(__xludf.DUMMYFUNCTION("""COMPUTED_VALUE"""),"18-29")</f>
        <v>18-29</v>
      </c>
      <c r="AG735" s="6"/>
      <c r="AH735" s="6"/>
      <c r="AI735" s="6"/>
      <c r="AJ735" s="6"/>
      <c r="AK735" s="6"/>
      <c r="AL735" s="6"/>
      <c r="AM735" s="6"/>
    </row>
    <row r="736">
      <c r="A736" s="6">
        <v>735.0</v>
      </c>
      <c r="B736" s="6" t="str">
        <f>IFERROR(__xludf.DUMMYFUNCTION("""COMPUTED_VALUE"""),"студент")</f>
        <v>студент</v>
      </c>
      <c r="C736" s="6" t="str">
        <f>IFERROR(__xludf.DUMMYFUNCTION("""COMPUTED_VALUE"""),"легкая атлетика")</f>
        <v>легкая атлетика</v>
      </c>
      <c r="D736" s="6" t="str">
        <f>IFERROR(__xludf.DUMMYFUNCTION("""COMPUTED_VALUE"""),"Ленинский")</f>
        <v>Ленинский</v>
      </c>
      <c r="E736" s="6" t="str">
        <f>IFERROR(__xludf.DUMMYFUNCTION("""COMPUTED_VALUE"""),"Бульвар Строителей")</f>
        <v>Бульвар Строителей</v>
      </c>
      <c r="F736" s="6" t="str">
        <f>IFERROR(__xludf.DUMMYFUNCTION("""COMPUTED_VALUE"""),"Переехал сюда из другого места (откуда? укажите в графе другое), Республика Тыва г.Кызыл")</f>
        <v>Переехал сюда из другого места (откуда? укажите в графе другое), Республика Тыва г.Кызыл</v>
      </c>
      <c r="G736" s="6" t="str">
        <f>IFERROR(__xludf.DUMMYFUNCTION("""COMPUTED_VALUE"""),"Парк Ангелов")</f>
        <v>Парк Ангелов</v>
      </c>
      <c r="H736" s="6" t="str">
        <f>IFERROR(__xludf.DUMMYFUNCTION("""COMPUTED_VALUE"""),"Шахтеры, уголь, природа, музеи, томская писаница")</f>
        <v>Шахтеры, уголь, природа, музеи, томская писаница</v>
      </c>
      <c r="I736" s="6" t="str">
        <f>IFERROR(__xludf.DUMMYFUNCTION("""COMPUTED_VALUE"""),"Волков, Леонов")</f>
        <v>Волков, Леонов</v>
      </c>
      <c r="J736" s="6" t="str">
        <f>IFERROR(__xludf.DUMMYFUNCTION("""COMPUTED_VALUE"""),"Елена Малышева")</f>
        <v>Елена Малышева</v>
      </c>
      <c r="K736" s="6" t="str">
        <f>IFERROR(__xludf.DUMMYFUNCTION("""COMPUTED_VALUE"""),"Памятник шахтерам, красная Горка, площадь советов")</f>
        <v>Памятник шахтерам, красная Горка, площадь советов</v>
      </c>
      <c r="L736" s="6" t="str">
        <f>IFERROR(__xludf.DUMMYFUNCTION("""COMPUTED_VALUE"""),"Работа не волк - в лес не убежит")</f>
        <v>Работа не волк - в лес не убежит</v>
      </c>
      <c r="M736" s="6" t="str">
        <f>IFERROR(__xludf.DUMMYFUNCTION("""COMPUTED_VALUE"""),"Сити, Кем")</f>
        <v>Сити, Кем</v>
      </c>
      <c r="N736" s="6" t="str">
        <f>IFERROR(__xludf.DUMMYFUNCTION("""COMPUTED_VALUE"""),"все расположено близко")</f>
        <v>все расположено близко</v>
      </c>
      <c r="O736" s="6" t="str">
        <f>IFERROR(__xludf.DUMMYFUNCTION("""COMPUTED_VALUE"""),"дороги")</f>
        <v>дороги</v>
      </c>
      <c r="P736" s="6" t="str">
        <f>IFERROR(__xludf.DUMMYFUNCTION("""COMPUTED_VALUE"""),"Вк ")</f>
        <v>Вк </v>
      </c>
      <c r="Q736" s="6" t="str">
        <f>IFERROR(__xludf.DUMMYFUNCTION("""COMPUTED_VALUE"""),"городская афиша (кино/театр/концерты), культурные новинки (что почитать/что послушать), криминальные новости (происшествия/преступления)")</f>
        <v>городская афиша (кино/театр/концерты), культурные новинки (что почитать/что послушать), криминальные новости (происшествия/преступления)</v>
      </c>
      <c r="R736" s="6" t="str">
        <f>IFERROR(__xludf.DUMMYFUNCTION("""COMPUTED_VALUE"""),"День рождения близких, Рождество, Пасха")</f>
        <v>День рождения близких, Рождество, Пасха</v>
      </c>
      <c r="S736" s="6" t="str">
        <f>IFERROR(__xludf.DUMMYFUNCTION("""COMPUTED_VALUE"""),"Нет, не приходилось")</f>
        <v>Нет, не приходилось</v>
      </c>
      <c r="T736" s="6" t="str">
        <f>IFERROR(__xludf.DUMMYFUNCTION("""COMPUTED_VALUE"""),"уголь, гостиница Крисстал")</f>
        <v>уголь, гостиница Крисстал</v>
      </c>
      <c r="U736" s="6" t="str">
        <f>IFERROR(__xludf.DUMMYFUNCTION("""COMPUTED_VALUE"""),"Кузбасс ул.Волкова")</f>
        <v>Кузбасс ул.Волкова</v>
      </c>
      <c r="V736" s="6" t="str">
        <f>IFERROR(__xludf.DUMMYFUNCTION("""COMPUTED_VALUE"""),"Михаил Волков, Тулеевич ")</f>
        <v>Михаил Волков, Тулеевич </v>
      </c>
      <c r="W736" s="6" t="str">
        <f>IFERROR(__xludf.DUMMYFUNCTION("""COMPUTED_VALUE"""),"Добрые, порядочные")</f>
        <v>Добрые, порядочные</v>
      </c>
      <c r="X736" s="6" t="str">
        <f>IFERROR(__xludf.DUMMYFUNCTION("""COMPUTED_VALUE"""),"Ленина")</f>
        <v>Ленина</v>
      </c>
      <c r="Y736" s="6" t="str">
        <f>IFERROR(__xludf.DUMMYFUNCTION("""COMPUTED_VALUE"""),"Парад на площади Советов")</f>
        <v>Парад на площади Советов</v>
      </c>
      <c r="Z736" s="6" t="str">
        <f>IFERROR(__xludf.DUMMYFUNCTION("""COMPUTED_VALUE"""),"не знаю")</f>
        <v>не знаю</v>
      </c>
      <c r="AA736" s="6" t="str">
        <f>IFERROR(__xludf.DUMMYFUNCTION("""COMPUTED_VALUE"""),"не было")</f>
        <v>не было</v>
      </c>
      <c r="AB736" s="6" t="str">
        <f>IFERROR(__xludf.DUMMYFUNCTION("""COMPUTED_VALUE"""),"Аква парков")</f>
        <v>Аква парков</v>
      </c>
      <c r="AC736" s="6" t="str">
        <f>IFERROR(__xludf.DUMMYFUNCTION("""COMPUTED_VALUE"""),"день в честь 1 губернатора ")</f>
        <v>день в честь 1 губернатора </v>
      </c>
      <c r="AD73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36" s="6" t="str">
        <f>IFERROR(__xludf.DUMMYFUNCTION("""COMPUTED_VALUE"""),"Женский")</f>
        <v>Женский</v>
      </c>
      <c r="AF736" s="6" t="str">
        <f>IFERROR(__xludf.DUMMYFUNCTION("""COMPUTED_VALUE"""),"18-29")</f>
        <v>18-29</v>
      </c>
      <c r="AG736" s="6"/>
      <c r="AH736" s="6"/>
      <c r="AI736" s="6"/>
      <c r="AJ736" s="6"/>
      <c r="AK736" s="6"/>
      <c r="AL736" s="6"/>
      <c r="AM736" s="6"/>
    </row>
    <row r="737">
      <c r="A737" s="6">
        <v>736.0</v>
      </c>
      <c r="B737" s="6" t="str">
        <f>IFERROR(__xludf.DUMMYFUNCTION("""COMPUTED_VALUE"""),"студент")</f>
        <v>студент</v>
      </c>
      <c r="C737" s="6" t="str">
        <f>IFERROR(__xludf.DUMMYFUNCTION("""COMPUTED_VALUE"""),"Нет")</f>
        <v>Нет</v>
      </c>
      <c r="D737" s="6" t="str">
        <f>IFERROR(__xludf.DUMMYFUNCTION("""COMPUTED_VALUE"""),"Ленинский район")</f>
        <v>Ленинский район</v>
      </c>
      <c r="E737" s="6" t="str">
        <f>IFERROR(__xludf.DUMMYFUNCTION("""COMPUTED_VALUE"""),"Бульвар строителей ")</f>
        <v>Бульвар строителей </v>
      </c>
      <c r="F737"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737" s="6" t="str">
        <f>IFERROR(__xludf.DUMMYFUNCTION("""COMPUTED_VALUE"""),"В парк ангелов , парк чудес, городской сад")</f>
        <v>В парк ангелов , парк чудес, городской сад</v>
      </c>
      <c r="H737" s="6" t="str">
        <f>IFERROR(__xludf.DUMMYFUNCTION("""COMPUTED_VALUE"""),"Шахтеры, уголь, природа, музеи, томская писаница")</f>
        <v>Шахтеры, уголь, природа, музеи, томская писаница</v>
      </c>
      <c r="I737" s="6" t="str">
        <f>IFERROR(__xludf.DUMMYFUNCTION("""COMPUTED_VALUE"""),"Волков, Леонов")</f>
        <v>Волков, Леонов</v>
      </c>
      <c r="J737" s="6" t="str">
        <f>IFERROR(__xludf.DUMMYFUNCTION("""COMPUTED_VALUE"""),"Елена Малышева ")</f>
        <v>Елена Малышева </v>
      </c>
      <c r="K737" s="6" t="str">
        <f>IFERROR(__xludf.DUMMYFUNCTION("""COMPUTED_VALUE"""),"Памятник шахтерам, красная Горка, площадь советов ")</f>
        <v>Памятник шахтерам, красная Горка, площадь советов </v>
      </c>
      <c r="L737" s="6" t="str">
        <f>IFERROR(__xludf.DUMMYFUNCTION("""COMPUTED_VALUE"""),"Работа не волк-в лес не убежит")</f>
        <v>Работа не волк-в лес не убежит</v>
      </c>
      <c r="M737" s="6" t="str">
        <f>IFERROR(__xludf.DUMMYFUNCTION("""COMPUTED_VALUE"""),"Нет")</f>
        <v>Нет</v>
      </c>
      <c r="N737" s="6" t="str">
        <f>IFERROR(__xludf.DUMMYFUNCTION("""COMPUTED_VALUE"""),"Отсутствие мусора , близость инфраструктуры, новая техника, хорошая дорога ")</f>
        <v>Отсутствие мусора , близость инфраструктуры, новая техника, хорошая дорога </v>
      </c>
      <c r="O737" s="6" t="str">
        <f>IFERROR(__xludf.DUMMYFUNCTION("""COMPUTED_VALUE"""),"Дороги ")</f>
        <v>Дороги </v>
      </c>
      <c r="P737" s="6" t="str">
        <f>IFERROR(__xludf.DUMMYFUNCTION("""COMPUTED_VALUE"""),"Интернет")</f>
        <v>Интернет</v>
      </c>
      <c r="Q737"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v>
      </c>
      <c r="R737" s="6" t="str">
        <f>IFERROR(__xludf.DUMMYFUNCTION("""COMPUTED_VALUE"""),"День города, день молодежи")</f>
        <v>День города, день молодежи</v>
      </c>
      <c r="S737" s="6" t="str">
        <f>IFERROR(__xludf.DUMMYFUNCTION("""COMPUTED_VALUE"""),"Нет, не приходилось")</f>
        <v>Нет, не приходилось</v>
      </c>
      <c r="T737" s="6" t="str">
        <f>IFERROR(__xludf.DUMMYFUNCTION("""COMPUTED_VALUE"""),"Самая высокая церковь, углем")</f>
        <v>Самая высокая церковь, углем</v>
      </c>
      <c r="U737" s="6" t="str">
        <f>IFERROR(__xludf.DUMMYFUNCTION("""COMPUTED_VALUE"""),"Памятник шахтерам Кузбасса ")</f>
        <v>Памятник шахтерам Кузбасса </v>
      </c>
      <c r="V737" s="6" t="str">
        <f>IFERROR(__xludf.DUMMYFUNCTION("""COMPUTED_VALUE"""),"Благоустроили парки , возвели памятники и мемориалы ")</f>
        <v>Благоустроили парки , возвели памятники и мемориалы </v>
      </c>
      <c r="W737" s="6" t="str">
        <f>IFERROR(__xludf.DUMMYFUNCTION("""COMPUTED_VALUE"""),"Добрые, отзывчивые ")</f>
        <v>Добрые, отзывчивые </v>
      </c>
      <c r="X737" s="6" t="str">
        <f>IFERROR(__xludf.DUMMYFUNCTION("""COMPUTED_VALUE"""),"Начиная с горсада и по всей набережной заканчивая на площади советов ")</f>
        <v>Начиная с горсада и по всей набережной заканчивая на площади советов </v>
      </c>
      <c r="Y737" s="6" t="str">
        <f>IFERROR(__xludf.DUMMYFUNCTION("""COMPUTED_VALUE"""),"Парад на площади советов ")</f>
        <v>Парад на площади советов </v>
      </c>
      <c r="Z737" s="6" t="str">
        <f>IFERROR(__xludf.DUMMYFUNCTION("""COMPUTED_VALUE"""),"100 летие города Кемерово")</f>
        <v>100 летие города Кемерово</v>
      </c>
      <c r="AA737" s="6" t="str">
        <f>IFERROR(__xludf.DUMMYFUNCTION("""COMPUTED_VALUE"""),"Пожар в зимней вишни")</f>
        <v>Пожар в зимней вишни</v>
      </c>
      <c r="AB737" s="6" t="str">
        <f>IFERROR(__xludf.DUMMYFUNCTION("""COMPUTED_VALUE"""),"Криминал Кемерово")</f>
        <v>Криминал Кемерово</v>
      </c>
      <c r="AC737" s="6" t="str">
        <f>IFERROR(__xludf.DUMMYFUNCTION("""COMPUTED_VALUE"""),"Всего хватает")</f>
        <v>Всего хватает</v>
      </c>
      <c r="AD73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37" s="6" t="str">
        <f>IFERROR(__xludf.DUMMYFUNCTION("""COMPUTED_VALUE"""),"Женский")</f>
        <v>Женский</v>
      </c>
      <c r="AF737" s="6" t="str">
        <f>IFERROR(__xludf.DUMMYFUNCTION("""COMPUTED_VALUE"""),"18-29")</f>
        <v>18-29</v>
      </c>
      <c r="AG737" s="6"/>
      <c r="AH737" s="6"/>
      <c r="AI737" s="6"/>
      <c r="AJ737" s="6"/>
      <c r="AK737" s="6"/>
      <c r="AL737" s="6"/>
      <c r="AM737" s="6"/>
    </row>
    <row r="738">
      <c r="A738" s="6">
        <v>737.0</v>
      </c>
      <c r="B738" s="6" t="str">
        <f>IFERROR(__xludf.DUMMYFUNCTION("""COMPUTED_VALUE"""),"Аналитик СМИ")</f>
        <v>Аналитик СМИ</v>
      </c>
      <c r="C738" s="6" t="str">
        <f>IFERROR(__xludf.DUMMYFUNCTION("""COMPUTED_VALUE"""),"Ирландские танцы, горные походы, сплавы на каяках")</f>
        <v>Ирландские танцы, горные походы, сплавы на каяках</v>
      </c>
      <c r="D738" s="6" t="str">
        <f>IFERROR(__xludf.DUMMYFUNCTION("""COMPUTED_VALUE"""),"Кемерово-сити")</f>
        <v>Кемерово-сити</v>
      </c>
      <c r="E738" s="6" t="str">
        <f>IFERROR(__xludf.DUMMYFUNCTION("""COMPUTED_VALUE"""),"выход к реке Томь")</f>
        <v>выход к реке Томь</v>
      </c>
      <c r="F738" s="6" t="str">
        <f>IFERROR(__xludf.DUMMYFUNCTION("""COMPUTED_VALUE"""),"Переехал сюда из другого места (откуда? укажите в графе другое), г. Мариинск")</f>
        <v>Переехал сюда из другого места (откуда? укажите в графе другое), г. Мариинск</v>
      </c>
      <c r="G738" s="6" t="str">
        <f>IFERROR(__xludf.DUMMYFUNCTION("""COMPUTED_VALUE"""),"Рудничный бор, ул. Весенняя, пл. Пушкина, гора ""с крестом""")</f>
        <v>Рудничный бор, ул. Весенняя, пл. Пушкина, гора "с крестом"</v>
      </c>
      <c r="H738" s="6" t="str">
        <f>IFERROR(__xludf.DUMMYFUNCTION("""COMPUTED_VALUE"""),"трубы, огонь, мост, друзья, панельки")</f>
        <v>трубы, огонь, мост, друзья, панельки</v>
      </c>
      <c r="I738" s="6" t="str">
        <f>IFERROR(__xludf.DUMMYFUNCTION("""COMPUTED_VALUE"""),"Михайло Волков, Макс Уколов")</f>
        <v>Михайло Волков, Макс Уколов</v>
      </c>
      <c r="J738" s="6" t="str">
        <f>IFERROR(__xludf.DUMMYFUNCTION("""COMPUTED_VALUE"""),"Лариса Лапина, Александр Маричев, Глеб Успенский, Алексей Левин")</f>
        <v>Лариса Лапина, Александр Маричев, Глеб Успенский, Алексей Левин</v>
      </c>
      <c r="K738" s="6" t="str">
        <f>IFERROR(__xludf.DUMMYFUNCTION("""COMPUTED_VALUE"""),"Парк Космонавтики с памятником ""со шлемом"", но его снесли, увы")</f>
        <v>Парк Космонавтики с памятником "со шлемом", но его снесли, увы</v>
      </c>
      <c r="L738" s="6" t="str">
        <f>IFERROR(__xludf.DUMMYFUNCTION("""COMPUTED_VALUE"""),"не знаю")</f>
        <v>не знаю</v>
      </c>
      <c r="M738" s="6" t="str">
        <f>IFERROR(__xludf.DUMMYFUNCTION("""COMPUTED_VALUE"""),"только по-сибирски: пимы (валенки), мультифора (файл)")</f>
        <v>только по-сибирски: пимы (валенки), мультифора (файл)</v>
      </c>
      <c r="N738" s="6" t="str">
        <f>IFERROR(__xludf.DUMMYFUNCTION("""COMPUTED_VALUE"""),"Зеленые насаждения, парки со спортивной и развлекательной инфраструктурой в каждом районе города, транспортная доступность всех районов, пешеходные маршруты (улицы), инфраструктура для велосипедистов")</f>
        <v>Зеленые насаждения, парки со спортивной и развлекательной инфраструктурой в каждом районе города, транспортная доступность всех районов, пешеходные маршруты (улицы), инфраструктура для велосипедистов</v>
      </c>
      <c r="O738" s="6" t="str">
        <f>IFERROR(__xludf.DUMMYFUNCTION("""COMPUTED_VALUE"""),"Отношение к пешеходам и велосипедистам (сузить проезжие части, запретить стихийную парковку), добавить деревьев и зелени")</f>
        <v>Отношение к пешеходам и велосипедистам (сузить проезжие части, запретить стихийную парковку), добавить деревьев и зелени</v>
      </c>
      <c r="P738" s="6" t="str">
        <f>IFERROR(__xludf.DUMMYFUNCTION("""COMPUTED_VALUE"""),"от друзей и из инстаграм")</f>
        <v>от друзей и из инстаграм</v>
      </c>
      <c r="Q73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v>
      </c>
      <c r="R738" s="6" t="str">
        <f>IFERROR(__xludf.DUMMYFUNCTION("""COMPUTED_VALUE"""),"Иван Купала")</f>
        <v>Иван Купала</v>
      </c>
      <c r="S738" s="6" t="str">
        <f>IFERROR(__xludf.DUMMYFUNCTION("""COMPUTED_VALUE"""),"Обращался в редакции электронных городских СМИ")</f>
        <v>Обращался в редакции электронных городских СМИ</v>
      </c>
      <c r="T738" s="6" t="str">
        <f>IFERROR(__xludf.DUMMYFUNCTION("""COMPUTED_VALUE"""),"Кроме песни Аквариума ""Человек из Кемерова"" ничего на ум не приходит")</f>
        <v>Кроме песни Аквариума "Человек из Кемерова" ничего на ум не приходит</v>
      </c>
      <c r="U738" s="6" t="str">
        <f>IFERROR(__xludf.DUMMYFUNCTION("""COMPUTED_VALUE"""),"ул. Весенняя")</f>
        <v>ул. Весенняя</v>
      </c>
      <c r="V738" s="6" t="str">
        <f>IFERROR(__xludf.DUMMYFUNCTION("""COMPUTED_VALUE"""),"Ничего")</f>
        <v>Ничего</v>
      </c>
      <c r="W738" s="6" t="str">
        <f>IFERROR(__xludf.DUMMYFUNCTION("""COMPUTED_VALUE"""),"Не могу выделить особенных качеств")</f>
        <v>Не могу выделить особенных качеств</v>
      </c>
      <c r="X738" s="6" t="str">
        <f>IFERROR(__xludf.DUMMYFUNCTION("""COMPUTED_VALUE"""),"Из центра (Весенняя, драматический театр, Советский проспект) по Кирова по горсада, по Островского на Набережную, на Кузнецкий мост и на гору")</f>
        <v>Из центра (Весенняя, драматический театр, Советский проспект) по Кирова по горсада, по Островского на Набережную, на Кузнецкий мост и на гору</v>
      </c>
      <c r="Y738" s="6" t="str">
        <f>IFERROR(__xludf.DUMMYFUNCTION("""COMPUTED_VALUE"""),"Уличные театральные фестивали с шествиями, фестивали ""Детализация"". Все эти события уже в прошлом, больше не проводятся")</f>
        <v>Уличные театральные фестивали с шествиями, фестивали "Детализация". Все эти события уже в прошлом, больше не проводятся</v>
      </c>
      <c r="Z738" s="6" t="str">
        <f>IFERROR(__xludf.DUMMYFUNCTION("""COMPUTED_VALUE"""),"Концерт по случаю дня рождения СтройСервиса")</f>
        <v>Концерт по случаю дня рождения СтройСервиса</v>
      </c>
      <c r="AA738" s="6" t="str">
        <f>IFERROR(__xludf.DUMMYFUNCTION("""COMPUTED_VALUE"""),"Убийство, которое проигнорировали сотрудники полиции, пожар в Зимней Вишне, городской депутат, который швырялся в женщину телефоном, установка камер ""Дозора"" без согласия жильцов домов, памятник Святой Варваре в бору, задолженности по зарплате специалис"&amp;"там, приехавшим строить пресловутый культурный кластер, закрытие бассейна, елка на площади Советов")</f>
        <v>Убийство, которое проигнорировали сотрудники полиции, пожар в Зимней Вишне, городской депутат, который швырялся в женщину телефоном, установка камер "Дозора" без согласия жильцов домов, памятник Святой Варваре в бору, задолженности по зарплате специалистам, приехавшим строить пресловутый культурный кластер, закрытие бассейна, елка на площади Советов</v>
      </c>
      <c r="AB738" s="6" t="str">
        <f>IFERROR(__xludf.DUMMYFUNCTION("""COMPUTED_VALUE"""),"Сообщества путешественников, изучающих новые, труднодоступные места; сообщества по озеленению территории")</f>
        <v>Сообщества путешественников, изучающих новые, труднодоступные места; сообщества по озеленению территории</v>
      </c>
      <c r="AC738" s="6" t="str">
        <f>IFERROR(__xludf.DUMMYFUNCTION("""COMPUTED_VALUE"""),"уличные фестивали (музыка, танцы, театр, еда, напитки, декоротивно-прикладное творчество), массовые велопробеги, массовые мероприятия по озеленению города")</f>
        <v>уличные фестивали (музыка, танцы, театр, еда, напитки, декоротивно-прикладное творчество), массовые велопробеги, массовые мероприятия по озеленению города</v>
      </c>
      <c r="AD73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38" s="6" t="str">
        <f>IFERROR(__xludf.DUMMYFUNCTION("""COMPUTED_VALUE"""),"Женский")</f>
        <v>Женский</v>
      </c>
      <c r="AF738" s="6" t="str">
        <f>IFERROR(__xludf.DUMMYFUNCTION("""COMPUTED_VALUE"""),"30-44")</f>
        <v>30-44</v>
      </c>
      <c r="AG738" s="6"/>
      <c r="AH738" s="6"/>
      <c r="AI738" s="6"/>
      <c r="AJ738" s="6"/>
      <c r="AK738" s="6"/>
      <c r="AL738" s="6"/>
      <c r="AM738" s="6"/>
    </row>
    <row r="739">
      <c r="A739" s="6">
        <v>738.0</v>
      </c>
      <c r="B739" s="6" t="str">
        <f>IFERROR(__xludf.DUMMYFUNCTION("""COMPUTED_VALUE"""),"Студент")</f>
        <v>Студент</v>
      </c>
      <c r="C739" s="6" t="str">
        <f>IFERROR(__xludf.DUMMYFUNCTION("""COMPUTED_VALUE"""),"Легка атлетика ")</f>
        <v>Легка атлетика </v>
      </c>
      <c r="D739" s="6" t="str">
        <f>IFERROR(__xludf.DUMMYFUNCTION("""COMPUTED_VALUE"""),"Ленинский")</f>
        <v>Ленинский</v>
      </c>
      <c r="E739" s="6" t="str">
        <f>IFERROR(__xludf.DUMMYFUNCTION("""COMPUTED_VALUE"""),"Бульвар строителей ")</f>
        <v>Бульвар строителей </v>
      </c>
      <c r="F739" s="6" t="str">
        <f>IFERROR(__xludf.DUMMYFUNCTION("""COMPUTED_VALUE"""),"Не живу,но приезжаю сюда (к родственникам/друзьям), Учиться ")</f>
        <v>Не живу,но приезжаю сюда (к родственникам/друзьям), Учиться </v>
      </c>
      <c r="G739" s="6" t="str">
        <f>IFERROR(__xludf.DUMMYFUNCTION("""COMPUTED_VALUE"""),"В парк ангелов ")</f>
        <v>В парк ангелов </v>
      </c>
      <c r="H739" s="6" t="str">
        <f>IFERROR(__xludf.DUMMYFUNCTION("""COMPUTED_VALUE"""),"Уголь, шахтеры, природа, музей, парк")</f>
        <v>Уголь, шахтеры, природа, музей, парк</v>
      </c>
      <c r="I739" s="6" t="str">
        <f>IFERROR(__xludf.DUMMYFUNCTION("""COMPUTED_VALUE"""),"Волков")</f>
        <v>Волков</v>
      </c>
      <c r="J739" s="6" t="str">
        <f>IFERROR(__xludf.DUMMYFUNCTION("""COMPUTED_VALUE"""),"Елена Малышева")</f>
        <v>Елена Малышева</v>
      </c>
      <c r="K739" s="6" t="str">
        <f>IFERROR(__xludf.DUMMYFUNCTION("""COMPUTED_VALUE"""),"Красная горка, памятник шахтера ")</f>
        <v>Красная горка, памятник шахтера </v>
      </c>
      <c r="L739" s="6" t="str">
        <f>IFERROR(__xludf.DUMMYFUNCTION("""COMPUTED_VALUE"""),"Тот прав, у кого больше прав")</f>
        <v>Тот прав, у кого больше прав</v>
      </c>
      <c r="M739" s="6" t="str">
        <f>IFERROR(__xludf.DUMMYFUNCTION("""COMPUTED_VALUE"""),"Нет")</f>
        <v>Нет</v>
      </c>
      <c r="N739" s="6" t="str">
        <f>IFERROR(__xludf.DUMMYFUNCTION("""COMPUTED_VALUE"""),"Чистый воздух, чистота,близко магазин, хорошая дорога")</f>
        <v>Чистый воздух, чистота,близко магазин, хорошая дорога</v>
      </c>
      <c r="O739" s="6" t="str">
        <f>IFERROR(__xludf.DUMMYFUNCTION("""COMPUTED_VALUE"""),"Дороги")</f>
        <v>Дороги</v>
      </c>
      <c r="P739" s="6" t="str">
        <f>IFERROR(__xludf.DUMMYFUNCTION("""COMPUTED_VALUE"""),"От друзей")</f>
        <v>От друзей</v>
      </c>
      <c r="Q739" s="6" t="str">
        <f>IFERROR(__xludf.DUMMYFUNCTION("""COMPUTED_VALUE"""),"куда пойти в свободное время, криминальные новости (происшествия/преступления), новости про новые профессии/куда поступать/вакансии")</f>
        <v>куда пойти в свободное время, криминальные новости (происшествия/преступления), новости про новые профессии/куда поступать/вакансии</v>
      </c>
      <c r="R739" s="6" t="str">
        <f>IFERROR(__xludf.DUMMYFUNCTION("""COMPUTED_VALUE"""),"День города")</f>
        <v>День города</v>
      </c>
      <c r="S739" s="6" t="str">
        <f>IFERROR(__xludf.DUMMYFUNCTION("""COMPUTED_VALUE"""),"Нет, не приходилось")</f>
        <v>Нет, не приходилось</v>
      </c>
      <c r="T739" s="6" t="str">
        <f>IFERROR(__xludf.DUMMYFUNCTION("""COMPUTED_VALUE"""),"Самая высокая церковь, углём")</f>
        <v>Самая высокая церковь, углём</v>
      </c>
      <c r="U739" s="6" t="str">
        <f>IFERROR(__xludf.DUMMYFUNCTION("""COMPUTED_VALUE"""),"Памятник шахтера Кузбасса ")</f>
        <v>Памятник шахтера Кузбасса </v>
      </c>
      <c r="V739" s="6" t="str">
        <f>IFERROR(__xludf.DUMMYFUNCTION("""COMPUTED_VALUE"""),"Благоустроили парки, возвели памятники")</f>
        <v>Благоустроили парки, возвели памятники</v>
      </c>
      <c r="W739" s="6" t="str">
        <f>IFERROR(__xludf.DUMMYFUNCTION("""COMPUTED_VALUE"""),"Добрые,отзывчивые,нервные, ")</f>
        <v>Добрые,отзывчивые,нервные, </v>
      </c>
      <c r="X739" s="6" t="str">
        <f>IFERROR(__xludf.DUMMYFUNCTION("""COMPUTED_VALUE"""),"Начиная с горсада, заканчивая на площади советов")</f>
        <v>Начиная с горсада, заканчивая на площади советов</v>
      </c>
      <c r="Y739" s="6" t="str">
        <f>IFERROR(__xludf.DUMMYFUNCTION("""COMPUTED_VALUE"""),"Парад на площади советов")</f>
        <v>Парад на площади советов</v>
      </c>
      <c r="Z739" s="6" t="str">
        <f>IFERROR(__xludf.DUMMYFUNCTION("""COMPUTED_VALUE"""),"Столетие города Кемерова")</f>
        <v>Столетие города Кемерова</v>
      </c>
      <c r="AA739" s="6" t="str">
        <f>IFERROR(__xludf.DUMMYFUNCTION("""COMPUTED_VALUE"""),"Пожар зимней вишни")</f>
        <v>Пожар зимней вишни</v>
      </c>
      <c r="AB739" s="6" t="str">
        <f>IFERROR(__xludf.DUMMYFUNCTION("""COMPUTED_VALUE"""),"Криминал ")</f>
        <v>Криминал </v>
      </c>
      <c r="AC739" s="6" t="str">
        <f>IFERROR(__xludf.DUMMYFUNCTION("""COMPUTED_VALUE"""),"Всего хватает")</f>
        <v>Всего хватает</v>
      </c>
      <c r="AD73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39" s="6" t="str">
        <f>IFERROR(__xludf.DUMMYFUNCTION("""COMPUTED_VALUE"""),"Женский")</f>
        <v>Женский</v>
      </c>
      <c r="AF739" s="6" t="str">
        <f>IFERROR(__xludf.DUMMYFUNCTION("""COMPUTED_VALUE"""),"18-29")</f>
        <v>18-29</v>
      </c>
      <c r="AG739" s="6"/>
      <c r="AH739" s="6"/>
      <c r="AI739" s="6"/>
      <c r="AJ739" s="6"/>
      <c r="AK739" s="6"/>
      <c r="AL739" s="6"/>
      <c r="AM739" s="6"/>
    </row>
    <row r="740">
      <c r="A740" s="6">
        <v>739.0</v>
      </c>
      <c r="B740" s="6" t="str">
        <f>IFERROR(__xludf.DUMMYFUNCTION("""COMPUTED_VALUE"""),"Студент")</f>
        <v>Студент</v>
      </c>
      <c r="C740" s="6" t="str">
        <f>IFERROR(__xludf.DUMMYFUNCTION("""COMPUTED_VALUE"""),"Нет")</f>
        <v>Нет</v>
      </c>
      <c r="D740" s="6" t="str">
        <f>IFERROR(__xludf.DUMMYFUNCTION("""COMPUTED_VALUE"""),"Ленинский ")</f>
        <v>Ленинский </v>
      </c>
      <c r="E740" s="6" t="str">
        <f>IFERROR(__xludf.DUMMYFUNCTION("""COMPUTED_VALUE"""),"Бульвар строителей ")</f>
        <v>Бульвар строителей </v>
      </c>
      <c r="F740"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740" s="6" t="str">
        <f>IFERROR(__xludf.DUMMYFUNCTION("""COMPUTED_VALUE"""),"Парк Ангелов")</f>
        <v>Парк Ангелов</v>
      </c>
      <c r="H740" s="6" t="str">
        <f>IFERROR(__xludf.DUMMYFUNCTION("""COMPUTED_VALUE"""),"Город, музей, парк , шахта, уголь")</f>
        <v>Город, музей, парк , шахта, уголь</v>
      </c>
      <c r="I740" s="6" t="str">
        <f>IFERROR(__xludf.DUMMYFUNCTION("""COMPUTED_VALUE"""),"Вера волошина")</f>
        <v>Вера волошина</v>
      </c>
      <c r="J740" s="6" t="str">
        <f>IFERROR(__xludf.DUMMYFUNCTION("""COMPUTED_VALUE"""),"Елена Малышева ")</f>
        <v>Елена Малышева </v>
      </c>
      <c r="K740" s="6" t="str">
        <f>IFERROR(__xludf.DUMMYFUNCTION("""COMPUTED_VALUE"""),"Памятник шахтерам парк Ангелов ")</f>
        <v>Памятник шахтерам парк Ангелов </v>
      </c>
      <c r="L740" s="6" t="str">
        <f>IFERROR(__xludf.DUMMYFUNCTION("""COMPUTED_VALUE"""),"Трудом праведным не наживёшь палат каменных")</f>
        <v>Трудом праведным не наживёшь палат каменных</v>
      </c>
      <c r="M740" s="6" t="str">
        <f>IFERROR(__xludf.DUMMYFUNCTION("""COMPUTED_VALUE"""),"Нет")</f>
        <v>Нет</v>
      </c>
      <c r="N740" s="6" t="str">
        <f>IFERROR(__xludf.DUMMYFUNCTION("""COMPUTED_VALUE"""),"Близко магазин,  хорошие дороги, чистый воздух")</f>
        <v>Близко магазин,  хорошие дороги, чистый воздух</v>
      </c>
      <c r="O740" s="6" t="str">
        <f>IFERROR(__xludf.DUMMYFUNCTION("""COMPUTED_VALUE"""),"Дороги ")</f>
        <v>Дороги </v>
      </c>
      <c r="P740" s="6" t="str">
        <f>IFERROR(__xludf.DUMMYFUNCTION("""COMPUTED_VALUE"""),"Интернет телевидение ")</f>
        <v>Интернет телевидение </v>
      </c>
      <c r="Q74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740" s="6" t="str">
        <f>IFERROR(__xludf.DUMMYFUNCTION("""COMPUTED_VALUE"""),"День города")</f>
        <v>День города</v>
      </c>
      <c r="S740" s="6" t="str">
        <f>IFERROR(__xludf.DUMMYFUNCTION("""COMPUTED_VALUE"""),"Нет, не приходилось")</f>
        <v>Нет, не приходилось</v>
      </c>
      <c r="T740" s="6" t="str">
        <f>IFERROR(__xludf.DUMMYFUNCTION("""COMPUTED_VALUE"""),"Самая высокая церковь, уголь")</f>
        <v>Самая высокая церковь, уголь</v>
      </c>
      <c r="U740" s="6" t="str">
        <f>IFERROR(__xludf.DUMMYFUNCTION("""COMPUTED_VALUE"""),"Памятник шахтёрам Кузбасса")</f>
        <v>Памятник шахтёрам Кузбасса</v>
      </c>
      <c r="V740" s="6" t="str">
        <f>IFERROR(__xludf.DUMMYFUNCTION("""COMPUTED_VALUE"""),"Благоустроить парки, возвели памятники ")</f>
        <v>Благоустроить парки, возвели памятники </v>
      </c>
      <c r="W740" s="6" t="str">
        <f>IFERROR(__xludf.DUMMYFUNCTION("""COMPUTED_VALUE"""),"Отзывчивые, добрые")</f>
        <v>Отзывчивые, добрые</v>
      </c>
      <c r="X740" s="6" t="str">
        <f>IFERROR(__xludf.DUMMYFUNCTION("""COMPUTED_VALUE"""),"Начиная с гор сада и по всей набережной и заканчивая площадью советов ")</f>
        <v>Начиная с гор сада и по всей набережной и заканчивая площадью советов </v>
      </c>
      <c r="Y740" s="6" t="str">
        <f>IFERROR(__xludf.DUMMYFUNCTION("""COMPUTED_VALUE"""),"Открытие угля, парад на площади советов")</f>
        <v>Открытие угля, парад на площади советов</v>
      </c>
      <c r="Z740" s="6" t="str">
        <f>IFERROR(__xludf.DUMMYFUNCTION("""COMPUTED_VALUE"""),"Столетие города Кемерово")</f>
        <v>Столетие города Кемерово</v>
      </c>
      <c r="AA740" s="6" t="str">
        <f>IFERROR(__xludf.DUMMYFUNCTION("""COMPUTED_VALUE"""),"Пожар в Зимней вишне")</f>
        <v>Пожар в Зимней вишне</v>
      </c>
      <c r="AB740" s="6" t="str">
        <f>IFERROR(__xludf.DUMMYFUNCTION("""COMPUTED_VALUE"""),"Криминал Кемерово")</f>
        <v>Криминал Кемерово</v>
      </c>
      <c r="AC740" s="6" t="str">
        <f>IFERROR(__xludf.DUMMYFUNCTION("""COMPUTED_VALUE"""),"Всего хватает")</f>
        <v>Всего хватает</v>
      </c>
      <c r="AD74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40" s="6" t="str">
        <f>IFERROR(__xludf.DUMMYFUNCTION("""COMPUTED_VALUE"""),"Женский")</f>
        <v>Женский</v>
      </c>
      <c r="AF740" s="6" t="str">
        <f>IFERROR(__xludf.DUMMYFUNCTION("""COMPUTED_VALUE"""),"18-29")</f>
        <v>18-29</v>
      </c>
      <c r="AG740" s="6"/>
      <c r="AH740" s="6"/>
      <c r="AI740" s="6"/>
      <c r="AJ740" s="6"/>
      <c r="AK740" s="6"/>
      <c r="AL740" s="6"/>
      <c r="AM740" s="6"/>
    </row>
    <row r="741">
      <c r="A741" s="6">
        <v>740.0</v>
      </c>
      <c r="B741" s="6" t="str">
        <f>IFERROR(__xludf.DUMMYFUNCTION("""COMPUTED_VALUE"""),"Работаю в сфере культуры")</f>
        <v>Работаю в сфере культуры</v>
      </c>
      <c r="C741" s="6" t="str">
        <f>IFERROR(__xludf.DUMMYFUNCTION("""COMPUTED_VALUE"""),"Есть. Садоводство.")</f>
        <v>Есть. Садоводство.</v>
      </c>
      <c r="D741" s="6" t="str">
        <f>IFERROR(__xludf.DUMMYFUNCTION("""COMPUTED_VALUE"""),"В Кировском районе. Кировский район")</f>
        <v>В Кировском районе. Кировский район</v>
      </c>
      <c r="E741" s="6" t="str">
        <f>IFERROR(__xludf.DUMMYFUNCTION("""COMPUTED_VALUE"""),"Притомская набережная, Березовая роща.")</f>
        <v>Притомская набережная, Березовая роща.</v>
      </c>
      <c r="F741" s="6" t="str">
        <f>IFERROR(__xludf.DUMMYFUNCTION("""COMPUTED_VALUE"""),"Живу здесь с рождения")</f>
        <v>Живу здесь с рождения</v>
      </c>
      <c r="G741" s="6" t="str">
        <f>IFERROR(__xludf.DUMMYFUNCTION("""COMPUTED_VALUE"""),"Парки, скверы, музеи, театры.")</f>
        <v>Парки, скверы, музеи, театры.</v>
      </c>
      <c r="H741" s="6" t="str">
        <f>IFERROR(__xludf.DUMMYFUNCTION("""COMPUTED_VALUE"""),"Город- шахтер, город-химик.")</f>
        <v>Город- шахтер, город-химик.</v>
      </c>
      <c r="I741" s="6" t="str">
        <f>IFERROR(__xludf.DUMMYFUNCTION("""COMPUTED_VALUE"""),"Подгорбунский, Егоров, Леонов, Ракитянский.")</f>
        <v>Подгорбунский, Егоров, Леонов, Ракитянский.</v>
      </c>
      <c r="J741" s="6" t="str">
        <f>IFERROR(__xludf.DUMMYFUNCTION("""COMPUTED_VALUE"""),"Булгаков А.И., Раздаев В.А., Гришковец.")</f>
        <v>Булгаков А.И., Раздаев В.А., Гришковец.</v>
      </c>
      <c r="K741" s="6" t="str">
        <f>IFERROR(__xludf.DUMMYFUNCTION("""COMPUTED_VALUE"""),"Монумент ""Память шахтерам Кузбасса"". музей космонавта А.А. Леонова, музей-заповедник ""Красная горка"", Парк имени Г. Жукова, Сосновый бор.")</f>
        <v>Монумент "Память шахтерам Кузбасса". музей космонавта А.А. Леонова, музей-заповедник "Красная горка", Парк имени Г. Жукова, Сосновый бор.</v>
      </c>
      <c r="L741" s="6" t="str">
        <f>IFERROR(__xludf.DUMMYFUNCTION("""COMPUTED_VALUE"""),"-")</f>
        <v>-</v>
      </c>
      <c r="M741" s="6" t="str">
        <f>IFERROR(__xludf.DUMMYFUNCTION("""COMPUTED_VALUE"""),"Ехать в город, правый берег.")</f>
        <v>Ехать в город, правый берег.</v>
      </c>
      <c r="N741" s="6" t="str">
        <f>IFERROR(__xludf.DUMMYFUNCTION("""COMPUTED_VALUE"""),"Дороги, новое жилье, обустройство детских площадок, чистый воздух, парки и скверы.")</f>
        <v>Дороги, новое жилье, обустройство детских площадок, чистый воздух, парки и скверы.</v>
      </c>
      <c r="O741" s="6" t="str">
        <f>IFERROR(__xludf.DUMMYFUNCTION("""COMPUTED_VALUE"""),"Снос аварийного и ветхого жилья, оснащение современным оборудованием медицинских центров, больниц.")</f>
        <v>Снос аварийного и ветхого жилья, оснащение современным оборудованием медицинских центров, больниц.</v>
      </c>
      <c r="P741" s="6" t="str">
        <f>IFERROR(__xludf.DUMMYFUNCTION("""COMPUTED_VALUE"""),"ТВ, периодика, интернет- приложение яндекс, одноклассники, ютуб.")</f>
        <v>ТВ, периодика, интернет- приложение яндекс, одноклассники, ютуб.</v>
      </c>
      <c r="Q741"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741" s="6" t="str">
        <f>IFERROR(__xludf.DUMMYFUNCTION("""COMPUTED_VALUE"""),"День города.")</f>
        <v>День города.</v>
      </c>
      <c r="S741" s="6" t="str">
        <f>IFERROR(__xludf.DUMMYFUNCTION("""COMPUTED_VALUE"""),"Делал рассылку по электронной почте")</f>
        <v>Делал рассылку по электронной почте</v>
      </c>
      <c r="T741" s="6" t="str">
        <f>IFERROR(__xludf.DUMMYFUNCTION("""COMPUTED_VALUE"""),"Углем. Михайло Волков открыл угольные месторождения.")</f>
        <v>Углем. Михайло Волков открыл угольные месторождения.</v>
      </c>
      <c r="U741" s="6" t="str">
        <f>IFERROR(__xludf.DUMMYFUNCTION("""COMPUTED_VALUE"""),"Площадь Советов, Притомская набережная.")</f>
        <v>Площадь Советов, Притомская набережная.</v>
      </c>
      <c r="V741" s="6" t="str">
        <f>IFERROR(__xludf.DUMMYFUNCTION("""COMPUTED_VALUE"""),"Выходят работать на субботники.")</f>
        <v>Выходят работать на субботники.</v>
      </c>
      <c r="W741" s="6" t="str">
        <f>IFERROR(__xludf.DUMMYFUNCTION("""COMPUTED_VALUE"""),"Трудолюбивые, терпеливые, отзывчивые.")</f>
        <v>Трудолюбивые, терпеливые, отзывчивые.</v>
      </c>
      <c r="X741" s="6" t="str">
        <f>IFERROR(__xludf.DUMMYFUNCTION("""COMPUTED_VALUE"""),"Центр города.")</f>
        <v>Центр города.</v>
      </c>
      <c r="Y741" s="6" t="str">
        <f>IFERROR(__xludf.DUMMYFUNCTION("""COMPUTED_VALUE"""),"100-летие города Кемерово.")</f>
        <v>100-летие города Кемерово.</v>
      </c>
      <c r="Z741" s="6" t="str">
        <f>IFERROR(__xludf.DUMMYFUNCTION("""COMPUTED_VALUE"""),"Ремонт и строительство автодорог и федеральных трасс, строительство ледового дворца ""Арена"".")</f>
        <v>Ремонт и строительство автодорог и федеральных трасс, строительство ледового дворца "Арена".</v>
      </c>
      <c r="AA741" s="6" t="str">
        <f>IFERROR(__xludf.DUMMYFUNCTION("""COMPUTED_VALUE"""),"Пожар в торгово-развлекательном комплексе ""Зимняя вишня"".")</f>
        <v>Пожар в торгово-развлекательном комплексе "Зимняя вишня".</v>
      </c>
      <c r="AB741" s="6" t="str">
        <f>IFERROR(__xludf.DUMMYFUNCTION("""COMPUTED_VALUE"""),"Никаких.")</f>
        <v>Никаких.</v>
      </c>
      <c r="AC741" s="6" t="str">
        <f>IFERROR(__xludf.DUMMYFUNCTION("""COMPUTED_VALUE"""),"Больше культурных событий - зрелищно-музыкальных.")</f>
        <v>Больше культурных событий - зрелищно-музыкальных.</v>
      </c>
      <c r="AD741"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41" s="6" t="str">
        <f>IFERROR(__xludf.DUMMYFUNCTION("""COMPUTED_VALUE"""),"Женский")</f>
        <v>Женский</v>
      </c>
      <c r="AF741" s="6" t="str">
        <f>IFERROR(__xludf.DUMMYFUNCTION("""COMPUTED_VALUE"""),"45-55")</f>
        <v>45-55</v>
      </c>
      <c r="AG741" s="6"/>
      <c r="AH741" s="6"/>
      <c r="AI741" s="6"/>
      <c r="AJ741" s="6"/>
      <c r="AK741" s="6"/>
      <c r="AL741" s="6"/>
      <c r="AM741" s="6"/>
    </row>
    <row r="742">
      <c r="A742" s="6">
        <v>741.0</v>
      </c>
      <c r="B742" s="6" t="str">
        <f>IFERROR(__xludf.DUMMYFUNCTION("""COMPUTED_VALUE"""),"студент")</f>
        <v>студент</v>
      </c>
      <c r="C742" s="6" t="str">
        <f>IFERROR(__xludf.DUMMYFUNCTION("""COMPUTED_VALUE"""),"учусь")</f>
        <v>учусь</v>
      </c>
      <c r="D742" s="6" t="str">
        <f>IFERROR(__xludf.DUMMYFUNCTION("""COMPUTED_VALUE"""),"Ленинский")</f>
        <v>Ленинский</v>
      </c>
      <c r="E742" s="6" t="str">
        <f>IFERROR(__xludf.DUMMYFUNCTION("""COMPUTED_VALUE"""),"б-р Сторителей")</f>
        <v>б-р Сторителей</v>
      </c>
      <c r="F742" s="6" t="str">
        <f>IFERROR(__xludf.DUMMYFUNCTION("""COMPUTED_VALUE"""),"Переехал сюда из другого места (откуда? укажите в графе другое), из Ленинска-Кузнецкого")</f>
        <v>Переехал сюда из другого места (откуда? укажите в графе другое), из Ленинска-Кузнецкого</v>
      </c>
      <c r="G742" s="6" t="str">
        <f>IFERROR(__xludf.DUMMYFUNCTION("""COMPUTED_VALUE"""),"Б-р Строителей")</f>
        <v>Б-р Строителей</v>
      </c>
      <c r="H742" s="6" t="str">
        <f>IFERROR(__xludf.DUMMYFUNCTION("""COMPUTED_VALUE"""),"-")</f>
        <v>-</v>
      </c>
      <c r="I742" s="6" t="str">
        <f>IFERROR(__xludf.DUMMYFUNCTION("""COMPUTED_VALUE"""),"-")</f>
        <v>-</v>
      </c>
      <c r="J742" s="6" t="str">
        <f>IFERROR(__xludf.DUMMYFUNCTION("""COMPUTED_VALUE"""),"-")</f>
        <v>-</v>
      </c>
      <c r="K742" s="6" t="str">
        <f>IFERROR(__xludf.DUMMYFUNCTION("""COMPUTED_VALUE"""),"-")</f>
        <v>-</v>
      </c>
      <c r="L742" s="6" t="str">
        <f>IFERROR(__xludf.DUMMYFUNCTION("""COMPUTED_VALUE"""),"-")</f>
        <v>-</v>
      </c>
      <c r="M742" s="6" t="str">
        <f>IFERROR(__xludf.DUMMYFUNCTION("""COMPUTED_VALUE"""),"-")</f>
        <v>-</v>
      </c>
      <c r="N742" s="6" t="str">
        <f>IFERROR(__xludf.DUMMYFUNCTION("""COMPUTED_VALUE"""),"чистый город, чистый воздух, доступность, новые комфортные дома, хорошая работа")</f>
        <v>чистый город, чистый воздух, доступность, новые комфортные дома, хорошая работа</v>
      </c>
      <c r="O742" s="6" t="str">
        <f>IFERROR(__xludf.DUMMYFUNCTION("""COMPUTED_VALUE"""),"больше маршрутов общ. транспорта")</f>
        <v>больше маршрутов общ. транспорта</v>
      </c>
      <c r="P742" s="6" t="str">
        <f>IFERROR(__xludf.DUMMYFUNCTION("""COMPUTED_VALUE"""),"вконтакте")</f>
        <v>вконтакте</v>
      </c>
      <c r="Q742" s="6" t="str">
        <f>IFERROR(__xludf.DUMMYFUNCTION("""COMPUTED_VALUE"""),"куда пойти в свободное время, где вкусно поесть/открытие новых кафе/ресторанов, бизнес-новости (средний чек/рекламные акции/запуск новых предприятий)")</f>
        <v>куда пойти в свободное время, где вкусно поесть/открытие новых кафе/ресторанов, бизнес-новости (средний чек/рекламные акции/запуск новых предприятий)</v>
      </c>
      <c r="R742" s="6" t="str">
        <f>IFERROR(__xludf.DUMMYFUNCTION("""COMPUTED_VALUE"""),"-")</f>
        <v>-</v>
      </c>
      <c r="S742" s="6" t="str">
        <f>IFERROR(__xludf.DUMMYFUNCTION("""COMPUTED_VALUE"""),"Нет, не приходилось")</f>
        <v>Нет, не приходилось</v>
      </c>
      <c r="T742" s="6" t="str">
        <f>IFERROR(__xludf.DUMMYFUNCTION("""COMPUTED_VALUE"""),"-")</f>
        <v>-</v>
      </c>
      <c r="U742" s="6" t="str">
        <f>IFERROR(__xludf.DUMMYFUNCTION("""COMPUTED_VALUE"""),"-")</f>
        <v>-</v>
      </c>
      <c r="V742" s="6" t="str">
        <f>IFERROR(__xludf.DUMMYFUNCTION("""COMPUTED_VALUE"""),"-")</f>
        <v>-</v>
      </c>
      <c r="W742" s="6" t="str">
        <f>IFERROR(__xludf.DUMMYFUNCTION("""COMPUTED_VALUE"""),"-")</f>
        <v>-</v>
      </c>
      <c r="X742" s="6" t="str">
        <f>IFERROR(__xludf.DUMMYFUNCTION("""COMPUTED_VALUE"""),"-")</f>
        <v>-</v>
      </c>
      <c r="Y742" s="6" t="str">
        <f>IFERROR(__xludf.DUMMYFUNCTION("""COMPUTED_VALUE"""),"-")</f>
        <v>-</v>
      </c>
      <c r="Z742" s="6" t="str">
        <f>IFERROR(__xludf.DUMMYFUNCTION("""COMPUTED_VALUE"""),"-")</f>
        <v>-</v>
      </c>
      <c r="AA742" s="6" t="str">
        <f>IFERROR(__xludf.DUMMYFUNCTION("""COMPUTED_VALUE"""),"-")</f>
        <v>-</v>
      </c>
      <c r="AB742" s="6" t="str">
        <f>IFERROR(__xludf.DUMMYFUNCTION("""COMPUTED_VALUE"""),"-")</f>
        <v>-</v>
      </c>
      <c r="AC742" s="6" t="str">
        <f>IFERROR(__xludf.DUMMYFUNCTION("""COMPUTED_VALUE"""),"-")</f>
        <v>-</v>
      </c>
      <c r="AD742" s="6" t="str">
        <f>IFERROR(__xludf.DUMMYFUNCTION("""COMPUTED_VALUE"""),"Участника: Поучаствовать в обсуждении улучшений, собраниях горожан;, Не готов принимать личное участие (укажите, пожалуйста, причину в поле «Другое»)")</f>
        <v>Участника: Поучаствовать в обсуждении улучшений, собраниях горожан;, Не готов принимать личное участие (укажите, пожалуйста, причину в поле «Другое»)</v>
      </c>
      <c r="AE742" s="6" t="str">
        <f>IFERROR(__xludf.DUMMYFUNCTION("""COMPUTED_VALUE"""),"Женский")</f>
        <v>Женский</v>
      </c>
      <c r="AF742" s="6" t="str">
        <f>IFERROR(__xludf.DUMMYFUNCTION("""COMPUTED_VALUE"""),"18-29")</f>
        <v>18-29</v>
      </c>
      <c r="AG742" s="6"/>
      <c r="AH742" s="6"/>
      <c r="AI742" s="6"/>
      <c r="AJ742" s="6"/>
      <c r="AK742" s="6"/>
      <c r="AL742" s="6"/>
      <c r="AM742" s="6"/>
    </row>
    <row r="743">
      <c r="A743" s="6">
        <v>742.0</v>
      </c>
      <c r="B743" s="6" t="str">
        <f>IFERROR(__xludf.DUMMYFUNCTION("""COMPUTED_VALUE"""),"Студент ")</f>
        <v>Студент </v>
      </c>
      <c r="C743" s="6" t="str">
        <f>IFERROR(__xludf.DUMMYFUNCTION("""COMPUTED_VALUE"""),"Чтение книг")</f>
        <v>Чтение книг</v>
      </c>
      <c r="D743" s="6" t="str">
        <f>IFERROR(__xludf.DUMMYFUNCTION("""COMPUTED_VALUE"""),"Ленинский ")</f>
        <v>Ленинский </v>
      </c>
      <c r="E743" s="6" t="str">
        <f>IFERROR(__xludf.DUMMYFUNCTION("""COMPUTED_VALUE"""),"Театр Драмы, музей Изо")</f>
        <v>Театр Драмы, музей Изо</v>
      </c>
      <c r="F743" s="6" t="str">
        <f>IFERROR(__xludf.DUMMYFUNCTION("""COMPUTED_VALUE"""),"Живу здесь с рождения")</f>
        <v>Живу здесь с рождения</v>
      </c>
      <c r="G743" s="6" t="str">
        <f>IFERROR(__xludf.DUMMYFUNCTION("""COMPUTED_VALUE"""),"В театр ")</f>
        <v>В театр </v>
      </c>
      <c r="H743" s="6" t="str">
        <f>IFERROR(__xludf.DUMMYFUNCTION("""COMPUTED_VALUE"""),"Грязно, не чистый воздух, душно")</f>
        <v>Грязно, не чистый воздух, душно</v>
      </c>
      <c r="I743" s="6" t="str">
        <f>IFERROR(__xludf.DUMMYFUNCTION("""COMPUTED_VALUE"""),"Волков")</f>
        <v>Волков</v>
      </c>
      <c r="J743" s="6" t="str">
        <f>IFERROR(__xludf.DUMMYFUNCTION("""COMPUTED_VALUE"""),"Ветераны ВОВ")</f>
        <v>Ветераны ВОВ</v>
      </c>
      <c r="K743" s="6" t="str">
        <f>IFERROR(__xludf.DUMMYFUNCTION("""COMPUTED_VALUE"""),"Площадь Волкова")</f>
        <v>Площадь Волкова</v>
      </c>
      <c r="L743" s="6" t="str">
        <f>IFERROR(__xludf.DUMMYFUNCTION("""COMPUTED_VALUE"""),"Не знаю ")</f>
        <v>Не знаю </v>
      </c>
      <c r="M743" s="6" t="str">
        <f>IFERROR(__xludf.DUMMYFUNCTION("""COMPUTED_VALUE"""),"Нет ")</f>
        <v>Нет </v>
      </c>
      <c r="N743" s="6" t="str">
        <f>IFERROR(__xludf.DUMMYFUNCTION("""COMPUTED_VALUE"""),"Сежий воздух")</f>
        <v>Сежий воздух</v>
      </c>
      <c r="O743" s="6" t="str">
        <f>IFERROR(__xludf.DUMMYFUNCTION("""COMPUTED_VALUE"""),"Экологию")</f>
        <v>Экологию</v>
      </c>
      <c r="P743" s="6" t="str">
        <f>IFERROR(__xludf.DUMMYFUNCTION("""COMPUTED_VALUE"""),"Интернет ")</f>
        <v>Интернет </v>
      </c>
      <c r="Q743" s="6" t="str">
        <f>IFERROR(__xludf.DUMMYFUNCTION("""COMPUTED_VALUE"""),"где вкусно поесть/открытие новых кафе/ресторанов, культурные новинки (что почитать/что послушать), интервью с местными политиками, криминальные новости (происшествия/преступления), новости про новые профессии/куда поступать/вакансии, бизнес-новости (средн"&amp;"ий чек/рекламные акции/запуск новых предприятий), интервью с экспертами на разные темы (напишите в разделе Другое свои предложения)")</f>
        <v>где вкусно поесть/открытие новых кафе/ресторанов, культурные новинки (что почитать/что послушать), интервью с местными политиками,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743" s="6" t="str">
        <f>IFERROR(__xludf.DUMMYFUNCTION("""COMPUTED_VALUE"""),"9 мае")</f>
        <v>9 мае</v>
      </c>
      <c r="S743" s="6" t="str">
        <f>IFERROR(__xludf.DUMMYFUNCTION("""COMPUTED_VALUE"""),"Нет, не приходилось")</f>
        <v>Нет, не приходилось</v>
      </c>
      <c r="T743" s="6" t="str">
        <f>IFERROR(__xludf.DUMMYFUNCTION("""COMPUTED_VALUE"""),"Не чистый воздух, плохая экология ")</f>
        <v>Не чистый воздух, плохая экология </v>
      </c>
      <c r="U743" s="6" t="str">
        <f>IFERROR(__xludf.DUMMYFUNCTION("""COMPUTED_VALUE"""),"Площадь Волкова")</f>
        <v>Площадь Волкова</v>
      </c>
      <c r="V743" s="6" t="str">
        <f>IFERROR(__xludf.DUMMYFUNCTION("""COMPUTED_VALUE"""),"Построили предприятия, шахты")</f>
        <v>Построили предприятия, шахты</v>
      </c>
      <c r="W743" s="6" t="str">
        <f>IFERROR(__xludf.DUMMYFUNCTION("""COMPUTED_VALUE"""),"Добрые")</f>
        <v>Добрые</v>
      </c>
      <c r="X743" s="6" t="str">
        <f>IFERROR(__xludf.DUMMYFUNCTION("""COMPUTED_VALUE"""),"До Лапландии")</f>
        <v>До Лапландии</v>
      </c>
      <c r="Y743" s="6" t="str">
        <f>IFERROR(__xludf.DUMMYFUNCTION("""COMPUTED_VALUE"""),"Олимпиада ")</f>
        <v>Олимпиада </v>
      </c>
      <c r="Z743" s="6" t="str">
        <f>IFERROR(__xludf.DUMMYFUNCTION("""COMPUTED_VALUE"""),"9 мае ")</f>
        <v>9 мае </v>
      </c>
      <c r="AA743" s="6" t="str">
        <f>IFERROR(__xludf.DUMMYFUNCTION("""COMPUTED_VALUE"""),"Рост цен на продукты, низкая зарплата, высокий уровень бедности ")</f>
        <v>Рост цен на продукты, низкая зарплата, высокий уровень бедности </v>
      </c>
      <c r="AB743" s="6" t="str">
        <f>IFERROR(__xludf.DUMMYFUNCTION("""COMPUTED_VALUE"""),"Культурных ")</f>
        <v>Культурных </v>
      </c>
      <c r="AC743" s="6" t="str">
        <f>IFERROR(__xludf.DUMMYFUNCTION("""COMPUTED_VALUE"""),"Культурные
")</f>
        <v>Культурные
</v>
      </c>
      <c r="AD743"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743" s="6" t="str">
        <f>IFERROR(__xludf.DUMMYFUNCTION("""COMPUTED_VALUE"""),"Женский")</f>
        <v>Женский</v>
      </c>
      <c r="AF743" s="6" t="str">
        <f>IFERROR(__xludf.DUMMYFUNCTION("""COMPUTED_VALUE"""),"18-29")</f>
        <v>18-29</v>
      </c>
      <c r="AG743" s="6"/>
      <c r="AH743" s="6"/>
      <c r="AI743" s="6"/>
      <c r="AJ743" s="6"/>
      <c r="AK743" s="6"/>
      <c r="AL743" s="6"/>
      <c r="AM743" s="6"/>
    </row>
    <row r="744">
      <c r="A744" s="6">
        <v>743.0</v>
      </c>
      <c r="B744" s="6" t="str">
        <f>IFERROR(__xludf.DUMMYFUNCTION("""COMPUTED_VALUE"""),"Студент")</f>
        <v>Студент</v>
      </c>
      <c r="C744" s="6" t="str">
        <f>IFERROR(__xludf.DUMMYFUNCTION("""COMPUTED_VALUE"""),"Рисовать")</f>
        <v>Рисовать</v>
      </c>
      <c r="D744" s="6" t="str">
        <f>IFERROR(__xludf.DUMMYFUNCTION("""COMPUTED_VALUE"""),"Заводский")</f>
        <v>Заводский</v>
      </c>
      <c r="E744" s="6" t="str">
        <f>IFERROR(__xludf.DUMMYFUNCTION("""COMPUTED_VALUE"""),"нет")</f>
        <v>нет</v>
      </c>
      <c r="F744" s="6" t="str">
        <f>IFERROR(__xludf.DUMMYFUNCTION("""COMPUTED_VALUE"""),"Переехал сюда из другого места (откуда? укажите в графе другое), из Юрги")</f>
        <v>Переехал сюда из другого места (откуда? укажите в графе другое), из Юрги</v>
      </c>
      <c r="G744" s="6" t="str">
        <f>IFERROR(__xludf.DUMMYFUNCTION("""COMPUTED_VALUE"""),"В парк")</f>
        <v>В парк</v>
      </c>
      <c r="H744" s="6" t="str">
        <f>IFERROR(__xludf.DUMMYFUNCTION("""COMPUTED_VALUE"""),"Грязный, хмурый, серый, неопрятный, полуразрушенный")</f>
        <v>Грязный, хмурый, серый, неопрятный, полуразрушенный</v>
      </c>
      <c r="I744" s="6" t="str">
        <f>IFERROR(__xludf.DUMMYFUNCTION("""COMPUTED_VALUE"""),"не знаю")</f>
        <v>не знаю</v>
      </c>
      <c r="J744" s="6" t="str">
        <f>IFERROR(__xludf.DUMMYFUNCTION("""COMPUTED_VALUE"""),"не знаю таких")</f>
        <v>не знаю таких</v>
      </c>
      <c r="K744" s="6" t="str">
        <f>IFERROR(__xludf.DUMMYFUNCTION("""COMPUTED_VALUE"""),"нет таких")</f>
        <v>нет таких</v>
      </c>
      <c r="L744" s="6" t="str">
        <f>IFERROR(__xludf.DUMMYFUNCTION("""COMPUTED_VALUE"""),"не знаю")</f>
        <v>не знаю</v>
      </c>
      <c r="M744" s="6" t="str">
        <f>IFERROR(__xludf.DUMMYFUNCTION("""COMPUTED_VALUE"""),"нет")</f>
        <v>нет</v>
      </c>
      <c r="N744" s="6" t="str">
        <f>IFERROR(__xludf.DUMMYFUNCTION("""COMPUTED_VALUE"""),"зеленый, чистый, развивающийся, все дома должны быть в достойном состоянии")</f>
        <v>зеленый, чистый, развивающийся, все дома должны быть в достойном состоянии</v>
      </c>
      <c r="O744" s="6" t="str">
        <f>IFERROR(__xludf.DUMMYFUNCTION("""COMPUTED_VALUE"""),"дороги и отреставрировать дома")</f>
        <v>дороги и отреставрировать дома</v>
      </c>
      <c r="P744" s="6" t="str">
        <f>IFERROR(__xludf.DUMMYFUNCTION("""COMPUTED_VALUE"""),"инстаграмм кузбасс")</f>
        <v>инстаграмм кузбасс</v>
      </c>
      <c r="Q744"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744" s="6" t="str">
        <f>IFERROR(__xludf.DUMMYFUNCTION("""COMPUTED_VALUE"""),"день города")</f>
        <v>день города</v>
      </c>
      <c r="S744" s="6" t="str">
        <f>IFERROR(__xludf.DUMMYFUNCTION("""COMPUTED_VALUE"""),"Нет, не приходилось")</f>
        <v>Нет, не приходилось</v>
      </c>
      <c r="T744" s="6" t="str">
        <f>IFERROR(__xludf.DUMMYFUNCTION("""COMPUTED_VALUE"""),"парк ангелов")</f>
        <v>парк ангелов</v>
      </c>
      <c r="U744" s="6" t="str">
        <f>IFERROR(__xludf.DUMMYFUNCTION("""COMPUTED_VALUE"""),"не знаю")</f>
        <v>не знаю</v>
      </c>
      <c r="V744" s="6" t="str">
        <f>IFERROR(__xludf.DUMMYFUNCTION("""COMPUTED_VALUE"""),"ничего")</f>
        <v>ничего</v>
      </c>
      <c r="W744" s="6" t="str">
        <f>IFERROR(__xludf.DUMMYFUNCTION("""COMPUTED_VALUE"""),"злые, грустные, невоспитанные")</f>
        <v>злые, грустные, невоспитанные</v>
      </c>
      <c r="X744" s="6" t="str">
        <f>IFERROR(__xludf.DUMMYFUNCTION("""COMPUTED_VALUE"""),"нет таких")</f>
        <v>нет таких</v>
      </c>
      <c r="Y744" s="6" t="str">
        <f>IFERROR(__xludf.DUMMYFUNCTION("""COMPUTED_VALUE"""),"не знаю")</f>
        <v>не знаю</v>
      </c>
      <c r="Z744" s="6" t="str">
        <f>IFERROR(__xludf.DUMMYFUNCTION("""COMPUTED_VALUE"""),"никаких")</f>
        <v>никаких</v>
      </c>
      <c r="AA744" s="6" t="str">
        <f>IFERROR(__xludf.DUMMYFUNCTION("""COMPUTED_VALUE"""),"все")</f>
        <v>все</v>
      </c>
      <c r="AB744" s="6" t="str">
        <f>IFERROR(__xludf.DUMMYFUNCTION("""COMPUTED_VALUE"""),"никаких")</f>
        <v>никаких</v>
      </c>
      <c r="AC744" s="6" t="str">
        <f>IFERROR(__xludf.DUMMYFUNCTION("""COMPUTED_VALUE"""),"не знаю")</f>
        <v>не знаю</v>
      </c>
      <c r="AD744" s="6" t="str">
        <f>IFERROR(__xludf.DUMMYFUNCTION("""COMPUTED_VALUE"""),"Не готов принимать личное участие (укажите, пожалуйста, причину в поле «Другое»), нет желания")</f>
        <v>Не готов принимать личное участие (укажите, пожалуйста, причину в поле «Другое»), нет желания</v>
      </c>
      <c r="AE744" s="6" t="str">
        <f>IFERROR(__xludf.DUMMYFUNCTION("""COMPUTED_VALUE"""),"Женский")</f>
        <v>Женский</v>
      </c>
      <c r="AF744" s="6" t="str">
        <f>IFERROR(__xludf.DUMMYFUNCTION("""COMPUTED_VALUE"""),"18-29")</f>
        <v>18-29</v>
      </c>
      <c r="AG744" s="6"/>
      <c r="AH744" s="6"/>
      <c r="AI744" s="6"/>
      <c r="AJ744" s="6"/>
      <c r="AK744" s="6"/>
      <c r="AL744" s="6"/>
      <c r="AM744" s="6"/>
    </row>
    <row r="745">
      <c r="A745" s="6">
        <v>744.0</v>
      </c>
      <c r="B745" s="6" t="str">
        <f>IFERROR(__xludf.DUMMYFUNCTION("""COMPUTED_VALUE"""),"Студент ")</f>
        <v>Студент </v>
      </c>
      <c r="C745" s="6" t="str">
        <f>IFERROR(__xludf.DUMMYFUNCTION("""COMPUTED_VALUE"""),"-")</f>
        <v>-</v>
      </c>
      <c r="D745" s="6" t="str">
        <f>IFERROR(__xludf.DUMMYFUNCTION("""COMPUTED_VALUE"""),"Ленинский ")</f>
        <v>Ленинский </v>
      </c>
      <c r="E745" s="6" t="str">
        <f>IFERROR(__xludf.DUMMYFUNCTION("""COMPUTED_VALUE"""),"-")</f>
        <v>-</v>
      </c>
      <c r="F745" s="6" t="str">
        <f>IFERROR(__xludf.DUMMYFUNCTION("""COMPUTED_VALUE"""),"Переехал сюда из другого места (откуда? укажите в графе другое), Междуреченск ")</f>
        <v>Переехал сюда из другого места (откуда? укажите в графе другое), Междуреченск </v>
      </c>
      <c r="G745" s="6" t="str">
        <f>IFERROR(__xludf.DUMMYFUNCTION("""COMPUTED_VALUE"""),"ТЦ")</f>
        <v>ТЦ</v>
      </c>
      <c r="H745" s="6" t="str">
        <f>IFERROR(__xludf.DUMMYFUNCTION("""COMPUTED_VALUE"""),"-")</f>
        <v>-</v>
      </c>
      <c r="I745" s="6" t="str">
        <f>IFERROR(__xludf.DUMMYFUNCTION("""COMPUTED_VALUE"""),"-")</f>
        <v>-</v>
      </c>
      <c r="J745" s="6" t="str">
        <f>IFERROR(__xludf.DUMMYFUNCTION("""COMPUTED_VALUE"""),"-")</f>
        <v>-</v>
      </c>
      <c r="K745" s="6" t="str">
        <f>IFERROR(__xludf.DUMMYFUNCTION("""COMPUTED_VALUE"""),"-")</f>
        <v>-</v>
      </c>
      <c r="L745" s="6" t="str">
        <f>IFERROR(__xludf.DUMMYFUNCTION("""COMPUTED_VALUE"""),"-")</f>
        <v>-</v>
      </c>
      <c r="M745" s="6" t="str">
        <f>IFERROR(__xludf.DUMMYFUNCTION("""COMPUTED_VALUE"""),"-")</f>
        <v>-</v>
      </c>
      <c r="N745" s="6" t="str">
        <f>IFERROR(__xludf.DUMMYFUNCTION("""COMPUTED_VALUE"""),"Чистота, доступный общественный транспорт")</f>
        <v>Чистота, доступный общественный транспорт</v>
      </c>
      <c r="O745" s="6" t="str">
        <f>IFERROR(__xludf.DUMMYFUNCTION("""COMPUTED_VALUE"""),"-")</f>
        <v>-</v>
      </c>
      <c r="P745" s="6" t="str">
        <f>IFERROR(__xludf.DUMMYFUNCTION("""COMPUTED_VALUE"""),"Вк")</f>
        <v>Вк</v>
      </c>
      <c r="Q745" s="6" t="str">
        <f>IFERROR(__xludf.DUMMYFUNCTION("""COMPUTED_VALUE"""),"где вкусно поесть/открытие новых кафе/ресторанов, городская афиша (кино/театр/концерты)")</f>
        <v>где вкусно поесть/открытие новых кафе/ресторанов, городская афиша (кино/театр/концерты)</v>
      </c>
      <c r="R745" s="6" t="str">
        <f>IFERROR(__xludf.DUMMYFUNCTION("""COMPUTED_VALUE"""),"-")</f>
        <v>-</v>
      </c>
      <c r="S745" s="6" t="str">
        <f>IFERROR(__xludf.DUMMYFUNCTION("""COMPUTED_VALUE"""),"Нет, не приходилось")</f>
        <v>Нет, не приходилось</v>
      </c>
      <c r="T745" s="6" t="str">
        <f>IFERROR(__xludf.DUMMYFUNCTION("""COMPUTED_VALUE"""),"Елка ")</f>
        <v>Елка </v>
      </c>
      <c r="U745" s="6" t="str">
        <f>IFERROR(__xludf.DUMMYFUNCTION("""COMPUTED_VALUE"""),"-")</f>
        <v>-</v>
      </c>
      <c r="V745" s="6" t="str">
        <f>IFERROR(__xludf.DUMMYFUNCTION("""COMPUTED_VALUE"""),"-")</f>
        <v>-</v>
      </c>
      <c r="W745" s="6" t="str">
        <f>IFERROR(__xludf.DUMMYFUNCTION("""COMPUTED_VALUE"""),"-")</f>
        <v>-</v>
      </c>
      <c r="X745" s="6" t="str">
        <f>IFERROR(__xludf.DUMMYFUNCTION("""COMPUTED_VALUE"""),"По центру ")</f>
        <v>По центру </v>
      </c>
      <c r="Y745" s="6" t="str">
        <f>IFERROR(__xludf.DUMMYFUNCTION("""COMPUTED_VALUE"""),"-")</f>
        <v>-</v>
      </c>
      <c r="Z745" s="6" t="str">
        <f>IFERROR(__xludf.DUMMYFUNCTION("""COMPUTED_VALUE"""),"-")</f>
        <v>-</v>
      </c>
      <c r="AA745" s="6" t="str">
        <f>IFERROR(__xludf.DUMMYFUNCTION("""COMPUTED_VALUE"""),"Дороги")</f>
        <v>Дороги</v>
      </c>
      <c r="AB745" s="6" t="str">
        <f>IFERROR(__xludf.DUMMYFUNCTION("""COMPUTED_VALUE"""),"-")</f>
        <v>-</v>
      </c>
      <c r="AC745" s="6" t="str">
        <f>IFERROR(__xludf.DUMMYFUNCTION("""COMPUTED_VALUE"""),"-")</f>
        <v>-</v>
      </c>
      <c r="AD74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45" s="6" t="str">
        <f>IFERROR(__xludf.DUMMYFUNCTION("""COMPUTED_VALUE"""),"Женский")</f>
        <v>Женский</v>
      </c>
      <c r="AF745" s="6" t="str">
        <f>IFERROR(__xludf.DUMMYFUNCTION("""COMPUTED_VALUE"""),"18-29")</f>
        <v>18-29</v>
      </c>
      <c r="AG745" s="6"/>
      <c r="AH745" s="6"/>
      <c r="AI745" s="6"/>
      <c r="AJ745" s="6"/>
      <c r="AK745" s="6"/>
      <c r="AL745" s="6"/>
      <c r="AM745" s="6"/>
    </row>
    <row r="746">
      <c r="A746" s="6">
        <v>745.0</v>
      </c>
      <c r="B746" s="6" t="str">
        <f>IFERROR(__xludf.DUMMYFUNCTION("""COMPUTED_VALUE"""),"профессор , пенсионер")</f>
        <v>профессор , пенсионер</v>
      </c>
      <c r="C746" s="6" t="str">
        <f>IFERROR(__xludf.DUMMYFUNCTION("""COMPUTED_VALUE"""),"есть , шахматы ")</f>
        <v>есть , шахматы </v>
      </c>
      <c r="D746" s="6" t="str">
        <f>IFERROR(__xludf.DUMMYFUNCTION("""COMPUTED_VALUE"""),"центральный , экологически  грязный ")</f>
        <v>центральный , экологически  грязный </v>
      </c>
      <c r="E746" s="6" t="str">
        <f>IFERROR(__xludf.DUMMYFUNCTION("""COMPUTED_VALUE"""),"парк молодежи ")</f>
        <v>парк молодежи </v>
      </c>
      <c r="F746" s="6" t="str">
        <f>IFERROR(__xludf.DUMMYFUNCTION("""COMPUTED_VALUE"""),"Живу здесь с рождения, учился в Москве")</f>
        <v>Живу здесь с рождения, учился в Москве</v>
      </c>
      <c r="G746" s="6" t="str">
        <f>IFERROR(__xludf.DUMMYFUNCTION("""COMPUTED_VALUE"""),"огород , СНТ  "" Универсал""")</f>
        <v>огород , СНТ  " Универсал"</v>
      </c>
      <c r="H746" s="6" t="str">
        <f>IFERROR(__xludf.DUMMYFUNCTION("""COMPUTED_VALUE"""),"89832257469  Грязь ")</f>
        <v>89832257469  Грязь </v>
      </c>
      <c r="I746" s="6" t="str">
        <f>IFERROR(__xludf.DUMMYFUNCTION("""COMPUTED_VALUE"""),"Кожевин,  Ковачевич , Сарыгин и др . а Дарвина 6 их мемориальная Доска ")</f>
        <v>Кожевин,  Ковачевич , Сарыгин и др . а Дарвина 6 их мемориальная Доска </v>
      </c>
      <c r="J746" s="6" t="str">
        <f>IFERROR(__xludf.DUMMYFUNCTION("""COMPUTED_VALUE"""),"Кожевин,  Ковачевич , Сарыгин и др ")</f>
        <v>Кожевин,  Ковачевич , Сарыгин и др </v>
      </c>
      <c r="K746" s="6" t="str">
        <f>IFERROR(__xludf.DUMMYFUNCTION("""COMPUTED_VALUE"""),"памятник Пушкину  и др. ")</f>
        <v>памятник Пушкину  и др. </v>
      </c>
      <c r="L746" s="6" t="str">
        <f>IFERROR(__xludf.DUMMYFUNCTION("""COMPUTED_VALUE"""),"хороших нет , а плохие не напишу ")</f>
        <v>хороших нет , а плохие не напишу </v>
      </c>
      <c r="M746" s="6" t="str">
        <f>IFERROR(__xludf.DUMMYFUNCTION("""COMPUTED_VALUE"""),"мало ")</f>
        <v>мало </v>
      </c>
      <c r="N746" s="6" t="str">
        <f>IFERROR(__xludf.DUMMYFUNCTION("""COMPUTED_VALUE"""),"экология , работа , отдых ( в городе нет) , спорт ,  театры ...")</f>
        <v>экология , работа , отдых ( в городе нет) , спорт ,  театры ...</v>
      </c>
      <c r="O746" s="6" t="str">
        <f>IFERROR(__xludf.DUMMYFUNCTION("""COMPUTED_VALUE"""),"экологию , дороги , ")</f>
        <v>экологию , дороги , </v>
      </c>
      <c r="P746" s="6" t="str">
        <f>IFERROR(__xludf.DUMMYFUNCTION("""COMPUTED_VALUE"""),"Гудлайн ")</f>
        <v>Гудлайн </v>
      </c>
      <c r="Q746" s="6" t="str">
        <f>IFERROR(__xludf.DUMMYFUNCTION("""COMPUTED_VALUE"""),"интервью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f>
        <v>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v>
      </c>
      <c r="R746" s="6" t="str">
        <f>IFERROR(__xludf.DUMMYFUNCTION("""COMPUTED_VALUE"""),"мало ...")</f>
        <v>мало ...</v>
      </c>
      <c r="S746" s="6" t="str">
        <f>IFERROR(__xludf.DUMMYFUNCTION("""COMPUTED_VALUE"""),"Делал рассылку по электронной почте, Обращался в редакции электронных городских СМИ, Обращался в редакции городских газет, телевидения, радио")</f>
        <v>Делал рассылку по электронной почте, Обращался в редакции электронных городских СМИ, Обращался в редакции городских газет, телевидения, радио</v>
      </c>
      <c r="T746" s="6" t="str">
        <f>IFERROR(__xludf.DUMMYFUNCTION("""COMPUTED_VALUE"""),"рабским трудом ")</f>
        <v>рабским трудом </v>
      </c>
      <c r="U746" s="6" t="str">
        <f>IFERROR(__xludf.DUMMYFUNCTION("""COMPUTED_VALUE"""),"памятник Ленину ")</f>
        <v>памятник Ленину </v>
      </c>
      <c r="V746" s="6" t="str">
        <f>IFERROR(__xludf.DUMMYFUNCTION("""COMPUTED_VALUE"""),"построили в центре города заводы ")</f>
        <v>построили в центре города заводы </v>
      </c>
      <c r="W746" s="6" t="str">
        <f>IFERROR(__xludf.DUMMYFUNCTION("""COMPUTED_VALUE"""),"трудолюбие ,  терпение ....")</f>
        <v>трудолюбие ,  терпение ....</v>
      </c>
      <c r="X746" s="6" t="str">
        <f>IFERROR(__xludf.DUMMYFUNCTION("""COMPUTED_VALUE"""),"нет ")</f>
        <v>нет </v>
      </c>
      <c r="Y746" s="6" t="str">
        <f>IFERROR(__xludf.DUMMYFUNCTION("""COMPUTED_VALUE"""),"сложный вопрос ")</f>
        <v>сложный вопрос </v>
      </c>
      <c r="Z746" s="6" t="str">
        <f>IFERROR(__xludf.DUMMYFUNCTION("""COMPUTED_VALUE"""),"спорт :  волейбол , хоккей ")</f>
        <v>спорт :  волейбол , хоккей </v>
      </c>
      <c r="AA746" s="6" t="str">
        <f>IFERROR(__xludf.DUMMYFUNCTION("""COMPUTED_VALUE"""),"ЧЕРНОЕ НЕБО ...")</f>
        <v>ЧЕРНОЕ НЕБО ...</v>
      </c>
      <c r="AB746" s="6" t="str">
        <f>IFERROR(__xludf.DUMMYFUNCTION("""COMPUTED_VALUE"""),"интеллектуальных ")</f>
        <v>интеллектуальных </v>
      </c>
      <c r="AC746" s="6" t="str">
        <f>IFERROR(__xludf.DUMMYFUNCTION("""COMPUTED_VALUE"""),"разнообразные , но их  нет ..")</f>
        <v>разнообразные , но их  нет ..</v>
      </c>
      <c r="AD746"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746" s="6" t="str">
        <f>IFERROR(__xludf.DUMMYFUNCTION("""COMPUTED_VALUE"""),"Мужской")</f>
        <v>Мужской</v>
      </c>
      <c r="AF746" s="6" t="str">
        <f>IFERROR(__xludf.DUMMYFUNCTION("""COMPUTED_VALUE"""),"старше 55")</f>
        <v>старше 55</v>
      </c>
      <c r="AG746" s="6"/>
      <c r="AH746" s="6"/>
      <c r="AI746" s="6"/>
      <c r="AJ746" s="6"/>
      <c r="AK746" s="6"/>
      <c r="AL746" s="6"/>
      <c r="AM746" s="6"/>
    </row>
    <row r="747">
      <c r="A747" s="6">
        <v>746.0</v>
      </c>
      <c r="B747" s="6" t="str">
        <f>IFERROR(__xludf.DUMMYFUNCTION("""COMPUTED_VALUE"""),"Работаю в частной компании")</f>
        <v>Работаю в частной компании</v>
      </c>
      <c r="C747" s="6" t="str">
        <f>IFERROR(__xludf.DUMMYFUNCTION("""COMPUTED_VALUE"""),"Поэзия, проза, экология, коты")</f>
        <v>Поэзия, проза, экология, коты</v>
      </c>
      <c r="D747" s="6" t="str">
        <f>IFERROR(__xludf.DUMMYFUNCTION("""COMPUTED_VALUE"""),"Центральный район, центр")</f>
        <v>Центральный район, центр</v>
      </c>
      <c r="E747" s="6" t="str">
        <f>IFERROR(__xludf.DUMMYFUNCTION("""COMPUTED_VALUE"""),"Река, остров на ней, памятник А.С.Пушкину, ул. Весенняя, ул. АРОЧНАЯ, НАБЕРЕЖНАЯ, Бор, Берёзовая роща")</f>
        <v>Река, остров на ней, памятник А.С.Пушкину, ул. Весенняя, ул. АРОЧНАЯ, НАБЕРЕЖНАЯ, Бор, Берёзовая роща</v>
      </c>
      <c r="F747" s="6" t="str">
        <f>IFERROR(__xludf.DUMMYFUNCTION("""COMPUTED_VALUE"""),"Живу здесь с рождения")</f>
        <v>Живу здесь с рождения</v>
      </c>
      <c r="G747" s="6" t="str">
        <f>IFERROR(__xludf.DUMMYFUNCTION("""COMPUTED_VALUE"""),"Бор, парки, скверы, озеро Краснле, река и остров")</f>
        <v>Бор, парки, скверы, озеро Краснле, река и остров</v>
      </c>
      <c r="H747" s="6" t="str">
        <f>IFERROR(__xludf.DUMMYFUNCTION("""COMPUTED_VALUE"""),"Томь, Искитимка, Бор,  бездарный дизайн пространства")</f>
        <v>Томь, Искитимка, Бор,  бездарный дизайн пространства</v>
      </c>
      <c r="I747" s="6" t="str">
        <f>IFERROR(__xludf.DUMMYFUNCTION("""COMPUTED_VALUE"""),"Подгорбунский, Вдовин, Маслов, Рутгерс, Мартынов, Григорьев и мн. др.")</f>
        <v>Подгорбунский, Вдовин, Маслов, Рутгерс, Мартынов, Григорьев и мн. др.</v>
      </c>
      <c r="J747" s="6" t="str">
        <f>IFERROR(__xludf.DUMMYFUNCTION("""COMPUTED_VALUE"""),"Затрудняюсь ответить")</f>
        <v>Затрудняюсь ответить</v>
      </c>
      <c r="K747" s="6" t="str">
        <f>IFERROR(__xludf.DUMMYFUNCTION("""COMPUTED_VALUE"""),"Бор, реки, ")</f>
        <v>Бор, реки, </v>
      </c>
      <c r="L747" s="6" t="str">
        <f>IFERROR(__xludf.DUMMYFUNCTION("""COMPUTED_VALUE"""),"""ЧАСТНИКИ ОПЯТЬ НАДЫМИЛИ"", 'БУЗОТЁРЫ"" ""КУБИК В @ОПЕ""")</f>
        <v>"ЧАСТНИКИ ОПЯТЬ НАДЫМИЛИ", 'БУЗОТЁРЫ" "КУБИК В @ОПЕ"</v>
      </c>
      <c r="M747" s="6" t="str">
        <f>IFERROR(__xludf.DUMMYFUNCTION("""COMPUTED_VALUE"""),"Мультифора вместо файла")</f>
        <v>Мультифора вместо файла</v>
      </c>
      <c r="N747" s="6" t="str">
        <f>IFERROR(__xludf.DUMMYFUNCTION("""COMPUTED_VALUE"""),"Нерубленные деревья, чистые улицы, разумные дорожные развязки, пляжные места, нетронутый бор, не закатанная в бетон Искитимка и снос безобразного кафе на Набережной")</f>
        <v>Нерубленные деревья, чистые улицы, разумные дорожные развязки, пляжные места, нетронутый бор, не закатанная в бетон Искитимка и снос безобразного кафе на Набережной</v>
      </c>
      <c r="O747" s="6" t="str">
        <f>IFERROR(__xludf.DUMMYFUNCTION("""COMPUTED_VALUE"""),"Руководство")</f>
        <v>Руководство</v>
      </c>
      <c r="P747" s="6" t="str">
        <f>IFERROR(__xludf.DUMMYFUNCTION("""COMPUTED_VALUE"""),"Интернет, Серебряный дождь, РБК, Эхо Москвы, Новая газета, Медуза, Дождь, блоги разумных людей")</f>
        <v>Интернет, Серебряный дождь, РБК, Эхо Москвы, Новая газета, Медуза, Дождь, блоги разумных людей</v>
      </c>
      <c r="Q747"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747" s="6" t="str">
        <f>IFERROR(__xludf.DUMMYFUNCTION("""COMPUTED_VALUE"""),"Рождество, Пасха, Троица ")</f>
        <v>Рождество, Пасха, Троица </v>
      </c>
      <c r="S747" s="6" t="str">
        <f>IFERROR(__xludf.DUMMYFUNCTION("""COMPUTED_VALUE"""),"Нет, не приходилось")</f>
        <v>Нет, не приходилось</v>
      </c>
      <c r="T747" s="6" t="str">
        <f>IFERROR(__xludf.DUMMYFUNCTION("""COMPUTED_VALUE"""),"Река хорошая, тайга, леса, которые ещё не успели в разрезы превратить")</f>
        <v>Река хорошая, тайга, леса, которые ещё не успели в разрезы превратить</v>
      </c>
      <c r="U747" s="6" t="str">
        <f>IFERROR(__xludf.DUMMYFUNCTION("""COMPUTED_VALUE"""),"Драматический театр, ул. ВЕСЕННЯЯ, Томь")</f>
        <v>Драматический театр, ул. ВЕСЕННЯЯ, Томь</v>
      </c>
      <c r="V747" s="6" t="str">
        <f>IFERROR(__xludf.DUMMYFUNCTION("""COMPUTED_VALUE"""),"Строили, выживали, работали, но, всё равно, мусор бросали где попало")</f>
        <v>Строили, выживали, работали, но, всё равно, мусор бросали где попало</v>
      </c>
      <c r="W747" s="6" t="str">
        <f>IFERROR(__xludf.DUMMYFUNCTION("""COMPUTED_VALUE"""),"Не верящие в возможность перемен")</f>
        <v>Не верящие в возможность перемен</v>
      </c>
      <c r="X747" s="6" t="str">
        <f>IFERROR(__xludf.DUMMYFUNCTION("""COMPUTED_VALUE"""),"ВЕСЕННЯЯ, НАБЕРЕЖНАЯ")</f>
        <v>ВЕСЕННЯЯ, НАБЕРЕЖНАЯ</v>
      </c>
      <c r="Y747" s="6" t="str">
        <f>IFERROR(__xludf.DUMMYFUNCTION("""COMPUTED_VALUE"""),"Ежегодные Дни Рожден я А.С.Пушкина")</f>
        <v>Ежегодные Дни Рожден я А.С.Пушкина</v>
      </c>
      <c r="Z747" s="6" t="str">
        <f>IFERROR(__xludf.DUMMYFUNCTION("""COMPUTED_VALUE"""),"Что нам удалось бор отстоять")</f>
        <v>Что нам удалось бор отстоять</v>
      </c>
      <c r="AA747" s="6" t="str">
        <f>IFERROR(__xludf.DUMMYFUNCTION("""COMPUTED_VALUE"""),"Выборы, рубка деревьев")</f>
        <v>Выборы, рубка деревьев</v>
      </c>
      <c r="AB747" s="6" t="str">
        <f>IFERROR(__xludf.DUMMYFUNCTION("""COMPUTED_VALUE"""),"Гражданского общества")</f>
        <v>Гражданского общества</v>
      </c>
      <c r="AC747" s="6" t="str">
        <f>IFERROR(__xludf.DUMMYFUNCTION("""COMPUTED_VALUE"""),"Посвободней бы надо быть и станет интересней")</f>
        <v>Посвободней бы надо быть и станет интересней</v>
      </c>
      <c r="AD747"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747" s="6" t="str">
        <f>IFERROR(__xludf.DUMMYFUNCTION("""COMPUTED_VALUE"""),"Женский")</f>
        <v>Женский</v>
      </c>
      <c r="AF747" s="6" t="str">
        <f>IFERROR(__xludf.DUMMYFUNCTION("""COMPUTED_VALUE"""),"старше 55")</f>
        <v>старше 55</v>
      </c>
      <c r="AG747" s="6"/>
      <c r="AH747" s="6"/>
      <c r="AI747" s="6"/>
      <c r="AJ747" s="6"/>
      <c r="AK747" s="6"/>
      <c r="AL747" s="6"/>
      <c r="AM747" s="6"/>
    </row>
    <row r="748">
      <c r="A748" s="6">
        <v>747.0</v>
      </c>
      <c r="B748" s="6" t="str">
        <f>IFERROR(__xludf.DUMMYFUNCTION("""COMPUTED_VALUE"""),"служащий")</f>
        <v>служащий</v>
      </c>
      <c r="C748" s="6" t="str">
        <f>IFERROR(__xludf.DUMMYFUNCTION("""COMPUTED_VALUE"""),"нет")</f>
        <v>нет</v>
      </c>
      <c r="D748" s="6" t="str">
        <f>IFERROR(__xludf.DUMMYFUNCTION("""COMPUTED_VALUE"""),"заводской")</f>
        <v>заводской</v>
      </c>
      <c r="E748" s="6" t="str">
        <f>IFERROR(__xludf.DUMMYFUNCTION("""COMPUTED_VALUE"""),"знаковых нет
")</f>
        <v>знаковых нет
</v>
      </c>
      <c r="F748" s="6" t="str">
        <f>IFERROR(__xludf.DUMMYFUNCTION("""COMPUTED_VALUE"""),"Живу здесь с рождения")</f>
        <v>Живу здесь с рождения</v>
      </c>
      <c r="G748" s="6" t="str">
        <f>IFERROR(__xludf.DUMMYFUNCTION("""COMPUTED_VALUE"""),"куда глаза глядят - мой любимый маршрут")</f>
        <v>куда глаза глядят - мой любимый маршрут</v>
      </c>
      <c r="H748" s="6" t="str">
        <f>IFERROR(__xludf.DUMMYFUNCTION("""COMPUTED_VALUE"""),"сумрак, дымка, уголь, ")</f>
        <v>сумрак, дымка, уголь, </v>
      </c>
      <c r="I748" s="6" t="str">
        <f>IFERROR(__xludf.DUMMYFUNCTION("""COMPUTED_VALUE"""),"Волков, Юров, Рутгерс, ")</f>
        <v>Волков, Юров, Рутгерс, </v>
      </c>
      <c r="J748" s="6" t="str">
        <f>IFERROR(__xludf.DUMMYFUNCTION("""COMPUTED_VALUE"""),"затрудняюсь ответить")</f>
        <v>затрудняюсь ответить</v>
      </c>
      <c r="K748" s="6" t="str">
        <f>IFERROR(__xludf.DUMMYFUNCTION("""COMPUTED_VALUE""")," Весенняя, набережная Кировского, Кедровка")</f>
        <v> Весенняя, набережная Кировского, Кедровка</v>
      </c>
      <c r="L748" s="6" t="str">
        <f>IFERROR(__xludf.DUMMYFUNCTION("""COMPUTED_VALUE"""),"не знаю")</f>
        <v>не знаю</v>
      </c>
      <c r="M748" s="6" t="str">
        <f>IFERROR(__xludf.DUMMYFUNCTION("""COMPUTED_VALUE"""),"нет")</f>
        <v>нет</v>
      </c>
      <c r="N748" s="6" t="str">
        <f>IFERROR(__xludf.DUMMYFUNCTION("""COMPUTED_VALUE"""),"чистота,  рациональное расположение  поликлиник,  бассейнов, культурных учреждений, учебных заведений ,парков")</f>
        <v>чистота,  рациональное расположение  поликлиник,  бассейнов, культурных учреждений, учебных заведений ,парков</v>
      </c>
      <c r="O748" s="6" t="str">
        <f>IFERROR(__xludf.DUMMYFUNCTION("""COMPUTED_VALUE"""),"необходимы новые рабочие места, зарплата")</f>
        <v>необходимы новые рабочие места, зарплата</v>
      </c>
      <c r="P748" s="6" t="str">
        <f>IFERROR(__xludf.DUMMYFUNCTION("""COMPUTED_VALUE"""),"СМИ")</f>
        <v>СМИ</v>
      </c>
      <c r="Q748" s="6" t="str">
        <f>IFERROR(__xludf.DUMMYFUNCTION("""COMPUTED_VALUE"""),"культурные новинки (что почитать/что послушать), новости про новые профессии/куда поступать/вакансии, интервью с экспертами на разные темы (напишите в разделе Другое свои предложения)")</f>
        <v>культурные новинки (что почитать/что послушать), новости про новые профессии/куда поступать/вакансии, интервью с экспертами на разные темы (напишите в разделе Другое свои предложения)</v>
      </c>
      <c r="R748" s="6" t="str">
        <f>IFERROR(__xludf.DUMMYFUNCTION("""COMPUTED_VALUE"""),"затрудняюсь ответить, я за камерность")</f>
        <v>затрудняюсь ответить, я за камерность</v>
      </c>
      <c r="S748" s="6" t="str">
        <f>IFERROR(__xludf.DUMMYFUNCTION("""COMPUTED_VALUE"""),"Через социальные сети (Какие? Укажите в графе другое), Обращался в редакции электронных городских СМИ")</f>
        <v>Через социальные сети (Какие? Укажите в графе другое), Обращался в редакции электронных городских СМИ</v>
      </c>
      <c r="T748" s="6" t="str">
        <f>IFERROR(__xludf.DUMMYFUNCTION("""COMPUTED_VALUE"""),"Уникален БОР! его надо сохранить")</f>
        <v>Уникален БОР! его надо сохранить</v>
      </c>
      <c r="U748" s="6" t="str">
        <f>IFERROR(__xludf.DUMMYFUNCTION("""COMPUTED_VALUE"""),"не знаю")</f>
        <v>не знаю</v>
      </c>
      <c r="V748" s="6" t="str">
        <f>IFERROR(__xludf.DUMMYFUNCTION("""COMPUTED_VALUE"""),"создали город и сделали его столицей Кузбасса")</f>
        <v>создали город и сделали его столицей Кузбасса</v>
      </c>
      <c r="W748" s="6" t="str">
        <f>IFERROR(__xludf.DUMMYFUNCTION("""COMPUTED_VALUE"""),"люди как люди")</f>
        <v>люди как люди</v>
      </c>
      <c r="X748" s="6" t="str">
        <f>IFERROR(__xludf.DUMMYFUNCTION("""COMPUTED_VALUE"""),"набережная")</f>
        <v>набережная</v>
      </c>
      <c r="Y748" s="6" t="str">
        <f>IFERROR(__xludf.DUMMYFUNCTION("""COMPUTED_VALUE"""),"АИК")</f>
        <v>АИК</v>
      </c>
      <c r="Z748" s="6" t="str">
        <f>IFERROR(__xludf.DUMMYFUNCTION("""COMPUTED_VALUE""")," не было таковых")</f>
        <v> не было таковых</v>
      </c>
      <c r="AA748" s="6" t="str">
        <f>IFERROR(__xludf.DUMMYFUNCTION("""COMPUTED_VALUE"""),"непродуманность большинства проектов. которые разрушают, то хорошее, что было")</f>
        <v>непродуманность большинства проектов. которые разрушают, то хорошее, что было</v>
      </c>
      <c r="AB748" s="6" t="str">
        <f>IFERROR(__xludf.DUMMYFUNCTION("""COMPUTED_VALUE"""),"сообщества меня не интересуют")</f>
        <v>сообщества меня не интересуют</v>
      </c>
      <c r="AC748" s="6" t="str">
        <f>IFERROR(__xludf.DUMMYFUNCTION("""COMPUTED_VALUE"""),"интереснее от наполненности жизни. а не от натужных событий")</f>
        <v>интереснее от наполненности жизни. а не от натужных событий</v>
      </c>
      <c r="AD74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48" s="6" t="str">
        <f>IFERROR(__xludf.DUMMYFUNCTION("""COMPUTED_VALUE"""),"Женский")</f>
        <v>Женский</v>
      </c>
      <c r="AF748" s="6" t="str">
        <f>IFERROR(__xludf.DUMMYFUNCTION("""COMPUTED_VALUE"""),"30-44")</f>
        <v>30-44</v>
      </c>
      <c r="AG748" s="6"/>
      <c r="AH748" s="6"/>
      <c r="AI748" s="6"/>
      <c r="AJ748" s="6"/>
      <c r="AK748" s="6"/>
      <c r="AL748" s="6"/>
      <c r="AM748" s="6"/>
    </row>
    <row r="749">
      <c r="A749" s="6">
        <v>748.0</v>
      </c>
      <c r="B749" s="6" t="str">
        <f>IFERROR(__xludf.DUMMYFUNCTION("""COMPUTED_VALUE"""),"Экономист ")</f>
        <v>Экономист </v>
      </c>
      <c r="C749" s="6" t="str">
        <f>IFERROR(__xludf.DUMMYFUNCTION("""COMPUTED_VALUE"""),"Есть. Спорт , рисование ")</f>
        <v>Есть. Спорт , рисование </v>
      </c>
      <c r="D749" s="6" t="str">
        <f>IFERROR(__xludf.DUMMYFUNCTION("""COMPUTED_VALUE"""),"В центральном ")</f>
        <v>В центральном </v>
      </c>
      <c r="E749" s="6" t="str">
        <f>IFERROR(__xludf.DUMMYFUNCTION("""COMPUTED_VALUE"""),"Район строящийся, ждём окончания завершения строительства спортивных объектов, набережной и Московской площади.Пока ничего знакового нет.")</f>
        <v>Район строящийся, ждём окончания завершения строительства спортивных объектов, набережной и Московской площади.Пока ничего знакового нет.</v>
      </c>
      <c r="F749" s="6" t="str">
        <f>IFERROR(__xludf.DUMMYFUNCTION("""COMPUTED_VALUE"""),"Переехал сюда из другого места (откуда? укажите в графе другое), Топки")</f>
        <v>Переехал сюда из другого места (откуда? укажите в графе другое), Топки</v>
      </c>
      <c r="G749" s="6" t="str">
        <f>IFERROR(__xludf.DUMMYFUNCTION("""COMPUTED_VALUE"""),"Рудничный Бор, в муз ., драм.,театр,филармония, планетарий, в  музеи, рестораны , кафе. ")</f>
        <v>Рудничный Бор, в муз ., драм.,театр,филармония, планетарий, в  музеи, рестораны , кафе. </v>
      </c>
      <c r="H749" s="6" t="str">
        <f>IFERROR(__xludf.DUMMYFUNCTION("""COMPUTED_VALUE"""),"Уголь, шахтёр,Шерегеш, Кузнецкий Алатау, Горная шория. ")</f>
        <v>Уголь, шахтёр,Шерегеш, Кузнецкий Алатау, Горная шория. </v>
      </c>
      <c r="I749" s="6" t="str">
        <f>IFERROR(__xludf.DUMMYFUNCTION("""COMPUTED_VALUE"""),"Михайло Волков")</f>
        <v>Михайло Волков</v>
      </c>
      <c r="J749" s="6" t="str">
        <f>IFERROR(__xludf.DUMMYFUNCTION("""COMPUTED_VALUE"""),"Тулеев А.Г.")</f>
        <v>Тулеев А.Г.</v>
      </c>
      <c r="K749" s="6" t="str">
        <f>IFERROR(__xludf.DUMMYFUNCTION("""COMPUTED_VALUE"""),"Музей -Красная горка")</f>
        <v>Музей -Красная горка</v>
      </c>
      <c r="L749" s="6" t="str">
        <f>IFERROR(__xludf.DUMMYFUNCTION("""COMPUTED_VALUE"""),"Во глубине сибирских руд храните гордое терпенье, Не пропадёт ваш скорбный  труд И дум высокое стремление...и.т.д.")</f>
        <v>Во глубине сибирских руд храните гордое терпенье, Не пропадёт ваш скорбный  труд И дум высокое стремление...и.т.д.</v>
      </c>
      <c r="M749" s="6" t="str">
        <f>IFERROR(__xludf.DUMMYFUNCTION("""COMPUTED_VALUE"""),"Мультифора ")</f>
        <v>Мультифора </v>
      </c>
      <c r="N749" s="6" t="str">
        <f>IFERROR(__xludf.DUMMYFUNCTION("""COMPUTED_VALUE"""),"Экология. Чистота.Озеленение. Прогулочные зоны для отдыха . Доступность услуг и товаров ")</f>
        <v>Экология. Чистота.Озеленение. Прогулочные зоны для отдыха . Доступность услуг и товаров </v>
      </c>
      <c r="O749" s="6" t="str">
        <f>IFERROR(__xludf.DUMMYFUNCTION("""COMPUTED_VALUE"""),"Дороги во дворах и при въезде в город привести в порядок, а так же ремонт фасадов зданий. Не моются дороги и тротуары. Очень пыльно и грязно. Особенно сейчас , пешком гулять не возможно. ")</f>
        <v>Дороги во дворах и при въезде в город привести в порядок, а так же ремонт фасадов зданий. Не моются дороги и тротуары. Очень пыльно и грязно. Особенно сейчас , пешком гулять не возможно. </v>
      </c>
      <c r="P749" s="6" t="str">
        <f>IFERROR(__xludf.DUMMYFUNCTION("""COMPUTED_VALUE"""),"Кузбассонлайн, Гугл, афиша")</f>
        <v>Кузбассонлайн, Гугл, афиша</v>
      </c>
      <c r="Q749"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м"&amp;"естных исследований (рейтинги/аналитика/тенденции), интервью с экспертами на разные темы (напишите в разделе Другое свои предложения), Экономика Кузбасса, перспективы развития и улучшения уровня жизни населения и качество жизни. Медицина и образование. Бо"&amp;"льшой отток квалифицированных кадров из данных отраслей.")</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Экономика Кузбасса, перспективы развития и улучшения уровня жизни населения и качество жизни. Медицина и образование. Большой отток квалифицированных кадров из данных отраслей.</v>
      </c>
      <c r="R749" s="6" t="str">
        <f>IFERROR(__xludf.DUMMYFUNCTION("""COMPUTED_VALUE"""),"День города. День шахтера.День победы. Новый год. ")</f>
        <v>День города. День шахтера.День победы. Новый год. </v>
      </c>
      <c r="S749" s="6" t="str">
        <f>IFERROR(__xludf.DUMMYFUNCTION("""COMPUTED_VALUE"""),"Нет, не приходилось")</f>
        <v>Нет, не приходилось</v>
      </c>
      <c r="T749" s="6" t="str">
        <f>IFERROR(__xludf.DUMMYFUNCTION("""COMPUTED_VALUE"""),"Кузбасский угольный бассейн. Шахтерский край. Ужасная трагедия в Зимней вишне. Уникальности не заметила.  небольшой Сибирский город уютный. ")</f>
        <v>Кузбасский угольный бассейн. Шахтерский край. Ужасная трагедия в Зимней вишне. Уникальности не заметила.  небольшой Сибирский город уютный. </v>
      </c>
      <c r="U749" s="6" t="str">
        <f>IFERROR(__xludf.DUMMYFUNCTION("""COMPUTED_VALUE"""),"Площадь Советов")</f>
        <v>Площадь Советов</v>
      </c>
      <c r="V749" s="6" t="str">
        <f>IFERROR(__xludf.DUMMYFUNCTION("""COMPUTED_VALUE"""),"Трудились.")</f>
        <v>Трудились.</v>
      </c>
      <c r="W749" s="6" t="str">
        <f>IFERROR(__xludf.DUMMYFUNCTION("""COMPUTED_VALUE"""),"Добрые , отзывчивые.")</f>
        <v>Добрые , отзывчивые.</v>
      </c>
      <c r="X749" s="6" t="str">
        <f>IFERROR(__xludf.DUMMYFUNCTION("""COMPUTED_VALUE"""),"Старый центр")</f>
        <v>Старый центр</v>
      </c>
      <c r="Y749" s="6" t="str">
        <f>IFERROR(__xludf.DUMMYFUNCTION("""COMPUTED_VALUE"""),"Не подскажу ")</f>
        <v>Не подскажу </v>
      </c>
      <c r="Z749" s="6" t="str">
        <f>IFERROR(__xludf.DUMMYFUNCTION("""COMPUTED_VALUE"""),"Не подскажу")</f>
        <v>Не подскажу</v>
      </c>
      <c r="AA749" s="6" t="str">
        <f>IFERROR(__xludf.DUMMYFUNCTION("""COMPUTED_VALUE"""),"Не подскажу")</f>
        <v>Не подскажу</v>
      </c>
      <c r="AB749" s="6" t="str">
        <f>IFERROR(__xludf.DUMMYFUNCTION("""COMPUTED_VALUE"""),"Ещё не разобралась")</f>
        <v>Ещё не разобралась</v>
      </c>
      <c r="AC749" s="6" t="str">
        <f>IFERROR(__xludf.DUMMYFUNCTION("""COMPUTED_VALUE"""),"По больше интересных мастерклассов для детей , различных акций и розыгрышей для привлечения активных жителей города на выставки в музеи театры, увлеченность населения ")</f>
        <v>По больше интересных мастерклассов для детей , различных акций и розыгрышей для привлечения активных жителей города на выставки в музеи театры, увлеченность населения </v>
      </c>
      <c r="AD749" s="6" t="str">
        <f>IFERROR(__xludf.DUMMYFUNCTION("""COMPUTED_VALUE"""),"Не закончилась адаптация в связи с переездом ")</f>
        <v>Не закончилась адаптация в связи с переездом </v>
      </c>
      <c r="AE749" s="6" t="str">
        <f>IFERROR(__xludf.DUMMYFUNCTION("""COMPUTED_VALUE"""),"Женский")</f>
        <v>Женский</v>
      </c>
      <c r="AF749" s="6" t="str">
        <f>IFERROR(__xludf.DUMMYFUNCTION("""COMPUTED_VALUE"""),"30-44")</f>
        <v>30-44</v>
      </c>
      <c r="AG749" s="6"/>
      <c r="AH749" s="6"/>
      <c r="AI749" s="6"/>
      <c r="AJ749" s="6"/>
      <c r="AK749" s="6"/>
      <c r="AL749" s="6"/>
      <c r="AM749" s="6"/>
    </row>
    <row r="750">
      <c r="A750" s="6">
        <v>749.0</v>
      </c>
      <c r="B750" s="6" t="str">
        <f>IFERROR(__xludf.DUMMYFUNCTION("""COMPUTED_VALUE"""),"Экономист ")</f>
        <v>Экономист </v>
      </c>
      <c r="C750" s="6" t="str">
        <f>IFERROR(__xludf.DUMMYFUNCTION("""COMPUTED_VALUE"""),"Есть. Спорт , рисование ")</f>
        <v>Есть. Спорт , рисование </v>
      </c>
      <c r="D750" s="6" t="str">
        <f>IFERROR(__xludf.DUMMYFUNCTION("""COMPUTED_VALUE"""),"В центральном ")</f>
        <v>В центральном </v>
      </c>
      <c r="E750" s="6" t="str">
        <f>IFERROR(__xludf.DUMMYFUNCTION("""COMPUTED_VALUE"""),"Район строящийся, ждём окончания завершения строительства спортивных объектов, набережной и Московской площади.Пока ничего знакового нет.")</f>
        <v>Район строящийся, ждём окончания завершения строительства спортивных объектов, набережной и Московской площади.Пока ничего знакового нет.</v>
      </c>
      <c r="F750" s="6" t="str">
        <f>IFERROR(__xludf.DUMMYFUNCTION("""COMPUTED_VALUE"""),"Переехал сюда из другого места (откуда? укажите в графе другое), Топки")</f>
        <v>Переехал сюда из другого места (откуда? укажите в графе другое), Топки</v>
      </c>
      <c r="G750" s="6" t="str">
        <f>IFERROR(__xludf.DUMMYFUNCTION("""COMPUTED_VALUE"""),"Рудничный Бор, в муз ., драм.,театр,филармония, планетарий, в  музеи, рестораны , кафе. ")</f>
        <v>Рудничный Бор, в муз ., драм.,театр,филармония, планетарий, в  музеи, рестораны , кафе. </v>
      </c>
      <c r="H750" s="6" t="str">
        <f>IFERROR(__xludf.DUMMYFUNCTION("""COMPUTED_VALUE"""),"Уголь, шахтёр,Шерегеш, Кузнецкий Алатау, Горная шория. ")</f>
        <v>Уголь, шахтёр,Шерегеш, Кузнецкий Алатау, Горная шория. </v>
      </c>
      <c r="I750" s="6" t="str">
        <f>IFERROR(__xludf.DUMMYFUNCTION("""COMPUTED_VALUE"""),"Михайло Волков")</f>
        <v>Михайло Волков</v>
      </c>
      <c r="J750" s="6" t="str">
        <f>IFERROR(__xludf.DUMMYFUNCTION("""COMPUTED_VALUE"""),"Тулеев А.Г.")</f>
        <v>Тулеев А.Г.</v>
      </c>
      <c r="K750" s="6" t="str">
        <f>IFERROR(__xludf.DUMMYFUNCTION("""COMPUTED_VALUE"""),"Музей -Красная горка")</f>
        <v>Музей -Красная горка</v>
      </c>
      <c r="L750" s="6" t="str">
        <f>IFERROR(__xludf.DUMMYFUNCTION("""COMPUTED_VALUE"""),"Во глубине сибирских руд храните гордое терпенье, Не пропадёт ваш скорбный  труд И дум высокое стремление...и.т.д.")</f>
        <v>Во глубине сибирских руд храните гордое терпенье, Не пропадёт ваш скорбный  труд И дум высокое стремление...и.т.д.</v>
      </c>
      <c r="M750" s="6" t="str">
        <f>IFERROR(__xludf.DUMMYFUNCTION("""COMPUTED_VALUE"""),"Мультифора ")</f>
        <v>Мультифора </v>
      </c>
      <c r="N750" s="6" t="str">
        <f>IFERROR(__xludf.DUMMYFUNCTION("""COMPUTED_VALUE"""),"Экология. Чистота.Озеленение. Прогулочные зоны для отдыха . Доступность услуг и товаров ")</f>
        <v>Экология. Чистота.Озеленение. Прогулочные зоны для отдыха . Доступность услуг и товаров </v>
      </c>
      <c r="O750" s="6" t="str">
        <f>IFERROR(__xludf.DUMMYFUNCTION("""COMPUTED_VALUE"""),"Дороги во дворах и при въезде в город привести в порядок, а так же ремонт фасадов зданий. Не моются дороги и тротуары. Очень пыльно и грязно. Особенно сейчас , пешком гулять не возможно. ")</f>
        <v>Дороги во дворах и при въезде в город привести в порядок, а так же ремонт фасадов зданий. Не моются дороги и тротуары. Очень пыльно и грязно. Особенно сейчас , пешком гулять не возможно. </v>
      </c>
      <c r="P750" s="6" t="str">
        <f>IFERROR(__xludf.DUMMYFUNCTION("""COMPUTED_VALUE"""),"Кузбассонлайн, Гугл, афиша")</f>
        <v>Кузбассонлайн, Гугл, афиша</v>
      </c>
      <c r="Q750"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м"&amp;"естных исследований (рейтинги/аналитика/тенденции), интервью с экспертами на разные темы (напишите в разделе Другое свои предложения), Экономика Кузбасса, перспективы развития и улучшения уровня жизни населения и качество жизни. Медицина и образование. Бо"&amp;"льшой отток квалифицированных кадров из данных отраслей.")</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Экономика Кузбасса, перспективы развития и улучшения уровня жизни населения и качество жизни. Медицина и образование. Большой отток квалифицированных кадров из данных отраслей.</v>
      </c>
      <c r="R750" s="6" t="str">
        <f>IFERROR(__xludf.DUMMYFUNCTION("""COMPUTED_VALUE"""),"День города. День шахтера.День победы. Новый год. ")</f>
        <v>День города. День шахтера.День победы. Новый год. </v>
      </c>
      <c r="S750" s="6" t="str">
        <f>IFERROR(__xludf.DUMMYFUNCTION("""COMPUTED_VALUE"""),"Нет, не приходилось")</f>
        <v>Нет, не приходилось</v>
      </c>
      <c r="T750" s="6" t="str">
        <f>IFERROR(__xludf.DUMMYFUNCTION("""COMPUTED_VALUE"""),"Кузбасский угольный бассейн. Шахтерский край. Ужасная трагедия в Зимней вишне. Уникальности не заметила.  небольшой Сибирский город уютный. ")</f>
        <v>Кузбасский угольный бассейн. Шахтерский край. Ужасная трагедия в Зимней вишне. Уникальности не заметила.  небольшой Сибирский город уютный. </v>
      </c>
      <c r="U750" s="6" t="str">
        <f>IFERROR(__xludf.DUMMYFUNCTION("""COMPUTED_VALUE"""),"Площадь Советов")</f>
        <v>Площадь Советов</v>
      </c>
      <c r="V750" s="6" t="str">
        <f>IFERROR(__xludf.DUMMYFUNCTION("""COMPUTED_VALUE"""),"Трудились.")</f>
        <v>Трудились.</v>
      </c>
      <c r="W750" s="6" t="str">
        <f>IFERROR(__xludf.DUMMYFUNCTION("""COMPUTED_VALUE"""),"Добрые , отзывчивые.")</f>
        <v>Добрые , отзывчивые.</v>
      </c>
      <c r="X750" s="6" t="str">
        <f>IFERROR(__xludf.DUMMYFUNCTION("""COMPUTED_VALUE"""),"Старый центр")</f>
        <v>Старый центр</v>
      </c>
      <c r="Y750" s="6" t="str">
        <f>IFERROR(__xludf.DUMMYFUNCTION("""COMPUTED_VALUE"""),"Не подскажу ")</f>
        <v>Не подскажу </v>
      </c>
      <c r="Z750" s="6" t="str">
        <f>IFERROR(__xludf.DUMMYFUNCTION("""COMPUTED_VALUE"""),"Не подскажу")</f>
        <v>Не подскажу</v>
      </c>
      <c r="AA750" s="6" t="str">
        <f>IFERROR(__xludf.DUMMYFUNCTION("""COMPUTED_VALUE"""),"Не подскажу")</f>
        <v>Не подскажу</v>
      </c>
      <c r="AB750" s="6" t="str">
        <f>IFERROR(__xludf.DUMMYFUNCTION("""COMPUTED_VALUE"""),"Ещё не разобралась")</f>
        <v>Ещё не разобралась</v>
      </c>
      <c r="AC750" s="6" t="str">
        <f>IFERROR(__xludf.DUMMYFUNCTION("""COMPUTED_VALUE"""),"По больше интересных мастерклассов для детей , различных акций и розыгрышей для привлечения активных жителей города на выставки в музеи театры, увлеченность населения ")</f>
        <v>По больше интересных мастерклассов для детей , различных акций и розыгрышей для привлечения активных жителей города на выставки в музеи театры, увлеченность населения </v>
      </c>
      <c r="AD750" s="6" t="str">
        <f>IFERROR(__xludf.DUMMYFUNCTION("""COMPUTED_VALUE"""),"Не закончилась адаптация в связи с переездом ")</f>
        <v>Не закончилась адаптация в связи с переездом </v>
      </c>
      <c r="AE750" s="6" t="str">
        <f>IFERROR(__xludf.DUMMYFUNCTION("""COMPUTED_VALUE"""),"Женский")</f>
        <v>Женский</v>
      </c>
      <c r="AF750" s="6" t="str">
        <f>IFERROR(__xludf.DUMMYFUNCTION("""COMPUTED_VALUE"""),"30-44")</f>
        <v>30-44</v>
      </c>
      <c r="AG750" s="6"/>
      <c r="AH750" s="6"/>
      <c r="AI750" s="6"/>
      <c r="AJ750" s="6"/>
      <c r="AK750" s="6"/>
      <c r="AL750" s="6"/>
      <c r="AM750" s="6"/>
    </row>
    <row r="751">
      <c r="A751" s="6">
        <v>750.0</v>
      </c>
      <c r="B751" s="6" t="str">
        <f>IFERROR(__xludf.DUMMYFUNCTION("""COMPUTED_VALUE"""),"Уборщик служебных помещений")</f>
        <v>Уборщик служебных помещений</v>
      </c>
      <c r="C751" s="6" t="str">
        <f>IFERROR(__xludf.DUMMYFUNCTION("""COMPUTED_VALUE"""),"Кататься на велике, рисование, долгие прогулки")</f>
        <v>Кататься на велике, рисование, долгие прогулки</v>
      </c>
      <c r="D751" s="6" t="str">
        <f>IFERROR(__xludf.DUMMYFUNCTION("""COMPUTED_VALUE"""),"Заводкой район. Называю его южным")</f>
        <v>Заводкой район. Называю его южным</v>
      </c>
      <c r="E751" s="6" t="str">
        <f>IFERROR(__xludf.DUMMYFUNCTION("""COMPUTED_VALUE"""),"Аллея")</f>
        <v>Аллея</v>
      </c>
      <c r="F751" s="6" t="str">
        <f>IFERROR(__xludf.DUMMYFUNCTION("""COMPUTED_VALUE"""),"Живу здесь с рождения")</f>
        <v>Живу здесь с рождения</v>
      </c>
      <c r="G751" s="6" t="str">
        <f>IFERROR(__xludf.DUMMYFUNCTION("""COMPUTED_VALUE"""),"В центр города")</f>
        <v>В центр города</v>
      </c>
      <c r="H751" s="6" t="str">
        <f>IFERROR(__xludf.DUMMYFUNCTION("""COMPUTED_VALUE"""),"Город мрака. Дым город. Город в котором не чем дышать. Грязно. Город без будущего")</f>
        <v>Город мрака. Дым город. Город в котором не чем дышать. Грязно. Город без будущего</v>
      </c>
      <c r="I751" s="6" t="str">
        <f>IFERROR(__xludf.DUMMYFUNCTION("""COMPUTED_VALUE"""),"Олег Кошевого, Юрий Двужильный")</f>
        <v>Олег Кошевого, Юрий Двужильный</v>
      </c>
      <c r="J751" s="6" t="str">
        <f>IFERROR(__xludf.DUMMYFUNCTION("""COMPUTED_VALUE"""),"Не знаю таких")</f>
        <v>Не знаю таких</v>
      </c>
      <c r="K751" s="6" t="str">
        <f>IFERROR(__xludf.DUMMYFUNCTION("""COMPUTED_VALUE"""),"Сосновый Бор, и парк чудес. Больше показывать не чего.")</f>
        <v>Сосновый Бор, и парк чудес. Больше показывать не чего.</v>
      </c>
      <c r="L751" s="6" t="str">
        <f>IFERROR(__xludf.DUMMYFUNCTION("""COMPUTED_VALUE"""),"Большая деревня")</f>
        <v>Большая деревня</v>
      </c>
      <c r="M751" s="6" t="str">
        <f>IFERROR(__xludf.DUMMYFUNCTION("""COMPUTED_VALUE"""),"Нет")</f>
        <v>Нет</v>
      </c>
      <c r="N751" s="6" t="str">
        <f>IFERROR(__xludf.DUMMYFUNCTION("""COMPUTED_VALUE"""),"Чистота, повышение зарплат, снижение цен на продукты питания. Свежий воздух. Построение собственного производства и новых мест для работы. ")</f>
        <v>Чистота, повышение зарплат, снижение цен на продукты питания. Свежий воздух. Построение собственного производства и новых мест для работы. </v>
      </c>
      <c r="O751" s="6" t="str">
        <f>IFERROR(__xludf.DUMMYFUNCTION("""COMPUTED_VALUE"""),"Качество воздуха. Из-за постоянного задымления, развилась аллергия. Если это не прекратится, в будущем буду рассматривать переезд в другой город. ")</f>
        <v>Качество воздуха. Из-за постоянного задымления, развилась аллергия. Если это не прекратится, в будущем буду рассматривать переезд в другой город. </v>
      </c>
      <c r="P751" s="6" t="str">
        <f>IFERROR(__xludf.DUMMYFUNCTION("""COMPUTED_VALUE"""),"Вк ")</f>
        <v>Вк </v>
      </c>
      <c r="Q751" s="6" t="str">
        <f>IFERROR(__xludf.DUMMYFUNCTION("""COMPUTED_VALUE"""),"где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v>
      </c>
      <c r="R751" s="6" t="str">
        <f>IFERROR(__xludf.DUMMYFUNCTION("""COMPUTED_VALUE"""),"Никакие")</f>
        <v>Никакие</v>
      </c>
      <c r="S751" s="6" t="str">
        <f>IFERROR(__xludf.DUMMYFUNCTION("""COMPUTED_VALUE"""),"Нет, не приходилось")</f>
        <v>Нет, не приходилось</v>
      </c>
      <c r="T751" s="6" t="str">
        <f>IFERROR(__xludf.DUMMYFUNCTION("""COMPUTED_VALUE"""),"Большенство знают наш город как самый задымлённый город с постоянными выхлапами и чёрным снегом. И погоревшая Зимняя Вишня. Ассоциация не из приятных. ")</f>
        <v>Большенство знают наш город как самый задымлённый город с постоянными выхлапами и чёрным снегом. И погоревшая Зимняя Вишня. Ассоциация не из приятных. </v>
      </c>
      <c r="U751" s="6" t="str">
        <f>IFERROR(__xludf.DUMMYFUNCTION("""COMPUTED_VALUE"""),"Кирова")</f>
        <v>Кирова</v>
      </c>
      <c r="V751" s="6" t="str">
        <f>IFERROR(__xludf.DUMMYFUNCTION("""COMPUTED_VALUE"""),"Не знаю")</f>
        <v>Не знаю</v>
      </c>
      <c r="W751" s="6" t="str">
        <f>IFERROR(__xludf.DUMMYFUNCTION("""COMPUTED_VALUE"""),"Злые и угрюмые. Не доброжелательные.")</f>
        <v>Злые и угрюмые. Не доброжелательные.</v>
      </c>
      <c r="X751" s="6" t="str">
        <f>IFERROR(__xludf.DUMMYFUNCTION("""COMPUTED_VALUE"""),"40 маршрутное такси. Провезет через большую часть города)")</f>
        <v>40 маршрутное такси. Провезет через большую часть города)</v>
      </c>
      <c r="Y751" s="6" t="str">
        <f>IFERROR(__xludf.DUMMYFUNCTION("""COMPUTED_VALUE"""),"Не знаю")</f>
        <v>Не знаю</v>
      </c>
      <c r="Z751" s="6" t="str">
        <f>IFERROR(__xludf.DUMMYFUNCTION("""COMPUTED_VALUE"""),"Нет таких")</f>
        <v>Нет таких</v>
      </c>
      <c r="AA751" s="6" t="str">
        <f>IFERROR(__xludf.DUMMYFUNCTION("""COMPUTED_VALUE"""),"Игнорирование властей на задымление города. ")</f>
        <v>Игнорирование властей на задымление города. </v>
      </c>
      <c r="AB751" s="6" t="str">
        <f>IFERROR(__xludf.DUMMYFUNCTION("""COMPUTED_VALUE"""),"Нет таких")</f>
        <v>Нет таких</v>
      </c>
      <c r="AC751" s="6" t="str">
        <f>IFERROR(__xludf.DUMMYFUNCTION("""COMPUTED_VALUE"""),"Вернуть дискотеки, вернуть подарки при заключении брака в день семьи и день города. ")</f>
        <v>Вернуть дискотеки, вернуть подарки при заключении брака в день семьи и день города. </v>
      </c>
      <c r="AD75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51" s="6" t="str">
        <f>IFERROR(__xludf.DUMMYFUNCTION("""COMPUTED_VALUE"""),"Женский")</f>
        <v>Женский</v>
      </c>
      <c r="AF751" s="6" t="str">
        <f>IFERROR(__xludf.DUMMYFUNCTION("""COMPUTED_VALUE"""),"18-29")</f>
        <v>18-29</v>
      </c>
      <c r="AG751" s="6"/>
      <c r="AH751" s="6"/>
      <c r="AI751" s="6"/>
      <c r="AJ751" s="6"/>
      <c r="AK751" s="6"/>
      <c r="AL751" s="6"/>
      <c r="AM751" s="6"/>
    </row>
    <row r="752">
      <c r="A752" s="6">
        <v>751.0</v>
      </c>
      <c r="B752" s="6" t="str">
        <f>IFERROR(__xludf.DUMMYFUNCTION("""COMPUTED_VALUE"""),"Инженер")</f>
        <v>Инженер</v>
      </c>
      <c r="C752" s="6" t="str">
        <f>IFERROR(__xludf.DUMMYFUNCTION("""COMPUTED_VALUE"""),"Путешествия")</f>
        <v>Путешествия</v>
      </c>
      <c r="D752" s="6" t="str">
        <f>IFERROR(__xludf.DUMMYFUNCTION("""COMPUTED_VALUE"""),"Рудничный. Радуга.")</f>
        <v>Рудничный. Радуга.</v>
      </c>
      <c r="E752" s="6" t="str">
        <f>IFERROR(__xludf.DUMMYFUNCTION("""COMPUTED_VALUE"""),"Музей-заповедник ""Красная горка"", Монумент ""Память шахтерам Кузбасса"" Серебряный бор, Рудничный бор, ДК Шахтеров, памятник шахтерам у администрации района")</f>
        <v>Музей-заповедник "Красная горка", Монумент "Память шахтерам Кузбасса" Серебряный бор, Рудничный бор, ДК Шахтеров, памятник шахтерам у администрации района</v>
      </c>
      <c r="F752" s="6" t="str">
        <f>IFERROR(__xludf.DUMMYFUNCTION("""COMPUTED_VALUE"""),"Живу здесь с рождения")</f>
        <v>Живу здесь с рождения</v>
      </c>
      <c r="G752" s="6" t="str">
        <f>IFERROR(__xludf.DUMMYFUNCTION("""COMPUTED_VALUE"""),"Драмтеатр, Парк чудес, Парк ""Лесная сказка""")</f>
        <v>Драмтеатр, Парк чудес, Парк "Лесная сказка"</v>
      </c>
      <c r="H752" s="6" t="str">
        <f>IFERROR(__xludf.DUMMYFUNCTION("""COMPUTED_VALUE"""),"Уютный, зеленый, Шахтерская столица, Город-химик, комфортный")</f>
        <v>Уютный, зеленый, Шахтерская столица, Город-химик, комфортный</v>
      </c>
      <c r="I752" s="6" t="str">
        <f>IFERROR(__xludf.DUMMYFUNCTION("""COMPUTED_VALUE"""),"Себальд Рутгерс, Владимир Мартемьянов, Михайло Волков, Алексей Леонов, Михаил Подгорбунский")</f>
        <v>Себальд Рутгерс, Владимир Мартемьянов, Михайло Волков, Алексей Леонов, Михаил Подгорбунский</v>
      </c>
      <c r="J752" s="6" t="str">
        <f>IFERROR(__xludf.DUMMYFUNCTION("""COMPUTED_VALUE"""),"Владимир Михайлов, Евгений Гришковец, Леонид Барбараш")</f>
        <v>Владимир Михайлов, Евгений Гришковец, Леонид Барбараш</v>
      </c>
      <c r="K752" s="6" t="str">
        <f>IFERROR(__xludf.DUMMYFUNCTION("""COMPUTED_VALUE"""),"Музей-заповедник ""Красная горка"", Монумент ""Память шахтерам Кузбасса"", Притомская набережная, Лесная поляна")</f>
        <v>Музей-заповедник "Красная горка", Монумент "Память шахтерам Кузбасса", Притомская набережная, Лесная поляна</v>
      </c>
      <c r="L752" s="6" t="str">
        <f>IFERROR(__xludf.DUMMYFUNCTION("""COMPUTED_VALUE"""),"Он скуп на слова, как Де Ниро
С ним спорит только больной
Его не проведешь на мякине
Он знает ходы под землей
Небо рухнет на землю
Перестанет расти трава
Он придёт и молча поправит все
Человек из Кемерова")</f>
        <v>Он скуп на слова, как Де Ниро
С ним спорит только больной
Его не проведешь на мякине
Он знает ходы под землей
Небо рухнет на землю
Перестанет расти трава
Он придёт и молча поправит все
Человек из Кемерова</v>
      </c>
      <c r="M752" s="6" t="str">
        <f>IFERROR(__xludf.DUMMYFUNCTION("""COMPUTED_VALUE"""),"Кемерово не склоняется)")</f>
        <v>Кемерово не склоняется)</v>
      </c>
      <c r="N752" s="6" t="str">
        <f>IFERROR(__xludf.DUMMYFUNCTION("""COMPUTED_VALUE"""),"Хорошая транспортная инфраструктура; наличие мест отдыха; благоустройство; хорошая экология, высокий уровень культуры жителей. ")</f>
        <v>Хорошая транспортная инфраструктура; наличие мест отдыха; благоустройство; хорошая экология, высокий уровень культуры жителей. </v>
      </c>
      <c r="O752" s="6" t="str">
        <f>IFERROR(__xludf.DUMMYFUNCTION("""COMPUTED_VALUE"""),"Развивать экономику")</f>
        <v>Развивать экономику</v>
      </c>
      <c r="P752" s="6" t="str">
        <f>IFERROR(__xludf.DUMMYFUNCTION("""COMPUTED_VALUE"""),"Яндекс новости, ТГ-канал ""Бузотеры и вороньё""")</f>
        <v>Яндекс новости, ТГ-канал "Бузотеры и вороньё"</v>
      </c>
      <c r="Q752" s="6" t="str">
        <f>IFERROR(__xludf.DUMMYFUNCTION("""COMPUTED_VALUE"""),"интервью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752" s="6" t="str">
        <f>IFERROR(__xludf.DUMMYFUNCTION("""COMPUTED_VALUE"""),"День города, День Шахтёра")</f>
        <v>День города, День Шахтёра</v>
      </c>
      <c r="S752" s="6" t="str">
        <f>IFERROR(__xludf.DUMMYFUNCTION("""COMPUTED_VALUE"""),"Нет, не приходилось")</f>
        <v>Нет, не приходилось</v>
      </c>
      <c r="T752" s="6" t="str">
        <f>IFERROR(__xludf.DUMMYFUNCTION("""COMPUTED_VALUE"""),"Нам нужно работать над этим. Самые громкие события носят печальный характер.")</f>
        <v>Нам нужно работать над этим. Самые громкие события носят печальный характер.</v>
      </c>
      <c r="U752" s="6" t="str">
        <f>IFERROR(__xludf.DUMMYFUNCTION("""COMPUTED_VALUE"""),"Красная горка, Старый центр")</f>
        <v>Красная горка, Старый центр</v>
      </c>
      <c r="V752" s="6" t="str">
        <f>IFERROR(__xludf.DUMMYFUNCTION("""COMPUTED_VALUE"""),"Основали АИК ""Кузбасс"", Трудились на предприятиях, в том числе в военное время. Грамотный подход к градостроительству и благоустройству города во времена руководства В. Михайлова. ")</f>
        <v>Основали АИК "Кузбасс", Трудились на предприятиях, в том числе в военное время. Грамотный подход к градостроительству и благоустройству города во времена руководства В. Михайлова. </v>
      </c>
      <c r="W752" s="6" t="str">
        <f>IFERROR(__xludf.DUMMYFUNCTION("""COMPUTED_VALUE"""),"Достаточно закрытые. Суровые. Ценящие справедливость и установленные правила. Сильные духом.  ")</f>
        <v>Достаточно закрытые. Суровые. Ценящие справедливость и установленные правила. Сильные духом.  </v>
      </c>
      <c r="X752" s="6" t="str">
        <f>IFERROR(__xludf.DUMMYFUNCTION("""COMPUTED_VALUE"""),"пл. Советов - Притомская набережная - ул. Весенняя")</f>
        <v>пл. Советов - Притомская набережная - ул. Весенняя</v>
      </c>
      <c r="Y752" s="6" t="str">
        <f>IFERROR(__xludf.DUMMYFUNCTION("""COMPUTED_VALUE"""),"Организация АИК ""Кузбасс"". Это положило начало Кемерово как города.")</f>
        <v>Организация АИК "Кузбасс". Это положило начало Кемерово как города.</v>
      </c>
      <c r="Z752" s="6" t="str">
        <f>IFERROR(__xludf.DUMMYFUNCTION("""COMPUTED_VALUE"""),"Концерт ""Легенды мирового рока"", обновление автобусного парка")</f>
        <v>Концерт "Легенды мирового рока", обновление автобусного парка</v>
      </c>
      <c r="AA752" s="6" t="str">
        <f>IFERROR(__xludf.DUMMYFUNCTION("""COMPUTED_VALUE"""),"Неуспешный проект ""Кузбасс №1 за Уралом"", Празднование 300-летия Кузбасса - искажение истории в угоду политики.")</f>
        <v>Неуспешный проект "Кузбасс №1 за Уралом", Празднование 300-летия Кузбасса - искажение истории в угоду политики.</v>
      </c>
      <c r="AB752" s="6" t="str">
        <f>IFERROR(__xludf.DUMMYFUNCTION("""COMPUTED_VALUE"""),"Мне хватает")</f>
        <v>Мне хватает</v>
      </c>
      <c r="AC752" s="6" t="str">
        <f>IFERROR(__xludf.DUMMYFUNCTION("""COMPUTED_VALUE"""),"Музыкальные концерты. Современное искусство (театральные постановки, выставки). Нужно место наподобие Подземки в Новосибирске. ")</f>
        <v>Музыкальные концерты. Современное искусство (театральные постановки, выставки). Нужно место наподобие Подземки в Новосибирске. </v>
      </c>
      <c r="AD75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52" s="6" t="str">
        <f>IFERROR(__xludf.DUMMYFUNCTION("""COMPUTED_VALUE"""),"Мужской")</f>
        <v>Мужской</v>
      </c>
      <c r="AF752" s="6" t="str">
        <f>IFERROR(__xludf.DUMMYFUNCTION("""COMPUTED_VALUE"""),"30-44")</f>
        <v>30-44</v>
      </c>
      <c r="AG752" s="6"/>
      <c r="AH752" s="6"/>
      <c r="AI752" s="6"/>
      <c r="AJ752" s="6"/>
      <c r="AK752" s="6"/>
      <c r="AL752" s="6"/>
      <c r="AM752" s="6"/>
    </row>
    <row r="753">
      <c r="A753" s="6">
        <v>752.0</v>
      </c>
      <c r="B753" s="6" t="str">
        <f>IFERROR(__xludf.DUMMYFUNCTION("""COMPUTED_VALUE"""),"Домохозяйка")</f>
        <v>Домохозяйка</v>
      </c>
      <c r="C753" s="6" t="str">
        <f>IFERROR(__xludf.DUMMYFUNCTION("""COMPUTED_VALUE"""),"Спорт")</f>
        <v>Спорт</v>
      </c>
      <c r="D753" s="6" t="str">
        <f>IFERROR(__xludf.DUMMYFUNCTION("""COMPUTED_VALUE"""),"Проспект Московский новый центр")</f>
        <v>Проспект Московский новый центр</v>
      </c>
      <c r="E753" s="6" t="str">
        <f>IFERROR(__xludf.DUMMYFUNCTION("""COMPUTED_VALUE"""),"Кадетское Президентское училище ")</f>
        <v>Кадетское Президентское училище </v>
      </c>
      <c r="F753" s="6" t="str">
        <f>IFERROR(__xludf.DUMMYFUNCTION("""COMPUTED_VALUE"""),"Переехал сюда из другого места (откуда? укажите в графе другое), г. Северодвинск ")</f>
        <v>Переехал сюда из другого места (откуда? укажите в графе другое), г. Северодвинск </v>
      </c>
      <c r="G753" s="6" t="str">
        <f>IFERROR(__xludf.DUMMYFUNCTION("""COMPUTED_VALUE"""),"Набережная, металлоплащадка")</f>
        <v>Набережная, металлоплащадка</v>
      </c>
      <c r="H753" s="6" t="str">
        <f>IFERROR(__xludf.DUMMYFUNCTION("""COMPUTED_VALUE"""),"Мощь красота простор зелень технологии")</f>
        <v>Мощь красота простор зелень технологии</v>
      </c>
      <c r="I753" s="6" t="str">
        <f>IFERROR(__xludf.DUMMYFUNCTION("""COMPUTED_VALUE"""),"Тулеев")</f>
        <v>Тулеев</v>
      </c>
      <c r="J753" s="6" t="str">
        <f>IFERROR(__xludf.DUMMYFUNCTION("""COMPUTED_VALUE"""),"Путин, Цивелев, шахтёры ")</f>
        <v>Путин, Цивелев, шахтёры </v>
      </c>
      <c r="K753" s="6" t="str">
        <f>IFERROR(__xludf.DUMMYFUNCTION("""COMPUTED_VALUE"""),"Памятник шахтерам парк Чудес")</f>
        <v>Памятник шахтерам парк Чудес</v>
      </c>
      <c r="L753" s="6" t="str">
        <f>IFERROR(__xludf.DUMMYFUNCTION("""COMPUTED_VALUE"""),"Мал золотник да дорог")</f>
        <v>Мал золотник да дорог</v>
      </c>
      <c r="M753" s="6" t="str">
        <f>IFERROR(__xludf.DUMMYFUNCTION("""COMPUTED_VALUE"""),"Че к чему ")</f>
        <v>Че к чему </v>
      </c>
      <c r="N753" s="6" t="str">
        <f>IFERROR(__xludf.DUMMYFUNCTION("""COMPUTED_VALUE"""),"Много зелени,чистые улицы, хорошие дороги, много новых построек")</f>
        <v>Много зелени,чистые улицы, хорошие дороги, много новых построек</v>
      </c>
      <c r="O753" s="6" t="str">
        <f>IFERROR(__xludf.DUMMYFUNCTION("""COMPUTED_VALUE"""),"Построить парк отдыха , сделать объездную дорогу , чтобы через город не проходила федеральная трасса")</f>
        <v>Построить парк отдыха , сделать объездную дорогу , чтобы через город не проходила федеральная трасса</v>
      </c>
      <c r="P753" s="6" t="str">
        <f>IFERROR(__xludf.DUMMYFUNCTION("""COMPUTED_VALUE"""),"Интернет в контакте, инстаграм")</f>
        <v>Интернет в контакте, инстаграм</v>
      </c>
      <c r="Q753" s="6" t="str">
        <f>IFERROR(__xludf.DUMMYFUNCTION("""COMPUTED_VALUE"""),"интервью с местными предпринимателями, криминальные новости (происшествия/преступления), результаты местных исследований (рейтинги/аналитика/тенденции)")</f>
        <v>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753" s="6" t="str">
        <f>IFERROR(__xludf.DUMMYFUNCTION("""COMPUTED_VALUE"""),"День Победы и день города")</f>
        <v>День Победы и день города</v>
      </c>
      <c r="S753" s="6" t="str">
        <f>IFERROR(__xludf.DUMMYFUNCTION("""COMPUTED_VALUE"""),"Нет, не приходилось")</f>
        <v>Нет, не приходилось</v>
      </c>
      <c r="T753" s="6" t="str">
        <f>IFERROR(__xludf.DUMMYFUNCTION("""COMPUTED_VALUE"""),"Своей промышленностью, природой")</f>
        <v>Своей промышленностью, природой</v>
      </c>
      <c r="U753" s="6" t="str">
        <f>IFERROR(__xludf.DUMMYFUNCTION("""COMPUTED_VALUE"""),"Новый спорткомплекс арена")</f>
        <v>Новый спорткомплекс арена</v>
      </c>
      <c r="V753" s="6" t="str">
        <f>IFERROR(__xludf.DUMMYFUNCTION("""COMPUTED_VALUE"""),"Благоустроили его ")</f>
        <v>Благоустроили его </v>
      </c>
      <c r="W753" s="6" t="str">
        <f>IFERROR(__xludf.DUMMYFUNCTION("""COMPUTED_VALUE"""),"Добрые отзывчивые веселые")</f>
        <v>Добрые отзывчивые веселые</v>
      </c>
      <c r="X753" s="6" t="str">
        <f>IFERROR(__xludf.DUMMYFUNCTION("""COMPUTED_VALUE"""),"Кузнецкий мост - мост на Терешковой улице")</f>
        <v>Кузнецкий мост - мост на Терешковой улице</v>
      </c>
      <c r="Y753" s="6" t="str">
        <f>IFERROR(__xludf.DUMMYFUNCTION("""COMPUTED_VALUE"""),"300 лет Кузбассу")</f>
        <v>300 лет Кузбассу</v>
      </c>
      <c r="Z753" s="6" t="str">
        <f>IFERROR(__xludf.DUMMYFUNCTION("""COMPUTED_VALUE"""),"Салют на день победы")</f>
        <v>Салют на день победы</v>
      </c>
      <c r="AA753" s="6" t="str">
        <f>IFERROR(__xludf.DUMMYFUNCTION("""COMPUTED_VALUE"""),"Аварии на дорогах")</f>
        <v>Аварии на дорогах</v>
      </c>
      <c r="AB753" s="6" t="str">
        <f>IFERROR(__xludf.DUMMYFUNCTION("""COMPUTED_VALUE"""),"Сообщество по охране природы")</f>
        <v>Сообщество по охране природы</v>
      </c>
      <c r="AC753" s="6" t="str">
        <f>IFERROR(__xludf.DUMMYFUNCTION("""COMPUTED_VALUE"""),"Больше спортивных соревновании, концертов")</f>
        <v>Больше спортивных соревновании, концертов</v>
      </c>
      <c r="AD75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53" s="6" t="str">
        <f>IFERROR(__xludf.DUMMYFUNCTION("""COMPUTED_VALUE"""),"Женский")</f>
        <v>Женский</v>
      </c>
      <c r="AF753" s="6" t="str">
        <f>IFERROR(__xludf.DUMMYFUNCTION("""COMPUTED_VALUE"""),"30-44")</f>
        <v>30-44</v>
      </c>
      <c r="AG753" s="6"/>
      <c r="AH753" s="6"/>
      <c r="AI753" s="6"/>
      <c r="AJ753" s="6"/>
      <c r="AK753" s="6"/>
      <c r="AL753" s="6"/>
      <c r="AM753" s="6"/>
    </row>
    <row r="754">
      <c r="A754" s="6">
        <v>753.0</v>
      </c>
      <c r="B754" s="6" t="str">
        <f>IFERROR(__xludf.DUMMYFUNCTION("""COMPUTED_VALUE"""),"Учеба")</f>
        <v>Учеба</v>
      </c>
      <c r="C754" s="6" t="str">
        <f>IFERROR(__xludf.DUMMYFUNCTION("""COMPUTED_VALUE"""),"путешествия")</f>
        <v>путешествия</v>
      </c>
      <c r="D754" s="6" t="str">
        <f>IFERROR(__xludf.DUMMYFUNCTION("""COMPUTED_VALUE"""),"Центральный, Центр")</f>
        <v>Центральный, Центр</v>
      </c>
      <c r="E754" s="6" t="str">
        <f>IFERROR(__xludf.DUMMYFUNCTION("""COMPUTED_VALUE"""),"Фонтан, парк Орбита, театр Драмы, площадь Пушкина, Набережная, Парк Победы, Филармония")</f>
        <v>Фонтан, парк Орбита, театр Драмы, площадь Пушкина, Набережная, Парк Победы, Филармония</v>
      </c>
      <c r="F754" s="6" t="str">
        <f>IFERROR(__xludf.DUMMYFUNCTION("""COMPUTED_VALUE"""),"Живу здесь с рождения")</f>
        <v>Живу здесь с рождения</v>
      </c>
      <c r="G754" s="6" t="str">
        <f>IFERROR(__xludf.DUMMYFUNCTION("""COMPUTED_VALUE"""),"ул. весенняя, парки орбита и победы, набережная, театр драмы")</f>
        <v>ул. весенняя, парки орбита и победы, набережная, театр драмы</v>
      </c>
      <c r="H754" s="6" t="str">
        <f>IFERROR(__xludf.DUMMYFUNCTION("""COMPUTED_VALUE"""),"река, завод, памятник, уголь,лес")</f>
        <v>река, завод, памятник, уголь,лес</v>
      </c>
      <c r="I754" s="6" t="str">
        <f>IFERROR(__xludf.DUMMYFUNCTION("""COMPUTED_VALUE"""),"Леонов")</f>
        <v>Леонов</v>
      </c>
      <c r="J754" s="6" t="str">
        <f>IFERROR(__xludf.DUMMYFUNCTION("""COMPUTED_VALUE"""),"Тулеев")</f>
        <v>Тулеев</v>
      </c>
      <c r="K754" s="6" t="str">
        <f>IFERROR(__xludf.DUMMYFUNCTION("""COMPUTED_VALUE"""),"центр города, томская писаница, хаски ленд")</f>
        <v>центр города, томская писаница, хаски ленд</v>
      </c>
      <c r="L754" s="6" t="str">
        <f>IFERROR(__xludf.DUMMYFUNCTION("""COMPUTED_VALUE"""),"приходит на ум песня ""Человек из Кемерово""")</f>
        <v>приходит на ум песня "Человек из Кемерово"</v>
      </c>
      <c r="M754" s="6" t="str">
        <f>IFERROR(__xludf.DUMMYFUNCTION("""COMPUTED_VALUE"""),"мультифора")</f>
        <v>мультифора</v>
      </c>
      <c r="N754" s="6" t="str">
        <f>IFERROR(__xludf.DUMMYFUNCTION("""COMPUTED_VALUE"""),"безопасность, экологичность, чистота, отсутствие безработицы,транспортная доступность")</f>
        <v>безопасность, экологичность, чистота, отсутствие безработицы,транспортная доступность</v>
      </c>
      <c r="O754" s="6" t="str">
        <f>IFERROR(__xludf.DUMMYFUNCTION("""COMPUTED_VALUE"""),"экологическую обстановку!!")</f>
        <v>экологическую обстановку!!</v>
      </c>
      <c r="P754" s="6" t="str">
        <f>IFERROR(__xludf.DUMMYFUNCTION("""COMPUTED_VALUE"""),"вконтакте и инста")</f>
        <v>вконтакте и инста</v>
      </c>
      <c r="Q754" s="6" t="str">
        <f>IFERROR(__xludf.DUMMYFUNCTION("""COMPUTED_VALUE"""),"культурные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f>
        <v>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v>
      </c>
      <c r="R754" s="6" t="str">
        <f>IFERROR(__xludf.DUMMYFUNCTION("""COMPUTED_VALUE"""),"День Шахтера")</f>
        <v>День Шахтера</v>
      </c>
      <c r="S754" s="6" t="str">
        <f>IFERROR(__xludf.DUMMYFUNCTION("""COMPUTED_VALUE"""),"Нет, не приходилось")</f>
        <v>Нет, не приходилось</v>
      </c>
      <c r="T754" s="6" t="str">
        <f>IFERROR(__xludf.DUMMYFUNCTION("""COMPUTED_VALUE"""),"Угольная столица,  ечальными событиями зимняя вишня")</f>
        <v>Угольная столица,  ечальными событиями зимняя вишня</v>
      </c>
      <c r="U754" s="6" t="str">
        <f>IFERROR(__xludf.DUMMYFUNCTION("""COMPUTED_VALUE"""),"площадь советов")</f>
        <v>площадь советов</v>
      </c>
      <c r="V754" s="6" t="str">
        <f>IFERROR(__xludf.DUMMYFUNCTION("""COMPUTED_VALUE"""),"построили красивый город с множеством театров, университетов и музеев")</f>
        <v>построили красивый город с множеством театров, университетов и музеев</v>
      </c>
      <c r="W754" s="6" t="str">
        <f>IFERROR(__xludf.DUMMYFUNCTION("""COMPUTED_VALUE"""),"стойкие")</f>
        <v>стойкие</v>
      </c>
      <c r="X754" s="6" t="str">
        <f>IFERROR(__xludf.DUMMYFUNCTION("""COMPUTED_VALUE"""),"весенняя, советский, набережная")</f>
        <v>весенняя, советский, набережная</v>
      </c>
      <c r="Y754" s="6" t="str">
        <f>IFERROR(__xludf.DUMMYFUNCTION("""COMPUTED_VALUE"""),"пожар ЗВ")</f>
        <v>пожар ЗВ</v>
      </c>
      <c r="Z754" s="6" t="str">
        <f>IFERROR(__xludf.DUMMYFUNCTION("""COMPUTED_VALUE"""),"планы по благоустройству города ")</f>
        <v>планы по благоустройству города </v>
      </c>
      <c r="AA754" s="6" t="str">
        <f>IFERROR(__xludf.DUMMYFUNCTION("""COMPUTED_VALUE"""),"Выброс регулярный ядовитых отходов, лесные пожары, бездействие местных властей по этому поводу")</f>
        <v>Выброс регулярный ядовитых отходов, лесные пожары, бездействие местных властей по этому поводу</v>
      </c>
      <c r="AB754" s="6" t="str">
        <f>IFERROR(__xludf.DUMMYFUNCTION("""COMPUTED_VALUE"""),"экологических, защиты животных")</f>
        <v>экологических, защиты животных</v>
      </c>
      <c r="AC754" s="6" t="str">
        <f>IFERROR(__xludf.DUMMYFUNCTION("""COMPUTED_VALUE"""),"Экологические форумы, Музыкальные фестивали")</f>
        <v>Экологические форумы, Музыкальные фестивали</v>
      </c>
      <c r="AD754"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754" s="6" t="str">
        <f>IFERROR(__xludf.DUMMYFUNCTION("""COMPUTED_VALUE"""),"Женский")</f>
        <v>Женский</v>
      </c>
      <c r="AF754" s="6" t="str">
        <f>IFERROR(__xludf.DUMMYFUNCTION("""COMPUTED_VALUE"""),"30-44")</f>
        <v>30-44</v>
      </c>
      <c r="AG754" s="6"/>
      <c r="AH754" s="6"/>
      <c r="AI754" s="6"/>
      <c r="AJ754" s="6"/>
      <c r="AK754" s="6"/>
      <c r="AL754" s="6"/>
      <c r="AM754" s="6"/>
    </row>
    <row r="755">
      <c r="A755" s="6">
        <v>754.0</v>
      </c>
      <c r="B755" s="6" t="str">
        <f>IFERROR(__xludf.DUMMYFUNCTION("""COMPUTED_VALUE"""),"Художник ")</f>
        <v>Художник </v>
      </c>
      <c r="C755" s="6" t="str">
        <f>IFERROR(__xludf.DUMMYFUNCTION("""COMPUTED_VALUE"""),"Мне повезло, моя работа и есть хобби ")</f>
        <v>Мне повезло, моя работа и есть хобби </v>
      </c>
      <c r="D755" s="6" t="str">
        <f>IFERROR(__xludf.DUMMYFUNCTION("""COMPUTED_VALUE"""),"Ленинский, так и называю")</f>
        <v>Ленинский, так и называю</v>
      </c>
      <c r="E755" s="6" t="str">
        <f>IFERROR(__xludf.DUMMYFUNCTION("""COMPUTED_VALUE"""),"Бульвар, коняшка, фонтан, мишки, гисметеоцентр")</f>
        <v>Бульвар, коняшка, фонтан, мишки, гисметеоцентр</v>
      </c>
      <c r="F755" s="6" t="str">
        <f>IFERROR(__xludf.DUMMYFUNCTION("""COMPUTED_VALUE"""),"Переехал сюда из другого места (откуда? укажите в графе другое), Из Киселевска ")</f>
        <v>Переехал сюда из другого места (откуда? укажите в графе другое), Из Киселевска </v>
      </c>
      <c r="G755" s="6" t="str">
        <f>IFERROR(__xludf.DUMMYFUNCTION("""COMPUTED_VALUE"""),"Набережная, бульвар Строителей, парк ангелов, бор, крест, кузбасский парк, весенняя")</f>
        <v>Набережная, бульвар Строителей, парк ангелов, бор, крест, кузбасский парк, весенняя</v>
      </c>
      <c r="H755" s="6" t="str">
        <f>IFERROR(__xludf.DUMMYFUNCTION("""COMPUTED_VALUE"""),"Река Томь, вывеска Кузбасс, скульптура пса на набережной, Ленин с площади советов, паровоз возле ЖД вокзала ")</f>
        <v>Река Томь, вывеска Кузбасс, скульптура пса на набережной, Ленин с площади советов, паровоз возле ЖД вокзала </v>
      </c>
      <c r="I755" s="6" t="str">
        <f>IFERROR(__xludf.DUMMYFUNCTION("""COMPUTED_VALUE"""),"Леонов")</f>
        <v>Леонов</v>
      </c>
      <c r="J755" s="6" t="str">
        <f>IFERROR(__xludf.DUMMYFUNCTION("""COMPUTED_VALUE"""),"Очень здорово, что Цивилев озадачен обликом города и принял решение убрать все ""недострои'")</f>
        <v>Очень здорово, что Цивилев озадачен обликом города и принял решение убрать все "недострои'</v>
      </c>
      <c r="K755" s="6" t="str">
        <f>IFERROR(__xludf.DUMMYFUNCTION("""COMPUTED_VALUE"""),"Набережная, бульвар Строителей, площадь советов, улица Весенняя, Роспись стен зданий на Ленина, город спутник Лесная поляна, скульптура шахтёра на Красной горке")</f>
        <v>Набережная, бульвар Строителей, площадь советов, улица Весенняя, Роспись стен зданий на Ленина, город спутник Лесная поляна, скульптура шахтёра на Красной горке</v>
      </c>
      <c r="L755" s="6" t="str">
        <f>IFERROR(__xludf.DUMMYFUNCTION("""COMPUTED_VALUE"""),"Затрудняюсь ответить")</f>
        <v>Затрудняюсь ответить</v>
      </c>
      <c r="M755" s="6" t="str">
        <f>IFERROR(__xludf.DUMMYFUNCTION("""COMPUTED_VALUE"""),"Нет")</f>
        <v>Нет</v>
      </c>
      <c r="N755" s="6" t="str">
        <f>IFERROR(__xludf.DUMMYFUNCTION("""COMPUTED_VALUE"""),"Чистота. Наличие парков, скверов или др.мест для прогулок. Внешний облик города (состояние зданий, памятников и т.). Транспортная развяска. Инфраструктура. ")</f>
        <v>Чистота. Наличие парков, скверов или др.мест для прогулок. Внешний облик города (состояние зданий, памятников и т.). Транспортная развяска. Инфраструктура. </v>
      </c>
      <c r="O755" s="6" t="str">
        <f>IFERROR(__xludf.DUMMYFUNCTION("""COMPUTED_VALUE"""),"Состояние дорог")</f>
        <v>Состояние дорог</v>
      </c>
      <c r="P755" s="6" t="str">
        <f>IFERROR(__xludf.DUMMYFUNCTION("""COMPUTED_VALUE"""),"Инстаграм, вк")</f>
        <v>Инстаграм, вк</v>
      </c>
      <c r="Q755" s="6" t="str">
        <f>IFERROR(__xludf.DUMMYFUNCTION("""COMPUTED_VALUE"""),"куда пойти в свободное время, интервью с местными творческими личностями")</f>
        <v>куда пойти в свободное время, интервью с местными творческими личностями</v>
      </c>
      <c r="R755" s="6" t="str">
        <f>IFERROR(__xludf.DUMMYFUNCTION("""COMPUTED_VALUE"""),"Затрудняюсь ответить. ")</f>
        <v>Затрудняюсь ответить. </v>
      </c>
      <c r="S755" s="6" t="str">
        <f>IFERROR(__xludf.DUMMYFUNCTION("""COMPUTED_VALUE"""),"Нет, не приходилось")</f>
        <v>Нет, не приходилось</v>
      </c>
      <c r="T755" s="6" t="str">
        <f>IFERROR(__xludf.DUMMYFUNCTION("""COMPUTED_VALUE"""),"Томская писаница, столица Кузбасса, Кемеровская лаковая роспись")</f>
        <v>Томская писаница, столица Кузбасса, Кемеровская лаковая роспись</v>
      </c>
      <c r="U755" s="6" t="str">
        <f>IFERROR(__xludf.DUMMYFUNCTION("""COMPUTED_VALUE"""),"Набережная, площадь Советов ")</f>
        <v>Набережная, площадь Советов </v>
      </c>
      <c r="V755" s="6" t="str">
        <f>IFERROR(__xludf.DUMMYFUNCTION("""COMPUTED_VALUE"""),"Создавали то, что мы видим сейчас. Город Кемерово очень уютный и комфортный для проживания, этим можно гордиться ")</f>
        <v>Создавали то, что мы видим сейчас. Город Кемерово очень уютный и комфортный для проживания, этим можно гордиться </v>
      </c>
      <c r="W755" s="6" t="str">
        <f>IFERROR(__xludf.DUMMYFUNCTION("""COMPUTED_VALUE"""),"Если честно, то такие же как и в других городах региона")</f>
        <v>Если честно, то такие же как и в других городах региона</v>
      </c>
      <c r="X755" s="6" t="str">
        <f>IFERROR(__xludf.DUMMYFUNCTION("""COMPUTED_VALUE"""),"Вокзал, набережная, площадь Советов, цирк, парк возле кинотеатра Юбилейный, бульвар Строителей, Лесная поляна, Красная горка")</f>
        <v>Вокзал, набережная, площадь Советов, цирк, парк возле кинотеатра Юбилейный, бульвар Строителей, Лесная поляна, Красная горка</v>
      </c>
      <c r="Y755" s="6" t="str">
        <f>IFERROR(__xludf.DUMMYFUNCTION("""COMPUTED_VALUE"""),"Затрудняюсь ответить ")</f>
        <v>Затрудняюсь ответить </v>
      </c>
      <c r="Z755" s="6" t="str">
        <f>IFERROR(__xludf.DUMMYFUNCTION("""COMPUTED_VALUE"""),"Активно развивающееся строительство")</f>
        <v>Активно развивающееся строительство</v>
      </c>
      <c r="AA755" s="6" t="str">
        <f>IFERROR(__xludf.DUMMYFUNCTION("""COMPUTED_VALUE"""),"Состояние дорог")</f>
        <v>Состояние дорог</v>
      </c>
      <c r="AB755" s="6" t="str">
        <f>IFERROR(__xludf.DUMMYFUNCTION("""COMPUTED_VALUE"""),"Творческих объединений ")</f>
        <v>Творческих объединений </v>
      </c>
      <c r="AC755" s="6" t="str">
        <f>IFERROR(__xludf.DUMMYFUNCTION("""COMPUTED_VALUE"""),"В городе проходит большое количество интересных мероприятий, думаю что их достаточно ")</f>
        <v>В городе проходит большое количество интересных мероприятий, думаю что их достаточно </v>
      </c>
      <c r="AD755" s="6" t="str">
        <f>IFERROR(__xludf.DUMMYFUNCTION("""COMPUTED_VALUE"""),"В качестве художника ")</f>
        <v>В качестве художника </v>
      </c>
      <c r="AE755" s="6" t="str">
        <f>IFERROR(__xludf.DUMMYFUNCTION("""COMPUTED_VALUE"""),"Женский")</f>
        <v>Женский</v>
      </c>
      <c r="AF755" s="6" t="str">
        <f>IFERROR(__xludf.DUMMYFUNCTION("""COMPUTED_VALUE"""),"18-29")</f>
        <v>18-29</v>
      </c>
      <c r="AG755" s="6"/>
      <c r="AH755" s="6"/>
      <c r="AI755" s="6"/>
      <c r="AJ755" s="6"/>
      <c r="AK755" s="6"/>
      <c r="AL755" s="6"/>
      <c r="AM755" s="6"/>
    </row>
    <row r="756">
      <c r="A756" s="6">
        <v>755.0</v>
      </c>
      <c r="B756" s="6" t="str">
        <f>IFERROR(__xludf.DUMMYFUNCTION("""COMPUTED_VALUE"""),"Межнациональной молодежной политикой")</f>
        <v>Межнациональной молодежной политикой</v>
      </c>
      <c r="C756" s="6" t="str">
        <f>IFERROR(__xludf.DUMMYFUNCTION("""COMPUTED_VALUE"""),"Проведение мероприятий с моим НКО")</f>
        <v>Проведение мероприятий с моим НКО</v>
      </c>
      <c r="D756" s="6" t="str">
        <f>IFERROR(__xludf.DUMMYFUNCTION("""COMPUTED_VALUE"""),"ФПК")</f>
        <v>ФПК</v>
      </c>
      <c r="E756" s="6" t="str">
        <f>IFERROR(__xludf.DUMMYFUNCTION("""COMPUTED_VALUE"""),"ТЦ Гринвич")</f>
        <v>ТЦ Гринвич</v>
      </c>
      <c r="F756" s="6" t="str">
        <f>IFERROR(__xludf.DUMMYFUNCTION("""COMPUTED_VALUE"""),"Родился здесь,но сейчас живу в другом городе")</f>
        <v>Родился здесь,но сейчас живу в другом городе</v>
      </c>
      <c r="G756" s="6" t="str">
        <f>IFERROR(__xludf.DUMMYFUNCTION("""COMPUTED_VALUE"""),"Парк Ангелов, Сосновый бор, Юбилейный, Лапландию")</f>
        <v>Парк Ангелов, Сосновый бор, Юбилейный, Лапландию</v>
      </c>
      <c r="H756" s="6" t="str">
        <f>IFERROR(__xludf.DUMMYFUNCTION("""COMPUTED_VALUE"""),"Промышленный, уголь,природа, снег, родная земля")</f>
        <v>Промышленный, уголь,природа, снег, родная земля</v>
      </c>
      <c r="I756" s="6" t="str">
        <f>IFERROR(__xludf.DUMMYFUNCTION("""COMPUTED_VALUE"""),"А.А.Леонов, В.Д.Волошина, М.Волков")</f>
        <v>А.А.Леонов, В.Д.Волошина, М.Волков</v>
      </c>
      <c r="J756" s="6" t="str">
        <f>IFERROR(__xludf.DUMMYFUNCTION("""COMPUTED_VALUE"""),"Преподаватели Лицея и Гимназии №1")</f>
        <v>Преподаватели Лицея и Гимназии №1</v>
      </c>
      <c r="K756" s="6" t="str">
        <f>IFERROR(__xludf.DUMMYFUNCTION("""COMPUTED_VALUE"""),"Томская Писаница, памятник шахтерам на горе")</f>
        <v>Томская Писаница, памятник шахтерам на горе</v>
      </c>
      <c r="L756" s="6" t="str">
        <f>IFERROR(__xludf.DUMMYFUNCTION("""COMPUTED_VALUE"""),"И в Сибири люди живут")</f>
        <v>И в Сибири люди живут</v>
      </c>
      <c r="M756" s="6" t="str">
        <f>IFERROR(__xludf.DUMMYFUNCTION("""COMPUTED_VALUE"""),"Колба, башлык,мультифорка,стайка")</f>
        <v>Колба, башлык,мультифорка,стайка</v>
      </c>
      <c r="N756" s="6" t="str">
        <f>IFERROR(__xludf.DUMMYFUNCTION("""COMPUTED_VALUE"""),"Шаговая доступность,наличие школ,детские кружки, множество зеленых зон в городе,горнолыжные турбазы")</f>
        <v>Шаговая доступность,наличие школ,детские кружки, множество зеленых зон в городе,горнолыжные турбазы</v>
      </c>
      <c r="O756" s="6" t="str">
        <f>IFERROR(__xludf.DUMMYFUNCTION("""COMPUTED_VALUE"""),"Открыть кафе, рестораны, ночные клубы,  современные бесплатные арт-пространства для молодежи, создать Дома Молодежи и подростково-молодежные центры для развития молодежной политики, волонтерства, создания проектов и т.д, возобновить работу заводов для уве"&amp;"личения рабочих мест и сокращения оттока населения, открытия кафедры или вуза с гуманитарными профессиями в области науки, культуры и искусства.")</f>
        <v>Открыть кафе, рестораны, ночные клубы,  современные бесплатные арт-пространства для молодежи, создать Дома Молодежи и подростково-молодежные центры для развития молодежной политики, волонтерства, создания проектов и т.д, возобновить работу заводов для увеличения рабочих мест и сокращения оттока населения, открытия кафедры или вуза с гуманитарными профессиями в области науки, культуры и искусства.</v>
      </c>
      <c r="P756" s="6" t="str">
        <f>IFERROR(__xludf.DUMMYFUNCTION("""COMPUTED_VALUE"""),"https://vk.com/vse_norm_kemerovo,https://vk.com/typical_kmr и со страницы губернатора-С.Е.Цивилева")</f>
        <v>https://vk.com/vse_norm_kemerovo,https://vk.com/typical_kmr и со страницы губернатора-С.Е.Цивилева</v>
      </c>
      <c r="Q756" s="6" t="str">
        <f>IFERROR(__xludf.DUMMYFUNCTION("""COMPUTED_VALUE"""),"где вкусно поесть/открытие новых кафе/ресторанов, интервью с местными политиками, результаты местных исследований (рейтинги/аналитика/тенденции)")</f>
        <v>где вкусно поесть/открытие новых кафе/ресторанов, интервью с местными политиками, результаты местных исследований (рейтинги/аналитика/тенденции)</v>
      </c>
      <c r="R756" s="6" t="str">
        <f>IFERROR(__xludf.DUMMYFUNCTION("""COMPUTED_VALUE"""),"9 мая,День Шахтера, День Металлурга, День города")</f>
        <v>9 мая,День Шахтера, День Металлурга, День города</v>
      </c>
      <c r="S756" s="6" t="str">
        <f>IFERROR(__xludf.DUMMYFUNCTION("""COMPUTED_VALUE"""),"Пытаюсь организовать взаимодействие между Кемерово и Санкт-Петербургом")</f>
        <v>Пытаюсь организовать взаимодействие между Кемерово и Санкт-Петербургом</v>
      </c>
      <c r="T756" s="6" t="str">
        <f>IFERROR(__xludf.DUMMYFUNCTION("""COMPUTED_VALUE"""),"Знаменит своей угольной,химической промышленностью, тайгой и людьми, которые даже в другом городе прославляют свою родную землю (как звезды:Малышева,Гришковец,Распутина и т.д, так и обычные граждане)")</f>
        <v>Знаменит своей угольной,химической промышленностью, тайгой и людьми, которые даже в другом городе прославляют свою родную землю (как звезды:Малышева,Гришковец,Распутина и т.д, так и обычные граждане)</v>
      </c>
      <c r="U756" s="6" t="str">
        <f>IFERROR(__xludf.DUMMYFUNCTION("""COMPUTED_VALUE"""),"Центральная площадь города")</f>
        <v>Центральная площадь города</v>
      </c>
      <c r="V756" s="6" t="str">
        <f>IFERROR(__xludf.DUMMYFUNCTION("""COMPUTED_VALUE"""),"Во времена СССР развили его и отстроили, а сейчас медленно идет процесс модернизации и развития на федеральном уровне")</f>
        <v>Во времена СССР развили его и отстроили, а сейчас медленно идет процесс модернизации и развития на федеральном уровне</v>
      </c>
      <c r="W756" s="6" t="str">
        <f>IFERROR(__xludf.DUMMYFUNCTION("""COMPUTED_VALUE"""),"Сильные духом, прямолинейные, душевные и гостеприимные")</f>
        <v>Сильные духом, прямолинейные, душевные и гостеприимные</v>
      </c>
      <c r="X756" s="6" t="str">
        <f>IFERROR(__xludf.DUMMYFUNCTION("""COMPUTED_VALUE"""),"Цирк-Парк Победы-Филармония-Притомская набережная-Парк Чудес")</f>
        <v>Цирк-Парк Победы-Филармония-Притомская набережная-Парк Чудес</v>
      </c>
      <c r="Y756" s="6" t="str">
        <f>IFERROR(__xludf.DUMMYFUNCTION("""COMPUTED_VALUE"""),"Празднование 100-летие города")</f>
        <v>Празднование 100-летие города</v>
      </c>
      <c r="Z756" s="6" t="str">
        <f>IFERROR(__xludf.DUMMYFUNCTION("""COMPUTED_VALUE"""),"Строительство здания суда, реставрация второго корпуса КемГУ")</f>
        <v>Строительство здания суда, реставрация второго корпуса КемГУ</v>
      </c>
      <c r="AA756" s="6" t="str">
        <f>IFERROR(__xludf.DUMMYFUNCTION("""COMPUTED_VALUE"""),"Отсутствие мест работы и низкий уровень зарплат, строительство многоэтажных, однотипных, внешне непривлекательных жилых домов")</f>
        <v>Отсутствие мест работы и низкий уровень зарплат, строительство многоэтажных, однотипных, внешне непривлекательных жилых домов</v>
      </c>
      <c r="AB756" s="6" t="str">
        <f>IFERROR(__xludf.DUMMYFUNCTION("""COMPUTED_VALUE"""),"Культурных, молодежных")</f>
        <v>Культурных, молодежных</v>
      </c>
      <c r="AC756" s="6" t="str">
        <f>IFERROR(__xludf.DUMMYFUNCTION("""COMPUTED_VALUE"""),"Открытие бесплатных арт-пространств, зон свободного общения молодежи,проведение межрегиональных и федеральных форумов и фестивалей, открытие ресторанов,клубов и выставочных пространств")</f>
        <v>Открытие бесплатных арт-пространств, зон свободного общения молодежи,проведение межрегиональных и федеральных форумов и фестивалей, открытие ресторанов,клубов и выставочных пространств</v>
      </c>
      <c r="AD756" s="6" t="str">
        <f>IFERROR(__xludf.DUMMYFUNCTION("""COMPUTED_VALUE"""),"Профессионала. Обучать, проводить занятия, мастер-классы, лекции, тренинги, оказать консультацию (укажите тему в поле ""Другое""), Могу приезжать на форумы ,чтобы их помогать организовывать на федеральном уровне,приглашать спикеров,работать с молодежью и "&amp;"представителями власти,а также делиться опытом межнациональной молодежной политики Санкт-Петербурга")</f>
        <v>Профессионала. Обучать, проводить занятия, мастер-классы, лекции, тренинги, оказать консультацию (укажите тему в поле "Другое"), Могу приезжать на форумы ,чтобы их помогать организовывать на федеральном уровне,приглашать спикеров,работать с молодежью и представителями власти,а также делиться опытом межнациональной молодежной политики Санкт-Петербурга</v>
      </c>
      <c r="AE756" s="6" t="str">
        <f>IFERROR(__xludf.DUMMYFUNCTION("""COMPUTED_VALUE"""),"Женский")</f>
        <v>Женский</v>
      </c>
      <c r="AF756" s="6" t="str">
        <f>IFERROR(__xludf.DUMMYFUNCTION("""COMPUTED_VALUE"""),"18-29")</f>
        <v>18-29</v>
      </c>
      <c r="AG756" s="6"/>
      <c r="AH756" s="6"/>
      <c r="AI756" s="6"/>
      <c r="AJ756" s="6"/>
      <c r="AK756" s="6"/>
      <c r="AL756" s="6"/>
      <c r="AM756" s="6"/>
    </row>
    <row r="757">
      <c r="A757" s="6">
        <v>756.0</v>
      </c>
      <c r="B757" s="6" t="str">
        <f>IFERROR(__xludf.DUMMYFUNCTION("""COMPUTED_VALUE"""),"Ищу работу")</f>
        <v>Ищу работу</v>
      </c>
      <c r="C757" s="6" t="str">
        <f>IFERROR(__xludf.DUMMYFUNCTION("""COMPUTED_VALUE"""),"Велосипед, фотография, сноубординг")</f>
        <v>Велосипед, фотография, сноубординг</v>
      </c>
      <c r="D757" s="6" t="str">
        <f>IFERROR(__xludf.DUMMYFUNCTION("""COMPUTED_VALUE"""),"Кемерово-Сити, мой дом ")</f>
        <v>Кемерово-Сити, мой дом </v>
      </c>
      <c r="E757" s="6" t="str">
        <f>IFERROR(__xludf.DUMMYFUNCTION("""COMPUTED_VALUE"""),"Сквер")</f>
        <v>Сквер</v>
      </c>
      <c r="F757" s="6" t="str">
        <f>IFERROR(__xludf.DUMMYFUNCTION("""COMPUTED_VALUE"""),"Переехал сюда из другого места (откуда? укажите в графе другое), Учёба, Междуреченск. Переезд в 2002 году. ")</f>
        <v>Переехал сюда из другого места (откуда? укажите в графе другое), Учёба, Междуреченск. Переезд в 2002 году. </v>
      </c>
      <c r="G757" s="6" t="str">
        <f>IFERROR(__xludf.DUMMYFUNCTION("""COMPUTED_VALUE"""),"Набережная, Советский, Сосновый бор, лесная поляна")</f>
        <v>Набережная, Советский, Сосновый бор, лесная поляна</v>
      </c>
      <c r="H757" s="6" t="str">
        <f>IFERROR(__xludf.DUMMYFUNCTION("""COMPUTED_VALUE"""),"Загазован, мало зелени, много машин, шумный, удалённый ")</f>
        <v>Загазован, мало зелени, много машин, шумный, удалённый </v>
      </c>
      <c r="I757" s="6" t="str">
        <f>IFERROR(__xludf.DUMMYFUNCTION("""COMPUTED_VALUE"""),"Леонов, Мартемьянов, Гришковец, Подгорбунский ")</f>
        <v>Леонов, Мартемьянов, Гришковец, Подгорбунский </v>
      </c>
      <c r="J757" s="6" t="str">
        <f>IFERROR(__xludf.DUMMYFUNCTION("""COMPUTED_VALUE"""),"Гришковец, Леонов ")</f>
        <v>Гришковец, Леонов </v>
      </c>
      <c r="K757" s="6" t="str">
        <f>IFERROR(__xludf.DUMMYFUNCTION("""COMPUTED_VALUE"""),"Бульвар строителей, набережная, весенняя, парк ангелов, Сосновый бор, лесная поляна")</f>
        <v>Бульвар строителей, набережная, весенняя, парк ангелов, Сосновый бор, лесная поляна</v>
      </c>
      <c r="L757" s="6" t="str">
        <f>IFERROR(__xludf.DUMMYFUNCTION("""COMPUTED_VALUE"""),"... ")</f>
        <v>... </v>
      </c>
      <c r="M757" s="6" t="str">
        <f>IFERROR(__xludf.DUMMYFUNCTION("""COMPUTED_VALUE"""),"... ")</f>
        <v>... </v>
      </c>
      <c r="N757" s="6" t="str">
        <f>IFERROR(__xludf.DUMMYFUNCTION("""COMPUTED_VALUE"""),"Экология, возможности развития, отдых и культура, парки скверы и зелёные зоны, объекты досуга ")</f>
        <v>Экология, возможности развития, отдых и культура, парки скверы и зелёные зоны, объекты досуга </v>
      </c>
      <c r="O757" s="6" t="str">
        <f>IFERROR(__xludf.DUMMYFUNCTION("""COMPUTED_VALUE"""),"Экология ")</f>
        <v>Экология </v>
      </c>
      <c r="P757" s="6" t="str">
        <f>IFERROR(__xludf.DUMMYFUNCTION("""COMPUTED_VALUE"""),"Соцсети губернатора ")</f>
        <v>Соцсети губернатора </v>
      </c>
      <c r="Q757"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творческими личностями, интервью с местными предпринимателями, новости про новые про"&amp;"фессии/куда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Будущ"&amp;"ее области ")</f>
        <v>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Будущее области </v>
      </c>
      <c r="R757" s="6" t="str">
        <f>IFERROR(__xludf.DUMMYFUNCTION("""COMPUTED_VALUE"""),"День шахтёра, день города, 9 мая, новый год, ")</f>
        <v>День шахтёра, день города, 9 мая, новый год, </v>
      </c>
      <c r="S757" s="6" t="str">
        <f>IFERROR(__xludf.DUMMYFUNCTION("""COMPUTED_VALUE"""),"Нет, не приходилось")</f>
        <v>Нет, не приходилось</v>
      </c>
      <c r="T757" s="6" t="str">
        <f>IFERROR(__xludf.DUMMYFUNCTION("""COMPUTED_VALUE"""),"Химической 🏭 ")</f>
        <v>Химической 🏭 </v>
      </c>
      <c r="U757" s="6" t="str">
        <f>IFERROR(__xludf.DUMMYFUNCTION("""COMPUTED_VALUE"""),"Весенняя ")</f>
        <v>Весенняя </v>
      </c>
      <c r="V757" s="6" t="str">
        <f>IFERROR(__xludf.DUMMYFUNCTION("""COMPUTED_VALUE"""),"Трудились ")</f>
        <v>Трудились </v>
      </c>
      <c r="W757" s="6" t="str">
        <f>IFERROR(__xludf.DUMMYFUNCTION("""COMPUTED_VALUE"""),"Разные ")</f>
        <v>Разные </v>
      </c>
      <c r="X757" s="6" t="str">
        <f>IFERROR(__xludf.DUMMYFUNCTION("""COMPUTED_VALUE"""),"Набережная - октябрьский - бульвар строителей ")</f>
        <v>Набережная - октябрьский - бульвар строителей </v>
      </c>
      <c r="Y757" s="6" t="str">
        <f>IFERROR(__xludf.DUMMYFUNCTION("""COMPUTED_VALUE"""),"Всё ещё впереди ")</f>
        <v>Всё ещё впереди </v>
      </c>
      <c r="Z757" s="6" t="str">
        <f>IFERROR(__xludf.DUMMYFUNCTION("""COMPUTED_VALUE"""),"Культурный кластер ")</f>
        <v>Культурный кластер </v>
      </c>
      <c r="AA757" s="6" t="str">
        <f>IFERROR(__xludf.DUMMYFUNCTION("""COMPUTED_VALUE"""),"Шахта в районе лесной поляны ")</f>
        <v>Шахта в районе лесной поляны </v>
      </c>
      <c r="AB757" s="6" t="str">
        <f>IFERROR(__xludf.DUMMYFUNCTION("""COMPUTED_VALUE"""),"Будущий Кузбасс ")</f>
        <v>Будущий Кузбасс </v>
      </c>
      <c r="AC757" s="6" t="str">
        <f>IFERROR(__xludf.DUMMYFUNCTION("""COMPUTED_VALUE"""),"Аквапарк и торговый центр Галерея Кемерово ")</f>
        <v>Аквапарк и торговый центр Галерея Кемерово </v>
      </c>
      <c r="AD75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57" s="6" t="str">
        <f>IFERROR(__xludf.DUMMYFUNCTION("""COMPUTED_VALUE"""),"Мужской")</f>
        <v>Мужской</v>
      </c>
      <c r="AF757" s="6" t="str">
        <f>IFERROR(__xludf.DUMMYFUNCTION("""COMPUTED_VALUE"""),"30-44")</f>
        <v>30-44</v>
      </c>
      <c r="AG757" s="6"/>
      <c r="AH757" s="6"/>
      <c r="AI757" s="6"/>
      <c r="AJ757" s="6"/>
      <c r="AK757" s="6"/>
      <c r="AL757" s="6"/>
      <c r="AM757" s="6"/>
    </row>
    <row r="758">
      <c r="A758" s="6">
        <v>757.0</v>
      </c>
      <c r="B758" s="6" t="str">
        <f>IFERROR(__xludf.DUMMYFUNCTION("""COMPUTED_VALUE"""),"Специалист техподдержки 1С")</f>
        <v>Специалист техподдержки 1С</v>
      </c>
      <c r="C758" s="6" t="str">
        <f>IFERROR(__xludf.DUMMYFUNCTION("""COMPUTED_VALUE"""),"Коллекционирование музыкальных альбомов, фигурок персонажей, любительский вокал, сочинять любительские рассказы для сестёр на различные темы, раскрашивание картин по номерам")</f>
        <v>Коллекционирование музыкальных альбомов, фигурок персонажей, любительский вокал, сочинять любительские рассказы для сестёр на различные темы, раскрашивание картин по номерам</v>
      </c>
      <c r="D758" s="6" t="str">
        <f>IFERROR(__xludf.DUMMYFUNCTION("""COMPUTED_VALUE"""),"Рудничный район, все его называют просто Радуга")</f>
        <v>Рудничный район, все его называют просто Радуга</v>
      </c>
      <c r="E758" s="6" t="str">
        <f>IFERROR(__xludf.DUMMYFUNCTION("""COMPUTED_VALUE"""),"Набережная Томи, Сосновый Бор ")</f>
        <v>Набережная Томи, Сосновый Бор </v>
      </c>
      <c r="F758" s="6" t="str">
        <f>IFERROR(__xludf.DUMMYFUNCTION("""COMPUTED_VALUE"""),"Живу здесь с рождения")</f>
        <v>Живу здесь с рождения</v>
      </c>
      <c r="G758" s="6" t="str">
        <f>IFERROR(__xludf.DUMMYFUNCTION("""COMPUTED_VALUE"""),"Всегда по-разному")</f>
        <v>Всегда по-разному</v>
      </c>
      <c r="H758" s="6" t="str">
        <f>IFERROR(__xludf.DUMMYFUNCTION("""COMPUTED_VALUE"""),"Чёрное небо, уголь, экология, бессмысленность, нерациональность")</f>
        <v>Чёрное небо, уголь, экология, бессмысленность, нерациональность</v>
      </c>
      <c r="I758" s="6" t="str">
        <f>IFERROR(__xludf.DUMMYFUNCTION("""COMPUTED_VALUE"""),"Вера Волошина, А.А. Леонов...")</f>
        <v>Вера Волошина, А.А. Леонов...</v>
      </c>
      <c r="J758" s="6" t="str">
        <f>IFERROR(__xludf.DUMMYFUNCTION("""COMPUTED_VALUE"""),"Мало осведомлена об этом, каюсь")</f>
        <v>Мало осведомлена об этом, каюсь</v>
      </c>
      <c r="K758" s="6" t="str">
        <f>IFERROR(__xludf.DUMMYFUNCTION("""COMPUTED_VALUE"""),"Сосновый, нынче Рудничный Бор, очень там красиво все сделали, особенно в зимнее время все выглядит замечательно, Берёзовая Роща в осеннее время, Красная горка, там вид прекрасный, если не смотреть на причину мертвой экологии.")</f>
        <v>Сосновый, нынче Рудничный Бор, очень там красиво все сделали, особенно в зимнее время все выглядит замечательно, Берёзовая Роща в осеннее время, Красная горка, там вид прекрасный, если не смотреть на причину мертвой экологии.</v>
      </c>
      <c r="L758" s="6" t="str">
        <f>IFERROR(__xludf.DUMMYFUNCTION("""COMPUTED_VALUE"""),"Весь наш город как сплошная несмешная шутка")</f>
        <v>Весь наш город как сплошная несмешная шутка</v>
      </c>
      <c r="M758" s="6" t="str">
        <f>IFERROR(__xludf.DUMMYFUNCTION("""COMPUTED_VALUE"""),"Нет")</f>
        <v>Нет</v>
      </c>
      <c r="N758" s="6" t="str">
        <f>IFERROR(__xludf.DUMMYFUNCTION("""COMPUTED_VALUE"""),"Своевременный общественный транспорт, пешеходные дороги даже через мост, супермаркеты, школы и работа в шаговой доступности, места культурного отдыха, облагороженные места на природе опять же для отдыха ")</f>
        <v>Своевременный общественный транспорт, пешеходные дороги даже через мост, супермаркеты, школы и работа в шаговой доступности, места культурного отдыха, облагороженные места на природе опять же для отдыха </v>
      </c>
      <c r="O758" s="6" t="str">
        <f>IFERROR(__xludf.DUMMYFUNCTION("""COMPUTED_VALUE"""),"Экологию и транспорт")</f>
        <v>Экологию и транспорт</v>
      </c>
      <c r="P758" s="6" t="str">
        <f>IFERROR(__xludf.DUMMYFUNCTION("""COMPUTED_VALUE"""),"Интернет, Инстаграм ")</f>
        <v>Интернет, Инстаграм </v>
      </c>
      <c r="Q758"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758" s="6" t="str">
        <f>IFERROR(__xludf.DUMMYFUNCTION("""COMPUTED_VALUE"""),"В честь которых делают на работе выходной")</f>
        <v>В честь которых делают на работе выходной</v>
      </c>
      <c r="S758" s="6" t="str">
        <f>IFERROR(__xludf.DUMMYFUNCTION("""COMPUTED_VALUE"""),"Нет, не приходилось")</f>
        <v>Нет, не приходилось</v>
      </c>
      <c r="T758" s="6" t="str">
        <f>IFERROR(__xludf.DUMMYFUNCTION("""COMPUTED_VALUE"""),"В СМИ чаще всего про наш город криминальные или печальные новости: убийства, смерть по неосторожности, пожары, убитая экология ")</f>
        <v>В СМИ чаще всего про наш город криминальные или печальные новости: убийства, смерть по неосторожности, пожары, убитая экология </v>
      </c>
      <c r="U758" s="6" t="str">
        <f>IFERROR(__xludf.DUMMYFUNCTION("""COMPUTED_VALUE"""),"Сейчас это город огней, зимняя вишня ")</f>
        <v>Сейчас это город огней, зимняя вишня </v>
      </c>
      <c r="V758" s="6" t="str">
        <f>IFERROR(__xludf.DUMMYFUNCTION("""COMPUTED_VALUE"""),"Угледобывающая промышленность")</f>
        <v>Угледобывающая промышленность</v>
      </c>
      <c r="W758" s="6" t="str">
        <f>IFERROR(__xludf.DUMMYFUNCTION("""COMPUTED_VALUE"""),"Зажатые, негативные, угрюмые, недовольные, болеющие")</f>
        <v>Зажатые, негативные, угрюмые, недовольные, болеющие</v>
      </c>
      <c r="X758" s="6" t="str">
        <f>IFERROR(__xludf.DUMMYFUNCTION("""COMPUTED_VALUE"""),"Из города")</f>
        <v>Из города</v>
      </c>
      <c r="Y758" s="6" t="str">
        <f>IFERROR(__xludf.DUMMYFUNCTION("""COMPUTED_VALUE"""),"Не осведомлена")</f>
        <v>Не осведомлена</v>
      </c>
      <c r="Z758" s="6" t="str">
        <f>IFERROR(__xludf.DUMMYFUNCTION("""COMPUTED_VALUE"""),"Никаких позитивных событий здесь нет")</f>
        <v>Никаких позитивных событий здесь нет</v>
      </c>
      <c r="AA758" s="6" t="str">
        <f>IFERROR(__xludf.DUMMYFUNCTION("""COMPUTED_VALUE"""),"Бессмысленный митинг из-за какого-то политика, общественный транспорт перестал ходить и все кого я знаю опаздывали, либо добирались пешком. ")</f>
        <v>Бессмысленный митинг из-за какого-то политика, общественный транспорт перестал ходить и все кого я знаю опаздывали, либо добирались пешком. </v>
      </c>
      <c r="AB758" s="6" t="str">
        <f>IFERROR(__xludf.DUMMYFUNCTION("""COMPUTED_VALUE"""),"Мне все равно на это, времени нет из-за работы за таким наблюдать")</f>
        <v>Мне все равно на это, времени нет из-за работы за таким наблюдать</v>
      </c>
      <c r="AC758" s="6" t="str">
        <f>IFERROR(__xludf.DUMMYFUNCTION("""COMPUTED_VALUE"""),"Культурное воспитание молодежи, особенно школьников")</f>
        <v>Культурное воспитание молодежи, особенно школьников</v>
      </c>
      <c r="AD75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58" s="6" t="str">
        <f>IFERROR(__xludf.DUMMYFUNCTION("""COMPUTED_VALUE"""),"Женский")</f>
        <v>Женский</v>
      </c>
      <c r="AF758" s="6" t="str">
        <f>IFERROR(__xludf.DUMMYFUNCTION("""COMPUTED_VALUE"""),"18-29")</f>
        <v>18-29</v>
      </c>
      <c r="AG758" s="6"/>
      <c r="AH758" s="6"/>
      <c r="AI758" s="6"/>
      <c r="AJ758" s="6"/>
      <c r="AK758" s="6"/>
      <c r="AL758" s="6"/>
      <c r="AM758" s="6"/>
    </row>
    <row r="759">
      <c r="A759" s="6">
        <v>758.0</v>
      </c>
      <c r="B759" s="6" t="str">
        <f>IFERROR(__xludf.DUMMYFUNCTION("""COMPUTED_VALUE"""),"Члвии")</f>
        <v>Члвии</v>
      </c>
      <c r="C759" s="6" t="str">
        <f>IFERROR(__xludf.DUMMYFUNCTION("""COMPUTED_VALUE"""),"Сочтив")</f>
        <v>Сочтив</v>
      </c>
      <c r="D759" s="6" t="str">
        <f>IFERROR(__xludf.DUMMYFUNCTION("""COMPUTED_VALUE"""),"Влвлрви")</f>
        <v>Влвлрви</v>
      </c>
      <c r="E759" s="6" t="str">
        <f>IFERROR(__xludf.DUMMYFUNCTION("""COMPUTED_VALUE"""),"Вовтвтр")</f>
        <v>Вовтвтр</v>
      </c>
      <c r="F759" s="6" t="str">
        <f>IFERROR(__xludf.DUMMYFUNCTION("""COMPUTED_VALUE"""),"Живу здесь с рождения, Родился здесь,но сейчас живу в другом городе, Переехал сюда из другого места (откуда? укажите в графе другое), Не живу,но приезжаю сюда (к родственникам/друзьям), Бываю как турист")</f>
        <v>Живу здесь с рождения, Родился здесь,но сейчас живу в другом городе, Переехал сюда из другого места (откуда? укажите в графе другое), Не живу,но приезжаю сюда (к родственникам/друзьям), Бываю как турист</v>
      </c>
      <c r="G759" s="6" t="str">
        <f>IFERROR(__xludf.DUMMYFUNCTION("""COMPUTED_VALUE"""),"Ствовоыдт")</f>
        <v>Ствовоыдт</v>
      </c>
      <c r="H759" s="6" t="str">
        <f>IFERROR(__xludf.DUMMYFUNCTION("""COMPUTED_VALUE"""),"Сойду. Рылов. Во двт")</f>
        <v>Сойду. Рылов. Во двт</v>
      </c>
      <c r="I759" s="6" t="str">
        <f>IFERROR(__xludf.DUMMYFUNCTION("""COMPUTED_VALUE"""),"Вичовтд")</f>
        <v>Вичовтд</v>
      </c>
      <c r="J759" s="6" t="str">
        <f>IFERROR(__xludf.DUMMYFUNCTION("""COMPUTED_VALUE"""),"Сововиыдт")</f>
        <v>Сововиыдт</v>
      </c>
      <c r="K759" s="6" t="str">
        <f>IFERROR(__xludf.DUMMYFUNCTION("""COMPUTED_VALUE"""),"Совгвшыь в ")</f>
        <v>Совгвшыь в </v>
      </c>
      <c r="L759" s="6" t="str">
        <f>IFERROR(__xludf.DUMMYFUNCTION("""COMPUTED_VALUE"""),"Стыдящая. В")</f>
        <v>Стыдящая. В</v>
      </c>
      <c r="M759" s="6" t="str">
        <f>IFERROR(__xludf.DUMMYFUNCTION("""COMPUTED_VALUE"""),"Вышла. Маня ")</f>
        <v>Вышла. Маня </v>
      </c>
      <c r="N759" s="6" t="str">
        <f>IFERROR(__xludf.DUMMYFUNCTION("""COMPUTED_VALUE"""),"Стыдя. В ")</f>
        <v>Стыдя. В </v>
      </c>
      <c r="O759" s="6" t="str">
        <f>IFERROR(__xludf.DUMMYFUNCTION("""COMPUTED_VALUE"""),"Стволов ")</f>
        <v>Стволов </v>
      </c>
      <c r="P759" s="6" t="str">
        <f>IFERROR(__xludf.DUMMYFUNCTION("""COMPUTED_VALUE"""),"Влады ви")</f>
        <v>Влады ви</v>
      </c>
      <c r="Q75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v>
      </c>
      <c r="R759" s="6" t="str">
        <f>IFERROR(__xludf.DUMMYFUNCTION("""COMPUTED_VALUE"""),"Сьвоививи")</f>
        <v>Сьвоививи</v>
      </c>
      <c r="S759"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v>
      </c>
      <c r="T759" s="6" t="str">
        <f>IFERROR(__xludf.DUMMYFUNCTION("""COMPUTED_VALUE"""),"Стыда во")</f>
        <v>Стыда во</v>
      </c>
      <c r="U759" s="6" t="str">
        <f>IFERROR(__xludf.DUMMYFUNCTION("""COMPUTED_VALUE"""),"Чтобы. ")</f>
        <v>Чтобы. </v>
      </c>
      <c r="V759" s="6" t="str">
        <f>IFERROR(__xludf.DUMMYFUNCTION("""COMPUTED_VALUE"""),"Чья-либо а п")</f>
        <v>Чья-либо а п</v>
      </c>
      <c r="W759" s="6" t="str">
        <f>IFERROR(__xludf.DUMMYFUNCTION("""COMPUTED_VALUE"""),"Унылы икр")</f>
        <v>Унылы икр</v>
      </c>
      <c r="X759" s="6" t="str">
        <f>IFERROR(__xludf.DUMMYFUNCTION("""COMPUTED_VALUE"""),"Удвоятся ")</f>
        <v>Удвоятся </v>
      </c>
      <c r="Y759" s="6" t="str">
        <f>IFERROR(__xludf.DUMMYFUNCTION("""COMPUTED_VALUE"""),"Влады. Виирвдьв ")</f>
        <v>Влады. Виирвдьв </v>
      </c>
      <c r="Z759" s="6" t="str">
        <f>IFERROR(__xludf.DUMMYFUNCTION("""COMPUTED_VALUE"""),"Твлялв. Во р в ")</f>
        <v>Твлялв. Во р в </v>
      </c>
      <c r="AA759" s="6" t="str">
        <f>IFERROR(__xludf.DUMMYFUNCTION("""COMPUTED_VALUE"""),"Стыд в псов ь")</f>
        <v>Стыд в псов ь</v>
      </c>
      <c r="AB759" s="6" t="str">
        <f>IFERROR(__xludf.DUMMYFUNCTION("""COMPUTED_VALUE"""),"Влвлррчты ")</f>
        <v>Влвлррчты </v>
      </c>
      <c r="AC759" s="6" t="str">
        <f>IFERROR(__xludf.DUMMYFUNCTION("""COMPUTED_VALUE"""),"Взвод в в ")</f>
        <v>Взвод в в </v>
      </c>
      <c r="AD75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непосредств"&amp;"енно во время реализации проекта, Коммуникатора: Готов задействовать свои знакомства для приглашения потенциально заинтересованных участников, Не готов принимать личное участие (укажите, пожалуйста, причину в поле «Другое»), Запустить свой предприниматель"&amp;"ский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Не готов принимать личное участие (укажите, пожалуйста, причину в поле «Другое»), Запустить свой предпринимательский проект, организовать компанию.</v>
      </c>
      <c r="AE759" s="6" t="str">
        <f>IFERROR(__xludf.DUMMYFUNCTION("""COMPUTED_VALUE"""),"Мужской")</f>
        <v>Мужской</v>
      </c>
      <c r="AF759" s="6" t="str">
        <f>IFERROR(__xludf.DUMMYFUNCTION("""COMPUTED_VALUE"""),"18-29")</f>
        <v>18-29</v>
      </c>
      <c r="AG759" s="6"/>
      <c r="AH759" s="6"/>
      <c r="AI759" s="6"/>
      <c r="AJ759" s="6"/>
      <c r="AK759" s="6"/>
      <c r="AL759" s="6"/>
      <c r="AM759" s="6"/>
    </row>
    <row r="760">
      <c r="A760" s="6">
        <v>759.0</v>
      </c>
      <c r="B760" s="6" t="str">
        <f>IFERROR(__xludf.DUMMYFUNCTION("""COMPUTED_VALUE"""),"Студентка")</f>
        <v>Студентка</v>
      </c>
      <c r="C760" s="6" t="str">
        <f>IFERROR(__xludf.DUMMYFUNCTION("""COMPUTED_VALUE"""),"Учёба, творчество, общественная деятельность ")</f>
        <v>Учёба, творчество, общественная деятельность </v>
      </c>
      <c r="D760" s="6" t="str">
        <f>IFERROR(__xludf.DUMMYFUNCTION("""COMPUTED_VALUE"""),"Заводской, называю Центральным ")</f>
        <v>Заводской, называю Центральным </v>
      </c>
      <c r="E760" s="6" t="str">
        <f>IFERROR(__xludf.DUMMYFUNCTION("""COMPUTED_VALUE"""),"Парк Ангелов")</f>
        <v>Парк Ангелов</v>
      </c>
      <c r="F760" s="6" t="str">
        <f>IFERROR(__xludf.DUMMYFUNCTION("""COMPUTED_VALUE"""),"Переехал сюда из другого места (откуда? укажите в графе другое), Киселевск ")</f>
        <v>Переехал сюда из другого места (откуда? укажите в графе другое), Киселевск </v>
      </c>
      <c r="G760" s="6" t="str">
        <f>IFERROR(__xludf.DUMMYFUNCTION("""COMPUTED_VALUE"""),"Набережная, кинотеатры, клубы ")</f>
        <v>Набережная, кинотеатры, клубы </v>
      </c>
      <c r="H760" s="6" t="str">
        <f>IFERROR(__xludf.DUMMYFUNCTION("""COMPUTED_VALUE"""),"Учёба, Томь, экология, азот, спокойствие ")</f>
        <v>Учёба, Томь, экология, азот, спокойствие </v>
      </c>
      <c r="I760" s="6" t="str">
        <f>IFERROR(__xludf.DUMMYFUNCTION("""COMPUTED_VALUE"""),"Волков")</f>
        <v>Волков</v>
      </c>
      <c r="J760" s="6" t="str">
        <f>IFERROR(__xludf.DUMMYFUNCTION("""COMPUTED_VALUE"""),"Никто ")</f>
        <v>Никто </v>
      </c>
      <c r="K760" s="6" t="str">
        <f>IFERROR(__xludf.DUMMYFUNCTION("""COMPUTED_VALUE"""),"Парк Ангелов, Парк Чудес")</f>
        <v>Парк Ангелов, Парк Чудес</v>
      </c>
      <c r="L760" s="6" t="str">
        <f>IFERROR(__xludf.DUMMYFUNCTION("""COMPUTED_VALUE"""),"Залог успеха- диплом политеха ")</f>
        <v>Залог успеха- диплом политеха </v>
      </c>
      <c r="M760" s="6" t="str">
        <f>IFERROR(__xludf.DUMMYFUNCTION("""COMPUTED_VALUE"""),"Нет")</f>
        <v>Нет</v>
      </c>
      <c r="N760" s="6" t="str">
        <f>IFERROR(__xludf.DUMMYFUNCTION("""COMPUTED_VALUE"""),"Тишина, инфраструктура, новое жильё ")</f>
        <v>Тишина, инфраструктура, новое жильё </v>
      </c>
      <c r="O760" s="6" t="str">
        <f>IFERROR(__xludf.DUMMYFUNCTION("""COMPUTED_VALUE"""),"Магазины ( нет популярного мас маркета)")</f>
        <v>Магазины ( нет популярного мас маркета)</v>
      </c>
      <c r="P760" s="6" t="str">
        <f>IFERROR(__xludf.DUMMYFUNCTION("""COMPUTED_VALUE"""),"Инстаграмм ")</f>
        <v>Инстаграмм </v>
      </c>
      <c r="Q760"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v>
      </c>
      <c r="R760" s="6" t="str">
        <f>IFERROR(__xludf.DUMMYFUNCTION("""COMPUTED_VALUE"""),"День города")</f>
        <v>День города</v>
      </c>
      <c r="S760" s="6" t="str">
        <f>IFERROR(__xludf.DUMMYFUNCTION("""COMPUTED_VALUE"""),"Нет, не приходилось")</f>
        <v>Нет, не приходилось</v>
      </c>
      <c r="T760" s="6" t="str">
        <f>IFERROR(__xludf.DUMMYFUNCTION("""COMPUTED_VALUE"""),"Ничем")</f>
        <v>Ничем</v>
      </c>
      <c r="U760" s="6" t="str">
        <f>IFERROR(__xludf.DUMMYFUNCTION("""COMPUTED_VALUE"""),"Парк Ангелов ")</f>
        <v>Парк Ангелов </v>
      </c>
      <c r="V760" s="6" t="str">
        <f>IFERROR(__xludf.DUMMYFUNCTION("""COMPUTED_VALUE"""),"Постройки домов, парки")</f>
        <v>Постройки домов, парки</v>
      </c>
      <c r="W760" s="6" t="str">
        <f>IFERROR(__xludf.DUMMYFUNCTION("""COMPUTED_VALUE"""),"-")</f>
        <v>-</v>
      </c>
      <c r="X760" s="6" t="str">
        <f>IFERROR(__xludf.DUMMYFUNCTION("""COMPUTED_VALUE"""),"Парк Ангелов и набережная ")</f>
        <v>Парк Ангелов и набережная </v>
      </c>
      <c r="Y760" s="6" t="str">
        <f>IFERROR(__xludf.DUMMYFUNCTION("""COMPUTED_VALUE"""),"Открытие КузГТУ ")</f>
        <v>Открытие КузГТУ </v>
      </c>
      <c r="Z760" s="6" t="str">
        <f>IFERROR(__xludf.DUMMYFUNCTION("""COMPUTED_VALUE"""),"Открытие парка Ангелов ")</f>
        <v>Открытие парка Ангелов </v>
      </c>
      <c r="AA760" s="6" t="str">
        <f>IFERROR(__xludf.DUMMYFUNCTION("""COMPUTED_VALUE"""),"Пожары")</f>
        <v>Пожары</v>
      </c>
      <c r="AB760" s="6" t="str">
        <f>IFERROR(__xludf.DUMMYFUNCTION("""COMPUTED_VALUE"""),"Никаких")</f>
        <v>Никаких</v>
      </c>
      <c r="AC760" s="6" t="str">
        <f>IFERROR(__xludf.DUMMYFUNCTION("""COMPUTED_VALUE"""),"Творческие выставки, современное искусство, концерты популярных исполнителей")</f>
        <v>Творческие выставки, современное искусство, концерты популярных исполнителей</v>
      </c>
      <c r="AD760"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760" s="6" t="str">
        <f>IFERROR(__xludf.DUMMYFUNCTION("""COMPUTED_VALUE"""),"Женский")</f>
        <v>Женский</v>
      </c>
      <c r="AF760" s="6" t="str">
        <f>IFERROR(__xludf.DUMMYFUNCTION("""COMPUTED_VALUE"""),"18-29")</f>
        <v>18-29</v>
      </c>
      <c r="AG760" s="6"/>
      <c r="AH760" s="6"/>
      <c r="AI760" s="6"/>
      <c r="AJ760" s="6"/>
      <c r="AK760" s="6"/>
      <c r="AL760" s="6"/>
      <c r="AM760" s="6"/>
    </row>
    <row r="761">
      <c r="A761" s="6">
        <v>760.0</v>
      </c>
      <c r="B761" s="6" t="str">
        <f>IFERROR(__xludf.DUMMYFUNCTION("""COMPUTED_VALUE"""),"Студент ")</f>
        <v>Студент </v>
      </c>
      <c r="C761" s="6" t="str">
        <f>IFERROR(__xludf.DUMMYFUNCTION("""COMPUTED_VALUE"""),"Нету")</f>
        <v>Нету</v>
      </c>
      <c r="D761" s="6" t="str">
        <f>IFERROR(__xludf.DUMMYFUNCTION("""COMPUTED_VALUE"""),"Заводской ")</f>
        <v>Заводской </v>
      </c>
      <c r="E761" s="6" t="str">
        <f>IFERROR(__xludf.DUMMYFUNCTION("""COMPUTED_VALUE"""),"Никаких ")</f>
        <v>Никаких </v>
      </c>
      <c r="F76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761" s="6" t="str">
        <f>IFERROR(__xludf.DUMMYFUNCTION("""COMPUTED_VALUE"""),"Южный ")</f>
        <v>Южный </v>
      </c>
      <c r="H761" s="6" t="str">
        <f>IFERROR(__xludf.DUMMYFUNCTION("""COMPUTED_VALUE"""),"... ")</f>
        <v>... </v>
      </c>
      <c r="I761" s="6" t="str">
        <f>IFERROR(__xludf.DUMMYFUNCTION("""COMPUTED_VALUE"""),"... ")</f>
        <v>... </v>
      </c>
      <c r="J761" s="6" t="str">
        <f>IFERROR(__xludf.DUMMYFUNCTION("""COMPUTED_VALUE"""),"Цивилев ")</f>
        <v>Цивилев </v>
      </c>
      <c r="K761" s="6" t="str">
        <f>IFERROR(__xludf.DUMMYFUNCTION("""COMPUTED_VALUE"""),"Никаких")</f>
        <v>Никаких</v>
      </c>
      <c r="L761" s="6" t="str">
        <f>IFERROR(__xludf.DUMMYFUNCTION("""COMPUTED_VALUE"""),"... ")</f>
        <v>... </v>
      </c>
      <c r="M761" s="6" t="str">
        <f>IFERROR(__xludf.DUMMYFUNCTION("""COMPUTED_VALUE"""),"... ")</f>
        <v>... </v>
      </c>
      <c r="N761" s="6" t="str">
        <f>IFERROR(__xludf.DUMMYFUNCTION("""COMPUTED_VALUE"""),"... ")</f>
        <v>... </v>
      </c>
      <c r="O761" s="6" t="str">
        <f>IFERROR(__xludf.DUMMYFUNCTION("""COMPUTED_VALUE"""),".......... ")</f>
        <v>.......... </v>
      </c>
      <c r="P761" s="6" t="str">
        <f>IFERROR(__xludf.DUMMYFUNCTION("""COMPUTED_VALUE"""),"........ ")</f>
        <v>........ </v>
      </c>
      <c r="Q761" s="6" t="str">
        <f>IFERROR(__xludf.DUMMYFUNCTION("""COMPUTED_VALUE"""),"куда пойти в свободное время, где вкусно поесть/открытие новых кафе/ресторанов, новости про новые профессии/куда поступать/вакансии, бизнес-новости (средний чек/рекламные акции/запуск новых предприятий)")</f>
        <v>куда пойти в свободное время, где вкусно поесть/открытие новых кафе/ресторанов, новости про новые профессии/куда поступать/вакансии, бизнес-новости (средний чек/рекламные акции/запуск новых предприятий)</v>
      </c>
      <c r="R761" s="6" t="str">
        <f>IFERROR(__xludf.DUMMYFUNCTION("""COMPUTED_VALUE"""),"...... ")</f>
        <v>...... </v>
      </c>
      <c r="S761" s="6" t="str">
        <f>IFERROR(__xludf.DUMMYFUNCTION("""COMPUTED_VALUE"""),"Через социальные сети (Какие? Укажите в графе другое)")</f>
        <v>Через социальные сети (Какие? Укажите в графе другое)</v>
      </c>
      <c r="T761" s="6" t="str">
        <f>IFERROR(__xludf.DUMMYFUNCTION("""COMPUTED_VALUE"""),"Зимняя вишня, угольный бессейн ")</f>
        <v>Зимняя вишня, угольный бессейн </v>
      </c>
      <c r="U761" s="6" t="str">
        <f>IFERROR(__xludf.DUMMYFUNCTION("""COMPUTED_VALUE"""),"Тц Я")</f>
        <v>Тц Я</v>
      </c>
      <c r="V761" s="6" t="str">
        <f>IFERROR(__xludf.DUMMYFUNCTION("""COMPUTED_VALUE"""),"Не знаю")</f>
        <v>Не знаю</v>
      </c>
      <c r="W761" s="6" t="str">
        <f>IFERROR(__xludf.DUMMYFUNCTION("""COMPUTED_VALUE"""),"Не знаю ")</f>
        <v>Не знаю </v>
      </c>
      <c r="X761" s="6" t="str">
        <f>IFERROR(__xludf.DUMMYFUNCTION("""COMPUTED_VALUE"""),"Ул. Сибиряков-Гвардейцев ")</f>
        <v>Ул. Сибиряков-Гвардейцев </v>
      </c>
      <c r="Y761" s="6" t="str">
        <f>IFERROR(__xludf.DUMMYFUNCTION("""COMPUTED_VALUE"""),"Не знаю")</f>
        <v>Не знаю</v>
      </c>
      <c r="Z761" s="6" t="str">
        <f>IFERROR(__xludf.DUMMYFUNCTION("""COMPUTED_VALUE"""),"Ни каких")</f>
        <v>Ни каких</v>
      </c>
      <c r="AA761" s="6" t="str">
        <f>IFERROR(__xludf.DUMMYFUNCTION("""COMPUTED_VALUE"""),"Не знаю ")</f>
        <v>Не знаю </v>
      </c>
      <c r="AB761" s="6" t="str">
        <f>IFERROR(__xludf.DUMMYFUNCTION("""COMPUTED_VALUE"""),"Не знаю ")</f>
        <v>Не знаю </v>
      </c>
      <c r="AC761" s="6" t="str">
        <f>IFERROR(__xludf.DUMMYFUNCTION("""COMPUTED_VALUE"""),"Не знаю ")</f>
        <v>Не знаю </v>
      </c>
      <c r="AD76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61" s="6" t="str">
        <f>IFERROR(__xludf.DUMMYFUNCTION("""COMPUTED_VALUE"""),"Женский")</f>
        <v>Женский</v>
      </c>
      <c r="AF761" s="6" t="str">
        <f>IFERROR(__xludf.DUMMYFUNCTION("""COMPUTED_VALUE"""),"18-29")</f>
        <v>18-29</v>
      </c>
      <c r="AG761" s="6"/>
      <c r="AH761" s="6"/>
      <c r="AI761" s="6"/>
      <c r="AJ761" s="6"/>
      <c r="AK761" s="6"/>
      <c r="AL761" s="6"/>
      <c r="AM761" s="6"/>
    </row>
    <row r="762">
      <c r="A762" s="6">
        <v>761.0</v>
      </c>
      <c r="B762" s="6" t="str">
        <f>IFERROR(__xludf.DUMMYFUNCTION("""COMPUTED_VALUE"""),"Студент")</f>
        <v>Студент</v>
      </c>
      <c r="C762" s="6" t="str">
        <f>IFERROR(__xludf.DUMMYFUNCTION("""COMPUTED_VALUE"""),"Есть. Фотографировать")</f>
        <v>Есть. Фотографировать</v>
      </c>
      <c r="D762" s="6" t="str">
        <f>IFERROR(__xludf.DUMMYFUNCTION("""COMPUTED_VALUE"""),"Заводской район")</f>
        <v>Заводской район</v>
      </c>
      <c r="E762" s="6" t="str">
        <f>IFERROR(__xludf.DUMMYFUNCTION("""COMPUTED_VALUE"""),"Азот")</f>
        <v>Азот</v>
      </c>
      <c r="F762" s="6" t="str">
        <f>IFERROR(__xludf.DUMMYFUNCTION("""COMPUTED_VALUE"""),"Переехал сюда из другого места (откуда? укажите в графе другое), пгт. Зеленогорский")</f>
        <v>Переехал сюда из другого места (откуда? укажите в графе другое), пгт. Зеленогорский</v>
      </c>
      <c r="G762" s="6" t="str">
        <f>IFERROR(__xludf.DUMMYFUNCTION("""COMPUTED_VALUE"""),"Набережная, парк Ангелов, ТЦ Я")</f>
        <v>Набережная, парк Ангелов, ТЦ Я</v>
      </c>
      <c r="H762" s="6" t="str">
        <f>IFERROR(__xludf.DUMMYFUNCTION("""COMPUTED_VALUE"""),"Уголь, зимняя вишня, кузгту, Тулеев, Томь")</f>
        <v>Уголь, зимняя вишня, кузгту, Тулеев, Томь</v>
      </c>
      <c r="I762" s="6" t="str">
        <f>IFERROR(__xludf.DUMMYFUNCTION("""COMPUTED_VALUE"""),"Тулеев")</f>
        <v>Тулеев</v>
      </c>
      <c r="J762" s="6" t="str">
        <f>IFERROR(__xludf.DUMMYFUNCTION("""COMPUTED_VALUE"""),"Тулеев")</f>
        <v>Тулеев</v>
      </c>
      <c r="K762" s="6" t="str">
        <f>IFERROR(__xludf.DUMMYFUNCTION("""COMPUTED_VALUE"""),"Парк Ангелов, набережная, гостинница Томь")</f>
        <v>Парк Ангелов, набережная, гостинница Томь</v>
      </c>
      <c r="L762" s="6" t="str">
        <f>IFERROR(__xludf.DUMMYFUNCTION("""COMPUTED_VALUE"""),"Не знаю")</f>
        <v>Не знаю</v>
      </c>
      <c r="M762" s="6" t="str">
        <f>IFERROR(__xludf.DUMMYFUNCTION("""COMPUTED_VALUE"""),"Не знаю")</f>
        <v>Не знаю</v>
      </c>
      <c r="N762" s="6" t="str">
        <f>IFERROR(__xludf.DUMMYFUNCTION("""COMPUTED_VALUE"""),"Не знаю")</f>
        <v>Не знаю</v>
      </c>
      <c r="O762" s="6" t="str">
        <f>IFERROR(__xludf.DUMMYFUNCTION("""COMPUTED_VALUE"""),"Цивилева")</f>
        <v>Цивилева</v>
      </c>
      <c r="P762" s="6" t="str">
        <f>IFERROR(__xludf.DUMMYFUNCTION("""COMPUTED_VALUE"""),"Типичный Кемерово")</f>
        <v>Типичный Кемерово</v>
      </c>
      <c r="Q762" s="6" t="str">
        <f>IFERROR(__xludf.DUMMYFUNCTION("""COMPUTED_VALUE"""),"городская афиша (кино/театр/концерты), интервью с местными творческими личностями, бизнес-новости (средний чек/рекламные акции/запуск новых предприятий)")</f>
        <v>городская афиша (кино/театр/концерты), интервью с местными творческими личностями, бизнес-новости (средний чек/рекламные акции/запуск новых предприятий)</v>
      </c>
      <c r="R762" s="6" t="str">
        <f>IFERROR(__xludf.DUMMYFUNCTION("""COMPUTED_VALUE"""),"День города")</f>
        <v>День города</v>
      </c>
      <c r="S762" s="6" t="str">
        <f>IFERROR(__xludf.DUMMYFUNCTION("""COMPUTED_VALUE"""),"Писал и расклеивал объявления/афиши, Обращался в редакции электронных городских СМИ")</f>
        <v>Писал и расклеивал объявления/афиши, Обращался в редакции электронных городских СМИ</v>
      </c>
      <c r="T762" s="6" t="str">
        <f>IFERROR(__xludf.DUMMYFUNCTION("""COMPUTED_VALUE"""),"Уголь")</f>
        <v>Уголь</v>
      </c>
      <c r="U762" s="6" t="str">
        <f>IFERROR(__xludf.DUMMYFUNCTION("""COMPUTED_VALUE"""),"Тяжинская сгущенка")</f>
        <v>Тяжинская сгущенка</v>
      </c>
      <c r="V762" s="6" t="str">
        <f>IFERROR(__xludf.DUMMYFUNCTION("""COMPUTED_VALUE"""),"Не знаю")</f>
        <v>Не знаю</v>
      </c>
      <c r="W762" s="6" t="str">
        <f>IFERROR(__xludf.DUMMYFUNCTION("""COMPUTED_VALUE"""),"Индивидуально")</f>
        <v>Индивидуально</v>
      </c>
      <c r="X762" s="6" t="str">
        <f>IFERROR(__xludf.DUMMYFUNCTION("""COMPUTED_VALUE"""),"От вокзала до общаги")</f>
        <v>От вокзала до общаги</v>
      </c>
      <c r="Y762" s="6" t="str">
        <f>IFERROR(__xludf.DUMMYFUNCTION("""COMPUTED_VALUE"""),"Пожар Зимней вишне")</f>
        <v>Пожар Зимней вишне</v>
      </c>
      <c r="Z762" s="6" t="str">
        <f>IFERROR(__xludf.DUMMYFUNCTION("""COMPUTED_VALUE"""),"Учёба в Кузгту")</f>
        <v>Учёба в Кузгту</v>
      </c>
      <c r="AA762" s="6" t="str">
        <f>IFERROR(__xludf.DUMMYFUNCTION("""COMPUTED_VALUE"""),"Пожар")</f>
        <v>Пожар</v>
      </c>
      <c r="AB762" s="6" t="str">
        <f>IFERROR(__xludf.DUMMYFUNCTION("""COMPUTED_VALUE"""),"Движа")</f>
        <v>Движа</v>
      </c>
      <c r="AC762" s="6" t="str">
        <f>IFERROR(__xludf.DUMMYFUNCTION("""COMPUTED_VALUE"""),"Дискотеки для пожилых")</f>
        <v>Дискотеки для пожилых</v>
      </c>
      <c r="AD762"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62" s="6" t="str">
        <f>IFERROR(__xludf.DUMMYFUNCTION("""COMPUTED_VALUE"""),"Женский")</f>
        <v>Женский</v>
      </c>
      <c r="AF762" s="6" t="str">
        <f>IFERROR(__xludf.DUMMYFUNCTION("""COMPUTED_VALUE"""),"18-29")</f>
        <v>18-29</v>
      </c>
      <c r="AG762" s="6"/>
      <c r="AH762" s="6"/>
      <c r="AI762" s="6"/>
      <c r="AJ762" s="6"/>
      <c r="AK762" s="6"/>
      <c r="AL762" s="6"/>
      <c r="AM762" s="6"/>
    </row>
    <row r="763">
      <c r="A763" s="6">
        <v>762.0</v>
      </c>
      <c r="B763" s="6" t="str">
        <f>IFERROR(__xludf.DUMMYFUNCTION("""COMPUTED_VALUE"""),"Работа с документами")</f>
        <v>Работа с документами</v>
      </c>
      <c r="C763" s="6" t="str">
        <f>IFERROR(__xludf.DUMMYFUNCTION("""COMPUTED_VALUE"""),"Садоводство, чтение")</f>
        <v>Садоводство, чтение</v>
      </c>
      <c r="D763" s="6" t="str">
        <f>IFERROR(__xludf.DUMMYFUNCTION("""COMPUTED_VALUE"""),"Ленинский (спальный район)")</f>
        <v>Ленинский (спальный район)</v>
      </c>
      <c r="E763" s="6" t="str">
        <f>IFERROR(__xludf.DUMMYFUNCTION("""COMPUTED_VALUE"""),"Бульвар Строителей")</f>
        <v>Бульвар Строителей</v>
      </c>
      <c r="F763" s="6" t="str">
        <f>IFERROR(__xludf.DUMMYFUNCTION("""COMPUTED_VALUE"""),"Живу здесь с рождения")</f>
        <v>Живу здесь с рождения</v>
      </c>
      <c r="G763" s="6" t="str">
        <f>IFERROR(__xludf.DUMMYFUNCTION("""COMPUTED_VALUE"""),"На набережную, к реке")</f>
        <v>На набережную, к реке</v>
      </c>
      <c r="H763" s="6" t="str">
        <f>IFERROR(__xludf.DUMMYFUNCTION("""COMPUTED_VALUE"""),"Весной:Серость, грязь, плохие дороги. Летом: зелень, цветы")</f>
        <v>Весной:Серость, грязь, плохие дороги. Летом: зелень, цветы</v>
      </c>
      <c r="I763" s="6" t="str">
        <f>IFERROR(__xludf.DUMMYFUNCTION("""COMPUTED_VALUE"""),"Волков")</f>
        <v>Волков</v>
      </c>
      <c r="J763" s="6" t="str">
        <f>IFERROR(__xludf.DUMMYFUNCTION("""COMPUTED_VALUE"""),"Ражев О.Г.")</f>
        <v>Ражев О.Г.</v>
      </c>
      <c r="K763" s="6" t="str">
        <f>IFERROR(__xludf.DUMMYFUNCTION("""COMPUTED_VALUE"""),"Недостроенный дворец нового русского в д. Кабаново")</f>
        <v>Недостроенный дворец нового русского в д. Кабаново</v>
      </c>
      <c r="L763" s="6" t="str">
        <f>IFERROR(__xludf.DUMMYFUNCTION("""COMPUTED_VALUE"""),"В городе места много: на любом посиди да вперед иди")</f>
        <v>В городе места много: на любом посиди да вперед иди</v>
      </c>
      <c r="M763" s="6" t="str">
        <f>IFERROR(__xludf.DUMMYFUNCTION("""COMPUTED_VALUE"""),"Мультифора")</f>
        <v>Мультифора</v>
      </c>
      <c r="N763" s="6" t="str">
        <f>IFERROR(__xludf.DUMMYFUNCTION("""COMPUTED_VALUE"""),"Дороги, чистота, парковки, места для отдыха, городской транспорт")</f>
        <v>Дороги, чистота, парковки, места для отдыха, городской транспорт</v>
      </c>
      <c r="O763" s="6" t="str">
        <f>IFERROR(__xludf.DUMMYFUNCTION("""COMPUTED_VALUE"""),"Дороги и фасады домов")</f>
        <v>Дороги и фасады домов</v>
      </c>
      <c r="P763" s="6" t="str">
        <f>IFERROR(__xludf.DUMMYFUNCTION("""COMPUTED_VALUE"""),"СМИ")</f>
        <v>СМИ</v>
      </c>
      <c r="Q763"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763" s="6" t="str">
        <f>IFERROR(__xludf.DUMMYFUNCTION("""COMPUTED_VALUE"""),"День города, день шахтеров")</f>
        <v>День города, день шахтеров</v>
      </c>
      <c r="S763" s="6" t="str">
        <f>IFERROR(__xludf.DUMMYFUNCTION("""COMPUTED_VALUE"""),"Нет, не приходилось")</f>
        <v>Нет, не приходилось</v>
      </c>
      <c r="T763" s="6" t="str">
        <f>IFERROR(__xludf.DUMMYFUNCTION("""COMPUTED_VALUE"""),"Шахтерская столица")</f>
        <v>Шахтерская столица</v>
      </c>
      <c r="U763" s="6" t="str">
        <f>IFERROR(__xludf.DUMMYFUNCTION("""COMPUTED_VALUE"""),"Городской парк")</f>
        <v>Городской парк</v>
      </c>
      <c r="V763" s="6" t="str">
        <f>IFERROR(__xludf.DUMMYFUNCTION("""COMPUTED_VALUE"""),"Построили этот город")</f>
        <v>Построили этот город</v>
      </c>
      <c r="W763" s="6" t="str">
        <f>IFERROR(__xludf.DUMMYFUNCTION("""COMPUTED_VALUE"""),"Выносливость, стойкость, открытость")</f>
        <v>Выносливость, стойкость, открытость</v>
      </c>
      <c r="X763" s="6" t="str">
        <f>IFERROR(__xludf.DUMMYFUNCTION("""COMPUTED_VALUE"""),"Городской парк, набережная, ул. Весенняя")</f>
        <v>Городской парк, набережная, ул. Весенняя</v>
      </c>
      <c r="Y763" s="6" t="str">
        <f>IFERROR(__xludf.DUMMYFUNCTION("""COMPUTED_VALUE"""),"Организация работы промышленности во время войны")</f>
        <v>Организация работы промышленности во время войны</v>
      </c>
      <c r="Z763" s="6" t="str">
        <f>IFERROR(__xludf.DUMMYFUNCTION("""COMPUTED_VALUE"""),"Ярмарки на площади")</f>
        <v>Ярмарки на площади</v>
      </c>
      <c r="AA763" s="6" t="str">
        <f>IFERROR(__xludf.DUMMYFUNCTION("""COMPUTED_VALUE"""),"Плохо работает городской транспорт. Маленькое количество маршрутов. Плохая экология. Газификация частного сектора.")</f>
        <v>Плохо работает городской транспорт. Маленькое количество маршрутов. Плохая экология. Газификация частного сектора.</v>
      </c>
      <c r="AB763" s="6" t="str">
        <f>IFERROR(__xludf.DUMMYFUNCTION("""COMPUTED_VALUE"""),"Научных")</f>
        <v>Научных</v>
      </c>
      <c r="AC763" s="6" t="str">
        <f>IFERROR(__xludf.DUMMYFUNCTION("""COMPUTED_VALUE"""),"Выставка домашних животных на улице")</f>
        <v>Выставка домашних животных на улице</v>
      </c>
      <c r="AD76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63" s="6" t="str">
        <f>IFERROR(__xludf.DUMMYFUNCTION("""COMPUTED_VALUE"""),"Женский")</f>
        <v>Женский</v>
      </c>
      <c r="AF763" s="6" t="str">
        <f>IFERROR(__xludf.DUMMYFUNCTION("""COMPUTED_VALUE"""),"45-55")</f>
        <v>45-55</v>
      </c>
      <c r="AG763" s="6"/>
      <c r="AH763" s="6"/>
      <c r="AI763" s="6"/>
      <c r="AJ763" s="6"/>
      <c r="AK763" s="6"/>
      <c r="AL763" s="6"/>
      <c r="AM763" s="6"/>
    </row>
    <row r="764">
      <c r="A764" s="6">
        <v>763.0</v>
      </c>
      <c r="B764" s="6" t="str">
        <f>IFERROR(__xludf.DUMMYFUNCTION("""COMPUTED_VALUE"""),"Студент")</f>
        <v>Студент</v>
      </c>
      <c r="C764" s="6" t="str">
        <f>IFERROR(__xludf.DUMMYFUNCTION("""COMPUTED_VALUE"""),"Рисование, танцы")</f>
        <v>Рисование, танцы</v>
      </c>
      <c r="D764" s="6" t="str">
        <f>IFERROR(__xludf.DUMMYFUNCTION("""COMPUTED_VALUE"""),"Центральный")</f>
        <v>Центральный</v>
      </c>
      <c r="E764" s="6" t="str">
        <f>IFERROR(__xludf.DUMMYFUNCTION("""COMPUTED_VALUE"""),"Парк Ангела, Набережная, площадь Советов")</f>
        <v>Парк Ангела, Набережная, площадь Советов</v>
      </c>
      <c r="F764" s="6" t="str">
        <f>IFERROR(__xludf.DUMMYFUNCTION("""COMPUTED_VALUE"""),"Переехал сюда из другого места (откуда? укажите в графе другое), Белово")</f>
        <v>Переехал сюда из другого места (откуда? укажите в графе другое), Белово</v>
      </c>
      <c r="G764" s="6" t="str">
        <f>IFERROR(__xludf.DUMMYFUNCTION("""COMPUTED_VALUE"""),"На площадь, парк")</f>
        <v>На площадь, парк</v>
      </c>
      <c r="H764" s="6" t="str">
        <f>IFERROR(__xludf.DUMMYFUNCTION("""COMPUTED_VALUE"""),"Шум, грязь, инфраструктура, учеба, университет")</f>
        <v>Шум, грязь, инфраструктура, учеба, университет</v>
      </c>
      <c r="I764" s="6" t="str">
        <f>IFERROR(__xludf.DUMMYFUNCTION("""COMPUTED_VALUE"""),"Малышева")</f>
        <v>Малышева</v>
      </c>
      <c r="J764" s="6" t="str">
        <f>IFERROR(__xludf.DUMMYFUNCTION("""COMPUTED_VALUE"""),"Тулеев")</f>
        <v>Тулеев</v>
      </c>
      <c r="K764" s="6" t="str">
        <f>IFERROR(__xludf.DUMMYFUNCTION("""COMPUTED_VALUE"""),"Парк Ангела, сердце Кузбасса")</f>
        <v>Парк Ангела, сердце Кузбасса</v>
      </c>
      <c r="L764" s="6" t="str">
        <f>IFERROR(__xludf.DUMMYFUNCTION("""COMPUTED_VALUE"""),"Мир! Труд! Май! ")</f>
        <v>Мир! Труд! Май! </v>
      </c>
      <c r="M764" s="6" t="str">
        <f>IFERROR(__xludf.DUMMYFUNCTION("""COMPUTED_VALUE"""),"Нет")</f>
        <v>Нет</v>
      </c>
      <c r="N764" s="6" t="str">
        <f>IFERROR(__xludf.DUMMYFUNCTION("""COMPUTED_VALUE"""),"Чистота, порядок, условия проживания, комфорт")</f>
        <v>Чистота, порядок, условия проживания, комфорт</v>
      </c>
      <c r="O764" s="6" t="str">
        <f>IFERROR(__xludf.DUMMYFUNCTION("""COMPUTED_VALUE"""),"Дороги")</f>
        <v>Дороги</v>
      </c>
      <c r="P764" s="6" t="str">
        <f>IFERROR(__xludf.DUMMYFUNCTION("""COMPUTED_VALUE"""),"Вконтакте, Инстаграмм")</f>
        <v>Вконтакте, Инстаграмм</v>
      </c>
      <c r="Q764"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v>
      </c>
      <c r="R764" s="6" t="str">
        <f>IFERROR(__xludf.DUMMYFUNCTION("""COMPUTED_VALUE"""),"9 мая, 1 мая, день Шахтера")</f>
        <v>9 мая, 1 мая, день Шахтера</v>
      </c>
      <c r="S764" s="6" t="str">
        <f>IFERROR(__xludf.DUMMYFUNCTION("""COMPUTED_VALUE"""),"Писал и расклеивал объявления/афиши")</f>
        <v>Писал и расклеивал объявления/афиши</v>
      </c>
      <c r="T764" s="6" t="str">
        <f>IFERROR(__xludf.DUMMYFUNCTION("""COMPUTED_VALUE"""),"Уголь")</f>
        <v>Уголь</v>
      </c>
      <c r="U764" s="6" t="str">
        <f>IFERROR(__xludf.DUMMYFUNCTION("""COMPUTED_VALUE"""),"Парк Ангела")</f>
        <v>Парк Ангела</v>
      </c>
      <c r="V764" s="6" t="str">
        <f>IFERROR(__xludf.DUMMYFUNCTION("""COMPUTED_VALUE"""),"Добыча угля")</f>
        <v>Добыча угля</v>
      </c>
      <c r="W764" s="6" t="str">
        <f>IFERROR(__xludf.DUMMYFUNCTION("""COMPUTED_VALUE"""),"Молодые, работящие, ответственные")</f>
        <v>Молодые, работящие, ответственные</v>
      </c>
      <c r="X764" s="6" t="str">
        <f>IFERROR(__xludf.DUMMYFUNCTION("""COMPUTED_VALUE"""),"Улица Ленина")</f>
        <v>Улица Ленина</v>
      </c>
      <c r="Y764" s="6" t="str">
        <f>IFERROR(__xludf.DUMMYFUNCTION("""COMPUTED_VALUE"""),"300 лет Кузбассу")</f>
        <v>300 лет Кузбассу</v>
      </c>
      <c r="Z764" s="6" t="str">
        <f>IFERROR(__xludf.DUMMYFUNCTION("""COMPUTED_VALUE"""),"Открытие парков")</f>
        <v>Открытие парков</v>
      </c>
      <c r="AA764" s="6" t="str">
        <f>IFERROR(__xludf.DUMMYFUNCTION("""COMPUTED_VALUE"""),"Никакие")</f>
        <v>Никакие</v>
      </c>
      <c r="AB764" s="6" t="str">
        <f>IFERROR(__xludf.DUMMYFUNCTION("""COMPUTED_VALUE"""),"Никаких")</f>
        <v>Никаких</v>
      </c>
      <c r="AC764" s="6" t="str">
        <f>IFERROR(__xludf.DUMMYFUNCTION("""COMPUTED_VALUE"""),"Фестивали музыки, поэзии, встречи с известными людьми")</f>
        <v>Фестивали музыки, поэзии, встречи с известными людьми</v>
      </c>
      <c r="AD76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64" s="6" t="str">
        <f>IFERROR(__xludf.DUMMYFUNCTION("""COMPUTED_VALUE"""),"Женский")</f>
        <v>Женский</v>
      </c>
      <c r="AF764" s="6" t="str">
        <f>IFERROR(__xludf.DUMMYFUNCTION("""COMPUTED_VALUE"""),"18-29")</f>
        <v>18-29</v>
      </c>
      <c r="AG764" s="6"/>
      <c r="AH764" s="6"/>
      <c r="AI764" s="6"/>
      <c r="AJ764" s="6"/>
      <c r="AK764" s="6"/>
      <c r="AL764" s="6"/>
      <c r="AM764" s="6"/>
    </row>
    <row r="765">
      <c r="A765" s="6">
        <v>764.0</v>
      </c>
      <c r="B765" s="6" t="str">
        <f>IFERROR(__xludf.DUMMYFUNCTION("""COMPUTED_VALUE"""),"Медицинское инженерное оборудование")</f>
        <v>Медицинское инженерное оборудование</v>
      </c>
      <c r="C765" s="6" t="str">
        <f>IFERROR(__xludf.DUMMYFUNCTION("""COMPUTED_VALUE"""),"автопутешествия")</f>
        <v>автопутешествия</v>
      </c>
      <c r="D765" s="6" t="str">
        <f>IFERROR(__xludf.DUMMYFUNCTION("""COMPUTED_VALUE"""),"Ленинский")</f>
        <v>Ленинский</v>
      </c>
      <c r="E765" s="6" t="str">
        <f>IFERROR(__xludf.DUMMYFUNCTION("""COMPUTED_VALUE"""),"бульвар Строителей")</f>
        <v>бульвар Строителей</v>
      </c>
      <c r="F765" s="6" t="str">
        <f>IFERROR(__xludf.DUMMYFUNCTION("""COMPUTED_VALUE"""),"Живу здесь с рождения")</f>
        <v>Живу здесь с рождения</v>
      </c>
      <c r="G765" s="6" t="str">
        <f>IFERROR(__xludf.DUMMYFUNCTION("""COMPUTED_VALUE"""),"Парк чудес с детьми")</f>
        <v>Парк чудес с детьми</v>
      </c>
      <c r="H765" s="6" t="str">
        <f>IFERROR(__xludf.DUMMYFUNCTION("""COMPUTED_VALUE"""),"Хорошие дороги, сибирские морозы, плохая экология, удобный для проживания город, благоустроенные улицы")</f>
        <v>Хорошие дороги, сибирские морозы, плохая экология, удобный для проживания город, благоустроенные улицы</v>
      </c>
      <c r="I765" s="6" t="str">
        <f>IFERROR(__xludf.DUMMYFUNCTION("""COMPUTED_VALUE"""),"Михайлов")</f>
        <v>Михайлов</v>
      </c>
      <c r="J765" s="6" t="str">
        <f>IFERROR(__xludf.DUMMYFUNCTION("""COMPUTED_VALUE"""),"нет")</f>
        <v>нет</v>
      </c>
      <c r="K765" s="6" t="str">
        <f>IFERROR(__xludf.DUMMYFUNCTION("""COMPUTED_VALUE"""),"Красная горка")</f>
        <v>Красная горка</v>
      </c>
      <c r="L765" s="6" t="str">
        <f>IFERROR(__xludf.DUMMYFUNCTION("""COMPUTED_VALUE"""),"нет")</f>
        <v>нет</v>
      </c>
      <c r="M765" s="6" t="str">
        <f>IFERROR(__xludf.DUMMYFUNCTION("""COMPUTED_VALUE"""),"нет")</f>
        <v>нет</v>
      </c>
      <c r="N765" s="6" t="str">
        <f>IFERROR(__xludf.DUMMYFUNCTION("""COMPUTED_VALUE"""),"Хорошая экология, престижное высшее образование, высокие зарплаты, близость к Европе, мягкий климат")</f>
        <v>Хорошая экология, престижное высшее образование, высокие зарплаты, близость к Европе, мягкий климат</v>
      </c>
      <c r="O765" s="6" t="str">
        <f>IFERROR(__xludf.DUMMYFUNCTION("""COMPUTED_VALUE"""),"Убрать разрезы и химические заводы для улучшения экологии, построить высокотехнологичные заводы с высокими з/п (например по сборке самолётов, военного оборудования, нанотехнологичные предприятия и пр.). Построить лучший в Сибири аквапарк. Построить объезд"&amp;"ную дорогу.")</f>
        <v>Убрать разрезы и химические заводы для улучшения экологии, построить высокотехнологичные заводы с высокими з/п (например по сборке самолётов, военного оборудования, нанотехнологичные предприятия и пр.). Построить лучший в Сибири аквапарк. Построить объездную дорогу.</v>
      </c>
      <c r="P765" s="6" t="str">
        <f>IFERROR(__xludf.DUMMYFUNCTION("""COMPUTED_VALUE"""),"новости")</f>
        <v>новости</v>
      </c>
      <c r="Q765" s="6" t="str">
        <f>IFERROR(__xludf.DUMMYFUNCTION("""COMPUTED_VALUE"""),"городская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765" s="6" t="str">
        <f>IFERROR(__xludf.DUMMYFUNCTION("""COMPUTED_VALUE"""),"День города, Новый год")</f>
        <v>День города, Новый год</v>
      </c>
      <c r="S765" s="6" t="str">
        <f>IFERROR(__xludf.DUMMYFUNCTION("""COMPUTED_VALUE"""),"Нет, не приходилось")</f>
        <v>Нет, не приходилось</v>
      </c>
      <c r="T765" s="6" t="str">
        <f>IFERROR(__xludf.DUMMYFUNCTION("""COMPUTED_VALUE"""),"Шахтёрская столица России, зимняя вишня")</f>
        <v>Шахтёрская столица России, зимняя вишня</v>
      </c>
      <c r="U765" s="6" t="str">
        <f>IFERROR(__xludf.DUMMYFUNCTION("""COMPUTED_VALUE"""),"Набережная")</f>
        <v>Набережная</v>
      </c>
      <c r="V765" s="6" t="str">
        <f>IFERROR(__xludf.DUMMYFUNCTION("""COMPUTED_VALUE"""),"Трудовые подвиги  ")</f>
        <v>Трудовые подвиги  </v>
      </c>
      <c r="W765" s="6" t="str">
        <f>IFERROR(__xludf.DUMMYFUNCTION("""COMPUTED_VALUE"""),"Добрые, отзывчивые, суровые")</f>
        <v>Добрые, отзывчивые, суровые</v>
      </c>
      <c r="X765" s="6" t="str">
        <f>IFERROR(__xludf.DUMMYFUNCTION("""COMPUTED_VALUE"""),"Набережная")</f>
        <v>Набережная</v>
      </c>
      <c r="Y765" s="6" t="str">
        <f>IFERROR(__xludf.DUMMYFUNCTION("""COMPUTED_VALUE"""),"26 января 1943 года Указом Президиума Верховного Совета СССР Кузбасский промышленный регион выделяется в новую самостоятельную область, Кемерово становится административным центром Кемеровской области")</f>
        <v>26 января 1943 года Указом Президиума Верховного Совета СССР Кузбасский промышленный регион выделяется в новую самостоятельную область, Кемерово становится административным центром Кемеровской области</v>
      </c>
      <c r="Z765" s="6" t="str">
        <f>IFERROR(__xludf.DUMMYFUNCTION("""COMPUTED_VALUE"""),"Открытие бульвара Строителей, после ремонта")</f>
        <v>Открытие бульвара Строителей, после ремонта</v>
      </c>
      <c r="AA765" s="6" t="str">
        <f>IFERROR(__xludf.DUMMYFUNCTION("""COMPUTED_VALUE"""),"Пожар в зимней вишне")</f>
        <v>Пожар в зимней вишне</v>
      </c>
      <c r="AB765" s="6" t="str">
        <f>IFERROR(__xludf.DUMMYFUNCTION("""COMPUTED_VALUE"""),"Нет")</f>
        <v>Нет</v>
      </c>
      <c r="AC765" s="6" t="str">
        <f>IFERROR(__xludf.DUMMYFUNCTION("""COMPUTED_VALUE"""),"нет")</f>
        <v>нет</v>
      </c>
      <c r="AD765"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765" s="6" t="str">
        <f>IFERROR(__xludf.DUMMYFUNCTION("""COMPUTED_VALUE"""),"Мужской")</f>
        <v>Мужской</v>
      </c>
      <c r="AF765" s="6" t="str">
        <f>IFERROR(__xludf.DUMMYFUNCTION("""COMPUTED_VALUE"""),"30-44")</f>
        <v>30-44</v>
      </c>
      <c r="AG765" s="6"/>
      <c r="AH765" s="6"/>
      <c r="AI765" s="6"/>
      <c r="AJ765" s="6"/>
      <c r="AK765" s="6"/>
      <c r="AL765" s="6"/>
      <c r="AM765" s="6"/>
    </row>
    <row r="766">
      <c r="A766" s="6">
        <v>765.0</v>
      </c>
      <c r="B766" s="6" t="str">
        <f>IFERROR(__xludf.DUMMYFUNCTION("""COMPUTED_VALUE"""),"служащая")</f>
        <v>служащая</v>
      </c>
      <c r="C766" s="6" t="str">
        <f>IFERROR(__xludf.DUMMYFUNCTION("""COMPUTED_VALUE"""),"есть. хорошее")</f>
        <v>есть. хорошее</v>
      </c>
      <c r="D766" s="6" t="str">
        <f>IFERROR(__xludf.DUMMYFUNCTION("""COMPUTED_VALUE"""),"центральном.так и называю.")</f>
        <v>центральном.так и называю.</v>
      </c>
      <c r="E766" s="6" t="str">
        <f>IFERROR(__xludf.DUMMYFUNCTION("""COMPUTED_VALUE"""),"центр.")</f>
        <v>центр.</v>
      </c>
      <c r="F766" s="6" t="str">
        <f>IFERROR(__xludf.DUMMYFUNCTION("""COMPUTED_VALUE"""),"Живу здесь с рождения")</f>
        <v>Живу здесь с рождения</v>
      </c>
      <c r="G766" s="6" t="str">
        <f>IFERROR(__xludf.DUMMYFUNCTION("""COMPUTED_VALUE"""),"не имею свободного времени.")</f>
        <v>не имею свободного времени.</v>
      </c>
      <c r="H766" s="6" t="str">
        <f>IFERROR(__xludf.DUMMYFUNCTION("""COMPUTED_VALUE"""),"грязь, сквернословие, хамство,  ""административный восторг"", воинствующий непрофессионализм.")</f>
        <v>грязь, сквернословие, хамство,  "административный восторг", воинствующий непрофессионализм.</v>
      </c>
      <c r="I766" s="6" t="str">
        <f>IFERROR(__xludf.DUMMYFUNCTION("""COMPUTED_VALUE"""),"Моисеенко,  Ештокин, Баранов")</f>
        <v>Моисеенко,  Ештокин, Баранов</v>
      </c>
      <c r="J766" s="6" t="str">
        <f>IFERROR(__xludf.DUMMYFUNCTION("""COMPUTED_VALUE"""),"Лучшие - бегут из города (как Гришковец), равняться не на кого.")</f>
        <v>Лучшие - бегут из города (как Гришковец), равняться не на кого.</v>
      </c>
      <c r="K766" s="6" t="str">
        <f>IFERROR(__xludf.DUMMYFUNCTION("""COMPUTED_VALUE"""),"Ансамбль центра города (точнее то, что от него осталось)")</f>
        <v>Ансамбль центра города (точнее то, что от него осталось)</v>
      </c>
      <c r="L766" s="6" t="str">
        <f>IFERROR(__xludf.DUMMYFUNCTION("""COMPUTED_VALUE"""),"См.в книге  Салтыкова-Щедрина ""История одного города""")</f>
        <v>См.в книге  Салтыкова-Щедрина "История одного города"</v>
      </c>
      <c r="M766" s="6" t="str">
        <f>IFERROR(__xludf.DUMMYFUNCTION("""COMPUTED_VALUE"""),"нецензурные")</f>
        <v>нецензурные</v>
      </c>
      <c r="N766" s="6" t="str">
        <f>IFERROR(__xludf.DUMMYFUNCTION("""COMPUTED_VALUE"""),"отсутствие грязи, сквернословия, хамства,  ""административный восторга"" и воинствующего непрофессионализма.")</f>
        <v>отсутствие грязи, сквернословия, хамства,  "административный восторга" и воинствующего непрофессионализма.</v>
      </c>
      <c r="O766" s="6" t="str">
        <f>IFERROR(__xludf.DUMMYFUNCTION("""COMPUTED_VALUE"""),"администрацию")</f>
        <v>администрацию</v>
      </c>
      <c r="P766" s="6" t="str">
        <f>IFERROR(__xludf.DUMMYFUNCTION("""COMPUTED_VALUE"""),"от людей")</f>
        <v>от людей</v>
      </c>
      <c r="Q766" s="6" t="str">
        <f>IFERROR(__xludf.DUMMYFUNCTION("""COMPUTED_VALUE"""),"региональные сми не интересны")</f>
        <v>региональные сми не интересны</v>
      </c>
      <c r="R766" s="6" t="str">
        <f>IFERROR(__xludf.DUMMYFUNCTION("""COMPUTED_VALUE"""),"день химика (но такого общегородского праздника теперь нет, как и производства)")</f>
        <v>день химика (но такого общегородского праздника теперь нет, как и производства)</v>
      </c>
      <c r="S766" s="6" t="str">
        <f>IFERROR(__xludf.DUMMYFUNCTION("""COMPUTED_VALUE"""),"по роду и в пределах служебной деятельности")</f>
        <v>по роду и в пределах служебной деятельности</v>
      </c>
      <c r="T766" s="6" t="str">
        <f>IFERROR(__xludf.DUMMYFUNCTION("""COMPUTED_VALUE"""),"Ненависть и презрение местной администрации по отношению к городу, его истории и его жителям")</f>
        <v>Ненависть и презрение местной администрации по отношению к городу, его истории и его жителям</v>
      </c>
      <c r="U766" s="6" t="str">
        <f>IFERROR(__xludf.DUMMYFUNCTION("""COMPUTED_VALUE"""),"Ансамбль Советского проспекта")</f>
        <v>Ансамбль Советского проспекта</v>
      </c>
      <c r="V766" s="6" t="str">
        <f>IFERROR(__xludf.DUMMYFUNCTION("""COMPUTED_VALUE"""),"пожертвовали собой и городом для спасения страны в годы Великой Отечественной и восстановления ее после войны.")</f>
        <v>пожертвовали собой и городом для спасения страны в годы Великой Отечественной и восстановления ее после войны.</v>
      </c>
      <c r="W766" s="6" t="str">
        <f>IFERROR(__xludf.DUMMYFUNCTION("""COMPUTED_VALUE"""),"См.в книге  Салтыкова-Щедрина ""История одного города""")</f>
        <v>См.в книге  Салтыкова-Щедрина "История одного города"</v>
      </c>
      <c r="X766" s="6" t="str">
        <f>IFERROR(__xludf.DUMMYFUNCTION("""COMPUTED_VALUE"""),"непонятен смысл слова ""крутой"" в данном контексте.")</f>
        <v>непонятен смысл слова "крутой" в данном контексте.</v>
      </c>
      <c r="Y766" s="6" t="str">
        <f>IFERROR(__xludf.DUMMYFUNCTION("""COMPUTED_VALUE"""),"Обретение статуса областного центра.")</f>
        <v>Обретение статуса областного центра.</v>
      </c>
      <c r="Z766" s="6" t="str">
        <f>IFERROR(__xludf.DUMMYFUNCTION("""COMPUTED_VALUE"""),"таких в городе не было")</f>
        <v>таких в городе не было</v>
      </c>
      <c r="AA766" s="6" t="str">
        <f>IFERROR(__xludf.DUMMYFUNCTION("""COMPUTED_VALUE"""),"активная и последовательная деятельность администрации по уничтожению культуры и истории города, замещению их конъюнктурным эрзацем (Вместо честного и выстраданного государственного статуса ""Города трудовой доблести и славы"" и развития производства - ст"&amp;"оличные потуги и ставка на мигрантов и торговлю)")</f>
        <v>активная и последовательная деятельность администрации по уничтожению культуры и истории города, замещению их конъюнктурным эрзацем (Вместо честного и выстраданного государственного статуса "Города трудовой доблести и славы" и развития производства - столичные потуги и ставка на мигрантов и торговлю)</v>
      </c>
      <c r="AB766" s="6" t="str">
        <f>IFERROR(__xludf.DUMMYFUNCTION("""COMPUTED_VALUE"""),"в городе нет условий для существования независимых сообществ")</f>
        <v>в городе нет условий для существования независимых сообществ</v>
      </c>
      <c r="AC766" s="6" t="str">
        <f>IFERROR(__xludf.DUMMYFUNCTION("""COMPUTED_VALUE"""),"смена администрации")</f>
        <v>смена администрации</v>
      </c>
      <c r="AD766" s="6" t="str">
        <f>IFERROR(__xludf.DUMMYFUNCTION("""COMPUTED_VALUE"""),"в проектах нынешней горадминистрации соглашусь участвовать только под угрозой расстрела")</f>
        <v>в проектах нынешней горадминистрации соглашусь участвовать только под угрозой расстрела</v>
      </c>
      <c r="AE766" s="6" t="str">
        <f>IFERROR(__xludf.DUMMYFUNCTION("""COMPUTED_VALUE"""),"Женский")</f>
        <v>Женский</v>
      </c>
      <c r="AF766" s="6" t="str">
        <f>IFERROR(__xludf.DUMMYFUNCTION("""COMPUTED_VALUE"""),"45-55")</f>
        <v>45-55</v>
      </c>
      <c r="AG766" s="6"/>
      <c r="AH766" s="6"/>
      <c r="AI766" s="6"/>
      <c r="AJ766" s="6"/>
      <c r="AK766" s="6"/>
      <c r="AL766" s="6"/>
      <c r="AM766" s="6"/>
    </row>
    <row r="767">
      <c r="A767" s="6">
        <v>766.0</v>
      </c>
      <c r="B767" s="6" t="str">
        <f>IFERROR(__xludf.DUMMYFUNCTION("""COMPUTED_VALUE"""),"Обучающийся")</f>
        <v>Обучающийся</v>
      </c>
      <c r="C767" s="6" t="str">
        <f>IFERROR(__xludf.DUMMYFUNCTION("""COMPUTED_VALUE"""),"рисование")</f>
        <v>рисование</v>
      </c>
      <c r="D767" s="6" t="str">
        <f>IFERROR(__xludf.DUMMYFUNCTION("""COMPUTED_VALUE"""),"Ленинский")</f>
        <v>Ленинский</v>
      </c>
      <c r="E767" s="6" t="str">
        <f>IFERROR(__xludf.DUMMYFUNCTION("""COMPUTED_VALUE"""),"бульвар")</f>
        <v>бульвар</v>
      </c>
      <c r="F767" s="6" t="str">
        <f>IFERROR(__xludf.DUMMYFUNCTION("""COMPUTED_VALUE"""),"Переехал сюда из другого места (откуда? укажите в графе другое), Из пгт")</f>
        <v>Переехал сюда из другого места (откуда? укажите в графе другое), Из пгт</v>
      </c>
      <c r="G767" s="6" t="str">
        <f>IFERROR(__xludf.DUMMYFUNCTION("""COMPUTED_VALUE"""),"На бульвар или набережную")</f>
        <v>На бульвар или набережную</v>
      </c>
      <c r="H767" s="6" t="str">
        <f>IFERROR(__xludf.DUMMYFUNCTION("""COMPUTED_VALUE"""),"кузбасс, уголь, промышленность, кузгту")</f>
        <v>кузбасс, уголь, промышленность, кузгту</v>
      </c>
      <c r="I767" s="6" t="str">
        <f>IFERROR(__xludf.DUMMYFUNCTION("""COMPUTED_VALUE"""),"Леонов")</f>
        <v>Леонов</v>
      </c>
      <c r="J767" s="6" t="str">
        <f>IFERROR(__xludf.DUMMYFUNCTION("""COMPUTED_VALUE"""),"не знаю")</f>
        <v>не знаю</v>
      </c>
      <c r="K767" s="6" t="str">
        <f>IFERROR(__xludf.DUMMYFUNCTION("""COMPUTED_VALUE"""),"набережную")</f>
        <v>набережную</v>
      </c>
      <c r="L767" s="6" t="str">
        <f>IFERROR(__xludf.DUMMYFUNCTION("""COMPUTED_VALUE"""),"реально?")</f>
        <v>реально?</v>
      </c>
      <c r="M767" s="6" t="str">
        <f>IFERROR(__xludf.DUMMYFUNCTION("""COMPUTED_VALUE"""),"Мультифора")</f>
        <v>Мультифора</v>
      </c>
      <c r="N767" s="6" t="str">
        <f>IFERROR(__xludf.DUMMYFUNCTION("""COMPUTED_VALUE"""),"все")</f>
        <v>все</v>
      </c>
      <c r="O767" s="6" t="str">
        <f>IFERROR(__xludf.DUMMYFUNCTION("""COMPUTED_VALUE"""),"дорогу для машин к верхнему бульвару и дорожку, для пешеходов, от него к остановке")</f>
        <v>дорогу для машин к верхнему бульвару и дорожку, для пешеходов, от него к остановке</v>
      </c>
      <c r="P767" s="6" t="str">
        <f>IFERROR(__xludf.DUMMYFUNCTION("""COMPUTED_VALUE"""),"не интересуюсь")</f>
        <v>не интересуюсь</v>
      </c>
      <c r="Q767" s="6" t="str">
        <f>IFERROR(__xludf.DUMMYFUNCTION("""COMPUTED_VALUE"""),"Не интересно")</f>
        <v>Не интересно</v>
      </c>
      <c r="R767" s="6" t="str">
        <f>IFERROR(__xludf.DUMMYFUNCTION("""COMPUTED_VALUE"""),"Все")</f>
        <v>Все</v>
      </c>
      <c r="S767" s="6" t="str">
        <f>IFERROR(__xludf.DUMMYFUNCTION("""COMPUTED_VALUE"""),"Нет, не приходилось")</f>
        <v>Нет, не приходилось</v>
      </c>
      <c r="T767" s="6" t="str">
        <f>IFERROR(__xludf.DUMMYFUNCTION("""COMPUTED_VALUE"""),"Уголь")</f>
        <v>Уголь</v>
      </c>
      <c r="U767" s="6" t="str">
        <f>IFERROR(__xludf.DUMMYFUNCTION("""COMPUTED_VALUE"""),"Лапландия")</f>
        <v>Лапландия</v>
      </c>
      <c r="V767" s="6" t="str">
        <f>IFERROR(__xludf.DUMMYFUNCTION("""COMPUTED_VALUE"""),"все")</f>
        <v>все</v>
      </c>
      <c r="W767" s="6" t="str">
        <f>IFERROR(__xludf.DUMMYFUNCTION("""COMPUTED_VALUE"""),"классные")</f>
        <v>классные</v>
      </c>
      <c r="X767" s="6" t="str">
        <f>IFERROR(__xludf.DUMMYFUNCTION("""COMPUTED_VALUE"""),"Бульвар строителей")</f>
        <v>Бульвар строителей</v>
      </c>
      <c r="Y767" s="6" t="str">
        <f>IFERROR(__xludf.DUMMYFUNCTION("""COMPUTED_VALUE"""),"Не жил здесь")</f>
        <v>Не жил здесь</v>
      </c>
      <c r="Z767" s="6" t="str">
        <f>IFERROR(__xludf.DUMMYFUNCTION("""COMPUTED_VALUE"""),"Не жил ")</f>
        <v>Не жил </v>
      </c>
      <c r="AA767" s="6" t="str">
        <f>IFERROR(__xludf.DUMMYFUNCTION("""COMPUTED_VALUE"""),"не жил здесь")</f>
        <v>не жил здесь</v>
      </c>
      <c r="AB767" s="6" t="str">
        <f>IFERROR(__xludf.DUMMYFUNCTION("""COMPUTED_VALUE"""),"всего хватает")</f>
        <v>всего хватает</v>
      </c>
      <c r="AC767" s="6" t="str">
        <f>IFERROR(__xludf.DUMMYFUNCTION("""COMPUTED_VALUE"""),"всего хватает")</f>
        <v>всего хватает</v>
      </c>
      <c r="AD76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67" s="6" t="str">
        <f>IFERROR(__xludf.DUMMYFUNCTION("""COMPUTED_VALUE"""),"Женский")</f>
        <v>Женский</v>
      </c>
      <c r="AF767" s="6" t="str">
        <f>IFERROR(__xludf.DUMMYFUNCTION("""COMPUTED_VALUE"""),"18-29")</f>
        <v>18-29</v>
      </c>
      <c r="AG767" s="6"/>
      <c r="AH767" s="6"/>
      <c r="AI767" s="6"/>
      <c r="AJ767" s="6"/>
      <c r="AK767" s="6"/>
      <c r="AL767" s="6"/>
      <c r="AM767" s="6"/>
    </row>
    <row r="768">
      <c r="A768" s="6">
        <v>767.0</v>
      </c>
      <c r="B768" s="6" t="str">
        <f>IFERROR(__xludf.DUMMYFUNCTION("""COMPUTED_VALUE"""),"Преподаватель. работа со студентами, научные исследования и публикации")</f>
        <v>Преподаватель. работа со студентами, научные исследования и публикации</v>
      </c>
      <c r="C768" s="6" t="str">
        <f>IFERROR(__xludf.DUMMYFUNCTION("""COMPUTED_VALUE"""),"музыка, литература, цветоводство")</f>
        <v>музыка, литература, цветоводство</v>
      </c>
      <c r="D768" s="6" t="str">
        <f>IFERROR(__xludf.DUMMYFUNCTION("""COMPUTED_VALUE"""),"Центральный район. Сердце города Кемерово")</f>
        <v>Центральный район. Сердце города Кемерово</v>
      </c>
      <c r="E768" s="6" t="str">
        <f>IFERROR(__xludf.DUMMYFUNCTION("""COMPUTED_VALUE"""),"Советский проспект, Притомская набережная, Ленинский проспект ")</f>
        <v>Советский проспект, Притомская набережная, Ленинский проспект </v>
      </c>
      <c r="F768" s="6" t="str">
        <f>IFERROR(__xludf.DUMMYFUNCTION("""COMPUTED_VALUE"""),"Переехал сюда из другого места (откуда? укажите в графе другое), живу более 60 лет. переехала из г. Анжеро-судженска")</f>
        <v>Переехал сюда из другого места (откуда? укажите в графе другое), живу более 60 лет. переехала из г. Анжеро-судженска</v>
      </c>
      <c r="G768" s="6" t="str">
        <f>IFERROR(__xludf.DUMMYFUNCTION("""COMPUTED_VALUE"""),"Притомская набережная, ул. Весенняя, парк Жукова, Сосновый бор")</f>
        <v>Притомская набережная, ул. Весенняя, парк Жукова, Сосновый бор</v>
      </c>
      <c r="H768" s="6" t="str">
        <f>IFERROR(__xludf.DUMMYFUNCTION("""COMPUTED_VALUE"""),"КузГТУ, Томь, Азот, Кокс, ГРЭС")</f>
        <v>КузГТУ, Томь, Азот, Кокс, ГРЭС</v>
      </c>
      <c r="I768" s="6" t="str">
        <f>IFERROR(__xludf.DUMMYFUNCTION("""COMPUTED_VALUE"""),"Волков М., Ремезов С.У., Балибалов И.А., Юров Г.Е., Кожевин В.Г.")</f>
        <v>Волков М., Ремезов С.У., Балибалов И.А., Юров Г.Е., Кожевин В.Г.</v>
      </c>
      <c r="J768" s="6" t="str">
        <f>IFERROR(__xludf.DUMMYFUNCTION("""COMPUTED_VALUE"""),"Леонов А.А., Тулеев А.Г., Бабанский Ю.В., Федоров В.Д., Бобров А,К.")</f>
        <v>Леонов А.А., Тулеев А.Г., Бабанский Ю.В., Федоров В.Д., Бобров А,К.</v>
      </c>
      <c r="K768" s="6" t="str">
        <f>IFERROR(__xludf.DUMMYFUNCTION("""COMPUTED_VALUE"""),"Красная горка, Притомская набережная, ул Весенняя")</f>
        <v>Красная горка, Притомская набережная, ул Весенняя</v>
      </c>
      <c r="L768" s="6" t="str">
        <f>IFERROR(__xludf.DUMMYFUNCTION("""COMPUTED_VALUE"""),"не знаю таких")</f>
        <v>не знаю таких</v>
      </c>
      <c r="M768" s="6" t="str">
        <f>IFERROR(__xludf.DUMMYFUNCTION("""COMPUTED_VALUE"""),"не знаю")</f>
        <v>не знаю</v>
      </c>
      <c r="N768" s="6" t="str">
        <f>IFERROR(__xludf.DUMMYFUNCTION("""COMPUTED_VALUE"""),"чистота улиц, наличие современных доступных туалетов, светофоры, парки, отсутствие нагромождения автомобилей во дворах и на тротуарах")</f>
        <v>чистота улиц, наличие современных доступных туалетов, светофоры, парки, отсутствие нагромождения автомобилей во дворах и на тротуарах</v>
      </c>
      <c r="O768" s="6" t="str">
        <f>IFERROR(__xludf.DUMMYFUNCTION("""COMPUTED_VALUE"""),"обязать владельцев животных убирать за ними экскременты")</f>
        <v>обязать владельцев животных убирать за ними экскременты</v>
      </c>
      <c r="P768" s="6" t="str">
        <f>IFERROR(__xludf.DUMMYFUNCTION("""COMPUTED_VALUE"""),"радио, ТВ.")</f>
        <v>радио, ТВ.</v>
      </c>
      <c r="Q768" s="6" t="str">
        <f>IFERROR(__xludf.DUMMYFUNCTION("""COMPUTED_VALUE"""),"городская афиша (кино/театр/концерты), интервью с местными творческими личностями, криминальные новости (происшествия/преступления)")</f>
        <v>городская афиша (кино/театр/концерты), интервью с местными творческими личностями, криминальные новости (происшествия/преступления)</v>
      </c>
      <c r="R768" s="6" t="str">
        <f>IFERROR(__xludf.DUMMYFUNCTION("""COMPUTED_VALUE"""),"День города, День шахтера")</f>
        <v>День города, День шахтера</v>
      </c>
      <c r="S768" s="6" t="str">
        <f>IFERROR(__xludf.DUMMYFUNCTION("""COMPUTED_VALUE"""),"Нет, не приходилось")</f>
        <v>Нет, не приходилось</v>
      </c>
      <c r="T768" s="6" t="str">
        <f>IFERROR(__xludf.DUMMYFUNCTION("""COMPUTED_VALUE"""),"Своими известными и знаменитыми людьми ")</f>
        <v>Своими известными и знаменитыми людьми </v>
      </c>
      <c r="U768" s="6" t="str">
        <f>IFERROR(__xludf.DUMMYFUNCTION("""COMPUTED_VALUE"""),"Советский проспект с прилегающими улицами и площадями")</f>
        <v>Советский проспект с прилегающими улицами и площадями</v>
      </c>
      <c r="V768" s="6" t="str">
        <f>IFERROR(__xludf.DUMMYFUNCTION("""COMPUTED_VALUE"""),"Здесь ковалась Великая Победа, здесь вносится существенный вклад в экономику страны.")</f>
        <v>Здесь ковалась Великая Победа, здесь вносится существенный вклад в экономику страны.</v>
      </c>
      <c r="W768" s="6" t="str">
        <f>IFERROR(__xludf.DUMMYFUNCTION("""COMPUTED_VALUE"""),"стойкие, надежные, добрые")</f>
        <v>стойкие, надежные, добрые</v>
      </c>
      <c r="X768" s="6" t="str">
        <f>IFERROR(__xludf.DUMMYFUNCTION("""COMPUTED_VALUE"""),"Проспект Ленина")</f>
        <v>Проспект Ленина</v>
      </c>
      <c r="Y768" s="6" t="str">
        <f>IFERROR(__xludf.DUMMYFUNCTION("""COMPUTED_VALUE"""),"не могу его выделить")</f>
        <v>не могу его выделить</v>
      </c>
      <c r="Z768" s="6" t="str">
        <f>IFERROR(__xludf.DUMMYFUNCTION("""COMPUTED_VALUE"""),"открытие Парка Ангелов")</f>
        <v>открытие Парка Ангелов</v>
      </c>
      <c r="AA768" s="6" t="str">
        <f>IFERROR(__xludf.DUMMYFUNCTION("""COMPUTED_VALUE"""),"демонстрации в поддержку Навального")</f>
        <v>демонстрации в поддержку Навального</v>
      </c>
      <c r="AB768" s="6" t="str">
        <f>IFERROR(__xludf.DUMMYFUNCTION("""COMPUTED_VALUE"""),"танцевальных секций для пожилых людей")</f>
        <v>танцевальных секций для пожилых людей</v>
      </c>
      <c r="AC768" s="6" t="str">
        <f>IFERROR(__xludf.DUMMYFUNCTION("""COMPUTED_VALUE"""),"
музыкальные фестивали, спортивные соревнования крупного масштаба, гастроли заруюежных звезд ")</f>
        <v>
музыкальные фестивали, спортивные соревнования крупного масштаба, гастроли заруюежных звезд </v>
      </c>
      <c r="AD76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68" s="6" t="str">
        <f>IFERROR(__xludf.DUMMYFUNCTION("""COMPUTED_VALUE"""),"Мужской")</f>
        <v>Мужской</v>
      </c>
      <c r="AF768" s="6" t="str">
        <f>IFERROR(__xludf.DUMMYFUNCTION("""COMPUTED_VALUE"""),"старше 55")</f>
        <v>старше 55</v>
      </c>
      <c r="AG768" s="6"/>
      <c r="AH768" s="6"/>
      <c r="AI768" s="6"/>
      <c r="AJ768" s="6"/>
      <c r="AK768" s="6"/>
      <c r="AL768" s="6"/>
      <c r="AM768" s="6"/>
    </row>
    <row r="769">
      <c r="A769" s="6">
        <v>768.0</v>
      </c>
      <c r="B769" s="6" t="str">
        <f>IFERROR(__xludf.DUMMYFUNCTION("""COMPUTED_VALUE"""),"Студент")</f>
        <v>Студент</v>
      </c>
      <c r="C769" s="6" t="str">
        <f>IFERROR(__xludf.DUMMYFUNCTION("""COMPUTED_VALUE"""),"Нет")</f>
        <v>Нет</v>
      </c>
      <c r="D769" s="6" t="str">
        <f>IFERROR(__xludf.DUMMYFUNCTION("""COMPUTED_VALUE"""),"Заводской")</f>
        <v>Заводской</v>
      </c>
      <c r="E769" s="6" t="str">
        <f>IFERROR(__xludf.DUMMYFUNCTION("""COMPUTED_VALUE"""),"Парк ангелов")</f>
        <v>Парк ангелов</v>
      </c>
      <c r="F769" s="6" t="str">
        <f>IFERROR(__xludf.DUMMYFUNCTION("""COMPUTED_VALUE"""),"Приехал учиться")</f>
        <v>Приехал учиться</v>
      </c>
      <c r="G769" s="6" t="str">
        <f>IFERROR(__xludf.DUMMYFUNCTION("""COMPUTED_VALUE"""),"Набережная")</f>
        <v>Набережная</v>
      </c>
      <c r="H769" s="6" t="str">
        <f>IFERROR(__xludf.DUMMYFUNCTION("""COMPUTED_VALUE"""),"Старый, грязный, забытый, не молодёжный")</f>
        <v>Старый, грязный, забытый, не молодёжный</v>
      </c>
      <c r="I769" s="6" t="str">
        <f>IFERROR(__xludf.DUMMYFUNCTION("""COMPUTED_VALUE""")," ...")</f>
        <v> ...</v>
      </c>
      <c r="J769" s="6" t="str">
        <f>IFERROR(__xludf.DUMMYFUNCTION("""COMPUTED_VALUE"""),"...")</f>
        <v>...</v>
      </c>
      <c r="K769" s="6" t="str">
        <f>IFERROR(__xludf.DUMMYFUNCTION("""COMPUTED_VALUE"""),"Кузгту")</f>
        <v>Кузгту</v>
      </c>
      <c r="L769" s="6" t="str">
        <f>IFERROR(__xludf.DUMMYFUNCTION("""COMPUTED_VALUE"""),"...")</f>
        <v>...</v>
      </c>
      <c r="M769" s="6" t="str">
        <f>IFERROR(__xludf.DUMMYFUNCTION("""COMPUTED_VALUE"""),"...")</f>
        <v>...</v>
      </c>
      <c r="N769" s="6" t="str">
        <f>IFERROR(__xludf.DUMMYFUNCTION("""COMPUTED_VALUE"""),"Чистота, свежий воздух, обустройство парков, развитая инфраструктура отдыха")</f>
        <v>Чистота, свежий воздух, обустройство парков, развитая инфраструктура отдыха</v>
      </c>
      <c r="O769" s="6" t="str">
        <f>IFERROR(__xludf.DUMMYFUNCTION("""COMPUTED_VALUE"""),"экологический контроль)")</f>
        <v>экологический контроль)</v>
      </c>
      <c r="P769" s="6" t="str">
        <f>IFERROR(__xludf.DUMMYFUNCTION("""COMPUTED_VALUE"""),"VK")</f>
        <v>VK</v>
      </c>
      <c r="Q769" s="6" t="str">
        <f>IFERROR(__xludf.DUMMYFUNCTION("""COMPUTED_VALUE"""),"куда пойти в свободное время, где вкусно поесть/открытие новых кафе/ресторанов, новости про новые профессии/куда поступать/вакансии")</f>
        <v>куда пойти в свободное время, где вкусно поесть/открытие новых кафе/ресторанов, новости про новые профессии/куда поступать/вакансии</v>
      </c>
      <c r="R769" s="6" t="str">
        <f>IFERROR(__xludf.DUMMYFUNCTION("""COMPUTED_VALUE"""),"День города. ")</f>
        <v>День города. </v>
      </c>
      <c r="S769" s="6" t="str">
        <f>IFERROR(__xludf.DUMMYFUNCTION("""COMPUTED_VALUE"""),"Нет, не приходилось")</f>
        <v>Нет, не приходилось</v>
      </c>
      <c r="T769" s="6" t="str">
        <f>IFERROR(__xludf.DUMMYFUNCTION("""COMPUTED_VALUE"""),"Ничего")</f>
        <v>Ничего</v>
      </c>
      <c r="U769" s="6" t="str">
        <f>IFERROR(__xludf.DUMMYFUNCTION("""COMPUTED_VALUE"""),"КузГТУ- центр вселенной")</f>
        <v>КузГТУ- центр вселенной</v>
      </c>
      <c r="V769" s="6" t="str">
        <f>IFERROR(__xludf.DUMMYFUNCTION("""COMPUTED_VALUE"""),"...")</f>
        <v>...</v>
      </c>
      <c r="W769" s="6" t="str">
        <f>IFERROR(__xludf.DUMMYFUNCTION("""COMPUTED_VALUE"""),"...")</f>
        <v>...</v>
      </c>
      <c r="X769" s="6" t="str">
        <f>IFERROR(__xludf.DUMMYFUNCTION("""COMPUTED_VALUE"""),".
")</f>
        <v>.
</v>
      </c>
      <c r="Y769" s="6" t="str">
        <f>IFERROR(__xludf.DUMMYFUNCTION("""COMPUTED_VALUE"""),"Открыли кузгту")</f>
        <v>Открыли кузгту</v>
      </c>
      <c r="Z769" s="6" t="str">
        <f>IFERROR(__xludf.DUMMYFUNCTION("""COMPUTED_VALUE"""),"Поступил учиться в КузГТУ")</f>
        <v>Поступил учиться в КузГТУ</v>
      </c>
      <c r="AA769" s="6" t="str">
        <f>IFERROR(__xludf.DUMMYFUNCTION("""COMPUTED_VALUE"""),".   ")</f>
        <v>.   </v>
      </c>
      <c r="AB769" s="6" t="str">
        <f>IFERROR(__xludf.DUMMYFUNCTION("""COMPUTED_VALUE"""),"....")</f>
        <v>....</v>
      </c>
      <c r="AC769" s="6" t="str">
        <f>IFERROR(__xludf.DUMMYFUNCTION("""COMPUTED_VALUE"""),"Развлекательные вечерние программы")</f>
        <v>Развлекательные вечерние программы</v>
      </c>
      <c r="AD76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769" s="6" t="str">
        <f>IFERROR(__xludf.DUMMYFUNCTION("""COMPUTED_VALUE"""),"Мужской")</f>
        <v>Мужской</v>
      </c>
      <c r="AF769" s="6" t="str">
        <f>IFERROR(__xludf.DUMMYFUNCTION("""COMPUTED_VALUE"""),"18-29")</f>
        <v>18-29</v>
      </c>
      <c r="AG769" s="6"/>
      <c r="AH769" s="6"/>
      <c r="AI769" s="6"/>
      <c r="AJ769" s="6"/>
      <c r="AK769" s="6"/>
      <c r="AL769" s="6"/>
      <c r="AM769" s="6"/>
    </row>
    <row r="770">
      <c r="A770" s="6">
        <v>769.0</v>
      </c>
      <c r="B770" s="6" t="str">
        <f>IFERROR(__xludf.DUMMYFUNCTION("""COMPUTED_VALUE"""),"Студент")</f>
        <v>Студент</v>
      </c>
      <c r="C770" s="6" t="str">
        <f>IFERROR(__xludf.DUMMYFUNCTION("""COMPUTED_VALUE"""),"Да, спать, кушать, гулять, кататься на велосипеде, читать книги")</f>
        <v>Да, спать, кушать, гулять, кататься на велосипеде, читать книги</v>
      </c>
      <c r="D770" s="6" t="str">
        <f>IFERROR(__xludf.DUMMYFUNCTION("""COMPUTED_VALUE"""),"Рудничный район, Радуга, Радужный")</f>
        <v>Рудничный район, Радуга, Радужный</v>
      </c>
      <c r="E770" s="6" t="str">
        <f>IFERROR(__xludf.DUMMYFUNCTION("""COMPUTED_VALUE"""),"Тц Радуга, Сосновый бор ")</f>
        <v>Тц Радуга, Сосновый бор </v>
      </c>
      <c r="F770" s="6" t="str">
        <f>IFERROR(__xludf.DUMMYFUNCTION("""COMPUTED_VALUE"""),"Живу здесь с рождения")</f>
        <v>Живу здесь с рождения</v>
      </c>
      <c r="G770" s="6" t="str">
        <f>IFERROR(__xludf.DUMMYFUNCTION("""COMPUTED_VALUE"""),"Сходить откровенно некуда, только на набережную ")</f>
        <v>Сходить откровенно некуда, только на набережную </v>
      </c>
      <c r="H770" s="6" t="str">
        <f>IFERROR(__xludf.DUMMYFUNCTION("""COMPUTED_VALUE"""),"Грязный, серый, затухающий, не красивый, скучный, загрязненная, заросшая Томь и не только")</f>
        <v>Грязный, серый, затухающий, не красивый, скучный, загрязненная, заросшая Томь и не только</v>
      </c>
      <c r="I770" s="6" t="str">
        <f>IFERROR(__xludf.DUMMYFUNCTION("""COMPUTED_VALUE"""),"Не знаю ")</f>
        <v>Не знаю </v>
      </c>
      <c r="J770" s="6" t="str">
        <f>IFERROR(__xludf.DUMMYFUNCTION("""COMPUTED_VALUE"""),"Вера Волошина ")</f>
        <v>Вера Волошина </v>
      </c>
      <c r="K770" s="6" t="str">
        <f>IFERROR(__xludf.DUMMYFUNCTION("""COMPUTED_VALUE"""),"Красная горка, парк Ангелов")</f>
        <v>Красная горка, парк Ангелов</v>
      </c>
      <c r="L770" s="6" t="str">
        <f>IFERROR(__xludf.DUMMYFUNCTION("""COMPUTED_VALUE"""),"-")</f>
        <v>-</v>
      </c>
      <c r="M770" s="6" t="str">
        <f>IFERROR(__xludf.DUMMYFUNCTION("""COMPUTED_VALUE"""),"Мультифора")</f>
        <v>Мультифора</v>
      </c>
      <c r="N770" s="6" t="str">
        <f>IFERROR(__xludf.DUMMYFUNCTION("""COMPUTED_VALUE"""),"Зелёный, налаженный общественный транспорт, чистота, чистый воздух, культура, чистые водоёмы ")</f>
        <v>Зелёный, налаженный общественный транспорт, чистота, чистый воздух, культура, чистые водоёмы </v>
      </c>
      <c r="O770" s="6" t="str">
        <f>IFERROR(__xludf.DUMMYFUNCTION("""COMPUTED_VALUE"""),"Воздух, воду, транспорт ")</f>
        <v>Воздух, воду, транспорт </v>
      </c>
      <c r="P770" s="6" t="str">
        <f>IFERROR(__xludf.DUMMYFUNCTION("""COMPUTED_VALUE"""),"Газета")</f>
        <v>Газета</v>
      </c>
      <c r="Q770" s="6" t="str">
        <f>IFERROR(__xludf.DUMMYFUNCTION("""COMPUTED_VALUE"""),"городская афиша (кино/театр/концерты), интервью с местными политиками, результаты местных исследований (рейтинги/аналитика/тенденции)")</f>
        <v>городская афиша (кино/театр/концерты), интервью с местными политиками, результаты местных исследований (рейтинги/аналитика/тенденции)</v>
      </c>
      <c r="R770" s="6" t="str">
        <f>IFERROR(__xludf.DUMMYFUNCTION("""COMPUTED_VALUE"""),"9 мая, 12 июня, 1 января")</f>
        <v>9 мая, 12 июня, 1 января</v>
      </c>
      <c r="S770" s="6" t="str">
        <f>IFERROR(__xludf.DUMMYFUNCTION("""COMPUTED_VALUE"""),"Нет, не приходилось")</f>
        <v>Нет, не приходилось</v>
      </c>
      <c r="T770" s="6" t="str">
        <f>IFERROR(__xludf.DUMMYFUNCTION("""COMPUTED_VALUE"""),"Богат углем ")</f>
        <v>Богат углем </v>
      </c>
      <c r="U770" s="6" t="str">
        <f>IFERROR(__xludf.DUMMYFUNCTION("""COMPUTED_VALUE"""),"Площадь советов, парк Ангелов")</f>
        <v>Площадь советов, парк Ангелов</v>
      </c>
      <c r="V770" s="6" t="str">
        <f>IFERROR(__xludf.DUMMYFUNCTION("""COMPUTED_VALUE"""),". ")</f>
        <v>. </v>
      </c>
      <c r="W770" s="6" t="str">
        <f>IFERROR(__xludf.DUMMYFUNCTION("""COMPUTED_VALUE"""),". ")</f>
        <v>. </v>
      </c>
      <c r="X770" s="6" t="str">
        <f>IFERROR(__xludf.DUMMYFUNCTION("""COMPUTED_VALUE"""),". ")</f>
        <v>. </v>
      </c>
      <c r="Y770" s="6" t="str">
        <f>IFERROR(__xludf.DUMMYFUNCTION("""COMPUTED_VALUE"""),". ")</f>
        <v>. </v>
      </c>
      <c r="Z770" s="6" t="str">
        <f>IFERROR(__xludf.DUMMYFUNCTION("""COMPUTED_VALUE"""),". ")</f>
        <v>. </v>
      </c>
      <c r="AA770" s="6" t="str">
        <f>IFERROR(__xludf.DUMMYFUNCTION("""COMPUTED_VALUE"""),". ")</f>
        <v>. </v>
      </c>
      <c r="AB770" s="6" t="str">
        <f>IFERROR(__xludf.DUMMYFUNCTION("""COMPUTED_VALUE"""),". ")</f>
        <v>. </v>
      </c>
      <c r="AC770" s="6" t="str">
        <f>IFERROR(__xludf.DUMMYFUNCTION("""COMPUTED_VALUE"""),". ")</f>
        <v>. </v>
      </c>
      <c r="AD77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70" s="6" t="str">
        <f>IFERROR(__xludf.DUMMYFUNCTION("""COMPUTED_VALUE"""),"Женский")</f>
        <v>Женский</v>
      </c>
      <c r="AF770" s="6" t="str">
        <f>IFERROR(__xludf.DUMMYFUNCTION("""COMPUTED_VALUE"""),"18-29")</f>
        <v>18-29</v>
      </c>
      <c r="AG770" s="6"/>
      <c r="AH770" s="6"/>
      <c r="AI770" s="6"/>
      <c r="AJ770" s="6"/>
      <c r="AK770" s="6"/>
      <c r="AL770" s="6"/>
      <c r="AM770" s="6"/>
    </row>
    <row r="771">
      <c r="A771" s="6">
        <v>770.0</v>
      </c>
      <c r="B771" s="6" t="str">
        <f>IFERROR(__xludf.DUMMYFUNCTION("""COMPUTED_VALUE"""),"Пенсионер")</f>
        <v>Пенсионер</v>
      </c>
      <c r="C771" s="6" t="str">
        <f>IFERROR(__xludf.DUMMYFUNCTION("""COMPUTED_VALUE"""),"чтение")</f>
        <v>чтение</v>
      </c>
      <c r="D771" s="6" t="str">
        <f>IFERROR(__xludf.DUMMYFUNCTION("""COMPUTED_VALUE"""),"центральный")</f>
        <v>центральный</v>
      </c>
      <c r="E771" s="6" t="str">
        <f>IFERROR(__xludf.DUMMYFUNCTION("""COMPUTED_VALUE"""),"площадь Пушкина")</f>
        <v>площадь Пушкина</v>
      </c>
      <c r="F771" s="6" t="str">
        <f>IFERROR(__xludf.DUMMYFUNCTION("""COMPUTED_VALUE"""),"Живу здесь с рождения")</f>
        <v>Живу здесь с рождения</v>
      </c>
      <c r="G771" s="6" t="str">
        <f>IFERROR(__xludf.DUMMYFUNCTION("""COMPUTED_VALUE"""),"на Набережную")</f>
        <v>на Набережную</v>
      </c>
      <c r="H771" s="6" t="str">
        <f>IFERROR(__xludf.DUMMYFUNCTION("""COMPUTED_VALUE"""),"газ, грязь, обшарпанные дома, автомобили, пыль")</f>
        <v>газ, грязь, обшарпанные дома, автомобили, пыль</v>
      </c>
      <c r="I771" s="6" t="str">
        <f>IFERROR(__xludf.DUMMYFUNCTION("""COMPUTED_VALUE"""),"Волошин, Беляев, Резников")</f>
        <v>Волошин, Беляев, Резников</v>
      </c>
      <c r="J771" s="6" t="str">
        <f>IFERROR(__xludf.DUMMYFUNCTION("""COMPUTED_VALUE"""),"Михайлов В.В.")</f>
        <v>Михайлов В.В.</v>
      </c>
      <c r="K771" s="6" t="str">
        <f>IFERROR(__xludf.DUMMYFUNCTION("""COMPUTED_VALUE"""),"набережная Томи")</f>
        <v>набережная Томи</v>
      </c>
      <c r="L771" s="6" t="str">
        <f>IFERROR(__xludf.DUMMYFUNCTION("""COMPUTED_VALUE"""),"нет")</f>
        <v>нет</v>
      </c>
      <c r="M771" s="6" t="str">
        <f>IFERROR(__xludf.DUMMYFUNCTION("""COMPUTED_VALUE"""),"нет")</f>
        <v>нет</v>
      </c>
      <c r="N771" s="6" t="str">
        <f>IFERROR(__xludf.DUMMYFUNCTION("""COMPUTED_VALUE"""),"чистый воздух, безопасность, высокий уровень здравоохранения, нормальное ЖКХ,")</f>
        <v>чистый воздух, безопасность, высокий уровень здравоохранения, нормальное ЖКХ,</v>
      </c>
      <c r="O771" s="6" t="str">
        <f>IFERROR(__xludf.DUMMYFUNCTION("""COMPUTED_VALUE"""),"экологию")</f>
        <v>экологию</v>
      </c>
      <c r="P771" s="6" t="str">
        <f>IFERROR(__xludf.DUMMYFUNCTION("""COMPUTED_VALUE"""),"интернет")</f>
        <v>интернет</v>
      </c>
      <c r="Q771" s="6" t="str">
        <f>IFERROR(__xludf.DUMMYFUNCTION("""COMPUTED_VALUE"""),"результаты местных исследований (рейтинги/аналитика/тенденции)")</f>
        <v>результаты местных исследований (рейтинги/аналитика/тенденции)</v>
      </c>
      <c r="R771" s="6" t="str">
        <f>IFERROR(__xludf.DUMMYFUNCTION("""COMPUTED_VALUE"""),"9 мая")</f>
        <v>9 мая</v>
      </c>
      <c r="S771" s="6" t="str">
        <f>IFERROR(__xludf.DUMMYFUNCTION("""COMPUTED_VALUE"""),"Нет, не приходилось")</f>
        <v>Нет, не приходилось</v>
      </c>
      <c r="T771" s="6" t="str">
        <f>IFERROR(__xludf.DUMMYFUNCTION("""COMPUTED_VALUE"""),"газом, плохой экологией")</f>
        <v>газом, плохой экологией</v>
      </c>
      <c r="U771" s="6" t="str">
        <f>IFERROR(__xludf.DUMMYFUNCTION("""COMPUTED_VALUE"""),"площадь Советов")</f>
        <v>площадь Советов</v>
      </c>
      <c r="V771" s="6" t="str">
        <f>IFERROR(__xludf.DUMMYFUNCTION("""COMPUTED_VALUE"""),"работали")</f>
        <v>работали</v>
      </c>
      <c r="W771" s="6" t="str">
        <f>IFERROR(__xludf.DUMMYFUNCTION("""COMPUTED_VALUE"""),"такие же как все")</f>
        <v>такие же как все</v>
      </c>
      <c r="X771" s="6" t="str">
        <f>IFERROR(__xludf.DUMMYFUNCTION("""COMPUTED_VALUE"""),"улица Весенняя")</f>
        <v>улица Весенняя</v>
      </c>
      <c r="Y771" s="6" t="str">
        <f>IFERROR(__xludf.DUMMYFUNCTION("""COMPUTED_VALUE"""),"забастовка шахтеров")</f>
        <v>забастовка шахтеров</v>
      </c>
      <c r="Z771" s="6" t="str">
        <f>IFERROR(__xludf.DUMMYFUNCTION("""COMPUTED_VALUE"""),"никаких")</f>
        <v>никаких</v>
      </c>
      <c r="AA771" s="6" t="str">
        <f>IFERROR(__xludf.DUMMYFUNCTION("""COMPUTED_VALUE"""),"постоянный смог")</f>
        <v>постоянный смог</v>
      </c>
      <c r="AB771" s="6" t="str">
        <f>IFERROR(__xludf.DUMMYFUNCTION("""COMPUTED_VALUE"""),"никаких")</f>
        <v>никаких</v>
      </c>
      <c r="AC771" s="6" t="str">
        <f>IFERROR(__xludf.DUMMYFUNCTION("""COMPUTED_VALUE"""),"реальные мероприятия по улучшению экологии")</f>
        <v>реальные мероприятия по улучшению экологии</v>
      </c>
      <c r="AD77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71" s="6" t="str">
        <f>IFERROR(__xludf.DUMMYFUNCTION("""COMPUTED_VALUE"""),"Женский")</f>
        <v>Женский</v>
      </c>
      <c r="AF771" s="6" t="str">
        <f>IFERROR(__xludf.DUMMYFUNCTION("""COMPUTED_VALUE"""),"старше 55")</f>
        <v>старше 55</v>
      </c>
      <c r="AG771" s="6"/>
      <c r="AH771" s="6"/>
      <c r="AI771" s="6"/>
      <c r="AJ771" s="6"/>
      <c r="AK771" s="6"/>
      <c r="AL771" s="6"/>
      <c r="AM771" s="6"/>
    </row>
    <row r="772">
      <c r="A772" s="6">
        <v>771.0</v>
      </c>
      <c r="B772" s="6" t="str">
        <f>IFERROR(__xludf.DUMMYFUNCTION("""COMPUTED_VALUE"""),"Преподаватель")</f>
        <v>Преподаватель</v>
      </c>
      <c r="C772" s="6" t="str">
        <f>IFERROR(__xludf.DUMMYFUNCTION("""COMPUTED_VALUE"""),"На хобби нет времени.")</f>
        <v>На хобби нет времени.</v>
      </c>
      <c r="D772" s="6" t="str">
        <f>IFERROR(__xludf.DUMMYFUNCTION("""COMPUTED_VALUE"""),"Заводской. ФПК.")</f>
        <v>Заводской. ФПК.</v>
      </c>
      <c r="E772" s="6" t="str">
        <f>IFERROR(__xludf.DUMMYFUNCTION("""COMPUTED_VALUE"""),"Храм святой Варвары.")</f>
        <v>Храм святой Варвары.</v>
      </c>
      <c r="F772" s="6" t="str">
        <f>IFERROR(__xludf.DUMMYFUNCTION("""COMPUTED_VALUE"""),"Переехал сюда из другого места (откуда? укажите в графе другое), Ленинск-Кузнецкий в 1974 г. Учеба, затем работа.")</f>
        <v>Переехал сюда из другого места (откуда? укажите в графе другое), Ленинск-Кузнецкий в 1974 г. Учеба, затем работа.</v>
      </c>
      <c r="G772" s="6" t="str">
        <f>IFERROR(__xludf.DUMMYFUNCTION("""COMPUTED_VALUE"""),"Филармония, Музыкальный театр, Комсомольский парк, парковая зона ""Сосновый бор""")</f>
        <v>Филармония, Музыкальный театр, Комсомольский парк, парковая зона "Сосновый бор"</v>
      </c>
      <c r="H772" s="6" t="str">
        <f>IFERROR(__xludf.DUMMYFUNCTION("""COMPUTED_VALUE"""),"Работа, смог")</f>
        <v>Работа, смог</v>
      </c>
      <c r="I772" s="6" t="str">
        <f>IFERROR(__xludf.DUMMYFUNCTION("""COMPUTED_VALUE"""),"Волошина В.Д., Леоно А.А., Сарыгин А.В.")</f>
        <v>Волошина В.Д., Леоно А.А., Сарыгин А.В.</v>
      </c>
      <c r="J772" s="6" t="str">
        <f>IFERROR(__xludf.DUMMYFUNCTION("""COMPUTED_VALUE"""),"Гришковец Е.В., Тулеев А.Г.")</f>
        <v>Гришковец Е.В., Тулеев А.Г.</v>
      </c>
      <c r="K772" s="6" t="str">
        <f>IFERROR(__xludf.DUMMYFUNCTION("""COMPUTED_VALUE"""),"Музей-заповедник ""Красная горка""")</f>
        <v>Музей-заповедник "Красная горка"</v>
      </c>
      <c r="L772" s="6" t="str">
        <f>IFERROR(__xludf.DUMMYFUNCTION("""COMPUTED_VALUE"""),"Затрудняюсь ответить")</f>
        <v>Затрудняюсь ответить</v>
      </c>
      <c r="M772" s="6" t="str">
        <f>IFERROR(__xludf.DUMMYFUNCTION("""COMPUTED_VALUE"""),"Не знаю")</f>
        <v>Не знаю</v>
      </c>
      <c r="N772" s="6" t="str">
        <f>IFERROR(__xludf.DUMMYFUNCTION("""COMPUTED_VALUE"""),"Чистый воздух; комфортный общественный городской транспорт; наличие удобных зон отдыха; ")</f>
        <v>Чистый воздух; комфортный общественный городской транспорт; наличие удобных зон отдыха; </v>
      </c>
      <c r="O772" s="6" t="str">
        <f>IFERROR(__xludf.DUMMYFUNCTION("""COMPUTED_VALUE"""),"Отказаться от маршруток -  ""Пазиков"" и качественное улучшение общественного городского транспорта.")</f>
        <v>Отказаться от маршруток -  "Пазиков" и качественное улучшение общественного городского транспорта.</v>
      </c>
      <c r="P772" s="6" t="str">
        <f>IFERROR(__xludf.DUMMYFUNCTION("""COMPUTED_VALUE"""),"Интернет")</f>
        <v>Интернет</v>
      </c>
      <c r="Q772" s="6" t="str">
        <f>IFERROR(__xludf.DUMMYFUNCTION("""COMPUTED_VALUE"""),"городская афиша (кино/театр/концерты), культурные новинки (что почитать/что послушать)")</f>
        <v>городская афиша (кино/театр/концерты), культурные новинки (что почитать/что послушать)</v>
      </c>
      <c r="R772" s="6" t="str">
        <f>IFERROR(__xludf.DUMMYFUNCTION("""COMPUTED_VALUE"""),"День города")</f>
        <v>День города</v>
      </c>
      <c r="S772" s="6" t="str">
        <f>IFERROR(__xludf.DUMMYFUNCTION("""COMPUTED_VALUE"""),"Нет, не приходилось")</f>
        <v>Нет, не приходилось</v>
      </c>
      <c r="T772" s="6" t="str">
        <f>IFERROR(__xludf.DUMMYFUNCTION("""COMPUTED_VALUE"""),"Промышленный центр")</f>
        <v>Промышленный центр</v>
      </c>
      <c r="U772" s="6" t="str">
        <f>IFERROR(__xludf.DUMMYFUNCTION("""COMPUTED_VALUE"""),"Площадь Советов")</f>
        <v>Площадь Советов</v>
      </c>
      <c r="V772" s="6" t="str">
        <f>IFERROR(__xludf.DUMMYFUNCTION("""COMPUTED_VALUE"""),"Затрудняюсь ответить")</f>
        <v>Затрудняюсь ответить</v>
      </c>
      <c r="W772" s="6" t="str">
        <f>IFERROR(__xludf.DUMMYFUNCTION("""COMPUTED_VALUE"""),"Разные")</f>
        <v>Разные</v>
      </c>
      <c r="X772" s="6" t="str">
        <f>IFERROR(__xludf.DUMMYFUNCTION("""COMPUTED_VALUE"""),"улица Весенняя, набережная р. Томь, площадь Советов, Филармония")</f>
        <v>улица Весенняя, набережная р. Томь, площадь Советов, Филармония</v>
      </c>
      <c r="Y772" s="6" t="str">
        <f>IFERROR(__xludf.DUMMYFUNCTION("""COMPUTED_VALUE"""),"1920 г. Открыта Щегловская городская библиотека, 1922 г. Вышел первый номер газеты ""Кузбасс""")</f>
        <v>1920 г. Открыта Щегловская городская библиотека, 1922 г. Вышел первый номер газеты "Кузбасс"</v>
      </c>
      <c r="Z772" s="6" t="str">
        <f>IFERROR(__xludf.DUMMYFUNCTION("""COMPUTED_VALUE"""),"Выставки в Кемеровском музее изобразительных картин Русского музея Санкт-Петербурга «Святая Русь» и «Русский пейзаж». ")</f>
        <v>Выставки в Кемеровском музее изобразительных картин Русского музея Санкт-Петербурга «Святая Русь» и «Русский пейзаж». </v>
      </c>
      <c r="AA772" s="6" t="str">
        <f>IFERROR(__xludf.DUMMYFUNCTION("""COMPUTED_VALUE"""),"""Черная пятница""")</f>
        <v>"Черная пятница"</v>
      </c>
      <c r="AB772" s="6" t="str">
        <f>IFERROR(__xludf.DUMMYFUNCTION("""COMPUTED_VALUE"""),"затрудняюсь ответить")</f>
        <v>затрудняюсь ответить</v>
      </c>
      <c r="AC772" s="6" t="str">
        <f>IFERROR(__xludf.DUMMYFUNCTION("""COMPUTED_VALUE"""),"Для меня: выставки картин известных музеев России; концерты классической музыки известных музыкантов (оркестров).")</f>
        <v>Для меня: выставки картин известных музеев России; концерты классической музыки известных музыкантов (оркестров).</v>
      </c>
      <c r="AD77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72" s="6" t="str">
        <f>IFERROR(__xludf.DUMMYFUNCTION("""COMPUTED_VALUE"""),"Женский")</f>
        <v>Женский</v>
      </c>
      <c r="AF772" s="6" t="str">
        <f>IFERROR(__xludf.DUMMYFUNCTION("""COMPUTED_VALUE"""),"старше 55")</f>
        <v>старше 55</v>
      </c>
      <c r="AG772" s="6"/>
      <c r="AH772" s="6"/>
      <c r="AI772" s="6"/>
      <c r="AJ772" s="6"/>
      <c r="AK772" s="6"/>
      <c r="AL772" s="6"/>
      <c r="AM772" s="6"/>
    </row>
    <row r="773">
      <c r="A773" s="6">
        <v>772.0</v>
      </c>
      <c r="B773" s="6" t="str">
        <f>IFERROR(__xludf.DUMMYFUNCTION("""COMPUTED_VALUE"""),"Работаю в найме")</f>
        <v>Работаю в найме</v>
      </c>
      <c r="C773" s="6" t="str">
        <f>IFERROR(__xludf.DUMMYFUNCTION("""COMPUTED_VALUE"""),"Собаки")</f>
        <v>Собаки</v>
      </c>
      <c r="D773" s="6" t="str">
        <f>IFERROR(__xludf.DUMMYFUNCTION("""COMPUTED_VALUE"""),"Центр")</f>
        <v>Центр</v>
      </c>
      <c r="E773" s="6" t="str">
        <f>IFERROR(__xludf.DUMMYFUNCTION("""COMPUTED_VALUE"""),"Набережная")</f>
        <v>Набережная</v>
      </c>
      <c r="F773" s="6" t="str">
        <f>IFERROR(__xludf.DUMMYFUNCTION("""COMPUTED_VALUE"""),"Живу здесь с рождения")</f>
        <v>Живу здесь с рождения</v>
      </c>
      <c r="G773" s="6" t="str">
        <f>IFERROR(__xludf.DUMMYFUNCTION("""COMPUTED_VALUE"""),"Парк победы, парк ангелов, набережная")</f>
        <v>Парк победы, парк ангелов, набережная</v>
      </c>
      <c r="H773" s="6" t="str">
        <f>IFERROR(__xludf.DUMMYFUNCTION("""COMPUTED_VALUE"""),"Уголь, Томь, шахтер, Кузбасс, Кемеровчанин.")</f>
        <v>Уголь, Томь, шахтер, Кузбасс, Кемеровчанин.</v>
      </c>
      <c r="I773" s="6" t="str">
        <f>IFERROR(__xludf.DUMMYFUNCTION("""COMPUTED_VALUE"""),"Леонов, Волков, Михайлов, Волошина")</f>
        <v>Леонов, Волков, Михайлов, Волошина</v>
      </c>
      <c r="J773" s="6" t="str">
        <f>IFERROR(__xludf.DUMMYFUNCTION("""COMPUTED_VALUE"""),"Тулеев")</f>
        <v>Тулеев</v>
      </c>
      <c r="K773" s="6" t="str">
        <f>IFERROR(__xludf.DUMMYFUNCTION("""COMPUTED_VALUE"""),"Графити во дворах города")</f>
        <v>Графити во дворах города</v>
      </c>
      <c r="L773" s="6" t="str">
        <f>IFERROR(__xludf.DUMMYFUNCTION("""COMPUTED_VALUE"""),"Человек из Кемерово")</f>
        <v>Человек из Кемерово</v>
      </c>
      <c r="M773" s="6" t="str">
        <f>IFERROR(__xludf.DUMMYFUNCTION("""COMPUTED_VALUE"""),"Нет")</f>
        <v>Нет</v>
      </c>
      <c r="N773" s="6" t="str">
        <f>IFERROR(__xludf.DUMMYFUNCTION("""COMPUTED_VALUE"""),"Чистота, безопасность, озеленение, площадки для игр и развития, зоны отдыха.")</f>
        <v>Чистота, безопасность, озеленение, площадки для игр и развития, зоны отдыха.</v>
      </c>
      <c r="O773" s="6" t="str">
        <f>IFERROR(__xludf.DUMMYFUNCTION("""COMPUTED_VALUE"""),"Вернуть детские площадки и урны во дворы города")</f>
        <v>Вернуть детские площадки и урны во дворы города</v>
      </c>
      <c r="P773" s="6" t="str">
        <f>IFERROR(__xludf.DUMMYFUNCTION("""COMPUTED_VALUE"""),"От людей")</f>
        <v>От людей</v>
      </c>
      <c r="Q773"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773" s="6" t="str">
        <f>IFERROR(__xludf.DUMMYFUNCTION("""COMPUTED_VALUE"""),"День города День шахтера Новый год")</f>
        <v>День города День шахтера Новый год</v>
      </c>
      <c r="S773" s="6" t="str">
        <f>IFERROR(__xludf.DUMMYFUNCTION("""COMPUTED_VALUE"""),"Нет, не приходилось")</f>
        <v>Нет, не приходилось</v>
      </c>
      <c r="T773" s="6" t="str">
        <f>IFERROR(__xludf.DUMMYFUNCTION("""COMPUTED_VALUE"""),"Люди")</f>
        <v>Люди</v>
      </c>
      <c r="U773" s="6" t="str">
        <f>IFERROR(__xludf.DUMMYFUNCTION("""COMPUTED_VALUE"""),"Площадь Советов ")</f>
        <v>Площадь Советов </v>
      </c>
      <c r="V773" s="6" t="str">
        <f>IFERROR(__xludf.DUMMYFUNCTION("""COMPUTED_VALUE"""),"Развивали город")</f>
        <v>Развивали город</v>
      </c>
      <c r="W773" s="6" t="str">
        <f>IFERROR(__xludf.DUMMYFUNCTION("""COMPUTED_VALUE"""),"Отзывчивые")</f>
        <v>Отзывчивые</v>
      </c>
      <c r="X773" s="6" t="str">
        <f>IFERROR(__xludf.DUMMYFUNCTION("""COMPUTED_VALUE"""),"Весенняя улица")</f>
        <v>Весенняя улица</v>
      </c>
      <c r="Y773" s="6" t="str">
        <f>IFERROR(__xludf.DUMMYFUNCTION("""COMPUTED_VALUE"""),"Мамонта нашли")</f>
        <v>Мамонта нашли</v>
      </c>
      <c r="Z773" s="6" t="str">
        <f>IFERROR(__xludf.DUMMYFUNCTION("""COMPUTED_VALUE"""),"Затрудняюсь ответить")</f>
        <v>Затрудняюсь ответить</v>
      </c>
      <c r="AA773" s="6" t="str">
        <f>IFERROR(__xludf.DUMMYFUNCTION("""COMPUTED_VALUE"""),"Зимняя вишня")</f>
        <v>Зимняя вишня</v>
      </c>
      <c r="AB773" s="6" t="str">
        <f>IFERROR(__xludf.DUMMYFUNCTION("""COMPUTED_VALUE"""),"Затрудняюсь ответить")</f>
        <v>Затрудняюсь ответить</v>
      </c>
      <c r="AC773" s="6" t="str">
        <f>IFERROR(__xludf.DUMMYFUNCTION("""COMPUTED_VALUE"""),"А-ля арбат")</f>
        <v>А-ля арбат</v>
      </c>
      <c r="AD77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773" s="6" t="str">
        <f>IFERROR(__xludf.DUMMYFUNCTION("""COMPUTED_VALUE"""),"Женский")</f>
        <v>Женский</v>
      </c>
      <c r="AF773" s="6" t="str">
        <f>IFERROR(__xludf.DUMMYFUNCTION("""COMPUTED_VALUE"""),"30-44")</f>
        <v>30-44</v>
      </c>
      <c r="AG773" s="6"/>
      <c r="AH773" s="6"/>
      <c r="AI773" s="6"/>
      <c r="AJ773" s="6"/>
      <c r="AK773" s="6"/>
      <c r="AL773" s="6"/>
      <c r="AM773" s="6"/>
    </row>
    <row r="774">
      <c r="A774" s="6">
        <v>773.0</v>
      </c>
      <c r="B774" s="6" t="str">
        <f>IFERROR(__xludf.DUMMYFUNCTION("""COMPUTED_VALUE"""),"Учусь")</f>
        <v>Учусь</v>
      </c>
      <c r="C774" s="6" t="str">
        <f>IFERROR(__xludf.DUMMYFUNCTION("""COMPUTED_VALUE"""),"Игры")</f>
        <v>Игры</v>
      </c>
      <c r="D774" s="6" t="str">
        <f>IFERROR(__xludf.DUMMYFUNCTION("""COMPUTED_VALUE"""),"Ленинский")</f>
        <v>Ленинский</v>
      </c>
      <c r="E774" s="6" t="str">
        <f>IFERROR(__xludf.DUMMYFUNCTION("""COMPUTED_VALUE"""),"Лента, парки, Шалготарьян")</f>
        <v>Лента, парки, Шалготарьян</v>
      </c>
      <c r="F774" s="6" t="str">
        <f>IFERROR(__xludf.DUMMYFUNCTION("""COMPUTED_VALUE"""),"Живу здесь с рождения")</f>
        <v>Живу здесь с рождения</v>
      </c>
      <c r="G774" s="6" t="str">
        <f>IFERROR(__xludf.DUMMYFUNCTION("""COMPUTED_VALUE"""),"Парки")</f>
        <v>Парки</v>
      </c>
      <c r="H774" s="6" t="str">
        <f>IFERROR(__xludf.DUMMYFUNCTION("""COMPUTED_VALUE"""),"Заводы, институт, грязь, общаги, пыль")</f>
        <v>Заводы, институт, грязь, общаги, пыль</v>
      </c>
      <c r="I774" s="6" t="str">
        <f>IFERROR(__xludf.DUMMYFUNCTION("""COMPUTED_VALUE"""),"-")</f>
        <v>-</v>
      </c>
      <c r="J774" s="6" t="str">
        <f>IFERROR(__xludf.DUMMYFUNCTION("""COMPUTED_VALUE"""),"-")</f>
        <v>-</v>
      </c>
      <c r="K774" s="6" t="str">
        <f>IFERROR(__xludf.DUMMYFUNCTION("""COMPUTED_VALUE"""),"Парк Ангелов, красная горка")</f>
        <v>Парк Ангелов, красная горка</v>
      </c>
      <c r="L774" s="6" t="str">
        <f>IFERROR(__xludf.DUMMYFUNCTION("""COMPUTED_VALUE"""),"-")</f>
        <v>-</v>
      </c>
      <c r="M774" s="6" t="str">
        <f>IFERROR(__xludf.DUMMYFUNCTION("""COMPUTED_VALUE"""),"-")</f>
        <v>-</v>
      </c>
      <c r="N774" s="6" t="str">
        <f>IFERROR(__xludf.DUMMYFUNCTION("""COMPUTED_VALUE"""),"Чистота, наличие работы, отдыха и обучения, экология, добрые люди ")</f>
        <v>Чистота, наличие работы, отдыха и обучения, экология, добрые люди </v>
      </c>
      <c r="O774" s="6" t="str">
        <f>IFERROR(__xludf.DUMMYFUNCTION("""COMPUTED_VALUE"""),"Экологию ")</f>
        <v>Экологию </v>
      </c>
      <c r="P774" s="6" t="str">
        <f>IFERROR(__xludf.DUMMYFUNCTION("""COMPUTED_VALUE"""),"Интернет, новости и группы")</f>
        <v>Интернет, новости и группы</v>
      </c>
      <c r="Q774"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774" s="6" t="str">
        <f>IFERROR(__xludf.DUMMYFUNCTION("""COMPUTED_VALUE"""),"День победы, день города")</f>
        <v>День победы, день города</v>
      </c>
      <c r="S774" s="6" t="str">
        <f>IFERROR(__xludf.DUMMYFUNCTION("""COMPUTED_VALUE"""),"Нет, не приходилось")</f>
        <v>Нет, не приходилось</v>
      </c>
      <c r="T774" s="6" t="str">
        <f>IFERROR(__xludf.DUMMYFUNCTION("""COMPUTED_VALUE"""),"Зимняя вишня... ")</f>
        <v>Зимняя вишня... </v>
      </c>
      <c r="U774" s="6" t="str">
        <f>IFERROR(__xludf.DUMMYFUNCTION("""COMPUTED_VALUE"""),"Набережная, драмтеатр")</f>
        <v>Набережная, драмтеатр</v>
      </c>
      <c r="V774" s="6" t="str">
        <f>IFERROR(__xludf.DUMMYFUNCTION("""COMPUTED_VALUE"""),"-")</f>
        <v>-</v>
      </c>
      <c r="W774" s="6" t="str">
        <f>IFERROR(__xludf.DUMMYFUNCTION("""COMPUTED_VALUE"""),"Грубые, угрюмые")</f>
        <v>Грубые, угрюмые</v>
      </c>
      <c r="X774" s="6" t="str">
        <f>IFERROR(__xludf.DUMMYFUNCTION("""COMPUTED_VALUE"""),"По Красноармейской")</f>
        <v>По Красноармейской</v>
      </c>
      <c r="Y774" s="6" t="str">
        <f>IFERROR(__xludf.DUMMYFUNCTION("""COMPUTED_VALUE"""),"Основание Кемерово")</f>
        <v>Основание Кемерово</v>
      </c>
      <c r="Z774" s="6" t="str">
        <f>IFERROR(__xludf.DUMMYFUNCTION("""COMPUTED_VALUE"""),"Смена губернатора")</f>
        <v>Смена губернатора</v>
      </c>
      <c r="AA774" s="6" t="str">
        <f>IFERROR(__xludf.DUMMYFUNCTION("""COMPUTED_VALUE"""),"Зимняя вишня")</f>
        <v>Зимняя вишня</v>
      </c>
      <c r="AB774" s="6" t="str">
        <f>IFERROR(__xludf.DUMMYFUNCTION("""COMPUTED_VALUE"""),"Гиковских")</f>
        <v>Гиковских</v>
      </c>
      <c r="AC774" s="6" t="str">
        <f>IFERROR(__xludf.DUMMYFUNCTION("""COMPUTED_VALUE"""),"Ярмарки, фестивали, субботники")</f>
        <v>Ярмарки, фестивали, субботники</v>
      </c>
      <c r="AD774" s="6" t="str">
        <f>IFERROR(__xludf.DUMMYFUNCTION("""COMPUTED_VALUE"""),"Волонтера: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774" s="6" t="str">
        <f>IFERROR(__xludf.DUMMYFUNCTION("""COMPUTED_VALUE"""),"Мужской")</f>
        <v>Мужской</v>
      </c>
      <c r="AF774" s="6" t="str">
        <f>IFERROR(__xludf.DUMMYFUNCTION("""COMPUTED_VALUE"""),"18-29")</f>
        <v>18-29</v>
      </c>
      <c r="AG774" s="6"/>
      <c r="AH774" s="6"/>
      <c r="AI774" s="6"/>
      <c r="AJ774" s="6"/>
      <c r="AK774" s="6"/>
      <c r="AL774" s="6"/>
      <c r="AM774" s="6"/>
    </row>
    <row r="775">
      <c r="A775" s="6">
        <v>774.0</v>
      </c>
      <c r="B775" s="6" t="str">
        <f>IFERROR(__xludf.DUMMYFUNCTION("""COMPUTED_VALUE"""),"Студент ")</f>
        <v>Студент </v>
      </c>
      <c r="C775" s="6" t="str">
        <f>IFERROR(__xludf.DUMMYFUNCTION("""COMPUTED_VALUE"""),"Нет")</f>
        <v>Нет</v>
      </c>
      <c r="D775" s="6" t="str">
        <f>IFERROR(__xludf.DUMMYFUNCTION("""COMPUTED_VALUE"""),"Посёлок Новостройка")</f>
        <v>Посёлок Новостройка</v>
      </c>
      <c r="E775" s="6" t="str">
        <f>IFERROR(__xludf.DUMMYFUNCTION("""COMPUTED_VALUE"""),"ДК")</f>
        <v>ДК</v>
      </c>
      <c r="F775" s="6" t="str">
        <f>IFERROR(__xludf.DUMMYFUNCTION("""COMPUTED_VALUE"""),"Переехал сюда из другого места (откуда? укажите в графе другое), Новокузнецк ")</f>
        <v>Переехал сюда из другого места (откуда? укажите в графе другое), Новокузнецк </v>
      </c>
      <c r="G775" s="6" t="str">
        <f>IFERROR(__xludf.DUMMYFUNCTION("""COMPUTED_VALUE"""),"Кафе , кино ")</f>
        <v>Кафе , кино </v>
      </c>
      <c r="H775" s="6" t="str">
        <f>IFERROR(__xludf.DUMMYFUNCTION("""COMPUTED_VALUE"""),"Азот , пыль , «чёрное небо» ")</f>
        <v>Азот , пыль , «чёрное небо» </v>
      </c>
      <c r="I775" s="6" t="str">
        <f>IFERROR(__xludf.DUMMYFUNCTION("""COMPUTED_VALUE"""),"Леонов ")</f>
        <v>Леонов </v>
      </c>
      <c r="J775" s="6" t="str">
        <f>IFERROR(__xludf.DUMMYFUNCTION("""COMPUTED_VALUE"""),"Никто ")</f>
        <v>Никто </v>
      </c>
      <c r="K775" s="6" t="str">
        <f>IFERROR(__xludf.DUMMYFUNCTION("""COMPUTED_VALUE"""),"Кузбасс ")</f>
        <v>Кузбасс </v>
      </c>
      <c r="L775" s="6" t="str">
        <f>IFERROR(__xludf.DUMMYFUNCTION("""COMPUTED_VALUE"""),"-")</f>
        <v>-</v>
      </c>
      <c r="M775" s="6" t="str">
        <f>IFERROR(__xludf.DUMMYFUNCTION("""COMPUTED_VALUE"""),"Нет")</f>
        <v>Нет</v>
      </c>
      <c r="N775" s="6" t="str">
        <f>IFERROR(__xludf.DUMMYFUNCTION("""COMPUTED_VALUE"""),"Чистый воздух , хорошое дороги ")</f>
        <v>Чистый воздух , хорошое дороги </v>
      </c>
      <c r="O775" s="6" t="str">
        <f>IFERROR(__xludf.DUMMYFUNCTION("""COMPUTED_VALUE"""),"Заводы , дороги ")</f>
        <v>Заводы , дороги </v>
      </c>
      <c r="P775" s="6" t="str">
        <f>IFERROR(__xludf.DUMMYFUNCTION("""COMPUTED_VALUE"""),"Вк , Инстаграм ")</f>
        <v>Вк , Инстаграм </v>
      </c>
      <c r="Q77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775" s="6" t="str">
        <f>IFERROR(__xludf.DUMMYFUNCTION("""COMPUTED_VALUE"""),"День города ")</f>
        <v>День города </v>
      </c>
      <c r="S775" s="6" t="str">
        <f>IFERROR(__xludf.DUMMYFUNCTION("""COMPUTED_VALUE"""),"Нет, не приходилось")</f>
        <v>Нет, не приходилось</v>
      </c>
      <c r="T775" s="6" t="str">
        <f>IFERROR(__xludf.DUMMYFUNCTION("""COMPUTED_VALUE"""),"Зимняя вишня")</f>
        <v>Зимняя вишня</v>
      </c>
      <c r="U775" s="6" t="str">
        <f>IFERROR(__xludf.DUMMYFUNCTION("""COMPUTED_VALUE"""),"Парк чудес ")</f>
        <v>Парк чудес </v>
      </c>
      <c r="V775" s="6" t="str">
        <f>IFERROR(__xludf.DUMMYFUNCTION("""COMPUTED_VALUE"""),"Ничего")</f>
        <v>Ничего</v>
      </c>
      <c r="W775" s="6" t="str">
        <f>IFERROR(__xludf.DUMMYFUNCTION("""COMPUTED_VALUE"""),"Злые")</f>
        <v>Злые</v>
      </c>
      <c r="X775" s="6" t="str">
        <f>IFERROR(__xludf.DUMMYFUNCTION("""COMPUTED_VALUE"""),"Парк чудес , набережная , бульвар ")</f>
        <v>Парк чудес , набережная , бульвар </v>
      </c>
      <c r="Y775" s="6" t="str">
        <f>IFERROR(__xludf.DUMMYFUNCTION("""COMPUTED_VALUE"""),"Не знаю ")</f>
        <v>Не знаю </v>
      </c>
      <c r="Z775" s="6" t="str">
        <f>IFERROR(__xludf.DUMMYFUNCTION("""COMPUTED_VALUE"""),"-")</f>
        <v>-</v>
      </c>
      <c r="AA775" s="6" t="str">
        <f>IFERROR(__xludf.DUMMYFUNCTION("""COMPUTED_VALUE"""),"Зимняя вишня ")</f>
        <v>Зимняя вишня </v>
      </c>
      <c r="AB775" s="6" t="str">
        <f>IFERROR(__xludf.DUMMYFUNCTION("""COMPUTED_VALUE"""),"-")</f>
        <v>-</v>
      </c>
      <c r="AC775" s="6" t="str">
        <f>IFERROR(__xludf.DUMMYFUNCTION("""COMPUTED_VALUE"""),"-")</f>
        <v>-</v>
      </c>
      <c r="AD77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75" s="6" t="str">
        <f>IFERROR(__xludf.DUMMYFUNCTION("""COMPUTED_VALUE"""),"Женский")</f>
        <v>Женский</v>
      </c>
      <c r="AF775" s="6" t="str">
        <f>IFERROR(__xludf.DUMMYFUNCTION("""COMPUTED_VALUE"""),"18-29")</f>
        <v>18-29</v>
      </c>
      <c r="AG775" s="6"/>
      <c r="AH775" s="6"/>
      <c r="AI775" s="6"/>
      <c r="AJ775" s="6"/>
      <c r="AK775" s="6"/>
      <c r="AL775" s="6"/>
      <c r="AM775" s="6"/>
    </row>
    <row r="776">
      <c r="A776" s="6">
        <v>775.0</v>
      </c>
      <c r="B776" s="6" t="str">
        <f>IFERROR(__xludf.DUMMYFUNCTION("""COMPUTED_VALUE"""),"Студент, оператор")</f>
        <v>Студент, оператор</v>
      </c>
      <c r="C776" s="6" t="str">
        <f>IFERROR(__xludf.DUMMYFUNCTION("""COMPUTED_VALUE"""),"Чтение")</f>
        <v>Чтение</v>
      </c>
      <c r="D776" s="6" t="str">
        <f>IFERROR(__xludf.DUMMYFUNCTION("""COMPUTED_VALUE"""),"Ленинский")</f>
        <v>Ленинский</v>
      </c>
      <c r="E776" s="6" t="str">
        <f>IFERROR(__xludf.DUMMYFUNCTION("""COMPUTED_VALUE"""),"Бульвар Строителей, о. Красное")</f>
        <v>Бульвар Строителей, о. Красное</v>
      </c>
      <c r="F776" s="6" t="str">
        <f>IFERROR(__xludf.DUMMYFUNCTION("""COMPUTED_VALUE"""),"Живу здесь с рождения")</f>
        <v>Живу здесь с рождения</v>
      </c>
      <c r="G776" s="6" t="str">
        <f>IFERROR(__xludf.DUMMYFUNCTION("""COMPUTED_VALUE"""),"На Бульвар Строителей, в торговые центры")</f>
        <v>На Бульвар Строителей, в торговые центры</v>
      </c>
      <c r="H776" s="6" t="str">
        <f>IFERROR(__xludf.DUMMYFUNCTION("""COMPUTED_VALUE"""),"Уголь, ""Азот"", Волков, два берега")</f>
        <v>Уголь, "Азот", Волков, два берега</v>
      </c>
      <c r="I776" s="6" t="str">
        <f>IFERROR(__xludf.DUMMYFUNCTION("""COMPUTED_VALUE"""),"Леонов, Мартемьянов")</f>
        <v>Леонов, Мартемьянов</v>
      </c>
      <c r="J776" s="6" t="str">
        <f>IFERROR(__xludf.DUMMYFUNCTION("""COMPUTED_VALUE"""),"Гришковец, Тулеев, Михайлов")</f>
        <v>Гришковец, Тулеев, Михайлов</v>
      </c>
      <c r="K776" s="6" t="str">
        <f>IFERROR(__xludf.DUMMYFUNCTION("""COMPUTED_VALUE"""),"Памятник шатерам, набережная")</f>
        <v>Памятник шатерам, набережная</v>
      </c>
      <c r="L776" s="6" t="str">
        <f>IFERROR(__xludf.DUMMYFUNCTION("""COMPUTED_VALUE"""),"-")</f>
        <v>-</v>
      </c>
      <c r="M776" s="6" t="str">
        <f>IFERROR(__xludf.DUMMYFUNCTION("""COMPUTED_VALUE"""),"-")</f>
        <v>-</v>
      </c>
      <c r="N776" s="6" t="str">
        <f>IFERROR(__xludf.DUMMYFUNCTION("""COMPUTED_VALUE"""),"Небольшой, но развитый город; хорошая инфраструктура; рабочие места; хорошая экология; активное участие администрации в жизни города и горожан")</f>
        <v>Небольшой, но развитый город; хорошая инфраструктура; рабочие места; хорошая экология; активное участие администрации в жизни города и горожан</v>
      </c>
      <c r="O776" s="6" t="str">
        <f>IFERROR(__xludf.DUMMYFUNCTION("""COMPUTED_VALUE"""),"Изменить экологическое состояние")</f>
        <v>Изменить экологическое состояние</v>
      </c>
      <c r="P776" s="6" t="str">
        <f>IFERROR(__xludf.DUMMYFUNCTION("""COMPUTED_VALUE"""),"Vse42 (новости в инстаграмме)")</f>
        <v>Vse42 (новости в инстаграмме)</v>
      </c>
      <c r="Q776" s="6" t="str">
        <f>IFERROR(__xludf.DUMMYFUNCTION("""COMPUTED_VALUE"""),"куда пойти в свободное время, городская афиша (кино/театр/концерты),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f>
        <v>куда пойти в свободное время, городская афиша (кино/театр/концерты),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v>
      </c>
      <c r="R776" s="6" t="str">
        <f>IFERROR(__xludf.DUMMYFUNCTION("""COMPUTED_VALUE"""),"9 мая")</f>
        <v>9 мая</v>
      </c>
      <c r="S776" s="6" t="str">
        <f>IFERROR(__xludf.DUMMYFUNCTION("""COMPUTED_VALUE"""),"Нет, не приходилось")</f>
        <v>Нет, не приходилось</v>
      </c>
      <c r="T776" s="6" t="str">
        <f>IFERROR(__xludf.DUMMYFUNCTION("""COMPUTED_VALUE"""),"Известен трагическими событиями в ""Зимней вишне""")</f>
        <v>Известен трагическими событиями в "Зимней вишне"</v>
      </c>
      <c r="U776" s="6" t="str">
        <f>IFERROR(__xludf.DUMMYFUNCTION("""COMPUTED_VALUE"""),"Площадь советов, набережная")</f>
        <v>Площадь советов, набережная</v>
      </c>
      <c r="V776" s="6" t="str">
        <f>IFERROR(__xludf.DUMMYFUNCTION("""COMPUTED_VALUE"""),"Кемеровчане прошлого: возвели и развили город")</f>
        <v>Кемеровчане прошлого: возвели и развили город</v>
      </c>
      <c r="W776" s="6" t="str">
        <f>IFERROR(__xludf.DUMMYFUNCTION("""COMPUTED_VALUE"""),"Серьезность, работоспособность в плохих условиях, пессимистичность ")</f>
        <v>Серьезность, работоспособность в плохих условиях, пессимистичность </v>
      </c>
      <c r="X776" s="6" t="str">
        <f>IFERROR(__xludf.DUMMYFUNCTION("""COMPUTED_VALUE"""),"Набережная")</f>
        <v>Набережная</v>
      </c>
      <c r="Y776" s="6" t="str">
        <f>IFERROR(__xludf.DUMMYFUNCTION("""COMPUTED_VALUE"""),"Открытие местонахождения угля и возведение города")</f>
        <v>Открытие местонахождения угля и возведение города</v>
      </c>
      <c r="Z776" s="6" t="str">
        <f>IFERROR(__xludf.DUMMYFUNCTION("""COMPUTED_VALUE"""),"-")</f>
        <v>-</v>
      </c>
      <c r="AA776" s="6" t="str">
        <f>IFERROR(__xludf.DUMMYFUNCTION("""COMPUTED_VALUE"""),"""Зимняя вишня"" и все сопутствующие с ним события")</f>
        <v>"Зимняя вишня" и все сопутствующие с ним события</v>
      </c>
      <c r="AB776" s="6" t="str">
        <f>IFERROR(__xludf.DUMMYFUNCTION("""COMPUTED_VALUE"""),"-")</f>
        <v>-</v>
      </c>
      <c r="AC776" s="6" t="str">
        <f>IFERROR(__xludf.DUMMYFUNCTION("""COMPUTED_VALUE"""),"Творческие городские конкурсы")</f>
        <v>Творческие городские конкурсы</v>
      </c>
      <c r="AD776"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776" s="6" t="str">
        <f>IFERROR(__xludf.DUMMYFUNCTION("""COMPUTED_VALUE"""),"Женский")</f>
        <v>Женский</v>
      </c>
      <c r="AF776" s="6" t="str">
        <f>IFERROR(__xludf.DUMMYFUNCTION("""COMPUTED_VALUE"""),"18-29")</f>
        <v>18-29</v>
      </c>
      <c r="AG776" s="6"/>
      <c r="AH776" s="6"/>
      <c r="AI776" s="6"/>
      <c r="AJ776" s="6"/>
      <c r="AK776" s="6"/>
      <c r="AL776" s="6"/>
      <c r="AM776" s="6"/>
    </row>
    <row r="777">
      <c r="A777" s="6">
        <v>776.0</v>
      </c>
      <c r="B777" s="6" t="str">
        <f>IFERROR(__xludf.DUMMYFUNCTION("""COMPUTED_VALUE"""),"работа в вузе")</f>
        <v>работа в вузе</v>
      </c>
      <c r="C777" s="6" t="str">
        <f>IFERROR(__xludf.DUMMYFUNCTION("""COMPUTED_VALUE"""),"рисунок, фотография")</f>
        <v>рисунок, фотография</v>
      </c>
      <c r="D777" s="6" t="str">
        <f>IFERROR(__xludf.DUMMYFUNCTION("""COMPUTED_VALUE"""),"Предзаводской район")</f>
        <v>Предзаводской район</v>
      </c>
      <c r="E777" s="6" t="str">
        <f>IFERROR(__xludf.DUMMYFUNCTION("""COMPUTED_VALUE"""),"Нет таких")</f>
        <v>Нет таких</v>
      </c>
      <c r="F777" s="6" t="str">
        <f>IFERROR(__xludf.DUMMYFUNCTION("""COMPUTED_VALUE"""),"Живу здесь с рождения")</f>
        <v>Живу здесь с рождения</v>
      </c>
      <c r="G777" s="6" t="str">
        <f>IFERROR(__xludf.DUMMYFUNCTION("""COMPUTED_VALUE"""),"Набережная")</f>
        <v>Набережная</v>
      </c>
      <c r="H777" s="6" t="str">
        <f>IFERROR(__xludf.DUMMYFUNCTION("""COMPUTED_VALUE"""),"Нужен ремонт")</f>
        <v>Нужен ремонт</v>
      </c>
      <c r="I777" s="6" t="str">
        <f>IFERROR(__xludf.DUMMYFUNCTION("""COMPUTED_VALUE"""),"Вера Волошина")</f>
        <v>Вера Волошина</v>
      </c>
      <c r="J777" s="6" t="str">
        <f>IFERROR(__xludf.DUMMYFUNCTION("""COMPUTED_VALUE"""),"Нет таких")</f>
        <v>Нет таких</v>
      </c>
      <c r="K777" s="6" t="str">
        <f>IFERROR(__xludf.DUMMYFUNCTION("""COMPUTED_VALUE"""),"Бор")</f>
        <v>Бор</v>
      </c>
      <c r="L777" s="6" t="str">
        <f>IFERROR(__xludf.DUMMYFUNCTION("""COMPUTED_VALUE"""),"Не знаю")</f>
        <v>Не знаю</v>
      </c>
      <c r="M777" s="6" t="str">
        <f>IFERROR(__xludf.DUMMYFUNCTION("""COMPUTED_VALUE"""),"Нет")</f>
        <v>Нет</v>
      </c>
      <c r="N777" s="6" t="str">
        <f>IFERROR(__xludf.DUMMYFUNCTION("""COMPUTED_VALUE"""),"Чистота на улице, капитальный ремонт зданий, обновление трамвайного парка")</f>
        <v>Чистота на улице, капитальный ремонт зданий, обновление трамвайного парка</v>
      </c>
      <c r="O777" s="6" t="str">
        <f>IFERROR(__xludf.DUMMYFUNCTION("""COMPUTED_VALUE"""),"Провести субботник не только в центре города, но и на окраинах")</f>
        <v>Провести субботник не только в центре города, но и на окраинах</v>
      </c>
      <c r="P777" s="6" t="str">
        <f>IFERROR(__xludf.DUMMYFUNCTION("""COMPUTED_VALUE"""),"РИА Кемерово")</f>
        <v>РИА Кемерово</v>
      </c>
      <c r="Q777"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777" s="6" t="str">
        <f>IFERROR(__xludf.DUMMYFUNCTION("""COMPUTED_VALUE"""),"Нет таких")</f>
        <v>Нет таких</v>
      </c>
      <c r="S777" s="6" t="str">
        <f>IFERROR(__xludf.DUMMYFUNCTION("""COMPUTED_VALUE"""),"Нет, не приходилось, Делал рассылку по электронной почте")</f>
        <v>Нет, не приходилось, Делал рассылку по электронной почте</v>
      </c>
      <c r="T777" s="6" t="str">
        <f>IFERROR(__xludf.DUMMYFUNCTION("""COMPUTED_VALUE"""),"Могла бы быть тайга если бы не экология")</f>
        <v>Могла бы быть тайга если бы не экология</v>
      </c>
      <c r="U777" s="6" t="str">
        <f>IFERROR(__xludf.DUMMYFUNCTION("""COMPUTED_VALUE"""),"Набережная")</f>
        <v>Набережная</v>
      </c>
      <c r="V777" s="6" t="str">
        <f>IFERROR(__xludf.DUMMYFUNCTION("""COMPUTED_VALUE"""),"Собой много чего, городом нет")</f>
        <v>Собой много чего, городом нет</v>
      </c>
      <c r="W777" s="6" t="str">
        <f>IFERROR(__xludf.DUMMYFUNCTION("""COMPUTED_VALUE"""),"Мусорят")</f>
        <v>Мусорят</v>
      </c>
      <c r="X777" s="6" t="str">
        <f>IFERROR(__xludf.DUMMYFUNCTION("""COMPUTED_VALUE"""),"Набережная, бульвар строителей")</f>
        <v>Набережная, бульвар строителей</v>
      </c>
      <c r="Y777" s="6" t="str">
        <f>IFERROR(__xludf.DUMMYFUNCTION("""COMPUTED_VALUE"""),"Не знаю таких")</f>
        <v>Не знаю таких</v>
      </c>
      <c r="Z777" s="6" t="str">
        <f>IFERROR(__xludf.DUMMYFUNCTION("""COMPUTED_VALUE"""),"Обновление автобусов")</f>
        <v>Обновление автобусов</v>
      </c>
      <c r="AA777" s="6" t="str">
        <f>IFERROR(__xludf.DUMMYFUNCTION("""COMPUTED_VALUE"""),"Не чистят дороги, не убирают мусор, не делают капитальный ремонт")</f>
        <v>Не чистят дороги, не убирают мусор, не делают капитальный ремонт</v>
      </c>
      <c r="AB777" s="6" t="str">
        <f>IFERROR(__xludf.DUMMYFUNCTION("""COMPUTED_VALUE"""),"Не таких")</f>
        <v>Не таких</v>
      </c>
      <c r="AC777" s="6" t="str">
        <f>IFERROR(__xludf.DUMMYFUNCTION("""COMPUTED_VALUE"""),"Культурно-массовые")</f>
        <v>Культурно-массовые</v>
      </c>
      <c r="AD77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77" s="6" t="str">
        <f>IFERROR(__xludf.DUMMYFUNCTION("""COMPUTED_VALUE"""),"Женский")</f>
        <v>Женский</v>
      </c>
      <c r="AF777" s="6" t="str">
        <f>IFERROR(__xludf.DUMMYFUNCTION("""COMPUTED_VALUE"""),"18-29")</f>
        <v>18-29</v>
      </c>
      <c r="AG777" s="6"/>
      <c r="AH777" s="6"/>
      <c r="AI777" s="6"/>
      <c r="AJ777" s="6"/>
      <c r="AK777" s="6"/>
      <c r="AL777" s="6"/>
      <c r="AM777" s="6"/>
    </row>
    <row r="778">
      <c r="A778" s="6">
        <v>777.0</v>
      </c>
      <c r="B778" s="6" t="str">
        <f>IFERROR(__xludf.DUMMYFUNCTION("""COMPUTED_VALUE"""),"Учусь")</f>
        <v>Учусь</v>
      </c>
      <c r="C778" s="6" t="str">
        <f>IFERROR(__xludf.DUMMYFUNCTION("""COMPUTED_VALUE"""),"Тренировки")</f>
        <v>Тренировки</v>
      </c>
      <c r="D778" s="6" t="str">
        <f>IFERROR(__xludf.DUMMYFUNCTION("""COMPUTED_VALUE"""),"Заводский район")</f>
        <v>Заводский район</v>
      </c>
      <c r="E778" s="6" t="str">
        <f>IFERROR(__xludf.DUMMYFUNCTION("""COMPUTED_VALUE"""),"Школа")</f>
        <v>Школа</v>
      </c>
      <c r="F778" s="6" t="str">
        <f>IFERROR(__xludf.DUMMYFUNCTION("""COMPUTED_VALUE"""),"Живу здесь с рождения")</f>
        <v>Живу здесь с рождения</v>
      </c>
      <c r="G778" s="6" t="str">
        <f>IFERROR(__xludf.DUMMYFUNCTION("""COMPUTED_VALUE"""),"Парк")</f>
        <v>Парк</v>
      </c>
      <c r="H778" s="6" t="str">
        <f>IFERROR(__xludf.DUMMYFUNCTION("""COMPUTED_VALUE"""),".")</f>
        <v>.</v>
      </c>
      <c r="I778" s="6" t="str">
        <f>IFERROR(__xludf.DUMMYFUNCTION("""COMPUTED_VALUE"""),"Волков")</f>
        <v>Волков</v>
      </c>
      <c r="J778" s="6" t="str">
        <f>IFERROR(__xludf.DUMMYFUNCTION("""COMPUTED_VALUE"""),".")</f>
        <v>.</v>
      </c>
      <c r="K778" s="6" t="str">
        <f>IFERROR(__xludf.DUMMYFUNCTION("""COMPUTED_VALUE"""),".")</f>
        <v>.</v>
      </c>
      <c r="L778" s="6" t="str">
        <f>IFERROR(__xludf.DUMMYFUNCTION("""COMPUTED_VALUE"""),".")</f>
        <v>.</v>
      </c>
      <c r="M778" s="6" t="str">
        <f>IFERROR(__xludf.DUMMYFUNCTION("""COMPUTED_VALUE"""),".")</f>
        <v>.</v>
      </c>
      <c r="N778" s="6" t="str">
        <f>IFERROR(__xludf.DUMMYFUNCTION("""COMPUTED_VALUE"""),".")</f>
        <v>.</v>
      </c>
      <c r="O778" s="6" t="str">
        <f>IFERROR(__xludf.DUMMYFUNCTION("""COMPUTED_VALUE"""),".")</f>
        <v>.</v>
      </c>
      <c r="P778" s="6" t="str">
        <f>IFERROR(__xludf.DUMMYFUNCTION("""COMPUTED_VALUE"""),".")</f>
        <v>.</v>
      </c>
      <c r="Q778" s="6" t="str">
        <f>IFERROR(__xludf.DUMMYFUNCTION("""COMPUTED_VALUE"""),"городская афиша (кино/театр/концерты)")</f>
        <v>городская афиша (кино/театр/концерты)</v>
      </c>
      <c r="R778" s="6" t="str">
        <f>IFERROR(__xludf.DUMMYFUNCTION("""COMPUTED_VALUE"""),".")</f>
        <v>.</v>
      </c>
      <c r="S778" s="6" t="str">
        <f>IFERROR(__xludf.DUMMYFUNCTION("""COMPUTED_VALUE"""),"Нет, не приходилось")</f>
        <v>Нет, не приходилось</v>
      </c>
      <c r="T778" s="6" t="str">
        <f>IFERROR(__xludf.DUMMYFUNCTION("""COMPUTED_VALUE"""),".")</f>
        <v>.</v>
      </c>
      <c r="U778" s="6" t="str">
        <f>IFERROR(__xludf.DUMMYFUNCTION("""COMPUTED_VALUE"""),".")</f>
        <v>.</v>
      </c>
      <c r="V778" s="6" t="str">
        <f>IFERROR(__xludf.DUMMYFUNCTION("""COMPUTED_VALUE"""),".")</f>
        <v>.</v>
      </c>
      <c r="W778" s="6" t="str">
        <f>IFERROR(__xludf.DUMMYFUNCTION("""COMPUTED_VALUE"""),".")</f>
        <v>.</v>
      </c>
      <c r="X778" s="6" t="str">
        <f>IFERROR(__xludf.DUMMYFUNCTION("""COMPUTED_VALUE"""),".")</f>
        <v>.</v>
      </c>
      <c r="Y778" s="6" t="str">
        <f>IFERROR(__xludf.DUMMYFUNCTION("""COMPUTED_VALUE"""),".")</f>
        <v>.</v>
      </c>
      <c r="Z778" s="6" t="str">
        <f>IFERROR(__xludf.DUMMYFUNCTION("""COMPUTED_VALUE"""),".")</f>
        <v>.</v>
      </c>
      <c r="AA778" s="6" t="str">
        <f>IFERROR(__xludf.DUMMYFUNCTION("""COMPUTED_VALUE"""),".")</f>
        <v>.</v>
      </c>
      <c r="AB778" s="6" t="str">
        <f>IFERROR(__xludf.DUMMYFUNCTION("""COMPUTED_VALUE"""),".")</f>
        <v>.</v>
      </c>
      <c r="AC778" s="6" t="str">
        <f>IFERROR(__xludf.DUMMYFUNCTION("""COMPUTED_VALUE"""),".")</f>
        <v>.</v>
      </c>
      <c r="AD778"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778" s="6" t="str">
        <f>IFERROR(__xludf.DUMMYFUNCTION("""COMPUTED_VALUE"""),"Мужской")</f>
        <v>Мужской</v>
      </c>
      <c r="AF778" s="6" t="str">
        <f>IFERROR(__xludf.DUMMYFUNCTION("""COMPUTED_VALUE"""),"18-29")</f>
        <v>18-29</v>
      </c>
      <c r="AG778" s="6"/>
      <c r="AH778" s="6"/>
      <c r="AI778" s="6"/>
      <c r="AJ778" s="6"/>
      <c r="AK778" s="6"/>
      <c r="AL778" s="6"/>
      <c r="AM778" s="6"/>
    </row>
    <row r="779">
      <c r="A779" s="6">
        <v>778.0</v>
      </c>
      <c r="B779" s="6" t="str">
        <f>IFERROR(__xludf.DUMMYFUNCTION("""COMPUTED_VALUE"""),"преподавание")</f>
        <v>преподавание</v>
      </c>
      <c r="C779" s="6" t="str">
        <f>IFERROR(__xludf.DUMMYFUNCTION("""COMPUTED_VALUE"""),"чтение")</f>
        <v>чтение</v>
      </c>
      <c r="D779" s="6" t="str">
        <f>IFERROR(__xludf.DUMMYFUNCTION("""COMPUTED_VALUE"""),"Заводской")</f>
        <v>Заводской</v>
      </c>
      <c r="E779" s="6" t="str">
        <f>IFERROR(__xludf.DUMMYFUNCTION("""COMPUTED_VALUE"""),"нет")</f>
        <v>нет</v>
      </c>
      <c r="F779" s="6" t="str">
        <f>IFERROR(__xludf.DUMMYFUNCTION("""COMPUTED_VALUE"""),"Переехал сюда из другого места (откуда? укажите в графе другое), г. Томск")</f>
        <v>Переехал сюда из другого места (откуда? укажите в графе другое), г. Томск</v>
      </c>
      <c r="G779" s="6" t="str">
        <f>IFERROR(__xludf.DUMMYFUNCTION("""COMPUTED_VALUE"""),"парк чудес")</f>
        <v>парк чудес</v>
      </c>
      <c r="H779" s="6" t="str">
        <f>IFERROR(__xludf.DUMMYFUNCTION("""COMPUTED_VALUE"""),"шахтер, уголь, смог, август, работа")</f>
        <v>шахтер, уголь, смог, август, работа</v>
      </c>
      <c r="I779" s="6" t="str">
        <f>IFERROR(__xludf.DUMMYFUNCTION("""COMPUTED_VALUE"""),"Леонов А., Тулеев А.")</f>
        <v>Леонов А., Тулеев А.</v>
      </c>
      <c r="J779" s="6" t="str">
        <f>IFERROR(__xludf.DUMMYFUNCTION("""COMPUTED_VALUE"""),"нет")</f>
        <v>нет</v>
      </c>
      <c r="K779" s="6" t="str">
        <f>IFERROR(__xludf.DUMMYFUNCTION("""COMPUTED_VALUE"""),"набережная реки Томи")</f>
        <v>набережная реки Томи</v>
      </c>
      <c r="L779" s="6" t="str">
        <f>IFERROR(__xludf.DUMMYFUNCTION("""COMPUTED_VALUE"""),"нет")</f>
        <v>нет</v>
      </c>
      <c r="M779" s="6" t="str">
        <f>IFERROR(__xludf.DUMMYFUNCTION("""COMPUTED_VALUE"""),"нет")</f>
        <v>нет</v>
      </c>
      <c r="N779" s="6" t="str">
        <f>IFERROR(__xludf.DUMMYFUNCTION("""COMPUTED_VALUE"""),"чистые улицы, чистый воздух, доступный транспорт, общепит, озеленение")</f>
        <v>чистые улицы, чистый воздух, доступный транспорт, общепит, озеленение</v>
      </c>
      <c r="O779" s="6" t="str">
        <f>IFERROR(__xludf.DUMMYFUNCTION("""COMPUTED_VALUE"""),"обеспечить уборку ")</f>
        <v>обеспечить уборку </v>
      </c>
      <c r="P779" s="6" t="str">
        <f>IFERROR(__xludf.DUMMYFUNCTION("""COMPUTED_VALUE"""),"инстаграмм")</f>
        <v>инстаграмм</v>
      </c>
      <c r="Q779"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779" s="6" t="str">
        <f>IFERROR(__xludf.DUMMYFUNCTION("""COMPUTED_VALUE"""),"день шахтера")</f>
        <v>день шахтера</v>
      </c>
      <c r="S779" s="6" t="str">
        <f>IFERROR(__xludf.DUMMYFUNCTION("""COMPUTED_VALUE"""),"Нет, не приходилось")</f>
        <v>Нет, не приходилось</v>
      </c>
      <c r="T779" s="6" t="str">
        <f>IFERROR(__xludf.DUMMYFUNCTION("""COMPUTED_VALUE"""),"угольная столица России")</f>
        <v>угольная столица России</v>
      </c>
      <c r="U779" s="6" t="str">
        <f>IFERROR(__xludf.DUMMYFUNCTION("""COMPUTED_VALUE"""),"площадь Советов")</f>
        <v>площадь Советов</v>
      </c>
      <c r="V779" s="6" t="str">
        <f>IFERROR(__xludf.DUMMYFUNCTION("""COMPUTED_VALUE"""),"нет ответа")</f>
        <v>нет ответа</v>
      </c>
      <c r="W779" s="6" t="str">
        <f>IFERROR(__xludf.DUMMYFUNCTION("""COMPUTED_VALUE"""),"терпение, трудолюбие")</f>
        <v>терпение, трудолюбие</v>
      </c>
      <c r="X779" s="6" t="str">
        <f>IFERROR(__xludf.DUMMYFUNCTION("""COMPUTED_VALUE"""),"Парк чудес - набережная ")</f>
        <v>Парк чудес - набережная </v>
      </c>
      <c r="Y779" s="6" t="str">
        <f>IFERROR(__xludf.DUMMYFUNCTION("""COMPUTED_VALUE"""),"открытие угольных месторождений")</f>
        <v>открытие угольных месторождений</v>
      </c>
      <c r="Z779" s="6" t="str">
        <f>IFERROR(__xludf.DUMMYFUNCTION("""COMPUTED_VALUE"""),"нет ответа")</f>
        <v>нет ответа</v>
      </c>
      <c r="AA779" s="6" t="str">
        <f>IFERROR(__xludf.DUMMYFUNCTION("""COMPUTED_VALUE"""),"нет ответа")</f>
        <v>нет ответа</v>
      </c>
      <c r="AB779" s="6" t="str">
        <f>IFERROR(__xludf.DUMMYFUNCTION("""COMPUTED_VALUE"""),"нет ответа")</f>
        <v>нет ответа</v>
      </c>
      <c r="AC779" s="6" t="str">
        <f>IFERROR(__xludf.DUMMYFUNCTION("""COMPUTED_VALUE"""),"нет ответа")</f>
        <v>нет ответа</v>
      </c>
      <c r="AD779"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779" s="6" t="str">
        <f>IFERROR(__xludf.DUMMYFUNCTION("""COMPUTED_VALUE"""),"Женский")</f>
        <v>Женский</v>
      </c>
      <c r="AF779" s="6" t="str">
        <f>IFERROR(__xludf.DUMMYFUNCTION("""COMPUTED_VALUE"""),"старше 55")</f>
        <v>старше 55</v>
      </c>
      <c r="AG779" s="6"/>
      <c r="AH779" s="6"/>
      <c r="AI779" s="6"/>
      <c r="AJ779" s="6"/>
      <c r="AK779" s="6"/>
      <c r="AL779" s="6"/>
      <c r="AM779" s="6"/>
    </row>
    <row r="780">
      <c r="A780" s="6">
        <v>779.0</v>
      </c>
      <c r="B780" s="6" t="str">
        <f>IFERROR(__xludf.DUMMYFUNCTION("""COMPUTED_VALUE"""),"Энергетик")</f>
        <v>Энергетик</v>
      </c>
      <c r="C780" s="6" t="str">
        <f>IFERROR(__xludf.DUMMYFUNCTION("""COMPUTED_VALUE"""),"Пою песни")</f>
        <v>Пою песни</v>
      </c>
      <c r="D780" s="6" t="str">
        <f>IFERROR(__xludf.DUMMYFUNCTION("""COMPUTED_VALUE"""),"Кировский")</f>
        <v>Кировский</v>
      </c>
      <c r="E780" s="6" t="str">
        <f>IFERROR(__xludf.DUMMYFUNCTION("""COMPUTED_VALUE"""),"Набережная, ДК Кировского района, городская больница № 2")</f>
        <v>Набережная, ДК Кировского района, городская больница № 2</v>
      </c>
      <c r="F780" s="6" t="str">
        <f>IFERROR(__xludf.DUMMYFUNCTION("""COMPUTED_VALUE"""),"Переехал сюда из другого места (откуда? укажите в графе другое), Ленинск-Кузнецкий")</f>
        <v>Переехал сюда из другого места (откуда? укажите в графе другое), Ленинск-Кузнецкий</v>
      </c>
      <c r="G780" s="6" t="str">
        <f>IFERROR(__xludf.DUMMYFUNCTION("""COMPUTED_VALUE"""),"На набережную Кировского района")</f>
        <v>На набережную Кировского района</v>
      </c>
      <c r="H780" s="6" t="str">
        <f>IFERROR(__xludf.DUMMYFUNCTION("""COMPUTED_VALUE"""),"Рабочий, зелёный, спокойный, детей мало, машин много")</f>
        <v>Рабочий, зелёный, спокойный, детей мало, машин много</v>
      </c>
      <c r="I780" s="6" t="str">
        <f>IFERROR(__xludf.DUMMYFUNCTION("""COMPUTED_VALUE"""),"Михайло Волков, Фёдоров Василий Дмитриевич, Алексей Леонов")</f>
        <v>Михайло Волков, Фёдоров Василий Дмитриевич, Алексей Леонов</v>
      </c>
      <c r="J780" s="6" t="str">
        <f>IFERROR(__xludf.DUMMYFUNCTION("""COMPUTED_VALUE"""),"Михайлов Владимир Васильевич")</f>
        <v>Михайлов Владимир Васильевич</v>
      </c>
      <c r="K780" s="6" t="str">
        <f>IFERROR(__xludf.DUMMYFUNCTION("""COMPUTED_VALUE"""),"Набережная Кировского района, берёзовая роща рядом со 2-й гор. больницей, Парк Чудес")</f>
        <v>Набережная Кировского района, берёзовая роща рядом со 2-й гор. больницей, Парк Чудес</v>
      </c>
      <c r="L780" s="6" t="str">
        <f>IFERROR(__xludf.DUMMYFUNCTION("""COMPUTED_VALUE"""),"Нет таких")</f>
        <v>Нет таких</v>
      </c>
      <c r="M780" s="6" t="str">
        <f>IFERROR(__xludf.DUMMYFUNCTION("""COMPUTED_VALUE"""),"В Кемерово")</f>
        <v>В Кемерово</v>
      </c>
      <c r="N780" s="6" t="str">
        <f>IFERROR(__xludf.DUMMYFUNCTION("""COMPUTED_VALUE"""),"Обилие парковых зон, просторный двор, во дворе играют дети, наличие стоянки для машин, отсутствие пробок")</f>
        <v>Обилие парковых зон, просторный двор, во дворе играют дети, наличие стоянки для машин, отсутствие пробок</v>
      </c>
      <c r="O780" s="6" t="str">
        <f>IFERROR(__xludf.DUMMYFUNCTION("""COMPUTED_VALUE"""),"Перестать строить ""человейники"" с маленькими дворами и заняться малоэтажной застройкой, при этом адекватно развивая коммуникации, в том числе дороги.")</f>
        <v>Перестать строить "человейники" с маленькими дворами и заняться малоэтажной застройкой, при этом адекватно развивая коммуникации, в том числе дороги.</v>
      </c>
      <c r="P780" s="6" t="str">
        <f>IFERROR(__xludf.DUMMYFUNCTION("""COMPUTED_VALUE"""),"Возле ДК Кировского района установлены информационные щиты")</f>
        <v>Возле ДК Кировского района установлены информационные щиты</v>
      </c>
      <c r="Q780" s="6" t="str">
        <f>IFERROR(__xludf.DUMMYFUNCTION("""COMPUTED_VALUE"""),"интервью с местными предпринимателями, криминальные новости (происшествия/преступления), результаты местных исследований (рейтинги/аналитика/тенденции)")</f>
        <v>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780" s="6" t="str">
        <f>IFERROR(__xludf.DUMMYFUNCTION("""COMPUTED_VALUE"""),"День Победы")</f>
        <v>День Победы</v>
      </c>
      <c r="S780" s="6" t="str">
        <f>IFERROR(__xludf.DUMMYFUNCTION("""COMPUTED_VALUE"""),"Нет, не приходилось")</f>
        <v>Нет, не приходилось</v>
      </c>
      <c r="T780" s="6" t="str">
        <f>IFERROR(__xludf.DUMMYFUNCTION("""COMPUTED_VALUE"""),"В Европейской части про Кемерово никто не знает")</f>
        <v>В Европейской части про Кемерово никто не знает</v>
      </c>
      <c r="U780" s="6" t="str">
        <f>IFERROR(__xludf.DUMMYFUNCTION("""COMPUTED_VALUE"""),"улица Весенняя")</f>
        <v>улица Весенняя</v>
      </c>
      <c r="V780" s="6" t="str">
        <f>IFERROR(__xludf.DUMMYFUNCTION("""COMPUTED_VALUE"""),"много работали")</f>
        <v>много работали</v>
      </c>
      <c r="W780" s="6" t="str">
        <f>IFERROR(__xludf.DUMMYFUNCTION("""COMPUTED_VALUE"""),"Доброжелательные, умные, трудолюбивые, спокойные, с чувством юмора")</f>
        <v>Доброжелательные, умные, трудолюбивые, спокойные, с чувством юмора</v>
      </c>
      <c r="X780" s="6" t="str">
        <f>IFERROR(__xludf.DUMMYFUNCTION("""COMPUTED_VALUE"""),"Пл. Волкова, ул. Весенняя, Парк Чудес")</f>
        <v>Пл. Волкова, ул. Весенняя, Парк Чудес</v>
      </c>
      <c r="Y780" s="6" t="str">
        <f>IFERROR(__xludf.DUMMYFUNCTION("""COMPUTED_VALUE"""),"Строительство нового Кузнецкого моста")</f>
        <v>Строительство нового Кузнецкого моста</v>
      </c>
      <c r="Z780" s="6" t="str">
        <f>IFERROR(__xludf.DUMMYFUNCTION("""COMPUTED_VALUE"""),"В последние 2 года увеличилось количество ремонтируемых дорог")</f>
        <v>В последние 2 года увеличилось количество ремонтируемых дорог</v>
      </c>
      <c r="AA780" s="6" t="str">
        <f>IFERROR(__xludf.DUMMYFUNCTION("""COMPUTED_VALUE"""),"Не было таких событий")</f>
        <v>Не было таких событий</v>
      </c>
      <c r="AB780" s="6" t="str">
        <f>IFERROR(__xludf.DUMMYFUNCTION("""COMPUTED_VALUE"""),"Мне не требуется")</f>
        <v>Мне не требуется</v>
      </c>
      <c r="AC780" s="6" t="str">
        <f>IFERROR(__xludf.DUMMYFUNCTION("""COMPUTED_VALUE"""),"Развитие самодеятельности на предприятиях и организация отчётных концертов самодеятельных коллективов. Развитие прикладных видов спорта по профессиям и организация соревнований по профмастерству на аренах города. Например соревнования пожарных, полицейски"&amp;"х, врачей...")</f>
        <v>Развитие самодеятельности на предприятиях и организация отчётных концертов самодеятельных коллективов. Развитие прикладных видов спорта по профессиям и организация соревнований по профмастерству на аренах города. Например соревнования пожарных, полицейских, врачей...</v>
      </c>
      <c r="AD780"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780" s="6" t="str">
        <f>IFERROR(__xludf.DUMMYFUNCTION("""COMPUTED_VALUE"""),"Мужской")</f>
        <v>Мужской</v>
      </c>
      <c r="AF780" s="6" t="str">
        <f>IFERROR(__xludf.DUMMYFUNCTION("""COMPUTED_VALUE"""),"старше 55")</f>
        <v>старше 55</v>
      </c>
      <c r="AG780" s="6"/>
      <c r="AH780" s="6"/>
      <c r="AI780" s="6"/>
      <c r="AJ780" s="6"/>
      <c r="AK780" s="6"/>
      <c r="AL780" s="6"/>
      <c r="AM780" s="6"/>
    </row>
    <row r="781">
      <c r="A781" s="6">
        <v>780.0</v>
      </c>
      <c r="B781" s="6" t="str">
        <f>IFERROR(__xludf.DUMMYFUNCTION("""COMPUTED_VALUE"""),"Студент")</f>
        <v>Студент</v>
      </c>
      <c r="C781" s="6" t="str">
        <f>IFERROR(__xludf.DUMMYFUNCTION("""COMPUTED_VALUE"""),"Есть. Фотографировать")</f>
        <v>Есть. Фотографировать</v>
      </c>
      <c r="D781" s="6" t="str">
        <f>IFERROR(__xludf.DUMMYFUNCTION("""COMPUTED_VALUE"""),"Заводской район")</f>
        <v>Заводской район</v>
      </c>
      <c r="E781" s="6" t="str">
        <f>IFERROR(__xludf.DUMMYFUNCTION("""COMPUTED_VALUE"""),"Азот")</f>
        <v>Азот</v>
      </c>
      <c r="F781" s="6" t="str">
        <f>IFERROR(__xludf.DUMMYFUNCTION("""COMPUTED_VALUE"""),"Переехал сюда из другого места (откуда? укажите в графе другое), пгт. Зеленогорский")</f>
        <v>Переехал сюда из другого места (откуда? укажите в графе другое), пгт. Зеленогорский</v>
      </c>
      <c r="G781" s="6" t="str">
        <f>IFERROR(__xludf.DUMMYFUNCTION("""COMPUTED_VALUE"""),"Набережная, парк Ангелов, ТЦ Я")</f>
        <v>Набережная, парк Ангелов, ТЦ Я</v>
      </c>
      <c r="H781" s="6" t="str">
        <f>IFERROR(__xludf.DUMMYFUNCTION("""COMPUTED_VALUE"""),"Уголь, зимняя вишня, кузгту, Тулеев, Томь")</f>
        <v>Уголь, зимняя вишня, кузгту, Тулеев, Томь</v>
      </c>
      <c r="I781" s="6" t="str">
        <f>IFERROR(__xludf.DUMMYFUNCTION("""COMPUTED_VALUE"""),"Тулеев")</f>
        <v>Тулеев</v>
      </c>
      <c r="J781" s="6" t="str">
        <f>IFERROR(__xludf.DUMMYFUNCTION("""COMPUTED_VALUE"""),"Тулеев")</f>
        <v>Тулеев</v>
      </c>
      <c r="K781" s="6" t="str">
        <f>IFERROR(__xludf.DUMMYFUNCTION("""COMPUTED_VALUE"""),"Парк Ангелов, набережная, гостинница Томь")</f>
        <v>Парк Ангелов, набережная, гостинница Томь</v>
      </c>
      <c r="L781" s="6" t="str">
        <f>IFERROR(__xludf.DUMMYFUNCTION("""COMPUTED_VALUE"""),"Не знаю")</f>
        <v>Не знаю</v>
      </c>
      <c r="M781" s="6" t="str">
        <f>IFERROR(__xludf.DUMMYFUNCTION("""COMPUTED_VALUE"""),"Не знаю")</f>
        <v>Не знаю</v>
      </c>
      <c r="N781" s="6" t="str">
        <f>IFERROR(__xludf.DUMMYFUNCTION("""COMPUTED_VALUE"""),"Не знаю")</f>
        <v>Не знаю</v>
      </c>
      <c r="O781" s="6" t="str">
        <f>IFERROR(__xludf.DUMMYFUNCTION("""COMPUTED_VALUE"""),"Цивилева")</f>
        <v>Цивилева</v>
      </c>
      <c r="P781" s="6" t="str">
        <f>IFERROR(__xludf.DUMMYFUNCTION("""COMPUTED_VALUE"""),"Типичный Кемерово")</f>
        <v>Типичный Кемерово</v>
      </c>
      <c r="Q781" s="6" t="str">
        <f>IFERROR(__xludf.DUMMYFUNCTION("""COMPUTED_VALUE"""),"городская афиша (кино/театр/концерты), интервью с местными творческими личностями, бизнес-новости (средний чек/рекламные акции/запуск новых предприятий)")</f>
        <v>городская афиша (кино/театр/концерты), интервью с местными творческими личностями, бизнес-новости (средний чек/рекламные акции/запуск новых предприятий)</v>
      </c>
      <c r="R781" s="6" t="str">
        <f>IFERROR(__xludf.DUMMYFUNCTION("""COMPUTED_VALUE"""),"День города")</f>
        <v>День города</v>
      </c>
      <c r="S781" s="6" t="str">
        <f>IFERROR(__xludf.DUMMYFUNCTION("""COMPUTED_VALUE"""),"Писал и расклеивал объявления/афиши, Обращался в редакции электронных городских СМИ")</f>
        <v>Писал и расклеивал объявления/афиши, Обращался в редакции электронных городских СМИ</v>
      </c>
      <c r="T781" s="6" t="str">
        <f>IFERROR(__xludf.DUMMYFUNCTION("""COMPUTED_VALUE"""),"Уголь")</f>
        <v>Уголь</v>
      </c>
      <c r="U781" s="6" t="str">
        <f>IFERROR(__xludf.DUMMYFUNCTION("""COMPUTED_VALUE"""),"Тяжинская сгущенка")</f>
        <v>Тяжинская сгущенка</v>
      </c>
      <c r="V781" s="6" t="str">
        <f>IFERROR(__xludf.DUMMYFUNCTION("""COMPUTED_VALUE"""),"Не знаю")</f>
        <v>Не знаю</v>
      </c>
      <c r="W781" s="6" t="str">
        <f>IFERROR(__xludf.DUMMYFUNCTION("""COMPUTED_VALUE"""),"Индивидуально")</f>
        <v>Индивидуально</v>
      </c>
      <c r="X781" s="6" t="str">
        <f>IFERROR(__xludf.DUMMYFUNCTION("""COMPUTED_VALUE"""),"От вокзала до общаги")</f>
        <v>От вокзала до общаги</v>
      </c>
      <c r="Y781" s="6" t="str">
        <f>IFERROR(__xludf.DUMMYFUNCTION("""COMPUTED_VALUE"""),"Пожар Зимней вишне")</f>
        <v>Пожар Зимней вишне</v>
      </c>
      <c r="Z781" s="6" t="str">
        <f>IFERROR(__xludf.DUMMYFUNCTION("""COMPUTED_VALUE"""),"Учёба в Кузгту")</f>
        <v>Учёба в Кузгту</v>
      </c>
      <c r="AA781" s="6" t="str">
        <f>IFERROR(__xludf.DUMMYFUNCTION("""COMPUTED_VALUE"""),"Пожар")</f>
        <v>Пожар</v>
      </c>
      <c r="AB781" s="6" t="str">
        <f>IFERROR(__xludf.DUMMYFUNCTION("""COMPUTED_VALUE"""),"Движа")</f>
        <v>Движа</v>
      </c>
      <c r="AC781" s="6" t="str">
        <f>IFERROR(__xludf.DUMMYFUNCTION("""COMPUTED_VALUE"""),"Дискотеки для пожилых")</f>
        <v>Дискотеки для пожилых</v>
      </c>
      <c r="AD781"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81" s="6" t="str">
        <f>IFERROR(__xludf.DUMMYFUNCTION("""COMPUTED_VALUE"""),"Женский")</f>
        <v>Женский</v>
      </c>
      <c r="AF781" s="6" t="str">
        <f>IFERROR(__xludf.DUMMYFUNCTION("""COMPUTED_VALUE"""),"18-29")</f>
        <v>18-29</v>
      </c>
      <c r="AG781" s="6"/>
      <c r="AH781" s="6"/>
      <c r="AI781" s="6"/>
      <c r="AJ781" s="6"/>
      <c r="AK781" s="6"/>
      <c r="AL781" s="6"/>
      <c r="AM781" s="6"/>
    </row>
    <row r="782">
      <c r="A782" s="6">
        <v>781.0</v>
      </c>
      <c r="B782" s="6" t="str">
        <f>IFERROR(__xludf.DUMMYFUNCTION("""COMPUTED_VALUE"""),"Студентка ")</f>
        <v>Студентка </v>
      </c>
      <c r="C782" s="6" t="str">
        <f>IFERROR(__xludf.DUMMYFUNCTION("""COMPUTED_VALUE"""),"Фотография, моделинг")</f>
        <v>Фотография, моделинг</v>
      </c>
      <c r="D782" s="6" t="str">
        <f>IFERROR(__xludf.DUMMYFUNCTION("""COMPUTED_VALUE"""),"Заводский (ФПК)")</f>
        <v>Заводский (ФПК)</v>
      </c>
      <c r="E782" s="6" t="str">
        <f>IFERROR(__xludf.DUMMYFUNCTION("""COMPUTED_VALUE"""),"Сквер новорожденных, зона, кладбище, корпус КемГУ")</f>
        <v>Сквер новорожденных, зона, кладбище, корпус КемГУ</v>
      </c>
      <c r="F782" s="6" t="str">
        <f>IFERROR(__xludf.DUMMYFUNCTION("""COMPUTED_VALUE"""),"Живу здесь с рождения")</f>
        <v>Живу здесь с рождения</v>
      </c>
      <c r="G782" s="6" t="str">
        <f>IFERROR(__xludf.DUMMYFUNCTION("""COMPUTED_VALUE"""),"Весь центр города, бульвар строителей ")</f>
        <v>Весь центр города, бульвар строителей </v>
      </c>
      <c r="H782" s="6" t="str">
        <f>IFERROR(__xludf.DUMMYFUNCTION("""COMPUTED_VALUE"""),"Угорь, дым, газ, пыль, холод ")</f>
        <v>Угорь, дым, газ, пыль, холод </v>
      </c>
      <c r="I782" s="6" t="str">
        <f>IFERROR(__xludf.DUMMYFUNCTION("""COMPUTED_VALUE"""),"Вера Волошина, Юрий Двужильный, Алексей Леонов, Евгений Гришковец ")</f>
        <v>Вера Волошина, Юрий Двужильный, Алексей Леонов, Евгений Гришковец </v>
      </c>
      <c r="J782" s="6" t="str">
        <f>IFERROR(__xludf.DUMMYFUNCTION("""COMPUTED_VALUE"""),"Евгений Гришковец, Сергей Наседкин, Михаил Подгорбунский, ")</f>
        <v>Евгений Гришковец, Сергей Наседкин, Михаил Подгорбунский, </v>
      </c>
      <c r="K782" s="6" t="str">
        <f>IFERROR(__xludf.DUMMYFUNCTION("""COMPUTED_VALUE"""),"Парк Ангелов, Сердце Шахтера, Парк Чудес, Комсомольский парк, Бульвар Строителей, Набережная ")</f>
        <v>Парк Ангелов, Сердце Шахтера, Парк Чудес, Комсомольский парк, Бульвар Строителей, Набережная </v>
      </c>
      <c r="L782" s="6" t="str">
        <f>IFERROR(__xludf.DUMMYFUNCTION("""COMPUTED_VALUE"""),"  ")</f>
        <v>  </v>
      </c>
      <c r="M782" s="6" t="str">
        <f>IFERROR(__xludf.DUMMYFUNCTION("""COMPUTED_VALUE"""),"Мультифора, Лапа (Лапландия), Весенька (улица Весенняя) ")</f>
        <v>Мультифора, Лапа (Лапландия), Весенька (улица Весенняя) </v>
      </c>
      <c r="N782" s="6" t="str">
        <f>IFERROR(__xludf.DUMMYFUNCTION("""COMPUTED_VALUE"""),"Хорошие дороги, бесплатное образование, хорошая экология, много рабочих мест, развитая инфраструктура ")</f>
        <v>Хорошие дороги, бесплатное образование, хорошая экология, много рабочих мест, развитая инфраструктура </v>
      </c>
      <c r="O782" s="6" t="str">
        <f>IFERROR(__xludf.DUMMYFUNCTION("""COMPUTED_VALUE"""),"Очистить экологию ")</f>
        <v>Очистить экологию </v>
      </c>
      <c r="P782" s="6" t="str">
        <f>IFERROR(__xludf.DUMMYFUNCTION("""COMPUTED_VALUE"""),"Интернет, группы вк, А42, инстаграм")</f>
        <v>Интернет, группы вк, А42, инстаграм</v>
      </c>
      <c r="Q78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(рейтинги/а"&amp;"налитика/тенденции)")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782" s="6" t="str">
        <f>IFERROR(__xludf.DUMMYFUNCTION("""COMPUTED_VALUE"""),"9 мая, день города, день шахтера, Новый год ")</f>
        <v>9 мая, день города, день шахтера, Новый год </v>
      </c>
      <c r="S782" s="6" t="str">
        <f>IFERROR(__xludf.DUMMYFUNCTION("""COMPUTED_VALUE"""),"Писал и расклеивал объявления/афиши, Через социальные сети (Какие? Укажите в графе другое)")</f>
        <v>Писал и расклеивал объявления/афиши, Через социальные сети (Какие? Укажите в графе другое)</v>
      </c>
      <c r="T782" s="6" t="str">
        <f>IFERROR(__xludf.DUMMYFUNCTION("""COMPUTED_VALUE"""),"Высокая загрязненность, Зимняя Вишня ")</f>
        <v>Высокая загрязненность, Зимняя Вишня </v>
      </c>
      <c r="U782" s="6" t="str">
        <f>IFERROR(__xludf.DUMMYFUNCTION("""COMPUTED_VALUE"""),"Сердце шахтера, площадь советов, улица весенняя")</f>
        <v>Сердце шахтера, площадь советов, улица весенняя</v>
      </c>
      <c r="V782" s="6" t="str">
        <f>IFERROR(__xludf.DUMMYFUNCTION("""COMPUTED_VALUE"""),"Высокая добыча угля")</f>
        <v>Высокая добыча угля</v>
      </c>
      <c r="W782" s="6" t="str">
        <f>IFERROR(__xludf.DUMMYFUNCTION("""COMPUTED_VALUE"""),"Всю люди разные ")</f>
        <v>Всю люди разные </v>
      </c>
      <c r="X782" s="6" t="str">
        <f>IFERROR(__xludf.DUMMYFUNCTION("""COMPUTED_VALUE"""),"Набережная, весенняя, площадь советов, парк ангелов ")</f>
        <v>Набережная, весенняя, площадь советов, парк ангелов </v>
      </c>
      <c r="Y782" s="6" t="str">
        <f>IFERROR(__xludf.DUMMYFUNCTION("""COMPUTED_VALUE"""),"Зимняя Вишня ")</f>
        <v>Зимняя Вишня </v>
      </c>
      <c r="Z782" s="6" t="str">
        <f>IFERROR(__xludf.DUMMYFUNCTION("""COMPUTED_VALUE"""),"Построили много новых зданий, жилых комплексов ")</f>
        <v>Построили много новых зданий, жилых комплексов </v>
      </c>
      <c r="AA782" s="6" t="str">
        <f>IFERROR(__xludf.DUMMYFUNCTION("""COMPUTED_VALUE"""),"Убийство девушки, бездействие полиции. Режим чёрного неба ")</f>
        <v>Убийство девушки, бездействие полиции. Режим чёрного неба </v>
      </c>
      <c r="AB782" s="6" t="str">
        <f>IFERROR(__xludf.DUMMYFUNCTION("""COMPUTED_VALUE"""),"Арт пространств ")</f>
        <v>Арт пространств </v>
      </c>
      <c r="AC782" s="6" t="str">
        <f>IFERROR(__xludf.DUMMYFUNCTION("""COMPUTED_VALUE"""),"Все ")</f>
        <v>Все </v>
      </c>
      <c r="AD782" s="6" t="str">
        <f>IFERROR(__xludf.DUMMYFUNCTION("""COMPUTED_VALUE"""),"Профессионала.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v>
      </c>
      <c r="AE782" s="6" t="str">
        <f>IFERROR(__xludf.DUMMYFUNCTION("""COMPUTED_VALUE"""),"Женский")</f>
        <v>Женский</v>
      </c>
      <c r="AF782" s="6" t="str">
        <f>IFERROR(__xludf.DUMMYFUNCTION("""COMPUTED_VALUE"""),"18-29")</f>
        <v>18-29</v>
      </c>
      <c r="AG782" s="6"/>
      <c r="AH782" s="6"/>
      <c r="AI782" s="6"/>
      <c r="AJ782" s="6"/>
      <c r="AK782" s="6"/>
      <c r="AL782" s="6"/>
      <c r="AM782" s="6"/>
    </row>
    <row r="783">
      <c r="A783" s="6">
        <v>782.0</v>
      </c>
      <c r="B783" s="6" t="str">
        <f>IFERROR(__xludf.DUMMYFUNCTION("""COMPUTED_VALUE"""),"Студент, работаю ")</f>
        <v>Студент, работаю </v>
      </c>
      <c r="C783" s="6" t="str">
        <f>IFERROR(__xludf.DUMMYFUNCTION("""COMPUTED_VALUE"""),"Смм")</f>
        <v>Смм</v>
      </c>
      <c r="D783" s="6" t="str">
        <f>IFERROR(__xludf.DUMMYFUNCTION("""COMPUTED_VALUE"""),"Ленинский")</f>
        <v>Ленинский</v>
      </c>
      <c r="E783" s="6" t="str">
        <f>IFERROR(__xludf.DUMMYFUNCTION("""COMPUTED_VALUE"""),"Никаких не знаю")</f>
        <v>Никаких не знаю</v>
      </c>
      <c r="F783" s="6" t="str">
        <f>IFERROR(__xludf.DUMMYFUNCTION("""COMPUTED_VALUE"""),"Переехал сюда из другого места (откуда? укажите в графе другое), Междуреченск ")</f>
        <v>Переехал сюда из другого места (откуда? укажите в графе другое), Междуреченск </v>
      </c>
      <c r="G783" s="6" t="str">
        <f>IFERROR(__xludf.DUMMYFUNCTION("""COMPUTED_VALUE"""),"Только центр, тц")</f>
        <v>Только центр, тц</v>
      </c>
      <c r="H783" s="6" t="str">
        <f>IFERROR(__xludf.DUMMYFUNCTION("""COMPUTED_VALUE"""),"Набережная, красивые дома, сосновый бор, заводы, университет ")</f>
        <v>Набережная, красивые дома, сосновый бор, заводы, университет </v>
      </c>
      <c r="I783" s="6" t="str">
        <f>IFERROR(__xludf.DUMMYFUNCTION("""COMPUTED_VALUE"""),"-")</f>
        <v>-</v>
      </c>
      <c r="J783" s="6" t="str">
        <f>IFERROR(__xludf.DUMMYFUNCTION("""COMPUTED_VALUE"""),"-")</f>
        <v>-</v>
      </c>
      <c r="K783" s="6" t="str">
        <f>IFERROR(__xludf.DUMMYFUNCTION("""COMPUTED_VALUE"""),"Просто бы показала центр ")</f>
        <v>Просто бы показала центр </v>
      </c>
      <c r="L783" s="6" t="str">
        <f>IFERROR(__xludf.DUMMYFUNCTION("""COMPUTED_VALUE"""),"-")</f>
        <v>-</v>
      </c>
      <c r="M783" s="6" t="str">
        <f>IFERROR(__xludf.DUMMYFUNCTION("""COMPUTED_VALUE"""),"Нет")</f>
        <v>Нет</v>
      </c>
      <c r="N783" s="6" t="str">
        <f>IFERROR(__xludf.DUMMYFUNCTION("""COMPUTED_VALUE"""),"Транспорт, культурные места и места общественного питания, концерты знаменитостей, крупные популярные магазины ( одежды, техники и тд) ,хорошая природа")</f>
        <v>Транспорт, культурные места и места общественного питания, концерты знаменитостей, крупные популярные магазины ( одежды, техники и тд) ,хорошая природа</v>
      </c>
      <c r="O783" s="6" t="str">
        <f>IFERROR(__xludf.DUMMYFUNCTION("""COMPUTED_VALUE"""),"Все хорошо, но воздух немного грязный ")</f>
        <v>Все хорошо, но воздух немного грязный </v>
      </c>
      <c r="P783" s="6" t="str">
        <f>IFERROR(__xludf.DUMMYFUNCTION("""COMPUTED_VALUE"""),"ВКонтакте, инстаграм")</f>
        <v>ВКонтакте, инстаграм</v>
      </c>
      <c r="Q783"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криминальные новости (происшествия/преступления), новости про новые профессии/куда поступать/вака"&amp;"нсии,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783" s="6" t="str">
        <f>IFERROR(__xludf.DUMMYFUNCTION("""COMPUTED_VALUE"""),"День Шахтёра, масленица ( если можно ее так назвать )")</f>
        <v>День Шахтёра, масленица ( если можно ее так назвать )</v>
      </c>
      <c r="S783" s="6" t="str">
        <f>IFERROR(__xludf.DUMMYFUNCTION("""COMPUTED_VALUE"""),"Через социальные сети (Какие? Укажите в графе другое), Занимаюсь постингом ВКонтакте ")</f>
        <v>Через социальные сети (Какие? Укажите в графе другое), Занимаюсь постингом ВКонтакте </v>
      </c>
      <c r="T783" s="6" t="str">
        <f>IFERROR(__xludf.DUMMYFUNCTION("""COMPUTED_VALUE"""),"-")</f>
        <v>-</v>
      </c>
      <c r="U783" s="6" t="str">
        <f>IFERROR(__xludf.DUMMYFUNCTION("""COMPUTED_VALUE"""),"Центральный район ")</f>
        <v>Центральный район </v>
      </c>
      <c r="V783" s="6" t="str">
        <f>IFERROR(__xludf.DUMMYFUNCTION("""COMPUTED_VALUE"""),"Создание вузов, шахт, облагораживание города в целом ")</f>
        <v>Создание вузов, шахт, облагораживание города в целом </v>
      </c>
      <c r="W783" s="6" t="str">
        <f>IFERROR(__xludf.DUMMYFUNCTION("""COMPUTED_VALUE"""),"Грубые на первый взгляд, но отзывчивые, простые ")</f>
        <v>Грубые на первый взгляд, но отзывчивые, простые </v>
      </c>
      <c r="X783" s="6" t="str">
        <f>IFERROR(__xludf.DUMMYFUNCTION("""COMPUTED_VALUE"""),"От КФС на Советском через филармонию, цирк на Ленина и вверх до бульвара Строителей ")</f>
        <v>От КФС на Советском через филармонию, цирк на Ленина и вверх до бульвара Строителей </v>
      </c>
      <c r="Y783" s="6" t="str">
        <f>IFERROR(__xludf.DUMMYFUNCTION("""COMPUTED_VALUE"""),"-")</f>
        <v>-</v>
      </c>
      <c r="Z783" s="6" t="str">
        <f>IFERROR(__xludf.DUMMYFUNCTION("""COMPUTED_VALUE"""),"Бессмертный полк 9 мая 2019 года")</f>
        <v>Бессмертный полк 9 мая 2019 года</v>
      </c>
      <c r="AA783" s="6" t="str">
        <f>IFERROR(__xludf.DUMMYFUNCTION("""COMPUTED_VALUE"""),"Безответственность врачей как в больницах, так и в частных клиниках ( но есть и отличные специалисты и там, и там)")</f>
        <v>Безответственность врачей как в больницах, так и в частных клиниках ( но есть и отличные специалисты и там, и там)</v>
      </c>
      <c r="AB783" s="6" t="str">
        <f>IFERROR(__xludf.DUMMYFUNCTION("""COMPUTED_VALUE"""),"-")</f>
        <v>-</v>
      </c>
      <c r="AC783" s="6" t="str">
        <f>IFERROR(__xludf.DUMMYFUNCTION("""COMPUTED_VALUE"""),"Не хватает открытых рок концертов, и вообще интересных публичных мероприятий, открытого кино ")</f>
        <v>Не хватает открытых рок концертов, и вообще интересных публичных мероприятий, открытого кино </v>
      </c>
      <c r="AD783"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783" s="6" t="str">
        <f>IFERROR(__xludf.DUMMYFUNCTION("""COMPUTED_VALUE"""),"Женский")</f>
        <v>Женский</v>
      </c>
      <c r="AF783" s="6" t="str">
        <f>IFERROR(__xludf.DUMMYFUNCTION("""COMPUTED_VALUE"""),"18-29")</f>
        <v>18-29</v>
      </c>
      <c r="AG783" s="6"/>
      <c r="AH783" s="6"/>
      <c r="AI783" s="6"/>
      <c r="AJ783" s="6"/>
      <c r="AK783" s="6"/>
      <c r="AL783" s="6"/>
      <c r="AM783" s="6"/>
    </row>
    <row r="784">
      <c r="A784" s="6">
        <v>783.0</v>
      </c>
      <c r="B784" s="6" t="str">
        <f>IFERROR(__xludf.DUMMYFUNCTION("""COMPUTED_VALUE"""),"Студент")</f>
        <v>Студент</v>
      </c>
      <c r="C784" s="6" t="str">
        <f>IFERROR(__xludf.DUMMYFUNCTION("""COMPUTED_VALUE"""),"Нет ")</f>
        <v>Нет </v>
      </c>
      <c r="D784" s="6" t="str">
        <f>IFERROR(__xludf.DUMMYFUNCTION("""COMPUTED_VALUE"""),"Заводский")</f>
        <v>Заводский</v>
      </c>
      <c r="E784" s="6" t="str">
        <f>IFERROR(__xludf.DUMMYFUNCTION("""COMPUTED_VALUE"""),"Парк ангелов")</f>
        <v>Парк ангелов</v>
      </c>
      <c r="F784" s="6" t="str">
        <f>IFERROR(__xludf.DUMMYFUNCTION("""COMPUTED_VALUE"""),"Переехал сюда из другого места (откуда? укажите в графе другое), Приехала учиться в университете из Новокузнецка")</f>
        <v>Переехал сюда из другого места (откуда? укажите в графе другое), Приехала учиться в университете из Новокузнецка</v>
      </c>
      <c r="G784" s="6" t="str">
        <f>IFERROR(__xludf.DUMMYFUNCTION("""COMPUTED_VALUE"""),"Парк ангелов, драмтеатр ")</f>
        <v>Парк ангелов, драмтеатр </v>
      </c>
      <c r="H784" s="6" t="str">
        <f>IFERROR(__xludf.DUMMYFUNCTION("""COMPUTED_VALUE"""),"Серость")</f>
        <v>Серость</v>
      </c>
      <c r="I784" s="6" t="str">
        <f>IFERROR(__xludf.DUMMYFUNCTION("""COMPUTED_VALUE"""),"Тулеев")</f>
        <v>Тулеев</v>
      </c>
      <c r="J784" s="6" t="str">
        <f>IFERROR(__xludf.DUMMYFUNCTION("""COMPUTED_VALUE"""),"Гришковец")</f>
        <v>Гришковец</v>
      </c>
      <c r="K784" s="6" t="str">
        <f>IFERROR(__xludf.DUMMYFUNCTION("""COMPUTED_VALUE"""),"Набережная, парк ангелов ")</f>
        <v>Набережная, парк ангелов </v>
      </c>
      <c r="L784" s="6" t="str">
        <f>IFERROR(__xludf.DUMMYFUNCTION("""COMPUTED_VALUE"""),"-")</f>
        <v>-</v>
      </c>
      <c r="M784" s="6" t="str">
        <f>IFERROR(__xludf.DUMMYFUNCTION("""COMPUTED_VALUE"""),"-")</f>
        <v>-</v>
      </c>
      <c r="N784" s="6" t="str">
        <f>IFERROR(__xludf.DUMMYFUNCTION("""COMPUTED_VALUE"""),"Чистота воздуха, развитая инфраструктура, доброжелательные люди, развитая транспортная сеть")</f>
        <v>Чистота воздуха, развитая инфраструктура, доброжелательные люди, развитая транспортная сеть</v>
      </c>
      <c r="O784" s="6" t="str">
        <f>IFERROR(__xludf.DUMMYFUNCTION("""COMPUTED_VALUE"""),"Экологию ")</f>
        <v>Экологию </v>
      </c>
      <c r="P784" s="6" t="str">
        <f>IFERROR(__xludf.DUMMYFUNCTION("""COMPUTED_VALUE"""),"-")</f>
        <v>-</v>
      </c>
      <c r="Q784"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v>
      </c>
      <c r="R784" s="6" t="str">
        <f>IFERROR(__xludf.DUMMYFUNCTION("""COMPUTED_VALUE"""),"9 мая")</f>
        <v>9 мая</v>
      </c>
      <c r="S784" s="6" t="str">
        <f>IFERROR(__xludf.DUMMYFUNCTION("""COMPUTED_VALUE"""),"Нет, не приходилось")</f>
        <v>Нет, не приходилось</v>
      </c>
      <c r="T784" s="6" t="str">
        <f>IFERROR(__xludf.DUMMYFUNCTION("""COMPUTED_VALUE"""),"-")</f>
        <v>-</v>
      </c>
      <c r="U784" s="6" t="str">
        <f>IFERROR(__xludf.DUMMYFUNCTION("""COMPUTED_VALUE"""),"Парк ангелов")</f>
        <v>Парк ангелов</v>
      </c>
      <c r="V784" s="6" t="str">
        <f>IFERROR(__xludf.DUMMYFUNCTION("""COMPUTED_VALUE"""),"-")</f>
        <v>-</v>
      </c>
      <c r="W784" s="6" t="str">
        <f>IFERROR(__xludf.DUMMYFUNCTION("""COMPUTED_VALUE"""),"Доброжелательные, вежливые")</f>
        <v>Доброжелательные, вежливые</v>
      </c>
      <c r="X784" s="6" t="str">
        <f>IFERROR(__xludf.DUMMYFUNCTION("""COMPUTED_VALUE"""),"Через парк ангелов по Весенней на набережную ")</f>
        <v>Через парк ангелов по Весенней на набережную </v>
      </c>
      <c r="Y784" s="6" t="str">
        <f>IFERROR(__xludf.DUMMYFUNCTION("""COMPUTED_VALUE"""),"-")</f>
        <v>-</v>
      </c>
      <c r="Z784" s="6" t="str">
        <f>IFERROR(__xludf.DUMMYFUNCTION("""COMPUTED_VALUE"""),"-")</f>
        <v>-</v>
      </c>
      <c r="AA784" s="6" t="str">
        <f>IFERROR(__xludf.DUMMYFUNCTION("""COMPUTED_VALUE"""),"Пожар в зимней вишне")</f>
        <v>Пожар в зимней вишне</v>
      </c>
      <c r="AB784" s="6" t="str">
        <f>IFERROR(__xludf.DUMMYFUNCTION("""COMPUTED_VALUE"""),"Спортбара")</f>
        <v>Спортбара</v>
      </c>
      <c r="AC784" s="6" t="str">
        <f>IFERROR(__xludf.DUMMYFUNCTION("""COMPUTED_VALUE"""),"-")</f>
        <v>-</v>
      </c>
      <c r="AD78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84" s="6" t="str">
        <f>IFERROR(__xludf.DUMMYFUNCTION("""COMPUTED_VALUE"""),"Женский")</f>
        <v>Женский</v>
      </c>
      <c r="AF784" s="6" t="str">
        <f>IFERROR(__xludf.DUMMYFUNCTION("""COMPUTED_VALUE"""),"18-29")</f>
        <v>18-29</v>
      </c>
      <c r="AG784" s="6"/>
      <c r="AH784" s="6"/>
      <c r="AI784" s="6"/>
      <c r="AJ784" s="6"/>
      <c r="AK784" s="6"/>
      <c r="AL784" s="6"/>
      <c r="AM784" s="6"/>
    </row>
    <row r="785">
      <c r="A785" s="6">
        <v>784.0</v>
      </c>
      <c r="B785" s="6" t="str">
        <f>IFERROR(__xludf.DUMMYFUNCTION("""COMPUTED_VALUE"""),"учу учебу")</f>
        <v>учу учебу</v>
      </c>
      <c r="C785" s="6" t="str">
        <f>IFERROR(__xludf.DUMMYFUNCTION("""COMPUTED_VALUE"""),"Нет")</f>
        <v>Нет</v>
      </c>
      <c r="D785" s="6" t="str">
        <f>IFERROR(__xludf.DUMMYFUNCTION("""COMPUTED_VALUE"""),"Заводской")</f>
        <v>Заводской</v>
      </c>
      <c r="E785" s="6" t="str">
        <f>IFERROR(__xludf.DUMMYFUNCTION("""COMPUTED_VALUE"""),"политех")</f>
        <v>политех</v>
      </c>
      <c r="F785" s="6" t="str">
        <f>IFERROR(__xludf.DUMMYFUNCTION("""COMPUTED_VALUE"""),"Живу здесь с рождения, Родился здесь,но сейчас живу в другом городе, Переехал сюда из другого места (откуда? укажите в графе другое), Не живу,но приезжаю сюда (к родственникам/друзьям), Бываю как турист")</f>
        <v>Живу здесь с рождения, Родился здесь,но сейчас живу в другом городе, Переехал сюда из другого места (откуда? укажите в графе другое), Не живу,но приезжаю сюда (к родственникам/друзьям), Бываю как турист</v>
      </c>
      <c r="G785" s="6" t="str">
        <f>IFERROR(__xludf.DUMMYFUNCTION("""COMPUTED_VALUE"""),"в политех")</f>
        <v>в политех</v>
      </c>
      <c r="H785" s="6" t="str">
        <f>IFERROR(__xludf.DUMMYFUNCTION("""COMPUTED_VALUE"""),"политех, кузгту, общага, учеба, политех")</f>
        <v>политех, кузгту, общага, учеба, политех</v>
      </c>
      <c r="I785" s="6" t="str">
        <f>IFERROR(__xludf.DUMMYFUNCTION("""COMPUTED_VALUE"""),"Не знаю")</f>
        <v>Не знаю</v>
      </c>
      <c r="J785" s="6" t="str">
        <f>IFERROR(__xludf.DUMMYFUNCTION("""COMPUTED_VALUE"""),"Я")</f>
        <v>Я</v>
      </c>
      <c r="K785" s="6" t="str">
        <f>IFERROR(__xludf.DUMMYFUNCTION("""COMPUTED_VALUE"""),"политех")</f>
        <v>политех</v>
      </c>
      <c r="L785" s="6" t="str">
        <f>IFERROR(__xludf.DUMMYFUNCTION("""COMPUTED_VALUE"""),"КУЗГТУ-ЛУЧШИЙ ПОЛИТЕХ МИРА ")</f>
        <v>КУЗГТУ-ЛУЧШИЙ ПОЛИТЕХ МИРА </v>
      </c>
      <c r="M785" s="6" t="str">
        <f>IFERROR(__xludf.DUMMYFUNCTION("""COMPUTED_VALUE"""),"Эй ёу братанчик хочешь ....")</f>
        <v>Эй ёу братанчик хочешь ....</v>
      </c>
      <c r="N785" s="6" t="str">
        <f>IFERROR(__xludf.DUMMYFUNCTION("""COMPUTED_VALUE"""),"дом")</f>
        <v>дом</v>
      </c>
      <c r="O785" s="6" t="str">
        <f>IFERROR(__xludf.DUMMYFUNCTION("""COMPUTED_VALUE"""),"Общаги")</f>
        <v>Общаги</v>
      </c>
      <c r="P785" s="6" t="str">
        <f>IFERROR(__xludf.DUMMYFUNCTION("""COMPUTED_VALUE"""),"из политеха")</f>
        <v>из политеха</v>
      </c>
      <c r="Q78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785" s="6" t="str">
        <f>IFERROR(__xludf.DUMMYFUNCTION("""COMPUTED_VALUE"""),"нет таких")</f>
        <v>нет таких</v>
      </c>
      <c r="S785" s="6" t="str">
        <f>IFERROR(__xludf.DUMMYFUNCTION("""COMPUTED_VALUE"""),"Нет, не приходилось, 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f>
        <v>Нет, не приходилось, 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v>
      </c>
      <c r="T785" s="6" t="str">
        <f>IFERROR(__xludf.DUMMYFUNCTION("""COMPUTED_VALUE"""),"бэззл")</f>
        <v>бэззл</v>
      </c>
      <c r="U785" s="6" t="str">
        <f>IFERROR(__xludf.DUMMYFUNCTION("""COMPUTED_VALUE"""),"тюжз")</f>
        <v>тюжз</v>
      </c>
      <c r="V785" s="6" t="str">
        <f>IFERROR(__xludf.DUMMYFUNCTION("""COMPUTED_VALUE"""),"аджхх")</f>
        <v>аджхх</v>
      </c>
      <c r="W785" s="6" t="str">
        <f>IFERROR(__xludf.DUMMYFUNCTION("""COMPUTED_VALUE"""),"йсизх")</f>
        <v>йсизх</v>
      </c>
      <c r="X785" s="6" t="str">
        <f>IFERROR(__xludf.DUMMYFUNCTION("""COMPUTED_VALUE"""),"итба")</f>
        <v>итба</v>
      </c>
      <c r="Y785" s="6" t="str">
        <f>IFERROR(__xludf.DUMMYFUNCTION("""COMPUTED_VALUE"""),"ивлтс")</f>
        <v>ивлтс</v>
      </c>
      <c r="Z785" s="6" t="str">
        <f>IFERROR(__xludf.DUMMYFUNCTION("""COMPUTED_VALUE"""),"млиаа")</f>
        <v>млиаа</v>
      </c>
      <c r="AA785" s="6" t="str">
        <f>IFERROR(__xludf.DUMMYFUNCTION("""COMPUTED_VALUE"""),"илам")</f>
        <v>илам</v>
      </c>
      <c r="AB785" s="6" t="str">
        <f>IFERROR(__xludf.DUMMYFUNCTION("""COMPUTED_VALUE"""),"тьра")</f>
        <v>тьра</v>
      </c>
      <c r="AC785" s="6" t="str">
        <f>IFERROR(__xludf.DUMMYFUNCTION("""COMPUTED_VALUE"""),"аоо")</f>
        <v>аоо</v>
      </c>
      <c r="AD785" s="6" t="str">
        <f>IFERROR(__xludf.DUMMYFUNCTION("""COMPUTED_VALUE"""),"Коммуникатора: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785" s="6" t="str">
        <f>IFERROR(__xludf.DUMMYFUNCTION("""COMPUTED_VALUE"""),"Мужской")</f>
        <v>Мужской</v>
      </c>
      <c r="AF785" s="6" t="str">
        <f>IFERROR(__xludf.DUMMYFUNCTION("""COMPUTED_VALUE"""),"старше 55")</f>
        <v>старше 55</v>
      </c>
      <c r="AG785" s="6"/>
      <c r="AH785" s="6"/>
      <c r="AI785" s="6"/>
      <c r="AJ785" s="6"/>
      <c r="AK785" s="6"/>
      <c r="AL785" s="6"/>
      <c r="AM785" s="6"/>
    </row>
    <row r="786">
      <c r="A786" s="6">
        <v>785.0</v>
      </c>
      <c r="B786" s="6" t="str">
        <f>IFERROR(__xludf.DUMMYFUNCTION("""COMPUTED_VALUE"""),"Проектирование, строительство")</f>
        <v>Проектирование, строительство</v>
      </c>
      <c r="C786" s="6" t="str">
        <f>IFERROR(__xludf.DUMMYFUNCTION("""COMPUTED_VALUE"""),"Спорт, бег, деревообработка")</f>
        <v>Спорт, бег, деревообработка</v>
      </c>
      <c r="D786" s="6" t="str">
        <f>IFERROR(__xludf.DUMMYFUNCTION("""COMPUTED_VALUE"""),"Южный. Никак не называю")</f>
        <v>Южный. Никак не называю</v>
      </c>
      <c r="E786" s="6" t="str">
        <f>IFERROR(__xludf.DUMMYFUNCTION("""COMPUTED_VALUE"""),"Храм, улица Патриотов")</f>
        <v>Храм, улица Патриотов</v>
      </c>
      <c r="F786" s="6" t="str">
        <f>IFERROR(__xludf.DUMMYFUNCTION("""COMPUTED_VALUE"""),"Живу здесь с рождения")</f>
        <v>Живу здесь с рождения</v>
      </c>
      <c r="G786" s="6" t="str">
        <f>IFERROR(__xludf.DUMMYFUNCTION("""COMPUTED_VALUE"""),"В спорт зал, гуляю в Комсомольском парке")</f>
        <v>В спорт зал, гуляю в Комсомольском парке</v>
      </c>
      <c r="H786" s="6" t="str">
        <f>IFERROR(__xludf.DUMMYFUNCTION("""COMPUTED_VALUE"""),"Загазованность, грязь, хамство, кинотеатр Космос, б-р Строителей")</f>
        <v>Загазованность, грязь, хамство, кинотеатр Космос, б-р Строителей</v>
      </c>
      <c r="I786" s="6" t="str">
        <f>IFERROR(__xludf.DUMMYFUNCTION("""COMPUTED_VALUE"""),"Л.К. Моисеенко, К.Д. Нещадимов")</f>
        <v>Л.К. Моисеенко, К.Д. Нещадимов</v>
      </c>
      <c r="J786" s="6" t="str">
        <f>IFERROR(__xludf.DUMMYFUNCTION("""COMPUTED_VALUE"""),"В.В. Михайлов")</f>
        <v>В.В. Михайлов</v>
      </c>
      <c r="K786" s="6" t="str">
        <f>IFERROR(__xludf.DUMMYFUNCTION("""COMPUTED_VALUE"""),"Нет таких")</f>
        <v>Нет таких</v>
      </c>
      <c r="L786" s="6" t="str">
        <f>IFERROR(__xludf.DUMMYFUNCTION("""COMPUTED_VALUE"""),"коптит частный сектор")</f>
        <v>коптит частный сектор</v>
      </c>
      <c r="M786" s="6" t="str">
        <f>IFERROR(__xludf.DUMMYFUNCTION("""COMPUTED_VALUE"""),"Человек из Кемерово")</f>
        <v>Человек из Кемерово</v>
      </c>
      <c r="N786" s="6" t="str">
        <f>IFERROR(__xludf.DUMMYFUNCTION("""COMPUTED_VALUE"""),"Чистота и порядок, ")</f>
        <v>Чистота и порядок, </v>
      </c>
      <c r="O786" s="6" t="str">
        <f>IFERROR(__xludf.DUMMYFUNCTION("""COMPUTED_VALUE"""),"Надо менять отношение людей к городу, а не город менять.")</f>
        <v>Надо менять отношение людей к городу, а не город менять.</v>
      </c>
      <c r="P786" s="6" t="str">
        <f>IFERROR(__xludf.DUMMYFUNCTION("""COMPUTED_VALUE"""),"Новости по радио, сайт Открытый город")</f>
        <v>Новости по радио, сайт Открытый город</v>
      </c>
      <c r="Q786" s="6" t="str">
        <f>IFERROR(__xludf.DUMMYFUNCTION("""COMPUTED_VALUE"""),"куда пойти в свободное время, где вкусно поесть/открытие новых кафе/ресторанов, интервью с местными творческими личностями,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интервью с местными творческими личностями, интервью с экспертами на разные темы (напишите в разделе Другое свои предложения)</v>
      </c>
      <c r="R786" s="6" t="str">
        <f>IFERROR(__xludf.DUMMYFUNCTION("""COMPUTED_VALUE"""),"День строителя, День Шахтера, День города")</f>
        <v>День строителя, День Шахтера, День города</v>
      </c>
      <c r="S786" s="6" t="str">
        <f>IFERROR(__xludf.DUMMYFUNCTION("""COMPUTED_VALUE"""),"Нет, не приходилось")</f>
        <v>Нет, не приходилось</v>
      </c>
      <c r="T786" s="6" t="str">
        <f>IFERROR(__xludf.DUMMYFUNCTION("""COMPUTED_VALUE"""),"Известен он природным углем, разрезами и шахтами, а так же Хим предприятиями. Уникального ничего в городе к сожалению нет")</f>
        <v>Известен он природным углем, разрезами и шахтами, а так же Хим предприятиями. Уникального ничего в городе к сожалению нет</v>
      </c>
      <c r="U786" s="6" t="str">
        <f>IFERROR(__xludf.DUMMYFUNCTION("""COMPUTED_VALUE"""),"Площадь Советов и Цирк")</f>
        <v>Площадь Советов и Цирк</v>
      </c>
      <c r="V786" s="6" t="str">
        <f>IFERROR(__xludf.DUMMYFUNCTION("""COMPUTED_VALUE"""),"Построены мосты, организованы Институты и больницы")</f>
        <v>Построены мосты, организованы Институты и больницы</v>
      </c>
      <c r="W786" s="6" t="str">
        <f>IFERROR(__xludf.DUMMYFUNCTION("""COMPUTED_VALUE"""),"Веселые и жесткие")</f>
        <v>Веселые и жесткие</v>
      </c>
      <c r="X786" s="6" t="str">
        <f>IFERROR(__xludf.DUMMYFUNCTION("""COMPUTED_VALUE"""),"От притомской набережной до ул.Красная с переходом на искитимскую набережную до пр.Ленина.")</f>
        <v>От притомской набережной до ул.Красная с переходом на искитимскую набережную до пр.Ленина.</v>
      </c>
      <c r="Y786" s="6" t="str">
        <f>IFERROR(__xludf.DUMMYFUNCTION("""COMPUTED_VALUE"""),"Победа футбольного Кузбасса над Спартаком, чемпионат мира по хоккею с мячом, Победа Волейбольного Кузбасса в чемпионате России.")</f>
        <v>Победа футбольного Кузбасса над Спартаком, чемпионат мира по хоккею с мячом, Победа Волейбольного Кузбасса в чемпионате России.</v>
      </c>
      <c r="Z786" s="6" t="str">
        <f>IFERROR(__xludf.DUMMYFUNCTION("""COMPUTED_VALUE"""),"Не могу припомнить")</f>
        <v>Не могу припомнить</v>
      </c>
      <c r="AA786" s="6" t="str">
        <f>IFERROR(__xludf.DUMMYFUNCTION("""COMPUTED_VALUE"""),"Зимняя Вишня")</f>
        <v>Зимняя Вишня</v>
      </c>
      <c r="AB786" s="6" t="str">
        <f>IFERROR(__xludf.DUMMYFUNCTION("""COMPUTED_VALUE"""),"Сообществ для детей, что бы им прививали уважение к Городу, Родине")</f>
        <v>Сообществ для детей, что бы им прививали уважение к Городу, Родине</v>
      </c>
      <c r="AC786" s="6" t="str">
        <f>IFERROR(__xludf.DUMMYFUNCTION("""COMPUTED_VALUE"""),"Людям не нужны события, им нужно свободное время и они сами сделают эти мероприятия")</f>
        <v>Людям не нужны события, им нужно свободное время и они сами сделают эти мероприятия</v>
      </c>
      <c r="AD786"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86" s="6" t="str">
        <f>IFERROR(__xludf.DUMMYFUNCTION("""COMPUTED_VALUE"""),"Мужской")</f>
        <v>Мужской</v>
      </c>
      <c r="AF786" s="6" t="str">
        <f>IFERROR(__xludf.DUMMYFUNCTION("""COMPUTED_VALUE"""),"30-44")</f>
        <v>30-44</v>
      </c>
      <c r="AG786" s="6"/>
      <c r="AH786" s="6"/>
      <c r="AI786" s="6"/>
      <c r="AJ786" s="6"/>
      <c r="AK786" s="6"/>
      <c r="AL786" s="6"/>
      <c r="AM786" s="6"/>
    </row>
    <row r="787">
      <c r="A787" s="6">
        <v>786.0</v>
      </c>
      <c r="B787" s="6" t="str">
        <f>IFERROR(__xludf.DUMMYFUNCTION("""COMPUTED_VALUE"""),"Студент")</f>
        <v>Студент</v>
      </c>
      <c r="C787" s="6" t="str">
        <f>IFERROR(__xludf.DUMMYFUNCTION("""COMPUTED_VALUE"""),"Рисование")</f>
        <v>Рисование</v>
      </c>
      <c r="D787" s="6" t="str">
        <f>IFERROR(__xludf.DUMMYFUNCTION("""COMPUTED_VALUE"""),"Ленинский")</f>
        <v>Ленинский</v>
      </c>
      <c r="E787" s="6" t="str">
        <f>IFERROR(__xludf.DUMMYFUNCTION("""COMPUTED_VALUE"""),"Лента")</f>
        <v>Лента</v>
      </c>
      <c r="F787" s="6" t="str">
        <f>IFERROR(__xludf.DUMMYFUNCTION("""COMPUTED_VALUE"""),"Живу здесь с рождения")</f>
        <v>Живу здесь с рождения</v>
      </c>
      <c r="G787" s="6" t="str">
        <f>IFERROR(__xludf.DUMMYFUNCTION("""COMPUTED_VALUE"""),"Везде хожу")</f>
        <v>Везде хожу</v>
      </c>
      <c r="H787" s="6" t="str">
        <f>IFERROR(__xludf.DUMMYFUNCTION("""COMPUTED_VALUE"""),"Тусклый, грязный")</f>
        <v>Тусклый, грязный</v>
      </c>
      <c r="I787" s="6" t="str">
        <f>IFERROR(__xludf.DUMMYFUNCTION("""COMPUTED_VALUE"""),"Аман Тулеев")</f>
        <v>Аман Тулеев</v>
      </c>
      <c r="J787" s="6" t="str">
        <f>IFERROR(__xludf.DUMMYFUNCTION("""COMPUTED_VALUE"""),"Мой друг")</f>
        <v>Мой друг</v>
      </c>
      <c r="K787" s="6" t="str">
        <f>IFERROR(__xludf.DUMMYFUNCTION("""COMPUTED_VALUE"""),"Парк Ангелов ")</f>
        <v>Парк Ангелов </v>
      </c>
      <c r="L787" s="6" t="str">
        <f>IFERROR(__xludf.DUMMYFUNCTION("""COMPUTED_VALUE"""),"Не знаю")</f>
        <v>Не знаю</v>
      </c>
      <c r="M787" s="6" t="str">
        <f>IFERROR(__xludf.DUMMYFUNCTION("""COMPUTED_VALUE"""),"Нет")</f>
        <v>Нет</v>
      </c>
      <c r="N787" s="6" t="str">
        <f>IFERROR(__xludf.DUMMYFUNCTION("""COMPUTED_VALUE"""),"Чистота")</f>
        <v>Чистота</v>
      </c>
      <c r="O787" s="6" t="str">
        <f>IFERROR(__xludf.DUMMYFUNCTION("""COMPUTED_VALUE"""),"Дороги ")</f>
        <v>Дороги </v>
      </c>
      <c r="P787" s="6" t="str">
        <f>IFERROR(__xludf.DUMMYFUNCTION("""COMPUTED_VALUE"""),"Интернет ")</f>
        <v>Интернет </v>
      </c>
      <c r="Q787" s="6" t="str">
        <f>IFERROR(__xludf.DUMMYFUNCTION("""COMPUTED_VALUE"""),"Никакие")</f>
        <v>Никакие</v>
      </c>
      <c r="R787" s="6" t="str">
        <f>IFERROR(__xludf.DUMMYFUNCTION("""COMPUTED_VALUE"""),"Новый год")</f>
        <v>Новый год</v>
      </c>
      <c r="S787" s="6" t="str">
        <f>IFERROR(__xludf.DUMMYFUNCTION("""COMPUTED_VALUE"""),"Нет, не приходилось")</f>
        <v>Нет, не приходилось</v>
      </c>
      <c r="T787" s="6" t="str">
        <f>IFERROR(__xludf.DUMMYFUNCTION("""COMPUTED_VALUE"""),"Не знаю")</f>
        <v>Не знаю</v>
      </c>
      <c r="U787" s="6" t="str">
        <f>IFERROR(__xludf.DUMMYFUNCTION("""COMPUTED_VALUE"""),"Не знаю")</f>
        <v>Не знаю</v>
      </c>
      <c r="V787" s="6" t="str">
        <f>IFERROR(__xludf.DUMMYFUNCTION("""COMPUTED_VALUE"""),"Не знаю")</f>
        <v>Не знаю</v>
      </c>
      <c r="W787" s="6" t="str">
        <f>IFERROR(__xludf.DUMMYFUNCTION("""COMPUTED_VALUE"""),"Не знаю ")</f>
        <v>Не знаю </v>
      </c>
      <c r="X787" s="6" t="str">
        <f>IFERROR(__xludf.DUMMYFUNCTION("""COMPUTED_VALUE"""),"Не знаю")</f>
        <v>Не знаю</v>
      </c>
      <c r="Y787" s="6" t="str">
        <f>IFERROR(__xludf.DUMMYFUNCTION("""COMPUTED_VALUE"""),"Не знаю")</f>
        <v>Не знаю</v>
      </c>
      <c r="Z787" s="6" t="str">
        <f>IFERROR(__xludf.DUMMYFUNCTION("""COMPUTED_VALUE"""),"Не знаю ")</f>
        <v>Не знаю </v>
      </c>
      <c r="AA787" s="6" t="str">
        <f>IFERROR(__xludf.DUMMYFUNCTION("""COMPUTED_VALUE"""),"Не знаю")</f>
        <v>Не знаю</v>
      </c>
      <c r="AB787" s="6" t="str">
        <f>IFERROR(__xludf.DUMMYFUNCTION("""COMPUTED_VALUE"""),"Не знаю")</f>
        <v>Не знаю</v>
      </c>
      <c r="AC787" s="6" t="str">
        <f>IFERROR(__xludf.DUMMYFUNCTION("""COMPUTED_VALUE"""),"Не знаю")</f>
        <v>Не знаю</v>
      </c>
      <c r="AD787" s="6" t="str">
        <f>IFERROR(__xludf.DUMMYFUNCTION("""COMPUTED_VALUE"""),"Не знаю ")</f>
        <v>Не знаю </v>
      </c>
      <c r="AE787" s="6" t="str">
        <f>IFERROR(__xludf.DUMMYFUNCTION("""COMPUTED_VALUE"""),"Женский")</f>
        <v>Женский</v>
      </c>
      <c r="AF787" s="6" t="str">
        <f>IFERROR(__xludf.DUMMYFUNCTION("""COMPUTED_VALUE"""),"старше 55")</f>
        <v>старше 55</v>
      </c>
      <c r="AG787" s="6"/>
      <c r="AH787" s="6"/>
      <c r="AI787" s="6"/>
      <c r="AJ787" s="6"/>
      <c r="AK787" s="6"/>
      <c r="AL787" s="6"/>
      <c r="AM787" s="6"/>
    </row>
    <row r="788">
      <c r="A788" s="6">
        <v>787.0</v>
      </c>
      <c r="B788" s="6" t="str">
        <f>IFERROR(__xludf.DUMMYFUNCTION("""COMPUTED_VALUE"""),"учусь ")</f>
        <v>учусь </v>
      </c>
      <c r="C788" s="6" t="str">
        <f>IFERROR(__xludf.DUMMYFUNCTION("""COMPUTED_VALUE"""),"все ещё ищу себя")</f>
        <v>все ещё ищу себя</v>
      </c>
      <c r="D788" s="6" t="str">
        <f>IFERROR(__xludf.DUMMYFUNCTION("""COMPUTED_VALUE"""),"в центре ")</f>
        <v>в центре </v>
      </c>
      <c r="E788" s="6" t="str">
        <f>IFERROR(__xludf.DUMMYFUNCTION("""COMPUTED_VALUE"""),"парк Ангелов ")</f>
        <v>парк Ангелов </v>
      </c>
      <c r="F788" s="6" t="str">
        <f>IFERROR(__xludf.DUMMYFUNCTION("""COMPUTED_VALUE"""),"Переехал сюда из другого места (откуда? укажите в графе другое), переехал из Белова из-за учёбы ")</f>
        <v>Переехал сюда из другого места (откуда? укажите в графе другое), переехал из Белова из-за учёбы </v>
      </c>
      <c r="G788" s="6" t="str">
        <f>IFERROR(__xludf.DUMMYFUNCTION("""COMPUTED_VALUE"""),"в кафе и кино ")</f>
        <v>в кафе и кино </v>
      </c>
      <c r="H788" s="6" t="str">
        <f>IFERROR(__xludf.DUMMYFUNCTION("""COMPUTED_VALUE"""),"парк, пыль, площадь, студенты, дым ")</f>
        <v>парк, пыль, площадь, студенты, дым </v>
      </c>
      <c r="I788" s="6" t="str">
        <f>IFERROR(__xludf.DUMMYFUNCTION("""COMPUTED_VALUE"""),"... ")</f>
        <v>... </v>
      </c>
      <c r="J788" s="6" t="str">
        <f>IFERROR(__xludf.DUMMYFUNCTION("""COMPUTED_VALUE"""),"... ")</f>
        <v>... </v>
      </c>
      <c r="K788" s="6" t="str">
        <f>IFERROR(__xludf.DUMMYFUNCTION("""COMPUTED_VALUE"""),"парк Ангелов ")</f>
        <v>парк Ангелов </v>
      </c>
      <c r="L788" s="6" t="str">
        <f>IFERROR(__xludf.DUMMYFUNCTION("""COMPUTED_VALUE"""),"... ")</f>
        <v>... </v>
      </c>
      <c r="M788" s="6" t="str">
        <f>IFERROR(__xludf.DUMMYFUNCTION("""COMPUTED_VALUE"""),"нет")</f>
        <v>нет</v>
      </c>
      <c r="N788" s="6" t="str">
        <f>IFERROR(__xludf.DUMMYFUNCTION("""COMPUTED_VALUE"""),"более менее чистый воздух, чистый город, красота (цветы, деревья, клумбы), дороги хорошие, дома не разваливающиеся ")</f>
        <v>более менее чистый воздух, чистый город, красота (цветы, деревья, клумбы), дороги хорошие, дома не разваливающиеся </v>
      </c>
      <c r="O788" s="6" t="str">
        <f>IFERROR(__xludf.DUMMYFUNCTION("""COMPUTED_VALUE"""),"делать город чище и чаще убираться")</f>
        <v>делать город чище и чаще убираться</v>
      </c>
      <c r="P788" s="6" t="str">
        <f>IFERROR(__xludf.DUMMYFUNCTION("""COMPUTED_VALUE"""),"Из инстаграма инцидент Кузбасс ")</f>
        <v>Из инстаграма инцидент Кузбасс </v>
      </c>
      <c r="Q78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пост"&amp;"упать/вакансии,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788" s="6" t="str">
        <f>IFERROR(__xludf.DUMMYFUNCTION("""COMPUTED_VALUE"""),"9 мая, день шахтёра")</f>
        <v>9 мая, день шахтёра</v>
      </c>
      <c r="S788" s="6" t="str">
        <f>IFERROR(__xludf.DUMMYFUNCTION("""COMPUTED_VALUE"""),"Нет, не приходилось")</f>
        <v>Нет, не приходилось</v>
      </c>
      <c r="T788" s="6" t="str">
        <f>IFERROR(__xludf.DUMMYFUNCTION("""COMPUTED_VALUE"""),"пожаром зимней вишни, а теперь парк на этом месте ")</f>
        <v>пожаром зимней вишни, а теперь парк на этом месте </v>
      </c>
      <c r="U788" s="6" t="str">
        <f>IFERROR(__xludf.DUMMYFUNCTION("""COMPUTED_VALUE"""),"парк Ангелов ")</f>
        <v>парк Ангелов </v>
      </c>
      <c r="V788" s="6" t="str">
        <f>IFERROR(__xludf.DUMMYFUNCTION("""COMPUTED_VALUE"""),"настроили торговых центров ")</f>
        <v>настроили торговых центров </v>
      </c>
      <c r="W788" s="6" t="str">
        <f>IFERROR(__xludf.DUMMYFUNCTION("""COMPUTED_VALUE"""),"Все разные, есть и добрые и злые ")</f>
        <v>Все разные, есть и добрые и злые </v>
      </c>
      <c r="X788" s="6" t="str">
        <f>IFERROR(__xludf.DUMMYFUNCTION("""COMPUTED_VALUE"""),"парк Ангелов - парк Чудес - Набережная ")</f>
        <v>парк Ангелов - парк Чудес - Набережная </v>
      </c>
      <c r="Y788" s="6" t="str">
        <f>IFERROR(__xludf.DUMMYFUNCTION("""COMPUTED_VALUE"""),"... ")</f>
        <v>... </v>
      </c>
      <c r="Z788" s="6" t="str">
        <f>IFERROR(__xludf.DUMMYFUNCTION("""COMPUTED_VALUE"""),"... ")</f>
        <v>... </v>
      </c>
      <c r="AA788" s="6" t="str">
        <f>IFERROR(__xludf.DUMMYFUNCTION("""COMPUTED_VALUE"""),"... ")</f>
        <v>... </v>
      </c>
      <c r="AB788" s="6" t="str">
        <f>IFERROR(__xludf.DUMMYFUNCTION("""COMPUTED_VALUE"""),"... ")</f>
        <v>... </v>
      </c>
      <c r="AC788" s="6" t="str">
        <f>IFERROR(__xludf.DUMMYFUNCTION("""COMPUTED_VALUE"""),"концерты и фильмы на улицах ")</f>
        <v>концерты и фильмы на улицах </v>
      </c>
      <c r="AD78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788" s="6" t="str">
        <f>IFERROR(__xludf.DUMMYFUNCTION("""COMPUTED_VALUE"""),"Женский")</f>
        <v>Женский</v>
      </c>
      <c r="AF788" s="6" t="str">
        <f>IFERROR(__xludf.DUMMYFUNCTION("""COMPUTED_VALUE"""),"18-29")</f>
        <v>18-29</v>
      </c>
      <c r="AG788" s="6"/>
      <c r="AH788" s="6"/>
      <c r="AI788" s="6"/>
      <c r="AJ788" s="6"/>
      <c r="AK788" s="6"/>
      <c r="AL788" s="6"/>
      <c r="AM788" s="6"/>
    </row>
    <row r="789">
      <c r="A789" s="6">
        <v>788.0</v>
      </c>
      <c r="B789" s="6" t="str">
        <f>IFERROR(__xludf.DUMMYFUNCTION("""COMPUTED_VALUE"""),"Работаю ")</f>
        <v>Работаю </v>
      </c>
      <c r="C789" s="6" t="str">
        <f>IFERROR(__xludf.DUMMYFUNCTION("""COMPUTED_VALUE"""),"Да, вязание ")</f>
        <v>Да, вязание </v>
      </c>
      <c r="D789" s="6" t="str">
        <f>IFERROR(__xludf.DUMMYFUNCTION("""COMPUTED_VALUE"""),"Центральный ")</f>
        <v>Центральный </v>
      </c>
      <c r="E789" s="6" t="str">
        <f>IFERROR(__xludf.DUMMYFUNCTION("""COMPUTED_VALUE"""),"Весенняя улица ")</f>
        <v>Весенняя улица </v>
      </c>
      <c r="F789" s="6" t="str">
        <f>IFERROR(__xludf.DUMMYFUNCTION("""COMPUTED_VALUE"""),"Переехал сюда из другого места (откуда? укажите в графе другое), С Урала ")</f>
        <v>Переехал сюда из другого места (откуда? укажите в графе другое), С Урала </v>
      </c>
      <c r="G789" s="6" t="str">
        <f>IFERROR(__xludf.DUMMYFUNCTION("""COMPUTED_VALUE"""),"Сосновый Бор ")</f>
        <v>Сосновый Бор </v>
      </c>
      <c r="H789" s="6" t="str">
        <f>IFERROR(__xludf.DUMMYFUNCTION("""COMPUTED_VALUE"""),"Снег, мороз, убитые дороги внутри жилых кварталах ")</f>
        <v>Снег, мороз, убитые дороги внутри жилых кварталах </v>
      </c>
      <c r="I789" s="6" t="str">
        <f>IFERROR(__xludf.DUMMYFUNCTION("""COMPUTED_VALUE"""),"Вера Волошина ")</f>
        <v>Вера Волошина </v>
      </c>
      <c r="J789" s="6" t="str">
        <f>IFERROR(__xludf.DUMMYFUNCTION("""COMPUTED_VALUE"""),"А.Тулеев")</f>
        <v>А.Тулеев</v>
      </c>
      <c r="K789" s="6" t="str">
        <f>IFERROR(__xludf.DUMMYFUNCTION("""COMPUTED_VALUE"""),"Парк чудес ")</f>
        <v>Парк чудес </v>
      </c>
      <c r="L789" s="6" t="str">
        <f>IFERROR(__xludf.DUMMYFUNCTION("""COMPUTED_VALUE"""),"Не знаю ")</f>
        <v>Не знаю </v>
      </c>
      <c r="M789" s="6" t="str">
        <f>IFERROR(__xludf.DUMMYFUNCTION("""COMPUTED_VALUE"""),"Мультифора , строгалка ")</f>
        <v>Мультифора , строгалка </v>
      </c>
      <c r="N789" s="6" t="str">
        <f>IFERROR(__xludf.DUMMYFUNCTION("""COMPUTED_VALUE"""),"Малые пробки  на дорогах, места прогулок , летние кафе , озеленение, чистота центральных улиц ")</f>
        <v>Малые пробки  на дорогах, места прогулок , летние кафе , озеленение, чистота центральных улиц </v>
      </c>
      <c r="O789" s="6" t="str">
        <f>IFERROR(__xludf.DUMMYFUNCTION("""COMPUTED_VALUE"""),"Дорожные полотна , развлечения для людей старшего поколения ")</f>
        <v>Дорожные полотна , развлечения для людей старшего поколения </v>
      </c>
      <c r="P789" s="6" t="str">
        <f>IFERROR(__xludf.DUMMYFUNCTION("""COMPUTED_VALUE"""),"Инстаграм , Фейсбук ")</f>
        <v>Инстаграм , Фейсбук </v>
      </c>
      <c r="Q789" s="6" t="str">
        <f>IFERROR(__xludf.DUMMYFUNCTION("""COMPUTED_VALUE"""),"культурные новинки (что почитать/что послушать), интервью с местными творческими личностями, результаты местных исследований (рейтинги/аналитика/тенденции)")</f>
        <v>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789" s="6" t="str">
        <f>IFERROR(__xludf.DUMMYFUNCTION("""COMPUTED_VALUE"""),"День шахтера ")</f>
        <v>День шахтера </v>
      </c>
      <c r="S789" s="6" t="str">
        <f>IFERROR(__xludf.DUMMYFUNCTION("""COMPUTED_VALUE"""),"Нет, не приходилось")</f>
        <v>Нет, не приходилось</v>
      </c>
      <c r="T789" s="6" t="str">
        <f>IFERROR(__xludf.DUMMYFUNCTION("""COMPUTED_VALUE"""),"Город шахтеров ")</f>
        <v>Город шахтеров </v>
      </c>
      <c r="U789" s="6" t="str">
        <f>IFERROR(__xludf.DUMMYFUNCTION("""COMPUTED_VALUE"""),"Парк чудес ")</f>
        <v>Парк чудес </v>
      </c>
      <c r="V789" s="6" t="str">
        <f>IFERROR(__xludf.DUMMYFUNCTION("""COMPUTED_VALUE"""),"Город шахтёров ")</f>
        <v>Город шахтёров </v>
      </c>
      <c r="W789" s="6" t="str">
        <f>IFERROR(__xludf.DUMMYFUNCTION("""COMPUTED_VALUE"""),"Общительные")</f>
        <v>Общительные</v>
      </c>
      <c r="X789" s="6" t="str">
        <f>IFERROR(__xludf.DUMMYFUNCTION("""COMPUTED_VALUE"""),"Лесная поляна ")</f>
        <v>Лесная поляна </v>
      </c>
      <c r="Y789" s="6" t="str">
        <f>IFERROR(__xludf.DUMMYFUNCTION("""COMPUTED_VALUE"""),"Кадетское училище ")</f>
        <v>Кадетское училище </v>
      </c>
      <c r="Z789" s="6" t="str">
        <f>IFERROR(__xludf.DUMMYFUNCTION("""COMPUTED_VALUE"""),"Елка городская за 18 Миллионов ")</f>
        <v>Елка городская за 18 Миллионов </v>
      </c>
      <c r="AA789" s="6" t="str">
        <f>IFERROR(__xludf.DUMMYFUNCTION("""COMPUTED_VALUE"""),"Работа общественного транспорта ")</f>
        <v>Работа общественного транспорта </v>
      </c>
      <c r="AB789" s="6" t="str">
        <f>IFERROR(__xludf.DUMMYFUNCTION("""COMPUTED_VALUE"""),"Мероприятия для людей старшего поколения ")</f>
        <v>Мероприятия для людей старшего поколения </v>
      </c>
      <c r="AC789" s="6" t="str">
        <f>IFERROR(__xludf.DUMMYFUNCTION("""COMPUTED_VALUE"""),"Детские праздники ")</f>
        <v>Детские праздники </v>
      </c>
      <c r="AD789"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789" s="6" t="str">
        <f>IFERROR(__xludf.DUMMYFUNCTION("""COMPUTED_VALUE"""),"Женский")</f>
        <v>Женский</v>
      </c>
      <c r="AF789" s="6" t="str">
        <f>IFERROR(__xludf.DUMMYFUNCTION("""COMPUTED_VALUE"""),"30-44")</f>
        <v>30-44</v>
      </c>
      <c r="AG789" s="6"/>
      <c r="AH789" s="6"/>
      <c r="AI789" s="6"/>
      <c r="AJ789" s="6"/>
      <c r="AK789" s="6"/>
      <c r="AL789" s="6"/>
      <c r="AM789" s="6"/>
    </row>
    <row r="790">
      <c r="A790" s="6">
        <v>789.0</v>
      </c>
      <c r="B790" s="6" t="str">
        <f>IFERROR(__xludf.DUMMYFUNCTION("""COMPUTED_VALUE"""),"Футбол")</f>
        <v>Футбол</v>
      </c>
      <c r="C790" s="6" t="str">
        <f>IFERROR(__xludf.DUMMYFUNCTION("""COMPUTED_VALUE"""),"Собираю наклейки ""Несквик""")</f>
        <v>Собираю наклейки "Несквик"</v>
      </c>
      <c r="D790" s="6" t="str">
        <f>IFERROR(__xludf.DUMMYFUNCTION("""COMPUTED_VALUE"""),"Мичуринский 57 , общажный район")</f>
        <v>Мичуринский 57 , общажный район</v>
      </c>
      <c r="E790" s="6" t="str">
        <f>IFERROR(__xludf.DUMMYFUNCTION("""COMPUTED_VALUE"""),"Парк ""Ангелов""")</f>
        <v>Парк "Ангелов"</v>
      </c>
      <c r="F790" s="6" t="str">
        <f>IFERROR(__xludf.DUMMYFUNCTION("""COMPUTED_VALUE"""),"Переехал сюда из другого места (откуда? укажите в графе другое), Ленинск-кузнецкий ")</f>
        <v>Переехал сюда из другого места (откуда? укажите в графе другое), Ленинск-кузнецкий </v>
      </c>
      <c r="G790" s="6" t="str">
        <f>IFERROR(__xludf.DUMMYFUNCTION("""COMPUTED_VALUE"""),"На любое свободное футбольное поле города")</f>
        <v>На любое свободное футбольное поле города</v>
      </c>
      <c r="H790" s="6" t="str">
        <f>IFERROR(__xludf.DUMMYFUNCTION("""COMPUTED_VALUE"""),"Студенты, набережная, свободные дороги, спорт, иностранцы ")</f>
        <v>Студенты, набережная, свободные дороги, спорт, иностранцы </v>
      </c>
      <c r="I790" s="6" t="str">
        <f>IFERROR(__xludf.DUMMYFUNCTION("""COMPUTED_VALUE"""),"Тулеев, Волков, Жуков")</f>
        <v>Тулеев, Волков, Жуков</v>
      </c>
      <c r="J790" s="6" t="str">
        <f>IFERROR(__xludf.DUMMYFUNCTION("""COMPUTED_VALUE"""),"Ленин, Дзержинский, Тулеев")</f>
        <v>Ленин, Дзержинский, Тулеев</v>
      </c>
      <c r="K790" s="6" t="str">
        <f>IFERROR(__xludf.DUMMYFUNCTION("""COMPUTED_VALUE"""),"Парк ""Ангелов"" и набережная ")</f>
        <v>Парк "Ангелов" и набережная </v>
      </c>
      <c r="L790" s="6" t="str">
        <f>IFERROR(__xludf.DUMMYFUNCTION("""COMPUTED_VALUE"""),"-")</f>
        <v>-</v>
      </c>
      <c r="M790" s="6" t="str">
        <f>IFERROR(__xludf.DUMMYFUNCTION("""COMPUTED_VALUE"""),"Семёрка , ")</f>
        <v>Семёрка , </v>
      </c>
      <c r="N790" s="6" t="str">
        <f>IFERROR(__xludf.DUMMYFUNCTION("""COMPUTED_VALUE"""),"Доступность, удобность, чистота , наличие парков,скверов, и т.д")</f>
        <v>Доступность, удобность, чистота , наличие парков,скверов, и т.д</v>
      </c>
      <c r="O790" s="6" t="str">
        <f>IFERROR(__xludf.DUMMYFUNCTION("""COMPUTED_VALUE"""),"Инфраструктуру ")</f>
        <v>Инфраструктуру </v>
      </c>
      <c r="P790" s="6" t="str">
        <f>IFERROR(__xludf.DUMMYFUNCTION("""COMPUTED_VALUE"""),"Вк, телега")</f>
        <v>Вк, телега</v>
      </c>
      <c r="Q79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790" s="6" t="str">
        <f>IFERROR(__xludf.DUMMYFUNCTION("""COMPUTED_VALUE"""),"
9 мая , Новый год")</f>
        <v>
9 мая , Новый год</v>
      </c>
      <c r="S790" s="6" t="str">
        <f>IFERROR(__xludf.DUMMYFUNCTION("""COMPUTED_VALUE"""),"Нет, не приходилось")</f>
        <v>Нет, не приходилось</v>
      </c>
      <c r="T790" s="6" t="str">
        <f>IFERROR(__xludf.DUMMYFUNCTION("""COMPUTED_VALUE"""),"Различные парки ")</f>
        <v>Различные парки </v>
      </c>
      <c r="U790" s="6" t="str">
        <f>IFERROR(__xludf.DUMMYFUNCTION("""COMPUTED_VALUE"""),"Набережная ")</f>
        <v>Набережная </v>
      </c>
      <c r="V790" s="6" t="str">
        <f>IFERROR(__xludf.DUMMYFUNCTION("""COMPUTED_VALUE"""),"Преобразовали город ")</f>
        <v>Преобразовали город </v>
      </c>
      <c r="W790" s="6" t="str">
        <f>IFERROR(__xludf.DUMMYFUNCTION("""COMPUTED_VALUE"""),"Более добрые и воспитанные ")</f>
        <v>Более добрые и воспитанные </v>
      </c>
      <c r="X790" s="6" t="str">
        <f>IFERROR(__xludf.DUMMYFUNCTION("""COMPUTED_VALUE"""),"По центру города, вдоль набережной ")</f>
        <v>По центру города, вдоль набережной </v>
      </c>
      <c r="Y790" s="6" t="str">
        <f>IFERROR(__xludf.DUMMYFUNCTION("""COMPUTED_VALUE"""),"Вернули ВУЦ в Кузгту")</f>
        <v>Вернули ВУЦ в Кузгту</v>
      </c>
      <c r="Z790" s="6" t="str">
        <f>IFERROR(__xludf.DUMMYFUNCTION("""COMPUTED_VALUE"""),"9 мая ")</f>
        <v>9 мая </v>
      </c>
      <c r="AA790" s="6" t="str">
        <f>IFERROR(__xludf.DUMMYFUNCTION("""COMPUTED_VALUE"""),"Митинги ")</f>
        <v>Митинги </v>
      </c>
      <c r="AB790" s="6" t="str">
        <f>IFERROR(__xludf.DUMMYFUNCTION("""COMPUTED_VALUE"""),"Кудьтурно-оздоровительных ")</f>
        <v>Кудьтурно-оздоровительных </v>
      </c>
      <c r="AC790" s="6" t="str">
        <f>IFERROR(__xludf.DUMMYFUNCTION("""COMPUTED_VALUE"""),"Бесплатные концерты ")</f>
        <v>Бесплатные концерты </v>
      </c>
      <c r="AD790" s="6" t="str">
        <f>IFERROR(__xludf.DUMMYFUNCTION("""COMPUTED_VALUE"""),"Не готов принимать личное участие (укажите, пожалуйста, причину в поле «Другое»), Нет, делания ")</f>
        <v>Не готов принимать личное участие (укажите, пожалуйста, причину в поле «Другое»), Нет, делания </v>
      </c>
      <c r="AE790" s="6" t="str">
        <f>IFERROR(__xludf.DUMMYFUNCTION("""COMPUTED_VALUE"""),"Мужской")</f>
        <v>Мужской</v>
      </c>
      <c r="AF790" s="6" t="str">
        <f>IFERROR(__xludf.DUMMYFUNCTION("""COMPUTED_VALUE"""),"18-29")</f>
        <v>18-29</v>
      </c>
      <c r="AG790" s="6"/>
      <c r="AH790" s="6"/>
      <c r="AI790" s="6"/>
      <c r="AJ790" s="6"/>
      <c r="AK790" s="6"/>
      <c r="AL790" s="6"/>
      <c r="AM790" s="6"/>
    </row>
    <row r="791">
      <c r="A791" s="6">
        <v>790.0</v>
      </c>
      <c r="B791" s="6" t="str">
        <f>IFERROR(__xludf.DUMMYFUNCTION("""COMPUTED_VALUE"""),"Работаю в сфере образования")</f>
        <v>Работаю в сфере образования</v>
      </c>
      <c r="C791" s="6" t="str">
        <f>IFERROR(__xludf.DUMMYFUNCTION("""COMPUTED_VALUE"""),"чтение")</f>
        <v>чтение</v>
      </c>
      <c r="D791" s="6" t="str">
        <f>IFERROR(__xludf.DUMMYFUNCTION("""COMPUTED_VALUE"""),"заводской")</f>
        <v>заводской</v>
      </c>
      <c r="E791" s="6" t="str">
        <f>IFERROR(__xludf.DUMMYFUNCTION("""COMPUTED_VALUE"""),"комсомольский парк")</f>
        <v>комсомольский парк</v>
      </c>
      <c r="F791" s="6" t="str">
        <f>IFERROR(__xludf.DUMMYFUNCTION("""COMPUTED_VALUE"""),"Живу здесь с рождения")</f>
        <v>Живу здесь с рождения</v>
      </c>
      <c r="G791" s="6" t="str">
        <f>IFERROR(__xludf.DUMMYFUNCTION("""COMPUTED_VALUE"""),"парки города, ТЦ")</f>
        <v>парки города, ТЦ</v>
      </c>
      <c r="H791" s="6" t="str">
        <f>IFERROR(__xludf.DUMMYFUNCTION("""COMPUTED_VALUE"""),"отвратительные дороги в ямах, снег, утки, коньки, фонтаны")</f>
        <v>отвратительные дороги в ямах, снег, утки, коньки, фонтаны</v>
      </c>
      <c r="I791" s="6" t="str">
        <f>IFERROR(__xludf.DUMMYFUNCTION("""COMPUTED_VALUE"""),"Леонов")</f>
        <v>Леонов</v>
      </c>
      <c r="J791" s="6" t="str">
        <f>IFERROR(__xludf.DUMMYFUNCTION("""COMPUTED_VALUE"""),"Гришковец ,Тулеев, Цивилев")</f>
        <v>Гришковец ,Тулеев, Цивилев</v>
      </c>
      <c r="K791" s="6" t="str">
        <f>IFERROR(__xludf.DUMMYFUNCTION("""COMPUTED_VALUE"""),"Набережная, смотровая площадка на красной горке, парк чудес, сосновый бор, парк Ангелов , елка за 18 миллионов")</f>
        <v>Набережная, смотровая площадка на красной горке, парк чудес, сосновый бор, парк Ангелов , елка за 18 миллионов</v>
      </c>
      <c r="L791" s="6" t="str">
        <f>IFERROR(__xludf.DUMMYFUNCTION("""COMPUTED_VALUE"""),"не знаю")</f>
        <v>не знаю</v>
      </c>
      <c r="M791" s="6" t="str">
        <f>IFERROR(__xludf.DUMMYFUNCTION("""COMPUTED_VALUE"""),"мультифора")</f>
        <v>мультифора</v>
      </c>
      <c r="N791" s="6" t="str">
        <f>IFERROR(__xludf.DUMMYFUNCTION("""COMPUTED_VALUE"""),"чистота, наличие парков и парковых зон, родные люди, развитие жилищного строительства, облагораживание территорий общественного посещения")</f>
        <v>чистота, наличие парков и парковых зон, родные люди, развитие жилищного строительства, облагораживание территорий общественного посещения</v>
      </c>
      <c r="O791" s="6" t="str">
        <f>IFERROR(__xludf.DUMMYFUNCTION("""COMPUTED_VALUE"""),"продлить вечернее время движения общественного транспорта, починить дороги, озеленить город, построить бассейн или аквапарк, развить сеть велосипедных дорог, расширение парковочных зон для автомобилей")</f>
        <v>продлить вечернее время движения общественного транспорта, починить дороги, озеленить город, построить бассейн или аквапарк, развить сеть велосипедных дорог, расширение парковочных зон для автомобилей</v>
      </c>
      <c r="P791" s="6" t="str">
        <f>IFERROR(__xludf.DUMMYFUNCTION("""COMPUTED_VALUE"""),"инстаграм")</f>
        <v>инстаграм</v>
      </c>
      <c r="Q791"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791" s="6" t="str">
        <f>IFERROR(__xludf.DUMMYFUNCTION("""COMPUTED_VALUE"""),"9 мая, день шахтеров, день города")</f>
        <v>9 мая, день шахтеров, день города</v>
      </c>
      <c r="S791" s="6" t="str">
        <f>IFERROR(__xludf.DUMMYFUNCTION("""COMPUTED_VALUE"""),"Через социальные сети (Какие? Укажите в графе другое), Делал рассылку по электронной почте, инстаграм, вКонтакте")</f>
        <v>Через социальные сети (Какие? Укажите в графе другое), Делал рассылку по электронной почте, инстаграм, вКонтакте</v>
      </c>
      <c r="T791" s="6" t="str">
        <f>IFERROR(__xludf.DUMMYFUNCTION("""COMPUTED_VALUE"""),"Зимняя вишня, город шахтеров")</f>
        <v>Зимняя вишня, город шахтеров</v>
      </c>
      <c r="U791" s="6" t="str">
        <f>IFERROR(__xludf.DUMMYFUNCTION("""COMPUTED_VALUE"""),"Набережная, площадь Советов, парк Ангелов")</f>
        <v>Набережная, площадь Советов, парк Ангелов</v>
      </c>
      <c r="V791" s="6" t="str">
        <f>IFERROR(__xludf.DUMMYFUNCTION("""COMPUTED_VALUE"""),"построили город, облагородили его, развивают его инфраструктуру")</f>
        <v>построили город, облагородили его, развивают его инфраструктуру</v>
      </c>
      <c r="W791" s="6" t="str">
        <f>IFERROR(__xludf.DUMMYFUNCTION("""COMPUTED_VALUE"""),"активные, требовательные, общительные")</f>
        <v>активные, требовательные, общительные</v>
      </c>
      <c r="X791" s="6" t="str">
        <f>IFERROR(__xludf.DUMMYFUNCTION("""COMPUTED_VALUE"""),"Набережная, смотровая площадка на красной горке, парк чудес, сосновый бор, парк Ангелов , елка за 18 миллионов")</f>
        <v>Набережная, смотровая площадка на красной горке, парк чудес, сосновый бор, парк Ангелов , елка за 18 миллионов</v>
      </c>
      <c r="Y791" s="6" t="str">
        <f>IFERROR(__xludf.DUMMYFUNCTION("""COMPUTED_VALUE"""),"рок фестиваль, трагедия Зимней вишни, покупка городской елки")</f>
        <v>рок фестиваль, трагедия Зимней вишни, покупка городской елки</v>
      </c>
      <c r="Z791" s="6" t="str">
        <f>IFERROR(__xludf.DUMMYFUNCTION("""COMPUTED_VALUE"""),"строительство президентского кадетского училища")</f>
        <v>строительство президентского кадетского училища</v>
      </c>
      <c r="AA791" s="6" t="str">
        <f>IFERROR(__xludf.DUMMYFUNCTION("""COMPUTED_VALUE"""),"вырубка соснового бора, загрязнение реки Томь, недостроенное кафе на набережной, которое портит вид")</f>
        <v>вырубка соснового бора, загрязнение реки Томь, недостроенное кафе на набережной, которое портит вид</v>
      </c>
      <c r="AB791" s="6" t="str">
        <f>IFERROR(__xludf.DUMMYFUNCTION("""COMPUTED_VALUE"""),"сообщество любителей играть в настольные игры")</f>
        <v>сообщество любителей играть в настольные игры</v>
      </c>
      <c r="AC791" s="6" t="str">
        <f>IFERROR(__xludf.DUMMYFUNCTION("""COMPUTED_VALUE"""),"музыкальные фестивали,общегородские праздники")</f>
        <v>музыкальные фестивали,общегородские праздники</v>
      </c>
      <c r="AD79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91" s="6" t="str">
        <f>IFERROR(__xludf.DUMMYFUNCTION("""COMPUTED_VALUE"""),"Женский")</f>
        <v>Женский</v>
      </c>
      <c r="AF791" s="6" t="str">
        <f>IFERROR(__xludf.DUMMYFUNCTION("""COMPUTED_VALUE"""),"18-29")</f>
        <v>18-29</v>
      </c>
      <c r="AG791" s="6"/>
      <c r="AH791" s="6"/>
      <c r="AI791" s="6"/>
      <c r="AJ791" s="6"/>
      <c r="AK791" s="6"/>
      <c r="AL791" s="6"/>
      <c r="AM791" s="6"/>
    </row>
    <row r="792">
      <c r="A792" s="6">
        <v>791.0</v>
      </c>
      <c r="B792" s="6" t="str">
        <f>IFERROR(__xludf.DUMMYFUNCTION("""COMPUTED_VALUE"""),"Студент ")</f>
        <v>Студент </v>
      </c>
      <c r="C792" s="6" t="str">
        <f>IFERROR(__xludf.DUMMYFUNCTION("""COMPUTED_VALUE"""),"Рукаделие")</f>
        <v>Рукаделие</v>
      </c>
      <c r="D792" s="6" t="str">
        <f>IFERROR(__xludf.DUMMYFUNCTION("""COMPUTED_VALUE"""),"Центральный ")</f>
        <v>Центральный </v>
      </c>
      <c r="E792" s="6" t="str">
        <f>IFERROR(__xludf.DUMMYFUNCTION("""COMPUTED_VALUE"""),"Парк ангелов ")</f>
        <v>Парк ангелов </v>
      </c>
      <c r="F792" s="6" t="str">
        <f>IFERROR(__xludf.DUMMYFUNCTION("""COMPUTED_VALUE"""),"Родился здесь,но сейчас живу в другом городе, Не живу,но приезжаю сюда (к родственникам/друзьям)")</f>
        <v>Родился здесь,но сейчас живу в другом городе, Не живу,но приезжаю сюда (к родственникам/друзьям)</v>
      </c>
      <c r="G792" s="6" t="str">
        <f>IFERROR(__xludf.DUMMYFUNCTION("""COMPUTED_VALUE"""),"Тц")</f>
        <v>Тц</v>
      </c>
      <c r="H792" s="6" t="str">
        <f>IFERROR(__xludf.DUMMYFUNCTION("""COMPUTED_VALUE"""),"Тц, парки")</f>
        <v>Тц, парки</v>
      </c>
      <c r="I792" s="6" t="str">
        <f>IFERROR(__xludf.DUMMYFUNCTION("""COMPUTED_VALUE"""),". ")</f>
        <v>. </v>
      </c>
      <c r="J792" s="6" t="str">
        <f>IFERROR(__xludf.DUMMYFUNCTION("""COMPUTED_VALUE"""),". ")</f>
        <v>. </v>
      </c>
      <c r="K792" s="6" t="str">
        <f>IFERROR(__xludf.DUMMYFUNCTION("""COMPUTED_VALUE"""),"Гор сад, парк ангелов ")</f>
        <v>Гор сад, парк ангелов </v>
      </c>
      <c r="L792" s="6" t="str">
        <f>IFERROR(__xludf.DUMMYFUNCTION("""COMPUTED_VALUE"""),". ")</f>
        <v>. </v>
      </c>
      <c r="M792" s="6" t="str">
        <f>IFERROR(__xludf.DUMMYFUNCTION("""COMPUTED_VALUE"""),"Мультифора")</f>
        <v>Мультифора</v>
      </c>
      <c r="N792" s="6" t="str">
        <f>IFERROR(__xludf.DUMMYFUNCTION("""COMPUTED_VALUE"""),"Хорошая экология")</f>
        <v>Хорошая экология</v>
      </c>
      <c r="O792" s="6" t="str">
        <f>IFERROR(__xludf.DUMMYFUNCTION("""COMPUTED_VALUE"""),"Чистота")</f>
        <v>Чистота</v>
      </c>
      <c r="P792" s="6" t="str">
        <f>IFERROR(__xludf.DUMMYFUNCTION("""COMPUTED_VALUE"""),"Инстаграм")</f>
        <v>Инстаграм</v>
      </c>
      <c r="Q792"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куда пойти в свободное время, где вкусно поесть/открытие новых кафе/ресторанов,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792" s="6" t="str">
        <f>IFERROR(__xludf.DUMMYFUNCTION("""COMPUTED_VALUE"""),"День шахтёра, день защиты детей, 9 мая ")</f>
        <v>День шахтёра, день защиты детей, 9 мая </v>
      </c>
      <c r="S792" s="6" t="str">
        <f>IFERROR(__xludf.DUMMYFUNCTION("""COMPUTED_VALUE"""),"Нет, не приходилось")</f>
        <v>Нет, не приходилось</v>
      </c>
      <c r="T792" s="6" t="str">
        <f>IFERROR(__xludf.DUMMYFUNCTION("""COMPUTED_VALUE"""),"Сгоревшая зимняя вишня")</f>
        <v>Сгоревшая зимняя вишня</v>
      </c>
      <c r="U792" s="6" t="str">
        <f>IFERROR(__xludf.DUMMYFUNCTION("""COMPUTED_VALUE"""),". ")</f>
        <v>. </v>
      </c>
      <c r="V792" s="6" t="str">
        <f>IFERROR(__xludf.DUMMYFUNCTION("""COMPUTED_VALUE"""),". ")</f>
        <v>. </v>
      </c>
      <c r="W792" s="6" t="str">
        <f>IFERROR(__xludf.DUMMYFUNCTION("""COMPUTED_VALUE"""),"Занятые люди")</f>
        <v>Занятые люди</v>
      </c>
      <c r="X792" s="6" t="str">
        <f>IFERROR(__xludf.DUMMYFUNCTION("""COMPUTED_VALUE"""),". ")</f>
        <v>. </v>
      </c>
      <c r="Y792" s="6" t="str">
        <f>IFERROR(__xludf.DUMMYFUNCTION("""COMPUTED_VALUE"""),"Митинг")</f>
        <v>Митинг</v>
      </c>
      <c r="Z792" s="6" t="str">
        <f>IFERROR(__xludf.DUMMYFUNCTION("""COMPUTED_VALUE"""),"Митинг ")</f>
        <v>Митинг </v>
      </c>
      <c r="AA792" s="6" t="str">
        <f>IFERROR(__xludf.DUMMYFUNCTION("""COMPUTED_VALUE"""),". ")</f>
        <v>. </v>
      </c>
      <c r="AB792" s="6" t="str">
        <f>IFERROR(__xludf.DUMMYFUNCTION("""COMPUTED_VALUE"""),". ")</f>
        <v>. </v>
      </c>
      <c r="AC792" s="6" t="str">
        <f>IFERROR(__xludf.DUMMYFUNCTION("""COMPUTED_VALUE"""),"Прогулочные места ")</f>
        <v>Прогулочные места </v>
      </c>
      <c r="AD79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92" s="6" t="str">
        <f>IFERROR(__xludf.DUMMYFUNCTION("""COMPUTED_VALUE"""),"Женский")</f>
        <v>Женский</v>
      </c>
      <c r="AF792" s="6" t="str">
        <f>IFERROR(__xludf.DUMMYFUNCTION("""COMPUTED_VALUE"""),"18-29")</f>
        <v>18-29</v>
      </c>
      <c r="AG792" s="6"/>
      <c r="AH792" s="6"/>
      <c r="AI792" s="6"/>
      <c r="AJ792" s="6"/>
      <c r="AK792" s="6"/>
      <c r="AL792" s="6"/>
      <c r="AM792" s="6"/>
    </row>
    <row r="793">
      <c r="A793" s="6">
        <v>792.0</v>
      </c>
      <c r="B793" s="6" t="str">
        <f>IFERROR(__xludf.DUMMYFUNCTION("""COMPUTED_VALUE"""),"Студент")</f>
        <v>Студент</v>
      </c>
      <c r="C793" s="6" t="str">
        <f>IFERROR(__xludf.DUMMYFUNCTION("""COMPUTED_VALUE"""),"Занимаюсь танцами")</f>
        <v>Занимаюсь танцами</v>
      </c>
      <c r="D793" s="6" t="str">
        <f>IFERROR(__xludf.DUMMYFUNCTION("""COMPUTED_VALUE"""),"В Кировском районе")</f>
        <v>В Кировском районе</v>
      </c>
      <c r="E793" s="6" t="str">
        <f>IFERROR(__xludf.DUMMYFUNCTION("""COMPUTED_VALUE"""),"Дк содружества, памятник Алёше")</f>
        <v>Дк содружества, памятник Алёше</v>
      </c>
      <c r="F793" s="6" t="str">
        <f>IFERROR(__xludf.DUMMYFUNCTION("""COMPUTED_VALUE"""),"Живу здесь с рождения")</f>
        <v>Живу здесь с рождения</v>
      </c>
      <c r="G793" s="6" t="str">
        <f>IFERROR(__xludf.DUMMYFUNCTION("""COMPUTED_VALUE"""),"На набережную, в различные парки")</f>
        <v>На набережную, в различные парки</v>
      </c>
      <c r="H793" s="6" t="str">
        <f>IFERROR(__xludf.DUMMYFUNCTION("""COMPUTED_VALUE"""),"Процветающий, красивый ")</f>
        <v>Процветающий, красивый </v>
      </c>
      <c r="I793" s="6" t="str">
        <f>IFERROR(__xludf.DUMMYFUNCTION("""COMPUTED_VALUE"""),"Михайло Волков, Алексей Леонов")</f>
        <v>Михайло Волков, Алексей Леонов</v>
      </c>
      <c r="J793" s="6" t="str">
        <f>IFERROR(__xludf.DUMMYFUNCTION("""COMPUTED_VALUE"""),"Аман Гумирович Тулеев")</f>
        <v>Аман Гумирович Тулеев</v>
      </c>
      <c r="K793" s="6" t="str">
        <f>IFERROR(__xludf.DUMMYFUNCTION("""COMPUTED_VALUE"""),"Парк победы, парк ангелов, парк чудес, памятник шахтёра, красная горка")</f>
        <v>Парк победы, парк ангелов, парк чудес, памятник шахтёра, красная горка</v>
      </c>
      <c r="L793" s="6" t="str">
        <f>IFERROR(__xludf.DUMMYFUNCTION("""COMPUTED_VALUE"""),"Не работа сушит, а забота")</f>
        <v>Не работа сушит, а забота</v>
      </c>
      <c r="M793" s="6" t="str">
        <f>IFERROR(__xludf.DUMMYFUNCTION("""COMPUTED_VALUE"""),"Нет")</f>
        <v>Нет</v>
      </c>
      <c r="N793" s="6" t="str">
        <f>IFERROR(__xludf.DUMMYFUNCTION("""COMPUTED_VALUE"""),"Красота города, освещённость, безопасность, наличие зелёных зон")</f>
        <v>Красота города, освещённость, безопасность, наличие зелёных зон</v>
      </c>
      <c r="O793" s="6" t="str">
        <f>IFERROR(__xludf.DUMMYFUNCTION("""COMPUTED_VALUE"""),"Увеличить количество мусорок")</f>
        <v>Увеличить количество мусорок</v>
      </c>
      <c r="P793" s="6" t="str">
        <f>IFERROR(__xludf.DUMMYFUNCTION("""COMPUTED_VALUE"""),"Из интернета на сайте: VSE.42")</f>
        <v>Из интернета на сайте: VSE.42</v>
      </c>
      <c r="Q793"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793" s="6" t="str">
        <f>IFERROR(__xludf.DUMMYFUNCTION("""COMPUTED_VALUE"""),"День города, день шахтера")</f>
        <v>День города, день шахтера</v>
      </c>
      <c r="S793" s="6" t="str">
        <f>IFERROR(__xludf.DUMMYFUNCTION("""COMPUTED_VALUE"""),"Нет, не приходилось, Писал и расклеивал объявления/афиши")</f>
        <v>Нет, не приходилось, Писал и расклеивал объявления/афиши</v>
      </c>
      <c r="T793" s="6" t="str">
        <f>IFERROR(__xludf.DUMMYFUNCTION("""COMPUTED_VALUE"""),"Добыча угля столица Кузбасса")</f>
        <v>Добыча угля столица Кузбасса</v>
      </c>
      <c r="U793" s="6" t="str">
        <f>IFERROR(__xludf.DUMMYFUNCTION("""COMPUTED_VALUE"""),"Уголь")</f>
        <v>Уголь</v>
      </c>
      <c r="V793" s="6" t="str">
        <f>IFERROR(__xludf.DUMMYFUNCTION("""COMPUTED_VALUE"""),"Участие в Великой Отечественной войне")</f>
        <v>Участие в Великой Отечественной войне</v>
      </c>
      <c r="W793" s="6" t="str">
        <f>IFERROR(__xludf.DUMMYFUNCTION("""COMPUTED_VALUE"""),"Злые")</f>
        <v>Злые</v>
      </c>
      <c r="X793" s="6" t="str">
        <f>IFERROR(__xludf.DUMMYFUNCTION("""COMPUTED_VALUE"""),"С вокзала до парка чудес ")</f>
        <v>С вокзала до парка чудес </v>
      </c>
      <c r="Y793" s="6" t="str">
        <f>IFERROR(__xludf.DUMMYFUNCTION("""COMPUTED_VALUE"""),"Найден первый горючий уголь")</f>
        <v>Найден первый горючий уголь</v>
      </c>
      <c r="Z793" s="6" t="str">
        <f>IFERROR(__xludf.DUMMYFUNCTION("""COMPUTED_VALUE"""),"День города ")</f>
        <v>День города </v>
      </c>
      <c r="AA793" s="6" t="str">
        <f>IFERROR(__xludf.DUMMYFUNCTION("""COMPUTED_VALUE"""),"Митинг")</f>
        <v>Митинг</v>
      </c>
      <c r="AB793" s="6" t="str">
        <f>IFERROR(__xludf.DUMMYFUNCTION("""COMPUTED_VALUE"""),"Не хватает детских площадок")</f>
        <v>Не хватает детских площадок</v>
      </c>
      <c r="AC793" s="6" t="str">
        <f>IFERROR(__xludf.DUMMYFUNCTION("""COMPUTED_VALUE"""),"Больше развлекательных программ для детей")</f>
        <v>Больше развлекательных программ для детей</v>
      </c>
      <c r="AD793"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793" s="6" t="str">
        <f>IFERROR(__xludf.DUMMYFUNCTION("""COMPUTED_VALUE"""),"Женский")</f>
        <v>Женский</v>
      </c>
      <c r="AF793" s="6" t="str">
        <f>IFERROR(__xludf.DUMMYFUNCTION("""COMPUTED_VALUE"""),"18-29")</f>
        <v>18-29</v>
      </c>
      <c r="AG793" s="6"/>
      <c r="AH793" s="6"/>
      <c r="AI793" s="6"/>
      <c r="AJ793" s="6"/>
      <c r="AK793" s="6"/>
      <c r="AL793" s="6"/>
      <c r="AM793" s="6"/>
    </row>
    <row r="794">
      <c r="A794" s="6">
        <v>793.0</v>
      </c>
      <c r="B794" s="6" t="str">
        <f>IFERROR(__xludf.DUMMYFUNCTION("""COMPUTED_VALUE"""),"Руководитель")</f>
        <v>Руководитель</v>
      </c>
      <c r="C794" s="6" t="str">
        <f>IFERROR(__xludf.DUMMYFUNCTION("""COMPUTED_VALUE"""),"Шитье, дача")</f>
        <v>Шитье, дача</v>
      </c>
      <c r="D794" s="6" t="str">
        <f>IFERROR(__xludf.DUMMYFUNCTION("""COMPUTED_VALUE"""),"Лесная поляна, поляна")</f>
        <v>Лесная поляна, поляна</v>
      </c>
      <c r="E794" s="6" t="str">
        <f>IFERROR(__xludf.DUMMYFUNCTION("""COMPUTED_VALUE"""),"Тайга")</f>
        <v>Тайга</v>
      </c>
      <c r="F794" s="6" t="str">
        <f>IFERROR(__xludf.DUMMYFUNCTION("""COMPUTED_VALUE"""),"Переехал сюда из другого места (откуда? укажите в графе другое), ТОПКИ")</f>
        <v>Переехал сюда из другого места (откуда? укажите в графе другое), ТОПКИ</v>
      </c>
      <c r="G794" s="6" t="str">
        <f>IFERROR(__xludf.DUMMYFUNCTION("""COMPUTED_VALUE"""),"Бор, парки")</f>
        <v>Бор, парки</v>
      </c>
      <c r="H794" s="6" t="str">
        <f>IFERROR(__xludf.DUMMYFUNCTION("""COMPUTED_VALUE"""),"-")</f>
        <v>-</v>
      </c>
      <c r="I794" s="6" t="str">
        <f>IFERROR(__xludf.DUMMYFUNCTION("""COMPUTED_VALUE"""),"Леонов")</f>
        <v>Леонов</v>
      </c>
      <c r="J794" s="6" t="str">
        <f>IFERROR(__xludf.DUMMYFUNCTION("""COMPUTED_VALUE"""),"Давыдова Наталья Мизайловна, волонтер")</f>
        <v>Давыдова Наталья Мизайловна, волонтер</v>
      </c>
      <c r="K794" s="6" t="str">
        <f>IFERROR(__xludf.DUMMYFUNCTION("""COMPUTED_VALUE"""),"Нет таких мест")</f>
        <v>Нет таких мест</v>
      </c>
      <c r="L794" s="6" t="str">
        <f>IFERROR(__xludf.DUMMYFUNCTION("""COMPUTED_VALUE"""),"Хлеб - всему голова")</f>
        <v>Хлеб - всему голова</v>
      </c>
      <c r="M794" s="6" t="str">
        <f>IFERROR(__xludf.DUMMYFUNCTION("""COMPUTED_VALUE"""),"Исть (кушать) ")</f>
        <v>Исть (кушать) </v>
      </c>
      <c r="N794" s="6" t="str">
        <f>IFERROR(__xludf.DUMMYFUNCTION("""COMPUTED_VALUE"""),"Доступность транспорта, отсутствие пробок, много зеленых зон, а не только торговые центры")</f>
        <v>Доступность транспорта, отсутствие пробок, много зеленых зон, а не только торговые центры</v>
      </c>
      <c r="O794" s="6" t="str">
        <f>IFERROR(__xludf.DUMMYFUNCTION("""COMPUTED_VALUE"""),"Сильная плотность построек, сделать дворы шире и засодить деревьями ")</f>
        <v>Сильная плотность построек, сделать дворы шире и засодить деревьями </v>
      </c>
      <c r="P794" s="6" t="str">
        <f>IFERROR(__xludf.DUMMYFUNCTION("""COMPUTED_VALUE"""),"Нрвости гтрк")</f>
        <v>Нрвости гтрк</v>
      </c>
      <c r="Q794"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794" s="6" t="str">
        <f>IFERROR(__xludf.DUMMYFUNCTION("""COMPUTED_VALUE"""),"День шахтера, новый год, спас яблочный и медовый, пасха, масленница, иван купало")</f>
        <v>День шахтера, новый год, спас яблочный и медовый, пасха, масленница, иван купало</v>
      </c>
      <c r="S794" s="6" t="str">
        <f>IFERROR(__xludf.DUMMYFUNCTION("""COMPUTED_VALUE"""),"Нет, не приходилось")</f>
        <v>Нет, не приходилось</v>
      </c>
      <c r="T794" s="6" t="str">
        <f>IFERROR(__xludf.DUMMYFUNCTION("""COMPUTED_VALUE"""),"Уголь, сел. Хозяйство, природа")</f>
        <v>Уголь, сел. Хозяйство, природа</v>
      </c>
      <c r="U794" s="6" t="str">
        <f>IFERROR(__xludf.DUMMYFUNCTION("""COMPUTED_VALUE"""),"Весенняя улица, цирк, кузбасский парк")</f>
        <v>Весенняя улица, цирк, кузбасский парк</v>
      </c>
      <c r="V794" s="6" t="str">
        <f>IFERROR(__xludf.DUMMYFUNCTION("""COMPUTED_VALUE"""),"Застроили почти все свободные площади либо домами либо магазинами")</f>
        <v>Застроили почти все свободные площади либо домами либо магазинами</v>
      </c>
      <c r="W794" s="6" t="str">
        <f>IFERROR(__xludf.DUMMYFUNCTION("""COMPUTED_VALUE"""),"Отзывчивые, коммуникабельные, добрыепо")</f>
        <v>Отзывчивые, коммуникабельные, добрыепо</v>
      </c>
      <c r="X794" s="6" t="str">
        <f>IFERROR(__xludf.DUMMYFUNCTION("""COMPUTED_VALUE"""),"Набережная и весеняя улица")</f>
        <v>Набережная и весеняя улица</v>
      </c>
      <c r="Y794" s="6" t="str">
        <f>IFERROR(__xludf.DUMMYFUNCTION("""COMPUTED_VALUE"""),"-")</f>
        <v>-</v>
      </c>
      <c r="Z794" s="6" t="str">
        <f>IFERROR(__xludf.DUMMYFUNCTION("""COMPUTED_VALUE"""),"Ни какие")</f>
        <v>Ни какие</v>
      </c>
      <c r="AA794" s="6" t="str">
        <f>IFERROR(__xludf.DUMMYFUNCTION("""COMPUTED_VALUE"""),"Пожар в зимней вишне")</f>
        <v>Пожар в зимней вишне</v>
      </c>
      <c r="AB794" s="6" t="str">
        <f>IFERROR(__xludf.DUMMYFUNCTION("""COMPUTED_VALUE"""),"-")</f>
        <v>-</v>
      </c>
      <c r="AC794" s="6" t="str">
        <f>IFERROR(__xludf.DUMMYFUNCTION("""COMPUTED_VALUE"""),"Не люблю большие скопления ")</f>
        <v>Не люблю большие скопления </v>
      </c>
      <c r="AD794"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794" s="6" t="str">
        <f>IFERROR(__xludf.DUMMYFUNCTION("""COMPUTED_VALUE"""),"Женский")</f>
        <v>Женский</v>
      </c>
      <c r="AF794" s="6" t="str">
        <f>IFERROR(__xludf.DUMMYFUNCTION("""COMPUTED_VALUE"""),"30-44")</f>
        <v>30-44</v>
      </c>
      <c r="AG794" s="6"/>
      <c r="AH794" s="6"/>
      <c r="AI794" s="6"/>
      <c r="AJ794" s="6"/>
      <c r="AK794" s="6"/>
      <c r="AL794" s="6"/>
      <c r="AM794" s="6"/>
    </row>
    <row r="795">
      <c r="A795" s="6">
        <v>794.0</v>
      </c>
      <c r="B795" s="6" t="str">
        <f>IFERROR(__xludf.DUMMYFUNCTION("""COMPUTED_VALUE"""),"Студентка")</f>
        <v>Студентка</v>
      </c>
      <c r="C795" s="6" t="str">
        <f>IFERROR(__xludf.DUMMYFUNCTION("""COMPUTED_VALUE"""),"Анимешник")</f>
        <v>Анимешник</v>
      </c>
      <c r="D795" s="6" t="str">
        <f>IFERROR(__xludf.DUMMYFUNCTION("""COMPUTED_VALUE"""),"Заводский")</f>
        <v>Заводский</v>
      </c>
      <c r="E795" s="6" t="str">
        <f>IFERROR(__xludf.DUMMYFUNCTION("""COMPUTED_VALUE"""),"Парк Ангелов")</f>
        <v>Парк Ангелов</v>
      </c>
      <c r="F795" s="6" t="str">
        <f>IFERROR(__xludf.DUMMYFUNCTION("""COMPUTED_VALUE"""),"Переехал сюда из другого места (откуда? укажите в графе другое), Ленинск-Кузнецкий")</f>
        <v>Переехал сюда из другого места (откуда? укажите в графе другое), Ленинск-Кузнецкий</v>
      </c>
      <c r="G795" s="6" t="str">
        <f>IFERROR(__xludf.DUMMYFUNCTION("""COMPUTED_VALUE"""),"Burger King, DNS, читай-город")</f>
        <v>Burger King, DNS, читай-город</v>
      </c>
      <c r="H795" s="6" t="str">
        <f>IFERROR(__xludf.DUMMYFUNCTION("""COMPUTED_VALUE"""),"КузГТУ институт экономики и пятая общага")</f>
        <v>КузГТУ институт экономики и пятая общага</v>
      </c>
      <c r="I795" s="6" t="str">
        <f>IFERROR(__xludf.DUMMYFUNCTION("""COMPUTED_VALUE"""),"Волошина")</f>
        <v>Волошина</v>
      </c>
      <c r="J795" s="6" t="str">
        <f>IFERROR(__xludf.DUMMYFUNCTION("""COMPUTED_VALUE"""),"Василенко Е.А.")</f>
        <v>Василенко Е.А.</v>
      </c>
      <c r="K795" s="6" t="str">
        <f>IFERROR(__xludf.DUMMYFUNCTION("""COMPUTED_VALUE"""),"Мичурина")</f>
        <v>Мичурина</v>
      </c>
      <c r="L795" s="6" t="str">
        <f>IFERROR(__xludf.DUMMYFUNCTION("""COMPUTED_VALUE"""),"Не знаю")</f>
        <v>Не знаю</v>
      </c>
      <c r="M795" s="6" t="str">
        <f>IFERROR(__xludf.DUMMYFUNCTION("""COMPUTED_VALUE"""),"Не бойся ножа, а бойся вилки, один удар - четыре дырки")</f>
        <v>Не бойся ножа, а бойся вилки, один удар - четыре дырки</v>
      </c>
      <c r="N795" s="6" t="str">
        <f>IFERROR(__xludf.DUMMYFUNCTION("""COMPUTED_VALUE"""),"Чистые улицы")</f>
        <v>Чистые улицы</v>
      </c>
      <c r="O795" s="6" t="str">
        <f>IFERROR(__xludf.DUMMYFUNCTION("""COMPUTED_VALUE"""),"🗿")</f>
        <v>🗿</v>
      </c>
      <c r="P795" s="6" t="str">
        <f>IFERROR(__xludf.DUMMYFUNCTION("""COMPUTED_VALUE"""),"Хожу на концерты кумиров, узнаю из их официальных сообществ ВК")</f>
        <v>Хожу на концерты кумиров, узнаю из их официальных сообществ ВК</v>
      </c>
      <c r="Q79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v>
      </c>
      <c r="R795" s="6" t="str">
        <f>IFERROR(__xludf.DUMMYFUNCTION("""COMPUTED_VALUE"""),"9 мая")</f>
        <v>9 мая</v>
      </c>
      <c r="S795" s="6" t="str">
        <f>IFERROR(__xludf.DUMMYFUNCTION("""COMPUTED_VALUE"""),"Делал рассылку по электронной почте, Обращался в редакции электронных городских СМИ, Обращался в редакции городских газет, телевидения, радио")</f>
        <v>Делал рассылку по электронной почте, Обращался в редакции электронных городских СМИ, Обращался в редакции городских газет, телевидения, радио</v>
      </c>
      <c r="T795" s="6" t="str">
        <f>IFERROR(__xludf.DUMMYFUNCTION("""COMPUTED_VALUE"""),"Зимняя Вишня, к сожалению")</f>
        <v>Зимняя Вишня, к сожалению</v>
      </c>
      <c r="U795" s="6" t="str">
        <f>IFERROR(__xludf.DUMMYFUNCTION("""COMPUTED_VALUE"""),"Парк Ангелов")</f>
        <v>Парк Ангелов</v>
      </c>
      <c r="V795" s="6" t="str">
        <f>IFERROR(__xludf.DUMMYFUNCTION("""COMPUTED_VALUE"""),"🗿")</f>
        <v>🗿</v>
      </c>
      <c r="W795" s="6" t="str">
        <f>IFERROR(__xludf.DUMMYFUNCTION("""COMPUTED_VALUE"""),"Отзывчивые")</f>
        <v>Отзывчивые</v>
      </c>
      <c r="X795" s="6" t="str">
        <f>IFERROR(__xludf.DUMMYFUNCTION("""COMPUTED_VALUE"""),"Автовокзал")</f>
        <v>Автовокзал</v>
      </c>
      <c r="Y795" s="6" t="str">
        <f>IFERROR(__xludf.DUMMYFUNCTION("""COMPUTED_VALUE"""),"Зимняя вишня")</f>
        <v>Зимняя вишня</v>
      </c>
      <c r="Z795" s="6" t="str">
        <f>IFERROR(__xludf.DUMMYFUNCTION("""COMPUTED_VALUE"""),"Новая дорога до межгорода к Ленинску-Кузнецкому")</f>
        <v>Новая дорога до межгорода к Ленинску-Кузнецкому</v>
      </c>
      <c r="AA795" s="6" t="str">
        <f>IFERROR(__xludf.DUMMYFUNCTION("""COMPUTED_VALUE"""),"Навальный")</f>
        <v>Навальный</v>
      </c>
      <c r="AB795" s="6" t="str">
        <f>IFERROR(__xludf.DUMMYFUNCTION("""COMPUTED_VALUE"""),"Burger King")</f>
        <v>Burger King</v>
      </c>
      <c r="AC795" s="6" t="str">
        <f>IFERROR(__xludf.DUMMYFUNCTION("""COMPUTED_VALUE"""),"Больше развлекательных мест и в принципе мест, куда можно сходить с друзьями и семьёй")</f>
        <v>Больше развлекательных мест и в принципе мест, куда можно сходить с друзьями и семьёй</v>
      </c>
      <c r="AD795" s="6" t="str">
        <f>IFERROR(__xludf.DUMMYFUNCTION("""COMPUTED_VALUE"""),"Волонтера: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795" s="6" t="str">
        <f>IFERROR(__xludf.DUMMYFUNCTION("""COMPUTED_VALUE"""),"Женский")</f>
        <v>Женский</v>
      </c>
      <c r="AF795" s="6" t="str">
        <f>IFERROR(__xludf.DUMMYFUNCTION("""COMPUTED_VALUE"""),"18-29")</f>
        <v>18-29</v>
      </c>
      <c r="AG795" s="6"/>
      <c r="AH795" s="6"/>
      <c r="AI795" s="6"/>
      <c r="AJ795" s="6"/>
      <c r="AK795" s="6"/>
      <c r="AL795" s="6"/>
      <c r="AM795" s="6"/>
    </row>
    <row r="796">
      <c r="A796" s="6">
        <v>795.0</v>
      </c>
      <c r="B796" s="6" t="str">
        <f>IFERROR(__xludf.DUMMYFUNCTION("""COMPUTED_VALUE"""),"Студент ")</f>
        <v>Студент </v>
      </c>
      <c r="C796" s="6" t="str">
        <f>IFERROR(__xludf.DUMMYFUNCTION("""COMPUTED_VALUE"""),"Саморазвитие")</f>
        <v>Саморазвитие</v>
      </c>
      <c r="D796" s="6" t="str">
        <f>IFERROR(__xludf.DUMMYFUNCTION("""COMPUTED_VALUE"""),"Центральный ")</f>
        <v>Центральный </v>
      </c>
      <c r="E796" s="6" t="str">
        <f>IFERROR(__xludf.DUMMYFUNCTION("""COMPUTED_VALUE"""),"Не знаю,сижу дома")</f>
        <v>Не знаю,сижу дома</v>
      </c>
      <c r="F796" s="6" t="str">
        <f>IFERROR(__xludf.DUMMYFUNCTION("""COMPUTED_VALUE"""),"Переехал сюда из другого места (откуда? укажите в графе другое), Из Липецка,где прожила год,а до этого всю жизнь в Казахстане.Переехала только из-за родителей в силу возраста")</f>
        <v>Переехал сюда из другого места (откуда? укажите в графе другое), Из Липецка,где прожила год,а до этого всю жизнь в Казахстане.Переехала только из-за родителей в силу возраста</v>
      </c>
      <c r="G796" s="6" t="str">
        <f>IFERROR(__xludf.DUMMYFUNCTION("""COMPUTED_VALUE"""),"Дома сижу ")</f>
        <v>Дома сижу </v>
      </c>
      <c r="H796" s="6" t="str">
        <f>IFERROR(__xludf.DUMMYFUNCTION("""COMPUTED_VALUE"""),"Не ассоциирую")</f>
        <v>Не ассоциирую</v>
      </c>
      <c r="I796" s="6" t="str">
        <f>IFERROR(__xludf.DUMMYFUNCTION("""COMPUTED_VALUE"""),"Не узнавала")</f>
        <v>Не узнавала</v>
      </c>
      <c r="J796" s="6" t="str">
        <f>IFERROR(__xludf.DUMMYFUNCTION("""COMPUTED_VALUE"""),"Не интересуюсь")</f>
        <v>Не интересуюсь</v>
      </c>
      <c r="K796" s="6" t="str">
        <f>IFERROR(__xludf.DUMMYFUNCTION("""COMPUTED_VALUE"""),"Парк ангелов,Бор ")</f>
        <v>Парк ангелов,Бор </v>
      </c>
      <c r="L796" s="6" t="str">
        <f>IFERROR(__xludf.DUMMYFUNCTION("""COMPUTED_VALUE"""),"Мне все равно на жителей города")</f>
        <v>Мне все равно на жителей города</v>
      </c>
      <c r="M796" s="6" t="str">
        <f>IFERROR(__xludf.DUMMYFUNCTION("""COMPUTED_VALUE"""),"Нет")</f>
        <v>Нет</v>
      </c>
      <c r="N796" s="6" t="str">
        <f>IFERROR(__xludf.DUMMYFUNCTION("""COMPUTED_VALUE"""),"Нет пробок;разбоев и грабежей;много красивых мест;климат тёплый и без зимы")</f>
        <v>Нет пробок;разбоев и грабежей;много красивых мест;климат тёплый и без зимы</v>
      </c>
      <c r="O796" s="6" t="str">
        <f>IFERROR(__xludf.DUMMYFUNCTION("""COMPUTED_VALUE"""),"Людей")</f>
        <v>Людей</v>
      </c>
      <c r="P796" s="6" t="str">
        <f>IFERROR(__xludf.DUMMYFUNCTION("""COMPUTED_VALUE"""),"Друзья присылают новости")</f>
        <v>Друзья присылают новости</v>
      </c>
      <c r="Q79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пост"&amp;"упать/вакансии,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796" s="6" t="str">
        <f>IFERROR(__xludf.DUMMYFUNCTION("""COMPUTED_VALUE"""),"День шахтера(папа шахтёр)")</f>
        <v>День шахтера(папа шахтёр)</v>
      </c>
      <c r="S796" s="6" t="str">
        <f>IFERROR(__xludf.DUMMYFUNCTION("""COMPUTED_VALUE"""),"Нет, не приходилось")</f>
        <v>Нет, не приходилось</v>
      </c>
      <c r="T796" s="6" t="str">
        <f>IFERROR(__xludf.DUMMYFUNCTION("""COMPUTED_VALUE"""),"Своими «добросовестными» предпринимателями-Зимняя вишня.")</f>
        <v>Своими «добросовестными» предпринимателями-Зимняя вишня.</v>
      </c>
      <c r="U796" s="6" t="str">
        <f>IFERROR(__xludf.DUMMYFUNCTION("""COMPUTED_VALUE"""),"Без понятия")</f>
        <v>Без понятия</v>
      </c>
      <c r="V796" s="6" t="str">
        <f>IFERROR(__xludf.DUMMYFUNCTION("""COMPUTED_VALUE"""),"Не знаю")</f>
        <v>Не знаю</v>
      </c>
      <c r="W796" s="6" t="str">
        <f>IFERROR(__xludf.DUMMYFUNCTION("""COMPUTED_VALUE"""),"Не знаю")</f>
        <v>Не знаю</v>
      </c>
      <c r="X796" s="6" t="str">
        <f>IFERROR(__xludf.DUMMYFUNCTION("""COMPUTED_VALUE"""),"Не знаю")</f>
        <v>Не знаю</v>
      </c>
      <c r="Y796" s="6" t="str">
        <f>IFERROR(__xludf.DUMMYFUNCTION("""COMPUTED_VALUE"""),"Зимняя вишня...")</f>
        <v>Зимняя вишня...</v>
      </c>
      <c r="Z796" s="6" t="str">
        <f>IFERROR(__xludf.DUMMYFUNCTION("""COMPUTED_VALUE"""),"Никакие")</f>
        <v>Никакие</v>
      </c>
      <c r="AA796" s="6" t="str">
        <f>IFERROR(__xludf.DUMMYFUNCTION("""COMPUTED_VALUE"""),"3 года.Зимняя вишня.")</f>
        <v>3 года.Зимняя вишня.</v>
      </c>
      <c r="AB796" s="6" t="str">
        <f>IFERROR(__xludf.DUMMYFUNCTION("""COMPUTED_VALUE"""),"Не состою в сообществах города")</f>
        <v>Не состою в сообществах города</v>
      </c>
      <c r="AC796" s="6" t="str">
        <f>IFERROR(__xludf.DUMMYFUNCTION("""COMPUTED_VALUE"""),"Не знаю")</f>
        <v>Не знаю</v>
      </c>
      <c r="AD79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796" s="6" t="str">
        <f>IFERROR(__xludf.DUMMYFUNCTION("""COMPUTED_VALUE"""),"Женский")</f>
        <v>Женский</v>
      </c>
      <c r="AF796" s="6" t="str">
        <f>IFERROR(__xludf.DUMMYFUNCTION("""COMPUTED_VALUE"""),"18-29")</f>
        <v>18-29</v>
      </c>
      <c r="AG796" s="6"/>
      <c r="AH796" s="6"/>
      <c r="AI796" s="6"/>
      <c r="AJ796" s="6"/>
      <c r="AK796" s="6"/>
      <c r="AL796" s="6"/>
      <c r="AM796" s="6"/>
    </row>
    <row r="797">
      <c r="A797" s="6">
        <v>796.0</v>
      </c>
      <c r="B797" s="6" t="str">
        <f>IFERROR(__xludf.DUMMYFUNCTION("""COMPUTED_VALUE"""),"Студент")</f>
        <v>Студент</v>
      </c>
      <c r="C797" s="6" t="str">
        <f>IFERROR(__xludf.DUMMYFUNCTION("""COMPUTED_VALUE"""),"Спать")</f>
        <v>Спать</v>
      </c>
      <c r="D797" s="6" t="str">
        <f>IFERROR(__xludf.DUMMYFUNCTION("""COMPUTED_VALUE"""),"Центральный")</f>
        <v>Центральный</v>
      </c>
      <c r="E797" s="6" t="str">
        <f>IFERROR(__xludf.DUMMYFUNCTION("""COMPUTED_VALUE"""),"Площадь советов")</f>
        <v>Площадь советов</v>
      </c>
      <c r="F797" s="6" t="str">
        <f>IFERROR(__xludf.DUMMYFUNCTION("""COMPUTED_VALUE"""),"Живу здесь с рождения")</f>
        <v>Живу здесь с рождения</v>
      </c>
      <c r="G797" s="6" t="str">
        <f>IFERROR(__xludf.DUMMYFUNCTION("""COMPUTED_VALUE"""),"В парк")</f>
        <v>В парк</v>
      </c>
      <c r="H797" s="6" t="str">
        <f>IFERROR(__xludf.DUMMYFUNCTION("""COMPUTED_VALUE"""),"Дым, смог, грязь, чёрное небо")</f>
        <v>Дым, смог, грязь, чёрное небо</v>
      </c>
      <c r="I797" s="6" t="str">
        <f>IFERROR(__xludf.DUMMYFUNCTION("""COMPUTED_VALUE"""),"Вера Волошина")</f>
        <v>Вера Волошина</v>
      </c>
      <c r="J797" s="6" t="str">
        <f>IFERROR(__xludf.DUMMYFUNCTION("""COMPUTED_VALUE"""),"Таких нет")</f>
        <v>Таких нет</v>
      </c>
      <c r="K797" s="6" t="str">
        <f>IFERROR(__xludf.DUMMYFUNCTION("""COMPUTED_VALUE"""),"Набережная")</f>
        <v>Набережная</v>
      </c>
      <c r="L797" s="6" t="str">
        <f>IFERROR(__xludf.DUMMYFUNCTION("""COMPUTED_VALUE"""),"🤔")</f>
        <v>🤔</v>
      </c>
      <c r="M797" s="6" t="str">
        <f>IFERROR(__xludf.DUMMYFUNCTION("""COMPUTED_VALUE"""),"Мультифора ")</f>
        <v>Мультифора </v>
      </c>
      <c r="N797" s="6" t="str">
        <f>IFERROR(__xludf.DUMMYFUNCTION("""COMPUTED_VALUE"""),"Экологичность, развитая инфраструктура, развитая экономика")</f>
        <v>Экологичность, развитая инфраструктура, развитая экономика</v>
      </c>
      <c r="O797" s="6" t="str">
        <f>IFERROR(__xludf.DUMMYFUNCTION("""COMPUTED_VALUE"""),"Губернатора ")</f>
        <v>Губернатора </v>
      </c>
      <c r="P797" s="6" t="str">
        <f>IFERROR(__xludf.DUMMYFUNCTION("""COMPUTED_VALUE"""),"Телеграмм")</f>
        <v>Телеграмм</v>
      </c>
      <c r="Q797" s="6" t="str">
        <f>IFERROR(__xludf.DUMMYFUNCTION("""COMPUTED_VALUE"""),"криминальные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f>
        <v>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797" s="6" t="str">
        <f>IFERROR(__xludf.DUMMYFUNCTION("""COMPUTED_VALUE"""),"Никаких ")</f>
        <v>Никаких </v>
      </c>
      <c r="S797" s="6" t="str">
        <f>IFERROR(__xludf.DUMMYFUNCTION("""COMPUTED_VALUE"""),"Нет, не приходилось")</f>
        <v>Нет, не приходилось</v>
      </c>
      <c r="T797" s="6" t="str">
        <f>IFERROR(__xludf.DUMMYFUNCTION("""COMPUTED_VALUE"""),"Углём")</f>
        <v>Углём</v>
      </c>
      <c r="U797" s="6" t="str">
        <f>IFERROR(__xludf.DUMMYFUNCTION("""COMPUTED_VALUE"""),"Площадь советов")</f>
        <v>Площадь советов</v>
      </c>
      <c r="V797" s="6" t="str">
        <f>IFERROR(__xludf.DUMMYFUNCTION("""COMPUTED_VALUE"""),"🤔")</f>
        <v>🤔</v>
      </c>
      <c r="W797" s="6" t="str">
        <f>IFERROR(__xludf.DUMMYFUNCTION("""COMPUTED_VALUE"""),"Замкнутость ")</f>
        <v>Замкнутость </v>
      </c>
      <c r="X797" s="6" t="str">
        <f>IFERROR(__xludf.DUMMYFUNCTION("""COMPUTED_VALUE"""),"Кировский ")</f>
        <v>Кировский </v>
      </c>
      <c r="Y797" s="6" t="str">
        <f>IFERROR(__xludf.DUMMYFUNCTION("""COMPUTED_VALUE"""),"Его основание")</f>
        <v>Его основание</v>
      </c>
      <c r="Z797" s="6" t="str">
        <f>IFERROR(__xludf.DUMMYFUNCTION("""COMPUTED_VALUE"""),"Никаких")</f>
        <v>Никаких</v>
      </c>
      <c r="AA797" s="6" t="str">
        <f>IFERROR(__xludf.DUMMYFUNCTION("""COMPUTED_VALUE"""),"Задержание активистов ")</f>
        <v>Задержание активистов </v>
      </c>
      <c r="AB797" s="6" t="str">
        <f>IFERROR(__xludf.DUMMYFUNCTION("""COMPUTED_VALUE"""),"Свободных")</f>
        <v>Свободных</v>
      </c>
      <c r="AC797" s="6" t="str">
        <f>IFERROR(__xludf.DUMMYFUNCTION("""COMPUTED_VALUE"""),"Культурные ")</f>
        <v>Культурные </v>
      </c>
      <c r="AD79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797" s="6" t="str">
        <f>IFERROR(__xludf.DUMMYFUNCTION("""COMPUTED_VALUE"""),"Женский")</f>
        <v>Женский</v>
      </c>
      <c r="AF797" s="6" t="str">
        <f>IFERROR(__xludf.DUMMYFUNCTION("""COMPUTED_VALUE"""),"18-29")</f>
        <v>18-29</v>
      </c>
      <c r="AG797" s="6"/>
      <c r="AH797" s="6"/>
      <c r="AI797" s="6"/>
      <c r="AJ797" s="6"/>
      <c r="AK797" s="6"/>
      <c r="AL797" s="6"/>
      <c r="AM797" s="6"/>
    </row>
    <row r="798">
      <c r="A798" s="6">
        <v>797.0</v>
      </c>
      <c r="B798" s="6" t="str">
        <f>IFERROR(__xludf.DUMMYFUNCTION("""COMPUTED_VALUE"""),"Студент")</f>
        <v>Студент</v>
      </c>
      <c r="C798" s="6" t="str">
        <f>IFERROR(__xludf.DUMMYFUNCTION("""COMPUTED_VALUE"""),"История, манга ")</f>
        <v>История, манга </v>
      </c>
      <c r="D798" s="6" t="str">
        <f>IFERROR(__xludf.DUMMYFUNCTION("""COMPUTED_VALUE"""),"В ленинском. Ленинский")</f>
        <v>В ленинском. Ленинский</v>
      </c>
      <c r="E798" s="6" t="str">
        <f>IFERROR(__xludf.DUMMYFUNCTION("""COMPUTED_VALUE"""),"Парк")</f>
        <v>Парк</v>
      </c>
      <c r="F798" s="6" t="str">
        <f>IFERROR(__xludf.DUMMYFUNCTION("""COMPUTED_VALUE"""),"Переехал сюда из другого места (откуда? укажите в графе другое), Посёлок Краснобродский")</f>
        <v>Переехал сюда из другого места (откуда? укажите в графе другое), Посёлок Краснобродский</v>
      </c>
      <c r="G798" s="6" t="str">
        <f>IFERROR(__xludf.DUMMYFUNCTION("""COMPUTED_VALUE"""),"По своему микрорайону")</f>
        <v>По своему микрорайону</v>
      </c>
      <c r="H798" s="6" t="str">
        <f>IFERROR(__xludf.DUMMYFUNCTION("""COMPUTED_VALUE"""),"Ветер, мусор, толпа, достаточность, однообразность")</f>
        <v>Ветер, мусор, толпа, достаточность, однообразность</v>
      </c>
      <c r="I798" s="6" t="str">
        <f>IFERROR(__xludf.DUMMYFUNCTION("""COMPUTED_VALUE"""),"Волошина")</f>
        <v>Волошина</v>
      </c>
      <c r="J798" s="6" t="str">
        <f>IFERROR(__xludf.DUMMYFUNCTION("""COMPUTED_VALUE"""),"Таких нет ")</f>
        <v>Таких нет </v>
      </c>
      <c r="K798" s="6" t="str">
        <f>IFERROR(__xludf.DUMMYFUNCTION("""COMPUTED_VALUE"""),"Центральные улицы старой застройки")</f>
        <v>Центральные улицы старой застройки</v>
      </c>
      <c r="L798" s="6" t="str">
        <f>IFERROR(__xludf.DUMMYFUNCTION("""COMPUTED_VALUE"""),"Абоба ")</f>
        <v>Абоба </v>
      </c>
      <c r="M798" s="6" t="str">
        <f>IFERROR(__xludf.DUMMYFUNCTION("""COMPUTED_VALUE"""),"Нет")</f>
        <v>Нет</v>
      </c>
      <c r="N798" s="6" t="str">
        <f>IFERROR(__xludf.DUMMYFUNCTION("""COMPUTED_VALUE"""),"Развитый общественный транспорт, расселенные районы, развитая инфраструктура, низкая зависимость от центра города, ухоженные улицы")</f>
        <v>Развитый общественный транспорт, расселенные районы, развитая инфраструктура, низкая зависимость от центра города, ухоженные улицы</v>
      </c>
      <c r="O798" s="6" t="str">
        <f>IFERROR(__xludf.DUMMYFUNCTION("""COMPUTED_VALUE"""),"Чистить вовремя улицы от снега")</f>
        <v>Чистить вовремя улицы от снега</v>
      </c>
      <c r="P798" s="6" t="str">
        <f>IFERROR(__xludf.DUMMYFUNCTION("""COMPUTED_VALUE"""),"Сообщества ВКонтакте ")</f>
        <v>Сообщества ВКонтакте </v>
      </c>
      <c r="Q798"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798" s="6" t="str">
        <f>IFERROR(__xludf.DUMMYFUNCTION("""COMPUTED_VALUE"""),"Никакие")</f>
        <v>Никакие</v>
      </c>
      <c r="S798" s="6" t="str">
        <f>IFERROR(__xludf.DUMMYFUNCTION("""COMPUTED_VALUE"""),"Нет, не приходилось")</f>
        <v>Нет, не приходилось</v>
      </c>
      <c r="T798" s="6" t="str">
        <f>IFERROR(__xludf.DUMMYFUNCTION("""COMPUTED_VALUE"""),"Знаменит блогерами")</f>
        <v>Знаменит блогерами</v>
      </c>
      <c r="U798" s="6" t="str">
        <f>IFERROR(__xludf.DUMMYFUNCTION("""COMPUTED_VALUE"""),"Центральный район")</f>
        <v>Центральный район</v>
      </c>
      <c r="V798" s="6" t="str">
        <f>IFERROR(__xludf.DUMMYFUNCTION("""COMPUTED_VALUE"""),"Мало чего")</f>
        <v>Мало чего</v>
      </c>
      <c r="W798" s="6" t="str">
        <f>IFERROR(__xludf.DUMMYFUNCTION("""COMPUTED_VALUE"""),"Среднестатистические жители городов")</f>
        <v>Среднестатистические жители городов</v>
      </c>
      <c r="X798" s="6" t="str">
        <f>IFERROR(__xludf.DUMMYFUNCTION("""COMPUTED_VALUE"""),"По улице Ленина ")</f>
        <v>По улице Ленина </v>
      </c>
      <c r="Y798" s="6" t="str">
        <f>IFERROR(__xludf.DUMMYFUNCTION("""COMPUTED_VALUE"""),"Образование его как промышленного центра в первой половине двадцатого века")</f>
        <v>Образование его как промышленного центра в первой половине двадцатого века</v>
      </c>
      <c r="Z798" s="6" t="str">
        <f>IFERROR(__xludf.DUMMYFUNCTION("""COMPUTED_VALUE"""),"Пандемия ")</f>
        <v>Пандемия </v>
      </c>
      <c r="AA798" s="6" t="str">
        <f>IFERROR(__xludf.DUMMYFUNCTION("""COMPUTED_VALUE"""),"Пандемия")</f>
        <v>Пандемия</v>
      </c>
      <c r="AB798" s="6" t="str">
        <f>IFERROR(__xludf.DUMMYFUNCTION("""COMPUTED_VALUE"""),"Не хватает потребительского бизнеса в сфере одежды")</f>
        <v>Не хватает потребительского бизнеса в сфере одежды</v>
      </c>
      <c r="AC798" s="6" t="str">
        <f>IFERROR(__xludf.DUMMYFUNCTION("""COMPUTED_VALUE"""),"Реорганизация устройства городской собственности")</f>
        <v>Реорганизация устройства городской собственности</v>
      </c>
      <c r="AD79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798" s="6" t="str">
        <f>IFERROR(__xludf.DUMMYFUNCTION("""COMPUTED_VALUE"""),"Мужской")</f>
        <v>Мужской</v>
      </c>
      <c r="AF798" s="6" t="str">
        <f>IFERROR(__xludf.DUMMYFUNCTION("""COMPUTED_VALUE"""),"18-29")</f>
        <v>18-29</v>
      </c>
      <c r="AG798" s="6"/>
      <c r="AH798" s="6"/>
      <c r="AI798" s="6"/>
      <c r="AJ798" s="6"/>
      <c r="AK798" s="6"/>
      <c r="AL798" s="6"/>
      <c r="AM798" s="6"/>
    </row>
    <row r="799">
      <c r="A799" s="6">
        <v>798.0</v>
      </c>
      <c r="B799" s="6" t="str">
        <f>IFERROR(__xludf.DUMMYFUNCTION("""COMPUTED_VALUE"""),"Медработник в отпуске по уходу за ребёнком ")</f>
        <v>Медработник в отпуске по уходу за ребёнком </v>
      </c>
      <c r="C799" s="6" t="str">
        <f>IFERROR(__xludf.DUMMYFUNCTION("""COMPUTED_VALUE"""),"Спорт, книги, велосипед ")</f>
        <v>Спорт, книги, велосипед </v>
      </c>
      <c r="D799" s="6" t="str">
        <f>IFERROR(__xludf.DUMMYFUNCTION("""COMPUTED_VALUE"""),"Лесная Поляна ")</f>
        <v>Лесная Поляна </v>
      </c>
      <c r="E799" s="6" t="str">
        <f>IFERROR(__xludf.DUMMYFUNCTION("""COMPUTED_VALUE"""),"Спортград, Таёжная Заимка")</f>
        <v>Спортград, Таёжная Заимка</v>
      </c>
      <c r="F799" s="6" t="str">
        <f>IFERROR(__xludf.DUMMYFUNCTION("""COMPUTED_VALUE"""),"Живу здесь с рождения")</f>
        <v>Живу здесь с рождения</v>
      </c>
      <c r="G799" s="6" t="str">
        <f>IFERROR(__xludf.DUMMYFUNCTION("""COMPUTED_VALUE"""),"В городе-никуда, в Лесной Поляне- по проселочным дорогам на лыжах зимой и на велосипеде летом. ")</f>
        <v>В городе-никуда, в Лесной Поляне- по проселочным дорогам на лыжах зимой и на велосипеде летом. </v>
      </c>
      <c r="H799" s="6" t="str">
        <f>IFERROR(__xludf.DUMMYFUNCTION("""COMPUTED_VALUE"""),"Грязь, пыль, мусор, речка-вонючка, машины")</f>
        <v>Грязь, пыль, мусор, речка-вонючка, машины</v>
      </c>
      <c r="I799" s="6" t="str">
        <f>IFERROR(__xludf.DUMMYFUNCTION("""COMPUTED_VALUE"""),"Подгорбунский, Селиванов, В.В. Михайлов, Р.Д. Тихенко ")</f>
        <v>Подгорбунский, Селиванов, В.В. Михайлов, Р.Д. Тихенко </v>
      </c>
      <c r="J799" s="6" t="str">
        <f>IFERROR(__xludf.DUMMYFUNCTION("""COMPUTED_VALUE"""),"Валентина, не могу фамилию вспомнить, у которой приют для животных. Ликстанов М. И., Е. Гришковец ")</f>
        <v>Валентина, не могу фамилию вспомнить, у которой приют для животных. Ликстанов М. И., Е. Гришковец </v>
      </c>
      <c r="K799" s="6" t="str">
        <f>IFERROR(__xludf.DUMMYFUNCTION("""COMPUTED_VALUE"""),"Может быть, Краеведческий музей. ")</f>
        <v>Может быть, Краеведческий музей. </v>
      </c>
      <c r="L799" s="6" t="str">
        <f>IFERROR(__xludf.DUMMYFUNCTION("""COMPUTED_VALUE"""),"Б. Гребенщиков всё сказал. "" Человек из Кемерова"".")</f>
        <v>Б. Гребенщиков всё сказал. " Человек из Кемерова".</v>
      </c>
      <c r="M799" s="6" t="str">
        <f>IFERROR(__xludf.DUMMYFUNCTION("""COMPUTED_VALUE"""),"Триста лет по-Цивилёву. ")</f>
        <v>Триста лет по-Цивилёву. </v>
      </c>
      <c r="N799" s="6" t="str">
        <f>IFERROR(__xludf.DUMMYFUNCTION("""COMPUTED_VALUE"""),"Пешеходная улица, комфорт для людей с ограниченными физическими возможностями, отдельные места для выгула животных, доступность общественного транспорта, клубы по месту жительства.")</f>
        <v>Пешеходная улица, комфорт для людей с ограниченными физическими возможностями, отдельные места для выгула животных, доступность общественного транспорта, клубы по месту жительства.</v>
      </c>
      <c r="O799" s="6" t="str">
        <f>IFERROR(__xludf.DUMMYFUNCTION("""COMPUTED_VALUE"""),"Своевременно и качественно убирать и вывозить мусор")</f>
        <v>Своевременно и качественно убирать и вывозить мусор</v>
      </c>
      <c r="P799" s="6" t="str">
        <f>IFERROR(__xludf.DUMMYFUNCTION("""COMPUTED_VALUE"""),"Кассы. ру; Facebook ")</f>
        <v>Кассы. ру; Facebook </v>
      </c>
      <c r="Q799"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799" s="6" t="str">
        <f>IFERROR(__xludf.DUMMYFUNCTION("""COMPUTED_VALUE"""),"День Победы ")</f>
        <v>День Победы </v>
      </c>
      <c r="S799" s="6" t="str">
        <f>IFERROR(__xludf.DUMMYFUNCTION("""COMPUTED_VALUE"""),"Нет, не приходилось")</f>
        <v>Нет, не приходилось</v>
      </c>
      <c r="T799" s="6" t="str">
        <f>IFERROR(__xludf.DUMMYFUNCTION("""COMPUTED_VALUE"""),"В последнее время, кроме Зимней Вишни, ничем. ")</f>
        <v>В последнее время, кроме Зимней Вишни, ничем. </v>
      </c>
      <c r="U799" s="6" t="str">
        <f>IFERROR(__xludf.DUMMYFUNCTION("""COMPUTED_VALUE"""),"Левобережная набережная ")</f>
        <v>Левобережная набережная </v>
      </c>
      <c r="V799" s="6" t="str">
        <f>IFERROR(__xludf.DUMMYFUNCTION("""COMPUTED_VALUE"""),"Завоевывали медали на международных соревнованиях ")</f>
        <v>Завоевывали медали на международных соревнованиях </v>
      </c>
      <c r="W799" s="6" t="str">
        <f>IFERROR(__xludf.DUMMYFUNCTION("""COMPUTED_VALUE"""),"Хамство, грубость, доверчивость, терпеливость")</f>
        <v>Хамство, грубость, доверчивость, терпеливость</v>
      </c>
      <c r="X799" s="6" t="str">
        <f>IFERROR(__xludf.DUMMYFUNCTION("""COMPUTED_VALUE"""),"Красная Горка")</f>
        <v>Красная Горка</v>
      </c>
      <c r="Y799" s="6" t="str">
        <f>IFERROR(__xludf.DUMMYFUNCTION("""COMPUTED_VALUE"""),"Театральные гастроли")</f>
        <v>Театральные гастроли</v>
      </c>
      <c r="Z799" s="6" t="str">
        <f>IFERROR(__xludf.DUMMYFUNCTION("""COMPUTED_VALUE"""),"Рок-фестиваль на площади Маркса")</f>
        <v>Рок-фестиваль на площади Маркса</v>
      </c>
      <c r="AA799" s="6" t="str">
        <f>IFERROR(__xludf.DUMMYFUNCTION("""COMPUTED_VALUE"""),"Закрытие спорткомплекса Лазурный")</f>
        <v>Закрытие спорткомплекса Лазурный</v>
      </c>
      <c r="AB799" s="6" t="str">
        <f>IFERROR(__xludf.DUMMYFUNCTION("""COMPUTED_VALUE"""),"Клуб по месту жительства ")</f>
        <v>Клуб по месту жительства </v>
      </c>
      <c r="AC799" s="6" t="str">
        <f>IFERROR(__xludf.DUMMYFUNCTION("""COMPUTED_VALUE"""),"Туристические и тематические экскурсии по городу ")</f>
        <v>Туристические и тематические экскурсии по городу </v>
      </c>
      <c r="AD799"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799" s="6" t="str">
        <f>IFERROR(__xludf.DUMMYFUNCTION("""COMPUTED_VALUE"""),"Женский")</f>
        <v>Женский</v>
      </c>
      <c r="AF799" s="6" t="str">
        <f>IFERROR(__xludf.DUMMYFUNCTION("""COMPUTED_VALUE"""),"30-44")</f>
        <v>30-44</v>
      </c>
      <c r="AG799" s="6"/>
      <c r="AH799" s="6"/>
      <c r="AI799" s="6"/>
      <c r="AJ799" s="6"/>
      <c r="AK799" s="6"/>
      <c r="AL799" s="6"/>
      <c r="AM799" s="6"/>
    </row>
    <row r="800">
      <c r="A800" s="6">
        <v>799.0</v>
      </c>
      <c r="B800" s="6" t="str">
        <f>IFERROR(__xludf.DUMMYFUNCTION("""COMPUTED_VALUE"""),"Образование")</f>
        <v>Образование</v>
      </c>
      <c r="C800" s="6" t="str">
        <f>IFERROR(__xludf.DUMMYFUNCTION("""COMPUTED_VALUE"""),"Нет")</f>
        <v>Нет</v>
      </c>
      <c r="D800" s="6" t="str">
        <f>IFERROR(__xludf.DUMMYFUNCTION("""COMPUTED_VALUE"""),"Ленинский")</f>
        <v>Ленинский</v>
      </c>
      <c r="E800" s="6" t="str">
        <f>IFERROR(__xludf.DUMMYFUNCTION("""COMPUTED_VALUE"""),"Бульвар, Променад-2, бассейн Сибирь")</f>
        <v>Бульвар, Променад-2, бассейн Сибирь</v>
      </c>
      <c r="F800" s="6" t="str">
        <f>IFERROR(__xludf.DUMMYFUNCTION("""COMPUTED_VALUE"""),"Живу здесь с рождения")</f>
        <v>Живу здесь с рождения</v>
      </c>
      <c r="G800" s="6" t="str">
        <f>IFERROR(__xludf.DUMMYFUNCTION("""COMPUTED_VALUE"""),"Лесная поляна, Рудничный боря, кинотеатр, театр")</f>
        <v>Лесная поляна, Рудничный боря, кинотеатр, театр</v>
      </c>
      <c r="H800" s="6" t="str">
        <f>IFERROR(__xludf.DUMMYFUNCTION("""COMPUTED_VALUE"""),"Смог, грязища, болезнь, пыль, совок")</f>
        <v>Смог, грязища, болезнь, пыль, совок</v>
      </c>
      <c r="I800" s="6" t="str">
        <f>IFERROR(__xludf.DUMMYFUNCTION("""COMPUTED_VALUE"""),"Подгорбунский, Леонов, Гришковец, Панин, Лавлинский, Тюпа")</f>
        <v>Подгорбунский, Леонов, Гришковец, Панин, Лавлинский, Тюпа</v>
      </c>
      <c r="J800" s="6" t="str">
        <f>IFERROR(__xludf.DUMMYFUNCTION("""COMPUTED_VALUE"""),"Не могу назвать")</f>
        <v>Не могу назвать</v>
      </c>
      <c r="K800" s="6" t="str">
        <f>IFERROR(__xludf.DUMMYFUNCTION("""COMPUTED_VALUE"""),"Красная горка, музей изо, краеведческий музей")</f>
        <v>Красная горка, музей изо, краеведческий музей</v>
      </c>
      <c r="L800" s="6" t="str">
        <f>IFERROR(__xludf.DUMMYFUNCTION("""COMPUTED_VALUE"""),"Не знаю таких")</f>
        <v>Не знаю таких</v>
      </c>
      <c r="M800" s="6" t="str">
        <f>IFERROR(__xludf.DUMMYFUNCTION("""COMPUTED_VALUE"""),"Нет")</f>
        <v>Нет</v>
      </c>
      <c r="N800" s="6" t="str">
        <f>IFERROR(__xludf.DUMMYFUNCTION("""COMPUTED_VALUE"""),"Чистота, транспортная доступность, экологичность, высокое качество мед услуг, отсутствие коррупции")</f>
        <v>Чистота, транспортная доступность, экологичность, высокое качество мед услуг, отсутствие коррупции</v>
      </c>
      <c r="O800" s="6" t="str">
        <f>IFERROR(__xludf.DUMMYFUNCTION("""COMPUTED_VALUE"""),"Системный подход к управлению")</f>
        <v>Системный подход к управлению</v>
      </c>
      <c r="P800" s="6" t="str">
        <f>IFERROR(__xludf.DUMMYFUNCTION("""COMPUTED_VALUE"""),"Узнаю случайно")</f>
        <v>Узнаю случайно</v>
      </c>
      <c r="Q800" s="6" t="str">
        <f>IFERROR(__xludf.DUMMYFUNCTION("""COMPUTED_VALUE"""),"культурные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Др"&amp;"угое свои предложения)")</f>
        <v>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800" s="6" t="str">
        <f>IFERROR(__xludf.DUMMYFUNCTION("""COMPUTED_VALUE"""),"9 мая")</f>
        <v>9 мая</v>
      </c>
      <c r="S800" s="6" t="str">
        <f>IFERROR(__xludf.DUMMYFUNCTION("""COMPUTED_VALUE"""),"Нет, не приходилось")</f>
        <v>Нет, не приходилось</v>
      </c>
      <c r="T800" s="6" t="str">
        <f>IFERROR(__xludf.DUMMYFUNCTION("""COMPUTED_VALUE"""),"Зимняя вишня")</f>
        <v>Зимняя вишня</v>
      </c>
      <c r="U800" s="6" t="str">
        <f>IFERROR(__xludf.DUMMYFUNCTION("""COMPUTED_VALUE"""),"Площадь Пушкина")</f>
        <v>Площадь Пушкина</v>
      </c>
      <c r="V800" s="6" t="str">
        <f>IFERROR(__xludf.DUMMYFUNCTION("""COMPUTED_VALUE"""),"Построили карьеру и уехали из города")</f>
        <v>Построили карьеру и уехали из города</v>
      </c>
      <c r="W800" s="6" t="str">
        <f>IFERROR(__xludf.DUMMYFUNCTION("""COMPUTED_VALUE"""),"Недоверчивые, плохо образованные, наивные, равнодушные")</f>
        <v>Недоверчивые, плохо образованные, наивные, равнодушные</v>
      </c>
      <c r="X800" s="6" t="str">
        <f>IFERROR(__xludf.DUMMYFUNCTION("""COMPUTED_VALUE"""),"Набережная, пл Пушкина, ...")</f>
        <v>Набережная, пл Пушкина, ...</v>
      </c>
      <c r="Y800" s="6" t="str">
        <f>IFERROR(__xludf.DUMMYFUNCTION("""COMPUTED_VALUE"""),"Зимняя вишня")</f>
        <v>Зимняя вишня</v>
      </c>
      <c r="Z800" s="6" t="str">
        <f>IFERROR(__xludf.DUMMYFUNCTION("""COMPUTED_VALUE"""),"Никаких")</f>
        <v>Никаких</v>
      </c>
      <c r="AA800" s="6" t="str">
        <f>IFERROR(__xludf.DUMMYFUNCTION("""COMPUTED_VALUE"""),"Зимняя вишня")</f>
        <v>Зимняя вишня</v>
      </c>
      <c r="AB800" s="6" t="str">
        <f>IFERROR(__xludf.DUMMYFUNCTION("""COMPUTED_VALUE"""),"Никаких")</f>
        <v>Никаких</v>
      </c>
      <c r="AC800" s="6" t="str">
        <f>IFERROR(__xludf.DUMMYFUNCTION("""COMPUTED_VALUE"""),"Генеральная уборка, организованные экологические движения")</f>
        <v>Генеральная уборка, организованные экологические движения</v>
      </c>
      <c r="AD80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800" s="6" t="str">
        <f>IFERROR(__xludf.DUMMYFUNCTION("""COMPUTED_VALUE"""),"Женский")</f>
        <v>Женский</v>
      </c>
      <c r="AF800" s="6" t="str">
        <f>IFERROR(__xludf.DUMMYFUNCTION("""COMPUTED_VALUE"""),"45-55")</f>
        <v>45-55</v>
      </c>
      <c r="AG800" s="6"/>
      <c r="AH800" s="6"/>
      <c r="AI800" s="6"/>
      <c r="AJ800" s="6"/>
      <c r="AK800" s="6"/>
      <c r="AL800" s="6"/>
      <c r="AM800" s="6"/>
    </row>
    <row r="801">
      <c r="A801" s="6">
        <v>800.0</v>
      </c>
      <c r="B801" s="6" t="str">
        <f>IFERROR(__xludf.DUMMYFUNCTION("""COMPUTED_VALUE"""),"Повар-кондитер, учусь")</f>
        <v>Повар-кондитер, учусь</v>
      </c>
      <c r="C801" s="6" t="str">
        <f>IFERROR(__xludf.DUMMYFUNCTION("""COMPUTED_VALUE"""),"Есть, рисую")</f>
        <v>Есть, рисую</v>
      </c>
      <c r="D801" s="6" t="str">
        <f>IFERROR(__xludf.DUMMYFUNCTION("""COMPUTED_VALUE"""),"Кировский ")</f>
        <v>Кировский </v>
      </c>
      <c r="E801" s="6" t="str">
        <f>IFERROR(__xludf.DUMMYFUNCTION("""COMPUTED_VALUE"""),"Хз")</f>
        <v>Хз</v>
      </c>
      <c r="F80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801" s="6" t="str">
        <f>IFERROR(__xludf.DUMMYFUNCTION("""COMPUTED_VALUE"""),"Парк ангелов")</f>
        <v>Парк ангелов</v>
      </c>
      <c r="H801" s="6" t="str">
        <f>IFERROR(__xludf.DUMMYFUNCTION("""COMPUTED_VALUE"""),"Красота, парки, грязь, свежий воздух, дым")</f>
        <v>Красота, парки, грязь, свежий воздух, дым</v>
      </c>
      <c r="I801" s="6" t="str">
        <f>IFERROR(__xludf.DUMMYFUNCTION("""COMPUTED_VALUE"""),"Вера Волошина, Ленин ")</f>
        <v>Вера Волошина, Ленин </v>
      </c>
      <c r="J801" s="6" t="str">
        <f>IFERROR(__xludf.DUMMYFUNCTION("""COMPUTED_VALUE"""),"Хз")</f>
        <v>Хз</v>
      </c>
      <c r="K801" s="6" t="str">
        <f>IFERROR(__xludf.DUMMYFUNCTION("""COMPUTED_VALUE"""),"Парк ангелов ")</f>
        <v>Парк ангелов </v>
      </c>
      <c r="L801" s="6" t="str">
        <f>IFERROR(__xludf.DUMMYFUNCTION("""COMPUTED_VALUE"""),"Хз")</f>
        <v>Хз</v>
      </c>
      <c r="M801" s="6" t="str">
        <f>IFERROR(__xludf.DUMMYFUNCTION("""COMPUTED_VALUE"""),"Нет")</f>
        <v>Нет</v>
      </c>
      <c r="N801" s="6" t="str">
        <f>IFERROR(__xludf.DUMMYFUNCTION("""COMPUTED_VALUE"""),"Экология, хороший заработок ")</f>
        <v>Экология, хороший заработок </v>
      </c>
      <c r="O801" s="6" t="str">
        <f>IFERROR(__xludf.DUMMYFUNCTION("""COMPUTED_VALUE"""),"Дороги ")</f>
        <v>Дороги </v>
      </c>
      <c r="P801" s="6" t="str">
        <f>IFERROR(__xludf.DUMMYFUNCTION("""COMPUTED_VALUE"""),"Из группы")</f>
        <v>Из группы</v>
      </c>
      <c r="Q801"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v>
      </c>
      <c r="R801" s="6" t="str">
        <f>IFERROR(__xludf.DUMMYFUNCTION("""COMPUTED_VALUE"""),"Новый год ")</f>
        <v>Новый год </v>
      </c>
      <c r="S801" s="6" t="str">
        <f>IFERROR(__xludf.DUMMYFUNCTION("""COMPUTED_VALUE"""),"Нет, не приходилось")</f>
        <v>Нет, не приходилось</v>
      </c>
      <c r="T801" s="6" t="str">
        <f>IFERROR(__xludf.DUMMYFUNCTION("""COMPUTED_VALUE"""),"Парк ангелов ")</f>
        <v>Парк ангелов </v>
      </c>
      <c r="U801" s="6" t="str">
        <f>IFERROR(__xludf.DUMMYFUNCTION("""COMPUTED_VALUE"""),"Парк ангелов ")</f>
        <v>Парк ангелов </v>
      </c>
      <c r="V801" s="6" t="str">
        <f>IFERROR(__xludf.DUMMYFUNCTION("""COMPUTED_VALUE"""),"Хз")</f>
        <v>Хз</v>
      </c>
      <c r="W801" s="6" t="str">
        <f>IFERROR(__xludf.DUMMYFUNCTION("""COMPUTED_VALUE"""),"Злые")</f>
        <v>Злые</v>
      </c>
      <c r="X801" s="6" t="str">
        <f>IFERROR(__xludf.DUMMYFUNCTION("""COMPUTED_VALUE"""),"От вокзала и по всем паркам")</f>
        <v>От вокзала и по всем паркам</v>
      </c>
      <c r="Y801" s="6" t="str">
        <f>IFERROR(__xludf.DUMMYFUNCTION("""COMPUTED_VALUE"""),"Хз")</f>
        <v>Хз</v>
      </c>
      <c r="Z801" s="6" t="str">
        <f>IFERROR(__xludf.DUMMYFUNCTION("""COMPUTED_VALUE"""),"Не какие")</f>
        <v>Не какие</v>
      </c>
      <c r="AA801" s="6" t="str">
        <f>IFERROR(__xludf.DUMMYFUNCTION("""COMPUTED_VALUE"""),"Митинг Навального ")</f>
        <v>Митинг Навального </v>
      </c>
      <c r="AB801" s="6" t="str">
        <f>IFERROR(__xludf.DUMMYFUNCTION("""COMPUTED_VALUE"""),"Аниме сходок")</f>
        <v>Аниме сходок</v>
      </c>
      <c r="AC801" s="6" t="str">
        <f>IFERROR(__xludf.DUMMYFUNCTION("""COMPUTED_VALUE"""),"Праздники бесплатные ")</f>
        <v>Праздники бесплатные </v>
      </c>
      <c r="AD801"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801" s="6" t="str">
        <f>IFERROR(__xludf.DUMMYFUNCTION("""COMPUTED_VALUE"""),"Женский")</f>
        <v>Женский</v>
      </c>
      <c r="AF801" s="6" t="str">
        <f>IFERROR(__xludf.DUMMYFUNCTION("""COMPUTED_VALUE"""),"18-29")</f>
        <v>18-29</v>
      </c>
      <c r="AG801" s="6"/>
      <c r="AH801" s="6"/>
      <c r="AI801" s="6"/>
      <c r="AJ801" s="6"/>
      <c r="AK801" s="6"/>
      <c r="AL801" s="6"/>
      <c r="AM801" s="6"/>
    </row>
    <row r="802">
      <c r="A802" s="6">
        <v>801.0</v>
      </c>
      <c r="B802" s="6" t="str">
        <f>IFERROR(__xludf.DUMMYFUNCTION("""COMPUTED_VALUE"""),"Преподаватель вуза")</f>
        <v>Преподаватель вуза</v>
      </c>
      <c r="C802" s="6" t="str">
        <f>IFERROR(__xludf.DUMMYFUNCTION("""COMPUTED_VALUE"""),"Бадминтон, футбол, настольный теннис")</f>
        <v>Бадминтон, футбол, настольный теннис</v>
      </c>
      <c r="D802" s="6" t="str">
        <f>IFERROR(__xludf.DUMMYFUNCTION("""COMPUTED_VALUE"""),"Центральный, ""Центр""")</f>
        <v>Центральный, "Центр"</v>
      </c>
      <c r="E802" s="6" t="str">
        <f>IFERROR(__xludf.DUMMYFUNCTION("""COMPUTED_VALUE"""),"ул. Весенняя, площади Советов и Пушкина, Набережная")</f>
        <v>ул. Весенняя, площади Советов и Пушкина, Набережная</v>
      </c>
      <c r="F802" s="6" t="str">
        <f>IFERROR(__xludf.DUMMYFUNCTION("""COMPUTED_VALUE"""),"Живу здесь с рождения")</f>
        <v>Живу здесь с рождения</v>
      </c>
      <c r="G802" s="6" t="str">
        <f>IFERROR(__xludf.DUMMYFUNCTION("""COMPUTED_VALUE"""),"Томская писаница, Лесная поляна")</f>
        <v>Томская писаница, Лесная поляна</v>
      </c>
      <c r="H802" s="6" t="str">
        <f>IFERROR(__xludf.DUMMYFUNCTION("""COMPUTED_VALUE"""),"родной, уютный, компактный, удобный, шахтерская столица")</f>
        <v>родной, уютный, компактный, удобный, шахтерская столица</v>
      </c>
      <c r="I802" s="6" t="str">
        <f>IFERROR(__xludf.DUMMYFUNCTION("""COMPUTED_VALUE"""),"Михайло Волков")</f>
        <v>Михайло Волков</v>
      </c>
      <c r="J802" s="6" t="str">
        <f>IFERROR(__xludf.DUMMYFUNCTION("""COMPUTED_VALUE"""),"Алексей Леонов, Василий Федоров, Виталий Раздаев, Борис Бурмистров, Геннадий Юров")</f>
        <v>Алексей Леонов, Василий Федоров, Виталий Раздаев, Борис Бурмистров, Геннадий Юров</v>
      </c>
      <c r="K802" s="6" t="str">
        <f>IFERROR(__xludf.DUMMYFUNCTION("""COMPUTED_VALUE"""),"Лесная поляна, Томская писаница, Красная горка")</f>
        <v>Лесная поляна, Томская писаница, Красная горка</v>
      </c>
      <c r="L802" s="6" t="str">
        <f>IFERROR(__xludf.DUMMYFUNCTION("""COMPUTED_VALUE"""),"-")</f>
        <v>-</v>
      </c>
      <c r="M802" s="6" t="str">
        <f>IFERROR(__xludf.DUMMYFUNCTION("""COMPUTED_VALUE"""),"Весенька, Бульвар, Набережная")</f>
        <v>Весенька, Бульвар, Набережная</v>
      </c>
      <c r="N802" s="6" t="str">
        <f>IFERROR(__xludf.DUMMYFUNCTION("""COMPUTED_VALUE"""),"Качественные образование и здравоохранение, рабочие места, чистота улиц круглый год, красивая архитектура новых зданий и сооружений, отремонтированные старые здания и сооружения")</f>
        <v>Качественные образование и здравоохранение, рабочие места, чистота улиц круглый год, красивая архитектура новых зданий и сооружений, отремонтированные старые здания и сооружения</v>
      </c>
      <c r="O802" s="6" t="str">
        <f>IFERROR(__xludf.DUMMYFUNCTION("""COMPUTED_VALUE"""),"Создать новые высокотехнологичные рабочие места ")</f>
        <v>Создать новые высокотехнологичные рабочие места </v>
      </c>
      <c r="P802" s="6" t="str">
        <f>IFERROR(__xludf.DUMMYFUNCTION("""COMPUTED_VALUE"""),"Интернет - e-kuzbass.ru, ВК")</f>
        <v>Интернет - e-kuzbass.ru, ВК</v>
      </c>
      <c r="Q802" s="6" t="str">
        <f>IFERROR(__xludf.DUMMYFUNCTION("""COMPUTED_VALUE"""),"городская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802" s="6" t="str">
        <f>IFERROR(__xludf.DUMMYFUNCTION("""COMPUTED_VALUE"""),"День Шахтера, День города, Новый год")</f>
        <v>День Шахтера, День города, Новый год</v>
      </c>
      <c r="S802" s="6" t="str">
        <f>IFERROR(__xludf.DUMMYFUNCTION("""COMPUTED_VALUE"""),"публикации на сайте вуза, выступление на радио")</f>
        <v>публикации на сайте вуза, выступление на радио</v>
      </c>
      <c r="T802" s="6" t="str">
        <f>IFERROR(__xludf.DUMMYFUNCTION("""COMPUTED_VALUE"""),"Шахтерская столица")</f>
        <v>Шахтерская столица</v>
      </c>
      <c r="U802" s="6" t="str">
        <f>IFERROR(__xludf.DUMMYFUNCTION("""COMPUTED_VALUE"""),"Площадь Советов, ул. Весенняя")</f>
        <v>Площадь Советов, ул. Весенняя</v>
      </c>
      <c r="V802" s="6" t="str">
        <f>IFERROR(__xludf.DUMMYFUNCTION("""COMPUTED_VALUE"""),"Построили свой город, предприятия, создали экономику в целом")</f>
        <v>Построили свой город, предприятия, создали экономику в целом</v>
      </c>
      <c r="W802" s="6" t="str">
        <f>IFERROR(__xludf.DUMMYFUNCTION("""COMPUTED_VALUE"""),"Надежные, крепкие, стойкие, дружные")</f>
        <v>Надежные, крепкие, стойкие, дружные</v>
      </c>
      <c r="X802" s="6" t="str">
        <f>IFERROR(__xludf.DUMMYFUNCTION("""COMPUTED_VALUE"""),"Лесная поляна")</f>
        <v>Лесная поляна</v>
      </c>
      <c r="Y802" s="6" t="str">
        <f>IFERROR(__xludf.DUMMYFUNCTION("""COMPUTED_VALUE"""),"Строительство промышленных предприятий (Кокс, Азот и др.)")</f>
        <v>Строительство промышленных предприятий (Кокс, Азот и др.)</v>
      </c>
      <c r="Z802" s="6" t="str">
        <f>IFERROR(__xludf.DUMMYFUNCTION("""COMPUTED_VALUE"""),"Строительство новых объектов")</f>
        <v>Строительство новых объектов</v>
      </c>
      <c r="AA802" s="6" t="str">
        <f>IFERROR(__xludf.DUMMYFUNCTION("""COMPUTED_VALUE"""),"Нет таких")</f>
        <v>Нет таких</v>
      </c>
      <c r="AB802" s="6" t="str">
        <f>IFERROR(__xludf.DUMMYFUNCTION("""COMPUTED_VALUE"""),"Научных, образовательных")</f>
        <v>Научных, образовательных</v>
      </c>
      <c r="AC802" s="6" t="str">
        <f>IFERROR(__xludf.DUMMYFUNCTION("""COMPUTED_VALUE"""),"Профессиональные экскурсии по городу, городские события выходного дня (фестивали, праздники и т.п.)")</f>
        <v>Профессиональные экскурсии по городу, городские события выходного дня (фестивали, праздники и т.п.)</v>
      </c>
      <c r="AD802"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802" s="6" t="str">
        <f>IFERROR(__xludf.DUMMYFUNCTION("""COMPUTED_VALUE"""),"Мужской")</f>
        <v>Мужской</v>
      </c>
      <c r="AF802" s="6" t="str">
        <f>IFERROR(__xludf.DUMMYFUNCTION("""COMPUTED_VALUE"""),"30-44")</f>
        <v>30-44</v>
      </c>
      <c r="AG802" s="6"/>
      <c r="AH802" s="6"/>
      <c r="AI802" s="6"/>
      <c r="AJ802" s="6"/>
      <c r="AK802" s="6"/>
      <c r="AL802" s="6"/>
      <c r="AM802" s="6"/>
    </row>
    <row r="803">
      <c r="A803" s="6">
        <v>802.0</v>
      </c>
      <c r="B803" s="6" t="str">
        <f>IFERROR(__xludf.DUMMYFUNCTION("""COMPUTED_VALUE"""),"Специалист ")</f>
        <v>Специалист </v>
      </c>
      <c r="C803" s="6" t="str">
        <f>IFERROR(__xludf.DUMMYFUNCTION("""COMPUTED_VALUE"""),"Рукоделие ")</f>
        <v>Рукоделие </v>
      </c>
      <c r="D803" s="6" t="str">
        <f>IFERROR(__xludf.DUMMYFUNCTION("""COMPUTED_VALUE"""),"Центральный, Центр")</f>
        <v>Центральный, Центр</v>
      </c>
      <c r="E803" s="6" t="str">
        <f>IFERROR(__xludf.DUMMYFUNCTION("""COMPUTED_VALUE"""),"парк Жукова, парк Антошка")</f>
        <v>парк Жукова, парк Антошка</v>
      </c>
      <c r="F803" s="6" t="str">
        <f>IFERROR(__xludf.DUMMYFUNCTION("""COMPUTED_VALUE"""),"Переехал сюда из другого места (откуда? укажите в графе другое), Новокузнецк")</f>
        <v>Переехал сюда из другого места (откуда? укажите в графе другое), Новокузнецк</v>
      </c>
      <c r="G803" s="6" t="str">
        <f>IFERROR(__xludf.DUMMYFUNCTION("""COMPUTED_VALUE"""),"Пионерский бульвар, парк Жукова, парк Антошка, парк Чудес.")</f>
        <v>Пионерский бульвар, парк Жукова, парк Антошка, парк Чудес.</v>
      </c>
      <c r="H803" s="6" t="str">
        <f>IFERROR(__xludf.DUMMYFUNCTION("""COMPUTED_VALUE"""),"бульвар, площадь советов, Променад, Филармония")</f>
        <v>бульвар, площадь советов, Променад, Филармония</v>
      </c>
      <c r="I803" s="6" t="str">
        <f>IFERROR(__xludf.DUMMYFUNCTION("""COMPUTED_VALUE"""),"-")</f>
        <v>-</v>
      </c>
      <c r="J803" s="6" t="str">
        <f>IFERROR(__xludf.DUMMYFUNCTION("""COMPUTED_VALUE"""),"-")</f>
        <v>-</v>
      </c>
      <c r="K803" s="6" t="str">
        <f>IFERROR(__xludf.DUMMYFUNCTION("""COMPUTED_VALUE"""),"-")</f>
        <v>-</v>
      </c>
      <c r="L803" s="6" t="str">
        <f>IFERROR(__xludf.DUMMYFUNCTION("""COMPUTED_VALUE"""),"-")</f>
        <v>-</v>
      </c>
      <c r="M803" s="6" t="str">
        <f>IFERROR(__xludf.DUMMYFUNCTION("""COMPUTED_VALUE"""),"-")</f>
        <v>-</v>
      </c>
      <c r="N803" s="6" t="str">
        <f>IFERROR(__xludf.DUMMYFUNCTION("""COMPUTED_VALUE"""),"-")</f>
        <v>-</v>
      </c>
      <c r="O803" s="6" t="str">
        <f>IFERROR(__xludf.DUMMYFUNCTION("""COMPUTED_VALUE"""),"Сделать воздух чистым! ")</f>
        <v>Сделать воздух чистым! </v>
      </c>
      <c r="P803" s="6" t="str">
        <f>IFERROR(__xludf.DUMMYFUNCTION("""COMPUTED_VALUE"""),"-")</f>
        <v>-</v>
      </c>
      <c r="Q803"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v>
      </c>
      <c r="R803" s="6" t="str">
        <f>IFERROR(__xludf.DUMMYFUNCTION("""COMPUTED_VALUE"""),"-")</f>
        <v>-</v>
      </c>
      <c r="S803" s="6" t="str">
        <f>IFERROR(__xludf.DUMMYFUNCTION("""COMPUTED_VALUE"""),"Нет, не приходилось")</f>
        <v>Нет, не приходилось</v>
      </c>
      <c r="T803" s="6" t="str">
        <f>IFERROR(__xludf.DUMMYFUNCTION("""COMPUTED_VALUE"""),"-")</f>
        <v>-</v>
      </c>
      <c r="U803" s="6" t="str">
        <f>IFERROR(__xludf.DUMMYFUNCTION("""COMPUTED_VALUE"""),"-")</f>
        <v>-</v>
      </c>
      <c r="V803" s="6" t="str">
        <f>IFERROR(__xludf.DUMMYFUNCTION("""COMPUTED_VALUE"""),"-")</f>
        <v>-</v>
      </c>
      <c r="W803" s="6" t="str">
        <f>IFERROR(__xludf.DUMMYFUNCTION("""COMPUTED_VALUE"""),"спокойные, размеренные. ")</f>
        <v>спокойные, размеренные. </v>
      </c>
      <c r="X803" s="6" t="str">
        <f>IFERROR(__xludf.DUMMYFUNCTION("""COMPUTED_VALUE"""),"-")</f>
        <v>-</v>
      </c>
      <c r="Y803" s="6" t="str">
        <f>IFERROR(__xludf.DUMMYFUNCTION("""COMPUTED_VALUE"""),"-")</f>
        <v>-</v>
      </c>
      <c r="Z803" s="6" t="str">
        <f>IFERROR(__xludf.DUMMYFUNCTION("""COMPUTED_VALUE"""),"-")</f>
        <v>-</v>
      </c>
      <c r="AA803" s="6" t="str">
        <f>IFERROR(__xludf.DUMMYFUNCTION("""COMPUTED_VALUE"""),"пандемия Covid")</f>
        <v>пандемия Covid</v>
      </c>
      <c r="AB803" s="6" t="str">
        <f>IFERROR(__xludf.DUMMYFUNCTION("""COMPUTED_VALUE"""),"культурных ")</f>
        <v>культурных </v>
      </c>
      <c r="AC803" s="6" t="str">
        <f>IFERROR(__xludf.DUMMYFUNCTION("""COMPUTED_VALUE"""),"-")</f>
        <v>-</v>
      </c>
      <c r="AD803"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Коммуникатора: Готов задействовать свои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803" s="6" t="str">
        <f>IFERROR(__xludf.DUMMYFUNCTION("""COMPUTED_VALUE"""),"Женский")</f>
        <v>Женский</v>
      </c>
      <c r="AF803" s="6" t="str">
        <f>IFERROR(__xludf.DUMMYFUNCTION("""COMPUTED_VALUE"""),"30-44")</f>
        <v>30-44</v>
      </c>
      <c r="AG803" s="6"/>
      <c r="AH803" s="6"/>
      <c r="AI803" s="6"/>
      <c r="AJ803" s="6"/>
      <c r="AK803" s="6"/>
      <c r="AL803" s="6"/>
      <c r="AM803" s="6"/>
    </row>
    <row r="804">
      <c r="A804" s="6">
        <v>803.0</v>
      </c>
      <c r="B804" s="6" t="str">
        <f>IFERROR(__xludf.DUMMYFUNCTION("""COMPUTED_VALUE"""),"Администратор веб-сайтов")</f>
        <v>Администратор веб-сайтов</v>
      </c>
      <c r="C804" s="6" t="str">
        <f>IFERROR(__xludf.DUMMYFUNCTION("""COMPUTED_VALUE"""),"видеосъемка, рыбалка, хоккей с шайбой")</f>
        <v>видеосъемка, рыбалка, хоккей с шайбой</v>
      </c>
      <c r="D804" s="6" t="str">
        <f>IFERROR(__xludf.DUMMYFUNCTION("""COMPUTED_VALUE"""),"Заводский")</f>
        <v>Заводский</v>
      </c>
      <c r="E804" s="6" t="str">
        <f>IFERROR(__xludf.DUMMYFUNCTION("""COMPUTED_VALUE"""),"Парк Ангелов, ледовая арена ""Кемерово""")</f>
        <v>Парк Ангелов, ледовая арена "Кемерово"</v>
      </c>
      <c r="F80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804" s="6" t="str">
        <f>IFERROR(__xludf.DUMMYFUNCTION("""COMPUTED_VALUE"""),"Никуда, т.к. нет интересных мест/площадок для времяпрепровождения")</f>
        <v>Никуда, т.к. нет интересных мест/площадок для времяпрепровождения</v>
      </c>
      <c r="H804" s="6" t="str">
        <f>IFERROR(__xludf.DUMMYFUNCTION("""COMPUTED_VALUE"""),"Химия, город, село, пробки, экология")</f>
        <v>Химия, город, село, пробки, экология</v>
      </c>
      <c r="I804" s="6" t="str">
        <f>IFERROR(__xludf.DUMMYFUNCTION("""COMPUTED_VALUE"""),"Владимир Михайлов")</f>
        <v>Владимир Михайлов</v>
      </c>
      <c r="J804" s="6" t="str">
        <f>IFERROR(__xludf.DUMMYFUNCTION("""COMPUTED_VALUE"""),"нет")</f>
        <v>нет</v>
      </c>
      <c r="K804" s="6" t="str">
        <f>IFERROR(__xludf.DUMMYFUNCTION("""COMPUTED_VALUE"""),"Набережная, парк Жукова, Лесная Поляна")</f>
        <v>Набережная, парк Жукова, Лесная Поляна</v>
      </c>
      <c r="L804" s="6" t="str">
        <f>IFERROR(__xludf.DUMMYFUNCTION("""COMPUTED_VALUE"""),"нет")</f>
        <v>нет</v>
      </c>
      <c r="M804" s="6" t="str">
        <f>IFERROR(__xludf.DUMMYFUNCTION("""COMPUTED_VALUE"""),"нет")</f>
        <v>нет</v>
      </c>
      <c r="N804" s="6" t="str">
        <f>IFERROR(__xludf.DUMMYFUNCTION("""COMPUTED_VALUE"""),"Единственное, комфортное положение нашего города - компактность города  в плане застройки")</f>
        <v>Единственное, комфортное положение нашего города - компактность города  в плане застройки</v>
      </c>
      <c r="O804" s="6" t="str">
        <f>IFERROR(__xludf.DUMMYFUNCTION("""COMPUTED_VALUE"""),"Убрать химические предприятия из черты города, больше построить культурных объектов (а не ТЦ)")</f>
        <v>Убрать химические предприятия из черты города, больше построить культурных объектов (а не ТЦ)</v>
      </c>
      <c r="P804" s="6" t="str">
        <f>IFERROR(__xludf.DUMMYFUNCTION("""COMPUTED_VALUE"""),"Яндекс Новости")</f>
        <v>Яндекс Новости</v>
      </c>
      <c r="Q804" s="6" t="str">
        <f>IFERROR(__xludf.DUMMYFUNCTION("""COMPUTED_VALUE"""),"куда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v>
      </c>
      <c r="R804" s="6" t="str">
        <f>IFERROR(__xludf.DUMMYFUNCTION("""COMPUTED_VALUE"""),"Все действующие на данный момент")</f>
        <v>Все действующие на данный момент</v>
      </c>
      <c r="S804"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v>
      </c>
      <c r="T804" s="6" t="str">
        <f>IFERROR(__xludf.DUMMYFUNCTION("""COMPUTED_VALUE"""),"Столицей угольного региона")</f>
        <v>Столицей угольного региона</v>
      </c>
      <c r="U804" s="6" t="str">
        <f>IFERROR(__xludf.DUMMYFUNCTION("""COMPUTED_VALUE"""),"Площадь Советов")</f>
        <v>Площадь Советов</v>
      </c>
      <c r="V804" s="6" t="str">
        <f>IFERROR(__xludf.DUMMYFUNCTION("""COMPUTED_VALUE"""),"Сохранили сосновый бор в Рудничном районе")</f>
        <v>Сохранили сосновый бор в Рудничном районе</v>
      </c>
      <c r="W804" s="6" t="str">
        <f>IFERROR(__xludf.DUMMYFUNCTION("""COMPUTED_VALUE"""),"Сложно описать, разные люди")</f>
        <v>Сложно описать, разные люди</v>
      </c>
      <c r="X804" s="6" t="str">
        <f>IFERROR(__xludf.DUMMYFUNCTION("""COMPUTED_VALUE"""),"Набережная - ул. Весенняя - все")</f>
        <v>Набережная - ул. Весенняя - все</v>
      </c>
      <c r="Y804" s="6" t="str">
        <f>IFERROR(__xludf.DUMMYFUNCTION("""COMPUTED_VALUE"""),"грандиозного пока нет")</f>
        <v>грандиозного пока нет</v>
      </c>
      <c r="Z804" s="6" t="str">
        <f>IFERROR(__xludf.DUMMYFUNCTION("""COMPUTED_VALUE"""),"нет")</f>
        <v>нет</v>
      </c>
      <c r="AA804" s="6" t="str">
        <f>IFERROR(__xludf.DUMMYFUNCTION("""COMPUTED_VALUE"""),"Открытие кадетского корпуса (могли бы его разместить в здании КВВКУС), убыль населения, рост цен на недвижимость, затягивание строительства обхода Кемерова")</f>
        <v>Открытие кадетского корпуса (могли бы его разместить в здании КВВКУС), убыль населения, рост цен на недвижимость, затягивание строительства обхода Кемерова</v>
      </c>
      <c r="AB804" s="6" t="str">
        <f>IFERROR(__xludf.DUMMYFUNCTION("""COMPUTED_VALUE"""),"Хотелось бы профессионального спорта, а это хоккей с шайбой и футбол (здесь надо вспомнить ХК ""Энергия"" и ФК ""Кузбасс"")")</f>
        <v>Хотелось бы профессионального спорта, а это хоккей с шайбой и футбол (здесь надо вспомнить ХК "Энергия" и ФК "Кузбасс")</v>
      </c>
      <c r="AC804" s="6" t="str">
        <f>IFERROR(__xludf.DUMMYFUNCTION("""COMPUTED_VALUE"""),"Профессиональный спорт, открытие аквапарка, новых мест для активного отдыха")</f>
        <v>Профессиональный спорт, открытие аквапарка, новых мест для активного отдыха</v>
      </c>
      <c r="AD80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непосредств"&amp;"енно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804" s="6" t="str">
        <f>IFERROR(__xludf.DUMMYFUNCTION("""COMPUTED_VALUE"""),"Мужской")</f>
        <v>Мужской</v>
      </c>
      <c r="AF804" s="6" t="str">
        <f>IFERROR(__xludf.DUMMYFUNCTION("""COMPUTED_VALUE"""),"18-29")</f>
        <v>18-29</v>
      </c>
      <c r="AG804" s="6"/>
      <c r="AH804" s="6"/>
      <c r="AI804" s="6"/>
      <c r="AJ804" s="6"/>
      <c r="AK804" s="6"/>
      <c r="AL804" s="6"/>
      <c r="AM804" s="6"/>
    </row>
    <row r="805">
      <c r="A805" s="6">
        <v>804.0</v>
      </c>
      <c r="B805" s="6" t="str">
        <f>IFERROR(__xludf.DUMMYFUNCTION("""COMPUTED_VALUE"""),"Студентка ")</f>
        <v>Студентка </v>
      </c>
      <c r="C805" s="6" t="str">
        <f>IFERROR(__xludf.DUMMYFUNCTION("""COMPUTED_VALUE"""),"Писательство, игра на гитаре")</f>
        <v>Писательство, игра на гитаре</v>
      </c>
      <c r="D805" s="6" t="str">
        <f>IFERROR(__xludf.DUMMYFUNCTION("""COMPUTED_VALUE"""),"Центральный; центральный ")</f>
        <v>Центральный; центральный </v>
      </c>
      <c r="E805" s="6" t="str">
        <f>IFERROR(__xludf.DUMMYFUNCTION("""COMPUTED_VALUE"""),"Филармония, КемГУ ")</f>
        <v>Филармония, КемГУ </v>
      </c>
      <c r="F805" s="6" t="str">
        <f>IFERROR(__xludf.DUMMYFUNCTION("""COMPUTED_VALUE"""),"Переехал сюда из другого места (откуда? укажите в графе другое), Прокопьевск ")</f>
        <v>Переехал сюда из другого места (откуда? укажите в графе другое), Прокопьевск </v>
      </c>
      <c r="G805" s="6" t="str">
        <f>IFERROR(__xludf.DUMMYFUNCTION("""COMPUTED_VALUE"""),"Парк Ангелов")</f>
        <v>Парк Ангелов</v>
      </c>
      <c r="H805" s="6" t="str">
        <f>IFERROR(__xludf.DUMMYFUNCTION("""COMPUTED_VALUE"""),"Суета, многолюдность, парки ")</f>
        <v>Суета, многолюдность, парки </v>
      </c>
      <c r="I805" s="6" t="str">
        <f>IFERROR(__xludf.DUMMYFUNCTION("""COMPUTED_VALUE"""),"Не знаю ")</f>
        <v>Не знаю </v>
      </c>
      <c r="J805" s="6" t="str">
        <f>IFERROR(__xludf.DUMMYFUNCTION("""COMPUTED_VALUE"""),"Не знаю ")</f>
        <v>Не знаю </v>
      </c>
      <c r="K805" s="6" t="str">
        <f>IFERROR(__xludf.DUMMYFUNCTION("""COMPUTED_VALUE"""),"Парк Ангелов, филармония ")</f>
        <v>Парк Ангелов, филармония </v>
      </c>
      <c r="L805" s="6" t="str">
        <f>IFERROR(__xludf.DUMMYFUNCTION("""COMPUTED_VALUE"""),"Не знаю ")</f>
        <v>Не знаю </v>
      </c>
      <c r="M805" s="6" t="str">
        <f>IFERROR(__xludf.DUMMYFUNCTION("""COMPUTED_VALUE"""),"Не знаю ")</f>
        <v>Не знаю </v>
      </c>
      <c r="N805" s="6" t="str">
        <f>IFERROR(__xludf.DUMMYFUNCTION("""COMPUTED_VALUE"""),"Наличие торговых центров, парков, комфортных кафе, мест для трудоустройства; чистые улицы и атмосфера")</f>
        <v>Наличие торговых центров, парков, комфортных кафе, мест для трудоустройства; чистые улицы и атмосфера</v>
      </c>
      <c r="O805" s="6" t="str">
        <f>IFERROR(__xludf.DUMMYFUNCTION("""COMPUTED_VALUE"""),"Ничего")</f>
        <v>Ничего</v>
      </c>
      <c r="P805" s="6" t="str">
        <f>IFERROR(__xludf.DUMMYFUNCTION("""COMPUTED_VALUE"""),"Университет ")</f>
        <v>Университет </v>
      </c>
      <c r="Q805"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f>
        <v>где вкусно поесть/открытие новых кафе/ресторанов, городская афиша (кино/театр/концерты), культурные новинки (что почитать/что послушать)</v>
      </c>
      <c r="R805" s="6" t="str">
        <f>IFERROR(__xludf.DUMMYFUNCTION("""COMPUTED_VALUE"""),"Никакие")</f>
        <v>Никакие</v>
      </c>
      <c r="S805" s="6" t="str">
        <f>IFERROR(__xludf.DUMMYFUNCTION("""COMPUTED_VALUE"""),"Нет, не приходилось")</f>
        <v>Нет, не приходилось</v>
      </c>
      <c r="T805" s="6" t="str">
        <f>IFERROR(__xludf.DUMMYFUNCTION("""COMPUTED_VALUE"""),"Не знаю ")</f>
        <v>Не знаю </v>
      </c>
      <c r="U805" s="6" t="str">
        <f>IFERROR(__xludf.DUMMYFUNCTION("""COMPUTED_VALUE"""),"Филармония ")</f>
        <v>Филармония </v>
      </c>
      <c r="V805" s="6" t="str">
        <f>IFERROR(__xludf.DUMMYFUNCTION("""COMPUTED_VALUE"""),"Развивали его до уровня, который мы имеем сейчас")</f>
        <v>Развивали его до уровня, который мы имеем сейчас</v>
      </c>
      <c r="W805" s="6" t="str">
        <f>IFERROR(__xludf.DUMMYFUNCTION("""COMPUTED_VALUE"""),"Необычные и довольно жизнерадостные")</f>
        <v>Необычные и довольно жизнерадостные</v>
      </c>
      <c r="X805" s="6" t="str">
        <f>IFERROR(__xludf.DUMMYFUNCTION("""COMPUTED_VALUE"""),"Не задавалась данным вопросом")</f>
        <v>Не задавалась данным вопросом</v>
      </c>
      <c r="Y805" s="6" t="str">
        <f>IFERROR(__xludf.DUMMYFUNCTION("""COMPUTED_VALUE"""),"Не знаю ")</f>
        <v>Не знаю </v>
      </c>
      <c r="Z805" s="6" t="str">
        <f>IFERROR(__xludf.DUMMYFUNCTION("""COMPUTED_VALUE"""),"Не знаю ")</f>
        <v>Не знаю </v>
      </c>
      <c r="AA805" s="6" t="str">
        <f>IFERROR(__xludf.DUMMYFUNCTION("""COMPUTED_VALUE"""),"Никакие")</f>
        <v>Никакие</v>
      </c>
      <c r="AB805" s="6" t="str">
        <f>IFERROR(__xludf.DUMMYFUNCTION("""COMPUTED_VALUE"""),"Всего хватает")</f>
        <v>Всего хватает</v>
      </c>
      <c r="AC805" s="6" t="str">
        <f>IFERROR(__xludf.DUMMYFUNCTION("""COMPUTED_VALUE"""),"Акции и праздники ")</f>
        <v>Акции и праздники </v>
      </c>
      <c r="AD805" s="6" t="str">
        <f>IFERROR(__xludf.DUMMYFUNCTION("""COMPUTED_VALUE"""),"Профессионала.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v>
      </c>
      <c r="AE805" s="6" t="str">
        <f>IFERROR(__xludf.DUMMYFUNCTION("""COMPUTED_VALUE"""),"Женский")</f>
        <v>Женский</v>
      </c>
      <c r="AF805" s="6" t="str">
        <f>IFERROR(__xludf.DUMMYFUNCTION("""COMPUTED_VALUE"""),"18-29")</f>
        <v>18-29</v>
      </c>
      <c r="AG805" s="6"/>
      <c r="AH805" s="6"/>
      <c r="AI805" s="6"/>
      <c r="AJ805" s="6"/>
      <c r="AK805" s="6"/>
      <c r="AL805" s="6"/>
      <c r="AM805" s="6"/>
    </row>
    <row r="806">
      <c r="A806" s="6">
        <v>805.0</v>
      </c>
      <c r="B806" s="6" t="str">
        <f>IFERROR(__xludf.DUMMYFUNCTION("""COMPUTED_VALUE"""),"Учусь")</f>
        <v>Учусь</v>
      </c>
      <c r="C806" s="6" t="str">
        <f>IFERROR(__xludf.DUMMYFUNCTION("""COMPUTED_VALUE"""),"Люблю заниматься спортом ")</f>
        <v>Люблю заниматься спортом </v>
      </c>
      <c r="D806" s="6" t="str">
        <f>IFERROR(__xludf.DUMMYFUNCTION("""COMPUTED_VALUE"""),"Кемеровский район")</f>
        <v>Кемеровский район</v>
      </c>
      <c r="E806" s="6" t="str">
        <f>IFERROR(__xludf.DUMMYFUNCTION("""COMPUTED_VALUE"""),"Парк ангелов")</f>
        <v>Парк ангелов</v>
      </c>
      <c r="F806" s="6" t="str">
        <f>IFERROR(__xludf.DUMMYFUNCTION("""COMPUTED_VALUE"""),"Живу здесь с рождения")</f>
        <v>Живу здесь с рождения</v>
      </c>
      <c r="G806" s="6" t="str">
        <f>IFERROR(__xludf.DUMMYFUNCTION("""COMPUTED_VALUE"""),"На Набережную")</f>
        <v>На Набережную</v>
      </c>
      <c r="H806" s="6" t="str">
        <f>IFERROR(__xludf.DUMMYFUNCTION("""COMPUTED_VALUE"""),"Парк")</f>
        <v>Парк</v>
      </c>
      <c r="I806" s="6" t="str">
        <f>IFERROR(__xludf.DUMMYFUNCTION("""COMPUTED_VALUE"""),"Вера")</f>
        <v>Вера</v>
      </c>
      <c r="J806" s="6" t="str">
        <f>IFERROR(__xludf.DUMMYFUNCTION("""COMPUTED_VALUE"""),"Анастасия ")</f>
        <v>Анастасия </v>
      </c>
      <c r="K806" s="6" t="str">
        <f>IFERROR(__xludf.DUMMYFUNCTION("""COMPUTED_VALUE"""),"Памятник Ленину ")</f>
        <v>Памятник Ленину </v>
      </c>
      <c r="L806" s="6" t="str">
        <f>IFERROR(__xludf.DUMMYFUNCTION("""COMPUTED_VALUE"""),"Не знаю")</f>
        <v>Не знаю</v>
      </c>
      <c r="M806" s="6" t="str">
        <f>IFERROR(__xludf.DUMMYFUNCTION("""COMPUTED_VALUE"""),"Нет")</f>
        <v>Нет</v>
      </c>
      <c r="N806" s="6" t="str">
        <f>IFERROR(__xludf.DUMMYFUNCTION("""COMPUTED_VALUE"""),"Чистота, природа, свежий воздух, тишина")</f>
        <v>Чистота, природа, свежий воздух, тишина</v>
      </c>
      <c r="O806" s="6" t="str">
        <f>IFERROR(__xludf.DUMMYFUNCTION("""COMPUTED_VALUE"""),"Ничего")</f>
        <v>Ничего</v>
      </c>
      <c r="P806" s="6" t="str">
        <f>IFERROR(__xludf.DUMMYFUNCTION("""COMPUTED_VALUE"""),"В контакте ")</f>
        <v>В контакте </v>
      </c>
      <c r="Q806" s="6" t="str">
        <f>IFERROR(__xludf.DUMMYFUNCTION("""COMPUTED_VALUE"""),"куда пойти в свободное время, интервью с местными творческими личностями, новости про новые профессии/куда поступать/вакансии")</f>
        <v>куда пойти в свободное время, интервью с местными творческими личностями, новости про новые профессии/куда поступать/вакансии</v>
      </c>
      <c r="R806" s="6" t="str">
        <f>IFERROR(__xludf.DUMMYFUNCTION("""COMPUTED_VALUE"""),"День города ")</f>
        <v>День города </v>
      </c>
      <c r="S806" s="6" t="str">
        <f>IFERROR(__xludf.DUMMYFUNCTION("""COMPUTED_VALUE"""),"Писал и расклеивал объявления/афиши")</f>
        <v>Писал и расклеивал объявления/афиши</v>
      </c>
      <c r="T806" s="6" t="str">
        <f>IFERROR(__xludf.DUMMYFUNCTION("""COMPUTED_VALUE"""),"Уголь")</f>
        <v>Уголь</v>
      </c>
      <c r="U806" s="6" t="str">
        <f>IFERROR(__xludf.DUMMYFUNCTION("""COMPUTED_VALUE"""),"Набережная")</f>
        <v>Набережная</v>
      </c>
      <c r="V806" s="6" t="str">
        <f>IFERROR(__xludf.DUMMYFUNCTION("""COMPUTED_VALUE"""),"Ничего")</f>
        <v>Ничего</v>
      </c>
      <c r="W806" s="6" t="str">
        <f>IFERROR(__xludf.DUMMYFUNCTION("""COMPUTED_VALUE"""),"Добрые")</f>
        <v>Добрые</v>
      </c>
      <c r="X806" s="6" t="str">
        <f>IFERROR(__xludf.DUMMYFUNCTION("""COMPUTED_VALUE"""),"Парк ангелов")</f>
        <v>Парк ангелов</v>
      </c>
      <c r="Y806" s="6" t="str">
        <f>IFERROR(__xludf.DUMMYFUNCTION("""COMPUTED_VALUE"""),"Не знаю")</f>
        <v>Не знаю</v>
      </c>
      <c r="Z806" s="6" t="str">
        <f>IFERROR(__xludf.DUMMYFUNCTION("""COMPUTED_VALUE"""),"День города")</f>
        <v>День города</v>
      </c>
      <c r="AA806" s="6" t="str">
        <f>IFERROR(__xludf.DUMMYFUNCTION("""COMPUTED_VALUE"""),"Нет таких ")</f>
        <v>Нет таких </v>
      </c>
      <c r="AB806" s="6" t="str">
        <f>IFERROR(__xludf.DUMMYFUNCTION("""COMPUTED_VALUE"""),"Всех хватает ")</f>
        <v>Всех хватает </v>
      </c>
      <c r="AC806" s="6" t="str">
        <f>IFERROR(__xludf.DUMMYFUNCTION("""COMPUTED_VALUE"""),"Итак интересно")</f>
        <v>Итак интересно</v>
      </c>
      <c r="AD80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v>
      </c>
      <c r="AE806" s="6" t="str">
        <f>IFERROR(__xludf.DUMMYFUNCTION("""COMPUTED_VALUE"""),"Женский")</f>
        <v>Женский</v>
      </c>
      <c r="AF806" s="6" t="str">
        <f>IFERROR(__xludf.DUMMYFUNCTION("""COMPUTED_VALUE"""),"18-29")</f>
        <v>18-29</v>
      </c>
      <c r="AG806" s="6"/>
      <c r="AH806" s="6"/>
      <c r="AI806" s="6"/>
      <c r="AJ806" s="6"/>
      <c r="AK806" s="6"/>
      <c r="AL806" s="6"/>
      <c r="AM806" s="6"/>
    </row>
    <row r="807">
      <c r="A807" s="6">
        <v>806.0</v>
      </c>
      <c r="B807" s="6" t="str">
        <f>IFERROR(__xludf.DUMMYFUNCTION("""COMPUTED_VALUE"""),"Графический дизайнер")</f>
        <v>Графический дизайнер</v>
      </c>
      <c r="C807" s="6" t="str">
        <f>IFERROR(__xludf.DUMMYFUNCTION("""COMPUTED_VALUE"""),"Хенд-мейд, путешествия")</f>
        <v>Хенд-мейд, путешествия</v>
      </c>
      <c r="D807" s="6" t="str">
        <f>IFERROR(__xludf.DUMMYFUNCTION("""COMPUTED_VALUE"""),"Ленинский район, так и называю.")</f>
        <v>Ленинский район, так и называю.</v>
      </c>
      <c r="E807" s="6" t="str">
        <f>IFERROR(__xludf.DUMMYFUNCTION("""COMPUTED_VALUE"""),"Кольцо, Бульвар, 2 универсам (перекресток)")</f>
        <v>Кольцо, Бульвар, 2 универсам (перекресток)</v>
      </c>
      <c r="F807" s="6" t="str">
        <f>IFERROR(__xludf.DUMMYFUNCTION("""COMPUTED_VALUE"""),"Живу здесь с рождения")</f>
        <v>Живу здесь с рождения</v>
      </c>
      <c r="G807" s="6" t="str">
        <f>IFERROR(__xludf.DUMMYFUNCTION("""COMPUTED_VALUE"""),"Гулять - на набережную, по Весенней, или за город - в деревню. ")</f>
        <v>Гулять - на набережную, по Весенней, или за город - в деревню. </v>
      </c>
      <c r="H807" s="6" t="str">
        <f>IFERROR(__xludf.DUMMYFUNCTION("""COMPUTED_VALUE"""),"Трубы, завод, лес, Кот-да-Винчи (было такое прекрасное место), архитектура")</f>
        <v>Трубы, завод, лес, Кот-да-Винчи (было такое прекрасное место), архитектура</v>
      </c>
      <c r="I807" s="6" t="str">
        <f>IFERROR(__xludf.DUMMYFUNCTION("""COMPUTED_VALUE"""),"Не могу никого вспомнить.")</f>
        <v>Не могу никого вспомнить.</v>
      </c>
      <c r="J807" s="6" t="str">
        <f>IFERROR(__xludf.DUMMYFUNCTION("""COMPUTED_VALUE"""),"Евгений Гришковец, Евгений Сытый,  Сергей Наседкин, Ольга Васильева.")</f>
        <v>Евгений Гришковец, Евгений Сытый,  Сергей Наседкин, Ольга Васильева.</v>
      </c>
      <c r="K807" s="6" t="str">
        <f>IFERROR(__xludf.DUMMYFUNCTION("""COMPUTED_VALUE"""),"Советский, набережную, весеннюю, бор.")</f>
        <v>Советский, набережную, весеннюю, бор.</v>
      </c>
      <c r="L807" s="6" t="str">
        <f>IFERROR(__xludf.DUMMYFUNCTION("""COMPUTED_VALUE"""),"Человек из Кемерово, БГ")</f>
        <v>Человек из Кемерово, БГ</v>
      </c>
      <c r="M807" s="6" t="str">
        <f>IFERROR(__xludf.DUMMYFUNCTION("""COMPUTED_VALUE"""),"нет")</f>
        <v>нет</v>
      </c>
      <c r="N807" s="6" t="str">
        <f>IFERROR(__xludf.DUMMYFUNCTION("""COMPUTED_VALUE"""),"1. Чистый воздух
2. Наличие правильной велоинфраструктуры (можно добраться в любую точку города без страха за свою жизнь и целостность велосипеда)
3. Трамваи 
4. Разнообразие культурной жизни - (Раньше был идеалом Кот-да Винчи - там было все)
5. Городские"&amp;" общественные пространства с точками малого бизнеса ( площадь с кафешками по периметру, арт-пространство с мастерскими, открытые выставки, нормальные лавочки, отсутствие заборов)")</f>
        <v>1. Чистый воздух
2. Наличие правильной велоинфраструктуры (можно добраться в любую точку города без страха за свою жизнь и целостность велосипеда)
3. Трамваи 
4. Разнообразие культурной жизни - (Раньше был идеалом Кот-да Винчи - там было все)
5. Городские общественные пространства с точками малого бизнеса ( площадь с кафешками по периметру, арт-пространство с мастерскими, открытые выставки, нормальные лавочки, отсутствие заборов)</v>
      </c>
      <c r="O807" s="6" t="str">
        <f>IFERROR(__xludf.DUMMYFUNCTION("""COMPUTED_VALUE"""),"Добавить все 5 пунктов из предыдущего вопроса) 
Грязный воздух конечно это главная проблема, очень люблю город, но из-за воздуха все чаще думаю о переезде. 
(туда где воздух чище, есть велоинфраструктура нормальная)")</f>
        <v>Добавить все 5 пунктов из предыдущего вопроса) 
Грязный воздух конечно это главная проблема, очень люблю город, но из-за воздуха все чаще думаю о переезде. 
(туда где воздух чище, есть велоинфраструктура нормальная)</v>
      </c>
      <c r="P807" s="6" t="str">
        <f>IFERROR(__xludf.DUMMYFUNCTION("""COMPUTED_VALUE"""),"Обычно от друзей в Инстаграме. Потому что все что предлагают агрегаторы и афиши - скучно и неинтересно, слишком обычно. ")</f>
        <v>Обычно от друзей в Инстаграме. Потому что все что предлагают агрегаторы и афиши - скучно и неинтересно, слишком обычно. </v>
      </c>
      <c r="Q807" s="6" t="str">
        <f>IFERROR(__xludf.DUMMYFUNCTION("""COMPUTED_VALUE"""),"куда пойти в свободное время, где вкусно поесть/открытие новых кафе/ресторанов, интервью с местными творческими личностями")</f>
        <v>куда пойти в свободное время, где вкусно поесть/открытие новых кафе/ресторанов, интервью с местными творческими личностями</v>
      </c>
      <c r="R807" s="6" t="str">
        <f>IFERROR(__xludf.DUMMYFUNCTION("""COMPUTED_VALUE"""),"Никакие")</f>
        <v>Никакие</v>
      </c>
      <c r="S807" s="6" t="str">
        <f>IFERROR(__xludf.DUMMYFUNCTION("""COMPUTED_VALUE"""),"Нет, не приходилось")</f>
        <v>Нет, не приходилось</v>
      </c>
      <c r="T807" s="6" t="str">
        <f>IFERROR(__xludf.DUMMYFUNCTION("""COMPUTED_VALUE"""),"Известен конечно заводами посреди города (это от знакомых из других городов). И еще что угольная столица. 
Уникально - бор, река, озеро рядом, город  получается сейчас почти вокруг этих объектов. Уникально - сохранившийся архитектурный ансамбль в центре.")</f>
        <v>Известен конечно заводами посреди города (это от знакомых из других городов). И еще что угольная столица. 
Уникально - бор, река, озеро рядом, город  получается сейчас почти вокруг этих объектов. Уникально - сохранившийся архитектурный ансамбль в центре.</v>
      </c>
      <c r="U807" s="6" t="str">
        <f>IFERROR(__xludf.DUMMYFUNCTION("""COMPUTED_VALUE"""),"Драмтеатр")</f>
        <v>Драмтеатр</v>
      </c>
      <c r="V807" s="6" t="str">
        <f>IFERROR(__xludf.DUMMYFUNCTION("""COMPUTED_VALUE"""),"Сохранили бор и историческую застройку")</f>
        <v>Сохранили бор и историческую застройку</v>
      </c>
      <c r="W807" s="6" t="str">
        <f>IFERROR(__xludf.DUMMYFUNCTION("""COMPUTED_VALUE"""),"Добрые, но все ""в себе"", немного закрытые. ")</f>
        <v>Добрые, но все "в себе", немного закрытые. </v>
      </c>
      <c r="X807" s="6" t="str">
        <f>IFERROR(__xludf.DUMMYFUNCTION("""COMPUTED_VALUE"""),"По центру города, потом через мост и в бор. Потом можно еще в Кировский на трамвае.")</f>
        <v>По центру города, потом через мост и в бор. Потом можно еще в Кировский на трамвае.</v>
      </c>
      <c r="Y807" s="6" t="str">
        <f>IFERROR(__xludf.DUMMYFUNCTION("""COMPUTED_VALUE"""),"Сейчас у всех в голове при слове Кемерово - Зимняя Вишня. Кажется сейчас это перекрывает все. ")</f>
        <v>Сейчас у всех в голове при слове Кемерово - Зимняя Вишня. Кажется сейчас это перекрывает все. </v>
      </c>
      <c r="Z807" s="6" t="str">
        <f>IFERROR(__xludf.DUMMYFUNCTION("""COMPUTED_VALUE"""),"За последние 2 года ничего такого интересного в городе не происходило. Была попытка с Площадью кузбасских историй, но как то все заглохло. Было крутое мероприятие - но позже чем 2 года назад - фестиваль Детализация. Вот это было лучшее событие в городе ка"&amp;"жется за все время.")</f>
        <v>За последние 2 года ничего такого интересного в городе не происходило. Была попытка с Площадью кузбасских историй, но как то все заглохло. Было крутое мероприятие - но позже чем 2 года назад - фестиваль Детализация. Вот это было лучшее событие в городе кажется за все время.</v>
      </c>
      <c r="AA807" s="6" t="str">
        <f>IFERROR(__xludf.DUMMYFUNCTION("""COMPUTED_VALUE"""),"Зимняя вишня, идея об установке статуи в бору.")</f>
        <v>Зимняя вишня, идея об установке статуи в бору.</v>
      </c>
      <c r="AB807" s="6" t="str">
        <f>IFERROR(__xludf.DUMMYFUNCTION("""COMPUTED_VALUE"""),"Мастеров, художников, экологов.")</f>
        <v>Мастеров, художников, экологов.</v>
      </c>
      <c r="AC807" s="6" t="str">
        <f>IFERROR(__xludf.DUMMYFUNCTION("""COMPUTED_VALUE"""),"Кинопоказы, свопы по обмену одеждой и вещами, мероприятия по раздельному сбору, дизайнерские маркеты, фестиваль уличных искусств, фестиваль типа Детализации.")</f>
        <v>Кинопоказы, свопы по обмену одеждой и вещами, мероприятия по раздельному сбору, дизайнерские маркеты, фестиваль уличных искусств, фестиваль типа Детализации.</v>
      </c>
      <c r="AD80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07" s="6" t="str">
        <f>IFERROR(__xludf.DUMMYFUNCTION("""COMPUTED_VALUE"""),"Женский")</f>
        <v>Женский</v>
      </c>
      <c r="AF807" s="6" t="str">
        <f>IFERROR(__xludf.DUMMYFUNCTION("""COMPUTED_VALUE"""),"18-29")</f>
        <v>18-29</v>
      </c>
      <c r="AG807" s="6"/>
      <c r="AH807" s="6"/>
      <c r="AI807" s="6"/>
      <c r="AJ807" s="6"/>
      <c r="AK807" s="6"/>
      <c r="AL807" s="6"/>
      <c r="AM807" s="6"/>
    </row>
    <row r="808">
      <c r="A808" s="6">
        <v>807.0</v>
      </c>
      <c r="B808" s="6" t="str">
        <f>IFERROR(__xludf.DUMMYFUNCTION("""COMPUTED_VALUE"""),"Учеба")</f>
        <v>Учеба</v>
      </c>
      <c r="C808" s="6" t="str">
        <f>IFERROR(__xludf.DUMMYFUNCTION("""COMPUTED_VALUE"""),"Учеба")</f>
        <v>Учеба</v>
      </c>
      <c r="D808" s="6" t="str">
        <f>IFERROR(__xludf.DUMMYFUNCTION("""COMPUTED_VALUE"""),"Ленинский/Шалготарьян")</f>
        <v>Ленинский/Шалготарьян</v>
      </c>
      <c r="E808" s="6" t="str">
        <f>IFERROR(__xludf.DUMMYFUNCTION("""COMPUTED_VALUE"""),"Кадетское училище
Бульвар Строителей
Ботанический сад
Детская ЖД
")</f>
        <v>Кадетское училище
Бульвар Строителей
Ботанический сад
Детская ЖД
</v>
      </c>
      <c r="F808" s="6" t="str">
        <f>IFERROR(__xludf.DUMMYFUNCTION("""COMPUTED_VALUE"""),"Переехал сюда из другого места (откуда? укажите в графе другое), Не живу,но приезжаю сюда (к родственникам/друзьям), Тюмень")</f>
        <v>Переехал сюда из другого места (откуда? укажите в графе другое), Не живу,но приезжаю сюда (к родственникам/друзьям), Тюмень</v>
      </c>
      <c r="G808" s="6" t="str">
        <f>IFERROR(__xludf.DUMMYFUNCTION("""COMPUTED_VALUE"""),"Лента
Леруа Мерлен
Бульвар строителей
")</f>
        <v>Лента
Леруа Мерлен
Бульвар строителей
</v>
      </c>
      <c r="H808" s="6" t="str">
        <f>IFERROR(__xludf.DUMMYFUNCTION("""COMPUTED_VALUE"""),"Смог
Уголь
Зимняя Вишня
Шахтер
Советское ""развитие""
")</f>
        <v>Смог
Уголь
Зимняя Вишня
Шахтер
Советское "развитие"
</v>
      </c>
      <c r="I808" s="6" t="str">
        <f>IFERROR(__xludf.DUMMYFUNCTION("""COMPUTED_VALUE"""),"Леонов
Волков
Вера Волошина")</f>
        <v>Леонов
Волков
Вера Волошина</v>
      </c>
      <c r="J808" s="6" t="str">
        <f>IFERROR(__xludf.DUMMYFUNCTION("""COMPUTED_VALUE"""),"Простой рабочий класс")</f>
        <v>Простой рабочий класс</v>
      </c>
      <c r="K808" s="6" t="str">
        <f>IFERROR(__xludf.DUMMYFUNCTION("""COMPUTED_VALUE"""),"Томская набережная
Бульвар строителей
Площадь Советов
Театр
Весенняя улица")</f>
        <v>Томская набережная
Бульвар строителей
Площадь Советов
Театр
Весенняя улица</v>
      </c>
      <c r="L808" s="6" t="str">
        <f>IFERROR(__xludf.DUMMYFUNCTION("""COMPUTED_VALUE"""),"-")</f>
        <v>-</v>
      </c>
      <c r="M808" s="6" t="str">
        <f>IFERROR(__xludf.DUMMYFUNCTION("""COMPUTED_VALUE"""),"Строгалка
Выдерга
")</f>
        <v>Строгалка
Выдерга
</v>
      </c>
      <c r="N808" s="6" t="str">
        <f>IFERROR(__xludf.DUMMYFUNCTION("""COMPUTED_VALUE"""),"Климат
Горные системы
Центр области
Близость крупных городов
")</f>
        <v>Климат
Горные системы
Центр области
Близость крупных городов
</v>
      </c>
      <c r="O808" s="6" t="str">
        <f>IFERROR(__xludf.DUMMYFUNCTION("""COMPUTED_VALUE"""),"Экологическую обстановку
Дорожную развязку федеральной трассы
Правительство региона")</f>
        <v>Экологическую обстановку
Дорожную развязку федеральной трассы
Правительство региона</v>
      </c>
      <c r="P808" s="6" t="str">
        <f>IFERROR(__xludf.DUMMYFUNCTION("""COMPUTED_VALUE"""),"ВКонтакте
Инстаграм
Радио")</f>
        <v>ВКонтакте
Инстаграм
Радио</v>
      </c>
      <c r="Q808" s="6" t="str">
        <f>IFERROR(__xludf.DUMMYFUNCTION("""COMPUTED_VALUE"""),"городская афиша (кино/театр/концерты), интервью с местными политиками, криминальные новости (происшествия/преступления), результаты местных исследований (рейтинги/аналитика/тенденции)")</f>
        <v>городская афиша (кино/театр/концерты), интервью с местными политиками, криминальные новости (происшествия/преступления), результаты местных исследований (рейтинги/аналитика/тенденции)</v>
      </c>
      <c r="R808" s="6" t="str">
        <f>IFERROR(__xludf.DUMMYFUNCTION("""COMPUTED_VALUE"""),"Масленица
День Победы
День города
День Шахтера")</f>
        <v>Масленица
День Победы
День города
День Шахтера</v>
      </c>
      <c r="S808" s="6" t="str">
        <f>IFERROR(__xludf.DUMMYFUNCTION("""COMPUTED_VALUE"""),"Нет, не приходилось")</f>
        <v>Нет, не приходилось</v>
      </c>
      <c r="T808" s="6" t="str">
        <f>IFERROR(__xludf.DUMMYFUNCTION("""COMPUTED_VALUE"""),"Угольный бассейн
Пожар в Зимней Вишне
")</f>
        <v>Угольный бассейн
Пожар в Зимней Вишне
</v>
      </c>
      <c r="U808" s="6" t="str">
        <f>IFERROR(__xludf.DUMMYFUNCTION("""COMPUTED_VALUE"""),"Площадь Советов")</f>
        <v>Площадь Советов</v>
      </c>
      <c r="V808" s="6" t="str">
        <f>IFERROR(__xludf.DUMMYFUNCTION("""COMPUTED_VALUE"""),"Развитием города и региона
Постройкой всего города в целом")</f>
        <v>Развитием города и региона
Постройкой всего города в целом</v>
      </c>
      <c r="W808" s="6" t="str">
        <f>IFERROR(__xludf.DUMMYFUNCTION("""COMPUTED_VALUE"""),"Хмурые
Уставшие
")</f>
        <v>Хмурые
Уставшие
</v>
      </c>
      <c r="X808" s="6" t="str">
        <f>IFERROR(__xludf.DUMMYFUNCTION("""COMPUTED_VALUE"""),"-")</f>
        <v>-</v>
      </c>
      <c r="Y808" s="6" t="str">
        <f>IFERROR(__xludf.DUMMYFUNCTION("""COMPUTED_VALUE"""),"Развал СССР")</f>
        <v>Развал СССР</v>
      </c>
      <c r="Z808" s="6" t="str">
        <f>IFERROR(__xludf.DUMMYFUNCTION("""COMPUTED_VALUE"""),"Отставка Тулеева")</f>
        <v>Отставка Тулеева</v>
      </c>
      <c r="AA808" s="6" t="str">
        <f>IFERROR(__xludf.DUMMYFUNCTION("""COMPUTED_VALUE"""),"Высокий уровень преступности")</f>
        <v>Высокий уровень преступности</v>
      </c>
      <c r="AB808" s="6" t="str">
        <f>IFERROR(__xludf.DUMMYFUNCTION("""COMPUTED_VALUE"""),"-")</f>
        <v>-</v>
      </c>
      <c r="AC808" s="6" t="str">
        <f>IFERROR(__xludf.DUMMYFUNCTION("""COMPUTED_VALUE"""),"День экологии")</f>
        <v>День экологии</v>
      </c>
      <c r="AD80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808" s="6" t="str">
        <f>IFERROR(__xludf.DUMMYFUNCTION("""COMPUTED_VALUE"""),"Мужской")</f>
        <v>Мужской</v>
      </c>
      <c r="AF808" s="6" t="str">
        <f>IFERROR(__xludf.DUMMYFUNCTION("""COMPUTED_VALUE"""),"18-29")</f>
        <v>18-29</v>
      </c>
      <c r="AG808" s="6"/>
      <c r="AH808" s="6"/>
      <c r="AI808" s="6"/>
      <c r="AJ808" s="6"/>
      <c r="AK808" s="6"/>
      <c r="AL808" s="6"/>
      <c r="AM808" s="6"/>
    </row>
    <row r="809">
      <c r="A809" s="6">
        <v>808.0</v>
      </c>
      <c r="B809" s="6" t="str">
        <f>IFERROR(__xludf.DUMMYFUNCTION("""COMPUTED_VALUE"""),"работник в сфере культуры")</f>
        <v>работник в сфере культуры</v>
      </c>
      <c r="C809" s="6" t="str">
        <f>IFERROR(__xludf.DUMMYFUNCTION("""COMPUTED_VALUE"""),"работа")</f>
        <v>работа</v>
      </c>
      <c r="D809" s="6" t="str">
        <f>IFERROR(__xludf.DUMMYFUNCTION("""COMPUTED_VALUE"""),"Южный")</f>
        <v>Южный</v>
      </c>
      <c r="E809" s="6" t="str">
        <f>IFERROR(__xludf.DUMMYFUNCTION("""COMPUTED_VALUE"""),"бульвар улицы Патриотов")</f>
        <v>бульвар улицы Патриотов</v>
      </c>
      <c r="F809" s="6" t="str">
        <f>IFERROR(__xludf.DUMMYFUNCTION("""COMPUTED_VALUE"""),"Переехал сюда из другого места (откуда? укажите в графе другое), Туркменистан")</f>
        <v>Переехал сюда из другого места (откуда? укажите в графе другое), Туркменистан</v>
      </c>
      <c r="G809" s="6" t="str">
        <f>IFERROR(__xludf.DUMMYFUNCTION("""COMPUTED_VALUE"""),"Сосновый бор")</f>
        <v>Сосновый бор</v>
      </c>
      <c r="H809" s="6" t="str">
        <f>IFERROR(__xludf.DUMMYFUNCTION("""COMPUTED_VALUE"""),"Юность, энергия, красота, успех, талант")</f>
        <v>Юность, энергия, красота, успех, талант</v>
      </c>
      <c r="I809" s="6" t="str">
        <f>IFERROR(__xludf.DUMMYFUNCTION("""COMPUTED_VALUE"""),"В. Волошина, Ю. Двужильный, М. Волков, В. Федоров, и др.")</f>
        <v>В. Волошина, Ю. Двужильный, М. Волков, В. Федоров, и др.</v>
      </c>
      <c r="J809" s="6" t="str">
        <f>IFERROR(__xludf.DUMMYFUNCTION("""COMPUTED_VALUE"""),"В. Михайлов, И. Федорова, А. Тулеев")</f>
        <v>В. Михайлов, И. Федорова, А. Тулеев</v>
      </c>
      <c r="K809" s="6" t="str">
        <f>IFERROR(__xludf.DUMMYFUNCTION("""COMPUTED_VALUE"""),"Томская писаница, Красная горка, Площадь искусств, ул. Весенняя")</f>
        <v>Томская писаница, Красная горка, Площадь искусств, ул. Весенняя</v>
      </c>
      <c r="L809" s="6" t="str">
        <f>IFERROR(__xludf.DUMMYFUNCTION("""COMPUTED_VALUE"""),"Злой добра не помнит, а добрый - зла не помнит")</f>
        <v>Злой добра не помнит, а добрый - зла не помнит</v>
      </c>
      <c r="M809" s="6" t="str">
        <f>IFERROR(__xludf.DUMMYFUNCTION("""COMPUTED_VALUE"""),"кедрач, падалица")</f>
        <v>кедрач, падалица</v>
      </c>
      <c r="N809" s="6" t="str">
        <f>IFERROR(__xludf.DUMMYFUNCTION("""COMPUTED_VALUE"""),"общественный транспорт, уютные места отдыха,  чистота, доступность туризма, дешевые цены на авиа перелеты")</f>
        <v>общественный транспорт, уютные места отдыха,  чистота, доступность туризма, дешевые цены на авиа перелеты</v>
      </c>
      <c r="O809" s="6" t="str">
        <f>IFERROR(__xludf.DUMMYFUNCTION("""COMPUTED_VALUE"""),"улучшить работу по движению общественного транспорта, обустроить нормальные парковки и инфраструктуру жилых районов, построить поликлинику на Южном,  чистка дворов и районов")</f>
        <v>улучшить работу по движению общественного транспорта, обустроить нормальные парковки и инфраструктуру жилых районов, построить поликлинику на Южном,  чистка дворов и районов</v>
      </c>
      <c r="P809" s="6" t="str">
        <f>IFERROR(__xludf.DUMMYFUNCTION("""COMPUTED_VALUE"""),"СМИ, контакт, файсбук, инстаграм")</f>
        <v>СМИ, контакт, файсбук, инстаграм</v>
      </c>
      <c r="Q809" s="6" t="str">
        <f>IFERROR(__xludf.DUMMYFUNCTION("""COMPUTED_VALUE"""),"культурные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f>
        <v>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809" s="6" t="str">
        <f>IFERROR(__xludf.DUMMYFUNCTION("""COMPUTED_VALUE"""),"Парад Победы! ")</f>
        <v>Парад Победы! </v>
      </c>
      <c r="S809"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809" s="6" t="str">
        <f>IFERROR(__xludf.DUMMYFUNCTION("""COMPUTED_VALUE"""),"площадь Советов, улица Весенняя, аэропорт Леонова")</f>
        <v>площадь Советов, улица Весенняя, аэропорт Леонова</v>
      </c>
      <c r="U809" s="6" t="str">
        <f>IFERROR(__xludf.DUMMYFUNCTION("""COMPUTED_VALUE"""),"площадь Советов, памятник М. Волкову, ""Сердце шахтера Э. Неизвестного, парк ангелов")</f>
        <v>площадь Советов, памятник М. Волкову, "Сердце шахтера Э. Неизвестного, парк ангелов</v>
      </c>
      <c r="V809" s="6" t="str">
        <f>IFERROR(__xludf.DUMMYFUNCTION("""COMPUTED_VALUE"""),"Строили город с любовью и надеждой, чтобы дети, внуки и правнуки гордились им и  продолжали его историю")</f>
        <v>Строили город с любовью и надеждой, чтобы дети, внуки и правнуки гордились им и  продолжали его историю</v>
      </c>
      <c r="W809" s="6" t="str">
        <f>IFERROR(__xludf.DUMMYFUNCTION("""COMPUTED_VALUE"""),"доброжелательные, искренние, но зимой - скучные и мрачные (наверное холодно!)")</f>
        <v>доброжелательные, искренние, но зимой - скучные и мрачные (наверное холодно!)</v>
      </c>
      <c r="X809" s="6" t="str">
        <f>IFERROR(__xludf.DUMMYFUNCTION("""COMPUTED_VALUE"""),"Площадь Советов")</f>
        <v>Площадь Советов</v>
      </c>
      <c r="Y809" s="6" t="str">
        <f>IFERROR(__xludf.DUMMYFUNCTION("""COMPUTED_VALUE"""),"Фестиваль ""Зори Кузбасса"" ")</f>
        <v>Фестиваль "Зори Кузбасса" </v>
      </c>
      <c r="Z809" s="6" t="str">
        <f>IFERROR(__xludf.DUMMYFUNCTION("""COMPUTED_VALUE"""),"Трудно сказать, Фестиваль на Томской писанице,  онлайн концерты, и все что связано с филармонией")</f>
        <v>Трудно сказать, Фестиваль на Томской писанице,  онлайн концерты, и все что связано с филармонией</v>
      </c>
      <c r="AA809" s="6" t="str">
        <f>IFERROR(__xludf.DUMMYFUNCTION("""COMPUTED_VALUE"""),"Трагедия ""Зимняя вишня"" до сих пор не отпускает")</f>
        <v>Трагедия "Зимняя вишня" до сих пор не отпускает</v>
      </c>
      <c r="AB809" s="6" t="str">
        <f>IFERROR(__xludf.DUMMYFUNCTION("""COMPUTED_VALUE"""),"Лично мне хватает сообществ - это мои друзья и коллеги по работе")</f>
        <v>Лично мне хватает сообществ - это мои друзья и коллеги по работе</v>
      </c>
      <c r="AC809" s="6" t="str">
        <f>IFERROR(__xludf.DUMMYFUNCTION("""COMPUTED_VALUE"""),"бесплатные культурные мероприятия, больше   пространств для пеших прогулок, велодорожки")</f>
        <v>бесплатные культурные мероприятия, больше   пространств для пеших прогулок, велодорожки</v>
      </c>
      <c r="AD80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09" s="6" t="str">
        <f>IFERROR(__xludf.DUMMYFUNCTION("""COMPUTED_VALUE"""),"Женский")</f>
        <v>Женский</v>
      </c>
      <c r="AF809" s="6" t="str">
        <f>IFERROR(__xludf.DUMMYFUNCTION("""COMPUTED_VALUE"""),"45-55")</f>
        <v>45-55</v>
      </c>
      <c r="AG809" s="6"/>
      <c r="AH809" s="6"/>
      <c r="AI809" s="6"/>
      <c r="AJ809" s="6"/>
      <c r="AK809" s="6"/>
      <c r="AL809" s="6"/>
      <c r="AM809" s="6"/>
    </row>
    <row r="810">
      <c r="A810" s="6">
        <v>809.0</v>
      </c>
      <c r="B810" s="6" t="str">
        <f>IFERROR(__xludf.DUMMYFUNCTION("""COMPUTED_VALUE"""),"Центр театрального творчества")</f>
        <v>Центр театрального творчества</v>
      </c>
      <c r="C810" s="6" t="str">
        <f>IFERROR(__xludf.DUMMYFUNCTION("""COMPUTED_VALUE"""),"Кайдзен, васту и астрология")</f>
        <v>Кайдзен, васту и астрология</v>
      </c>
      <c r="D810" s="6" t="str">
        <f>IFERROR(__xludf.DUMMYFUNCTION("""COMPUTED_VALUE"""),"центральный. Старый центр")</f>
        <v>центральный. Старый центр</v>
      </c>
      <c r="E810" s="6" t="str">
        <f>IFERROR(__xludf.DUMMYFUNCTION("""COMPUTED_VALUE"""),"фонтан у драмы, Набережная, Парк чудес, Весенняя, Вечный огонь")</f>
        <v>фонтан у драмы, Набережная, Парк чудес, Весенняя, Вечный огонь</v>
      </c>
      <c r="F810" s="6" t="str">
        <f>IFERROR(__xludf.DUMMYFUNCTION("""COMPUTED_VALUE"""),"Переехал сюда из другого места (откуда? укажите в графе другое), переехала из Прокопьевска, родилась в Казахстане")</f>
        <v>Переехал сюда из другого места (откуда? укажите в графе другое), переехала из Прокопьевска, родилась в Казахстане</v>
      </c>
      <c r="G810" s="6" t="str">
        <f>IFERROR(__xludf.DUMMYFUNCTION("""COMPUTED_VALUE"""),"на Набережную, в парк чудес, в сосновый бор, на орбиту")</f>
        <v>на Набережную, в парк чудес, в сосновый бор, на орбиту</v>
      </c>
      <c r="H810" s="6" t="str">
        <f>IFERROR(__xludf.DUMMYFUNCTION("""COMPUTED_VALUE"""),"простор, инертность, креатив, смог, культура")</f>
        <v>простор, инертность, креатив, смог, культура</v>
      </c>
      <c r="I810" s="6" t="str">
        <f>IFERROR(__xludf.DUMMYFUNCTION("""COMPUTED_VALUE"""),"Алексей Панин, Алексей Леонов, Евгений Гришковец, Елена Малышева")</f>
        <v>Алексей Панин, Алексей Леонов, Евгений Гришковец, Елена Малышева</v>
      </c>
      <c r="J810" s="6" t="str">
        <f>IFERROR(__xludf.DUMMYFUNCTION("""COMPUTED_VALUE"""),"Они все уехали, в целом. Попробую наскребсти.
Андрей Шавнев, Александра Казанцева,  Григорий Забавин, Марина Ли, Владимир и Назиля Синюковы, Андрей Герман")</f>
        <v>Они все уехали, в целом. Попробую наскребсти.
Андрей Шавнев, Александра Казанцева,  Григорий Забавин, Марина Ли, Владимир и Назиля Синюковы, Андрей Герман</v>
      </c>
      <c r="K810" s="6" t="str">
        <f>IFERROR(__xludf.DUMMYFUNCTION("""COMPUTED_VALUE"""),"Красную горку, памятник Шахтеру, парк Ангелов, Набережную, театр ""Ярус""")</f>
        <v>Красную горку, памятник Шахтеру, парк Ангелов, Набережную, театр "Ярус"</v>
      </c>
      <c r="L810" s="6" t="str">
        <f>IFERROR(__xludf.DUMMYFUNCTION("""COMPUTED_VALUE"""),"Кемерово-болото. Кемеровчане любят работать/пахать.")</f>
        <v>Кемерово-болото. Кемеровчане любят работать/пахать.</v>
      </c>
      <c r="M810" s="6" t="str">
        <f>IFERROR(__xludf.DUMMYFUNCTION("""COMPUTED_VALUE"""),"не знаю. Или не могу вспомнить сейчас. Или не осознаю, что это по-кемеровски.")</f>
        <v>не знаю. Или не могу вспомнить сейчас. Или не осознаю, что это по-кемеровски.</v>
      </c>
      <c r="N810" s="6" t="str">
        <f>IFERROR(__xludf.DUMMYFUNCTION("""COMPUTED_VALUE"""),"чистый воздух, чистые просторные,зеленые улицы, удобный общественный транспорт, больший выбор ""третьих мест"", общественная активность и вовлеченность горожан")</f>
        <v>чистый воздух, чистые просторные,зеленые улицы, удобный общественный транспорт, больший выбор "третьих мест", общественная активность и вовлеченность горожан</v>
      </c>
      <c r="O810" s="6" t="str">
        <f>IFERROR(__xludf.DUMMYFUNCTION("""COMPUTED_VALUE"""),"воздух, общественный транспорт (больше маршрутов, чаще, может единый билет по принципу метро надо сделать), расшевелить спальные районы- наполнить активностями, найти городскую уникальность/фишку/")</f>
        <v>воздух, общественный транспорт (больше маршрутов, чаще, может единый билет по принципу метро надо сделать), расшевелить спальные районы- наполнить активностями, найти городскую уникальность/фишку/</v>
      </c>
      <c r="P810" s="6" t="str">
        <f>IFERROR(__xludf.DUMMYFUNCTION("""COMPUTED_VALUE"""),"а42, реклама в Инстаграм, друзья сообщают")</f>
        <v>а42, реклама в Инстаграм, друзья сообщают</v>
      </c>
      <c r="Q810"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(рейтинги/аналитика/те"&amp;"нденции)")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v>
      </c>
      <c r="R810" s="6" t="str">
        <f>IFERROR(__xludf.DUMMYFUNCTION("""COMPUTED_VALUE"""),"День города, не праздник, но важная дата - 25 марта ")</f>
        <v>День города, не праздник, но важная дата - 25 марта </v>
      </c>
      <c r="S810"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ВК, Инстаграм")</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ВК, Инстаграм</v>
      </c>
      <c r="T810" s="6" t="str">
        <f>IFERROR(__xludf.DUMMYFUNCTION("""COMPUTED_VALUE"""),"мы отстояли Сосновый бор, мы пережили ""Зимнюю вишню"". 
Красивый, очень прогулочный город, большой вклад иностранцев в развитие города (немцы, американцы, голландцы, французы)")</f>
        <v>мы отстояли Сосновый бор, мы пережили "Зимнюю вишню". 
Красивый, очень прогулочный город, большой вклад иностранцев в развитие города (немцы, американцы, голландцы, французы)</v>
      </c>
      <c r="U810" s="6" t="str">
        <f>IFERROR(__xludf.DUMMYFUNCTION("""COMPUTED_VALUE"""),"Набережная у Вечного огня.")</f>
        <v>Набережная у Вечного огня.</v>
      </c>
      <c r="V810" s="6" t="str">
        <f>IFERROR(__xludf.DUMMYFUNCTION("""COMPUTED_VALUE"""),"Заложили Парк чудес, отсыпали остров, провели чемпионат по бэнди, Кемерово- маленький город, но наши жители достигли успеха во многих областях, уезжая, сохраняют свою связь с городом.")</f>
        <v>Заложили Парк чудес, отсыпали остров, провели чемпионат по бэнди, Кемерово- маленький город, но наши жители достигли успеха во многих областях, уезжая, сохраняют свою связь с городом.</v>
      </c>
      <c r="W810" s="6" t="str">
        <f>IFERROR(__xludf.DUMMYFUNCTION("""COMPUTED_VALUE"""),"медлительные, негибкие, неэмоциональные,  но если разогреются, то сложно остановить. Креативные, талантливые, упорные. Стрессоустойчивые, но депрессивные. Привыкшие жить в стрессе")</f>
        <v>медлительные, негибкие, неэмоциональные,  но если разогреются, то сложно остановить. Креативные, талантливые, упорные. Стрессоустойчивые, но депрессивные. Привыкшие жить в стрессе</v>
      </c>
      <c r="X810" s="6" t="str">
        <f>IFERROR(__xludf.DUMMYFUNCTION("""COMPUTED_VALUE"""),"Драма - вечный огонь, орбита, обратно до парка чудес. (Если бы можно было перейти через Томь комфортно, то дойти но Шахтерской славы и Красной горки")</f>
        <v>Драма - вечный огонь, орбита, обратно до парка чудес. (Если бы можно было перейти через Томь комфортно, то дойти но Шахтерской славы и Красной горки</v>
      </c>
      <c r="Y810" s="6" t="str">
        <f>IFERROR(__xludf.DUMMYFUNCTION("""COMPUTED_VALUE"""),"сложно ответить. ")</f>
        <v>сложно ответить. </v>
      </c>
      <c r="Z810" s="6" t="str">
        <f>IFERROR(__xludf.DUMMYFUNCTION("""COMPUTED_VALUE"""),"Сосновый бор (как момент единения), снос гаражей за Филармонией, открытие культурного кластера (и все изменения с этим связанные)")</f>
        <v>Сосновый бор (как момент единения), снос гаражей за Филармонией, открытие культурного кластера (и все изменения с этим связанные)</v>
      </c>
      <c r="AA810" s="6" t="str">
        <f>IFERROR(__xludf.DUMMYFUNCTION("""COMPUTED_VALUE"""),"загрязнение воздуха, снос старого здания школы в Красновке, уродливая ""елка"" на площади Советов")</f>
        <v>загрязнение воздуха, снос старого здания школы в Красновке, уродливая "елка" на площади Советов</v>
      </c>
      <c r="AB810" s="6" t="str">
        <f>IFERROR(__xludf.DUMMYFUNCTION("""COMPUTED_VALUE"""),"Творческих. ")</f>
        <v>Творческих. </v>
      </c>
      <c r="AC810" s="6" t="str">
        <f>IFERROR(__xludf.DUMMYFUNCTION("""COMPUTED_VALUE"""),"привлекающие туристов, красивых, массовых, продолжительных (фестивали)")</f>
        <v>привлекающие туристов, красивых, массовых, продолжительных (фестивали)</v>
      </c>
      <c r="AD810"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v>
      </c>
      <c r="AE810" s="6" t="str">
        <f>IFERROR(__xludf.DUMMYFUNCTION("""COMPUTED_VALUE"""),"Женский")</f>
        <v>Женский</v>
      </c>
      <c r="AF810" s="6" t="str">
        <f>IFERROR(__xludf.DUMMYFUNCTION("""COMPUTED_VALUE"""),"30-44")</f>
        <v>30-44</v>
      </c>
      <c r="AG810" s="6"/>
      <c r="AH810" s="6"/>
      <c r="AI810" s="6"/>
      <c r="AJ810" s="6"/>
      <c r="AK810" s="6"/>
      <c r="AL810" s="6"/>
      <c r="AM810" s="6"/>
    </row>
    <row r="811">
      <c r="A811" s="6">
        <v>810.0</v>
      </c>
      <c r="B811" s="6" t="str">
        <f>IFERROR(__xludf.DUMMYFUNCTION("""COMPUTED_VALUE"""),"пенсионерка")</f>
        <v>пенсионерка</v>
      </c>
      <c r="C811" s="6" t="str">
        <f>IFERROR(__xludf.DUMMYFUNCTION("""COMPUTED_VALUE"""),"нет")</f>
        <v>нет</v>
      </c>
      <c r="D811" s="6" t="str">
        <f>IFERROR(__xludf.DUMMYFUNCTION("""COMPUTED_VALUE"""),"Рулничный")</f>
        <v>Рулничный</v>
      </c>
      <c r="E811" s="6" t="str">
        <f>IFERROR(__xludf.DUMMYFUNCTION("""COMPUTED_VALUE"""),"Бор (был, сейчас умирает)")</f>
        <v>Бор (был, сейчас умирает)</v>
      </c>
      <c r="F811" s="6" t="str">
        <f>IFERROR(__xludf.DUMMYFUNCTION("""COMPUTED_VALUE"""),"Живу здесь с рождения")</f>
        <v>Живу здесь с рождения</v>
      </c>
      <c r="G811" s="6" t="str">
        <f>IFERROR(__xludf.DUMMYFUNCTION("""COMPUTED_VALUE"""),"В ьор")</f>
        <v>В ьор</v>
      </c>
      <c r="H811" s="6" t="str">
        <f>IFERROR(__xludf.DUMMYFUNCTION("""COMPUTED_VALUE"""),"родной")</f>
        <v>родной</v>
      </c>
      <c r="I811" s="6" t="str">
        <f>IFERROR(__xludf.DUMMYFUNCTION("""COMPUTED_VALUE"""),"Рутгерс")</f>
        <v>Рутгерс</v>
      </c>
      <c r="J811" s="6" t="str">
        <f>IFERROR(__xludf.DUMMYFUNCTION("""COMPUTED_VALUE"""),"Михайлов, Тулеев")</f>
        <v>Михайлов, Тулеев</v>
      </c>
      <c r="K811" s="6" t="str">
        <f>IFERROR(__xludf.DUMMYFUNCTION("""COMPUTED_VALUE"""),"Нет таких")</f>
        <v>Нет таких</v>
      </c>
      <c r="L811" s="6" t="str">
        <f>IFERROR(__xludf.DUMMYFUNCTION("""COMPUTED_VALUE"""),"Не знаю")</f>
        <v>Не знаю</v>
      </c>
      <c r="M811" s="6" t="str">
        <f>IFERROR(__xludf.DUMMYFUNCTION("""COMPUTED_VALUE"""),"Нет")</f>
        <v>Нет</v>
      </c>
      <c r="N811" s="6" t="str">
        <f>IFERROR(__xludf.DUMMYFUNCTION("""COMPUTED_VALUE"""),"Чистый воздух, много зелени и цветов, хорошие дороги и транспорт, много детей на улицах, улыбки и смех  и конечно рабочие места ( чтобы гордиться заводами и  фабриками)")</f>
        <v>Чистый воздух, много зелени и цветов, хорошие дороги и транспорт, много детей на улицах, улыбки и смех  и конечно рабочие места ( чтобы гордиться заводами и  фабриками)</v>
      </c>
      <c r="O811" s="6" t="str">
        <f>IFERROR(__xludf.DUMMYFUNCTION("""COMPUTED_VALUE"""),"создать рабочие места для молодежи (см выше)")</f>
        <v>создать рабочие места для молодежи (см выше)</v>
      </c>
      <c r="P811" s="6" t="str">
        <f>IFERROR(__xludf.DUMMYFUNCTION("""COMPUTED_VALUE"""),"интернет, ТВ ")</f>
        <v>интернет, ТВ </v>
      </c>
      <c r="Q811" s="6" t="str">
        <f>IFERROR(__xludf.DUMMYFUNCTION("""COMPUTED_VALUE"""),"интервью с экспертами на разные темы (напишите в разделе Другое свои предложения)")</f>
        <v>интервью с экспертами на разные темы (напишите в разделе Другое свои предложения)</v>
      </c>
      <c r="R811" s="6" t="str">
        <f>IFERROR(__xludf.DUMMYFUNCTION("""COMPUTED_VALUE"""),"день шахтера")</f>
        <v>день шахтера</v>
      </c>
      <c r="S811" s="6" t="str">
        <f>IFERROR(__xludf.DUMMYFUNCTION("""COMPUTED_VALUE"""),"Делал рассылку по электронной почте")</f>
        <v>Делал рассылку по электронной почте</v>
      </c>
      <c r="T811" s="6" t="str">
        <f>IFERROR(__xludf.DUMMYFUNCTION("""COMPUTED_VALUE"""),"углем. Раньше металлом и удобрениями")</f>
        <v>углем. Раньше металлом и удобрениями</v>
      </c>
      <c r="U811" s="6" t="str">
        <f>IFERROR(__xludf.DUMMYFUNCTION("""COMPUTED_VALUE"""),"Площади Советская, Пушкина и Волкова. ")</f>
        <v>Площади Советская, Пушкина и Волкова. </v>
      </c>
      <c r="V811" s="6" t="str">
        <f>IFERROR(__xludf.DUMMYFUNCTION("""COMPUTED_VALUE"""),"Построили его")</f>
        <v>Построили его</v>
      </c>
      <c r="W811" s="6" t="str">
        <f>IFERROR(__xludf.DUMMYFUNCTION("""COMPUTED_VALUE"""),"Суровые")</f>
        <v>Суровые</v>
      </c>
      <c r="X811" s="6" t="str">
        <f>IFERROR(__xludf.DUMMYFUNCTION("""COMPUTED_VALUE"""),"Пешком на Лысую гору, а потом через бор на пр.Шахтеров")</f>
        <v>Пешком на Лысую гору, а потом через бор на пр.Шахтеров</v>
      </c>
      <c r="Y811" s="6" t="str">
        <f>IFERROR(__xludf.DUMMYFUNCTION("""COMPUTED_VALUE"""),"Запуск шахты ""Центральная""")</f>
        <v>Запуск шахты "Центральная"</v>
      </c>
      <c r="Z811" s="6" t="str">
        <f>IFERROR(__xludf.DUMMYFUNCTION("""COMPUTED_VALUE"""),"не запомнила")</f>
        <v>не запомнила</v>
      </c>
      <c r="AA811" s="6" t="str">
        <f>IFERROR(__xludf.DUMMYFUNCTION("""COMPUTED_VALUE"""),"проблемы  с управляющими компаниями")</f>
        <v>проблемы  с управляющими компаниями</v>
      </c>
      <c r="AB811" s="6" t="str">
        <f>IFERROR(__xludf.DUMMYFUNCTION("""COMPUTED_VALUE"""),"не знаю")</f>
        <v>не знаю</v>
      </c>
      <c r="AC811" s="6" t="str">
        <f>IFERROR(__xludf.DUMMYFUNCTION("""COMPUTED_VALUE"""),"культурных в истинном смысле этого слова")</f>
        <v>культурных в истинном смысле этого слова</v>
      </c>
      <c r="AD811"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Не готов"&amp;" принимать личное участие (укажите, пожалуйста, причину в поле «Другое»), Ухаживаю за больными")</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Не готов принимать личное участие (укажите, пожалуйста, причину в поле «Другое»), Ухаживаю за больными</v>
      </c>
      <c r="AE811" s="6" t="str">
        <f>IFERROR(__xludf.DUMMYFUNCTION("""COMPUTED_VALUE"""),"Женский")</f>
        <v>Женский</v>
      </c>
      <c r="AF811" s="6" t="str">
        <f>IFERROR(__xludf.DUMMYFUNCTION("""COMPUTED_VALUE"""),"старше 55")</f>
        <v>старше 55</v>
      </c>
      <c r="AG811" s="6"/>
      <c r="AH811" s="6"/>
      <c r="AI811" s="6"/>
      <c r="AJ811" s="6"/>
      <c r="AK811" s="6"/>
      <c r="AL811" s="6"/>
      <c r="AM811" s="6"/>
    </row>
    <row r="812">
      <c r="A812" s="6">
        <v>811.0</v>
      </c>
      <c r="B812" s="6" t="str">
        <f>IFERROR(__xludf.DUMMYFUNCTION("""COMPUTED_VALUE"""),"Секретарь приемной филармонии")</f>
        <v>Секретарь приемной филармонии</v>
      </c>
      <c r="C812" s="6" t="str">
        <f>IFERROR(__xludf.DUMMYFUNCTION("""COMPUTED_VALUE"""),"Клининг")</f>
        <v>Клининг</v>
      </c>
      <c r="D812" s="6" t="str">
        <f>IFERROR(__xludf.DUMMYFUNCTION("""COMPUTED_VALUE"""),"Лесная Поляна")</f>
        <v>Лесная Поляна</v>
      </c>
      <c r="E812" s="6" t="str">
        <f>IFERROR(__xludf.DUMMYFUNCTION("""COMPUTED_VALUE"""),"Парк Лесная сказка,  проспекты Весенний и Осенний прогулочная зона и детские площадки, ботанический сад, стадион  школы 85, спортивный комплекс на Осеннем  ")</f>
        <v>Парк Лесная сказка,  проспекты Весенний и Осенний прогулочная зона и детские площадки, ботанический сад, стадион  школы 85, спортивный комплекс на Осеннем  </v>
      </c>
      <c r="F812" s="6" t="str">
        <f>IFERROR(__xludf.DUMMYFUNCTION("""COMPUTED_VALUE"""),"Переехал сюда из другого места (откуда? укажите в графе другое), Приехала в 1998 году, поступила в вуз и после окончания вуза осталась (из Л Кузнецкий) ")</f>
        <v>Переехал сюда из другого места (откуда? укажите в графе другое), Приехала в 1998 году, поступила в вуз и после окончания вуза осталась (из Л Кузнецкий) </v>
      </c>
      <c r="G812" s="6" t="str">
        <f>IFERROR(__xludf.DUMMYFUNCTION("""COMPUTED_VALUE"""),"Парк Чудес, Вечный огонь, парк Комсомольский, филармония, театры,  кинотеатры, бассейны, сосновый бор, бульвар строителей, парк Ангелов")</f>
        <v>Парк Чудес, Вечный огонь, парк Комсомольский, филармония, театры,  кинотеатры, бассейны, сосновый бор, бульвар строителей, парк Ангелов</v>
      </c>
      <c r="H812" s="6" t="str">
        <f>IFERROR(__xludf.DUMMYFUNCTION("""COMPUTED_VALUE"""),"Площадь Советов, филармония, парк Ангелов, Лесная Поляна,  монумент Память шахтерам Кузбасса")</f>
        <v>Площадь Советов, филармония, парк Ангелов, Лесная Поляна,  монумент Память шахтерам Кузбасса</v>
      </c>
      <c r="I812" s="6" t="str">
        <f>IFERROR(__xludf.DUMMYFUNCTION("""COMPUTED_VALUE"""),"А.Леонов, Ю.Гагарин, В.Волошина, Ф.Дзержинский, Н.Островский")</f>
        <v>А.Леонов, Ю.Гагарин, В.Волошина, Ф.Дзержинский, Н.Островский</v>
      </c>
      <c r="J812" s="6" t="str">
        <f>IFERROR(__xludf.DUMMYFUNCTION("""COMPUTED_VALUE"""),"Пилипчук Людмила Владимировна, Михайлов Владимир Васильевич, Тулеев Аман Гумирович , Горобцов Борис Семенович, Выприцкий Александр Николаевич, Федорова Ирина Федоровна и др. ")</f>
        <v>Пилипчук Людмила Владимировна, Михайлов Владимир Васильевич, Тулеев Аман Гумирович , Горобцов Борис Семенович, Выприцкий Александр Николаевич, Федорова Ирина Федоровна и др. </v>
      </c>
      <c r="K812" s="6" t="str">
        <f>IFERROR(__xludf.DUMMYFUNCTION("""COMPUTED_VALUE"""),"Парк Ангелов,  Лесная Поляна, монумент Память шахтерам Кузбасса, Вечный огонь, Московскую площадь, филармонию. ")</f>
        <v>Парк Ангелов,  Лесная Поляна, монумент Память шахтерам Кузбасса, Вечный огонь, Московскую площадь, филармонию. </v>
      </c>
      <c r="L812" s="6" t="str">
        <f>IFERROR(__xludf.DUMMYFUNCTION("""COMPUTED_VALUE"""),"Уголек как золото и блестит и ценится ")</f>
        <v>Уголек как золото и блестит и ценится </v>
      </c>
      <c r="M812" s="6" t="str">
        <f>IFERROR(__xludf.DUMMYFUNCTION("""COMPUTED_VALUE"""),"Тормозок, кедрач")</f>
        <v>Тормозок, кедрач</v>
      </c>
      <c r="N812" s="6" t="str">
        <f>IFERROR(__xludf.DUMMYFUNCTION("""COMPUTED_VALUE"""),"Дороги качество, исключить пробки, озеленение, чистый воздух, нет обшарпанных домов, спец отведенные места для выгула животных, парковочные места, город без мусора, прогулочные зоны. ")</f>
        <v>Дороги качество, исключить пробки, озеленение, чистый воздух, нет обшарпанных домов, спец отведенные места для выгула животных, парковочные места, город без мусора, прогулочные зоны. </v>
      </c>
      <c r="O812" s="6" t="str">
        <f>IFERROR(__xludf.DUMMYFUNCTION("""COMPUTED_VALUE"""),"Экологию, пробки, мусор, фасады")</f>
        <v>Экологию, пробки, мусор, фасады</v>
      </c>
      <c r="P812" s="6" t="str">
        <f>IFERROR(__xludf.DUMMYFUNCTION("""COMPUTED_VALUE"""),"ТВ, контакт, инстаграмм, рекламные щиты. ")</f>
        <v>ТВ, контакт, инстаграмм, рекламные щиты. </v>
      </c>
      <c r="Q812" s="6" t="str">
        <f>IFERROR(__xludf.DUMMYFUNCTION("""COMPUTED_VALUE"""),"куда пойти в свободное время, городская афиша (кино/театр/концерты), интервью с местными политиками, бизнес-новости (средний чек/рекламные акции/запуск новых предприятий), результаты местных исследований (рейтинги/аналитика/тенденции), интервью с эксперта"&amp;"ми на разные темы (напишите в разделе Другое свои предложения)")</f>
        <v>куда пойти в свободное время, городская афиша (кино/театр/концерты), интервью с местными политиками,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812" s="6" t="str">
        <f>IFERROR(__xludf.DUMMYFUNCTION("""COMPUTED_VALUE"""),"9 мая, день города. ")</f>
        <v>9 мая, день города. </v>
      </c>
      <c r="S812" s="6" t="str">
        <f>IFERROR(__xludf.DUMMYFUNCTION("""COMPUTED_VALUE"""),"Нет, не приходилось")</f>
        <v>Нет, не приходилось</v>
      </c>
      <c r="T812" s="6" t="str">
        <f>IFERROR(__xludf.DUMMYFUNCTION("""COMPUTED_VALUE"""),"Столица Кузбасса, угольная промышленность, культурный центр. ")</f>
        <v>Столица Кузбасса, угольная промышленность, культурный центр. </v>
      </c>
      <c r="U812" s="6" t="str">
        <f>IFERROR(__xludf.DUMMYFUNCTION("""COMPUTED_VALUE"""),"Площадь Советов")</f>
        <v>Площадь Советов</v>
      </c>
      <c r="V812" s="6" t="str">
        <f>IFERROR(__xludf.DUMMYFUNCTION("""COMPUTED_VALUE"""),"Развитие культуры и спорта, постройка достпримечательностей")</f>
        <v>Развитие культуры и спорта, постройка достпримечательностей</v>
      </c>
      <c r="W812" s="6" t="str">
        <f>IFERROR(__xludf.DUMMYFUNCTION("""COMPUTED_VALUE"""),"Отзывчивые, добропорядочные, трудолюбивые, гостеприимные. ")</f>
        <v>Отзывчивые, добропорядочные, трудолюбивые, гостеприимные. </v>
      </c>
      <c r="X812" s="6" t="str">
        <f>IFERROR(__xludf.DUMMYFUNCTION("""COMPUTED_VALUE"""),"По центру ")</f>
        <v>По центру </v>
      </c>
      <c r="Y812" s="6" t="str">
        <f>IFERROR(__xludf.DUMMYFUNCTION("""COMPUTED_VALUE"""),"Много было значимых")</f>
        <v>Много было значимых</v>
      </c>
      <c r="Z812" s="6" t="str">
        <f>IFERROR(__xludf.DUMMYFUNCTION("""COMPUTED_VALUE"""),"Много событий было ")</f>
        <v>Много событий было </v>
      </c>
      <c r="AA812" s="6" t="str">
        <f>IFERROR(__xludf.DUMMYFUNCTION("""COMPUTED_VALUE"""),"Нет таких ")</f>
        <v>Нет таких </v>
      </c>
      <c r="AB812" s="6" t="str">
        <f>IFERROR(__xludf.DUMMYFUNCTION("""COMPUTED_VALUE"""),"Все устраивает ")</f>
        <v>Все устраивает </v>
      </c>
      <c r="AC812" s="6" t="str">
        <f>IFERROR(__xludf.DUMMYFUNCTION("""COMPUTED_VALUE"""),"Все устраивает ")</f>
        <v>Все устраивает </v>
      </c>
      <c r="AD81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12" s="6" t="str">
        <f>IFERROR(__xludf.DUMMYFUNCTION("""COMPUTED_VALUE"""),"Женский")</f>
        <v>Женский</v>
      </c>
      <c r="AF812" s="6" t="str">
        <f>IFERROR(__xludf.DUMMYFUNCTION("""COMPUTED_VALUE"""),"30-44")</f>
        <v>30-44</v>
      </c>
      <c r="AG812" s="6"/>
      <c r="AH812" s="6"/>
      <c r="AI812" s="6"/>
      <c r="AJ812" s="6"/>
      <c r="AK812" s="6"/>
      <c r="AL812" s="6"/>
      <c r="AM812" s="6"/>
    </row>
    <row r="813">
      <c r="A813" s="6">
        <v>812.0</v>
      </c>
      <c r="B813" s="6" t="str">
        <f>IFERROR(__xludf.DUMMYFUNCTION("""COMPUTED_VALUE"""),"Предприниматель")</f>
        <v>Предприниматель</v>
      </c>
      <c r="C813" s="6" t="str">
        <f>IFERROR(__xludf.DUMMYFUNCTION("""COMPUTED_VALUE"""),"Физкультура, в бору бегаю, в Серебряном бору на лыжах с семьёй гоняю")</f>
        <v>Физкультура, в бору бегаю, в Серебряном бору на лыжах с семьёй гоняю</v>
      </c>
      <c r="D813" s="6" t="str">
        <f>IFERROR(__xludf.DUMMYFUNCTION("""COMPUTED_VALUE"""),"Кировский ")</f>
        <v>Кировский </v>
      </c>
      <c r="E813" s="6" t="str">
        <f>IFERROR(__xludf.DUMMYFUNCTION("""COMPUTED_VALUE"""),"Набережная, суд, ДК, Берёзовая роща, пляж возле набережной, спортзал Грин Горилаз, почта 33 отделение")</f>
        <v>Набережная, суд, ДК, Берёзовая роща, пляж возле набережной, спортзал Грин Горилаз, почта 33 отделение</v>
      </c>
      <c r="F813" s="6" t="str">
        <f>IFERROR(__xludf.DUMMYFUNCTION("""COMPUTED_VALUE"""),"Переехал сюда из другого места (откуда? укажите в графе другое), Родом я из пгт. Промышленная ")</f>
        <v>Переехал сюда из другого места (откуда? укажите в графе другое), Родом я из пгт. Промышленная </v>
      </c>
      <c r="G813" s="6" t="str">
        <f>IFERROR(__xludf.DUMMYFUNCTION("""COMPUTED_VALUE"""),"Рудничный бор, Серебряный бор")</f>
        <v>Рудничный бор, Серебряный бор</v>
      </c>
      <c r="H813" s="6" t="str">
        <f>IFERROR(__xludf.DUMMYFUNCTION("""COMPUTED_VALUE"""),"Смог, коррупция, ура - ещё не спилили лес в центре города, гнилое ЖКХ, почему мы ещё не уехали на юг")</f>
        <v>Смог, коррупция, ура - ещё не спилили лес в центре города, гнилое ЖКХ, почему мы ещё не уехали на юг</v>
      </c>
      <c r="I813" s="6" t="str">
        <f>IFERROR(__xludf.DUMMYFUNCTION("""COMPUTED_VALUE"""),"Леонов, Волков, Андрей Панин (актёр погибший), остальные фамилии связаны с политикой (негативные образы) ")</f>
        <v>Леонов, Волков, Андрей Панин (актёр погибший), остальные фамилии связаны с политикой (негативные образы) </v>
      </c>
      <c r="J813" s="6" t="str">
        <f>IFERROR(__xludf.DUMMYFUNCTION("""COMPUTED_VALUE"""),"Не знаю")</f>
        <v>Не знаю</v>
      </c>
      <c r="K813" s="6" t="str">
        <f>IFERROR(__xludf.DUMMYFUNCTION("""COMPUTED_VALUE"""),"Рудничный бор, Серебряный бор, остальное - серые коробки в грязи и пробках")</f>
        <v>Рудничный бор, Серебряный бор, остальное - серые коробки в грязи и пробках</v>
      </c>
      <c r="L813" s="6" t="str">
        <f>IFERROR(__xludf.DUMMYFUNCTION("""COMPUTED_VALUE"""),"Южный - никому не нужный, я из Кировского в город (Кемерово) поехал, где в стране самая дорогая ёлка, выехал из города - солнце засветило, город, где в смоге над ним виноваты люди из частного сектора, купленные суды предприятиями гигантами")</f>
        <v>Южный - никому не нужный, я из Кировского в город (Кемерово) поехал, где в стране самая дорогая ёлка, выехал из города - солнце засветило, город, где в смоге над ним виноваты люди из частного сектора, купленные суды предприятиями гигантами</v>
      </c>
      <c r="M813" s="6" t="str">
        <f>IFERROR(__xludf.DUMMYFUNCTION("""COMPUTED_VALUE"""),"Нет")</f>
        <v>Нет</v>
      </c>
      <c r="N813" s="6" t="str">
        <f>IFERROR(__xludf.DUMMYFUNCTION("""COMPUTED_VALUE"""),"Наличие большого количества хвойных деревьев, парков из них, детско-спортивных площадок в каждом дворе, слышащего и деятельного руководителя города, качественного ЖКХ и дорог")</f>
        <v>Наличие большого количества хвойных деревьев, парков из них, детско-спортивных площадок в каждом дворе, слышащего и деятельного руководителя города, качественного ЖКХ и дорог</v>
      </c>
      <c r="O813" s="6" t="str">
        <f>IFERROR(__xludf.DUMMYFUNCTION("""COMPUTED_VALUE"""),"В первую очередь нужно выстроить план развития города, в соответствии с которым он превращается в цветущий сад с лучшим образованием в мире")</f>
        <v>В первую очередь нужно выстроить план развития города, в соответствии с которым он превращается в цветущий сад с лучшим образованием в мире</v>
      </c>
      <c r="P813" s="6" t="str">
        <f>IFERROR(__xludf.DUMMYFUNCTION("""COMPUTED_VALUE"""),"От друзей, из новостей, инстаграм, фейсбук, реже - в контакте и афиши города")</f>
        <v>От друзей, из новостей, инстаграм, фейсбук, реже - в контакте и афиши города</v>
      </c>
      <c r="Q813" s="6" t="str">
        <f>IFERROR(__xludf.DUMMYFUNCTION("""COMPUTED_VALUE"""),"куда пойти в свободное время, интервью с местными политиками, результаты местных исследований (рейтинги/аналитика/тенденции), Реализация новых проектов, которые развивают город и область на территории России и международной арене")</f>
        <v>куда пойти в свободное время, интервью с местными политиками, результаты местных исследований (рейтинги/аналитика/тенденции), Реализация новых проектов, которые развивают город и область на территории России и международной арене</v>
      </c>
      <c r="R813" s="6" t="str">
        <f>IFERROR(__xludf.DUMMYFUNCTION("""COMPUTED_VALUE"""),"9 мая, ещё бы хотел день дачника и всей земли в июле")</f>
        <v>9 мая, ещё бы хотел день дачника и всей земли в июле</v>
      </c>
      <c r="S813"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городских газет, телевидения, радио, В Вестях меня показали, когда ругал РЭУ25, Сбор подписей за привлече"&amp;"ние к ответственности Дворкина, ")</f>
        <v>Писал и расклеивал объявления/афиши, Через социальные сети (Какие? Укажите в графе другое), Делал рассылку по электронной почте, Обращался в редакции городских газет, телевидения, радио, В Вестях меня показали, когда ругал РЭУ25, Сбор подписей за привлечение к ответственности Дворкина, </v>
      </c>
      <c r="T813" s="6" t="str">
        <f>IFERROR(__xludf.DUMMYFUNCTION("""COMPUTED_VALUE"""),"Единственный город в России, где прямо в центре есть большой хвойный лес")</f>
        <v>Единственный город в России, где прямо в центре есть большой хвойный лес</v>
      </c>
      <c r="U813" s="6" t="str">
        <f>IFERROR(__xludf.DUMMYFUNCTION("""COMPUTED_VALUE"""),"Рудничный бор для меня символ, а центр - это Драмтеатр, Администрация города и области")</f>
        <v>Рудничный бор для меня символ, а центр - это Драмтеатр, Администрация города и области</v>
      </c>
      <c r="V813" s="6" t="str">
        <f>IFERROR(__xludf.DUMMYFUNCTION("""COMPUTED_VALUE"""),"Посадили много хвойных деревьев, устранили все пивнушки в домах и при магазинах и воспитывали бы в наших школах лучших представителей нашей страны")</f>
        <v>Посадили много хвойных деревьев, устранили все пивнушки в домах и при магазинах и воспитывали бы в наших школах лучших представителей нашей страны</v>
      </c>
      <c r="W813" s="6" t="str">
        <f>IFERROR(__xludf.DUMMYFUNCTION("""COMPUTED_VALUE"""),"Простые, бездействующие (моя хата с краю, пока меня самого не коснулось), в большинстве - добрые, доверчивые. ")</f>
        <v>Простые, бездействующие (моя хата с краю, пока меня самого не коснулось), в большинстве - добрые, доверчивые. </v>
      </c>
      <c r="X813" s="6" t="str">
        <f>IFERROR(__xludf.DUMMYFUNCTION("""COMPUTED_VALUE"""),"Рудничный бор по пятикилометровой дистанции летом, потом можно на Центральную набережную, зимой классно и в Рудничном бору, и в Серебряном, Кировская набережная стала очень симпатичная, но вид чадящих труб с того берега и запах с очистных сооружений оттуд"&amp;"а же заставляет задуматься съехать оттуда. ")</f>
        <v>Рудничный бор по пятикилометровой дистанции летом, потом можно на Центральную набережную, зимой классно и в Рудничном бору, и в Серебряном, Кировская набережная стала очень симпатичная, но вид чадящих труб с того берега и запах с очистных сооружений оттуда же заставляет задуматься съехать оттуда. </v>
      </c>
      <c r="Y813" s="6" t="str">
        <f>IFERROR(__xludf.DUMMYFUNCTION("""COMPUTED_VALUE"""),"Пожар в Зимней Вишне как самая яркая картина существующей в городе коррупции")</f>
        <v>Пожар в Зимней Вишне как самая яркая картина существующей в городе коррупции</v>
      </c>
      <c r="Z813" s="6" t="str">
        <f>IFERROR(__xludf.DUMMYFUNCTION("""COMPUTED_VALUE"""),"Приезд группы Чёрный обелиск, чемпионат мира по хоккею с мячом, ремонт Кировской набережной - это вообще все позитивные события, которые запомнились в городе. Остальной позитив делаю сам - зимой строю детям горку во дворе с поворотом, на лыжах гоняем, лет"&amp;"ом в бору бегаем и по набережной на великах")</f>
        <v>Приезд группы Чёрный обелиск, чемпионат мира по хоккею с мячом, ремонт Кировской набережной - это вообще все позитивные события, которые запомнились в городе. Остальной позитив делаю сам - зимой строю детям горку во дворе с поворотом, на лыжах гоняем, летом в бору бегаем и по набережной на великах</v>
      </c>
      <c r="AA813" s="6" t="str">
        <f>IFERROR(__xludf.DUMMYFUNCTION("""COMPUTED_VALUE"""),"Пожар в Зимней Вишне, чушь в СМИ по поводу происхождения смога, проигрыш моего друга в суде, где проиграть было невозможно, уезд моих товарищей на ПМЖ в другой регион, убийство девочки, на которое во время не выехала следственно-оперативная группа, невыпо"&amp;"лнения обещаний губернатора, невыполнение обещаний мэра города по капитальному ремонту дороги по улице Аллейная, ни кем нерасследумые преступления в сфере ЖКХ, некомпетентность и бесчеловечность представителей правоохранительных органов, ФССП, судов, отвр"&amp;"атительное образование, экология как геноцид нашего города, речка с фикалиями, коррупция чиновников многое, многое другое. ")</f>
        <v>Пожар в Зимней Вишне, чушь в СМИ по поводу происхождения смога, проигрыш моего друга в суде, где проиграть было невозможно, уезд моих товарищей на ПМЖ в другой регион, убийство девочки, на которое во время не выехала следственно-оперативная группа, невыполнения обещаний губернатора, невыполнение обещаний мэра города по капитальному ремонту дороги по улице Аллейная, ни кем нерасследумые преступления в сфере ЖКХ, некомпетентность и бесчеловечность представителей правоохранительных органов, ФССП, судов, отвратительное образование, экология как геноцид нашего города, речка с фикалиями, коррупция чиновников многое, многое другое. </v>
      </c>
      <c r="AB813" s="6" t="str">
        <f>IFERROR(__xludf.DUMMYFUNCTION("""COMPUTED_VALUE"""),"Сообщество счастливых людей из своих Родовых поместий вокруг города Кемерово. ")</f>
        <v>Сообщество счастливых людей из своих Родовых поместий вокруг города Кемерово. </v>
      </c>
      <c r="AC813" s="6" t="str">
        <f>IFERROR(__xludf.DUMMYFUNCTION("""COMPUTED_VALUE"""),"Выступление групп: Чёрный обелиск, Симаргл, РадиоТапок, Рок Привет, Ай Мори, Порнофильмы, Павел Пиковский, Калинов Мост, Пелагея, Настя Полева, Юпитер, Земфира, другие... Совместные с детьми спортивные мероприятия, посвящённые знаковым событиям, например,"&amp;" мама, папа, я спортивная семья на 23 февраля, которые бы проводились в каждом районе города, пробег в бору (на лыжах в том числе), день дачника и всей земли летом, юношеские конкурсы на ум и физ подготовку, творческие и деловые навыки. ")</f>
        <v>Выступление групп: Чёрный обелиск, Симаргл, РадиоТапок, Рок Привет, Ай Мори, Порнофильмы, Павел Пиковский, Калинов Мост, Пелагея, Настя Полева, Юпитер, Земфира, другие... Совместные с детьми спортивные мероприятия, посвящённые знаковым событиям, например, мама, папа, я спортивная семья на 23 февраля, которые бы проводились в каждом районе города, пробег в бору (на лыжах в том числе), день дачника и всей земли летом, юношеские конкурсы на ум и физ подготовку, творческие и деловые навыки. </v>
      </c>
      <c r="AD81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комп"&amp;"анию.")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813" s="6" t="str">
        <f>IFERROR(__xludf.DUMMYFUNCTION("""COMPUTED_VALUE"""),"Мужской")</f>
        <v>Мужской</v>
      </c>
      <c r="AF813" s="6" t="str">
        <f>IFERROR(__xludf.DUMMYFUNCTION("""COMPUTED_VALUE"""),"30-44")</f>
        <v>30-44</v>
      </c>
      <c r="AG813" s="6"/>
      <c r="AH813" s="6"/>
      <c r="AI813" s="6"/>
      <c r="AJ813" s="6"/>
      <c r="AK813" s="6"/>
      <c r="AL813" s="6"/>
      <c r="AM813" s="6"/>
    </row>
    <row r="814">
      <c r="A814" s="6">
        <v>813.0</v>
      </c>
      <c r="B814" s="6" t="str">
        <f>IFERROR(__xludf.DUMMYFUNCTION("""COMPUTED_VALUE"""),"Работа в рекламном агенстве")</f>
        <v>Работа в рекламном агенстве</v>
      </c>
      <c r="C814" s="6" t="str">
        <f>IFERROR(__xludf.DUMMYFUNCTION("""COMPUTED_VALUE"""),"Изучение мифологии")</f>
        <v>Изучение мифологии</v>
      </c>
      <c r="D814" s="6" t="str">
        <f>IFERROR(__xludf.DUMMYFUNCTION("""COMPUTED_VALUE"""),"Кировский")</f>
        <v>Кировский</v>
      </c>
      <c r="E814" s="6" t="str">
        <f>IFERROR(__xludf.DUMMYFUNCTION("""COMPUTED_VALUE"""),"ДК Кировского района")</f>
        <v>ДК Кировского района</v>
      </c>
      <c r="F814" s="6" t="str">
        <f>IFERROR(__xludf.DUMMYFUNCTION("""COMPUTED_VALUE"""),"Живу здесь с рождения")</f>
        <v>Живу здесь с рождения</v>
      </c>
      <c r="G814" s="6" t="str">
        <f>IFERROR(__xludf.DUMMYFUNCTION("""COMPUTED_VALUE"""),"Торговые центры, набережная, парки")</f>
        <v>Торговые центры, набережная, парки</v>
      </c>
      <c r="H814" s="6" t="str">
        <f>IFERROR(__xludf.DUMMYFUNCTION("""COMPUTED_VALUE"""),"Развивающийся, угольная столица")</f>
        <v>Развивающийся, угольная столица</v>
      </c>
      <c r="I814" s="6" t="str">
        <f>IFERROR(__xludf.DUMMYFUNCTION("""COMPUTED_VALUE"""),"Алексей Леонов, Вера Волошина, Юрий Двужильный")</f>
        <v>Алексей Леонов, Вера Волошина, Юрий Двужильный</v>
      </c>
      <c r="J814" s="6" t="str">
        <f>IFERROR(__xludf.DUMMYFUNCTION("""COMPUTED_VALUE"""),"Владимир Михайлов, Борис Александров")</f>
        <v>Владимир Михайлов, Борис Александров</v>
      </c>
      <c r="K814" s="6" t="str">
        <f>IFERROR(__xludf.DUMMYFUNCTION("""COMPUTED_VALUE"""),"Площадь Волкова, Площадь советов, Парк Ангелов")</f>
        <v>Площадь Волкова, Площадь советов, Парк Ангелов</v>
      </c>
      <c r="L814" s="6" t="str">
        <f>IFERROR(__xludf.DUMMYFUNCTION("""COMPUTED_VALUE"""),"-")</f>
        <v>-</v>
      </c>
      <c r="M814" s="6" t="str">
        <f>IFERROR(__xludf.DUMMYFUNCTION("""COMPUTED_VALUE"""),"-")</f>
        <v>-</v>
      </c>
      <c r="N814" s="6" t="str">
        <f>IFERROR(__xludf.DUMMYFUNCTION("""COMPUTED_VALUE"""),"Экология, уровень жизни населения, индустриальное развитие, благоустройство дорог, дворовых территорий и пр., уровень инфраструктуры")</f>
        <v>Экология, уровень жизни населения, индустриальное развитие, благоустройство дорог, дворовых территорий и пр., уровень инфраструктуры</v>
      </c>
      <c r="O814" s="6" t="str">
        <f>IFERROR(__xludf.DUMMYFUNCTION("""COMPUTED_VALUE"""),"Газификация частного сектора (для улучшения экологической обстановки)")</f>
        <v>Газификация частного сектора (для улучшения экологической обстановки)</v>
      </c>
      <c r="P814" s="6" t="str">
        <f>IFERROR(__xludf.DUMMYFUNCTION("""COMPUTED_VALUE"""),"Реклама по ТВ, сайт kassy.ru")</f>
        <v>Реклама по ТВ, сайт kassy.ru</v>
      </c>
      <c r="Q814" s="6" t="str">
        <f>IFERROR(__xludf.DUMMYFUNCTION("""COMPUTED_VALUE"""),"интервью с местными предпринимателями, криминальные новости (происшествия/преступления), результаты местных исследований (рейтинги/аналитика/тенденции)")</f>
        <v>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814" s="6" t="str">
        <f>IFERROR(__xludf.DUMMYFUNCTION("""COMPUTED_VALUE"""),"День Победы, День города")</f>
        <v>День Победы, День города</v>
      </c>
      <c r="S814" s="6" t="str">
        <f>IFERROR(__xludf.DUMMYFUNCTION("""COMPUTED_VALUE"""),"Нет, не приходилось")</f>
        <v>Нет, не приходилось</v>
      </c>
      <c r="T814" s="6" t="str">
        <f>IFERROR(__xludf.DUMMYFUNCTION("""COMPUTED_VALUE"""),"Сосновый бор")</f>
        <v>Сосновый бор</v>
      </c>
      <c r="U814" s="6" t="str">
        <f>IFERROR(__xludf.DUMMYFUNCTION("""COMPUTED_VALUE"""),"Площадь Советов")</f>
        <v>Площадь Советов</v>
      </c>
      <c r="V814" s="6" t="str">
        <f>IFERROR(__xludf.DUMMYFUNCTION("""COMPUTED_VALUE"""),"-")</f>
        <v>-</v>
      </c>
      <c r="W814" s="6" t="str">
        <f>IFERROR(__xludf.DUMMYFUNCTION("""COMPUTED_VALUE"""),"Дружелюбие, отзывчивость")</f>
        <v>Дружелюбие, отзывчивость</v>
      </c>
      <c r="X814" s="6" t="str">
        <f>IFERROR(__xludf.DUMMYFUNCTION("""COMPUTED_VALUE"""),"Проспект Советский, ул. Весенняя, Притомская набережная")</f>
        <v>Проспект Советский, ул. Весенняя, Притомская набережная</v>
      </c>
      <c r="Y814" s="6" t="str">
        <f>IFERROR(__xludf.DUMMYFUNCTION("""COMPUTED_VALUE"""),"Чемпионат мира по хоккею с мячом 2007")</f>
        <v>Чемпионат мира по хоккею с мячом 2007</v>
      </c>
      <c r="Z814" s="6" t="str">
        <f>IFERROR(__xludf.DUMMYFUNCTION("""COMPUTED_VALUE"""),"Строительство Кассационного суда")</f>
        <v>Строительство Кассационного суда</v>
      </c>
      <c r="AA814" s="6" t="str">
        <f>IFERROR(__xludf.DUMMYFUNCTION("""COMPUTED_VALUE"""),"-")</f>
        <v>-</v>
      </c>
      <c r="AB814" s="6" t="str">
        <f>IFERROR(__xludf.DUMMYFUNCTION("""COMPUTED_VALUE"""),"-")</f>
        <v>-</v>
      </c>
      <c r="AC814" s="6" t="str">
        <f>IFERROR(__xludf.DUMMYFUNCTION("""COMPUTED_VALUE"""),"Концерты, спектакли")</f>
        <v>Концерты, спектакли</v>
      </c>
      <c r="AD81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14" s="6" t="str">
        <f>IFERROR(__xludf.DUMMYFUNCTION("""COMPUTED_VALUE"""),"Женский")</f>
        <v>Женский</v>
      </c>
      <c r="AF814" s="6" t="str">
        <f>IFERROR(__xludf.DUMMYFUNCTION("""COMPUTED_VALUE"""),"18-29")</f>
        <v>18-29</v>
      </c>
      <c r="AG814" s="6"/>
      <c r="AH814" s="6"/>
      <c r="AI814" s="6"/>
      <c r="AJ814" s="6"/>
      <c r="AK814" s="6"/>
      <c r="AL814" s="6"/>
      <c r="AM814" s="6"/>
    </row>
    <row r="815">
      <c r="A815" s="6">
        <v>814.0</v>
      </c>
      <c r="B815" s="6" t="str">
        <f>IFERROR(__xludf.DUMMYFUNCTION("""COMPUTED_VALUE"""),"Экономика")</f>
        <v>Экономика</v>
      </c>
      <c r="C815" s="6" t="str">
        <f>IFERROR(__xludf.DUMMYFUNCTION("""COMPUTED_VALUE"""),"Прогулки, просмотр фильмов")</f>
        <v>Прогулки, просмотр фильмов</v>
      </c>
      <c r="D815" s="6" t="str">
        <f>IFERROR(__xludf.DUMMYFUNCTION("""COMPUTED_VALUE"""),"Бульвар")</f>
        <v>Бульвар</v>
      </c>
      <c r="E815" s="6" t="str">
        <f>IFERROR(__xludf.DUMMYFUNCTION("""COMPUTED_VALUE"""),"Бульвар строителей, кузбасский парк")</f>
        <v>Бульвар строителей, кузбасский парк</v>
      </c>
      <c r="F815" s="6" t="str">
        <f>IFERROR(__xludf.DUMMYFUNCTION("""COMPUTED_VALUE"""),"Живу здесь с рождения")</f>
        <v>Живу здесь с рождения</v>
      </c>
      <c r="G815" s="6" t="str">
        <f>IFERROR(__xludf.DUMMYFUNCTION("""COMPUTED_VALUE"""),"На набережную, на бульвар, на Томь")</f>
        <v>На набережную, на бульвар, на Томь</v>
      </c>
      <c r="H815" s="6" t="str">
        <f>IFERROR(__xludf.DUMMYFUNCTION("""COMPUTED_VALUE"""),"Уголь, экология (плохая), столица Кузбасса")</f>
        <v>Уголь, экология (плохая), столица Кузбасса</v>
      </c>
      <c r="I815" s="6" t="str">
        <f>IFERROR(__xludf.DUMMYFUNCTION("""COMPUTED_VALUE"""),"Леонов, Панин")</f>
        <v>Леонов, Панин</v>
      </c>
      <c r="J815" s="6" t="str">
        <f>IFERROR(__xludf.DUMMYFUNCTION("""COMPUTED_VALUE"""),"Якунин Игорь Николаевич (спас людей курсантов ценой своей жизни). Тулеев")</f>
        <v>Якунин Игорь Николаевич (спас людей курсантов ценой своей жизни). Тулеев</v>
      </c>
      <c r="K815" s="6" t="str">
        <f>IFERROR(__xludf.DUMMYFUNCTION("""COMPUTED_VALUE"""),"Памятник шахтеру на красной горке, набережная, пещерки")</f>
        <v>Памятник шахтеру на красной горке, набережная, пещерки</v>
      </c>
      <c r="L815" s="6" t="str">
        <f>IFERROR(__xludf.DUMMYFUNCTION("""COMPUTED_VALUE"""),"Если девушка закончит политех и не выйдет замуж, то у памятника Михайло Волкову выпадет камень из рук")</f>
        <v>Если девушка закончит политех и не выйдет замуж, то у памятника Михайло Волкову выпадет камень из рук</v>
      </c>
      <c r="M815" s="6" t="str">
        <f>IFERROR(__xludf.DUMMYFUNCTION("""COMPUTED_VALUE"""),"Нет")</f>
        <v>Нет</v>
      </c>
      <c r="N815" s="6" t="str">
        <f>IFERROR(__xludf.DUMMYFUNCTION("""COMPUTED_VALUE"""),"Отсутствие пробок, доступная инфраструктура, побольше зон отдыха, чистый воздух, безопасность на улице (освещенность)")</f>
        <v>Отсутствие пробок, доступная инфраструктура, побольше зон отдыха, чистый воздух, безопасность на улице (освещенность)</v>
      </c>
      <c r="O815" s="6" t="str">
        <f>IFERROR(__xludf.DUMMYFUNCTION("""COMPUTED_VALUE"""),"Освежить фасады зданий, ПОСТРОИТЬ 3й МОСТ ЧЕРЕЗ ТОМЬ, сделать объездную дорогу мимо Кемерово")</f>
        <v>Освежить фасады зданий, ПОСТРОИТЬ 3й МОСТ ЧЕРЕЗ ТОМЬ, сделать объездную дорогу мимо Кемерово</v>
      </c>
      <c r="P815" s="6" t="str">
        <f>IFERROR(__xludf.DUMMYFUNCTION("""COMPUTED_VALUE"""),"От знакомых")</f>
        <v>От знакомых</v>
      </c>
      <c r="Q81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815" s="6" t="str">
        <f>IFERROR(__xludf.DUMMYFUNCTION("""COMPUTED_VALUE"""),"9 мая, день города")</f>
        <v>9 мая, день города</v>
      </c>
      <c r="S815" s="6" t="str">
        <f>IFERROR(__xludf.DUMMYFUNCTION("""COMPUTED_VALUE"""),"Нет, не приходилось")</f>
        <v>Нет, не приходилось</v>
      </c>
      <c r="T815" s="6" t="str">
        <f>IFERROR(__xludf.DUMMYFUNCTION("""COMPUTED_VALUE"""),"Шахтерская столица")</f>
        <v>Шахтерская столица</v>
      </c>
      <c r="U815" s="6" t="str">
        <f>IFERROR(__xludf.DUMMYFUNCTION("""COMPUTED_VALUE"""),"Фонтан, драмтеатр")</f>
        <v>Фонтан, драмтеатр</v>
      </c>
      <c r="V815" s="6" t="str">
        <f>IFERROR(__xludf.DUMMYFUNCTION("""COMPUTED_VALUE"""),"Затрудняюсь ответить")</f>
        <v>Затрудняюсь ответить</v>
      </c>
      <c r="W815" s="6" t="str">
        <f>IFERROR(__xludf.DUMMYFUNCTION("""COMPUTED_VALUE"""),"Простые люди, которые много работают")</f>
        <v>Простые люди, которые много работают</v>
      </c>
      <c r="X815" s="6" t="str">
        <f>IFERROR(__xludf.DUMMYFUNCTION("""COMPUTED_VALUE"""),"Аэропорт - на фонтан - горсад-набережная-на красную горку- на крест - на лесную поляну")</f>
        <v>Аэропорт - на фонтан - горсад-набережная-на красную горку- на крест - на лесную поляну</v>
      </c>
      <c r="Y815" s="6" t="str">
        <f>IFERROR(__xludf.DUMMYFUNCTION("""COMPUTED_VALUE"""),"Бэнди")</f>
        <v>Бэнди</v>
      </c>
      <c r="Z815" s="6" t="str">
        <f>IFERROR(__xludf.DUMMYFUNCTION("""COMPUTED_VALUE"""),"Запомнился день города 2018 (хоть и был 3 года назад)")</f>
        <v>Запомнился день города 2018 (хоть и был 3 года назад)</v>
      </c>
      <c r="AA815" s="6" t="str">
        <f>IFERROR(__xludf.DUMMYFUNCTION("""COMPUTED_VALUE"""),"За последние 2 года ничего не вспоминается, но Зимняя вишня навсегда изменила Кемеровчан... ")</f>
        <v>За последние 2 года ничего не вспоминается, но Зимняя вишня навсегда изменила Кемеровчан... </v>
      </c>
      <c r="AB815" s="6" t="str">
        <f>IFERROR(__xludf.DUMMYFUNCTION("""COMPUTED_VALUE"""),"Нет таких")</f>
        <v>Нет таких</v>
      </c>
      <c r="AC815" s="6" t="str">
        <f>IFERROR(__xludf.DUMMYFUNCTION("""COMPUTED_VALUE"""),"Бесплатные фестивали на площадях (как рок-фестиваль в 2019)")</f>
        <v>Бесплатные фестивали на площадях (как рок-фестиваль в 2019)</v>
      </c>
      <c r="AD81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15" s="6" t="str">
        <f>IFERROR(__xludf.DUMMYFUNCTION("""COMPUTED_VALUE"""),"Женский")</f>
        <v>Женский</v>
      </c>
      <c r="AF815" s="6" t="str">
        <f>IFERROR(__xludf.DUMMYFUNCTION("""COMPUTED_VALUE"""),"18-29")</f>
        <v>18-29</v>
      </c>
      <c r="AG815" s="6"/>
      <c r="AH815" s="6"/>
      <c r="AI815" s="6"/>
      <c r="AJ815" s="6"/>
      <c r="AK815" s="6"/>
      <c r="AL815" s="6"/>
      <c r="AM815" s="6"/>
    </row>
    <row r="816">
      <c r="A816" s="6">
        <v>815.0</v>
      </c>
      <c r="B816" s="6" t="str">
        <f>IFERROR(__xludf.DUMMYFUNCTION("""COMPUTED_VALUE"""),"Секретарь")</f>
        <v>Секретарь</v>
      </c>
      <c r="C816" s="6" t="str">
        <f>IFERROR(__xludf.DUMMYFUNCTION("""COMPUTED_VALUE"""),"Плаванье ")</f>
        <v>Плаванье </v>
      </c>
      <c r="D816" s="6" t="str">
        <f>IFERROR(__xludf.DUMMYFUNCTION("""COMPUTED_VALUE"""),"Центральный ")</f>
        <v>Центральный </v>
      </c>
      <c r="E816" s="6" t="str">
        <f>IFERROR(__xludf.DUMMYFUNCTION("""COMPUTED_VALUE"""),"Общага «три поросёнка», лапландия")</f>
        <v>Общага «три поросёнка», лапландия</v>
      </c>
      <c r="F816" s="6" t="str">
        <f>IFERROR(__xludf.DUMMYFUNCTION("""COMPUTED_VALUE"""),"Живу здесь с рождения")</f>
        <v>Живу здесь с рождения</v>
      </c>
      <c r="G816" s="6" t="str">
        <f>IFERROR(__xludf.DUMMYFUNCTION("""COMPUTED_VALUE"""),"Бульвар Строителей ")</f>
        <v>Бульвар Строителей </v>
      </c>
      <c r="H816" s="6" t="str">
        <f>IFERROR(__xludf.DUMMYFUNCTION("""COMPUTED_VALUE"""),"Пыльный, ухоженный, развивающийся, логистика, безвкусица ( в плане жилых домов , детские сады и т.д) ")</f>
        <v>Пыльный, ухоженный, развивающийся, логистика, безвкусица ( в плане жилых домов , детские сады и т.д) </v>
      </c>
      <c r="I816" s="6" t="str">
        <f>IFERROR(__xludf.DUMMYFUNCTION("""COMPUTED_VALUE"""),"Волков.")</f>
        <v>Волков.</v>
      </c>
      <c r="J816" s="6" t="str">
        <f>IFERROR(__xludf.DUMMYFUNCTION("""COMPUTED_VALUE"""),"Жаворонков Роман :)))")</f>
        <v>Жаворонков Роман :)))</v>
      </c>
      <c r="K816" s="6" t="str">
        <f>IFERROR(__xludf.DUMMYFUNCTION("""COMPUTED_VALUE"""),"Памятник Эмоциям ,  драмтеатр, парк ангелов, памятник мужчине(во дворе на набережной)")</f>
        <v>Памятник Эмоциям ,  драмтеатр, парк ангелов, памятник мужчине(во дворе на набережной)</v>
      </c>
      <c r="L816" s="6" t="str">
        <f>IFERROR(__xludf.DUMMYFUNCTION("""COMPUTED_VALUE"""),"-")</f>
        <v>-</v>
      </c>
      <c r="M816" s="6" t="str">
        <f>IFERROR(__xludf.DUMMYFUNCTION("""COMPUTED_VALUE"""),"Главчик, лапа,яшка, микрашка, пещерка, металка, южка, подорган(подорожник) , кифиси.")</f>
        <v>Главчик, лапа,яшка, микрашка, пещерка, металка, южка, подорган(подорожник) , кифиси.</v>
      </c>
      <c r="N816" s="6" t="str">
        <f>IFERROR(__xludf.DUMMYFUNCTION("""COMPUTED_VALUE"""),"Частота, красота, деревья(много)")</f>
        <v>Частота, красота, деревья(много)</v>
      </c>
      <c r="O816" s="6" t="str">
        <f>IFERROR(__xludf.DUMMYFUNCTION("""COMPUTED_VALUE"""),"Экологию")</f>
        <v>Экологию</v>
      </c>
      <c r="P816" s="6" t="str">
        <f>IFERROR(__xludf.DUMMYFUNCTION("""COMPUTED_VALUE"""),"Типичный Кемерово, инцидент кемерово ")</f>
        <v>Типичный Кемерово, инцидент кемерово </v>
      </c>
      <c r="Q816" s="6" t="str">
        <f>IFERROR(__xludf.DUMMYFUNCTION("""COMPUTED_VALUE"""),"где вкусно поесть/открытие новых кафе/ресторанов, городская афиша (кино/театр/концерты), результаты местных исследований (рейтинги/аналитика/тенденции)")</f>
        <v>где вкусно поесть/открытие новых кафе/ресторанов, городская афиша (кино/театр/концерты), результаты местных исследований (рейтинги/аналитика/тенденции)</v>
      </c>
      <c r="R816" s="6" t="str">
        <f>IFERROR(__xludf.DUMMYFUNCTION("""COMPUTED_VALUE"""),"День Шахтера ")</f>
        <v>День Шахтера </v>
      </c>
      <c r="S816" s="6" t="str">
        <f>IFERROR(__xludf.DUMMYFUNCTION("""COMPUTED_VALUE"""),"Нет, не приходилось")</f>
        <v>Нет, не приходилось</v>
      </c>
      <c r="T816" s="6" t="str">
        <f>IFERROR(__xludf.DUMMYFUNCTION("""COMPUTED_VALUE"""),"Зимняя Вишня")</f>
        <v>Зимняя Вишня</v>
      </c>
      <c r="U816" s="6" t="str">
        <f>IFERROR(__xludf.DUMMYFUNCTION("""COMPUTED_VALUE"""),"Площадь Советоф ")</f>
        <v>Площадь Советоф </v>
      </c>
      <c r="V816" s="6" t="str">
        <f>IFERROR(__xludf.DUMMYFUNCTION("""COMPUTED_VALUE"""),"Добывали уголь")</f>
        <v>Добывали уголь</v>
      </c>
      <c r="W816" s="6" t="str">
        <f>IFERROR(__xludf.DUMMYFUNCTION("""COMPUTED_VALUE"""),"Дружелюбные, ")</f>
        <v>Дружелюбные, </v>
      </c>
      <c r="X816" s="6" t="str">
        <f>IFERROR(__xludf.DUMMYFUNCTION("""COMPUTED_VALUE"""),"Набережная-&gt; площадь советов-&gt; Филармония -&gt; ")</f>
        <v>Набережная-&gt; площадь советов-&gt; Филармония -&gt; </v>
      </c>
      <c r="Y816" s="6" t="str">
        <f>IFERROR(__xludf.DUMMYFUNCTION("""COMPUTED_VALUE"""),"Рок концерт звёзды рока ")</f>
        <v>Рок концерт звёзды рока </v>
      </c>
      <c r="Z816" s="6" t="str">
        <f>IFERROR(__xludf.DUMMYFUNCTION("""COMPUTED_VALUE"""),"Откроется ледовый дворец ")</f>
        <v>Откроется ледовый дворец </v>
      </c>
      <c r="AA816" s="6" t="str">
        <f>IFERROR(__xludf.DUMMYFUNCTION("""COMPUTED_VALUE"""),"Закрытие лазурного и сделали из него лягушатник")</f>
        <v>Закрытие лазурного и сделали из него лягушатник</v>
      </c>
      <c r="AB816" s="6" t="str">
        <f>IFERROR(__xludf.DUMMYFUNCTION("""COMPUTED_VALUE"""),"Плавцов ")</f>
        <v>Плавцов </v>
      </c>
      <c r="AC816" s="6" t="str">
        <f>IFERROR(__xludf.DUMMYFUNCTION("""COMPUTED_VALUE"""),"Кинопоказы под открытым небом в машине")</f>
        <v>Кинопоказы под открытым небом в машине</v>
      </c>
      <c r="AD816"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816" s="6" t="str">
        <f>IFERROR(__xludf.DUMMYFUNCTION("""COMPUTED_VALUE"""),"Женский")</f>
        <v>Женский</v>
      </c>
      <c r="AF816" s="6" t="str">
        <f>IFERROR(__xludf.DUMMYFUNCTION("""COMPUTED_VALUE"""),"18-29")</f>
        <v>18-29</v>
      </c>
      <c r="AG816" s="6"/>
      <c r="AH816" s="6"/>
      <c r="AI816" s="6"/>
      <c r="AJ816" s="6"/>
      <c r="AK816" s="6"/>
      <c r="AL816" s="6"/>
      <c r="AM816" s="6"/>
    </row>
    <row r="817">
      <c r="A817" s="6">
        <v>816.0</v>
      </c>
      <c r="B817" s="6" t="str">
        <f>IFERROR(__xludf.DUMMYFUNCTION("""COMPUTED_VALUE"""),"Ремонт Гороного оборудования")</f>
        <v>Ремонт Гороного оборудования</v>
      </c>
      <c r="C817" s="6" t="str">
        <f>IFERROR(__xludf.DUMMYFUNCTION("""COMPUTED_VALUE"""),"Фото/Видео")</f>
        <v>Фото/Видео</v>
      </c>
      <c r="D817" s="6" t="str">
        <f>IFERROR(__xludf.DUMMYFUNCTION("""COMPUTED_VALUE"""),"Центральный")</f>
        <v>Центральный</v>
      </c>
      <c r="E817" s="6" t="str">
        <f>IFERROR(__xludf.DUMMYFUNCTION("""COMPUTED_VALUE"""),"Площадь Пушкина")</f>
        <v>Площадь Пушкина</v>
      </c>
      <c r="F817" s="6" t="str">
        <f>IFERROR(__xludf.DUMMYFUNCTION("""COMPUTED_VALUE"""),"Живу здесь с рождения")</f>
        <v>Живу здесь с рождения</v>
      </c>
      <c r="G817" s="6" t="str">
        <f>IFERROR(__xludf.DUMMYFUNCTION("""COMPUTED_VALUE"""),"Кальянные")</f>
        <v>Кальянные</v>
      </c>
      <c r="H817" s="6" t="str">
        <f>IFERROR(__xludf.DUMMYFUNCTION("""COMPUTED_VALUE"""),"Пробки;закаты;Скука;бедность;застой")</f>
        <v>Пробки;закаты;Скука;бедность;застой</v>
      </c>
      <c r="I817" s="6" t="str">
        <f>IFERROR(__xludf.DUMMYFUNCTION("""COMPUTED_VALUE"""),"Тулеев;Волков;Приставка")</f>
        <v>Тулеев;Волков;Приставка</v>
      </c>
      <c r="J817" s="6" t="str">
        <f>IFERROR(__xludf.DUMMYFUNCTION("""COMPUTED_VALUE"""),"Кудреватых Н.В.")</f>
        <v>Кудреватых Н.В.</v>
      </c>
      <c r="K817" s="6" t="str">
        <f>IFERROR(__xludf.DUMMYFUNCTION("""COMPUTED_VALUE"""),"Красная горка. ")</f>
        <v>Красная горка. </v>
      </c>
      <c r="L817" s="6" t="str">
        <f>IFERROR(__xludf.DUMMYFUNCTION("""COMPUTED_VALUE"""),"Кто последний улетит , выключи за собой свет в аэропорту")</f>
        <v>Кто последний улетит , выключи за собой свет в аэропорту</v>
      </c>
      <c r="M817" s="6" t="str">
        <f>IFERROR(__xludf.DUMMYFUNCTION("""COMPUTED_VALUE"""),"КЕМГУ-высшее образование ")</f>
        <v>КЕМГУ-высшее образование </v>
      </c>
      <c r="N817" s="6" t="str">
        <f>IFERROR(__xludf.DUMMYFUNCTION("""COMPUTED_VALUE"""),"Нет пробок, парки , места отдыха и досуга. Хорошие дороги")</f>
        <v>Нет пробок, парки , места отдыха и досуга. Хорошие дороги</v>
      </c>
      <c r="O817" s="6" t="str">
        <f>IFERROR(__xludf.DUMMYFUNCTION("""COMPUTED_VALUE"""),"Дороги")</f>
        <v>Дороги</v>
      </c>
      <c r="P817" s="6" t="str">
        <f>IFERROR(__xludf.DUMMYFUNCTION("""COMPUTED_VALUE"""),"Интернет:VK")</f>
        <v>Интернет:VK</v>
      </c>
      <c r="Q817" s="6" t="str">
        <f>IFERROR(__xludf.DUMMYFUNCTION("""COMPUTED_VALUE"""),"интервью с местными политиками, интервью с местными предпринимателями, криминальные новости (происшествия/преступления)")</f>
        <v>интервью с местными политиками, интервью с местными предпринимателями, криминальные новости (происшествия/преступления)</v>
      </c>
      <c r="R817" s="6" t="str">
        <f>IFERROR(__xludf.DUMMYFUNCTION("""COMPUTED_VALUE"""),"День Шахтеров")</f>
        <v>День Шахтеров</v>
      </c>
      <c r="S817" s="6" t="str">
        <f>IFERROR(__xludf.DUMMYFUNCTION("""COMPUTED_VALUE"""),"Нет, не приходилось")</f>
        <v>Нет, не приходилось</v>
      </c>
      <c r="T817" s="6" t="str">
        <f>IFERROR(__xludf.DUMMYFUNCTION("""COMPUTED_VALUE"""),"Закаты; кальянные")</f>
        <v>Закаты; кальянные</v>
      </c>
      <c r="U817" s="6" t="str">
        <f>IFERROR(__xludf.DUMMYFUNCTION("""COMPUTED_VALUE"""),"Площадь советов")</f>
        <v>Площадь советов</v>
      </c>
      <c r="V817" s="6" t="str">
        <f>IFERROR(__xludf.DUMMYFUNCTION("""COMPUTED_VALUE"""),"Уехали ")</f>
        <v>Уехали </v>
      </c>
      <c r="W817" s="6" t="str">
        <f>IFERROR(__xludf.DUMMYFUNCTION("""COMPUTED_VALUE"""),"Злые , суровые, сами себе на уме")</f>
        <v>Злые , суровые, сами себе на уме</v>
      </c>
      <c r="X817" s="6" t="str">
        <f>IFERROR(__xludf.DUMMYFUNCTION("""COMPUTED_VALUE"""),"Из Кемерова")</f>
        <v>Из Кемерова</v>
      </c>
      <c r="Y817" s="6" t="str">
        <f>IFERROR(__xludf.DUMMYFUNCTION("""COMPUTED_VALUE"""),"Не было таких ")</f>
        <v>Не было таких </v>
      </c>
      <c r="Z817" s="6" t="str">
        <f>IFERROR(__xludf.DUMMYFUNCTION("""COMPUTED_VALUE"""),"Не отчислили ")</f>
        <v>Не отчислили </v>
      </c>
      <c r="AA817" s="6" t="str">
        <f>IFERROR(__xludf.DUMMYFUNCTION("""COMPUTED_VALUE"""),"Друга отчислили ")</f>
        <v>Друга отчислили </v>
      </c>
      <c r="AB817" s="6" t="str">
        <f>IFERROR(__xludf.DUMMYFUNCTION("""COMPUTED_VALUE"""),"Хватает")</f>
        <v>Хватает</v>
      </c>
      <c r="AC817" s="6" t="str">
        <f>IFERROR(__xludf.DUMMYFUNCTION("""COMPUTED_VALUE"""),"Я не знаю их никогда не было")</f>
        <v>Я не знаю их никогда не было</v>
      </c>
      <c r="AD817"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817" s="6" t="str">
        <f>IFERROR(__xludf.DUMMYFUNCTION("""COMPUTED_VALUE"""),"Мужской")</f>
        <v>Мужской</v>
      </c>
      <c r="AF817" s="6" t="str">
        <f>IFERROR(__xludf.DUMMYFUNCTION("""COMPUTED_VALUE"""),"старше 55")</f>
        <v>старше 55</v>
      </c>
      <c r="AG817" s="6"/>
      <c r="AH817" s="6"/>
      <c r="AI817" s="6"/>
      <c r="AJ817" s="6"/>
      <c r="AK817" s="6"/>
      <c r="AL817" s="6"/>
      <c r="AM817" s="6"/>
    </row>
    <row r="818">
      <c r="A818" s="6">
        <v>817.0</v>
      </c>
      <c r="B818" s="6" t="str">
        <f>IFERROR(__xludf.DUMMYFUNCTION("""COMPUTED_VALUE"""),"Студентка")</f>
        <v>Студентка</v>
      </c>
      <c r="C818" s="6" t="str">
        <f>IFERROR(__xludf.DUMMYFUNCTION("""COMPUTED_VALUE"""),"Иностранные языки, рисование, музыка")</f>
        <v>Иностранные языки, рисование, музыка</v>
      </c>
      <c r="D818" s="6" t="str">
        <f>IFERROR(__xludf.DUMMYFUNCTION("""COMPUTED_VALUE"""),"Заводский район")</f>
        <v>Заводский район</v>
      </c>
      <c r="E818" s="6" t="str">
        <f>IFERROR(__xludf.DUMMYFUNCTION("""COMPUTED_VALUE"""),"Железнодорожный вокзал")</f>
        <v>Железнодорожный вокзал</v>
      </c>
      <c r="F818" s="6" t="str">
        <f>IFERROR(__xludf.DUMMYFUNCTION("""COMPUTED_VALUE"""),"Переехал сюда из другого места (откуда? укажите в графе другое), Переехала из Южно-Сахалинска")</f>
        <v>Переехал сюда из другого места (откуда? укажите в графе другое), Переехала из Южно-Сахалинска</v>
      </c>
      <c r="G818" s="6" t="str">
        <f>IFERROR(__xludf.DUMMYFUNCTION("""COMPUTED_VALUE"""),"Притомская Набережная ")</f>
        <v>Притомская Набережная </v>
      </c>
      <c r="H818" s="6" t="str">
        <f>IFERROR(__xludf.DUMMYFUNCTION("""COMPUTED_VALUE"""),"Красота, ухоженность, промышленность, озеленение, развитие")</f>
        <v>Красота, ухоженность, промышленность, озеленение, развитие</v>
      </c>
      <c r="I818" s="6" t="str">
        <f>IFERROR(__xludf.DUMMYFUNCTION("""COMPUTED_VALUE"""),"Алексей Архипович Леонов, Михаил Подгорбунский, Владимир Мартемьянов")</f>
        <v>Алексей Архипович Леонов, Михаил Подгорбунский, Владимир Мартемьянов</v>
      </c>
      <c r="J818" s="6" t="str">
        <f>IFERROR(__xludf.DUMMYFUNCTION("""COMPUTED_VALUE"""),"Иван Балибалов, Евгений Гришковец, Василий Жмурко")</f>
        <v>Иван Балибалов, Евгений Гришковец, Василий Жмурко</v>
      </c>
      <c r="K818" s="6" t="str">
        <f>IFERROR(__xludf.DUMMYFUNCTION("""COMPUTED_VALUE"""),"Памятник шахтёрам, Притомская Набережная, ")</f>
        <v>Памятник шахтёрам, Притомская Набережная, </v>
      </c>
      <c r="L818" s="6" t="str">
        <f>IFERROR(__xludf.DUMMYFUNCTION("""COMPUTED_VALUE"""),"затрудняюсь ответить")</f>
        <v>затрудняюсь ответить</v>
      </c>
      <c r="M818" s="6" t="str">
        <f>IFERROR(__xludf.DUMMYFUNCTION("""COMPUTED_VALUE"""),"затрудняюсь ответить")</f>
        <v>затрудняюсь ответить</v>
      </c>
      <c r="N818" s="6" t="str">
        <f>IFERROR(__xludf.DUMMYFUNCTION("""COMPUTED_VALUE"""),"ухоженность, зелёность, хорошее состояние зданий, доступность медицинских, образовательных и прочих, социально значимых объектов, красота с художественной точки зрения")</f>
        <v>ухоженность, зелёность, хорошее состояние зданий, доступность медицинских, образовательных и прочих, социально значимых объектов, красота с художественной точки зрения</v>
      </c>
      <c r="O818" s="6" t="str">
        <f>IFERROR(__xludf.DUMMYFUNCTION("""COMPUTED_VALUE"""),"затрудняюсь ответить")</f>
        <v>затрудняюсь ответить</v>
      </c>
      <c r="P818" s="6" t="str">
        <f>IFERROR(__xludf.DUMMYFUNCTION("""COMPUTED_VALUE"""),"газета Кузбасс, новостные передачи, Инернет (VSE42.ru)")</f>
        <v>газета Кузбасс, новостные передачи, Инернет (VSE42.ru)</v>
      </c>
      <c r="Q818"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f>
        <v>где вкусно поесть/открытие новых кафе/ресторанов, городская афиша (кино/театр/концерты), культурные новинки (что почитать/что послушать)</v>
      </c>
      <c r="R818" s="6" t="str">
        <f>IFERROR(__xludf.DUMMYFUNCTION("""COMPUTED_VALUE"""),"День Шахтёра")</f>
        <v>День Шахтёра</v>
      </c>
      <c r="S818" s="6" t="str">
        <f>IFERROR(__xludf.DUMMYFUNCTION("""COMPUTED_VALUE"""),"Нет, не приходилось")</f>
        <v>Нет, не приходилось</v>
      </c>
      <c r="T818" s="6" t="str">
        <f>IFERROR(__xludf.DUMMYFUNCTION("""COMPUTED_VALUE"""),"Угольная и химическая промышленность, необычные памятники и скульптуры")</f>
        <v>Угольная и химическая промышленность, необычные памятники и скульптуры</v>
      </c>
      <c r="U818" s="6" t="str">
        <f>IFERROR(__xludf.DUMMYFUNCTION("""COMPUTED_VALUE"""),"Площадь Советов")</f>
        <v>Площадь Советов</v>
      </c>
      <c r="V818" s="6" t="str">
        <f>IFERROR(__xludf.DUMMYFUNCTION("""COMPUTED_VALUE"""),"Много и упорно трудились")</f>
        <v>Много и упорно трудились</v>
      </c>
      <c r="W818" s="6" t="str">
        <f>IFERROR(__xludf.DUMMYFUNCTION("""COMPUTED_VALUE"""),"Трудолюбивые, умные, гуманные")</f>
        <v>Трудолюбивые, умные, гуманные</v>
      </c>
      <c r="X818" s="6" t="str">
        <f>IFERROR(__xludf.DUMMYFUNCTION("""COMPUTED_VALUE"""),"затрудняюсь ответить")</f>
        <v>затрудняюсь ответить</v>
      </c>
      <c r="Y818" s="6" t="str">
        <f>IFERROR(__xludf.DUMMYFUNCTION("""COMPUTED_VALUE"""),"затрудняюсь ответить")</f>
        <v>затрудняюсь ответить</v>
      </c>
      <c r="Z818" s="6" t="str">
        <f>IFERROR(__xludf.DUMMYFUNCTION("""COMPUTED_VALUE"""),"затрудняюсь ответить")</f>
        <v>затрудняюсь ответить</v>
      </c>
      <c r="AA818" s="6" t="str">
        <f>IFERROR(__xludf.DUMMYFUNCTION("""COMPUTED_VALUE"""),"затрудняюсь ответить")</f>
        <v>затрудняюсь ответить</v>
      </c>
      <c r="AB818" s="6" t="str">
        <f>IFERROR(__xludf.DUMMYFUNCTION("""COMPUTED_VALUE"""),"затрудняюсь ответить")</f>
        <v>затрудняюсь ответить</v>
      </c>
      <c r="AC818" s="6" t="str">
        <f>IFERROR(__xludf.DUMMYFUNCTION("""COMPUTED_VALUE"""),"затрудняюсь ответить")</f>
        <v>затрудняюсь ответить</v>
      </c>
      <c r="AD81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Запустить свой предпринимательский проект, организовать компанию.</v>
      </c>
      <c r="AE818" s="6" t="str">
        <f>IFERROR(__xludf.DUMMYFUNCTION("""COMPUTED_VALUE"""),"Женский")</f>
        <v>Женский</v>
      </c>
      <c r="AF818" s="6" t="str">
        <f>IFERROR(__xludf.DUMMYFUNCTION("""COMPUTED_VALUE"""),"18-29")</f>
        <v>18-29</v>
      </c>
      <c r="AG818" s="6"/>
      <c r="AH818" s="6"/>
      <c r="AI818" s="6"/>
      <c r="AJ818" s="6"/>
      <c r="AK818" s="6"/>
      <c r="AL818" s="6"/>
      <c r="AM818" s="6"/>
    </row>
    <row r="819">
      <c r="A819" s="6">
        <v>818.0</v>
      </c>
      <c r="B819" s="6" t="str">
        <f>IFERROR(__xludf.DUMMYFUNCTION("""COMPUTED_VALUE"""),"Безработный")</f>
        <v>Безработный</v>
      </c>
      <c r="C819" s="6" t="str">
        <f>IFERROR(__xludf.DUMMYFUNCTION("""COMPUTED_VALUE"""),"фото")</f>
        <v>фото</v>
      </c>
      <c r="D819" s="6" t="str">
        <f>IFERROR(__xludf.DUMMYFUNCTION("""COMPUTED_VALUE"""),"Центральный. Центр.")</f>
        <v>Центральный. Центр.</v>
      </c>
      <c r="E819" s="6" t="str">
        <f>IFERROR(__xludf.DUMMYFUNCTION("""COMPUTED_VALUE"""),"Музей-заповедник Красная горка, памятник Михайло Волкову")</f>
        <v>Музей-заповедник Красная горка, памятник Михайло Волкову</v>
      </c>
      <c r="F819" s="6" t="str">
        <f>IFERROR(__xludf.DUMMYFUNCTION("""COMPUTED_VALUE"""),"Живу здесь с рождения")</f>
        <v>Живу здесь с рождения</v>
      </c>
      <c r="G819" s="6" t="str">
        <f>IFERROR(__xludf.DUMMYFUNCTION("""COMPUTED_VALUE"""),"Набережная, периодически по мере свободного времени бываю и в других районах города")</f>
        <v>Набережная, периодически по мере свободного времени бываю и в других районах города</v>
      </c>
      <c r="H819" s="6" t="str">
        <f>IFERROR(__xludf.DUMMYFUNCTION("""COMPUTED_VALUE"""),"Набережная,Музей-заповедник Красная горка, Детская железная дорога, Гор сад, Квартал искусств")</f>
        <v>Набережная,Музей-заповедник Красная горка, Детская железная дорога, Гор сад, Квартал искусств</v>
      </c>
      <c r="I819" s="6" t="str">
        <f>IFERROR(__xludf.DUMMYFUNCTION("""COMPUTED_VALUE"""),"Михайло Волков, Алексей Леонов, Вера Волошина, Валентина Терешкова")</f>
        <v>Михайло Волков, Алексей Леонов, Вера Волошина, Валентина Терешкова</v>
      </c>
      <c r="J819" s="6" t="str">
        <f>IFERROR(__xludf.DUMMYFUNCTION("""COMPUTED_VALUE"""),"Владимир Михайлов. Хорошие управленцы.")</f>
        <v>Владимир Михайлов. Хорошие управленцы.</v>
      </c>
      <c r="K819" s="6" t="str">
        <f>IFERROR(__xludf.DUMMYFUNCTION("""COMPUTED_VALUE"""),"Музей-заповедник Красная горка, памятник Михайло Волкову.")</f>
        <v>Музей-заповедник Красная горка, памятник Михайло Волкову.</v>
      </c>
      <c r="L819" s="6" t="str">
        <f>IFERROR(__xludf.DUMMYFUNCTION("""COMPUTED_VALUE"""),"Друг в нужде - истинный друг.
Верному другу цены нет.
Верный друг лучше сотни слуг.
Для друга семь верст не околица.
Уголек, как золото: и блестит и ценится.
Уголь - заводам корм: дадим по пять норм.
Уголь сажи не белей, а возьмешь его смелей.")</f>
        <v>Друг в нужде - истинный друг.
Верному другу цены нет.
Верный друг лучше сотни слуг.
Для друга семь верст не околица.
Уголек, как золото: и блестит и ценится.
Уголь - заводам корм: дадим по пять норм.
Уголь сажи не белей, а возьмешь его смелей.</v>
      </c>
      <c r="M819" s="6" t="str">
        <f>IFERROR(__xludf.DUMMYFUNCTION("""COMPUTED_VALUE"""),"кедровый лес - «кедрач», опавшие с дерева или плоды кустарника – «падалица». «Тормозок» или «забутовка» - перекус, «жарёнка» - жареный картофель,  «дрыгало» -  холодец. ")</f>
        <v>кедровый лес - «кедрач», опавшие с дерева или плоды кустарника – «падалица». «Тормозок» или «забутовка» - перекус, «жарёнка» - жареный картофель,  «дрыгало» -  холодец. </v>
      </c>
      <c r="N819" s="6" t="str">
        <f>IFERROR(__xludf.DUMMYFUNCTION("""COMPUTED_VALUE"""),"1. Инфраструктура: количество детских садов, школ, больниц, супермаркетов и рынков 
2. Экология
3. Занятость: уровень безработицы 
4. Инвестиционная привлекательность 
5. Стоимость жилищно-коммунальных услуг 
6. Туристическая привлекательность
7. Уровень "&amp;"благоустройства")</f>
        <v>1. Инфраструктура: количество детских садов, школ, больниц, супермаркетов и рынков 
2. Экология
3. Занятость: уровень безработицы 
4. Инвестиционная привлекательность 
5. Стоимость жилищно-коммунальных услуг 
6. Туристическая привлекательность
7. Уровень благоустройства</v>
      </c>
      <c r="O819" s="6" t="str">
        <f>IFERROR(__xludf.DUMMYFUNCTION("""COMPUTED_VALUE"""),"Благоустройство в пользу пешеходов, добавление выделенных полос по мере возможности, развитие электротранспорта, организация паркингов в разных районах города, запрет въезда в центр автомобилей любого класса кроме общественного транспорта.")</f>
        <v>Благоустройство в пользу пешеходов, добавление выделенных полос по мере возможности, развитие электротранспорта, организация паркингов в разных районах города, запрет въезда в центр автомобилей любого класса кроме общественного транспорта.</v>
      </c>
      <c r="P819" s="6" t="str">
        <f>IFERROR(__xludf.DUMMYFUNCTION("""COMPUTED_VALUE"""),"ВК,Телеграмм")</f>
        <v>ВК,Телеграмм</v>
      </c>
      <c r="Q819"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творческими личностями, интервью с местными предпринимателями, результаты местных ис"&amp;"следований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v>
      </c>
      <c r="R819" s="6" t="str">
        <f>IFERROR(__xludf.DUMMYFUNCTION("""COMPUTED_VALUE"""),"День Победы")</f>
        <v>День Победы</v>
      </c>
      <c r="S819" s="6" t="str">
        <f>IFERROR(__xludf.DUMMYFUNCTION("""COMPUTED_VALUE"""),"Нет, не приходилось")</f>
        <v>Нет, не приходилось</v>
      </c>
      <c r="T819" s="6" t="str">
        <f>IFERROR(__xludf.DUMMYFUNCTION("""COMPUTED_VALUE"""),"В городе Кемерово расположился Музей угля Красная горка, где можно узнать, как добывают каменный уголь в этом шахтерском крае и как он залегает.")</f>
        <v>В городе Кемерово расположился Музей угля Красная горка, где можно узнать, как добывают каменный уголь в этом шахтерском крае и как он залегает.</v>
      </c>
      <c r="U819" s="6" t="str">
        <f>IFERROR(__xludf.DUMMYFUNCTION("""COMPUTED_VALUE"""),"Музей-заповедник Красная горка")</f>
        <v>Музей-заповедник Красная горка</v>
      </c>
      <c r="V819" s="6" t="str">
        <f>IFERROR(__xludf.DUMMYFUNCTION("""COMPUTED_VALUE"""),"Развивали общественные пространства, создавали рабочие места")</f>
        <v>Развивали общественные пространства, создавали рабочие места</v>
      </c>
      <c r="W819" s="6" t="str">
        <f>IFERROR(__xludf.DUMMYFUNCTION("""COMPUTED_VALUE"""),"Последнее время стали более закрытыми, раньше были очень коммуникабельными")</f>
        <v>Последнее время стали более закрытыми, раньше были очень коммуникабельными</v>
      </c>
      <c r="X819" s="6" t="str">
        <f>IFERROR(__xludf.DUMMYFUNCTION("""COMPUTED_VALUE"""),"Музей-заповедник Красная горка,
памятник Михайло Волкову,
фонтан у драмтеатра (лето),
набережная.")</f>
        <v>Музей-заповедник Красная горка,
памятник Михайло Волкову,
фонтан у драмтеатра (лето),
набережная.</v>
      </c>
      <c r="Y819" s="6" t="str">
        <f>IFERROR(__xludf.DUMMYFUNCTION("""COMPUTED_VALUE"""),"На моей памяти Чемпионат Мира по Хоккею с мячом 2006 года")</f>
        <v>На моей памяти Чемпионат Мира по Хоккею с мячом 2006 года</v>
      </c>
      <c r="Z819" s="6" t="str">
        <f>IFERROR(__xludf.DUMMYFUNCTION("""COMPUTED_VALUE"""),"Обновление общественного транспорта")</f>
        <v>Обновление общественного транспорта</v>
      </c>
      <c r="AA819" s="6" t="str">
        <f>IFERROR(__xludf.DUMMYFUNCTION("""COMPUTED_VALUE"""),"Закрытие троллейбусного маршрута №2")</f>
        <v>Закрытие троллейбусного маршрута №2</v>
      </c>
      <c r="AB819" s="6" t="str">
        <f>IFERROR(__xludf.DUMMYFUNCTION("""COMPUTED_VALUE"""),"Вроде есть все")</f>
        <v>Вроде есть все</v>
      </c>
      <c r="AC819" s="6" t="str">
        <f>IFERROR(__xludf.DUMMYFUNCTION("""COMPUTED_VALUE"""),"О истории города и его жителей.")</f>
        <v>О истории города и его жителей.</v>
      </c>
      <c r="AD819"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19" s="6" t="str">
        <f>IFERROR(__xludf.DUMMYFUNCTION("""COMPUTED_VALUE"""),"Мужской")</f>
        <v>Мужской</v>
      </c>
      <c r="AF819" s="6" t="str">
        <f>IFERROR(__xludf.DUMMYFUNCTION("""COMPUTED_VALUE"""),"30-44")</f>
        <v>30-44</v>
      </c>
      <c r="AG819" s="6"/>
      <c r="AH819" s="6"/>
      <c r="AI819" s="6"/>
      <c r="AJ819" s="6"/>
      <c r="AK819" s="6"/>
      <c r="AL819" s="6"/>
      <c r="AM819" s="6"/>
    </row>
    <row r="820">
      <c r="A820" s="6">
        <v>819.0</v>
      </c>
      <c r="B820" s="6" t="str">
        <f>IFERROR(__xludf.DUMMYFUNCTION("""COMPUTED_VALUE"""),"Студент")</f>
        <v>Студент</v>
      </c>
      <c r="C820" s="6" t="str">
        <f>IFERROR(__xludf.DUMMYFUNCTION("""COMPUTED_VALUE"""),"нет")</f>
        <v>нет</v>
      </c>
      <c r="D820" s="6" t="str">
        <f>IFERROR(__xludf.DUMMYFUNCTION("""COMPUTED_VALUE"""),"Ленинский район")</f>
        <v>Ленинский район</v>
      </c>
      <c r="E820" s="6" t="str">
        <f>IFERROR(__xludf.DUMMYFUNCTION("""COMPUTED_VALUE"""),"Бульвар Строителей, ГЦС Кузбасс ")</f>
        <v>Бульвар Строителей, ГЦС Кузбасс </v>
      </c>
      <c r="F820" s="6" t="str">
        <f>IFERROR(__xludf.DUMMYFUNCTION("""COMPUTED_VALUE"""),"Живу здесь с рождения")</f>
        <v>Живу здесь с рождения</v>
      </c>
      <c r="G820" s="6" t="str">
        <f>IFERROR(__xludf.DUMMYFUNCTION("""COMPUTED_VALUE"""),"На Бульвар Строителей, в парк им. Веры Волошиной ")</f>
        <v>На Бульвар Строителей, в парк им. Веры Волошиной </v>
      </c>
      <c r="H820" s="6" t="str">
        <f>IFERROR(__xludf.DUMMYFUNCTION("""COMPUTED_VALUE"""),"родина, повседневность, уголь, столица, археология")</f>
        <v>родина, повседневность, уголь, столица, археология</v>
      </c>
      <c r="I820" s="6" t="str">
        <f>IFERROR(__xludf.DUMMYFUNCTION("""COMPUTED_VALUE"""),"Леонов, Волков")</f>
        <v>Леонов, Волков</v>
      </c>
      <c r="J820" s="6" t="str">
        <f>IFERROR(__xludf.DUMMYFUNCTION("""COMPUTED_VALUE"""),"Тулеев, Середюк, Цивилёв ")</f>
        <v>Тулеев, Середюк, Цивилёв </v>
      </c>
      <c r="K820" s="6" t="str">
        <f>IFERROR(__xludf.DUMMYFUNCTION("""COMPUTED_VALUE"""),"Филармония, Бульвар Строителей, парк им. Веры Волошиной, Главпочтамт")</f>
        <v>Филармония, Бульвар Строителей, парк им. Веры Волошиной, Главпочтамт</v>
      </c>
      <c r="L820" s="6" t="str">
        <f>IFERROR(__xludf.DUMMYFUNCTION("""COMPUTED_VALUE"""),"всё что не убивает делает нас сильнее")</f>
        <v>всё что не убивает делает нас сильнее</v>
      </c>
      <c r="M820" s="6" t="str">
        <f>IFERROR(__xludf.DUMMYFUNCTION("""COMPUTED_VALUE"""),"нет")</f>
        <v>нет</v>
      </c>
      <c r="N820" s="6" t="str">
        <f>IFERROR(__xludf.DUMMYFUNCTION("""COMPUTED_VALUE"""),"Доступность общественного транспорта, наличие зон отдыха(парки и пр.)")</f>
        <v>Доступность общественного транспорта, наличие зон отдыха(парки и пр.)</v>
      </c>
      <c r="O820" s="6" t="str">
        <f>IFERROR(__xludf.DUMMYFUNCTION("""COMPUTED_VALUE"""),"Снизить уровень загрязнения воздуха ")</f>
        <v>Снизить уровень загрязнения воздуха </v>
      </c>
      <c r="P820" s="6" t="str">
        <f>IFERROR(__xludf.DUMMYFUNCTION("""COMPUTED_VALUE"""),"А42.ru, VSE42.ru")</f>
        <v>А42.ru, VSE42.ru</v>
      </c>
      <c r="Q820" s="6" t="str">
        <f>IFERROR(__xludf.DUMMYFUNCTION("""COMPUTED_VALUE"""),"интервью с местными политиками, криминальные новости (происшествия/преступления), результаты местных исследований (рейтинги/аналитика/тенденции)")</f>
        <v>интервью с местными политиками, криминальные новости (происшествия/преступления), результаты местных исследований (рейтинги/аналитика/тенденции)</v>
      </c>
      <c r="R820" s="6" t="str">
        <f>IFERROR(__xludf.DUMMYFUNCTION("""COMPUTED_VALUE"""),"Таких нет")</f>
        <v>Таких нет</v>
      </c>
      <c r="S820" s="6" t="str">
        <f>IFERROR(__xludf.DUMMYFUNCTION("""COMPUTED_VALUE"""),"Нет, не приходилось")</f>
        <v>Нет, не приходилось</v>
      </c>
      <c r="T820" s="6" t="str">
        <f>IFERROR(__xludf.DUMMYFUNCTION("""COMPUTED_VALUE"""),"Тем что является столицей региона ")</f>
        <v>Тем что является столицей региона </v>
      </c>
      <c r="U820" s="6" t="str">
        <f>IFERROR(__xludf.DUMMYFUNCTION("""COMPUTED_VALUE"""),"Площадь Советов ")</f>
        <v>Площадь Советов </v>
      </c>
      <c r="V820" s="6" t="str">
        <f>IFERROR(__xludf.DUMMYFUNCTION("""COMPUTED_VALUE"""),"Создали высшие образовательные учреждения, развили культурную инфраструктуру ")</f>
        <v>Создали высшие образовательные учреждения, развили культурную инфраструктуру </v>
      </c>
      <c r="W820" s="6" t="str">
        <f>IFERROR(__xludf.DUMMYFUNCTION("""COMPUTED_VALUE"""),"Замкнутость, угрюмость, готовность помочь ")</f>
        <v>Замкнутость, угрюмость, готовность помочь </v>
      </c>
      <c r="X820" s="6" t="str">
        <f>IFERROR(__xludf.DUMMYFUNCTION("""COMPUTED_VALUE"""),"Прогулка из бульвара Строителей, до железнодорожного вокзала")</f>
        <v>Прогулка из бульвара Строителей, до железнодорожного вокзала</v>
      </c>
      <c r="Y820" s="6" t="str">
        <f>IFERROR(__xludf.DUMMYFUNCTION("""COMPUTED_VALUE"""),"Эвакуация людей и предприятий во время Великой Отечественной войны")</f>
        <v>Эвакуация людей и предприятий во время Великой Отечественной войны</v>
      </c>
      <c r="Z820" s="6" t="str">
        <f>IFERROR(__xludf.DUMMYFUNCTION("""COMPUTED_VALUE"""),"Строительство кадетского училища и Кузбасс Арены")</f>
        <v>Строительство кадетского училища и Кузбасс Арены</v>
      </c>
      <c r="AA820" s="6" t="str">
        <f>IFERROR(__xludf.DUMMYFUNCTION("""COMPUTED_VALUE"""),"Таких нет")</f>
        <v>Таких нет</v>
      </c>
      <c r="AB820" s="6" t="str">
        <f>IFERROR(__xludf.DUMMYFUNCTION("""COMPUTED_VALUE"""),"Общества исторических реконструкций ")</f>
        <v>Общества исторических реконструкций </v>
      </c>
      <c r="AC820" s="6" t="str">
        <f>IFERROR(__xludf.DUMMYFUNCTION("""COMPUTED_VALUE"""),"Я не знаю")</f>
        <v>Я не знаю</v>
      </c>
      <c r="AD82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20" s="6" t="str">
        <f>IFERROR(__xludf.DUMMYFUNCTION("""COMPUTED_VALUE"""),"Мужской")</f>
        <v>Мужской</v>
      </c>
      <c r="AF820" s="6" t="str">
        <f>IFERROR(__xludf.DUMMYFUNCTION("""COMPUTED_VALUE"""),"18-29")</f>
        <v>18-29</v>
      </c>
      <c r="AG820" s="6"/>
      <c r="AH820" s="6"/>
      <c r="AI820" s="6"/>
      <c r="AJ820" s="6"/>
      <c r="AK820" s="6"/>
      <c r="AL820" s="6"/>
      <c r="AM820" s="6"/>
    </row>
    <row r="821">
      <c r="A821" s="6">
        <v>820.0</v>
      </c>
      <c r="B821" s="6" t="str">
        <f>IFERROR(__xludf.DUMMYFUNCTION("""COMPUTED_VALUE"""),"преподаватель")</f>
        <v>преподаватель</v>
      </c>
      <c r="C821" s="6" t="str">
        <f>IFERROR(__xludf.DUMMYFUNCTION("""COMPUTED_VALUE"""),"чтение, гулять по городу")</f>
        <v>чтение, гулять по городу</v>
      </c>
      <c r="D821" s="6" t="str">
        <f>IFERROR(__xludf.DUMMYFUNCTION("""COMPUTED_VALUE"""),"Центр")</f>
        <v>Центр</v>
      </c>
      <c r="E821" s="6" t="str">
        <f>IFERROR(__xludf.DUMMYFUNCTION("""COMPUTED_VALUE"""),"Весенняя улица, Набережная,  парк у облсастной библиотеки")</f>
        <v>Весенняя улица, Набережная,  парк у облсастной библиотеки</v>
      </c>
      <c r="F821" s="6" t="str">
        <f>IFERROR(__xludf.DUMMYFUNCTION("""COMPUTED_VALUE"""),"Живу здесь с рождения")</f>
        <v>Живу здесь с рождения</v>
      </c>
      <c r="G821" s="6" t="str">
        <f>IFERROR(__xludf.DUMMYFUNCTION("""COMPUTED_VALUE"""),"Набережная Томи, Искитимки, бор")</f>
        <v>Набережная Томи, Искитимки, бор</v>
      </c>
      <c r="H821" s="6" t="str">
        <f>IFERROR(__xludf.DUMMYFUNCTION("""COMPUTED_VALUE"""),"Солнце, синее небо, покрытый лесом правый берег, цветочные клумбы, дома и театры сталинки")</f>
        <v>Солнце, синее небо, покрытый лесом правый берег, цветочные клумбы, дома и театры сталинки</v>
      </c>
      <c r="I821" s="6" t="str">
        <f>IFERROR(__xludf.DUMMYFUNCTION("""COMPUTED_VALUE"""),"архитектор Ван Лохем, Рутгерс")</f>
        <v>архитектор Ван Лохем, Рутгерс</v>
      </c>
      <c r="J821" s="6" t="str">
        <f>IFERROR(__xludf.DUMMYFUNCTION("""COMPUTED_VALUE"""),"Гришковец")</f>
        <v>Гришковец</v>
      </c>
      <c r="K821" s="6" t="str">
        <f>IFERROR(__xludf.DUMMYFUNCTION("""COMPUTED_VALUE"""),"Красную Горку, бор, центр города, парк у Кадетки с выходом к реке")</f>
        <v>Красную Горку, бор, центр города, парк у Кадетки с выходом к реке</v>
      </c>
      <c r="L821" s="6" t="str">
        <f>IFERROR(__xludf.DUMMYFUNCTION("""COMPUTED_VALUE"""),"Бог терпел, и нам велел.
")</f>
        <v>Бог терпел, и нам велел.
</v>
      </c>
      <c r="M821" s="6" t="str">
        <f>IFERROR(__xludf.DUMMYFUNCTION("""COMPUTED_VALUE"""),"нет")</f>
        <v>нет</v>
      </c>
      <c r="N821" s="6" t="str">
        <f>IFERROR(__xludf.DUMMYFUNCTION("""COMPUTED_VALUE"""),"Работа для жителей, экология, культурная жизнь,  озеленение, пляж ")</f>
        <v>Работа для жителей, экология, культурная жизнь,  озеленение, пляж </v>
      </c>
      <c r="O821" s="6" t="str">
        <f>IFERROR(__xludf.DUMMYFUNCTION("""COMPUTED_VALUE"""),"экологию - газ и пыль не дает дышать")</f>
        <v>экологию - газ и пыль не дает дышать</v>
      </c>
      <c r="P821" s="6" t="str">
        <f>IFERROR(__xludf.DUMMYFUNCTION("""COMPUTED_VALUE"""),"сайты учреждений (кино,театр, музеи ит.д.), друзья")</f>
        <v>сайты учреждений (кино,театр, музеи ит.д.), друзья</v>
      </c>
      <c r="Q821" s="6" t="str">
        <f>IFERROR(__xludf.DUMMYFUNCTION("""COMPUTED_VALUE"""),"где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f>
        <v>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v>
      </c>
      <c r="R821" s="6" t="str">
        <f>IFERROR(__xludf.DUMMYFUNCTION("""COMPUTED_VALUE"""),"день города, 9 мая")</f>
        <v>день города, 9 мая</v>
      </c>
      <c r="S821" s="6" t="str">
        <f>IFERROR(__xludf.DUMMYFUNCTION("""COMPUTED_VALUE"""),"Нет, не приходилось")</f>
        <v>Нет, не приходилось</v>
      </c>
      <c r="T821" s="6" t="str">
        <f>IFERROR(__xludf.DUMMYFUNCTION("""COMPUTED_VALUE"""),"АИК ""Кузбасс"" - как интернациональная мечта, романтика, природа, река Томь с набережной и бором в центре города, ""человек из Кемерова"":)! ")</f>
        <v>АИК "Кузбасс" - как интернациональная мечта, романтика, природа, река Томь с набережной и бором в центре города, "человек из Кемерова":)! </v>
      </c>
      <c r="U821" s="6" t="str">
        <f>IFERROR(__xludf.DUMMYFUNCTION("""COMPUTED_VALUE"""),"пр. Советский, ул. Весенняя, Островского, Притомская набережная")</f>
        <v>пр. Советский, ул. Весенняя, Островского, Притомская набережная</v>
      </c>
      <c r="V821" s="6" t="str">
        <f>IFERROR(__xludf.DUMMYFUNCTION("""COMPUTED_VALUE"""),"Посторили город-ансамбль на месте деревни, от которой и следа не осталось, особенно радует городской сад ")</f>
        <v>Посторили город-ансамбль на месте деревни, от которой и следа не осталось, особенно радует городской сад </v>
      </c>
      <c r="W821" s="6" t="str">
        <f>IFERROR(__xludf.DUMMYFUNCTION("""COMPUTED_VALUE"""),"душевность, открытость и простота в общении жителей")</f>
        <v>душевность, открытость и простота в общении жителей</v>
      </c>
      <c r="X821" s="6" t="str">
        <f>IFERROR(__xludf.DUMMYFUNCTION("""COMPUTED_VALUE"""),"Панорама с Красной горки, Центр")</f>
        <v>Панорама с Красной горки, Центр</v>
      </c>
      <c r="Y821" s="6" t="str">
        <f>IFERROR(__xludf.DUMMYFUNCTION("""COMPUTED_VALUE"""),"АИК ""Кузбасс""")</f>
        <v>АИК "Кузбасс"</v>
      </c>
      <c r="Z821" s="6" t="str">
        <f>IFERROR(__xludf.DUMMYFUNCTION("""COMPUTED_VALUE"""),"Нравится ""Ночь музеев"", воодушевляет строительство набережной на р. Искитимке, спортивного зала и новых набережных в Ленинском районе")</f>
        <v>Нравится "Ночь музеев", воодушевляет строительство набережной на р. Искитимке, спортивного зала и новых набережных в Ленинском районе</v>
      </c>
      <c r="AA821" s="6" t="str">
        <f>IFERROR(__xludf.DUMMYFUNCTION("""COMPUTED_VALUE"""),"Экология, которая за всю мою жизнь не улучшается, а только ухудшается")</f>
        <v>Экология, которая за всю мою жизнь не улучшается, а только ухудшается</v>
      </c>
      <c r="AB821" s="6" t="str">
        <f>IFERROR(__xludf.DUMMYFUNCTION("""COMPUTED_VALUE"""),"Воздуха, зелени (много повырубали, но не насадили, при обилии машин), многообразия кафе, где было бы хорошее соотношение цены-качества, детских обустроенных площадок во дворах")</f>
        <v>Воздуха, зелени (много повырубали, но не насадили, при обилии машин), многообразия кафе, где было бы хорошее соотношение цены-качества, детских обустроенных площадок во дворах</v>
      </c>
      <c r="AC821" s="6" t="str">
        <f>IFERROR(__xludf.DUMMYFUNCTION("""COMPUTED_VALUE"""),"Оживить культурную и спортивную жизнь, чтобы жители не только потребляли эти услуги, но и с удовольствием творили сами. ")</f>
        <v>Оживить культурную и спортивную жизнь, чтобы жители не только потребляли эти услуги, но и с удовольствием творили сами. </v>
      </c>
      <c r="AD821"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821" s="6" t="str">
        <f>IFERROR(__xludf.DUMMYFUNCTION("""COMPUTED_VALUE"""),"Женский")</f>
        <v>Женский</v>
      </c>
      <c r="AF821" s="6" t="str">
        <f>IFERROR(__xludf.DUMMYFUNCTION("""COMPUTED_VALUE"""),"старше 55")</f>
        <v>старше 55</v>
      </c>
      <c r="AG821" s="6"/>
      <c r="AH821" s="6"/>
      <c r="AI821" s="6"/>
      <c r="AJ821" s="6"/>
      <c r="AK821" s="6"/>
      <c r="AL821" s="6"/>
      <c r="AM821" s="6"/>
    </row>
    <row r="822">
      <c r="A822" s="6">
        <v>821.0</v>
      </c>
      <c r="B822" s="6" t="str">
        <f>IFERROR(__xludf.DUMMYFUNCTION("""COMPUTED_VALUE"""),"Учеба ")</f>
        <v>Учеба </v>
      </c>
      <c r="C822" s="6" t="str">
        <f>IFERROR(__xludf.DUMMYFUNCTION("""COMPUTED_VALUE"""),"Играть в Майнкрафт ")</f>
        <v>Играть в Майнкрафт </v>
      </c>
      <c r="D822" s="6" t="str">
        <f>IFERROR(__xludf.DUMMYFUNCTION("""COMPUTED_VALUE"""),"Шалготарьян ")</f>
        <v>Шалготарьян </v>
      </c>
      <c r="E822" s="6" t="str">
        <f>IFERROR(__xludf.DUMMYFUNCTION("""COMPUTED_VALUE"""),"Их нет ")</f>
        <v>Их нет </v>
      </c>
      <c r="F822" s="6" t="str">
        <f>IFERROR(__xludf.DUMMYFUNCTION("""COMPUTED_VALUE"""),"Живу здесь с рождения")</f>
        <v>Живу здесь с рождения</v>
      </c>
      <c r="G822" s="6" t="str">
        <f>IFERROR(__xludf.DUMMYFUNCTION("""COMPUTED_VALUE"""),"Никуда")</f>
        <v>Никуда</v>
      </c>
      <c r="H822" s="6" t="str">
        <f>IFERROR(__xludf.DUMMYFUNCTION("""COMPUTED_VALUE"""),"Уголь, Тулеев, зимняя вишня, холодно, детство ")</f>
        <v>Уголь, Тулеев, зимняя вишня, холодно, детство </v>
      </c>
      <c r="I822" s="6" t="str">
        <f>IFERROR(__xludf.DUMMYFUNCTION("""COMPUTED_VALUE"""),"-")</f>
        <v>-</v>
      </c>
      <c r="J822" s="6" t="str">
        <f>IFERROR(__xludf.DUMMYFUNCTION("""COMPUTED_VALUE"""),"-")</f>
        <v>-</v>
      </c>
      <c r="K822" s="6" t="str">
        <f>IFERROR(__xludf.DUMMYFUNCTION("""COMPUTED_VALUE"""),"-")</f>
        <v>-</v>
      </c>
      <c r="L822" s="6" t="str">
        <f>IFERROR(__xludf.DUMMYFUNCTION("""COMPUTED_VALUE"""),"_")</f>
        <v>_</v>
      </c>
      <c r="M822" s="6" t="str">
        <f>IFERROR(__xludf.DUMMYFUNCTION("""COMPUTED_VALUE"""),"-")</f>
        <v>-</v>
      </c>
      <c r="N822" s="6" t="str">
        <f>IFERROR(__xludf.DUMMYFUNCTION("""COMPUTED_VALUE"""),"Чистота, уют, доброта людей ")</f>
        <v>Чистота, уют, доброта людей </v>
      </c>
      <c r="O822" s="6" t="str">
        <f>IFERROR(__xludf.DUMMYFUNCTION("""COMPUTED_VALUE"""),"Экологию и людей ")</f>
        <v>Экологию и людей </v>
      </c>
      <c r="P822" s="6" t="str">
        <f>IFERROR(__xludf.DUMMYFUNCTION("""COMPUTED_VALUE"""),"Интернет ")</f>
        <v>Интернет </v>
      </c>
      <c r="Q822" s="6" t="str">
        <f>IFERROR(__xludf.DUMMYFUNCTION("""COMPUTED_VALUE"""),"куда пойти в свободное время")</f>
        <v>куда пойти в свободное время</v>
      </c>
      <c r="R822" s="6" t="str">
        <f>IFERROR(__xludf.DUMMYFUNCTION("""COMPUTED_VALUE"""),"9 мая ")</f>
        <v>9 мая </v>
      </c>
      <c r="S822" s="6" t="str">
        <f>IFERROR(__xludf.DUMMYFUNCTION("""COMPUTED_VALUE"""),"Нет, не приходилось")</f>
        <v>Нет, не приходилось</v>
      </c>
      <c r="T822" s="6" t="str">
        <f>IFERROR(__xludf.DUMMYFUNCTION("""COMPUTED_VALUE"""),"Зимняя вишня")</f>
        <v>Зимняя вишня</v>
      </c>
      <c r="U822" s="6" t="str">
        <f>IFERROR(__xludf.DUMMYFUNCTION("""COMPUTED_VALUE"""),"Ничего")</f>
        <v>Ничего</v>
      </c>
      <c r="V822" s="6" t="str">
        <f>IFERROR(__xludf.DUMMYFUNCTION("""COMPUTED_VALUE"""),"-")</f>
        <v>-</v>
      </c>
      <c r="W822" s="6" t="str">
        <f>IFERROR(__xludf.DUMMYFUNCTION("""COMPUTED_VALUE"""),"Злые ")</f>
        <v>Злые </v>
      </c>
      <c r="X822" s="6" t="str">
        <f>IFERROR(__xludf.DUMMYFUNCTION("""COMPUTED_VALUE"""),"Набережная")</f>
        <v>Набережная</v>
      </c>
      <c r="Y822" s="6" t="str">
        <f>IFERROR(__xludf.DUMMYFUNCTION("""COMPUTED_VALUE"""),"-")</f>
        <v>-</v>
      </c>
      <c r="Z822" s="6" t="str">
        <f>IFERROR(__xludf.DUMMYFUNCTION("""COMPUTED_VALUE"""),"Зимняя вишня")</f>
        <v>Зимняя вишня</v>
      </c>
      <c r="AA822" s="6" t="str">
        <f>IFERROR(__xludf.DUMMYFUNCTION("""COMPUTED_VALUE"""),"-")</f>
        <v>-</v>
      </c>
      <c r="AB822" s="6" t="str">
        <f>IFERROR(__xludf.DUMMYFUNCTION("""COMPUTED_VALUE"""),"Веганов ")</f>
        <v>Веганов </v>
      </c>
      <c r="AC822" s="6" t="str">
        <f>IFERROR(__xludf.DUMMYFUNCTION("""COMPUTED_VALUE"""),"-")</f>
        <v>-</v>
      </c>
      <c r="AD82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22" s="6" t="str">
        <f>IFERROR(__xludf.DUMMYFUNCTION("""COMPUTED_VALUE"""),"Женский")</f>
        <v>Женский</v>
      </c>
      <c r="AF822" s="6" t="str">
        <f>IFERROR(__xludf.DUMMYFUNCTION("""COMPUTED_VALUE"""),"18-29")</f>
        <v>18-29</v>
      </c>
      <c r="AG822" s="6"/>
      <c r="AH822" s="6"/>
      <c r="AI822" s="6"/>
      <c r="AJ822" s="6"/>
      <c r="AK822" s="6"/>
      <c r="AL822" s="6"/>
      <c r="AM822" s="6"/>
    </row>
    <row r="823">
      <c r="A823" s="6">
        <v>822.0</v>
      </c>
      <c r="B823" s="6" t="str">
        <f>IFERROR(__xludf.DUMMYFUNCTION("""COMPUTED_VALUE"""),"Специалист техподдержки 1С")</f>
        <v>Специалист техподдержки 1С</v>
      </c>
      <c r="C823" s="6" t="str">
        <f>IFERROR(__xludf.DUMMYFUNCTION("""COMPUTED_VALUE"""),"Коллекционирование музыкальных альбомов, фигурок персонажей, любительский вокал, сочинять любительские рассказы для сестёр на различные темы, раскрашивание картин по номерам")</f>
        <v>Коллекционирование музыкальных альбомов, фигурок персонажей, любительский вокал, сочинять любительские рассказы для сестёр на различные темы, раскрашивание картин по номерам</v>
      </c>
      <c r="D823" s="6" t="str">
        <f>IFERROR(__xludf.DUMMYFUNCTION("""COMPUTED_VALUE"""),"Рудничный район, все его называют просто Радуга")</f>
        <v>Рудничный район, все его называют просто Радуга</v>
      </c>
      <c r="E823" s="6" t="str">
        <f>IFERROR(__xludf.DUMMYFUNCTION("""COMPUTED_VALUE"""),"Набережная Томи, Сосновый Бор ")</f>
        <v>Набережная Томи, Сосновый Бор </v>
      </c>
      <c r="F823" s="6" t="str">
        <f>IFERROR(__xludf.DUMMYFUNCTION("""COMPUTED_VALUE"""),"Живу здесь с рождения")</f>
        <v>Живу здесь с рождения</v>
      </c>
      <c r="G823" s="6" t="str">
        <f>IFERROR(__xludf.DUMMYFUNCTION("""COMPUTED_VALUE"""),"Всегда по-разному")</f>
        <v>Всегда по-разному</v>
      </c>
      <c r="H823" s="6" t="str">
        <f>IFERROR(__xludf.DUMMYFUNCTION("""COMPUTED_VALUE"""),"Чёрное небо, уголь, экология, бессмысленность, нерациональность")</f>
        <v>Чёрное небо, уголь, экология, бессмысленность, нерациональность</v>
      </c>
      <c r="I823" s="6" t="str">
        <f>IFERROR(__xludf.DUMMYFUNCTION("""COMPUTED_VALUE"""),"Вера Волошина, А.А. Леонов...")</f>
        <v>Вера Волошина, А.А. Леонов...</v>
      </c>
      <c r="J823" s="6" t="str">
        <f>IFERROR(__xludf.DUMMYFUNCTION("""COMPUTED_VALUE"""),"Мало осведомлена об этом, каюсь")</f>
        <v>Мало осведомлена об этом, каюсь</v>
      </c>
      <c r="K823" s="6" t="str">
        <f>IFERROR(__xludf.DUMMYFUNCTION("""COMPUTED_VALUE"""),"Сосновый, нынче Рудничный Бор, очень там красиво все сделали, особенно в зимнее время все выглядит замечательно, Берёзовая Роща в осеннее время, Красная горка, там вид прекрасный, если не смотреть на причину мертвой экологии.")</f>
        <v>Сосновый, нынче Рудничный Бор, очень там красиво все сделали, особенно в зимнее время все выглядит замечательно, Берёзовая Роща в осеннее время, Красная горка, там вид прекрасный, если не смотреть на причину мертвой экологии.</v>
      </c>
      <c r="L823" s="6" t="str">
        <f>IFERROR(__xludf.DUMMYFUNCTION("""COMPUTED_VALUE"""),"Весь наш город как сплошная несмешная шутка")</f>
        <v>Весь наш город как сплошная несмешная шутка</v>
      </c>
      <c r="M823" s="6" t="str">
        <f>IFERROR(__xludf.DUMMYFUNCTION("""COMPUTED_VALUE"""),"Нет")</f>
        <v>Нет</v>
      </c>
      <c r="N823" s="6" t="str">
        <f>IFERROR(__xludf.DUMMYFUNCTION("""COMPUTED_VALUE"""),"Своевременный общественный транспорт, пешеходные дороги даже через мост, супермаркеты, школы и работа в шаговой доступности, места культурного отдыха, облагороженные места на природе опять же для отдыха ")</f>
        <v>Своевременный общественный транспорт, пешеходные дороги даже через мост, супермаркеты, школы и работа в шаговой доступности, места культурного отдыха, облагороженные места на природе опять же для отдыха </v>
      </c>
      <c r="O823" s="6" t="str">
        <f>IFERROR(__xludf.DUMMYFUNCTION("""COMPUTED_VALUE"""),"Экологию и транспорт")</f>
        <v>Экологию и транспорт</v>
      </c>
      <c r="P823" s="6" t="str">
        <f>IFERROR(__xludf.DUMMYFUNCTION("""COMPUTED_VALUE"""),"Интернет, Инстаграм ")</f>
        <v>Интернет, Инстаграм </v>
      </c>
      <c r="Q823"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823" s="6" t="str">
        <f>IFERROR(__xludf.DUMMYFUNCTION("""COMPUTED_VALUE"""),"В честь которых делают на работе выходной")</f>
        <v>В честь которых делают на работе выходной</v>
      </c>
      <c r="S823" s="6" t="str">
        <f>IFERROR(__xludf.DUMMYFUNCTION("""COMPUTED_VALUE"""),"Нет, не приходилось")</f>
        <v>Нет, не приходилось</v>
      </c>
      <c r="T823" s="6" t="str">
        <f>IFERROR(__xludf.DUMMYFUNCTION("""COMPUTED_VALUE"""),"В СМИ чаще всего про наш город криминальные или печальные новости: убийства, смерть по неосторожности, пожары, убитая экология ")</f>
        <v>В СМИ чаще всего про наш город криминальные или печальные новости: убийства, смерть по неосторожности, пожары, убитая экология </v>
      </c>
      <c r="U823" s="6" t="str">
        <f>IFERROR(__xludf.DUMMYFUNCTION("""COMPUTED_VALUE"""),"Сейчас это город огней, зимняя вишня ")</f>
        <v>Сейчас это город огней, зимняя вишня </v>
      </c>
      <c r="V823" s="6" t="str">
        <f>IFERROR(__xludf.DUMMYFUNCTION("""COMPUTED_VALUE"""),"Угледобывающая промышленность")</f>
        <v>Угледобывающая промышленность</v>
      </c>
      <c r="W823" s="6" t="str">
        <f>IFERROR(__xludf.DUMMYFUNCTION("""COMPUTED_VALUE"""),"Зажатые, негативные, угрюмые, недовольные, болеющие")</f>
        <v>Зажатые, негативные, угрюмые, недовольные, болеющие</v>
      </c>
      <c r="X823" s="6" t="str">
        <f>IFERROR(__xludf.DUMMYFUNCTION("""COMPUTED_VALUE"""),"Из города")</f>
        <v>Из города</v>
      </c>
      <c r="Y823" s="6" t="str">
        <f>IFERROR(__xludf.DUMMYFUNCTION("""COMPUTED_VALUE"""),"Не осведомлена")</f>
        <v>Не осведомлена</v>
      </c>
      <c r="Z823" s="6" t="str">
        <f>IFERROR(__xludf.DUMMYFUNCTION("""COMPUTED_VALUE"""),"Никаких позитивных событий здесь нет")</f>
        <v>Никаких позитивных событий здесь нет</v>
      </c>
      <c r="AA823" s="6" t="str">
        <f>IFERROR(__xludf.DUMMYFUNCTION("""COMPUTED_VALUE"""),"Бессмысленный митинг из-за какого-то политика, общественный транспорт перестал ходить и все кого я знаю опаздывали, либо добирались пешком. ")</f>
        <v>Бессмысленный митинг из-за какого-то политика, общественный транспорт перестал ходить и все кого я знаю опаздывали, либо добирались пешком. </v>
      </c>
      <c r="AB823" s="6" t="str">
        <f>IFERROR(__xludf.DUMMYFUNCTION("""COMPUTED_VALUE"""),"Мне все равно на это, времени нет из-за работы за таким наблюдать")</f>
        <v>Мне все равно на это, времени нет из-за работы за таким наблюдать</v>
      </c>
      <c r="AC823" s="6" t="str">
        <f>IFERROR(__xludf.DUMMYFUNCTION("""COMPUTED_VALUE"""),"Культурное воспитание молодежи, особенно школьников")</f>
        <v>Культурное воспитание молодежи, особенно школьников</v>
      </c>
      <c r="AD82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23" s="6" t="str">
        <f>IFERROR(__xludf.DUMMYFUNCTION("""COMPUTED_VALUE"""),"Женский")</f>
        <v>Женский</v>
      </c>
      <c r="AF823" s="6" t="str">
        <f>IFERROR(__xludf.DUMMYFUNCTION("""COMPUTED_VALUE"""),"18-29")</f>
        <v>18-29</v>
      </c>
      <c r="AG823" s="6"/>
      <c r="AH823" s="6"/>
      <c r="AI823" s="6"/>
      <c r="AJ823" s="6"/>
      <c r="AK823" s="6"/>
      <c r="AL823" s="6"/>
      <c r="AM823" s="6"/>
    </row>
    <row r="824">
      <c r="A824" s="6">
        <v>823.0</v>
      </c>
      <c r="B824" s="6" t="str">
        <f>IFERROR(__xludf.DUMMYFUNCTION("""COMPUTED_VALUE"""),"Сфера Высшее образование ")</f>
        <v>Сфера Высшее образование </v>
      </c>
      <c r="C824" s="6" t="str">
        <f>IFERROR(__xludf.DUMMYFUNCTION("""COMPUTED_VALUE"""),"Спорт")</f>
        <v>Спорт</v>
      </c>
      <c r="D824" s="6" t="str">
        <f>IFERROR(__xludf.DUMMYFUNCTION("""COMPUTED_VALUE"""),"Центральный")</f>
        <v>Центральный</v>
      </c>
      <c r="E824" s="6" t="str">
        <f>IFERROR(__xludf.DUMMYFUNCTION("""COMPUTED_VALUE"""),"Парк Победы, Набережная ")</f>
        <v>Парк Победы, Набережная </v>
      </c>
      <c r="F824" s="6" t="str">
        <f>IFERROR(__xludf.DUMMYFUNCTION("""COMPUTED_VALUE"""),"Переехал сюда из другого места (откуда? укажите в графе другое), Белово, получение высшего образования ")</f>
        <v>Переехал сюда из другого места (откуда? укажите в графе другое), Белово, получение высшего образования </v>
      </c>
      <c r="G824" s="6" t="str">
        <f>IFERROR(__xludf.DUMMYFUNCTION("""COMPUTED_VALUE"""),"Кадетский корпус ")</f>
        <v>Кадетский корпус </v>
      </c>
      <c r="H824" s="6" t="str">
        <f>IFERROR(__xludf.DUMMYFUNCTION("""COMPUTED_VALUE"""),"Родина, развитие, преобразование, прорыв, столица")</f>
        <v>Родина, развитие, преобразование, прорыв, столица</v>
      </c>
      <c r="I824" s="6" t="str">
        <f>IFERROR(__xludf.DUMMYFUNCTION("""COMPUTED_VALUE"""),"Михайло Волков, Тимофей Горбачев")</f>
        <v>Михайло Волков, Тимофей Горбачев</v>
      </c>
      <c r="J824" s="6" t="str">
        <f>IFERROR(__xludf.DUMMYFUNCTION("""COMPUTED_VALUE"""),"Федяев, Шейбак")</f>
        <v>Федяев, Шейбак</v>
      </c>
      <c r="K824" s="6" t="str">
        <f>IFERROR(__xludf.DUMMYFUNCTION("""COMPUTED_VALUE"""),"Кадетский корпус")</f>
        <v>Кадетский корпус</v>
      </c>
      <c r="L824" s="6" t="str">
        <f>IFERROR(__xludf.DUMMYFUNCTION("""COMPUTED_VALUE"""),"Политех- лучше всех!")</f>
        <v>Политех- лучше всех!</v>
      </c>
      <c r="M824" s="6" t="str">
        <f>IFERROR(__xludf.DUMMYFUNCTION("""COMPUTED_VALUE"""),"Нет")</f>
        <v>Нет</v>
      </c>
      <c r="N824" s="6" t="str">
        <f>IFERROR(__xludf.DUMMYFUNCTION("""COMPUTED_VALUE"""),"Чистота, озеленение, доступность зон для отдыха и спорта, развитие транспортной инфраструктуры, развитие храмов ")</f>
        <v>Чистота, озеленение, доступность зон для отдыха и спорта, развитие транспортной инфраструктуры, развитие храмов </v>
      </c>
      <c r="O824" s="6" t="str">
        <f>IFERROR(__xludf.DUMMYFUNCTION("""COMPUTED_VALUE"""),"Воспитание патриотизма, доброты")</f>
        <v>Воспитание патриотизма, доброты</v>
      </c>
      <c r="P824" s="6" t="str">
        <f>IFERROR(__xludf.DUMMYFUNCTION("""COMPUTED_VALUE"""),"Новости ТВ")</f>
        <v>Новости ТВ</v>
      </c>
      <c r="Q824" s="6" t="str">
        <f>IFERROR(__xludf.DUMMYFUNCTION("""COMPUTED_VALUE"""),"новости про новые профессии/куда поступать/вакансии, интервью с экспертами на разные темы (напишите в разделе Другое свои предложения)")</f>
        <v>новости про новые профессии/куда поступать/вакансии, интервью с экспертами на разные темы (напишите в разделе Другое свои предложения)</v>
      </c>
      <c r="R824" s="6" t="str">
        <f>IFERROR(__xludf.DUMMYFUNCTION("""COMPUTED_VALUE"""),"9 мая")</f>
        <v>9 мая</v>
      </c>
      <c r="S824" s="6" t="str">
        <f>IFERROR(__xludf.DUMMYFUNCTION("""COMPUTED_VALUE"""),"Делал рассылку по электронной почте")</f>
        <v>Делал рассылку по электронной почте</v>
      </c>
      <c r="T824" s="6" t="str">
        <f>IFERROR(__xludf.DUMMYFUNCTION("""COMPUTED_VALUE"""),"Музей Красная горка")</f>
        <v>Музей Красная горка</v>
      </c>
      <c r="U824" s="6" t="str">
        <f>IFERROR(__xludf.DUMMYFUNCTION("""COMPUTED_VALUE"""),"Площадь Советов")</f>
        <v>Площадь Советов</v>
      </c>
      <c r="V824" s="6" t="str">
        <f>IFERROR(__xludf.DUMMYFUNCTION("""COMPUTED_VALUE"""),"Трудились на производствах ")</f>
        <v>Трудились на производствах </v>
      </c>
      <c r="W824" s="6" t="str">
        <f>IFERROR(__xludf.DUMMYFUNCTION("""COMPUTED_VALUE"""),"Добрые")</f>
        <v>Добрые</v>
      </c>
      <c r="X824" s="6" t="str">
        <f>IFERROR(__xludf.DUMMYFUNCTION("""COMPUTED_VALUE"""),"Набережная ")</f>
        <v>Набережная </v>
      </c>
      <c r="Y824" s="6" t="str">
        <f>IFERROR(__xludf.DUMMYFUNCTION("""COMPUTED_VALUE"""),"Чемпионаты по волейболу и хоккею с мячом, марафон олимпийского огня ")</f>
        <v>Чемпионаты по волейболу и хоккею с мячом, марафон олимпийского огня </v>
      </c>
      <c r="Z824" s="6" t="str">
        <f>IFERROR(__xludf.DUMMYFUNCTION("""COMPUTED_VALUE"""),"Открытие кадетского корпуса ")</f>
        <v>Открытие кадетского корпуса </v>
      </c>
      <c r="AA824" s="6" t="str">
        <f>IFERROR(__xludf.DUMMYFUNCTION("""COMPUTED_VALUE"""),"Не было таких ")</f>
        <v>Не было таких </v>
      </c>
      <c r="AB824" s="6" t="str">
        <f>IFERROR(__xludf.DUMMYFUNCTION("""COMPUTED_VALUE"""),"Спортивных ")</f>
        <v>Спортивных </v>
      </c>
      <c r="AC824" s="6" t="str">
        <f>IFERROR(__xludf.DUMMYFUNCTION("""COMPUTED_VALUE"""),"Спортивные мероприятия ")</f>
        <v>Спортивные мероприятия </v>
      </c>
      <c r="AD824"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824" s="6" t="str">
        <f>IFERROR(__xludf.DUMMYFUNCTION("""COMPUTED_VALUE"""),"Женский")</f>
        <v>Женский</v>
      </c>
      <c r="AF824" s="6" t="str">
        <f>IFERROR(__xludf.DUMMYFUNCTION("""COMPUTED_VALUE"""),"30-44")</f>
        <v>30-44</v>
      </c>
      <c r="AG824" s="6"/>
      <c r="AH824" s="6"/>
      <c r="AI824" s="6"/>
      <c r="AJ824" s="6"/>
      <c r="AK824" s="6"/>
      <c r="AL824" s="6"/>
      <c r="AM824" s="6"/>
    </row>
    <row r="825">
      <c r="A825" s="6">
        <v>824.0</v>
      </c>
      <c r="B825" s="6" t="str">
        <f>IFERROR(__xludf.DUMMYFUNCTION("""COMPUTED_VALUE"""),"Учусь ")</f>
        <v>Учусь </v>
      </c>
      <c r="C825" s="6" t="str">
        <f>IFERROR(__xludf.DUMMYFUNCTION("""COMPUTED_VALUE"""),"Нет ")</f>
        <v>Нет </v>
      </c>
      <c r="D825" s="6" t="str">
        <f>IFERROR(__xludf.DUMMYFUNCTION("""COMPUTED_VALUE"""),"Ленинский ")</f>
        <v>Ленинский </v>
      </c>
      <c r="E825" s="6" t="str">
        <f>IFERROR(__xludf.DUMMYFUNCTION("""COMPUTED_VALUE"""),"Бульвар ")</f>
        <v>Бульвар </v>
      </c>
      <c r="F825" s="6" t="str">
        <f>IFERROR(__xludf.DUMMYFUNCTION("""COMPUTED_VALUE"""),"Переехал сюда из другого места (откуда? укажите в графе другое), Тяжин ")</f>
        <v>Переехал сюда из другого места (откуда? укажите в графе другое), Тяжин </v>
      </c>
      <c r="G825" s="6" t="str">
        <f>IFERROR(__xludf.DUMMYFUNCTION("""COMPUTED_VALUE"""),"Парк , набережная ")</f>
        <v>Парк , набережная </v>
      </c>
      <c r="H825" s="6" t="str">
        <f>IFERROR(__xludf.DUMMYFUNCTION("""COMPUTED_VALUE"""),"Пыль , грязные воздух , мусор , плохие дороги ")</f>
        <v>Пыль , грязные воздух , мусор , плохие дороги </v>
      </c>
      <c r="I825" s="6" t="str">
        <f>IFERROR(__xludf.DUMMYFUNCTION("""COMPUTED_VALUE"""),"Не знаю ")</f>
        <v>Не знаю </v>
      </c>
      <c r="J825" s="6" t="str">
        <f>IFERROR(__xludf.DUMMYFUNCTION("""COMPUTED_VALUE"""),"Не знаю ")</f>
        <v>Не знаю </v>
      </c>
      <c r="K825" s="6" t="str">
        <f>IFERROR(__xludf.DUMMYFUNCTION("""COMPUTED_VALUE"""),"Никаких ")</f>
        <v>Никаких </v>
      </c>
      <c r="L825" s="6" t="str">
        <f>IFERROR(__xludf.DUMMYFUNCTION("""COMPUTED_VALUE"""),"Не знаю ")</f>
        <v>Не знаю </v>
      </c>
      <c r="M825" s="6" t="str">
        <f>IFERROR(__xludf.DUMMYFUNCTION("""COMPUTED_VALUE"""),"Нет ")</f>
        <v>Нет </v>
      </c>
      <c r="N825" s="6" t="str">
        <f>IFERROR(__xludf.DUMMYFUNCTION("""COMPUTED_VALUE"""),"Никаких ")</f>
        <v>Никаких </v>
      </c>
      <c r="O825" s="6" t="str">
        <f>IFERROR(__xludf.DUMMYFUNCTION("""COMPUTED_VALUE"""),"Чтоб чистый воздух был , дышать нечем ")</f>
        <v>Чтоб чистый воздух был , дышать нечем </v>
      </c>
      <c r="P825" s="6" t="str">
        <f>IFERROR(__xludf.DUMMYFUNCTION("""COMPUTED_VALUE"""),"Инстограм ")</f>
        <v>Инстограм </v>
      </c>
      <c r="Q825" s="6" t="str">
        <f>IFERROR(__xludf.DUMMYFUNCTION("""COMPUTED_VALUE"""),"куда пойти в свободное время")</f>
        <v>куда пойти в свободное время</v>
      </c>
      <c r="R825" s="6" t="str">
        <f>IFERROR(__xludf.DUMMYFUNCTION("""COMPUTED_VALUE"""),"Не знаю таких ")</f>
        <v>Не знаю таких </v>
      </c>
      <c r="S825" s="6" t="str">
        <f>IFERROR(__xludf.DUMMYFUNCTION("""COMPUTED_VALUE"""),"Нет, не приходилось")</f>
        <v>Нет, не приходилось</v>
      </c>
      <c r="T825" s="6" t="str">
        <f>IFERROR(__xludf.DUMMYFUNCTION("""COMPUTED_VALUE"""),"Не знаю ")</f>
        <v>Не знаю </v>
      </c>
      <c r="U825" s="6" t="str">
        <f>IFERROR(__xludf.DUMMYFUNCTION("""COMPUTED_VALUE"""),"Ленинский  район бульвар ")</f>
        <v>Ленинский  район бульвар </v>
      </c>
      <c r="V825" s="6" t="str">
        <f>IFERROR(__xludf.DUMMYFUNCTION("""COMPUTED_VALUE"""),"Не знаю ")</f>
        <v>Не знаю </v>
      </c>
      <c r="W825" s="6" t="str">
        <f>IFERROR(__xludf.DUMMYFUNCTION("""COMPUTED_VALUE"""),"Разные ")</f>
        <v>Разные </v>
      </c>
      <c r="X825" s="6" t="str">
        <f>IFERROR(__xludf.DUMMYFUNCTION("""COMPUTED_VALUE"""),"Бульвар , набережная ")</f>
        <v>Бульвар , набережная </v>
      </c>
      <c r="Y825" s="6" t="str">
        <f>IFERROR(__xludf.DUMMYFUNCTION("""COMPUTED_VALUE"""),"Не знаю ")</f>
        <v>Не знаю </v>
      </c>
      <c r="Z825" s="6" t="str">
        <f>IFERROR(__xludf.DUMMYFUNCTION("""COMPUTED_VALUE"""),"Нет такого ")</f>
        <v>Нет такого </v>
      </c>
      <c r="AA825" s="6" t="str">
        <f>IFERROR(__xludf.DUMMYFUNCTION("""COMPUTED_VALUE"""),"Плохой воздух ")</f>
        <v>Плохой воздух </v>
      </c>
      <c r="AB825" s="6" t="str">
        <f>IFERROR(__xludf.DUMMYFUNCTION("""COMPUTED_VALUE"""),"Развлечение ,память ")</f>
        <v>Развлечение ,память </v>
      </c>
      <c r="AC825" s="6" t="str">
        <f>IFERROR(__xludf.DUMMYFUNCTION("""COMPUTED_VALUE"""),"Развлекательные мероприятия ")</f>
        <v>Развлекательные мероприятия </v>
      </c>
      <c r="AD82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25" s="6" t="str">
        <f>IFERROR(__xludf.DUMMYFUNCTION("""COMPUTED_VALUE"""),"Женский")</f>
        <v>Женский</v>
      </c>
      <c r="AF825" s="6" t="str">
        <f>IFERROR(__xludf.DUMMYFUNCTION("""COMPUTED_VALUE"""),"18-29")</f>
        <v>18-29</v>
      </c>
      <c r="AG825" s="6"/>
      <c r="AH825" s="6"/>
      <c r="AI825" s="6"/>
      <c r="AJ825" s="6"/>
      <c r="AK825" s="6"/>
      <c r="AL825" s="6"/>
      <c r="AM825" s="6"/>
    </row>
    <row r="826">
      <c r="A826" s="6">
        <v>825.0</v>
      </c>
      <c r="B826" s="6" t="str">
        <f>IFERROR(__xludf.DUMMYFUNCTION("""COMPUTED_VALUE"""),"Архитектура")</f>
        <v>Архитектура</v>
      </c>
      <c r="C826" s="6" t="str">
        <f>IFERROR(__xludf.DUMMYFUNCTION("""COMPUTED_VALUE"""),"Психология ")</f>
        <v>Психология </v>
      </c>
      <c r="D826" s="6" t="str">
        <f>IFERROR(__xludf.DUMMYFUNCTION("""COMPUTED_VALUE"""),"Ленинский")</f>
        <v>Ленинский</v>
      </c>
      <c r="E826" s="6" t="str">
        <f>IFERROR(__xludf.DUMMYFUNCTION("""COMPUTED_VALUE"""),"Бульвар строителей")</f>
        <v>Бульвар строителей</v>
      </c>
      <c r="F826" s="6" t="str">
        <f>IFERROR(__xludf.DUMMYFUNCTION("""COMPUTED_VALUE"""),"Живу здесь с рождения")</f>
        <v>Живу здесь с рождения</v>
      </c>
      <c r="G826" s="6" t="str">
        <f>IFERROR(__xludf.DUMMYFUNCTION("""COMPUTED_VALUE"""),"На речку Томь")</f>
        <v>На речку Томь</v>
      </c>
      <c r="H826" s="6" t="str">
        <f>IFERROR(__xludf.DUMMYFUNCTION("""COMPUTED_VALUE"""),"Дикий, заброшенный, консервативный")</f>
        <v>Дикий, заброшенный, консервативный</v>
      </c>
      <c r="I826" s="6" t="str">
        <f>IFERROR(__xludf.DUMMYFUNCTION("""COMPUTED_VALUE"""),"архитектор копикуза Ван Лохем, Рутгерс")</f>
        <v>архитектор копикуза Ван Лохем, Рутгерс</v>
      </c>
      <c r="J826" s="6" t="str">
        <f>IFERROR(__xludf.DUMMYFUNCTION("""COMPUTED_VALUE"""),"Нет таких")</f>
        <v>Нет таких</v>
      </c>
      <c r="K826" s="6" t="str">
        <f>IFERROR(__xludf.DUMMYFUNCTION("""COMPUTED_VALUE"""),"Красная горка")</f>
        <v>Красная горка</v>
      </c>
      <c r="L826" s="6" t="str">
        <f>IFERROR(__xludf.DUMMYFUNCTION("""COMPUTED_VALUE"""),"Нет")</f>
        <v>Нет</v>
      </c>
      <c r="M826" s="6" t="str">
        <f>IFERROR(__xludf.DUMMYFUNCTION("""COMPUTED_VALUE"""),"Нет")</f>
        <v>Нет</v>
      </c>
      <c r="N826" s="6" t="str">
        <f>IFERROR(__xludf.DUMMYFUNCTION("""COMPUTED_VALUE"""),"Чистота, благоустроенные парки , хорошее  благоустройство, хорошие дороги, красивые и отремонтированные фасады")</f>
        <v>Чистота, благоустроенные парки , хорошее  благоустройство, хорошие дороги, красивые и отремонтированные фасады</v>
      </c>
      <c r="O826" s="6" t="str">
        <f>IFERROR(__xludf.DUMMYFUNCTION("""COMPUTED_VALUE"""),"Повысить ценность кемеровчан, профессионализм архитекторов  и заинтересованность власти городом")</f>
        <v>Повысить ценность кемеровчан, профессионализм архитекторов  и заинтересованность власти городом</v>
      </c>
      <c r="P826" s="6" t="str">
        <f>IFERROR(__xludf.DUMMYFUNCTION("""COMPUTED_VALUE"""),"Афиша ")</f>
        <v>Афиша </v>
      </c>
      <c r="Q82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826" s="6" t="str">
        <f>IFERROR(__xludf.DUMMYFUNCTION("""COMPUTED_VALUE"""),"День города")</f>
        <v>День города</v>
      </c>
      <c r="S826" s="6" t="str">
        <f>IFERROR(__xludf.DUMMYFUNCTION("""COMPUTED_VALUE"""),"Нет, не приходилось")</f>
        <v>Нет, не приходилось</v>
      </c>
      <c r="T826" s="6" t="str">
        <f>IFERROR(__xludf.DUMMYFUNCTION("""COMPUTED_VALUE"""),"История, природа")</f>
        <v>История, природа</v>
      </c>
      <c r="U826" s="6" t="str">
        <f>IFERROR(__xludf.DUMMYFUNCTION("""COMPUTED_VALUE"""),"Советский")</f>
        <v>Советский</v>
      </c>
      <c r="V826" s="6" t="str">
        <f>IFERROR(__xludf.DUMMYFUNCTION("""COMPUTED_VALUE"""),"Кроме развития промышленности ничего ")</f>
        <v>Кроме развития промышленности ничего </v>
      </c>
      <c r="W826" s="6" t="str">
        <f>IFERROR(__xludf.DUMMYFUNCTION("""COMPUTED_VALUE"""),"Консервативные, не интересующиеся, сдержанный, любящие развлечения")</f>
        <v>Консервативные, не интересующиеся, сдержанный, любящие развлечения</v>
      </c>
      <c r="X826" s="6" t="str">
        <f>IFERROR(__xludf.DUMMYFUNCTION("""COMPUTED_VALUE"""),"Набережная, Весенняя, бульвар Строителей, писанные скалы, бор")</f>
        <v>Набережная, Весенняя, бульвар Строителей, писанные скалы, бор</v>
      </c>
      <c r="Y826" s="6" t="str">
        <f>IFERROR(__xludf.DUMMYFUNCTION("""COMPUTED_VALUE"""),"Никакое")</f>
        <v>Никакое</v>
      </c>
      <c r="Z826" s="6" t="str">
        <f>IFERROR(__xludf.DUMMYFUNCTION("""COMPUTED_VALUE"""),"Нет таких")</f>
        <v>Нет таких</v>
      </c>
      <c r="AA826" s="6" t="str">
        <f>IFERROR(__xludf.DUMMYFUNCTION("""COMPUTED_VALUE"""),"Избрание Цивилева")</f>
        <v>Избрание Цивилева</v>
      </c>
      <c r="AB826" s="6" t="str">
        <f>IFERROR(__xludf.DUMMYFUNCTION("""COMPUTED_VALUE"""),"Архитектурных, it выставки , все что связано с культурой и современной музыкой")</f>
        <v>Архитектурных, it выставки , все что связано с культурой и современной музыкой</v>
      </c>
      <c r="AC826" s="6" t="str">
        <f>IFERROR(__xludf.DUMMYFUNCTION("""COMPUTED_VALUE"""),"Музыкальные и театральные фестивали, it выставки")</f>
        <v>Музыкальные и театральные фестивали, it выставки</v>
      </c>
      <c r="AD82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826" s="6" t="str">
        <f>IFERROR(__xludf.DUMMYFUNCTION("""COMPUTED_VALUE"""),"Женский")</f>
        <v>Женский</v>
      </c>
      <c r="AF826" s="6" t="str">
        <f>IFERROR(__xludf.DUMMYFUNCTION("""COMPUTED_VALUE"""),"45-55")</f>
        <v>45-55</v>
      </c>
      <c r="AG826" s="6"/>
      <c r="AH826" s="6"/>
      <c r="AI826" s="6"/>
      <c r="AJ826" s="6"/>
      <c r="AK826" s="6"/>
      <c r="AL826" s="6"/>
      <c r="AM826" s="6"/>
    </row>
    <row r="827">
      <c r="A827" s="6">
        <v>826.0</v>
      </c>
      <c r="B827" s="6" t="str">
        <f>IFERROR(__xludf.DUMMYFUNCTION("""COMPUTED_VALUE"""),"Учусь ")</f>
        <v>Учусь </v>
      </c>
      <c r="C827" s="6" t="str">
        <f>IFERROR(__xludf.DUMMYFUNCTION("""COMPUTED_VALUE"""),"Нет")</f>
        <v>Нет</v>
      </c>
      <c r="D827" s="6" t="str">
        <f>IFERROR(__xludf.DUMMYFUNCTION("""COMPUTED_VALUE"""),"Рудничный, радуга. ")</f>
        <v>Рудничный, радуга. </v>
      </c>
      <c r="E827" s="6" t="str">
        <f>IFERROR(__xludf.DUMMYFUNCTION("""COMPUTED_VALUE"""),"Тц Рио ")</f>
        <v>Тц Рио </v>
      </c>
      <c r="F827" s="6" t="str">
        <f>IFERROR(__xludf.DUMMYFUNCTION("""COMPUTED_VALUE"""),"Живу здесь с рождения")</f>
        <v>Живу здесь с рождения</v>
      </c>
      <c r="G827" s="6" t="str">
        <f>IFERROR(__xludf.DUMMYFUNCTION("""COMPUTED_VALUE"""),"Никуда ")</f>
        <v>Никуда </v>
      </c>
      <c r="H827" s="6" t="str">
        <f>IFERROR(__xludf.DUMMYFUNCTION("""COMPUTED_VALUE"""),"Елка, ")</f>
        <v>Елка, </v>
      </c>
      <c r="I827" s="6" t="str">
        <f>IFERROR(__xludf.DUMMYFUNCTION("""COMPUTED_VALUE"""),"Тулеев")</f>
        <v>Тулеев</v>
      </c>
      <c r="J827" s="6" t="str">
        <f>IFERROR(__xludf.DUMMYFUNCTION("""COMPUTED_VALUE"""),"Цивилев ")</f>
        <v>Цивилев </v>
      </c>
      <c r="K827" s="6" t="str">
        <f>IFERROR(__xludf.DUMMYFUNCTION("""COMPUTED_VALUE"""),"Елка")</f>
        <v>Елка</v>
      </c>
      <c r="L827" s="6" t="str">
        <f>IFERROR(__xludf.DUMMYFUNCTION("""COMPUTED_VALUE"""),"Зимой и летом одним цветом ")</f>
        <v>Зимой и летом одним цветом </v>
      </c>
      <c r="M827" s="6" t="str">
        <f>IFERROR(__xludf.DUMMYFUNCTION("""COMPUTED_VALUE"""),"Нет")</f>
        <v>Нет</v>
      </c>
      <c r="N827" s="6" t="str">
        <f>IFERROR(__xludf.DUMMYFUNCTION("""COMPUTED_VALUE"""),"Чистота, своевременная уборка снега, без пробок, разгруженные дороги, больше культурных мероприятий ")</f>
        <v>Чистота, своевременная уборка снега, без пробок, разгруженные дороги, больше культурных мероприятий </v>
      </c>
      <c r="O827" s="6" t="str">
        <f>IFERROR(__xludf.DUMMYFUNCTION("""COMPUTED_VALUE"""),"Дороги")</f>
        <v>Дороги</v>
      </c>
      <c r="P827" s="6" t="str">
        <f>IFERROR(__xludf.DUMMYFUNCTION("""COMPUTED_VALUE"""),"Инстаграмм")</f>
        <v>Инстаграмм</v>
      </c>
      <c r="Q827" s="6" t="str">
        <f>IFERROR(__xludf.DUMMYFUNCTION("""COMPUTED_VALUE"""),"где вкусно поесть/открытие новых кафе/ресторанов, культурные новинки (что почитать/что послушать)")</f>
        <v>где вкусно поесть/открытие новых кафе/ресторанов, культурные новинки (что почитать/что послушать)</v>
      </c>
      <c r="R827" s="6" t="str">
        <f>IFERROR(__xludf.DUMMYFUNCTION("""COMPUTED_VALUE"""),"9 мая ")</f>
        <v>9 мая </v>
      </c>
      <c r="S827" s="6" t="str">
        <f>IFERROR(__xludf.DUMMYFUNCTION("""COMPUTED_VALUE"""),"Нет, не приходилось")</f>
        <v>Нет, не приходилось</v>
      </c>
      <c r="T827" s="6" t="str">
        <f>IFERROR(__xludf.DUMMYFUNCTION("""COMPUTED_VALUE"""),"Елка")</f>
        <v>Елка</v>
      </c>
      <c r="U827" s="6" t="str">
        <f>IFERROR(__xludf.DUMMYFUNCTION("""COMPUTED_VALUE"""),"Вечный огонь")</f>
        <v>Вечный огонь</v>
      </c>
      <c r="V827" s="6" t="str">
        <f>IFERROR(__xludf.DUMMYFUNCTION("""COMPUTED_VALUE"""),"Ничего ")</f>
        <v>Ничего </v>
      </c>
      <c r="W827" s="6" t="str">
        <f>IFERROR(__xludf.DUMMYFUNCTION("""COMPUTED_VALUE"""),"Обычные ")</f>
        <v>Обычные </v>
      </c>
      <c r="X827" s="6" t="str">
        <f>IFERROR(__xludf.DUMMYFUNCTION("""COMPUTED_VALUE"""),"Центр ")</f>
        <v>Центр </v>
      </c>
      <c r="Y827" s="6" t="str">
        <f>IFERROR(__xludf.DUMMYFUNCTION("""COMPUTED_VALUE"""),"Открытие арены ")</f>
        <v>Открытие арены </v>
      </c>
      <c r="Z827" s="6" t="str">
        <f>IFERROR(__xludf.DUMMYFUNCTION("""COMPUTED_VALUE"""),"Никакие")</f>
        <v>Никакие</v>
      </c>
      <c r="AA827" s="6" t="str">
        <f>IFERROR(__xludf.DUMMYFUNCTION("""COMPUTED_VALUE"""),"Ничего")</f>
        <v>Ничего</v>
      </c>
      <c r="AB827" s="6" t="str">
        <f>IFERROR(__xludf.DUMMYFUNCTION("""COMPUTED_VALUE"""),"Все хватает ")</f>
        <v>Все хватает </v>
      </c>
      <c r="AC827" s="6" t="str">
        <f>IFERROR(__xludf.DUMMYFUNCTION("""COMPUTED_VALUE"""),"Все")</f>
        <v>Все</v>
      </c>
      <c r="AD827" s="6" t="str">
        <f>IFERROR(__xludf.DUMMYFUNCTION("""COMPUTED_VALUE"""),"Никак")</f>
        <v>Никак</v>
      </c>
      <c r="AE827" s="6" t="str">
        <f>IFERROR(__xludf.DUMMYFUNCTION("""COMPUTED_VALUE"""),"Женский")</f>
        <v>Женский</v>
      </c>
      <c r="AF827" s="6" t="str">
        <f>IFERROR(__xludf.DUMMYFUNCTION("""COMPUTED_VALUE"""),"18-29")</f>
        <v>18-29</v>
      </c>
      <c r="AG827" s="6"/>
      <c r="AH827" s="6"/>
      <c r="AI827" s="6"/>
      <c r="AJ827" s="6"/>
      <c r="AK827" s="6"/>
      <c r="AL827" s="6"/>
      <c r="AM827" s="6"/>
    </row>
    <row r="828">
      <c r="A828" s="6">
        <v>827.0</v>
      </c>
      <c r="B828" s="6" t="str">
        <f>IFERROR(__xludf.DUMMYFUNCTION("""COMPUTED_VALUE"""),"работник культуры")</f>
        <v>работник культуры</v>
      </c>
      <c r="C828" s="6" t="str">
        <f>IFERROR(__xludf.DUMMYFUNCTION("""COMPUTED_VALUE"""),"литература")</f>
        <v>литература</v>
      </c>
      <c r="D828" s="6" t="str">
        <f>IFERROR(__xludf.DUMMYFUNCTION("""COMPUTED_VALUE"""),"Кировский район")</f>
        <v>Кировский район</v>
      </c>
      <c r="E828" s="6" t="str">
        <f>IFERROR(__xludf.DUMMYFUNCTION("""COMPUTED_VALUE"""),"набережная, берёзовая роща")</f>
        <v>набережная, берёзовая роща</v>
      </c>
      <c r="F828" s="6" t="str">
        <f>IFERROR(__xludf.DUMMYFUNCTION("""COMPUTED_VALUE"""),"Живу здесь с рождения")</f>
        <v>Живу здесь с рождения</v>
      </c>
      <c r="G828" s="6" t="str">
        <f>IFERROR(__xludf.DUMMYFUNCTION("""COMPUTED_VALUE"""),"сосновый бор")</f>
        <v>сосновый бор</v>
      </c>
      <c r="H828" s="6" t="str">
        <f>IFERROR(__xludf.DUMMYFUNCTION("""COMPUTED_VALUE"""),"Сибирь, Томь,  Михайло Волков, сосна, молодость")</f>
        <v>Сибирь, Томь,  Михайло Волков, сосна, молодость</v>
      </c>
      <c r="I828" s="6" t="str">
        <f>IFERROR(__xludf.DUMMYFUNCTION("""COMPUTED_VALUE"""),"И.И.Федорович, В.Ф.Трепов, В.В.Михайлов")</f>
        <v>И.И.Федорович, В.Ф.Трепов, В.В.Михайлов</v>
      </c>
      <c r="J828" s="6" t="str">
        <f>IFERROR(__xludf.DUMMYFUNCTION("""COMPUTED_VALUE"""),"Л.С.Барбараш, О.Л.Барабараш, В.В.Михайлов,  И.Ф.Фёдорова")</f>
        <v>Л.С.Барбараш, О.Л.Барабараш, В.В.Михайлов,  И.Ф.Фёдорова</v>
      </c>
      <c r="K828" s="6" t="str">
        <f>IFERROR(__xludf.DUMMYFUNCTION("""COMPUTED_VALUE"""),"памятник З.Неизвесного, Площадь Искусств, сквер Вдохновения, набережная")</f>
        <v>памятник З.Неизвесного, Площадь Искусств, сквер Вдохновения, набережная</v>
      </c>
      <c r="L828" s="6" t="str">
        <f>IFERROR(__xludf.DUMMYFUNCTION("""COMPUTED_VALUE"""),"Кемерово? Это где? -  В Кузбассе. А Кузбасс это что? - Это Сибирь!")</f>
        <v>Кемерово? Это где? -  В Кузбассе. А Кузбасс это что? - Это Сибирь!</v>
      </c>
      <c r="M828" s="6" t="str">
        <f>IFERROR(__xludf.DUMMYFUNCTION("""COMPUTED_VALUE"""),"Кировчане - жители Кировского района")</f>
        <v>Кировчане - жители Кировского района</v>
      </c>
      <c r="N828" s="6" t="str">
        <f>IFERROR(__xludf.DUMMYFUNCTION("""COMPUTED_VALUE"""),"чистота, озеленение, регулярная работа общественного транспорта, чистый воздух, асфальтированные пешеходные зоны")</f>
        <v>чистота, озеленение, регулярная работа общественного транспорта, чистый воздух, асфальтированные пешеходные зоны</v>
      </c>
      <c r="O828" s="6" t="str">
        <f>IFERROR(__xludf.DUMMYFUNCTION("""COMPUTED_VALUE"""),"дворы отремонтированы, но придворовые территории ведущие к детским садам и школам в ужасном состоянии")</f>
        <v>дворы отремонтированы, но придворовые территории ведущие к детским садам и школам в ужасном состоянии</v>
      </c>
      <c r="P828" s="6" t="str">
        <f>IFERROR(__xludf.DUMMYFUNCTION("""COMPUTED_VALUE"""),"радио ГТРК Кузбасс")</f>
        <v>радио ГТРК Кузбасс</v>
      </c>
      <c r="Q828" s="6" t="str">
        <f>IFERROR(__xludf.DUMMYFUNCTION("""COMPUTED_VALUE"""),"городская афиша (кино/театр/концерты), интервью с местными творческими личностями")</f>
        <v>городская афиша (кино/театр/концерты), интервью с местными творческими личностями</v>
      </c>
      <c r="R828" s="6" t="str">
        <f>IFERROR(__xludf.DUMMYFUNCTION("""COMPUTED_VALUE"""),"шествие Бессмертного полка, День шахтёров")</f>
        <v>шествие Бессмертного полка, День шахтёров</v>
      </c>
      <c r="S828" s="6" t="str">
        <f>IFERROR(__xludf.DUMMYFUNCTION("""COMPUTED_VALUE"""),"Нет, не приходилось")</f>
        <v>Нет, не приходилось</v>
      </c>
      <c r="T828" s="6" t="str">
        <f>IFERROR(__xludf.DUMMYFUNCTION("""COMPUTED_VALUE"""),"как и у любого человека есть свои + и -, но если мы  любим этого человека, он дорог и близок нам, мы принимаем  его таким, как он есть")</f>
        <v>как и у любого человека есть свои + и -, но если мы  любим этого человека, он дорог и близок нам, мы принимаем  его таким, как он есть</v>
      </c>
      <c r="U828" s="6" t="str">
        <f>IFERROR(__xludf.DUMMYFUNCTION("""COMPUTED_VALUE"""),"Сосновый бор")</f>
        <v>Сосновый бор</v>
      </c>
      <c r="V828" s="6" t="str">
        <f>IFERROR(__xludf.DUMMYFUNCTION("""COMPUTED_VALUE"""),"коксохим, Азот, КШТ и другие градообразующие предприятия")</f>
        <v>коксохим, Азот, КШТ и другие градообразующие предприятия</v>
      </c>
      <c r="W828" s="6" t="str">
        <f>IFERROR(__xludf.DUMMYFUNCTION("""COMPUTED_VALUE"""),"Морозоустойчивые, оптимистичные, талантливые,")</f>
        <v>Морозоустойчивые, оптимистичные, талантливые,</v>
      </c>
      <c r="X828" s="6" t="str">
        <f>IFERROR(__xludf.DUMMYFUNCTION("""COMPUTED_VALUE"""),"Красная горка, Сосновый бор с выходом на высокий берег откуда весь город как на ладони")</f>
        <v>Красная горка, Сосновый бор с выходом на высокий берег откуда весь город как на ладони</v>
      </c>
      <c r="Y828" s="6" t="str">
        <f>IFERROR(__xludf.DUMMYFUNCTION("""COMPUTED_VALUE"""),"Строительство новых районов, благоустройство, Город растёт и это очень важно.")</f>
        <v>Строительство новых районов, благоустройство, Город растёт и это очень важно.</v>
      </c>
      <c r="Z828" s="6" t="str">
        <f>IFERROR(__xludf.DUMMYFUNCTION("""COMPUTED_VALUE"""),"Парад Дедов Морозов, Шествие Бессмертного полка")</f>
        <v>Парад Дедов Морозов, Шествие Бессмертного полка</v>
      </c>
      <c r="AA828" s="6" t="str">
        <f>IFERROR(__xludf.DUMMYFUNCTION("""COMPUTED_VALUE"""),"изоляция в период пандемии, и все что с этим связано.")</f>
        <v>изоляция в период пандемии, и все что с этим связано.</v>
      </c>
      <c r="AB828" s="6" t="str">
        <f>IFERROR(__xludf.DUMMYFUNCTION("""COMPUTED_VALUE"""),"Всем кто хочет посвятить себя своим интересам, можно найти необходимое сообщество")</f>
        <v>Всем кто хочет посвятить себя своим интересам, можно найти необходимое сообщество</v>
      </c>
      <c r="AC828" s="6" t="str">
        <f>IFERROR(__xludf.DUMMYFUNCTION("""COMPUTED_VALUE"""),"Больше праздников с участием молодёжи. Студенчества, Школьников. Фестивали и конкурсы для детей. Больше уделять внимания патриотическому воспитанию.")</f>
        <v>Больше праздников с участием молодёжи. Студенчества, Школьников. Фестивали и конкурсы для детей. Больше уделять внимания патриотическому воспитанию.</v>
      </c>
      <c r="AD828"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828" s="6" t="str">
        <f>IFERROR(__xludf.DUMMYFUNCTION("""COMPUTED_VALUE"""),"Женский")</f>
        <v>Женский</v>
      </c>
      <c r="AF828" s="6" t="str">
        <f>IFERROR(__xludf.DUMMYFUNCTION("""COMPUTED_VALUE"""),"старше 55")</f>
        <v>старше 55</v>
      </c>
      <c r="AG828" s="6"/>
      <c r="AH828" s="6"/>
      <c r="AI828" s="6"/>
      <c r="AJ828" s="6"/>
      <c r="AK828" s="6"/>
      <c r="AL828" s="6"/>
      <c r="AM828" s="6"/>
    </row>
    <row r="829">
      <c r="A829" s="6">
        <v>828.0</v>
      </c>
      <c r="B829" s="6" t="str">
        <f>IFERROR(__xludf.DUMMYFUNCTION("""COMPUTED_VALUE"""),"Студент ")</f>
        <v>Студент </v>
      </c>
      <c r="C829" s="6" t="str">
        <f>IFERROR(__xludf.DUMMYFUNCTION("""COMPUTED_VALUE"""),"Киберспорт ")</f>
        <v>Киберспорт </v>
      </c>
      <c r="D829" s="6" t="str">
        <f>IFERROR(__xludf.DUMMYFUNCTION("""COMPUTED_VALUE"""),"Кировский район")</f>
        <v>Кировский район</v>
      </c>
      <c r="E829" s="6" t="str">
        <f>IFERROR(__xludf.DUMMYFUNCTION("""COMPUTED_VALUE"""),"Набережная ")</f>
        <v>Набережная </v>
      </c>
      <c r="F829" s="6" t="str">
        <f>IFERROR(__xludf.DUMMYFUNCTION("""COMPUTED_VALUE"""),"Живу здесь с рождения")</f>
        <v>Живу здесь с рождения</v>
      </c>
      <c r="G829" s="6" t="str">
        <f>IFERROR(__xludf.DUMMYFUNCTION("""COMPUTED_VALUE"""),"Березовая роща")</f>
        <v>Березовая роща</v>
      </c>
      <c r="H829" s="6" t="str">
        <f>IFERROR(__xludf.DUMMYFUNCTION("""COMPUTED_VALUE"""),"Уютный, спокойный, неплохой для начала жизни ")</f>
        <v>Уютный, спокойный, неплохой для начала жизни </v>
      </c>
      <c r="I829" s="6" t="str">
        <f>IFERROR(__xludf.DUMMYFUNCTION("""COMPUTED_VALUE"""),"Леонов")</f>
        <v>Леонов</v>
      </c>
      <c r="J829" s="6" t="str">
        <f>IFERROR(__xludf.DUMMYFUNCTION("""COMPUTED_VALUE"""),"Тулеев")</f>
        <v>Тулеев</v>
      </c>
      <c r="K829" s="6" t="str">
        <f>IFERROR(__xludf.DUMMYFUNCTION("""COMPUTED_VALUE"""),"Набережную на Кузнецком")</f>
        <v>Набережную на Кузнецком</v>
      </c>
      <c r="L829" s="6" t="str">
        <f>IFERROR(__xludf.DUMMYFUNCTION("""COMPUTED_VALUE"""),"Не знаю")</f>
        <v>Не знаю</v>
      </c>
      <c r="M829" s="6" t="str">
        <f>IFERROR(__xludf.DUMMYFUNCTION("""COMPUTED_VALUE"""),"Черный трудяга")</f>
        <v>Черный трудяга</v>
      </c>
      <c r="N829" s="6" t="str">
        <f>IFERROR(__xludf.DUMMYFUNCTION("""COMPUTED_VALUE"""),"Спокойствие, уют, доступность, места, виды")</f>
        <v>Спокойствие, уют, доступность, места, виды</v>
      </c>
      <c r="O829" s="6" t="str">
        <f>IFERROR(__xludf.DUMMYFUNCTION("""COMPUTED_VALUE"""),"Дороги")</f>
        <v>Дороги</v>
      </c>
      <c r="P829" s="6" t="str">
        <f>IFERROR(__xludf.DUMMYFUNCTION("""COMPUTED_VALUE"""),"Новости")</f>
        <v>Новости</v>
      </c>
      <c r="Q829" s="6" t="str">
        <f>IFERROR(__xludf.DUMMYFUNCTION("""COMPUTED_VALUE"""),"криминальные новости (происшествия/преступления)")</f>
        <v>криминальные новости (происшествия/преступления)</v>
      </c>
      <c r="R829" s="6" t="str">
        <f>IFERROR(__xludf.DUMMYFUNCTION("""COMPUTED_VALUE"""),"День города")</f>
        <v>День города</v>
      </c>
      <c r="S829" s="6" t="str">
        <f>IFERROR(__xludf.DUMMYFUNCTION("""COMPUTED_VALUE"""),"Нет, не приходилось")</f>
        <v>Нет, не приходилось</v>
      </c>
      <c r="T829" s="6" t="str">
        <f>IFERROR(__xludf.DUMMYFUNCTION("""COMPUTED_VALUE"""),"Угольная промышленность")</f>
        <v>Угольная промышленность</v>
      </c>
      <c r="U829" s="6" t="str">
        <f>IFERROR(__xludf.DUMMYFUNCTION("""COMPUTED_VALUE"""),"Красная горка")</f>
        <v>Красная горка</v>
      </c>
      <c r="V829" s="6" t="str">
        <f>IFERROR(__xludf.DUMMYFUNCTION("""COMPUTED_VALUE"""),"Развивали город в разных структурах")</f>
        <v>Развивали город в разных структурах</v>
      </c>
      <c r="W829" s="6" t="str">
        <f>IFERROR(__xludf.DUMMYFUNCTION("""COMPUTED_VALUE"""),"Нормальные ")</f>
        <v>Нормальные </v>
      </c>
      <c r="X829" s="6" t="str">
        <f>IFERROR(__xludf.DUMMYFUNCTION("""COMPUTED_VALUE"""),"40 маршрутка")</f>
        <v>40 маршрутка</v>
      </c>
      <c r="Y829" s="6" t="str">
        <f>IFERROR(__xludf.DUMMYFUNCTION("""COMPUTED_VALUE"""),"Открытие угля")</f>
        <v>Открытие угля</v>
      </c>
      <c r="Z829" s="6" t="str">
        <f>IFERROR(__xludf.DUMMYFUNCTION("""COMPUTED_VALUE"""),"Переезд ")</f>
        <v>Переезд </v>
      </c>
      <c r="AA829" s="6" t="str">
        <f>IFERROR(__xludf.DUMMYFUNCTION("""COMPUTED_VALUE"""),"Криминал")</f>
        <v>Криминал</v>
      </c>
      <c r="AB829" s="6" t="str">
        <f>IFERROR(__xludf.DUMMYFUNCTION("""COMPUTED_VALUE"""),"Всё в норме")</f>
        <v>Всё в норме</v>
      </c>
      <c r="AC829" s="6" t="str">
        <f>IFERROR(__xludf.DUMMYFUNCTION("""COMPUTED_VALUE"""),"Праздники ")</f>
        <v>Праздники </v>
      </c>
      <c r="AD82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29" s="6" t="str">
        <f>IFERROR(__xludf.DUMMYFUNCTION("""COMPUTED_VALUE"""),"Мужской")</f>
        <v>Мужской</v>
      </c>
      <c r="AF829" s="6" t="str">
        <f>IFERROR(__xludf.DUMMYFUNCTION("""COMPUTED_VALUE"""),"18-29")</f>
        <v>18-29</v>
      </c>
      <c r="AG829" s="6"/>
      <c r="AH829" s="6"/>
      <c r="AI829" s="6"/>
      <c r="AJ829" s="6"/>
      <c r="AK829" s="6"/>
      <c r="AL829" s="6"/>
      <c r="AM829" s="6"/>
    </row>
    <row r="830">
      <c r="A830" s="6">
        <v>829.0</v>
      </c>
      <c r="B830" s="6" t="str">
        <f>IFERROR(__xludf.DUMMYFUNCTION("""COMPUTED_VALUE"""),"Студентка")</f>
        <v>Студентка</v>
      </c>
      <c r="C830" s="6" t="str">
        <f>IFERROR(__xludf.DUMMYFUNCTION("""COMPUTED_VALUE"""),"Нету")</f>
        <v>Нету</v>
      </c>
      <c r="D830" s="6" t="str">
        <f>IFERROR(__xludf.DUMMYFUNCTION("""COMPUTED_VALUE"""),"Ленинский ")</f>
        <v>Ленинский </v>
      </c>
      <c r="E830" s="6" t="str">
        <f>IFERROR(__xludf.DUMMYFUNCTION("""COMPUTED_VALUE"""),"Спорт центр Кузбасс")</f>
        <v>Спорт центр Кузбасс</v>
      </c>
      <c r="F830"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830" s="6" t="str">
        <f>IFERROR(__xludf.DUMMYFUNCTION("""COMPUTED_VALUE"""),"На Набережную")</f>
        <v>На Набережную</v>
      </c>
      <c r="H830" s="6" t="str">
        <f>IFERROR(__xludf.DUMMYFUNCTION("""COMPUTED_VALUE"""),"Красивый , стильный , модный , яркий , молодежный ")</f>
        <v>Красивый , стильный , модный , яркий , молодежный </v>
      </c>
      <c r="I830" s="6" t="str">
        <f>IFERROR(__xludf.DUMMYFUNCTION("""COMPUTED_VALUE"""),"Аман Гумирович Тулеев ")</f>
        <v>Аман Гумирович Тулеев </v>
      </c>
      <c r="J830" s="6" t="str">
        <f>IFERROR(__xludf.DUMMYFUNCTION("""COMPUTED_VALUE"""),"Не знаю ")</f>
        <v>Не знаю </v>
      </c>
      <c r="K830" s="6" t="str">
        <f>IFERROR(__xludf.DUMMYFUNCTION("""COMPUTED_VALUE"""),"Красная горка")</f>
        <v>Красная горка</v>
      </c>
      <c r="L830" s="6" t="str">
        <f>IFERROR(__xludf.DUMMYFUNCTION("""COMPUTED_VALUE"""),"Не знаю ")</f>
        <v>Не знаю </v>
      </c>
      <c r="M830" s="6" t="str">
        <f>IFERROR(__xludf.DUMMYFUNCTION("""COMPUTED_VALUE"""),"Не знаю ")</f>
        <v>Не знаю </v>
      </c>
      <c r="N830" s="6" t="str">
        <f>IFERROR(__xludf.DUMMYFUNCTION("""COMPUTED_VALUE"""),"Удобное расположение ")</f>
        <v>Удобное расположение </v>
      </c>
      <c r="O830" s="6" t="str">
        <f>IFERROR(__xludf.DUMMYFUNCTION("""COMPUTED_VALUE"""),"Здания")</f>
        <v>Здания</v>
      </c>
      <c r="P830" s="6" t="str">
        <f>IFERROR(__xludf.DUMMYFUNCTION("""COMPUTED_VALUE"""),"С Инстаграма ")</f>
        <v>С Инстаграма </v>
      </c>
      <c r="Q830" s="6" t="str">
        <f>IFERROR(__xludf.DUMMYFUNCTION("""COMPUTED_VALUE"""),"криминальные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830" s="6" t="str">
        <f>IFERROR(__xludf.DUMMYFUNCTION("""COMPUTED_VALUE"""),"9 мая ")</f>
        <v>9 мая </v>
      </c>
      <c r="S830" s="6" t="str">
        <f>IFERROR(__xludf.DUMMYFUNCTION("""COMPUTED_VALUE"""),"Нет, не приходилось")</f>
        <v>Нет, не приходилось</v>
      </c>
      <c r="T830" s="6" t="str">
        <f>IFERROR(__xludf.DUMMYFUNCTION("""COMPUTED_VALUE"""),"Уголь ")</f>
        <v>Уголь </v>
      </c>
      <c r="U830" s="6" t="str">
        <f>IFERROR(__xludf.DUMMYFUNCTION("""COMPUTED_VALUE"""),"Томь гостиница ")</f>
        <v>Томь гостиница </v>
      </c>
      <c r="V830" s="6" t="str">
        <f>IFERROR(__xludf.DUMMYFUNCTION("""COMPUTED_VALUE"""),"Построили здания и улучшают дороги ")</f>
        <v>Построили здания и улучшают дороги </v>
      </c>
      <c r="W830" s="6" t="str">
        <f>IFERROR(__xludf.DUMMYFUNCTION("""COMPUTED_VALUE"""),"Нормальные ")</f>
        <v>Нормальные </v>
      </c>
      <c r="X830" s="6" t="str">
        <f>IFERROR(__xludf.DUMMYFUNCTION("""COMPUTED_VALUE"""),"Набережная ")</f>
        <v>Набережная </v>
      </c>
      <c r="Y830" s="6" t="str">
        <f>IFERROR(__xludf.DUMMYFUNCTION("""COMPUTED_VALUE"""),"Не знаю ")</f>
        <v>Не знаю </v>
      </c>
      <c r="Z830" s="6" t="str">
        <f>IFERROR(__xludf.DUMMYFUNCTION("""COMPUTED_VALUE"""),"Никаких ")</f>
        <v>Никаких </v>
      </c>
      <c r="AA830" s="6" t="str">
        <f>IFERROR(__xludf.DUMMYFUNCTION("""COMPUTED_VALUE"""),"Зимняя вишня ")</f>
        <v>Зимняя вишня </v>
      </c>
      <c r="AB830" s="6" t="str">
        <f>IFERROR(__xludf.DUMMYFUNCTION("""COMPUTED_VALUE"""),"Всего хватает ")</f>
        <v>Всего хватает </v>
      </c>
      <c r="AC830" s="6" t="str">
        <f>IFERROR(__xludf.DUMMYFUNCTION("""COMPUTED_VALUE"""),"Разные семинары ")</f>
        <v>Разные семинары </v>
      </c>
      <c r="AD830" s="6" t="str">
        <f>IFERROR(__xludf.DUMMYFUNCTION("""COMPUTED_VALUE"""),"Не готов принимать личное участие (укажите, пожалуйста, причину в поле «Другое»), Нет времени ")</f>
        <v>Не готов принимать личное участие (укажите, пожалуйста, причину в поле «Другое»), Нет времени </v>
      </c>
      <c r="AE830" s="6" t="str">
        <f>IFERROR(__xludf.DUMMYFUNCTION("""COMPUTED_VALUE"""),"Женский")</f>
        <v>Женский</v>
      </c>
      <c r="AF830" s="6" t="str">
        <f>IFERROR(__xludf.DUMMYFUNCTION("""COMPUTED_VALUE"""),"18-29")</f>
        <v>18-29</v>
      </c>
      <c r="AG830" s="6"/>
      <c r="AH830" s="6"/>
      <c r="AI830" s="6"/>
      <c r="AJ830" s="6"/>
      <c r="AK830" s="6"/>
      <c r="AL830" s="6"/>
      <c r="AM830" s="6"/>
    </row>
    <row r="831">
      <c r="A831" s="6">
        <v>830.0</v>
      </c>
      <c r="B831" s="6" t="str">
        <f>IFERROR(__xludf.DUMMYFUNCTION("""COMPUTED_VALUE"""),"Студент")</f>
        <v>Студент</v>
      </c>
      <c r="C831" s="6" t="str">
        <f>IFERROR(__xludf.DUMMYFUNCTION("""COMPUTED_VALUE"""),"Рисовать")</f>
        <v>Рисовать</v>
      </c>
      <c r="D831" s="6" t="str">
        <f>IFERROR(__xludf.DUMMYFUNCTION("""COMPUTED_VALUE"""),"Ленинский район")</f>
        <v>Ленинский район</v>
      </c>
      <c r="E831" s="6" t="str">
        <f>IFERROR(__xludf.DUMMYFUNCTION("""COMPUTED_VALUE"""),"Бульвар Строителей")</f>
        <v>Бульвар Строителей</v>
      </c>
      <c r="F831" s="6" t="str">
        <f>IFERROR(__xludf.DUMMYFUNCTION("""COMPUTED_VALUE"""),"Переехал сюда из другого места (откуда? укажите в графе другое), Из Новокузнецка")</f>
        <v>Переехал сюда из другого места (откуда? укажите в графе другое), Из Новокузнецка</v>
      </c>
      <c r="G831" s="6" t="str">
        <f>IFERROR(__xludf.DUMMYFUNCTION("""COMPUTED_VALUE"""),"На Бульвар Строителей")</f>
        <v>На Бульвар Строителей</v>
      </c>
      <c r="H831" s="6" t="str">
        <f>IFERROR(__xludf.DUMMYFUNCTION("""COMPUTED_VALUE"""),"Грязь, дым, серость, учеба, заводы")</f>
        <v>Грязь, дым, серость, учеба, заводы</v>
      </c>
      <c r="I831" s="6" t="str">
        <f>IFERROR(__xludf.DUMMYFUNCTION("""COMPUTED_VALUE"""),"Тулеев")</f>
        <v>Тулеев</v>
      </c>
      <c r="J831" s="6" t="str">
        <f>IFERROR(__xludf.DUMMYFUNCTION("""COMPUTED_VALUE"""),"Тулеев")</f>
        <v>Тулеев</v>
      </c>
      <c r="K831" s="6" t="str">
        <f>IFERROR(__xludf.DUMMYFUNCTION("""COMPUTED_VALUE"""),"Бульвар Строителей")</f>
        <v>Бульвар Строителей</v>
      </c>
      <c r="L831" s="6" t="str">
        <f>IFERROR(__xludf.DUMMYFUNCTION("""COMPUTED_VALUE"""),"Не знаю")</f>
        <v>Не знаю</v>
      </c>
      <c r="M831" s="6" t="str">
        <f>IFERROR(__xludf.DUMMYFUNCTION("""COMPUTED_VALUE"""),"Нет")</f>
        <v>Нет</v>
      </c>
      <c r="N831" s="6" t="str">
        <f>IFERROR(__xludf.DUMMYFUNCTION("""COMPUTED_VALUE"""),"Зеленые парки, чистота воздуха, наличие чистой воды, наличие торговых центров, множество возможностей для работы")</f>
        <v>Зеленые парки, чистота воздуха, наличие чистой воды, наличие торговых центров, множество возможностей для работы</v>
      </c>
      <c r="O831" s="6" t="str">
        <f>IFERROR(__xludf.DUMMYFUNCTION("""COMPUTED_VALUE"""),"Воздух")</f>
        <v>Воздух</v>
      </c>
      <c r="P831" s="6" t="str">
        <f>IFERROR(__xludf.DUMMYFUNCTION("""COMPUTED_VALUE"""),"Не узнаю")</f>
        <v>Не узнаю</v>
      </c>
      <c r="Q831"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 интервью "&amp;"с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831" s="6" t="str">
        <f>IFERROR(__xludf.DUMMYFUNCTION("""COMPUTED_VALUE"""),"300 лет Кузбасс")</f>
        <v>300 лет Кузбасс</v>
      </c>
      <c r="S831" s="6" t="str">
        <f>IFERROR(__xludf.DUMMYFUNCTION("""COMPUTED_VALUE"""),"Нет, не приходилось")</f>
        <v>Нет, не приходилось</v>
      </c>
      <c r="T831" s="6" t="str">
        <f>IFERROR(__xludf.DUMMYFUNCTION("""COMPUTED_VALUE"""),"Зимней вишней, ничего")</f>
        <v>Зимней вишней, ничего</v>
      </c>
      <c r="U831" s="6" t="str">
        <f>IFERROR(__xludf.DUMMYFUNCTION("""COMPUTED_VALUE"""),"Набережная")</f>
        <v>Набережная</v>
      </c>
      <c r="V831" s="6" t="str">
        <f>IFERROR(__xludf.DUMMYFUNCTION("""COMPUTED_VALUE"""),"Ничего")</f>
        <v>Ничего</v>
      </c>
      <c r="W831" s="6" t="str">
        <f>IFERROR(__xludf.DUMMYFUNCTION("""COMPUTED_VALUE"""),"Доброта")</f>
        <v>Доброта</v>
      </c>
      <c r="X831" s="6" t="str">
        <f>IFERROR(__xludf.DUMMYFUNCTION("""COMPUTED_VALUE"""),"По Бульвару Строителей")</f>
        <v>По Бульвару Строителей</v>
      </c>
      <c r="Y831" s="6" t="str">
        <f>IFERROR(__xludf.DUMMYFUNCTION("""COMPUTED_VALUE"""),"Основание Кемерово")</f>
        <v>Основание Кемерово</v>
      </c>
      <c r="Z831" s="6" t="str">
        <f>IFERROR(__xludf.DUMMYFUNCTION("""COMPUTED_VALUE"""),"Учеба")</f>
        <v>Учеба</v>
      </c>
      <c r="AA831" s="6" t="str">
        <f>IFERROR(__xludf.DUMMYFUNCTION("""COMPUTED_VALUE"""),"Наличие смога на улицах множество раз за время проживания здесь")</f>
        <v>Наличие смога на улицах множество раз за время проживания здесь</v>
      </c>
      <c r="AB831" s="6" t="str">
        <f>IFERROR(__xludf.DUMMYFUNCTION("""COMPUTED_VALUE"""),"Никаких")</f>
        <v>Никаких</v>
      </c>
      <c r="AC831" s="6" t="str">
        <f>IFERROR(__xludf.DUMMYFUNCTION("""COMPUTED_VALUE"""),"Мероприятия по очистке воздуха и земли")</f>
        <v>Мероприятия по очистке воздуха и земли</v>
      </c>
      <c r="AD83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831" s="6" t="str">
        <f>IFERROR(__xludf.DUMMYFUNCTION("""COMPUTED_VALUE"""),"Женский")</f>
        <v>Женский</v>
      </c>
      <c r="AF831" s="6" t="str">
        <f>IFERROR(__xludf.DUMMYFUNCTION("""COMPUTED_VALUE"""),"18-29")</f>
        <v>18-29</v>
      </c>
      <c r="AG831" s="6"/>
      <c r="AH831" s="6"/>
      <c r="AI831" s="6"/>
      <c r="AJ831" s="6"/>
      <c r="AK831" s="6"/>
      <c r="AL831" s="6"/>
      <c r="AM831" s="6"/>
    </row>
    <row r="832">
      <c r="A832" s="6">
        <v>831.0</v>
      </c>
      <c r="B832" s="6" t="str">
        <f>IFERROR(__xludf.DUMMYFUNCTION("""COMPUTED_VALUE"""),"Студент")</f>
        <v>Студент</v>
      </c>
      <c r="C832" s="6" t="str">
        <f>IFERROR(__xludf.DUMMYFUNCTION("""COMPUTED_VALUE"""),"Рисовать")</f>
        <v>Рисовать</v>
      </c>
      <c r="D832" s="6" t="str">
        <f>IFERROR(__xludf.DUMMYFUNCTION("""COMPUTED_VALUE"""),"Ленинский район")</f>
        <v>Ленинский район</v>
      </c>
      <c r="E832" s="6" t="str">
        <f>IFERROR(__xludf.DUMMYFUNCTION("""COMPUTED_VALUE"""),"Бульвар Строителей")</f>
        <v>Бульвар Строителей</v>
      </c>
      <c r="F832" s="6" t="str">
        <f>IFERROR(__xludf.DUMMYFUNCTION("""COMPUTED_VALUE"""),"Переехал сюда из другого места (откуда? укажите в графе другое), Из Новокузнецка")</f>
        <v>Переехал сюда из другого места (откуда? укажите в графе другое), Из Новокузнецка</v>
      </c>
      <c r="G832" s="6" t="str">
        <f>IFERROR(__xludf.DUMMYFUNCTION("""COMPUTED_VALUE"""),"На Бульвар Строителей")</f>
        <v>На Бульвар Строителей</v>
      </c>
      <c r="H832" s="6" t="str">
        <f>IFERROR(__xludf.DUMMYFUNCTION("""COMPUTED_VALUE"""),"Грязь, дым, серость, учеба, заводы")</f>
        <v>Грязь, дым, серость, учеба, заводы</v>
      </c>
      <c r="I832" s="6" t="str">
        <f>IFERROR(__xludf.DUMMYFUNCTION("""COMPUTED_VALUE"""),"Тулеев")</f>
        <v>Тулеев</v>
      </c>
      <c r="J832" s="6" t="str">
        <f>IFERROR(__xludf.DUMMYFUNCTION("""COMPUTED_VALUE"""),"Тулеев")</f>
        <v>Тулеев</v>
      </c>
      <c r="K832" s="6" t="str">
        <f>IFERROR(__xludf.DUMMYFUNCTION("""COMPUTED_VALUE"""),"Бульвар Строителей")</f>
        <v>Бульвар Строителей</v>
      </c>
      <c r="L832" s="6" t="str">
        <f>IFERROR(__xludf.DUMMYFUNCTION("""COMPUTED_VALUE"""),"Не знаю")</f>
        <v>Не знаю</v>
      </c>
      <c r="M832" s="6" t="str">
        <f>IFERROR(__xludf.DUMMYFUNCTION("""COMPUTED_VALUE"""),"Нет")</f>
        <v>Нет</v>
      </c>
      <c r="N832" s="6" t="str">
        <f>IFERROR(__xludf.DUMMYFUNCTION("""COMPUTED_VALUE"""),"Зеленые парки, чистота воздуха, наличие чистой воды, наличие торговых центров, множество возможностей для работы")</f>
        <v>Зеленые парки, чистота воздуха, наличие чистой воды, наличие торговых центров, множество возможностей для работы</v>
      </c>
      <c r="O832" s="6" t="str">
        <f>IFERROR(__xludf.DUMMYFUNCTION("""COMPUTED_VALUE"""),"Воздух")</f>
        <v>Воздух</v>
      </c>
      <c r="P832" s="6" t="str">
        <f>IFERROR(__xludf.DUMMYFUNCTION("""COMPUTED_VALUE"""),"Не узнаю")</f>
        <v>Не узнаю</v>
      </c>
      <c r="Q832"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 интервью "&amp;"с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832" s="6" t="str">
        <f>IFERROR(__xludf.DUMMYFUNCTION("""COMPUTED_VALUE"""),"300 лет Кузбасс")</f>
        <v>300 лет Кузбасс</v>
      </c>
      <c r="S832" s="6" t="str">
        <f>IFERROR(__xludf.DUMMYFUNCTION("""COMPUTED_VALUE"""),"Нет, не приходилось")</f>
        <v>Нет, не приходилось</v>
      </c>
      <c r="T832" s="6" t="str">
        <f>IFERROR(__xludf.DUMMYFUNCTION("""COMPUTED_VALUE"""),"Зимней вишней, ничего")</f>
        <v>Зимней вишней, ничего</v>
      </c>
      <c r="U832" s="6" t="str">
        <f>IFERROR(__xludf.DUMMYFUNCTION("""COMPUTED_VALUE"""),"Набережная")</f>
        <v>Набережная</v>
      </c>
      <c r="V832" s="6" t="str">
        <f>IFERROR(__xludf.DUMMYFUNCTION("""COMPUTED_VALUE"""),"Ничего")</f>
        <v>Ничего</v>
      </c>
      <c r="W832" s="6" t="str">
        <f>IFERROR(__xludf.DUMMYFUNCTION("""COMPUTED_VALUE"""),"Доброта")</f>
        <v>Доброта</v>
      </c>
      <c r="X832" s="6" t="str">
        <f>IFERROR(__xludf.DUMMYFUNCTION("""COMPUTED_VALUE"""),"По Бульвару Строителей")</f>
        <v>По Бульвару Строителей</v>
      </c>
      <c r="Y832" s="6" t="str">
        <f>IFERROR(__xludf.DUMMYFUNCTION("""COMPUTED_VALUE"""),"Основание Кемерово")</f>
        <v>Основание Кемерово</v>
      </c>
      <c r="Z832" s="6" t="str">
        <f>IFERROR(__xludf.DUMMYFUNCTION("""COMPUTED_VALUE"""),"Учеба")</f>
        <v>Учеба</v>
      </c>
      <c r="AA832" s="6" t="str">
        <f>IFERROR(__xludf.DUMMYFUNCTION("""COMPUTED_VALUE"""),"Наличие смога на улицах множество раз за время проживания здесь")</f>
        <v>Наличие смога на улицах множество раз за время проживания здесь</v>
      </c>
      <c r="AB832" s="6" t="str">
        <f>IFERROR(__xludf.DUMMYFUNCTION("""COMPUTED_VALUE"""),"Никаких")</f>
        <v>Никаких</v>
      </c>
      <c r="AC832" s="6" t="str">
        <f>IFERROR(__xludf.DUMMYFUNCTION("""COMPUTED_VALUE"""),"Мероприятия по очистке воздуха и земли")</f>
        <v>Мероприятия по очистке воздуха и земли</v>
      </c>
      <c r="AD83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832" s="6" t="str">
        <f>IFERROR(__xludf.DUMMYFUNCTION("""COMPUTED_VALUE"""),"Женский")</f>
        <v>Женский</v>
      </c>
      <c r="AF832" s="6" t="str">
        <f>IFERROR(__xludf.DUMMYFUNCTION("""COMPUTED_VALUE"""),"18-29")</f>
        <v>18-29</v>
      </c>
      <c r="AG832" s="6"/>
      <c r="AH832" s="6"/>
      <c r="AI832" s="6"/>
      <c r="AJ832" s="6"/>
      <c r="AK832" s="6"/>
      <c r="AL832" s="6"/>
      <c r="AM832" s="6"/>
    </row>
    <row r="833">
      <c r="A833" s="6">
        <v>832.0</v>
      </c>
      <c r="B833" s="6" t="str">
        <f>IFERROR(__xludf.DUMMYFUNCTION("""COMPUTED_VALUE"""),"Учусь, студент")</f>
        <v>Учусь, студент</v>
      </c>
      <c r="C833" s="6" t="str">
        <f>IFERROR(__xludf.DUMMYFUNCTION("""COMPUTED_VALUE"""),"Визажист ")</f>
        <v>Визажист </v>
      </c>
      <c r="D833" s="6" t="str">
        <f>IFERROR(__xludf.DUMMYFUNCTION("""COMPUTED_VALUE"""),"Бульвар Строителей ")</f>
        <v>Бульвар Строителей </v>
      </c>
      <c r="E833" s="6" t="str">
        <f>IFERROR(__xludf.DUMMYFUNCTION("""COMPUTED_VALUE"""),"Набережная, парк Чудес, KFC")</f>
        <v>Набережная, парк Чудес, KFC</v>
      </c>
      <c r="F833" s="6" t="str">
        <f>IFERROR(__xludf.DUMMYFUNCTION("""COMPUTED_VALUE"""),"3 года, причина переезда- получить образование")</f>
        <v>3 года, причина переезда- получить образование</v>
      </c>
      <c r="G833" s="6" t="str">
        <f>IFERROR(__xludf.DUMMYFUNCTION("""COMPUTED_VALUE"""),"В магазины косметики")</f>
        <v>В магазины косметики</v>
      </c>
      <c r="H833" s="6" t="str">
        <f>IFERROR(__xludf.DUMMYFUNCTION("""COMPUTED_VALUE"""),"Ветреная  погода, районы, учеба, друзья , любовь")</f>
        <v>Ветреная  погода, районы, учеба, друзья , любовь</v>
      </c>
      <c r="I833" s="6" t="str">
        <f>IFERROR(__xludf.DUMMYFUNCTION("""COMPUTED_VALUE"""),"Марковцев Степан Харитонович")</f>
        <v>Марковцев Степан Харитонович</v>
      </c>
      <c r="J833" s="6" t="str">
        <f>IFERROR(__xludf.DUMMYFUNCTION("""COMPUTED_VALUE"""),"Елена Малышева")</f>
        <v>Елена Малышева</v>
      </c>
      <c r="K833" s="6" t="str">
        <f>IFERROR(__xludf.DUMMYFUNCTION("""COMPUTED_VALUE"""),"Парк Ангелов")</f>
        <v>Парк Ангелов</v>
      </c>
      <c r="L833" s="6" t="str">
        <f>IFERROR(__xludf.DUMMYFUNCTION("""COMPUTED_VALUE"""),"Не знаю")</f>
        <v>Не знаю</v>
      </c>
      <c r="M833" s="6" t="str">
        <f>IFERROR(__xludf.DUMMYFUNCTION("""COMPUTED_VALUE"""),"Кузбасс")</f>
        <v>Кузбасс</v>
      </c>
      <c r="N833" s="6" t="str">
        <f>IFERROR(__xludf.DUMMYFUNCTION("""COMPUTED_VALUE"""),"Еда")</f>
        <v>Еда</v>
      </c>
      <c r="O833" s="6" t="str">
        <f>IFERROR(__xludf.DUMMYFUNCTION("""COMPUTED_VALUE"""),"Центр города не хватает")</f>
        <v>Центр города не хватает</v>
      </c>
      <c r="P833" s="6" t="str">
        <f>IFERROR(__xludf.DUMMYFUNCTION("""COMPUTED_VALUE"""),"Новости Кемерово")</f>
        <v>Новости Кемерово</v>
      </c>
      <c r="Q833" s="6" t="str">
        <f>IFERROR(__xludf.DUMMYFUNCTION("""COMPUTED_VALUE"""),"бизнес-новости (средний чек/рекламные акции/запуск новых предприятий), Визаж")</f>
        <v>бизнес-новости (средний чек/рекламные акции/запуск новых предприятий), Визаж</v>
      </c>
      <c r="R833" s="6" t="str">
        <f>IFERROR(__xludf.DUMMYFUNCTION("""COMPUTED_VALUE"""),"9 мая")</f>
        <v>9 мая</v>
      </c>
      <c r="S833" s="6" t="str">
        <f>IFERROR(__xludf.DUMMYFUNCTION("""COMPUTED_VALUE"""),"Нет, не приходилось")</f>
        <v>Нет, не приходилось</v>
      </c>
      <c r="T833" s="6" t="str">
        <f>IFERROR(__xludf.DUMMYFUNCTION("""COMPUTED_VALUE"""),"Ёлка за 13 млн")</f>
        <v>Ёлка за 13 млн</v>
      </c>
      <c r="U833" s="6" t="str">
        <f>IFERROR(__xludf.DUMMYFUNCTION("""COMPUTED_VALUE"""),"Ленинский район")</f>
        <v>Ленинский район</v>
      </c>
      <c r="V833" s="6" t="str">
        <f>IFERROR(__xludf.DUMMYFUNCTION("""COMPUTED_VALUE"""),"-")</f>
        <v>-</v>
      </c>
      <c r="W833" s="6" t="str">
        <f>IFERROR(__xludf.DUMMYFUNCTION("""COMPUTED_VALUE"""),"Ответственные ")</f>
        <v>Ответственные </v>
      </c>
      <c r="X833" s="6" t="str">
        <f>IFERROR(__xludf.DUMMYFUNCTION("""COMPUTED_VALUE"""),"1т")</f>
        <v>1т</v>
      </c>
      <c r="Y833" s="6" t="str">
        <f>IFERROR(__xludf.DUMMYFUNCTION("""COMPUTED_VALUE"""),"300 лет ")</f>
        <v>300 лет </v>
      </c>
      <c r="Z833" s="6" t="str">
        <f>IFERROR(__xludf.DUMMYFUNCTION("""COMPUTED_VALUE"""),"Обретение семьи")</f>
        <v>Обретение семьи</v>
      </c>
      <c r="AA833" s="6" t="str">
        <f>IFERROR(__xludf.DUMMYFUNCTION("""COMPUTED_VALUE"""),"-")</f>
        <v>-</v>
      </c>
      <c r="AB833" s="6" t="str">
        <f>IFERROR(__xludf.DUMMYFUNCTION("""COMPUTED_VALUE"""),"-")</f>
        <v>-</v>
      </c>
      <c r="AC833" s="6" t="str">
        <f>IFERROR(__xludf.DUMMYFUNCTION("""COMPUTED_VALUE"""),"Незнаю")</f>
        <v>Незнаю</v>
      </c>
      <c r="AD833"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833" s="6" t="str">
        <f>IFERROR(__xludf.DUMMYFUNCTION("""COMPUTED_VALUE"""),"Женский")</f>
        <v>Женский</v>
      </c>
      <c r="AF833" s="6" t="str">
        <f>IFERROR(__xludf.DUMMYFUNCTION("""COMPUTED_VALUE"""),"18-29")</f>
        <v>18-29</v>
      </c>
      <c r="AG833" s="6"/>
      <c r="AH833" s="6"/>
      <c r="AI833" s="6"/>
      <c r="AJ833" s="6"/>
      <c r="AK833" s="6"/>
      <c r="AL833" s="6"/>
      <c r="AM833" s="6"/>
    </row>
    <row r="834">
      <c r="A834" s="6">
        <v>833.0</v>
      </c>
      <c r="B834" s="6" t="str">
        <f>IFERROR(__xludf.DUMMYFUNCTION("""COMPUTED_VALUE"""),"Студент")</f>
        <v>Студент</v>
      </c>
      <c r="C834" s="6" t="str">
        <f>IFERROR(__xludf.DUMMYFUNCTION("""COMPUTED_VALUE"""),"Спорт")</f>
        <v>Спорт</v>
      </c>
      <c r="D834" s="6" t="str">
        <f>IFERROR(__xludf.DUMMYFUNCTION("""COMPUTED_VALUE"""),"Рудничный, Радуга")</f>
        <v>Рудничный, Радуга</v>
      </c>
      <c r="E834" s="6" t="str">
        <f>IFERROR(__xludf.DUMMYFUNCTION("""COMPUTED_VALUE"""),"Бор")</f>
        <v>Бор</v>
      </c>
      <c r="F83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834" s="6" t="str">
        <f>IFERROR(__xludf.DUMMYFUNCTION("""COMPUTED_VALUE"""),"В бор")</f>
        <v>В бор</v>
      </c>
      <c r="H834" s="6" t="str">
        <f>IFERROR(__xludf.DUMMYFUNCTION("""COMPUTED_VALUE"""),"Уголь")</f>
        <v>Уголь</v>
      </c>
      <c r="I834" s="6" t="str">
        <f>IFERROR(__xludf.DUMMYFUNCTION("""COMPUTED_VALUE"""),"Тулеев Аман")</f>
        <v>Тулеев Аман</v>
      </c>
      <c r="J834" s="6" t="str">
        <f>IFERROR(__xludf.DUMMYFUNCTION("""COMPUTED_VALUE"""),"Не знаю")</f>
        <v>Не знаю</v>
      </c>
      <c r="K834" s="6" t="str">
        <f>IFERROR(__xludf.DUMMYFUNCTION("""COMPUTED_VALUE"""),"Лесная поляна,  бор ")</f>
        <v>Лесная поляна,  бор </v>
      </c>
      <c r="L834" s="6" t="str">
        <f>IFERROR(__xludf.DUMMYFUNCTION("""COMPUTED_VALUE"""),"Не знаю")</f>
        <v>Не знаю</v>
      </c>
      <c r="M834" s="6" t="str">
        <f>IFERROR(__xludf.DUMMYFUNCTION("""COMPUTED_VALUE"""),"Нет")</f>
        <v>Нет</v>
      </c>
      <c r="N834" s="6" t="str">
        <f>IFERROR(__xludf.DUMMYFUNCTION("""COMPUTED_VALUE"""),"Мммм")</f>
        <v>Мммм</v>
      </c>
      <c r="O834" s="6" t="str">
        <f>IFERROR(__xludf.DUMMYFUNCTION("""COMPUTED_VALUE"""),"Дороги, и снижение цен")</f>
        <v>Дороги, и снижение цен</v>
      </c>
      <c r="P834" s="6" t="str">
        <f>IFERROR(__xludf.DUMMYFUNCTION("""COMPUTED_VALUE"""),"С интернета")</f>
        <v>С интернета</v>
      </c>
      <c r="Q834" s="6" t="str">
        <f>IFERROR(__xludf.DUMMYFUNCTION("""COMPUTED_VALUE"""),"куда пойти в свободное время")</f>
        <v>куда пойти в свободное время</v>
      </c>
      <c r="R834" s="6" t="str">
        <f>IFERROR(__xludf.DUMMYFUNCTION("""COMPUTED_VALUE"""),"9 мая, день города")</f>
        <v>9 мая, день города</v>
      </c>
      <c r="S834" s="6" t="str">
        <f>IFERROR(__xludf.DUMMYFUNCTION("""COMPUTED_VALUE"""),"Нет, не приходилось")</f>
        <v>Нет, не приходилось</v>
      </c>
      <c r="T834" s="6" t="str">
        <f>IFERROR(__xludf.DUMMYFUNCTION("""COMPUTED_VALUE"""),"Не знаю")</f>
        <v>Не знаю</v>
      </c>
      <c r="U834" s="6" t="str">
        <f>IFERROR(__xludf.DUMMYFUNCTION("""COMPUTED_VALUE"""),"Площадь советов")</f>
        <v>Площадь советов</v>
      </c>
      <c r="V834" s="6" t="str">
        <f>IFERROR(__xludf.DUMMYFUNCTION("""COMPUTED_VALUE"""),"Не знаю")</f>
        <v>Не знаю</v>
      </c>
      <c r="W834" s="6" t="str">
        <f>IFERROR(__xludf.DUMMYFUNCTION("""COMPUTED_VALUE"""),"Нормальные")</f>
        <v>Нормальные</v>
      </c>
      <c r="X834" s="6" t="str">
        <f>IFERROR(__xludf.DUMMYFUNCTION("""COMPUTED_VALUE"""),"Лесная поляна")</f>
        <v>Лесная поляна</v>
      </c>
      <c r="Y834" s="6" t="str">
        <f>IFERROR(__xludf.DUMMYFUNCTION("""COMPUTED_VALUE"""),"Не знаю")</f>
        <v>Не знаю</v>
      </c>
      <c r="Z834" s="6" t="str">
        <f>IFERROR(__xludf.DUMMYFUNCTION("""COMPUTED_VALUE"""),"Елка за 17  миллионов")</f>
        <v>Елка за 17  миллионов</v>
      </c>
      <c r="AA834" s="6" t="str">
        <f>IFERROR(__xludf.DUMMYFUNCTION("""COMPUTED_VALUE"""),"Зимния вишня")</f>
        <v>Зимния вишня</v>
      </c>
      <c r="AB834" s="6" t="str">
        <f>IFERROR(__xludf.DUMMYFUNCTION("""COMPUTED_VALUE"""),"Не знаю")</f>
        <v>Не знаю</v>
      </c>
      <c r="AC834" s="6" t="str">
        <f>IFERROR(__xludf.DUMMYFUNCTION("""COMPUTED_VALUE"""),"Надо подумать ")</f>
        <v>Надо подумать </v>
      </c>
      <c r="AD834"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834" s="6" t="str">
        <f>IFERROR(__xludf.DUMMYFUNCTION("""COMPUTED_VALUE"""),"Мужской")</f>
        <v>Мужской</v>
      </c>
      <c r="AF834" s="6" t="str">
        <f>IFERROR(__xludf.DUMMYFUNCTION("""COMPUTED_VALUE"""),"18-29")</f>
        <v>18-29</v>
      </c>
      <c r="AG834" s="6"/>
      <c r="AH834" s="6"/>
      <c r="AI834" s="6"/>
      <c r="AJ834" s="6"/>
      <c r="AK834" s="6"/>
      <c r="AL834" s="6"/>
      <c r="AM834" s="6"/>
    </row>
    <row r="835">
      <c r="A835" s="6">
        <v>834.0</v>
      </c>
      <c r="B835" s="6" t="str">
        <f>IFERROR(__xludf.DUMMYFUNCTION("""COMPUTED_VALUE"""),"Студент")</f>
        <v>Студент</v>
      </c>
      <c r="C835" s="6" t="str">
        <f>IFERROR(__xludf.DUMMYFUNCTION("""COMPUTED_VALUE"""),"Спорт")</f>
        <v>Спорт</v>
      </c>
      <c r="D835" s="6" t="str">
        <f>IFERROR(__xludf.DUMMYFUNCTION("""COMPUTED_VALUE"""),"Ленинский ")</f>
        <v>Ленинский </v>
      </c>
      <c r="E835" s="6" t="str">
        <f>IFERROR(__xludf.DUMMYFUNCTION("""COMPUTED_VALUE"""),"Бульвар строителей")</f>
        <v>Бульвар строителей</v>
      </c>
      <c r="F835" s="6" t="str">
        <f>IFERROR(__xludf.DUMMYFUNCTION("""COMPUTED_VALUE"""),"Переехал сюда из другого места (откуда? укажите в графе другое), Учусь ")</f>
        <v>Переехал сюда из другого места (откуда? укажите в графе другое), Учусь </v>
      </c>
      <c r="G835" s="6" t="str">
        <f>IFERROR(__xludf.DUMMYFUNCTION("""COMPUTED_VALUE"""),"Парк чудес кинотеатр юбилейный ")</f>
        <v>Парк чудес кинотеатр юбилейный </v>
      </c>
      <c r="H835" s="6" t="str">
        <f>IFERROR(__xludf.DUMMYFUNCTION("""COMPUTED_VALUE"""),"Кемерово бульвар учеба новостройка ")</f>
        <v>Кемерово бульвар учеба новостройка </v>
      </c>
      <c r="I835" s="6" t="str">
        <f>IFERROR(__xludf.DUMMYFUNCTION("""COMPUTED_VALUE"""),"Незнаю ")</f>
        <v>Незнаю </v>
      </c>
      <c r="J835" s="6" t="str">
        <f>IFERROR(__xludf.DUMMYFUNCTION("""COMPUTED_VALUE"""),"Незнаю")</f>
        <v>Незнаю</v>
      </c>
      <c r="K835" s="6" t="str">
        <f>IFERROR(__xludf.DUMMYFUNCTION("""COMPUTED_VALUE"""),"Парк ангелов")</f>
        <v>Парк ангелов</v>
      </c>
      <c r="L835" s="6" t="str">
        <f>IFERROR(__xludf.DUMMYFUNCTION("""COMPUTED_VALUE"""),"Незнаю")</f>
        <v>Незнаю</v>
      </c>
      <c r="M835" s="6" t="str">
        <f>IFERROR(__xludf.DUMMYFUNCTION("""COMPUTED_VALUE"""),"Нет")</f>
        <v>Нет</v>
      </c>
      <c r="N835" s="6" t="str">
        <f>IFERROR(__xludf.DUMMYFUNCTION("""COMPUTED_VALUE"""),"Тёплый красивый большой удобный хороший ")</f>
        <v>Тёплый красивый большой удобный хороший </v>
      </c>
      <c r="O835" s="6" t="str">
        <f>IFERROR(__xludf.DUMMYFUNCTION("""COMPUTED_VALUE"""),"Торгово развлекательные центры")</f>
        <v>Торгово развлекательные центры</v>
      </c>
      <c r="P835" s="6" t="str">
        <f>IFERROR(__xludf.DUMMYFUNCTION("""COMPUTED_VALUE"""),"Инстограм ")</f>
        <v>Инстограм </v>
      </c>
      <c r="Q835" s="6" t="str">
        <f>IFERROR(__xludf.DUMMYFUNCTION("""COMPUTED_VALUE"""),"куда пойти в свободное время, где вкусно поесть/открытие новых кафе/ресторанов, бизнес-новости (средний чек/рекламные акции/запуск новых предприятий)")</f>
        <v>куда пойти в свободное время, где вкусно поесть/открытие новых кафе/ресторанов, бизнес-новости (средний чек/рекламные акции/запуск новых предприятий)</v>
      </c>
      <c r="R835" s="6" t="str">
        <f>IFERROR(__xludf.DUMMYFUNCTION("""COMPUTED_VALUE"""),"9 мая")</f>
        <v>9 мая</v>
      </c>
      <c r="S835" s="6" t="str">
        <f>IFERROR(__xludf.DUMMYFUNCTION("""COMPUTED_VALUE"""),"Нет, не приходилось")</f>
        <v>Нет, не приходилось</v>
      </c>
      <c r="T835" s="6" t="str">
        <f>IFERROR(__xludf.DUMMYFUNCTION("""COMPUTED_VALUE"""),"Шахты ")</f>
        <v>Шахты </v>
      </c>
      <c r="U835" s="6" t="str">
        <f>IFERROR(__xludf.DUMMYFUNCTION("""COMPUTED_VALUE"""),"Площадь советов")</f>
        <v>Площадь советов</v>
      </c>
      <c r="V835" s="6" t="str">
        <f>IFERROR(__xludf.DUMMYFUNCTION("""COMPUTED_VALUE"""),"Шахта")</f>
        <v>Шахта</v>
      </c>
      <c r="W835" s="6" t="str">
        <f>IFERROR(__xludf.DUMMYFUNCTION("""COMPUTED_VALUE"""),"Простые добрые ")</f>
        <v>Простые добрые </v>
      </c>
      <c r="X835" s="6" t="str">
        <f>IFERROR(__xludf.DUMMYFUNCTION("""COMPUTED_VALUE"""),"Парк ангелов Лапландия бульвар строителей")</f>
        <v>Парк ангелов Лапландия бульвар строителей</v>
      </c>
      <c r="Y835" s="6" t="str">
        <f>IFERROR(__xludf.DUMMYFUNCTION("""COMPUTED_VALUE"""),"Незнаю ")</f>
        <v>Незнаю </v>
      </c>
      <c r="Z835" s="6" t="str">
        <f>IFERROR(__xludf.DUMMYFUNCTION("""COMPUTED_VALUE"""),"9 мая день города шахтерская слава")</f>
        <v>9 мая день города шахтерская слава</v>
      </c>
      <c r="AA835" s="6" t="str">
        <f>IFERROR(__xludf.DUMMYFUNCTION("""COMPUTED_VALUE"""),"Нет")</f>
        <v>Нет</v>
      </c>
      <c r="AB835" s="6" t="str">
        <f>IFERROR(__xludf.DUMMYFUNCTION("""COMPUTED_VALUE"""),"Большие торговые центры")</f>
        <v>Большие торговые центры</v>
      </c>
      <c r="AC835" s="6" t="str">
        <f>IFERROR(__xludf.DUMMYFUNCTION("""COMPUTED_VALUE"""),"Концерты")</f>
        <v>Концерты</v>
      </c>
      <c r="AD835"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835" s="6" t="str">
        <f>IFERROR(__xludf.DUMMYFUNCTION("""COMPUTED_VALUE"""),"Мужской")</f>
        <v>Мужской</v>
      </c>
      <c r="AF835" s="6" t="str">
        <f>IFERROR(__xludf.DUMMYFUNCTION("""COMPUTED_VALUE"""),"18-29")</f>
        <v>18-29</v>
      </c>
      <c r="AG835" s="6"/>
      <c r="AH835" s="6"/>
      <c r="AI835" s="6"/>
      <c r="AJ835" s="6"/>
      <c r="AK835" s="6"/>
      <c r="AL835" s="6"/>
      <c r="AM835" s="6"/>
    </row>
    <row r="836">
      <c r="A836" s="6">
        <v>835.0</v>
      </c>
      <c r="B836" s="6" t="str">
        <f>IFERROR(__xludf.DUMMYFUNCTION("""COMPUTED_VALUE"""),"Студент ")</f>
        <v>Студент </v>
      </c>
      <c r="C836" s="6" t="str">
        <f>IFERROR(__xludf.DUMMYFUNCTION("""COMPUTED_VALUE"""),"Нет")</f>
        <v>Нет</v>
      </c>
      <c r="D836" s="6" t="str">
        <f>IFERROR(__xludf.DUMMYFUNCTION("""COMPUTED_VALUE"""),"Бульвар Строителей 50")</f>
        <v>Бульвар Строителей 50</v>
      </c>
      <c r="E836" s="6" t="str">
        <f>IFERROR(__xludf.DUMMYFUNCTION("""COMPUTED_VALUE"""),"Спортивный комплекс Кузбасс ")</f>
        <v>Спортивный комплекс Кузбасс </v>
      </c>
      <c r="F836" s="6" t="str">
        <f>IFERROR(__xludf.DUMMYFUNCTION("""COMPUTED_VALUE"""),"Переехал сюда из другого места (откуда? укажите в графе другое), Учусь ")</f>
        <v>Переехал сюда из другого места (откуда? укажите в графе другое), Учусь </v>
      </c>
      <c r="G836" s="6" t="str">
        <f>IFERROR(__xludf.DUMMYFUNCTION("""COMPUTED_VALUE"""),"Парк Чудес, парк ангелов, тц ")</f>
        <v>Парк Чудес, парк ангелов, тц </v>
      </c>
      <c r="H836" s="6" t="str">
        <f>IFERROR(__xludf.DUMMYFUNCTION("""COMPUTED_VALUE"""),"Учеба,общежитие,новостройка,Кемерово,бульвар Строителей")</f>
        <v>Учеба,общежитие,новостройка,Кемерово,бульвар Строителей</v>
      </c>
      <c r="I836" s="6" t="str">
        <f>IFERROR(__xludf.DUMMYFUNCTION("""COMPUTED_VALUE"""),"Не знаю")</f>
        <v>Не знаю</v>
      </c>
      <c r="J836" s="6" t="str">
        <f>IFERROR(__xludf.DUMMYFUNCTION("""COMPUTED_VALUE"""),"Тулеев ")</f>
        <v>Тулеев </v>
      </c>
      <c r="K836" s="6" t="str">
        <f>IFERROR(__xludf.DUMMYFUNCTION("""COMPUTED_VALUE"""),"Парк ангелов,парк чудес,кинотеатр")</f>
        <v>Парк ангелов,парк чудес,кинотеатр</v>
      </c>
      <c r="L836" s="6" t="str">
        <f>IFERROR(__xludf.DUMMYFUNCTION("""COMPUTED_VALUE"""),"Добрый человек в добре проживет век")</f>
        <v>Добрый человек в добре проживет век</v>
      </c>
      <c r="M836" s="6" t="str">
        <f>IFERROR(__xludf.DUMMYFUNCTION("""COMPUTED_VALUE"""),"Нет")</f>
        <v>Нет</v>
      </c>
      <c r="N836" s="6" t="str">
        <f>IFERROR(__xludf.DUMMYFUNCTION("""COMPUTED_VALUE"""),"Большой город,красивый,чистый,хорошие люди,вкусная еда")</f>
        <v>Большой город,красивый,чистый,хорошие люди,вкусная еда</v>
      </c>
      <c r="O836" s="6" t="str">
        <f>IFERROR(__xludf.DUMMYFUNCTION("""COMPUTED_VALUE"""),"Старые здания ")</f>
        <v>Старые здания </v>
      </c>
      <c r="P836" s="6" t="str">
        <f>IFERROR(__xludf.DUMMYFUNCTION("""COMPUTED_VALUE"""),"Инстаграмм ")</f>
        <v>Инстаграмм </v>
      </c>
      <c r="Q836" s="6" t="str">
        <f>IFERROR(__xludf.DUMMYFUNCTION("""COMPUTED_VALUE"""),"где вкусно поесть/открытие новых кафе/ресторанов, городская афиша (кино/театр/концерты), новости про новые профессии/куда поступать/вакансии")</f>
        <v>где вкусно поесть/открытие новых кафе/ресторанов, городская афиша (кино/театр/концерты), новости про новые профессии/куда поступать/вакансии</v>
      </c>
      <c r="R836" s="6" t="str">
        <f>IFERROR(__xludf.DUMMYFUNCTION("""COMPUTED_VALUE"""),"Новый год,день матери,день отца,23 февраля,8 марта, июнь 1")</f>
        <v>Новый год,день матери,день отца,23 февраля,8 марта, июнь 1</v>
      </c>
      <c r="S836" s="6" t="str">
        <f>IFERROR(__xludf.DUMMYFUNCTION("""COMPUTED_VALUE"""),"Нет, не приходилось")</f>
        <v>Нет, не приходилось</v>
      </c>
      <c r="T836" s="6" t="str">
        <f>IFERROR(__xludf.DUMMYFUNCTION("""COMPUTED_VALUE"""),"Новые дороги,чистый и красивый город")</f>
        <v>Новые дороги,чистый и красивый город</v>
      </c>
      <c r="U836" s="6" t="str">
        <f>IFERROR(__xludf.DUMMYFUNCTION("""COMPUTED_VALUE"""),"Площадь советов ")</f>
        <v>Площадь советов </v>
      </c>
      <c r="V836" s="6" t="str">
        <f>IFERROR(__xludf.DUMMYFUNCTION("""COMPUTED_VALUE"""),"Не мусорят ")</f>
        <v>Не мусорят </v>
      </c>
      <c r="W836" s="6" t="str">
        <f>IFERROR(__xludf.DUMMYFUNCTION("""COMPUTED_VALUE"""),"Добродушные,вежливые,общительные")</f>
        <v>Добродушные,вежливые,общительные</v>
      </c>
      <c r="X836" s="6" t="str">
        <f>IFERROR(__xludf.DUMMYFUNCTION("""COMPUTED_VALUE"""),"Парк Ангелов ")</f>
        <v>Парк Ангелов </v>
      </c>
      <c r="Y836" s="6" t="str">
        <f>IFERROR(__xludf.DUMMYFUNCTION("""COMPUTED_VALUE"""),"Не знаю ")</f>
        <v>Не знаю </v>
      </c>
      <c r="Z836" s="6" t="str">
        <f>IFERROR(__xludf.DUMMYFUNCTION("""COMPUTED_VALUE"""),"Учеба , новые друзья")</f>
        <v>Учеба , новые друзья</v>
      </c>
      <c r="AA836" s="6" t="str">
        <f>IFERROR(__xludf.DUMMYFUNCTION("""COMPUTED_VALUE"""),"Никакие")</f>
        <v>Никакие</v>
      </c>
      <c r="AB836" s="6" t="str">
        <f>IFERROR(__xludf.DUMMYFUNCTION("""COMPUTED_VALUE"""),"Никаких ")</f>
        <v>Никаких </v>
      </c>
      <c r="AC836" s="6" t="str">
        <f>IFERROR(__xludf.DUMMYFUNCTION("""COMPUTED_VALUE"""),"Не знаю ")</f>
        <v>Не знаю </v>
      </c>
      <c r="AD83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836" s="6" t="str">
        <f>IFERROR(__xludf.DUMMYFUNCTION("""COMPUTED_VALUE"""),"Женский")</f>
        <v>Женский</v>
      </c>
      <c r="AF836" s="6" t="str">
        <f>IFERROR(__xludf.DUMMYFUNCTION("""COMPUTED_VALUE"""),"18-29")</f>
        <v>18-29</v>
      </c>
      <c r="AG836" s="6"/>
      <c r="AH836" s="6"/>
      <c r="AI836" s="6"/>
      <c r="AJ836" s="6"/>
      <c r="AK836" s="6"/>
      <c r="AL836" s="6"/>
      <c r="AM836" s="6"/>
    </row>
    <row r="837">
      <c r="A837" s="6">
        <v>836.0</v>
      </c>
      <c r="B837" s="6" t="str">
        <f>IFERROR(__xludf.DUMMYFUNCTION("""COMPUTED_VALUE"""),"Учусь ")</f>
        <v>Учусь </v>
      </c>
      <c r="C837" s="6" t="str">
        <f>IFERROR(__xludf.DUMMYFUNCTION("""COMPUTED_VALUE"""),"Нет ")</f>
        <v>Нет </v>
      </c>
      <c r="D837" s="6" t="str">
        <f>IFERROR(__xludf.DUMMYFUNCTION("""COMPUTED_VALUE"""),"Ленинский ")</f>
        <v>Ленинский </v>
      </c>
      <c r="E837" s="6" t="str">
        <f>IFERROR(__xludf.DUMMYFUNCTION("""COMPUTED_VALUE"""),"Бульвар")</f>
        <v>Бульвар</v>
      </c>
      <c r="F837" s="6" t="str">
        <f>IFERROR(__xludf.DUMMYFUNCTION("""COMPUTED_VALUE"""),"Живу здесь с рождения")</f>
        <v>Живу здесь с рождения</v>
      </c>
      <c r="G837" s="6" t="str">
        <f>IFERROR(__xludf.DUMMYFUNCTION("""COMPUTED_VALUE"""),"Бульвар строители, центр ")</f>
        <v>Бульвар строители, центр </v>
      </c>
      <c r="H837" s="6" t="str">
        <f>IFERROR(__xludf.DUMMYFUNCTION("""COMPUTED_VALUE"""),"Нету ")</f>
        <v>Нету </v>
      </c>
      <c r="I837" s="6" t="str">
        <f>IFERROR(__xludf.DUMMYFUNCTION("""COMPUTED_VALUE"""),"Тулеев Аман Гумирович ")</f>
        <v>Тулеев Аман Гумирович </v>
      </c>
      <c r="J837" s="6" t="str">
        <f>IFERROR(__xludf.DUMMYFUNCTION("""COMPUTED_VALUE"""),"Не знаю ")</f>
        <v>Не знаю </v>
      </c>
      <c r="K837" s="6" t="str">
        <f>IFERROR(__xludf.DUMMYFUNCTION("""COMPUTED_VALUE"""),"В центре ")</f>
        <v>В центре </v>
      </c>
      <c r="L837" s="6" t="str">
        <f>IFERROR(__xludf.DUMMYFUNCTION("""COMPUTED_VALUE"""),"Не знаю ")</f>
        <v>Не знаю </v>
      </c>
      <c r="M837" s="6" t="str">
        <f>IFERROR(__xludf.DUMMYFUNCTION("""COMPUTED_VALUE"""),"Нет ")</f>
        <v>Нет </v>
      </c>
      <c r="N837" s="6" t="str">
        <f>IFERROR(__xludf.DUMMYFUNCTION("""COMPUTED_VALUE"""),"Порядок, ценны, люди, ")</f>
        <v>Порядок, ценны, люди, </v>
      </c>
      <c r="O837" s="6" t="str">
        <f>IFERROR(__xludf.DUMMYFUNCTION("""COMPUTED_VALUE"""),"Дороги, навести чистоту, привести порядок город ")</f>
        <v>Дороги, навести чистоту, привести порядок город </v>
      </c>
      <c r="P837" s="6" t="str">
        <f>IFERROR(__xludf.DUMMYFUNCTION("""COMPUTED_VALUE"""),"Интернет ")</f>
        <v>Интернет </v>
      </c>
      <c r="Q837" s="6" t="str">
        <f>IFERROR(__xludf.DUMMYFUNCTION("""COMPUTED_VALUE"""),"куда пойти в свободное время, где вкусно поесть/открытие новых кафе/ресторанов,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исследован"&amp;"ий (рейтинги/аналитика/тенденции)")</f>
        <v>куда пойти в свободное время, где вкусно поесть/открытие новых кафе/ресторанов,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837" s="6" t="str">
        <f>IFERROR(__xludf.DUMMYFUNCTION("""COMPUTED_VALUE"""),"День города ")</f>
        <v>День города </v>
      </c>
      <c r="S837" s="6" t="str">
        <f>IFERROR(__xludf.DUMMYFUNCTION("""COMPUTED_VALUE"""),"Нет, не приходилось")</f>
        <v>Нет, не приходилось</v>
      </c>
      <c r="T837" s="6" t="str">
        <f>IFERROR(__xludf.DUMMYFUNCTION("""COMPUTED_VALUE"""),"Не знаю ")</f>
        <v>Не знаю </v>
      </c>
      <c r="U837" s="6" t="str">
        <f>IFERROR(__xludf.DUMMYFUNCTION("""COMPUTED_VALUE"""),"Набережная ")</f>
        <v>Набережная </v>
      </c>
      <c r="V837" s="6" t="str">
        <f>IFERROR(__xludf.DUMMYFUNCTION("""COMPUTED_VALUE"""),"Не знаю ")</f>
        <v>Не знаю </v>
      </c>
      <c r="W837" s="6" t="str">
        <f>IFERROR(__xludf.DUMMYFUNCTION("""COMPUTED_VALUE"""),"Злые ")</f>
        <v>Злые </v>
      </c>
      <c r="X837" s="6" t="str">
        <f>IFERROR(__xludf.DUMMYFUNCTION("""COMPUTED_VALUE"""),"40")</f>
        <v>40</v>
      </c>
      <c r="Y837" s="6" t="str">
        <f>IFERROR(__xludf.DUMMYFUNCTION("""COMPUTED_VALUE"""),"9 мая ")</f>
        <v>9 мая </v>
      </c>
      <c r="Z837" s="6" t="str">
        <f>IFERROR(__xludf.DUMMYFUNCTION("""COMPUTED_VALUE"""),"Салют ")</f>
        <v>Салют </v>
      </c>
      <c r="AA837" s="6" t="str">
        <f>IFERROR(__xludf.DUMMYFUNCTION("""COMPUTED_VALUE"""),"Алкаши наркоманы ")</f>
        <v>Алкаши наркоманы </v>
      </c>
      <c r="AB837" s="6" t="str">
        <f>IFERROR(__xludf.DUMMYFUNCTION("""COMPUTED_VALUE"""),"Нету ")</f>
        <v>Нету </v>
      </c>
      <c r="AC837" s="6" t="str">
        <f>IFERROR(__xludf.DUMMYFUNCTION("""COMPUTED_VALUE"""),"Любые ")</f>
        <v>Любые </v>
      </c>
      <c r="AD837"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837" s="6" t="str">
        <f>IFERROR(__xludf.DUMMYFUNCTION("""COMPUTED_VALUE"""),"Женский")</f>
        <v>Женский</v>
      </c>
      <c r="AF837" s="6" t="str">
        <f>IFERROR(__xludf.DUMMYFUNCTION("""COMPUTED_VALUE"""),"18-29")</f>
        <v>18-29</v>
      </c>
      <c r="AG837" s="6"/>
      <c r="AH837" s="6"/>
      <c r="AI837" s="6"/>
      <c r="AJ837" s="6"/>
      <c r="AK837" s="6"/>
      <c r="AL837" s="6"/>
      <c r="AM837" s="6"/>
    </row>
    <row r="838">
      <c r="A838" s="6">
        <v>837.0</v>
      </c>
      <c r="B838" s="6" t="str">
        <f>IFERROR(__xludf.DUMMYFUNCTION("""COMPUTED_VALUE"""),"Студент")</f>
        <v>Студент</v>
      </c>
      <c r="C838" s="6" t="str">
        <f>IFERROR(__xludf.DUMMYFUNCTION("""COMPUTED_VALUE"""),"Спорт")</f>
        <v>Спорт</v>
      </c>
      <c r="D838" s="6" t="str">
        <f>IFERROR(__xludf.DUMMYFUNCTION("""COMPUTED_VALUE"""),"Ленинский ")</f>
        <v>Ленинский </v>
      </c>
      <c r="E838" s="6" t="str">
        <f>IFERROR(__xludf.DUMMYFUNCTION("""COMPUTED_VALUE"""),"Бульвар строителей")</f>
        <v>Бульвар строителей</v>
      </c>
      <c r="F838" s="6" t="str">
        <f>IFERROR(__xludf.DUMMYFUNCTION("""COMPUTED_VALUE"""),"Переехал сюда из другого места (откуда? укажите в графе другое), Учусь ")</f>
        <v>Переехал сюда из другого места (откуда? укажите в графе другое), Учусь </v>
      </c>
      <c r="G838" s="6" t="str">
        <f>IFERROR(__xludf.DUMMYFUNCTION("""COMPUTED_VALUE"""),"Парк чудес кинотеатр юбилейный ")</f>
        <v>Парк чудес кинотеатр юбилейный </v>
      </c>
      <c r="H838" s="6" t="str">
        <f>IFERROR(__xludf.DUMMYFUNCTION("""COMPUTED_VALUE"""),"Кемерово бульвар учеба новостройка ")</f>
        <v>Кемерово бульвар учеба новостройка </v>
      </c>
      <c r="I838" s="6" t="str">
        <f>IFERROR(__xludf.DUMMYFUNCTION("""COMPUTED_VALUE"""),"Незнаю ")</f>
        <v>Незнаю </v>
      </c>
      <c r="J838" s="6" t="str">
        <f>IFERROR(__xludf.DUMMYFUNCTION("""COMPUTED_VALUE"""),"Незнаю")</f>
        <v>Незнаю</v>
      </c>
      <c r="K838" s="6" t="str">
        <f>IFERROR(__xludf.DUMMYFUNCTION("""COMPUTED_VALUE"""),"Парк ангелов")</f>
        <v>Парк ангелов</v>
      </c>
      <c r="L838" s="6" t="str">
        <f>IFERROR(__xludf.DUMMYFUNCTION("""COMPUTED_VALUE"""),"Незнаю")</f>
        <v>Незнаю</v>
      </c>
      <c r="M838" s="6" t="str">
        <f>IFERROR(__xludf.DUMMYFUNCTION("""COMPUTED_VALUE"""),"Нет")</f>
        <v>Нет</v>
      </c>
      <c r="N838" s="6" t="str">
        <f>IFERROR(__xludf.DUMMYFUNCTION("""COMPUTED_VALUE"""),"Тёплый красивый большой удобный хороший ")</f>
        <v>Тёплый красивый большой удобный хороший </v>
      </c>
      <c r="O838" s="6" t="str">
        <f>IFERROR(__xludf.DUMMYFUNCTION("""COMPUTED_VALUE"""),"Торгово развлекательные центры")</f>
        <v>Торгово развлекательные центры</v>
      </c>
      <c r="P838" s="6" t="str">
        <f>IFERROR(__xludf.DUMMYFUNCTION("""COMPUTED_VALUE"""),"Инстограм ")</f>
        <v>Инстограм </v>
      </c>
      <c r="Q838" s="6" t="str">
        <f>IFERROR(__xludf.DUMMYFUNCTION("""COMPUTED_VALUE"""),"куда пойти в свободное время, где вкусно поесть/открытие новых кафе/ресторанов, бизнес-новости (средний чек/рекламные акции/запуск новых предприятий)")</f>
        <v>куда пойти в свободное время, где вкусно поесть/открытие новых кафе/ресторанов, бизнес-новости (средний чек/рекламные акции/запуск новых предприятий)</v>
      </c>
      <c r="R838" s="6" t="str">
        <f>IFERROR(__xludf.DUMMYFUNCTION("""COMPUTED_VALUE"""),"9 мая")</f>
        <v>9 мая</v>
      </c>
      <c r="S838" s="6" t="str">
        <f>IFERROR(__xludf.DUMMYFUNCTION("""COMPUTED_VALUE"""),"Нет, не приходилось")</f>
        <v>Нет, не приходилось</v>
      </c>
      <c r="T838" s="6" t="str">
        <f>IFERROR(__xludf.DUMMYFUNCTION("""COMPUTED_VALUE"""),"Шахты ")</f>
        <v>Шахты </v>
      </c>
      <c r="U838" s="6" t="str">
        <f>IFERROR(__xludf.DUMMYFUNCTION("""COMPUTED_VALUE"""),"Площадь советов")</f>
        <v>Площадь советов</v>
      </c>
      <c r="V838" s="6" t="str">
        <f>IFERROR(__xludf.DUMMYFUNCTION("""COMPUTED_VALUE"""),"Шахта")</f>
        <v>Шахта</v>
      </c>
      <c r="W838" s="6" t="str">
        <f>IFERROR(__xludf.DUMMYFUNCTION("""COMPUTED_VALUE"""),"Простые добрые ")</f>
        <v>Простые добрые </v>
      </c>
      <c r="X838" s="6" t="str">
        <f>IFERROR(__xludf.DUMMYFUNCTION("""COMPUTED_VALUE"""),"Парк ангелов Лапландия бульвар строителей")</f>
        <v>Парк ангелов Лапландия бульвар строителей</v>
      </c>
      <c r="Y838" s="6" t="str">
        <f>IFERROR(__xludf.DUMMYFUNCTION("""COMPUTED_VALUE"""),"Незнаю ")</f>
        <v>Незнаю </v>
      </c>
      <c r="Z838" s="6" t="str">
        <f>IFERROR(__xludf.DUMMYFUNCTION("""COMPUTED_VALUE"""),"9 мая день города шахтерская слава")</f>
        <v>9 мая день города шахтерская слава</v>
      </c>
      <c r="AA838" s="6" t="str">
        <f>IFERROR(__xludf.DUMMYFUNCTION("""COMPUTED_VALUE"""),"Нет")</f>
        <v>Нет</v>
      </c>
      <c r="AB838" s="6" t="str">
        <f>IFERROR(__xludf.DUMMYFUNCTION("""COMPUTED_VALUE"""),"Большие торговые центры")</f>
        <v>Большие торговые центры</v>
      </c>
      <c r="AC838" s="6" t="str">
        <f>IFERROR(__xludf.DUMMYFUNCTION("""COMPUTED_VALUE"""),"Концерты")</f>
        <v>Концерты</v>
      </c>
      <c r="AD838"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838" s="6" t="str">
        <f>IFERROR(__xludf.DUMMYFUNCTION("""COMPUTED_VALUE"""),"Мужской")</f>
        <v>Мужской</v>
      </c>
      <c r="AF838" s="6" t="str">
        <f>IFERROR(__xludf.DUMMYFUNCTION("""COMPUTED_VALUE"""),"18-29")</f>
        <v>18-29</v>
      </c>
      <c r="AG838" s="6"/>
      <c r="AH838" s="6"/>
      <c r="AI838" s="6"/>
      <c r="AJ838" s="6"/>
      <c r="AK838" s="6"/>
      <c r="AL838" s="6"/>
      <c r="AM838" s="6"/>
    </row>
    <row r="839">
      <c r="A839" s="6">
        <v>838.0</v>
      </c>
      <c r="B839" s="6" t="str">
        <f>IFERROR(__xludf.DUMMYFUNCTION("""COMPUTED_VALUE"""),"Студент ")</f>
        <v>Студент </v>
      </c>
      <c r="C839" s="6" t="str">
        <f>IFERROR(__xludf.DUMMYFUNCTION("""COMPUTED_VALUE"""),"Нет")</f>
        <v>Нет</v>
      </c>
      <c r="D839" s="6" t="str">
        <f>IFERROR(__xludf.DUMMYFUNCTION("""COMPUTED_VALUE"""),"Ленинский район, Бульвар")</f>
        <v>Ленинский район, Бульвар</v>
      </c>
      <c r="E839" s="6" t="str">
        <f>IFERROR(__xludf.DUMMYFUNCTION("""COMPUTED_VALUE"""),"Спорткомплекс Кузбасс")</f>
        <v>Спорткомплекс Кузбасс</v>
      </c>
      <c r="F839" s="6" t="str">
        <f>IFERROR(__xludf.DUMMYFUNCTION("""COMPUTED_VALUE"""),"Переехал сюда из другого места (откуда? укажите в графе другое), Из Кызыла")</f>
        <v>Переехал сюда из другого места (откуда? укажите в графе другое), Из Кызыла</v>
      </c>
      <c r="G839" s="6" t="str">
        <f>IFERROR(__xludf.DUMMYFUNCTION("""COMPUTED_VALUE"""),"В торговые центры, парк")</f>
        <v>В торговые центры, парк</v>
      </c>
      <c r="H839" s="6" t="str">
        <f>IFERROR(__xludf.DUMMYFUNCTION("""COMPUTED_VALUE"""),"Кузбасс, бульвар, магнит, общага, академия")</f>
        <v>Кузбасс, бульвар, магнит, общага, академия</v>
      </c>
      <c r="I839" s="6" t="str">
        <f>IFERROR(__xludf.DUMMYFUNCTION("""COMPUTED_VALUE"""),"Увы не знаю")</f>
        <v>Увы не знаю</v>
      </c>
      <c r="J839" s="6" t="str">
        <f>IFERROR(__xludf.DUMMYFUNCTION("""COMPUTED_VALUE"""),"Не знаю")</f>
        <v>Не знаю</v>
      </c>
      <c r="K839" s="6" t="str">
        <f>IFERROR(__xludf.DUMMYFUNCTION("""COMPUTED_VALUE"""),"Вывиска Кузбасса на горе возле набережной")</f>
        <v>Вывиска Кузбасса на горе возле набережной</v>
      </c>
      <c r="L839" s="6" t="str">
        <f>IFERROR(__xludf.DUMMYFUNCTION("""COMPUTED_VALUE"""),"Не знаю")</f>
        <v>Не знаю</v>
      </c>
      <c r="M839" s="6" t="str">
        <f>IFERROR(__xludf.DUMMYFUNCTION("""COMPUTED_VALUE"""),"-")</f>
        <v>-</v>
      </c>
      <c r="N839" s="6" t="str">
        <f>IFERROR(__xludf.DUMMYFUNCTION("""COMPUTED_VALUE"""),"Много транспорта")</f>
        <v>Много транспорта</v>
      </c>
      <c r="O839" s="6" t="str">
        <f>IFERROR(__xludf.DUMMYFUNCTION("""COMPUTED_VALUE"""),"Построить больше интересных и красивых мест")</f>
        <v>Построить больше интересных и красивых мест</v>
      </c>
      <c r="P839" s="6" t="str">
        <f>IFERROR(__xludf.DUMMYFUNCTION("""COMPUTED_VALUE"""),"Инстаграмм, вк, сафари")</f>
        <v>Инстаграмм, вк, сафари</v>
      </c>
      <c r="Q839" s="6" t="str">
        <f>IFERROR(__xludf.DUMMYFUNCTION("""COMPUTED_VALUE"""),"куда пойти в свободное время, где вкусно поесть/открытие новых кафе/ресторанов, культурные новинки (что почитать/что послушать)")</f>
        <v>куда пойти в свободное время, где вкусно поесть/открытие новых кафе/ресторанов, культурные новинки (что почитать/что послушать)</v>
      </c>
      <c r="R839" s="6" t="str">
        <f>IFERROR(__xludf.DUMMYFUNCTION("""COMPUTED_VALUE"""),"9 мая")</f>
        <v>9 мая</v>
      </c>
      <c r="S839" s="6" t="str">
        <f>IFERROR(__xludf.DUMMYFUNCTION("""COMPUTED_VALUE"""),"Нет, не приходилось")</f>
        <v>Нет, не приходилось</v>
      </c>
      <c r="T839" s="6" t="str">
        <f>IFERROR(__xludf.DUMMYFUNCTION("""COMPUTED_VALUE"""),"-")</f>
        <v>-</v>
      </c>
      <c r="U839" s="6" t="str">
        <f>IFERROR(__xludf.DUMMYFUNCTION("""COMPUTED_VALUE"""),"-")</f>
        <v>-</v>
      </c>
      <c r="V839" s="6" t="str">
        <f>IFERROR(__xludf.DUMMYFUNCTION("""COMPUTED_VALUE"""),"—")</f>
        <v>—</v>
      </c>
      <c r="W839" s="6" t="str">
        <f>IFERROR(__xludf.DUMMYFUNCTION("""COMPUTED_VALUE"""),"-")</f>
        <v>-</v>
      </c>
      <c r="X839" s="6" t="str">
        <f>IFERROR(__xludf.DUMMYFUNCTION("""COMPUTED_VALUE"""),"-")</f>
        <v>-</v>
      </c>
      <c r="Y839" s="6" t="str">
        <f>IFERROR(__xludf.DUMMYFUNCTION("""COMPUTED_VALUE"""),"-")</f>
        <v>-</v>
      </c>
      <c r="Z839" s="6" t="str">
        <f>IFERROR(__xludf.DUMMYFUNCTION("""COMPUTED_VALUE"""),"-")</f>
        <v>-</v>
      </c>
      <c r="AA839" s="6" t="str">
        <f>IFERROR(__xludf.DUMMYFUNCTION("""COMPUTED_VALUE"""),"-")</f>
        <v>-</v>
      </c>
      <c r="AB839" s="6" t="str">
        <f>IFERROR(__xludf.DUMMYFUNCTION("""COMPUTED_VALUE"""),"-")</f>
        <v>-</v>
      </c>
      <c r="AC839" s="6" t="str">
        <f>IFERROR(__xludf.DUMMYFUNCTION("""COMPUTED_VALUE"""),"-")</f>
        <v>-</v>
      </c>
      <c r="AD83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39" s="6" t="str">
        <f>IFERROR(__xludf.DUMMYFUNCTION("""COMPUTED_VALUE"""),"Женский")</f>
        <v>Женский</v>
      </c>
      <c r="AF839" s="6" t="str">
        <f>IFERROR(__xludf.DUMMYFUNCTION("""COMPUTED_VALUE"""),"18-29")</f>
        <v>18-29</v>
      </c>
      <c r="AG839" s="6"/>
      <c r="AH839" s="6"/>
      <c r="AI839" s="6"/>
      <c r="AJ839" s="6"/>
      <c r="AK839" s="6"/>
      <c r="AL839" s="6"/>
      <c r="AM839" s="6"/>
    </row>
    <row r="840">
      <c r="A840" s="6">
        <v>839.0</v>
      </c>
      <c r="B840" s="6" t="str">
        <f>IFERROR(__xludf.DUMMYFUNCTION("""COMPUTED_VALUE"""),"Учусь ")</f>
        <v>Учусь </v>
      </c>
      <c r="C840" s="6" t="str">
        <f>IFERROR(__xludf.DUMMYFUNCTION("""COMPUTED_VALUE"""),"Путишествие")</f>
        <v>Путишествие</v>
      </c>
      <c r="D840" s="6" t="str">
        <f>IFERROR(__xludf.DUMMYFUNCTION("""COMPUTED_VALUE"""),"Ленинский Р-Н")</f>
        <v>Ленинский Р-Н</v>
      </c>
      <c r="E840" s="6" t="str">
        <f>IFERROR(__xludf.DUMMYFUNCTION("""COMPUTED_VALUE"""),"Парк Чудес ")</f>
        <v>Парк Чудес </v>
      </c>
      <c r="F840" s="6" t="str">
        <f>IFERROR(__xludf.DUMMYFUNCTION("""COMPUTED_VALUE"""),"Переехал сюда из другого места (откуда? укажите в графе другое), Таджикистана ")</f>
        <v>Переехал сюда из другого места (откуда? укажите в графе другое), Таджикистана </v>
      </c>
      <c r="G840" s="6" t="str">
        <f>IFERROR(__xludf.DUMMYFUNCTION("""COMPUTED_VALUE"""),"В горах ")</f>
        <v>В горах </v>
      </c>
      <c r="H840" s="6" t="str">
        <f>IFERROR(__xludf.DUMMYFUNCTION("""COMPUTED_VALUE"""),"Никаких")</f>
        <v>Никаких</v>
      </c>
      <c r="I840" s="6" t="str">
        <f>IFERROR(__xludf.DUMMYFUNCTION("""COMPUTED_VALUE"""),"Аман Тулеев")</f>
        <v>Аман Тулеев</v>
      </c>
      <c r="J840" s="6" t="str">
        <f>IFERROR(__xludf.DUMMYFUNCTION("""COMPUTED_VALUE"""),"Незнаю ")</f>
        <v>Незнаю </v>
      </c>
      <c r="K840" s="6" t="str">
        <f>IFERROR(__xludf.DUMMYFUNCTION("""COMPUTED_VALUE"""),"Сам незнаю")</f>
        <v>Сам незнаю</v>
      </c>
      <c r="L840" s="6" t="str">
        <f>IFERROR(__xludf.DUMMYFUNCTION("""COMPUTED_VALUE"""),"Незнаю ")</f>
        <v>Незнаю </v>
      </c>
      <c r="M840" s="6" t="str">
        <f>IFERROR(__xludf.DUMMYFUNCTION("""COMPUTED_VALUE"""),"Незнаю")</f>
        <v>Незнаю</v>
      </c>
      <c r="N840" s="6" t="str">
        <f>IFERROR(__xludf.DUMMYFUNCTION("""COMPUTED_VALUE"""),"Незнаю
")</f>
        <v>Незнаю
</v>
      </c>
      <c r="O840" s="6" t="str">
        <f>IFERROR(__xludf.DUMMYFUNCTION("""COMPUTED_VALUE"""),"Дороги")</f>
        <v>Дороги</v>
      </c>
      <c r="P840" s="6" t="str">
        <f>IFERROR(__xludf.DUMMYFUNCTION("""COMPUTED_VALUE"""),"Незнаю")</f>
        <v>Незнаю</v>
      </c>
      <c r="Q840"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840" s="6" t="str">
        <f>IFERROR(__xludf.DUMMYFUNCTION("""COMPUTED_VALUE"""),"Незнаю")</f>
        <v>Незнаю</v>
      </c>
      <c r="S840" s="6" t="str">
        <f>IFERROR(__xludf.DUMMYFUNCTION("""COMPUTED_VALUE"""),"Нет, не приходилось")</f>
        <v>Нет, не приходилось</v>
      </c>
      <c r="T840" s="6" t="str">
        <f>IFERROR(__xludf.DUMMYFUNCTION("""COMPUTED_VALUE"""),"Гостеприимство ")</f>
        <v>Гостеприимство </v>
      </c>
      <c r="U840" s="6" t="str">
        <f>IFERROR(__xludf.DUMMYFUNCTION("""COMPUTED_VALUE"""),"Красная горка")</f>
        <v>Красная горка</v>
      </c>
      <c r="V840" s="6" t="str">
        <f>IFERROR(__xludf.DUMMYFUNCTION("""COMPUTED_VALUE"""),"Незнаю ")</f>
        <v>Незнаю </v>
      </c>
      <c r="W840" s="6" t="str">
        <f>IFERROR(__xludf.DUMMYFUNCTION("""COMPUTED_VALUE"""),"Цимпатичны")</f>
        <v>Цимпатичны</v>
      </c>
      <c r="X840" s="6" t="str">
        <f>IFERROR(__xludf.DUMMYFUNCTION("""COMPUTED_VALUE"""),"Симпатичные")</f>
        <v>Симпатичные</v>
      </c>
      <c r="Y840" s="6" t="str">
        <f>IFERROR(__xludf.DUMMYFUNCTION("""COMPUTED_VALUE"""),"Незнаю")</f>
        <v>Незнаю</v>
      </c>
      <c r="Z840" s="6" t="str">
        <f>IFERROR(__xludf.DUMMYFUNCTION("""COMPUTED_VALUE"""),"Зимний сезон ")</f>
        <v>Зимний сезон </v>
      </c>
      <c r="AA840" s="6" t="str">
        <f>IFERROR(__xludf.DUMMYFUNCTION("""COMPUTED_VALUE"""),"Никакие")</f>
        <v>Никакие</v>
      </c>
      <c r="AB840" s="6" t="str">
        <f>IFERROR(__xludf.DUMMYFUNCTION("""COMPUTED_VALUE"""),"Незнаю")</f>
        <v>Незнаю</v>
      </c>
      <c r="AC840" s="6" t="str">
        <f>IFERROR(__xludf.DUMMYFUNCTION("""COMPUTED_VALUE"""),"Итак интересно жит")</f>
        <v>Итак интересно жит</v>
      </c>
      <c r="AD84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840" s="6" t="str">
        <f>IFERROR(__xludf.DUMMYFUNCTION("""COMPUTED_VALUE"""),"Мужской")</f>
        <v>Мужской</v>
      </c>
      <c r="AF840" s="6" t="str">
        <f>IFERROR(__xludf.DUMMYFUNCTION("""COMPUTED_VALUE"""),"18-29")</f>
        <v>18-29</v>
      </c>
      <c r="AG840" s="6"/>
      <c r="AH840" s="6"/>
      <c r="AI840" s="6"/>
      <c r="AJ840" s="6"/>
      <c r="AK840" s="6"/>
      <c r="AL840" s="6"/>
      <c r="AM840" s="6"/>
    </row>
    <row r="841">
      <c r="A841" s="6">
        <v>840.0</v>
      </c>
      <c r="B841" s="6" t="str">
        <f>IFERROR(__xludf.DUMMYFUNCTION("""COMPUTED_VALUE"""),"Студент")</f>
        <v>Студент</v>
      </c>
      <c r="C841" s="6" t="str">
        <f>IFERROR(__xludf.DUMMYFUNCTION("""COMPUTED_VALUE"""),"Игра на гитаре, рисование")</f>
        <v>Игра на гитаре, рисование</v>
      </c>
      <c r="D841" s="6" t="str">
        <f>IFERROR(__xludf.DUMMYFUNCTION("""COMPUTED_VALUE"""),"Ленинский район ")</f>
        <v>Ленинский район </v>
      </c>
      <c r="E841" s="6" t="str">
        <f>IFERROR(__xludf.DUMMYFUNCTION("""COMPUTED_VALUE"""),"Бульвар")</f>
        <v>Бульвар</v>
      </c>
      <c r="F841" s="6" t="str">
        <f>IFERROR(__xludf.DUMMYFUNCTION("""COMPUTED_VALUE"""),"Переехал сюда из другого места (откуда? укажите в графе другое), Поступил в вуз, пгт Ижморский")</f>
        <v>Переехал сюда из другого места (откуда? укажите в графе другое), Поступил в вуз, пгт Ижморский</v>
      </c>
      <c r="G841" s="6" t="str">
        <f>IFERROR(__xludf.DUMMYFUNCTION("""COMPUTED_VALUE"""),"Бульвар")</f>
        <v>Бульвар</v>
      </c>
      <c r="H841" s="6" t="str">
        <f>IFERROR(__xludf.DUMMYFUNCTION("""COMPUTED_VALUE"""),"Уголь, набережная, Томь, смок, заводы")</f>
        <v>Уголь, набережная, Томь, смок, заводы</v>
      </c>
      <c r="I841" s="6" t="str">
        <f>IFERROR(__xludf.DUMMYFUNCTION("""COMPUTED_VALUE"""),"Аман Тулеев ")</f>
        <v>Аман Тулеев </v>
      </c>
      <c r="J841" s="6" t="str">
        <f>IFERROR(__xludf.DUMMYFUNCTION("""COMPUTED_VALUE"""),"Сергей Цивилев")</f>
        <v>Сергей Цивилев</v>
      </c>
      <c r="K841" s="6" t="str">
        <f>IFERROR(__xludf.DUMMYFUNCTION("""COMPUTED_VALUE"""),"Памятник вере волошиной ")</f>
        <v>Памятник вере волошиной </v>
      </c>
      <c r="L841" s="6" t="str">
        <f>IFERROR(__xludf.DUMMYFUNCTION("""COMPUTED_VALUE"""),"Не знаю")</f>
        <v>Не знаю</v>
      </c>
      <c r="M841" s="6" t="str">
        <f>IFERROR(__xludf.DUMMYFUNCTION("""COMPUTED_VALUE"""),"Нет")</f>
        <v>Нет</v>
      </c>
      <c r="N841" s="6" t="str">
        <f>IFERROR(__xludf.DUMMYFUNCTION("""COMPUTED_VALUE"""),"Общественный транспорт, хорошая экология, развитая инфраструктура, ")</f>
        <v>Общественный транспорт, хорошая экология, развитая инфраструктура, </v>
      </c>
      <c r="O841" s="6" t="str">
        <f>IFERROR(__xludf.DUMMYFUNCTION("""COMPUTED_VALUE"""),"Общественный транспорт")</f>
        <v>Общественный транспорт</v>
      </c>
      <c r="P841" s="6" t="str">
        <f>IFERROR(__xludf.DUMMYFUNCTION("""COMPUTED_VALUE"""),"В контакте ")</f>
        <v>В контакте </v>
      </c>
      <c r="Q84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841" s="6" t="str">
        <f>IFERROR(__xludf.DUMMYFUNCTION("""COMPUTED_VALUE"""),"День города")</f>
        <v>День города</v>
      </c>
      <c r="S841" s="6" t="str">
        <f>IFERROR(__xludf.DUMMYFUNCTION("""COMPUTED_VALUE"""),"Нет, не приходилось")</f>
        <v>Нет, не приходилось</v>
      </c>
      <c r="T841" s="6" t="str">
        <f>IFERROR(__xludf.DUMMYFUNCTION("""COMPUTED_VALUE"""),"Добыча угля")</f>
        <v>Добыча угля</v>
      </c>
      <c r="U841" s="6" t="str">
        <f>IFERROR(__xludf.DUMMYFUNCTION("""COMPUTED_VALUE"""),"Набережная ")</f>
        <v>Набережная </v>
      </c>
      <c r="V841" s="6" t="str">
        <f>IFERROR(__xludf.DUMMYFUNCTION("""COMPUTED_VALUE"""),"Усердно трудились ")</f>
        <v>Усердно трудились </v>
      </c>
      <c r="W841" s="6" t="str">
        <f>IFERROR(__xludf.DUMMYFUNCTION("""COMPUTED_VALUE"""),"Трудолюбивые, отзывчивые ")</f>
        <v>Трудолюбивые, отзывчивые </v>
      </c>
      <c r="X841" s="6" t="str">
        <f>IFERROR(__xludf.DUMMYFUNCTION("""COMPUTED_VALUE"""),"Ленинский проспект")</f>
        <v>Ленинский проспект</v>
      </c>
      <c r="Y841" s="6" t="str">
        <f>IFERROR(__xludf.DUMMYFUNCTION("""COMPUTED_VALUE"""),"Основание города")</f>
        <v>Основание города</v>
      </c>
      <c r="Z841" s="6" t="str">
        <f>IFERROR(__xludf.DUMMYFUNCTION("""COMPUTED_VALUE"""),"Никакие")</f>
        <v>Никакие</v>
      </c>
      <c r="AA841" s="6" t="str">
        <f>IFERROR(__xludf.DUMMYFUNCTION("""COMPUTED_VALUE"""),"Никакие")</f>
        <v>Никакие</v>
      </c>
      <c r="AB841" s="6" t="str">
        <f>IFERROR(__xludf.DUMMYFUNCTION("""COMPUTED_VALUE"""),"Никаких ")</f>
        <v>Никаких </v>
      </c>
      <c r="AC841" s="6" t="str">
        <f>IFERROR(__xludf.DUMMYFUNCTION("""COMPUTED_VALUE"""),"Волонтерская деятельность ")</f>
        <v>Волонтерская деятельность </v>
      </c>
      <c r="AD841"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841" s="6" t="str">
        <f>IFERROR(__xludf.DUMMYFUNCTION("""COMPUTED_VALUE"""),"Мужской")</f>
        <v>Мужской</v>
      </c>
      <c r="AF841" s="6" t="str">
        <f>IFERROR(__xludf.DUMMYFUNCTION("""COMPUTED_VALUE"""),"18-29")</f>
        <v>18-29</v>
      </c>
      <c r="AG841" s="6"/>
      <c r="AH841" s="6"/>
      <c r="AI841" s="6"/>
      <c r="AJ841" s="6"/>
      <c r="AK841" s="6"/>
      <c r="AL841" s="6"/>
      <c r="AM841" s="6"/>
    </row>
    <row r="842">
      <c r="A842" s="6">
        <v>841.0</v>
      </c>
      <c r="B842" s="6" t="str">
        <f>IFERROR(__xludf.DUMMYFUNCTION("""COMPUTED_VALUE"""),"Студентка ")</f>
        <v>Студентка </v>
      </c>
      <c r="C842" s="6" t="str">
        <f>IFERROR(__xludf.DUMMYFUNCTION("""COMPUTED_VALUE"""),"Есть хобби - рисование и изучение английского и сербского")</f>
        <v>Есть хобби - рисование и изучение английского и сербского</v>
      </c>
      <c r="D842" s="6" t="str">
        <f>IFERROR(__xludf.DUMMYFUNCTION("""COMPUTED_VALUE"""),"Центральный район. Называю ""центр""")</f>
        <v>Центральный район. Называю "центр"</v>
      </c>
      <c r="E842" s="6" t="str">
        <f>IFERROR(__xludf.DUMMYFUNCTION("""COMPUTED_VALUE"""),"Площадь Советов, Набережная, Парк Чудес, Парк Жукова, аллея ул. Весенней, театр Драмы, театр им. Боброва, Филармония, ""Томь"", Парк Ангелов")</f>
        <v>Площадь Советов, Набережная, Парк Чудес, Парк Жукова, аллея ул. Весенней, театр Драмы, театр им. Боброва, Филармония, "Томь", Парк Ангелов</v>
      </c>
      <c r="F842" s="6" t="str">
        <f>IFERROR(__xludf.DUMMYFUNCTION("""COMPUTED_VALUE"""),"Переехал сюда из другого места (откуда? укажите в графе другое), Из Таштагола ")</f>
        <v>Переехал сюда из другого места (откуда? укажите в графе другое), Из Таштагола </v>
      </c>
      <c r="G842" s="6" t="str">
        <f>IFERROR(__xludf.DUMMYFUNCTION("""COMPUTED_VALUE"""),"Парки, набережная, тц, кино, кофенйи, рестораны, кальянные ")</f>
        <v>Парки, набережная, тц, кино, кофенйи, рестораны, кальянные </v>
      </c>
      <c r="H842" s="6" t="str">
        <f>IFERROR(__xludf.DUMMYFUNCTION("""COMPUTED_VALUE"""),"Выхлопная труба
Широкая красивая река 
Ледяное королевство (зимой) 
Пыльная Дама (в детстве мама рассказывала сказку про детей, которые не любили наводить порядок, и их забрала Пыльная Дама в своё Пыльное Королевство. Сказка закончилась хорошо, но сам обр"&amp;"аз Дамы ассоциирую с городом)")</f>
        <v>Выхлопная труба
Широкая красивая река 
Ледяное королевство (зимой) 
Пыльная Дама (в детстве мама рассказывала сказку про детей, которые не любили наводить порядок, и их забрала Пыльная Дама в своё Пыльное Королевство. Сказка закончилась хорошо, но сам образ Дамы ассоциирую с городом)</v>
      </c>
      <c r="I842" s="6" t="str">
        <f>IFERROR(__xludf.DUMMYFUNCTION("""COMPUTED_VALUE"""),"Бобров Александр Константинович, Вера Даниловна Волошина ")</f>
        <v>Бобров Александр Константинович, Вера Даниловна Волошина </v>
      </c>
      <c r="J842" s="6" t="str">
        <f>IFERROR(__xludf.DUMMYFUNCTION("""COMPUTED_VALUE"""),"Виктор Логинов, Евгений Гришковец, Елена Малышева, ")</f>
        <v>Виктор Логинов, Евгений Гришковец, Елена Малышева, </v>
      </c>
      <c r="K842" s="6" t="str">
        <f>IFERROR(__xludf.DUMMYFUNCTION("""COMPUTED_VALUE"""),"Обязательно набережную Томи, Парк Ангелов, Площадь Советов (и Советский проспект),  Бульвар Строителей ")</f>
        <v>Обязательно набережную Томи, Парк Ангелов, Площадь Советов (и Советский проспект),  Бульвар Строителей </v>
      </c>
      <c r="L842" s="6" t="str">
        <f>IFERROR(__xludf.DUMMYFUNCTION("""COMPUTED_VALUE"""),"-")</f>
        <v>-</v>
      </c>
      <c r="M842" s="6" t="str">
        <f>IFERROR(__xludf.DUMMYFUNCTION("""COMPUTED_VALUE"""),"-")</f>
        <v>-</v>
      </c>
      <c r="N842" s="6" t="str">
        <f>IFERROR(__xludf.DUMMYFUNCTION("""COMPUTED_VALUE"""),"1.Чистота города и обязательно воздуха в нём 
2.Удобное передвижение на общественном транспорте 
3.Возможность трудоустройства и получения образования 
4.Оказание качественных медицинских услуг 
5.Наличие тц с неограниченным выбором необходимых товаров и "&amp;"услуг ")</f>
        <v>1.Чистота города и обязательно воздуха в нём 
2.Удобное передвижение на общественном транспорте 
3.Возможность трудоустройства и получения образования 
4.Оказание качественных медицинских услуг 
5.Наличие тц с неограниченным выбором необходимых товаров и услуг </v>
      </c>
      <c r="O842" s="6" t="str">
        <f>IFERROR(__xludf.DUMMYFUNCTION("""COMPUTED_VALUE"""),"Воздух ")</f>
        <v>Воздух </v>
      </c>
      <c r="P842" s="6" t="str">
        <f>IFERROR(__xludf.DUMMYFUNCTION("""COMPUTED_VALUE"""),"Кемеровская область - Кузбасс, Инцидент Кемерово, КемГУ Опорный ВУЗ Кузбасса — группы Вконтакте 
Из университета, от знакомых людей ")</f>
        <v>Кемеровская область - Кузбасс, Инцидент Кемерово, КемГУ Опорный ВУЗ Кузбасса — группы Вконтакте 
Из университета, от знакомых людей </v>
      </c>
      <c r="Q842" s="6" t="str">
        <f>IFERROR(__xludf.DUMMYFUNCTION("""COMPUTED_VALUE"""),"интервью с местными творческими личностями,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f>
        <v>интервью с местными творческими личностями,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842" s="6" t="str">
        <f>IFERROR(__xludf.DUMMYFUNCTION("""COMPUTED_VALUE"""),"День города, День Металлурга, 9 мая")</f>
        <v>День города, День Металлурга, 9 мая</v>
      </c>
      <c r="S842" s="6" t="str">
        <f>IFERROR(__xludf.DUMMYFUNCTION("""COMPUTED_VALUE"""),"Нет, не приходилось")</f>
        <v>Нет, не приходилось</v>
      </c>
      <c r="T842" s="6" t="str">
        <f>IFERROR(__xludf.DUMMYFUNCTION("""COMPUTED_VALUE"""),"Ёлка за 18 миллионов 
Набережная ")</f>
        <v>Ёлка за 18 миллионов 
Набережная </v>
      </c>
      <c r="U842" s="6" t="str">
        <f>IFERROR(__xludf.DUMMYFUNCTION("""COMPUTED_VALUE"""),"Бульвар Строителей 
Театр Драмы 
Площадь Советов (с ёлкой) ")</f>
        <v>Бульвар Строителей 
Театр Драмы 
Площадь Советов (с ёлкой) </v>
      </c>
      <c r="V842" s="6" t="str">
        <f>IFERROR(__xludf.DUMMYFUNCTION("""COMPUTED_VALUE"""),"Вкладывали силы и ресурсы в развитие города во благо себе и новым поколениям ")</f>
        <v>Вкладывали силы и ресурсы в развитие города во благо себе и новым поколениям </v>
      </c>
      <c r="W842" s="6" t="str">
        <f>IFERROR(__xludf.DUMMYFUNCTION("""COMPUTED_VALUE"""),"Хмурые, торопливые, задумчивые 
")</f>
        <v>Хмурые, торопливые, задумчивые 
</v>
      </c>
      <c r="X842" s="6" t="str">
        <f>IFERROR(__xludf.DUMMYFUNCTION("""COMPUTED_VALUE"""),"Маршрут по Центральному району (это был и мой маршрут первой прогулки), но я бы показала сначала Бульвар Строителей, так как там атмосфера крутая ")</f>
        <v>Маршрут по Центральному району (это был и мой маршрут первой прогулки), но я бы показала сначала Бульвар Строителей, так как там атмосфера крутая </v>
      </c>
      <c r="Y842" s="6" t="str">
        <f>IFERROR(__xludf.DUMMYFUNCTION("""COMPUTED_VALUE"""),"1932 год - переименование Щегловска в Кемерово ")</f>
        <v>1932 год - переименование Щегловска в Кемерово </v>
      </c>
      <c r="Z842" s="6" t="str">
        <f>IFERROR(__xludf.DUMMYFUNCTION("""COMPUTED_VALUE"""),"Концерты и различные мероприятия ")</f>
        <v>Концерты и различные мероприятия </v>
      </c>
      <c r="AA842" s="6" t="str">
        <f>IFERROR(__xludf.DUMMYFUNCTION("""COMPUTED_VALUE"""),"-")</f>
        <v>-</v>
      </c>
      <c r="AB842" s="6" t="str">
        <f>IFERROR(__xludf.DUMMYFUNCTION("""COMPUTED_VALUE"""),"Сообщества для людей, развивающихся в какой-либо сфере деятельности ")</f>
        <v>Сообщества для людей, развивающихся в какой-либо сфере деятельности </v>
      </c>
      <c r="AC842" s="6" t="str">
        <f>IFERROR(__xludf.DUMMYFUNCTION("""COMPUTED_VALUE"""),"-")</f>
        <v>-</v>
      </c>
      <c r="AD842"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842" s="6" t="str">
        <f>IFERROR(__xludf.DUMMYFUNCTION("""COMPUTED_VALUE"""),"Женский")</f>
        <v>Женский</v>
      </c>
      <c r="AF842" s="6" t="str">
        <f>IFERROR(__xludf.DUMMYFUNCTION("""COMPUTED_VALUE"""),"18-29")</f>
        <v>18-29</v>
      </c>
      <c r="AG842" s="6"/>
      <c r="AH842" s="6"/>
      <c r="AI842" s="6"/>
      <c r="AJ842" s="6"/>
      <c r="AK842" s="6"/>
      <c r="AL842" s="6"/>
      <c r="AM842" s="6"/>
    </row>
    <row r="843">
      <c r="A843" s="6">
        <v>842.0</v>
      </c>
      <c r="B843" s="6" t="str">
        <f>IFERROR(__xludf.DUMMYFUNCTION("""COMPUTED_VALUE"""),"педагог")</f>
        <v>педагог</v>
      </c>
      <c r="C843" s="6" t="str">
        <f>IFERROR(__xludf.DUMMYFUNCTION("""COMPUTED_VALUE"""),"спорт")</f>
        <v>спорт</v>
      </c>
      <c r="D843" s="6" t="str">
        <f>IFERROR(__xludf.DUMMYFUNCTION("""COMPUTED_VALUE"""),"Ленинский")</f>
        <v>Ленинский</v>
      </c>
      <c r="E843" s="6" t="str">
        <f>IFERROR(__xludf.DUMMYFUNCTION("""COMPUTED_VALUE"""),"Б-р Строителей")</f>
        <v>Б-р Строителей</v>
      </c>
      <c r="F843" s="6" t="str">
        <f>IFERROR(__xludf.DUMMYFUNCTION("""COMPUTED_VALUE"""),"Живу здесь с рождения")</f>
        <v>Живу здесь с рождения</v>
      </c>
      <c r="G843" s="6" t="str">
        <f>IFERROR(__xludf.DUMMYFUNCTION("""COMPUTED_VALUE"""),"Набережная, Рудничный бор")</f>
        <v>Набережная, Рудничный бор</v>
      </c>
      <c r="H843" s="6" t="str">
        <f>IFERROR(__xludf.DUMMYFUNCTION("""COMPUTED_VALUE"""),"загазованность, черный снег, Зимняя вишня, городской лес, утки на Искитимке, пафос и нищета")</f>
        <v>загазованность, черный снег, Зимняя вишня, городской лес, утки на Искитимке, пафос и нищета</v>
      </c>
      <c r="I843" s="6" t="str">
        <f>IFERROR(__xludf.DUMMYFUNCTION("""COMPUTED_VALUE"""),"Волков, Леонов")</f>
        <v>Волков, Леонов</v>
      </c>
      <c r="J843" s="6" t="str">
        <f>IFERROR(__xludf.DUMMYFUNCTION("""COMPUTED_VALUE"""),"Гришковец)")</f>
        <v>Гришковец)</v>
      </c>
      <c r="K843" s="6" t="str">
        <f>IFERROR(__xludf.DUMMYFUNCTION("""COMPUTED_VALUE"""),"Бор, музыкальный театр, площадь Пушкина, Арт-кафе Зеркало.")</f>
        <v>Бор, музыкальный театр, площадь Пушкина, Арт-кафе Зеркало.</v>
      </c>
      <c r="L843" s="6" t="str">
        <f>IFERROR(__xludf.DUMMYFUNCTION("""COMPUTED_VALUE"""),"В Кемерово самый лучший кефир и самые красивые девушки")</f>
        <v>В Кемерово самый лучший кефир и самые красивые девушки</v>
      </c>
      <c r="M843" s="6" t="str">
        <f>IFERROR(__xludf.DUMMYFUNCTION("""COMPUTED_VALUE"""),"не припомню.")</f>
        <v>не припомню.</v>
      </c>
      <c r="N843" s="6" t="str">
        <f>IFERROR(__xludf.DUMMYFUNCTION("""COMPUTED_VALUE"""),"Чистый воздух, много зелени, порядок на улицах, спортивные и детские площадки во дворах, четкая работа общественного транспорта")</f>
        <v>Чистый воздух, много зелени, порядок на улицах, спортивные и детские площадки во дворах, четкая работа общественного транспорта</v>
      </c>
      <c r="O843" s="6" t="str">
        <f>IFERROR(__xludf.DUMMYFUNCTION("""COMPUTED_VALUE"""),"Воздух сделать чистым")</f>
        <v>Воздух сделать чистым</v>
      </c>
      <c r="P843" s="6" t="str">
        <f>IFERROR(__xludf.DUMMYFUNCTION("""COMPUTED_VALUE"""),"Фейсбук, Яндекс новости, от людей.")</f>
        <v>Фейсбук, Яндекс новости, от людей.</v>
      </c>
      <c r="Q843" s="6" t="str">
        <f>IFERROR(__xludf.DUMMYFUNCTION("""COMPUTED_VALUE"""),"городская афиша (кино/театр/концерты), интервью с местными политиками, результаты местных исследований (рейтинги/аналитика/тенденции)")</f>
        <v>городская афиша (кино/театр/концерты), интервью с местными политиками, результаты местных исследований (рейтинги/аналитика/тенденции)</v>
      </c>
      <c r="R843" s="6" t="str">
        <f>IFERROR(__xludf.DUMMYFUNCTION("""COMPUTED_VALUE"""),"не важны")</f>
        <v>не важны</v>
      </c>
      <c r="S843" s="6" t="str">
        <f>IFERROR(__xludf.DUMMYFUNCTION("""COMPUTED_VALUE"""),"Нет, не приходилось")</f>
        <v>Нет, не приходилось</v>
      </c>
      <c r="T843" s="6" t="str">
        <f>IFERROR(__xludf.DUMMYFUNCTION("""COMPUTED_VALUE"""),"  Песня Аквариума ""Человек из Кемерова"". Плохая экология. Тюрьмы. Тулеев")</f>
        <v>  Песня Аквариума "Человек из Кемерова". Плохая экология. Тюрьмы. Тулеев</v>
      </c>
      <c r="U843" s="6" t="str">
        <f>IFERROR(__xludf.DUMMYFUNCTION("""COMPUTED_VALUE"""),"Набережная")</f>
        <v>Набережная</v>
      </c>
      <c r="V843" s="6" t="str">
        <f>IFERROR(__xludf.DUMMYFUNCTION("""COMPUTED_VALUE"""),"Странный вопрос. Делать что-то, чтобы гордиться - так себе идея, нарциссическая.")</f>
        <v>Странный вопрос. Делать что-то, чтобы гордиться - так себе идея, нарциссическая.</v>
      </c>
      <c r="W843" s="6" t="str">
        <f>IFERROR(__xludf.DUMMYFUNCTION("""COMPUTED_VALUE"""),"В большинстве добрые, но инфантильные. Не верящие в себя. Закрытые.")</f>
        <v>В большинстве добрые, но инфантильные. Не верящие в себя. Закрытые.</v>
      </c>
      <c r="X843" s="6" t="str">
        <f>IFERROR(__xludf.DUMMYFUNCTION("""COMPUTED_VALUE"""),"не знаю")</f>
        <v>не знаю</v>
      </c>
      <c r="Y843" s="6" t="str">
        <f>IFERROR(__xludf.DUMMYFUNCTION("""COMPUTED_VALUE"""),"не могу выделить")</f>
        <v>не могу выделить</v>
      </c>
      <c r="Z843" s="6" t="str">
        <f>IFERROR(__xludf.DUMMYFUNCTION("""COMPUTED_VALUE"""),"приятно удивили новые постановки Музыкального театра")</f>
        <v>приятно удивили новые постановки Музыкального театра</v>
      </c>
      <c r="AA843" s="6" t="str">
        <f>IFERROR(__xludf.DUMMYFUNCTION("""COMPUTED_VALUE"""),"Попытки ""благоустройства"" Рудничного бора, строительство ""культурного кластера"", бездействие власти в вопросе обращения с безнадзорными животными")</f>
        <v>Попытки "благоустройства" Рудничного бора, строительство "культурного кластера", бездействие власти в вопросе обращения с безнадзорными животными</v>
      </c>
      <c r="AB843" s="6" t="str">
        <f>IFERROR(__xludf.DUMMYFUNCTION("""COMPUTED_VALUE"""),"гражданского общества в городе нет")</f>
        <v>гражданского общества в городе нет</v>
      </c>
      <c r="AC843" s="6" t="str">
        <f>IFERROR(__xludf.DUMMYFUNCTION("""COMPUTED_VALUE"""),"Важны не локальные мероприятия, а создание общего контекста. В первую очередь, на мой взгляд, дворовое обустройство спортивными площадками.")</f>
        <v>Важны не локальные мероприятия, а создание общего контекста. В первую очередь, на мой взгляд, дворовое обустройство спортивными площадками.</v>
      </c>
      <c r="AD84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843" s="6" t="str">
        <f>IFERROR(__xludf.DUMMYFUNCTION("""COMPUTED_VALUE"""),"Женский")</f>
        <v>Женский</v>
      </c>
      <c r="AF843" s="6" t="str">
        <f>IFERROR(__xludf.DUMMYFUNCTION("""COMPUTED_VALUE"""),"старше 55")</f>
        <v>старше 55</v>
      </c>
      <c r="AG843" s="6"/>
      <c r="AH843" s="6"/>
      <c r="AI843" s="6"/>
      <c r="AJ843" s="6"/>
      <c r="AK843" s="6"/>
      <c r="AL843" s="6"/>
      <c r="AM843" s="6"/>
    </row>
    <row r="844">
      <c r="A844" s="6">
        <v>843.0</v>
      </c>
      <c r="B844" s="6" t="str">
        <f>IFERROR(__xludf.DUMMYFUNCTION("""COMPUTED_VALUE"""),"Продажи ")</f>
        <v>Продажи </v>
      </c>
      <c r="C844" s="6" t="str">
        <f>IFERROR(__xludf.DUMMYFUNCTION("""COMPUTED_VALUE"""),"Садоводство")</f>
        <v>Садоводство</v>
      </c>
      <c r="D844" s="6" t="str">
        <f>IFERROR(__xludf.DUMMYFUNCTION("""COMPUTED_VALUE"""),"Европейские провинции")</f>
        <v>Европейские провинции</v>
      </c>
      <c r="E844" s="6" t="str">
        <f>IFERROR(__xludf.DUMMYFUNCTION("""COMPUTED_VALUE"""),"Фонтанчик")</f>
        <v>Фонтанчик</v>
      </c>
      <c r="F844" s="6" t="str">
        <f>IFERROR(__xludf.DUMMYFUNCTION("""COMPUTED_VALUE"""),"Живу здесь с рождения")</f>
        <v>Живу здесь с рождения</v>
      </c>
      <c r="G844" s="6" t="str">
        <f>IFERROR(__xludf.DUMMYFUNCTION("""COMPUTED_VALUE"""),"Набережная")</f>
        <v>Набережная</v>
      </c>
      <c r="H844" s="6" t="str">
        <f>IFERROR(__xludf.DUMMYFUNCTION("""COMPUTED_VALUE"""),"Чёрное небо,  уголь,  Родина, набережная, клумбы")</f>
        <v>Чёрное небо,  уголь,  Родина, набережная, клумбы</v>
      </c>
      <c r="I844" s="6" t="str">
        <f>IFERROR(__xludf.DUMMYFUNCTION("""COMPUTED_VALUE"""),"М. Волков")</f>
        <v>М. Волков</v>
      </c>
      <c r="J844" s="6" t="str">
        <f>IFERROR(__xludf.DUMMYFUNCTION("""COMPUTED_VALUE"""),"Не знаю")</f>
        <v>Не знаю</v>
      </c>
      <c r="K844" s="6" t="str">
        <f>IFERROR(__xludf.DUMMYFUNCTION("""COMPUTED_VALUE"""),"Музей «Красная Горка»")</f>
        <v>Музей «Красная Горка»</v>
      </c>
      <c r="L844" s="6" t="str">
        <f>IFERROR(__xludf.DUMMYFUNCTION("""COMPUTED_VALUE"""),"Не знаю ")</f>
        <v>Не знаю </v>
      </c>
      <c r="M844" s="6" t="str">
        <f>IFERROR(__xludf.DUMMYFUNCTION("""COMPUTED_VALUE"""),"Нет")</f>
        <v>Нет</v>
      </c>
      <c r="N844" s="6" t="str">
        <f>IFERROR(__xludf.DUMMYFUNCTION("""COMPUTED_VALUE"""),"Чистый воздух, вода, чистые улицы, развитая инфраструктура( транспорт, места для отдыха)")</f>
        <v>Чистый воздух, вода, чистые улицы, развитая инфраструктура( транспорт, места для отдыха)</v>
      </c>
      <c r="O844" s="6" t="str">
        <f>IFERROR(__xludf.DUMMYFUNCTION("""COMPUTED_VALUE"""),"Экологию")</f>
        <v>Экологию</v>
      </c>
      <c r="P844" s="6" t="str">
        <f>IFERROR(__xludf.DUMMYFUNCTION("""COMPUTED_VALUE"""),"Инстаграм ")</f>
        <v>Инстаграм </v>
      </c>
      <c r="Q844" s="6" t="str">
        <f>IFERROR(__xludf.DUMMYFUNCTION("""COMPUTED_VALUE"""),"культурные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ра"&amp;"зные темы (напишите в разделе Другое свои предложения)")</f>
        <v>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844" s="6" t="str">
        <f>IFERROR(__xludf.DUMMYFUNCTION("""COMPUTED_VALUE"""),"Никакие")</f>
        <v>Никакие</v>
      </c>
      <c r="S844" s="6" t="str">
        <f>IFERROR(__xludf.DUMMYFUNCTION("""COMPUTED_VALUE"""),"Нет, не приходилось")</f>
        <v>Нет, не приходилось</v>
      </c>
      <c r="T844" s="6" t="str">
        <f>IFERROR(__xludf.DUMMYFUNCTION("""COMPUTED_VALUE"""),"Уголь")</f>
        <v>Уголь</v>
      </c>
      <c r="U844" s="6" t="str">
        <f>IFERROR(__xludf.DUMMYFUNCTION("""COMPUTED_VALUE"""),"Площадь Советов")</f>
        <v>Площадь Советов</v>
      </c>
      <c r="V844" s="6" t="str">
        <f>IFERROR(__xludf.DUMMYFUNCTION("""COMPUTED_VALUE"""),"Ничего ")</f>
        <v>Ничего </v>
      </c>
      <c r="W844" s="6" t="str">
        <f>IFERROR(__xludf.DUMMYFUNCTION("""COMPUTED_VALUE"""),"Такие же люди как и везде. Разные")</f>
        <v>Такие же люди как и везде. Разные</v>
      </c>
      <c r="X844" s="6" t="str">
        <f>IFERROR(__xludf.DUMMYFUNCTION("""COMPUTED_VALUE"""),"Набережная, ул. Весенняя ")</f>
        <v>Набережная, ул. Весенняя </v>
      </c>
      <c r="Y844" s="6" t="str">
        <f>IFERROR(__xludf.DUMMYFUNCTION("""COMPUTED_VALUE"""),"Не знаю")</f>
        <v>Не знаю</v>
      </c>
      <c r="Z844" s="6" t="str">
        <f>IFERROR(__xludf.DUMMYFUNCTION("""COMPUTED_VALUE"""),"Никакие")</f>
        <v>Никакие</v>
      </c>
      <c r="AA844" s="6" t="str">
        <f>IFERROR(__xludf.DUMMYFUNCTION("""COMPUTED_VALUE"""),"Зимняя вишня")</f>
        <v>Зимняя вишня</v>
      </c>
      <c r="AB844" s="6" t="str">
        <f>IFERROR(__xludf.DUMMYFUNCTION("""COMPUTED_VALUE"""),"Мне не нужны сообщества")</f>
        <v>Мне не нужны сообщества</v>
      </c>
      <c r="AC844" s="6" t="str">
        <f>IFERROR(__xludf.DUMMYFUNCTION("""COMPUTED_VALUE"""),"Мне и так интересно")</f>
        <v>Мне и так интересно</v>
      </c>
      <c r="AD84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44" s="6" t="str">
        <f>IFERROR(__xludf.DUMMYFUNCTION("""COMPUTED_VALUE"""),"Женский")</f>
        <v>Женский</v>
      </c>
      <c r="AF844" s="6" t="str">
        <f>IFERROR(__xludf.DUMMYFUNCTION("""COMPUTED_VALUE"""),"45-55")</f>
        <v>45-55</v>
      </c>
      <c r="AG844" s="6"/>
      <c r="AH844" s="6"/>
      <c r="AI844" s="6"/>
      <c r="AJ844" s="6"/>
      <c r="AK844" s="6"/>
      <c r="AL844" s="6"/>
      <c r="AM844" s="6"/>
    </row>
    <row r="845">
      <c r="A845" s="6">
        <v>844.0</v>
      </c>
      <c r="B845" s="6" t="str">
        <f>IFERROR(__xludf.DUMMYFUNCTION("""COMPUTED_VALUE"""),"Работник сферы культуры")</f>
        <v>Работник сферы культуры</v>
      </c>
      <c r="C845" s="6" t="str">
        <f>IFERROR(__xludf.DUMMYFUNCTION("""COMPUTED_VALUE"""),"Путешествие")</f>
        <v>Путешествие</v>
      </c>
      <c r="D845" s="6" t="str">
        <f>IFERROR(__xludf.DUMMYFUNCTION("""COMPUTED_VALUE"""),"Заводский район")</f>
        <v>Заводский район</v>
      </c>
      <c r="E845" s="6" t="str">
        <f>IFERROR(__xludf.DUMMYFUNCTION("""COMPUTED_VALUE"""),"Железнодорожный и автовокзалы, аэропорт")</f>
        <v>Железнодорожный и автовокзалы, аэропорт</v>
      </c>
      <c r="F845" s="6" t="str">
        <f>IFERROR(__xludf.DUMMYFUNCTION("""COMPUTED_VALUE"""),"Живу здесь с рождения")</f>
        <v>Живу здесь с рождения</v>
      </c>
      <c r="G845" s="6" t="str">
        <f>IFERROR(__xludf.DUMMYFUNCTION("""COMPUTED_VALUE"""),"Гуляю в центре города")</f>
        <v>Гуляю в центре города</v>
      </c>
      <c r="H845" s="6" t="str">
        <f>IFERROR(__xludf.DUMMYFUNCTION("""COMPUTED_VALUE"""),"Шахтерский город, Кузбасс, Сибирь, набережная, тайга")</f>
        <v>Шахтерский город, Кузбасс, Сибирь, набережная, тайга</v>
      </c>
      <c r="I845" s="6" t="str">
        <f>IFERROR(__xludf.DUMMYFUNCTION("""COMPUTED_VALUE"""),"Вера Волошина, Михайло Волков")</f>
        <v>Вера Волошина, Михайло Волков</v>
      </c>
      <c r="J845" s="6" t="str">
        <f>IFERROR(__xludf.DUMMYFUNCTION("""COMPUTED_VALUE"""),"Тулеев")</f>
        <v>Тулеев</v>
      </c>
      <c r="K845" s="6" t="str">
        <f>IFERROR(__xludf.DUMMYFUNCTION("""COMPUTED_VALUE"""),"Памятник шахтерам, Томскую писаницу")</f>
        <v>Памятник шахтерам, Томскую писаницу</v>
      </c>
      <c r="L845" s="6" t="str">
        <f>IFERROR(__xludf.DUMMYFUNCTION("""COMPUTED_VALUE"""),"Дважды в год лета не бывает")</f>
        <v>Дважды в год лета не бывает</v>
      </c>
      <c r="M845" s="6" t="str">
        <f>IFERROR(__xludf.DUMMYFUNCTION("""COMPUTED_VALUE"""),"нет")</f>
        <v>нет</v>
      </c>
      <c r="N845" s="6" t="str">
        <f>IFERROR(__xludf.DUMMYFUNCTION("""COMPUTED_VALUE"""),"Экология, парковки, места отдыха, транспорт, магазины")</f>
        <v>Экология, парковки, места отдыха, транспорт, магазины</v>
      </c>
      <c r="O845" s="6" t="str">
        <f>IFERROR(__xludf.DUMMYFUNCTION("""COMPUTED_VALUE"""),"Экологию!")</f>
        <v>Экологию!</v>
      </c>
      <c r="P845" s="6" t="str">
        <f>IFERROR(__xludf.DUMMYFUNCTION("""COMPUTED_VALUE"""),"Инстаграм")</f>
        <v>Инстаграм</v>
      </c>
      <c r="Q845" s="6" t="str">
        <f>IFERROR(__xludf.DUMMYFUNCTION("""COMPUTED_VALUE"""),"куда пойти в свободное время, 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f>
        <v>куда пойти в свободное время, 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v>
      </c>
      <c r="R845" s="6" t="str">
        <f>IFERROR(__xludf.DUMMYFUNCTION("""COMPUTED_VALUE"""),"9 мая")</f>
        <v>9 мая</v>
      </c>
      <c r="S845" s="6" t="str">
        <f>IFERROR(__xludf.DUMMYFUNCTION("""COMPUTED_VALUE"""),"Нет, не приходилось")</f>
        <v>Нет, не приходилось</v>
      </c>
      <c r="T845" s="6" t="str">
        <f>IFERROR(__xludf.DUMMYFUNCTION("""COMPUTED_VALUE"""),"Уголь")</f>
        <v>Уголь</v>
      </c>
      <c r="U845" s="6" t="str">
        <f>IFERROR(__xludf.DUMMYFUNCTION("""COMPUTED_VALUE"""),"Площадь советов")</f>
        <v>Площадь советов</v>
      </c>
      <c r="V845" s="6" t="str">
        <f>IFERROR(__xludf.DUMMYFUNCTION("""COMPUTED_VALUE"""),"Построили город Кемерово")</f>
        <v>Построили город Кемерово</v>
      </c>
      <c r="W845" s="6" t="str">
        <f>IFERROR(__xludf.DUMMYFUNCTION("""COMPUTED_VALUE"""),"Целеустремленные")</f>
        <v>Целеустремленные</v>
      </c>
      <c r="X845" s="6" t="str">
        <f>IFERROR(__xludf.DUMMYFUNCTION("""COMPUTED_VALUE"""),"Парк Жукова, набережная, горсад")</f>
        <v>Парк Жукова, набережная, горсад</v>
      </c>
      <c r="Y845" s="6" t="str">
        <f>IFERROR(__xludf.DUMMYFUNCTION("""COMPUTED_VALUE"""),"Введение в эксплуатацию Кузнецкого моста")</f>
        <v>Введение в эксплуатацию Кузнецкого моста</v>
      </c>
      <c r="Z845" s="6" t="str">
        <f>IFERROR(__xludf.DUMMYFUNCTION("""COMPUTED_VALUE"""),"Не помню общегородских позитивный ярких событий ")</f>
        <v>Не помню общегородских позитивный ярких событий </v>
      </c>
      <c r="AA845" s="6" t="str">
        <f>IFERROR(__xludf.DUMMYFUNCTION("""COMPUTED_VALUE"""),"Зимняя вишня")</f>
        <v>Зимняя вишня</v>
      </c>
      <c r="AB845" s="6" t="str">
        <f>IFERROR(__xludf.DUMMYFUNCTION("""COMPUTED_VALUE"""),"Меня не интересуют сообщества")</f>
        <v>Меня не интересуют сообщества</v>
      </c>
      <c r="AC845" s="6" t="str">
        <f>IFERROR(__xludf.DUMMYFUNCTION("""COMPUTED_VALUE"""),"Массовые праздники, ярмарки, флешмобы")</f>
        <v>Массовые праздники, ярмарки, флешмобы</v>
      </c>
      <c r="AD84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45" s="6" t="str">
        <f>IFERROR(__xludf.DUMMYFUNCTION("""COMPUTED_VALUE"""),"Женский")</f>
        <v>Женский</v>
      </c>
      <c r="AF845" s="6" t="str">
        <f>IFERROR(__xludf.DUMMYFUNCTION("""COMPUTED_VALUE"""),"45-55")</f>
        <v>45-55</v>
      </c>
      <c r="AG845" s="6"/>
      <c r="AH845" s="6"/>
      <c r="AI845" s="6"/>
      <c r="AJ845" s="6"/>
      <c r="AK845" s="6"/>
      <c r="AL845" s="6"/>
      <c r="AM845" s="6"/>
    </row>
    <row r="846">
      <c r="A846" s="6">
        <v>845.0</v>
      </c>
      <c r="B846" s="6" t="str">
        <f>IFERROR(__xludf.DUMMYFUNCTION("""COMPUTED_VALUE"""),"Работа")</f>
        <v>Работа</v>
      </c>
      <c r="C846" s="6" t="str">
        <f>IFERROR(__xludf.DUMMYFUNCTION("""COMPUTED_VALUE"""),"Игра на гитаре")</f>
        <v>Игра на гитаре</v>
      </c>
      <c r="D846" s="6" t="str">
        <f>IFERROR(__xludf.DUMMYFUNCTION("""COMPUTED_VALUE"""),"Рудничный район / Радуга")</f>
        <v>Рудничный район / Радуга</v>
      </c>
      <c r="E846" s="6" t="str">
        <f>IFERROR(__xludf.DUMMYFUNCTION("""COMPUTED_VALUE"""),"Рудничный бор, Красная горка")</f>
        <v>Рудничный бор, Красная горка</v>
      </c>
      <c r="F846" s="6" t="str">
        <f>IFERROR(__xludf.DUMMYFUNCTION("""COMPUTED_VALUE"""),"Переехал сюда из другого места (откуда? укажите в графе другое), Белово. После окончания университета было решено остаться жить здесь")</f>
        <v>Переехал сюда из другого места (откуда? укажите в графе другое), Белово. После окончания университета было решено остаться жить здесь</v>
      </c>
      <c r="G846" s="6" t="str">
        <f>IFERROR(__xludf.DUMMYFUNCTION("""COMPUTED_VALUE"""),"Рудничный бор, Набережная реки Томь, Парк ""Лесная сказка"" на Лесной Поляне")</f>
        <v>Рудничный бор, Набережная реки Томь, Парк "Лесная сказка" на Лесной Поляне</v>
      </c>
      <c r="H846" s="6" t="str">
        <f>IFERROR(__xludf.DUMMYFUNCTION("""COMPUTED_VALUE"""),"Шахтёр, Томь, Новостройки, Грязь, Уголь")</f>
        <v>Шахтёр, Томь, Новостройки, Грязь, Уголь</v>
      </c>
      <c r="I846" s="6" t="str">
        <f>IFERROR(__xludf.DUMMYFUNCTION("""COMPUTED_VALUE"""),"Михайло Волков, Подгорбунский Михаил Алексеевич")</f>
        <v>Михайло Волков, Подгорбунский Михаил Алексеевич</v>
      </c>
      <c r="J846" s="6" t="str">
        <f>IFERROR(__xludf.DUMMYFUNCTION("""COMPUTED_VALUE"""),"Тулеев А. Г.")</f>
        <v>Тулеев А. Г.</v>
      </c>
      <c r="K846" s="6" t="str">
        <f>IFERROR(__xludf.DUMMYFUNCTION("""COMPUTED_VALUE"""),"Парк ""Лесная сказка"" на Лесной Поляне, Красная горка, Набережная реки Томь. Старый центр.")</f>
        <v>Парк "Лесная сказка" на Лесной Поляне, Красная горка, Набережная реки Томь. Старый центр.</v>
      </c>
      <c r="L846" s="6" t="str">
        <f>IFERROR(__xludf.DUMMYFUNCTION("""COMPUTED_VALUE"""),"-")</f>
        <v>-</v>
      </c>
      <c r="M846" s="6" t="str">
        <f>IFERROR(__xludf.DUMMYFUNCTION("""COMPUTED_VALUE"""),"Нет")</f>
        <v>Нет</v>
      </c>
      <c r="N846" s="6" t="str">
        <f>IFERROR(__xludf.DUMMYFUNCTION("""COMPUTED_VALUE"""),"Непонятен вопрос. Если именно про Кемерово, то так: 1. Семья рядом. 2. Работает система улучшения качества дорог. 3. В городе есть зоны для прогулки и отдыха. 4. В доступности Шерегеш и Алтай. 5. Достаточно хорошо работают бюджетные организации. Если вопр"&amp;"ос не конкретно про Кемерово, то так: 1. Чистота воздуха 2. Чистота и порядок на улицах города. 3. Наличие зон для прогулок и отдыха. 4. Качественные дороги. 5. Доступное жильё.")</f>
        <v>Непонятен вопрос. Если именно про Кемерово, то так: 1. Семья рядом. 2. Работает система улучшения качества дорог. 3. В городе есть зоны для прогулки и отдыха. 4. В доступности Шерегеш и Алтай. 5. Достаточно хорошо работают бюджетные организации. Если вопрос не конкретно про Кемерово, то так: 1. Чистота воздуха 2. Чистота и порядок на улицах города. 3. Наличие зон для прогулок и отдыха. 4. Качественные дороги. 5. Доступное жильё.</v>
      </c>
      <c r="O846" s="6" t="str">
        <f>IFERROR(__xludf.DUMMYFUNCTION("""COMPUTED_VALUE"""),"Наладить систему уборки мусора и снега")</f>
        <v>Наладить систему уборки мусора и снега</v>
      </c>
      <c r="P846" s="6" t="str">
        <f>IFERROR(__xludf.DUMMYFUNCTION("""COMPUTED_VALUE"""),"Инстаграм -- новости друзей, всплывающая реклама")</f>
        <v>Инстаграм -- новости друзей, всплывающая реклама</v>
      </c>
      <c r="Q84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846" s="6" t="str">
        <f>IFERROR(__xludf.DUMMYFUNCTION("""COMPUTED_VALUE"""),"9 мая")</f>
        <v>9 мая</v>
      </c>
      <c r="S846" s="6" t="str">
        <f>IFERROR(__xludf.DUMMYFUNCTION("""COMPUTED_VALUE"""),"Нет, не приходилось")</f>
        <v>Нет, не приходилось</v>
      </c>
      <c r="T846" s="6" t="str">
        <f>IFERROR(__xludf.DUMMYFUNCTION("""COMPUTED_VALUE"""),"Ранее славился угледобычей.")</f>
        <v>Ранее славился угледобычей.</v>
      </c>
      <c r="U846" s="6" t="str">
        <f>IFERROR(__xludf.DUMMYFUNCTION("""COMPUTED_VALUE"""),"Красная горка")</f>
        <v>Красная горка</v>
      </c>
      <c r="V846" s="6" t="str">
        <f>IFERROR(__xludf.DUMMYFUNCTION("""COMPUTED_VALUE"""),"Затрудняюсь ответить")</f>
        <v>Затрудняюсь ответить</v>
      </c>
      <c r="W846" s="6" t="str">
        <f>IFERROR(__xludf.DUMMYFUNCTION("""COMPUTED_VALUE"""),"В основном, замкнутость, равнодушие, невежливость, небрежность. В меньшей массе - трудолюбие, упорство, оптимизм.")</f>
        <v>В основном, замкнутость, равнодушие, невежливость, небрежность. В меньшей массе - трудолюбие, упорство, оптимизм.</v>
      </c>
      <c r="X846" s="6" t="str">
        <f>IFERROR(__xludf.DUMMYFUNCTION("""COMPUTED_VALUE"""),"Старый центр - Красная горка - Лесная Поляна")</f>
        <v>Старый центр - Красная горка - Лесная Поляна</v>
      </c>
      <c r="Y846" s="6" t="str">
        <f>IFERROR(__xludf.DUMMYFUNCTION("""COMPUTED_VALUE"""),"Затрудняюсь ответить")</f>
        <v>Затрудняюсь ответить</v>
      </c>
      <c r="Z846" s="6" t="str">
        <f>IFERROR(__xludf.DUMMYFUNCTION("""COMPUTED_VALUE"""),"Затрудняюсь ответить")</f>
        <v>Затрудняюсь ответить</v>
      </c>
      <c r="AA846" s="6" t="str">
        <f>IFERROR(__xludf.DUMMYFUNCTION("""COMPUTED_VALUE"""),"Затрудняюсь ответить")</f>
        <v>Затрудняюсь ответить</v>
      </c>
      <c r="AB846" s="6" t="str">
        <f>IFERROR(__xludf.DUMMYFUNCTION("""COMPUTED_VALUE"""),"Затрудняюсь ответить")</f>
        <v>Затрудняюсь ответить</v>
      </c>
      <c r="AC846" s="6" t="str">
        <f>IFERROR(__xludf.DUMMYFUNCTION("""COMPUTED_VALUE"""),"Затрудняюсь ответить")</f>
        <v>Затрудняюсь ответить</v>
      </c>
      <c r="AD84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46" s="6" t="str">
        <f>IFERROR(__xludf.DUMMYFUNCTION("""COMPUTED_VALUE"""),"Женский")</f>
        <v>Женский</v>
      </c>
      <c r="AF846" s="6" t="str">
        <f>IFERROR(__xludf.DUMMYFUNCTION("""COMPUTED_VALUE"""),"30-44")</f>
        <v>30-44</v>
      </c>
      <c r="AG846" s="6"/>
      <c r="AH846" s="6"/>
      <c r="AI846" s="6"/>
      <c r="AJ846" s="6"/>
      <c r="AK846" s="6"/>
      <c r="AL846" s="6"/>
      <c r="AM846" s="6"/>
    </row>
    <row r="847">
      <c r="A847" s="6">
        <v>846.0</v>
      </c>
      <c r="B847" s="6" t="str">
        <f>IFERROR(__xludf.DUMMYFUNCTION("""COMPUTED_VALUE"""),"спортом ")</f>
        <v>спортом </v>
      </c>
      <c r="C847" s="6" t="str">
        <f>IFERROR(__xludf.DUMMYFUNCTION("""COMPUTED_VALUE"""),"да. Футбол")</f>
        <v>да. Футбол</v>
      </c>
      <c r="D847" s="6" t="str">
        <f>IFERROR(__xludf.DUMMYFUNCTION("""COMPUTED_VALUE"""),"бульвар строителей")</f>
        <v>бульвар строителей</v>
      </c>
      <c r="E847" s="6" t="str">
        <f>IFERROR(__xludf.DUMMYFUNCTION("""COMPUTED_VALUE"""),"Кузбасс")</f>
        <v>Кузбасс</v>
      </c>
      <c r="F847" s="6" t="str">
        <f>IFERROR(__xludf.DUMMYFUNCTION("""COMPUTED_VALUE"""),"Переехал сюда из другого места (откуда? укажите в графе другое), из республики тыва")</f>
        <v>Переехал сюда из другого места (откуда? укажите в графе другое), из республики тыва</v>
      </c>
      <c r="G847" s="6" t="str">
        <f>IFERROR(__xludf.DUMMYFUNCTION("""COMPUTED_VALUE"""),"никуда")</f>
        <v>никуда</v>
      </c>
      <c r="H847" s="6" t="str">
        <f>IFERROR(__xludf.DUMMYFUNCTION("""COMPUTED_VALUE"""),"незнаю")</f>
        <v>незнаю</v>
      </c>
      <c r="I847" s="6" t="str">
        <f>IFERROR(__xludf.DUMMYFUNCTION("""COMPUTED_VALUE"""),"незнаю ")</f>
        <v>незнаю </v>
      </c>
      <c r="J847" s="6" t="str">
        <f>IFERROR(__xludf.DUMMYFUNCTION("""COMPUTED_VALUE"""),"незнаю")</f>
        <v>незнаю</v>
      </c>
      <c r="K847" s="6" t="str">
        <f>IFERROR(__xludf.DUMMYFUNCTION("""COMPUTED_VALUE"""),"Память шахтерам Кузбасса, памятник В.И.Ленину, ")</f>
        <v>Память шахтерам Кузбасса, памятник В.И.Ленину, </v>
      </c>
      <c r="L847" s="6" t="str">
        <f>IFERROR(__xludf.DUMMYFUNCTION("""COMPUTED_VALUE"""),"незнаю ")</f>
        <v>незнаю </v>
      </c>
      <c r="M847" s="6" t="str">
        <f>IFERROR(__xludf.DUMMYFUNCTION("""COMPUTED_VALUE"""),"не ")</f>
        <v>не </v>
      </c>
      <c r="N847" s="6" t="str">
        <f>IFERROR(__xludf.DUMMYFUNCTION("""COMPUTED_VALUE"""),"незнаю")</f>
        <v>незнаю</v>
      </c>
      <c r="O847" s="6" t="str">
        <f>IFERROR(__xludf.DUMMYFUNCTION("""COMPUTED_VALUE"""),"ничего")</f>
        <v>ничего</v>
      </c>
      <c r="P847" s="6" t="str">
        <f>IFERROR(__xludf.DUMMYFUNCTION("""COMPUTED_VALUE"""),"инстгарамм")</f>
        <v>инстгарамм</v>
      </c>
      <c r="Q84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847" s="6" t="str">
        <f>IFERROR(__xludf.DUMMYFUNCTION("""COMPUTED_VALUE"""),"новый год")</f>
        <v>новый год</v>
      </c>
      <c r="S847" s="6" t="str">
        <f>IFERROR(__xludf.DUMMYFUNCTION("""COMPUTED_VALUE"""),"Нет, не приходилось")</f>
        <v>Нет, не приходилось</v>
      </c>
      <c r="T847" s="6" t="str">
        <f>IFERROR(__xludf.DUMMYFUNCTION("""COMPUTED_VALUE"""),"Кузбасс")</f>
        <v>Кузбасс</v>
      </c>
      <c r="U847" s="6" t="str">
        <f>IFERROR(__xludf.DUMMYFUNCTION("""COMPUTED_VALUE"""),"незнаю")</f>
        <v>незнаю</v>
      </c>
      <c r="V847" s="6" t="str">
        <f>IFERROR(__xludf.DUMMYFUNCTION("""COMPUTED_VALUE"""),"да")</f>
        <v>да</v>
      </c>
      <c r="W847" s="6" t="str">
        <f>IFERROR(__xludf.DUMMYFUNCTION("""COMPUTED_VALUE"""),"нормальные ")</f>
        <v>нормальные </v>
      </c>
      <c r="X847" s="6" t="str">
        <f>IFERROR(__xludf.DUMMYFUNCTION("""COMPUTED_VALUE"""),"1т")</f>
        <v>1т</v>
      </c>
      <c r="Y847" s="6" t="str">
        <f>IFERROR(__xludf.DUMMYFUNCTION("""COMPUTED_VALUE"""),"незнаю")</f>
        <v>незнаю</v>
      </c>
      <c r="Z847" s="6" t="str">
        <f>IFERROR(__xludf.DUMMYFUNCTION("""COMPUTED_VALUE"""),"непомню")</f>
        <v>непомню</v>
      </c>
      <c r="AA847" s="6" t="str">
        <f>IFERROR(__xludf.DUMMYFUNCTION("""COMPUTED_VALUE"""),"никакие")</f>
        <v>никакие</v>
      </c>
      <c r="AB847" s="6" t="str">
        <f>IFERROR(__xludf.DUMMYFUNCTION("""COMPUTED_VALUE"""),"Зоопарк")</f>
        <v>Зоопарк</v>
      </c>
      <c r="AC847" s="6" t="str">
        <f>IFERROR(__xludf.DUMMYFUNCTION("""COMPUTED_VALUE"""),"никакие")</f>
        <v>никакие</v>
      </c>
      <c r="AD84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47" s="6" t="str">
        <f>IFERROR(__xludf.DUMMYFUNCTION("""COMPUTED_VALUE"""),"Женский")</f>
        <v>Женский</v>
      </c>
      <c r="AF847" s="6" t="str">
        <f>IFERROR(__xludf.DUMMYFUNCTION("""COMPUTED_VALUE"""),"18-29")</f>
        <v>18-29</v>
      </c>
      <c r="AG847" s="6"/>
      <c r="AH847" s="6"/>
      <c r="AI847" s="6"/>
      <c r="AJ847" s="6"/>
      <c r="AK847" s="6"/>
      <c r="AL847" s="6"/>
      <c r="AM847" s="6"/>
    </row>
    <row r="848">
      <c r="A848" s="6">
        <v>847.0</v>
      </c>
      <c r="B848" s="6" t="str">
        <f>IFERROR(__xludf.DUMMYFUNCTION("""COMPUTED_VALUE"""),"спортом ")</f>
        <v>спортом </v>
      </c>
      <c r="C848" s="6" t="str">
        <f>IFERROR(__xludf.DUMMYFUNCTION("""COMPUTED_VALUE"""),"да. Футбол")</f>
        <v>да. Футбол</v>
      </c>
      <c r="D848" s="6" t="str">
        <f>IFERROR(__xludf.DUMMYFUNCTION("""COMPUTED_VALUE"""),"бульвар строителей")</f>
        <v>бульвар строителей</v>
      </c>
      <c r="E848" s="6" t="str">
        <f>IFERROR(__xludf.DUMMYFUNCTION("""COMPUTED_VALUE"""),"Кузбасс")</f>
        <v>Кузбасс</v>
      </c>
      <c r="F848" s="6" t="str">
        <f>IFERROR(__xludf.DUMMYFUNCTION("""COMPUTED_VALUE"""),"Переехал сюда из другого места (откуда? укажите в графе другое), из республики тыва")</f>
        <v>Переехал сюда из другого места (откуда? укажите в графе другое), из республики тыва</v>
      </c>
      <c r="G848" s="6" t="str">
        <f>IFERROR(__xludf.DUMMYFUNCTION("""COMPUTED_VALUE"""),"никуда")</f>
        <v>никуда</v>
      </c>
      <c r="H848" s="6" t="str">
        <f>IFERROR(__xludf.DUMMYFUNCTION("""COMPUTED_VALUE"""),"незнаю")</f>
        <v>незнаю</v>
      </c>
      <c r="I848" s="6" t="str">
        <f>IFERROR(__xludf.DUMMYFUNCTION("""COMPUTED_VALUE"""),"незнаю ")</f>
        <v>незнаю </v>
      </c>
      <c r="J848" s="6" t="str">
        <f>IFERROR(__xludf.DUMMYFUNCTION("""COMPUTED_VALUE"""),"незнаю")</f>
        <v>незнаю</v>
      </c>
      <c r="K848" s="6" t="str">
        <f>IFERROR(__xludf.DUMMYFUNCTION("""COMPUTED_VALUE"""),"Память шахтерам Кузбасса, памятник В.И.Ленину, ")</f>
        <v>Память шахтерам Кузбасса, памятник В.И.Ленину, </v>
      </c>
      <c r="L848" s="6" t="str">
        <f>IFERROR(__xludf.DUMMYFUNCTION("""COMPUTED_VALUE"""),"незнаю ")</f>
        <v>незнаю </v>
      </c>
      <c r="M848" s="6" t="str">
        <f>IFERROR(__xludf.DUMMYFUNCTION("""COMPUTED_VALUE"""),"не ")</f>
        <v>не </v>
      </c>
      <c r="N848" s="6" t="str">
        <f>IFERROR(__xludf.DUMMYFUNCTION("""COMPUTED_VALUE"""),"незнаю")</f>
        <v>незнаю</v>
      </c>
      <c r="O848" s="6" t="str">
        <f>IFERROR(__xludf.DUMMYFUNCTION("""COMPUTED_VALUE"""),"ничего")</f>
        <v>ничего</v>
      </c>
      <c r="P848" s="6" t="str">
        <f>IFERROR(__xludf.DUMMYFUNCTION("""COMPUTED_VALUE"""),"инстгарамм")</f>
        <v>инстгарамм</v>
      </c>
      <c r="Q848"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848" s="6" t="str">
        <f>IFERROR(__xludf.DUMMYFUNCTION("""COMPUTED_VALUE"""),"новый год")</f>
        <v>новый год</v>
      </c>
      <c r="S848" s="6" t="str">
        <f>IFERROR(__xludf.DUMMYFUNCTION("""COMPUTED_VALUE"""),"Нет, не приходилось")</f>
        <v>Нет, не приходилось</v>
      </c>
      <c r="T848" s="6" t="str">
        <f>IFERROR(__xludf.DUMMYFUNCTION("""COMPUTED_VALUE"""),"Кузбасс")</f>
        <v>Кузбасс</v>
      </c>
      <c r="U848" s="6" t="str">
        <f>IFERROR(__xludf.DUMMYFUNCTION("""COMPUTED_VALUE"""),"незнаю")</f>
        <v>незнаю</v>
      </c>
      <c r="V848" s="6" t="str">
        <f>IFERROR(__xludf.DUMMYFUNCTION("""COMPUTED_VALUE"""),"да")</f>
        <v>да</v>
      </c>
      <c r="W848" s="6" t="str">
        <f>IFERROR(__xludf.DUMMYFUNCTION("""COMPUTED_VALUE"""),"нормальные ")</f>
        <v>нормальные </v>
      </c>
      <c r="X848" s="6" t="str">
        <f>IFERROR(__xludf.DUMMYFUNCTION("""COMPUTED_VALUE"""),"1т")</f>
        <v>1т</v>
      </c>
      <c r="Y848" s="6" t="str">
        <f>IFERROR(__xludf.DUMMYFUNCTION("""COMPUTED_VALUE"""),"незнаю")</f>
        <v>незнаю</v>
      </c>
      <c r="Z848" s="6" t="str">
        <f>IFERROR(__xludf.DUMMYFUNCTION("""COMPUTED_VALUE"""),"непомню")</f>
        <v>непомню</v>
      </c>
      <c r="AA848" s="6" t="str">
        <f>IFERROR(__xludf.DUMMYFUNCTION("""COMPUTED_VALUE"""),"никакие")</f>
        <v>никакие</v>
      </c>
      <c r="AB848" s="6" t="str">
        <f>IFERROR(__xludf.DUMMYFUNCTION("""COMPUTED_VALUE"""),"Зоопарк")</f>
        <v>Зоопарк</v>
      </c>
      <c r="AC848" s="6" t="str">
        <f>IFERROR(__xludf.DUMMYFUNCTION("""COMPUTED_VALUE"""),"никакие")</f>
        <v>никакие</v>
      </c>
      <c r="AD84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48" s="6" t="str">
        <f>IFERROR(__xludf.DUMMYFUNCTION("""COMPUTED_VALUE"""),"Женский")</f>
        <v>Женский</v>
      </c>
      <c r="AF848" s="6" t="str">
        <f>IFERROR(__xludf.DUMMYFUNCTION("""COMPUTED_VALUE"""),"18-29")</f>
        <v>18-29</v>
      </c>
      <c r="AG848" s="6"/>
      <c r="AH848" s="6"/>
      <c r="AI848" s="6"/>
      <c r="AJ848" s="6"/>
      <c r="AK848" s="6"/>
      <c r="AL848" s="6"/>
      <c r="AM848" s="6"/>
    </row>
    <row r="849">
      <c r="A849" s="6">
        <v>848.0</v>
      </c>
      <c r="B849" s="6" t="str">
        <f>IFERROR(__xludf.DUMMYFUNCTION("""COMPUTED_VALUE"""),"Студентка")</f>
        <v>Студентка</v>
      </c>
      <c r="C849" s="6" t="str">
        <f>IFERROR(__xludf.DUMMYFUNCTION("""COMPUTED_VALUE"""),"Музыка(игра на фортепиано)")</f>
        <v>Музыка(игра на фортепиано)</v>
      </c>
      <c r="D849" s="6" t="str">
        <f>IFERROR(__xludf.DUMMYFUNCTION("""COMPUTED_VALUE"""),"Ленинский")</f>
        <v>Ленинский</v>
      </c>
      <c r="E849" s="6" t="str">
        <f>IFERROR(__xludf.DUMMYFUNCTION("""COMPUTED_VALUE"""),"Бульвар")</f>
        <v>Бульвар</v>
      </c>
      <c r="F849" s="6" t="str">
        <f>IFERROR(__xludf.DUMMYFUNCTION("""COMPUTED_VALUE"""),"Переехал сюда из другого места (откуда? укажите в графе другое), Приехала учиться из Казахстана")</f>
        <v>Переехал сюда из другого места (откуда? укажите в графе другое), Приехала учиться из Казахстана</v>
      </c>
      <c r="G849" s="6" t="str">
        <f>IFERROR(__xludf.DUMMYFUNCTION("""COMPUTED_VALUE"""),"Набережная,бульвар")</f>
        <v>Набережная,бульвар</v>
      </c>
      <c r="H849" s="6" t="str">
        <f>IFERROR(__xludf.DUMMYFUNCTION("""COMPUTED_VALUE"""),"Маршрутка,старый,тихий,спокойный,шахтёры")</f>
        <v>Маршрутка,старый,тихий,спокойный,шахтёры</v>
      </c>
      <c r="I849" s="6" t="str">
        <f>IFERROR(__xludf.DUMMYFUNCTION("""COMPUTED_VALUE"""),"Леонов Алексей,Дюдяев Геннадий,Селиванов Василий")</f>
        <v>Леонов Алексей,Дюдяев Геннадий,Селиванов Василий</v>
      </c>
      <c r="J849" s="6" t="str">
        <f>IFERROR(__xludf.DUMMYFUNCTION("""COMPUTED_VALUE"""),"Тулеев Аман,Середюк Илья, ")</f>
        <v>Тулеев Аман,Середюк Илья, </v>
      </c>
      <c r="K849" s="6" t="str">
        <f>IFERROR(__xludf.DUMMYFUNCTION("""COMPUTED_VALUE"""),"Набережная,Парк ангелов,«Клумба Спэйс»,Сосновый бор")</f>
        <v>Набережная,Парк ангелов,«Клумба Спэйс»,Сосновый бор</v>
      </c>
      <c r="L849" s="6" t="str">
        <f>IFERROR(__xludf.DUMMYFUNCTION("""COMPUTED_VALUE"""),"-")</f>
        <v>-</v>
      </c>
      <c r="M849" s="6" t="str">
        <f>IFERROR(__xludf.DUMMYFUNCTION("""COMPUTED_VALUE"""),"-")</f>
        <v>-</v>
      </c>
      <c r="N849" s="6" t="str">
        <f>IFERROR(__xludf.DUMMYFUNCTION("""COMPUTED_VALUE"""),"Чистота,тишина,разгруженные дороги,много зелени,архитектура")</f>
        <v>Чистота,тишина,разгруженные дороги,много зелени,архитектура</v>
      </c>
      <c r="O849" s="6" t="str">
        <f>IFERROR(__xludf.DUMMYFUNCTION("""COMPUTED_VALUE"""),"Обновить транспорт")</f>
        <v>Обновить транспорт</v>
      </c>
      <c r="P849" s="7" t="str">
        <f>IFERROR(__xludf.DUMMYFUNCTION("""COMPUTED_VALUE"""),"https://vse42.ru/,https://www.kem.kp.ru/")</f>
        <v>https://vse42.ru/,https://www.kem.kp.ru/</v>
      </c>
      <c r="Q849" s="6" t="str">
        <f>IFERROR(__xludf.DUMMYFUNCTION("""COMPUTED_VALUE"""),"куда пойти в свободное время, культурные новинки (что почитать/что послушать), криминальные новости (происшествия/преступления)")</f>
        <v>куда пойти в свободное время, культурные новинки (что почитать/что послушать), криминальные новости (происшествия/преступления)</v>
      </c>
      <c r="R849" s="6" t="str">
        <f>IFERROR(__xludf.DUMMYFUNCTION("""COMPUTED_VALUE"""),"-")</f>
        <v>-</v>
      </c>
      <c r="S849" s="6" t="str">
        <f>IFERROR(__xludf.DUMMYFUNCTION("""COMPUTED_VALUE"""),"Нет, не приходилось")</f>
        <v>Нет, не приходилось</v>
      </c>
      <c r="T849" s="6" t="str">
        <f>IFERROR(__xludf.DUMMYFUNCTION("""COMPUTED_VALUE"""),"Горнодобывающей промышленностью.Культурные достопримечательности")</f>
        <v>Горнодобывающей промышленностью.Культурные достопримечательности</v>
      </c>
      <c r="U849" s="6" t="str">
        <f>IFERROR(__xludf.DUMMYFUNCTION("""COMPUTED_VALUE"""),"Администрация города, театр драмы")</f>
        <v>Администрация города, театр драмы</v>
      </c>
      <c r="V849" s="6" t="str">
        <f>IFERROR(__xludf.DUMMYFUNCTION("""COMPUTED_VALUE"""),"-")</f>
        <v>-</v>
      </c>
      <c r="W849" s="6" t="str">
        <f>IFERROR(__xludf.DUMMYFUNCTION("""COMPUTED_VALUE"""),"Весёлые,шумные,сострадающие,дружные")</f>
        <v>Весёлые,шумные,сострадающие,дружные</v>
      </c>
      <c r="X849" s="6" t="str">
        <f>IFERROR(__xludf.DUMMYFUNCTION("""COMPUTED_VALUE"""),"Центр города,набережная")</f>
        <v>Центр города,набережная</v>
      </c>
      <c r="Y849" s="6" t="str">
        <f>IFERROR(__xludf.DUMMYFUNCTION("""COMPUTED_VALUE"""),"-")</f>
        <v>-</v>
      </c>
      <c r="Z849" s="6" t="str">
        <f>IFERROR(__xludf.DUMMYFUNCTION("""COMPUTED_VALUE"""),"Все городские праздники")</f>
        <v>Все городские праздники</v>
      </c>
      <c r="AA849" s="6" t="str">
        <f>IFERROR(__xludf.DUMMYFUNCTION("""COMPUTED_VALUE"""),"-")</f>
        <v>-</v>
      </c>
      <c r="AB849" s="6" t="str">
        <f>IFERROR(__xludf.DUMMYFUNCTION("""COMPUTED_VALUE"""),"-")</f>
        <v>-</v>
      </c>
      <c r="AC849" s="6" t="str">
        <f>IFERROR(__xludf.DUMMYFUNCTION("""COMPUTED_VALUE"""),"Больше мероприятий на открытом воздухе")</f>
        <v>Больше мероприятий на открытом воздухе</v>
      </c>
      <c r="AD849"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49" s="6" t="str">
        <f>IFERROR(__xludf.DUMMYFUNCTION("""COMPUTED_VALUE"""),"Женский")</f>
        <v>Женский</v>
      </c>
      <c r="AF849" s="6" t="str">
        <f>IFERROR(__xludf.DUMMYFUNCTION("""COMPUTED_VALUE"""),"18-29")</f>
        <v>18-29</v>
      </c>
      <c r="AG849" s="6"/>
      <c r="AH849" s="6"/>
      <c r="AI849" s="6"/>
      <c r="AJ849" s="6"/>
      <c r="AK849" s="6"/>
      <c r="AL849" s="6"/>
      <c r="AM849" s="6"/>
    </row>
    <row r="850">
      <c r="A850" s="6">
        <v>849.0</v>
      </c>
      <c r="B850" s="6" t="str">
        <f>IFERROR(__xludf.DUMMYFUNCTION("""COMPUTED_VALUE"""),"Учусь ")</f>
        <v>Учусь </v>
      </c>
      <c r="C850" s="6" t="str">
        <f>IFERROR(__xludf.DUMMYFUNCTION("""COMPUTED_VALUE"""),"Нет ")</f>
        <v>Нет </v>
      </c>
      <c r="D850" s="6" t="str">
        <f>IFERROR(__xludf.DUMMYFUNCTION("""COMPUTED_VALUE"""),"Ленинский ")</f>
        <v>Ленинский </v>
      </c>
      <c r="E850" s="6" t="str">
        <f>IFERROR(__xludf.DUMMYFUNCTION("""COMPUTED_VALUE"""),"Бульвар ")</f>
        <v>Бульвар </v>
      </c>
      <c r="F850" s="6" t="str">
        <f>IFERROR(__xludf.DUMMYFUNCTION("""COMPUTED_VALUE"""),"Переехал сюда из другого места (откуда? укажите в графе другое), Тяжин ")</f>
        <v>Переехал сюда из другого места (откуда? укажите в графе другое), Тяжин </v>
      </c>
      <c r="G850" s="6" t="str">
        <f>IFERROR(__xludf.DUMMYFUNCTION("""COMPUTED_VALUE"""),"Парк , набережная ")</f>
        <v>Парк , набережная </v>
      </c>
      <c r="H850" s="6" t="str">
        <f>IFERROR(__xludf.DUMMYFUNCTION("""COMPUTED_VALUE"""),"Пыль , грязные воздух , мусор , плохие дороги ")</f>
        <v>Пыль , грязные воздух , мусор , плохие дороги </v>
      </c>
      <c r="I850" s="6" t="str">
        <f>IFERROR(__xludf.DUMMYFUNCTION("""COMPUTED_VALUE"""),"Не знаю ")</f>
        <v>Не знаю </v>
      </c>
      <c r="J850" s="6" t="str">
        <f>IFERROR(__xludf.DUMMYFUNCTION("""COMPUTED_VALUE"""),"Не знаю ")</f>
        <v>Не знаю </v>
      </c>
      <c r="K850" s="6" t="str">
        <f>IFERROR(__xludf.DUMMYFUNCTION("""COMPUTED_VALUE"""),"Никаких ")</f>
        <v>Никаких </v>
      </c>
      <c r="L850" s="6" t="str">
        <f>IFERROR(__xludf.DUMMYFUNCTION("""COMPUTED_VALUE"""),"Не знаю ")</f>
        <v>Не знаю </v>
      </c>
      <c r="M850" s="6" t="str">
        <f>IFERROR(__xludf.DUMMYFUNCTION("""COMPUTED_VALUE"""),"Нет ")</f>
        <v>Нет </v>
      </c>
      <c r="N850" s="6" t="str">
        <f>IFERROR(__xludf.DUMMYFUNCTION("""COMPUTED_VALUE"""),"Никаких ")</f>
        <v>Никаких </v>
      </c>
      <c r="O850" s="6" t="str">
        <f>IFERROR(__xludf.DUMMYFUNCTION("""COMPUTED_VALUE"""),"Чтоб чистый воздух был , дышать нечем ")</f>
        <v>Чтоб чистый воздух был , дышать нечем </v>
      </c>
      <c r="P850" s="6" t="str">
        <f>IFERROR(__xludf.DUMMYFUNCTION("""COMPUTED_VALUE"""),"Инстограм ")</f>
        <v>Инстограм </v>
      </c>
      <c r="Q850" s="6" t="str">
        <f>IFERROR(__xludf.DUMMYFUNCTION("""COMPUTED_VALUE"""),"куда пойти в свободное время")</f>
        <v>куда пойти в свободное время</v>
      </c>
      <c r="R850" s="6" t="str">
        <f>IFERROR(__xludf.DUMMYFUNCTION("""COMPUTED_VALUE"""),"Не знаю таких ")</f>
        <v>Не знаю таких </v>
      </c>
      <c r="S850" s="6" t="str">
        <f>IFERROR(__xludf.DUMMYFUNCTION("""COMPUTED_VALUE"""),"Нет, не приходилось")</f>
        <v>Нет, не приходилось</v>
      </c>
      <c r="T850" s="6" t="str">
        <f>IFERROR(__xludf.DUMMYFUNCTION("""COMPUTED_VALUE"""),"Не знаю ")</f>
        <v>Не знаю </v>
      </c>
      <c r="U850" s="6" t="str">
        <f>IFERROR(__xludf.DUMMYFUNCTION("""COMPUTED_VALUE"""),"Ленинский  район бульвар ")</f>
        <v>Ленинский  район бульвар </v>
      </c>
      <c r="V850" s="6" t="str">
        <f>IFERROR(__xludf.DUMMYFUNCTION("""COMPUTED_VALUE"""),"Не знаю ")</f>
        <v>Не знаю </v>
      </c>
      <c r="W850" s="6" t="str">
        <f>IFERROR(__xludf.DUMMYFUNCTION("""COMPUTED_VALUE"""),"Разные ")</f>
        <v>Разные </v>
      </c>
      <c r="X850" s="6" t="str">
        <f>IFERROR(__xludf.DUMMYFUNCTION("""COMPUTED_VALUE"""),"Бульвар , набережная ")</f>
        <v>Бульвар , набережная </v>
      </c>
      <c r="Y850" s="6" t="str">
        <f>IFERROR(__xludf.DUMMYFUNCTION("""COMPUTED_VALUE"""),"Не знаю ")</f>
        <v>Не знаю </v>
      </c>
      <c r="Z850" s="6" t="str">
        <f>IFERROR(__xludf.DUMMYFUNCTION("""COMPUTED_VALUE"""),"Нет такого ")</f>
        <v>Нет такого </v>
      </c>
      <c r="AA850" s="6" t="str">
        <f>IFERROR(__xludf.DUMMYFUNCTION("""COMPUTED_VALUE"""),"Плохой воздух ")</f>
        <v>Плохой воздух </v>
      </c>
      <c r="AB850" s="6" t="str">
        <f>IFERROR(__xludf.DUMMYFUNCTION("""COMPUTED_VALUE"""),"Развлечение ,память ")</f>
        <v>Развлечение ,память </v>
      </c>
      <c r="AC850" s="6" t="str">
        <f>IFERROR(__xludf.DUMMYFUNCTION("""COMPUTED_VALUE"""),"Развлекательные мероприятия ")</f>
        <v>Развлекательные мероприятия </v>
      </c>
      <c r="AD85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50" s="6" t="str">
        <f>IFERROR(__xludf.DUMMYFUNCTION("""COMPUTED_VALUE"""),"Женский")</f>
        <v>Женский</v>
      </c>
      <c r="AF850" s="6" t="str">
        <f>IFERROR(__xludf.DUMMYFUNCTION("""COMPUTED_VALUE"""),"18-29")</f>
        <v>18-29</v>
      </c>
      <c r="AG850" s="6"/>
      <c r="AH850" s="6"/>
      <c r="AI850" s="6"/>
      <c r="AJ850" s="6"/>
      <c r="AK850" s="6"/>
      <c r="AL850" s="6"/>
      <c r="AM850" s="6"/>
    </row>
    <row r="851">
      <c r="A851" s="6">
        <v>850.0</v>
      </c>
      <c r="B851" s="6" t="str">
        <f>IFERROR(__xludf.DUMMYFUNCTION("""COMPUTED_VALUE"""),"Домохозяйка")</f>
        <v>Домохозяйка</v>
      </c>
      <c r="C851" s="6" t="str">
        <f>IFERROR(__xludf.DUMMYFUNCTION("""COMPUTED_VALUE"""),"Волейбол")</f>
        <v>Волейбол</v>
      </c>
      <c r="D851" s="6" t="str">
        <f>IFERROR(__xludf.DUMMYFUNCTION("""COMPUTED_VALUE"""),"Заводский, Ягуновка")</f>
        <v>Заводский, Ягуновка</v>
      </c>
      <c r="E851" s="6" t="str">
        <f>IFERROR(__xludf.DUMMYFUNCTION("""COMPUTED_VALUE""")," Школа, стадион, парк")</f>
        <v> Школа, стадион, парк</v>
      </c>
      <c r="F851" s="6" t="str">
        <f>IFERROR(__xludf.DUMMYFUNCTION("""COMPUTED_VALUE"""),"Живу здесь с рождения")</f>
        <v>Живу здесь с рождения</v>
      </c>
      <c r="G851" s="6" t="str">
        <f>IFERROR(__xludf.DUMMYFUNCTION("""COMPUTED_VALUE"""),"Парк на ягуновке, стадион")</f>
        <v>Парк на ягуновке, стадион</v>
      </c>
      <c r="H851" s="6" t="str">
        <f>IFERROR(__xludf.DUMMYFUNCTION("""COMPUTED_VALUE"""),"Грязь
Безработица
Завышенные цены
Бездорожье
Хаос")</f>
        <v>Грязь
Безработица
Завышенные цены
Бездорожье
Хаос</v>
      </c>
      <c r="I851" s="6" t="str">
        <f>IFERROR(__xludf.DUMMYFUNCTION("""COMPUTED_VALUE"""),"Гагарин")</f>
        <v>Гагарин</v>
      </c>
      <c r="J851" s="6" t="str">
        <f>IFERROR(__xludf.DUMMYFUNCTION("""COMPUTED_VALUE"""),"Аман Гумирович Тулеев")</f>
        <v>Аман Гумирович Тулеев</v>
      </c>
      <c r="K851" s="6" t="str">
        <f>IFERROR(__xludf.DUMMYFUNCTION("""COMPUTED_VALUE"""),"Набережная")</f>
        <v>Набережная</v>
      </c>
      <c r="L851" s="6" t="str">
        <f>IFERROR(__xludf.DUMMYFUNCTION("""COMPUTED_VALUE"""),"У разбитого корыта")</f>
        <v>У разбитого корыта</v>
      </c>
      <c r="M851" s="6" t="str">
        <f>IFERROR(__xludf.DUMMYFUNCTION("""COMPUTED_VALUE"""),"Нет")</f>
        <v>Нет</v>
      </c>
      <c r="N851" s="6" t="str">
        <f>IFERROR(__xludf.DUMMYFUNCTION("""COMPUTED_VALUE"""),"Развлекательные центры 
Большая зп
Доступные цены
Целые дороги
Без очередей в сад")</f>
        <v>Развлекательные центры 
Большая зп
Доступные цены
Целые дороги
Без очередей в сад</v>
      </c>
      <c r="O851" s="6" t="str">
        <f>IFERROR(__xludf.DUMMYFUNCTION("""COMPUTED_VALUE"""),"Губернатора")</f>
        <v>Губернатора</v>
      </c>
      <c r="P851" s="6" t="str">
        <f>IFERROR(__xludf.DUMMYFUNCTION("""COMPUTED_VALUE"""),"ВКонтакте, инстаграм")</f>
        <v>ВКонтакте, инстаграм</v>
      </c>
      <c r="Q851" s="6" t="str">
        <f>IFERROR(__xludf.DUMMYFUNCTION("""COMPUTED_VALUE"""),"криминальные новости (происшествия/преступления), результаты местных исследований (рейтинги/аналитика/тенденции), Другое")</f>
        <v>криминальные новости (происшествия/преступления), результаты местных исследований (рейтинги/аналитика/тенденции), Другое</v>
      </c>
      <c r="R851" s="6" t="str">
        <f>IFERROR(__xludf.DUMMYFUNCTION("""COMPUTED_VALUE"""),"9 мая")</f>
        <v>9 мая</v>
      </c>
      <c r="S851" s="6" t="str">
        <f>IFERROR(__xludf.DUMMYFUNCTION("""COMPUTED_VALUE"""),"Нет, не приходилось")</f>
        <v>Нет, не приходилось</v>
      </c>
      <c r="T851" s="6" t="str">
        <f>IFERROR(__xludf.DUMMYFUNCTION("""COMPUTED_VALUE"""),"Ни че го")</f>
        <v>Ни че го</v>
      </c>
      <c r="U851" s="6" t="str">
        <f>IFERROR(__xludf.DUMMYFUNCTION("""COMPUTED_VALUE"""),"Драмм театр")</f>
        <v>Драмм театр</v>
      </c>
      <c r="V851" s="6" t="str">
        <f>IFERROR(__xludf.DUMMYFUNCTION("""COMPUTED_VALUE"""),"Задымили город")</f>
        <v>Задымили город</v>
      </c>
      <c r="W851" s="6" t="str">
        <f>IFERROR(__xludf.DUMMYFUNCTION("""COMPUTED_VALUE"""),"Черствые")</f>
        <v>Черствые</v>
      </c>
      <c r="X851" s="6" t="str">
        <f>IFERROR(__xludf.DUMMYFUNCTION("""COMPUTED_VALUE"""),"Не знаю")</f>
        <v>Не знаю</v>
      </c>
      <c r="Y851" s="6" t="str">
        <f>IFERROR(__xludf.DUMMYFUNCTION("""COMPUTED_VALUE"""),"Добыча угля, который хер купишь ")</f>
        <v>Добыча угля, который хер купишь </v>
      </c>
      <c r="Z851" s="6" t="str">
        <f>IFERROR(__xludf.DUMMYFUNCTION("""COMPUTED_VALUE"""),"Концерт знаменитостей на центральной площади")</f>
        <v>Концерт знаменитостей на центральной площади</v>
      </c>
      <c r="AA851" s="6" t="str">
        <f>IFERROR(__xludf.DUMMYFUNCTION("""COMPUTED_VALUE"""),"Их много")</f>
        <v>Их много</v>
      </c>
      <c r="AB851" s="6" t="str">
        <f>IFERROR(__xludf.DUMMYFUNCTION("""COMPUTED_VALUE"""),"О коррупции")</f>
        <v>О коррупции</v>
      </c>
      <c r="AC851" s="6" t="str">
        <f>IFERROR(__xludf.DUMMYFUNCTION("""COMPUTED_VALUE""")," Трудно ")</f>
        <v> Трудно </v>
      </c>
      <c r="AD85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851" s="6" t="str">
        <f>IFERROR(__xludf.DUMMYFUNCTION("""COMPUTED_VALUE"""),"Женский")</f>
        <v>Женский</v>
      </c>
      <c r="AF851" s="6" t="str">
        <f>IFERROR(__xludf.DUMMYFUNCTION("""COMPUTED_VALUE"""),"18-29")</f>
        <v>18-29</v>
      </c>
      <c r="AG851" s="6"/>
      <c r="AH851" s="6"/>
      <c r="AI851" s="6"/>
      <c r="AJ851" s="6"/>
      <c r="AK851" s="6"/>
      <c r="AL851" s="6"/>
      <c r="AM851" s="6"/>
    </row>
    <row r="852">
      <c r="A852" s="6">
        <v>851.0</v>
      </c>
      <c r="B852" s="6" t="str">
        <f>IFERROR(__xludf.DUMMYFUNCTION("""COMPUTED_VALUE"""),"Спортом")</f>
        <v>Спортом</v>
      </c>
      <c r="C852" s="6" t="str">
        <f>IFERROR(__xludf.DUMMYFUNCTION("""COMPUTED_VALUE"""),"Стать олимпийским чемпионом")</f>
        <v>Стать олимпийским чемпионом</v>
      </c>
      <c r="D852" s="6" t="str">
        <f>IFERROR(__xludf.DUMMYFUNCTION("""COMPUTED_VALUE"""),"Новостройка ")</f>
        <v>Новостройка </v>
      </c>
      <c r="E852" s="6" t="str">
        <f>IFERROR(__xludf.DUMMYFUNCTION("""COMPUTED_VALUE"""),"Кузбасс")</f>
        <v>Кузбасс</v>
      </c>
      <c r="F852" s="6" t="str">
        <f>IFERROR(__xludf.DUMMYFUNCTION("""COMPUTED_VALUE"""),"Студент ")</f>
        <v>Студент </v>
      </c>
      <c r="G852" s="6" t="str">
        <f>IFERROR(__xludf.DUMMYFUNCTION("""COMPUTED_VALUE"""),"Центр ")</f>
        <v>Центр </v>
      </c>
      <c r="H852" s="6" t="str">
        <f>IFERROR(__xludf.DUMMYFUNCTION("""COMPUTED_VALUE"""),"Магнит ")</f>
        <v>Магнит </v>
      </c>
      <c r="I852" s="6" t="str">
        <f>IFERROR(__xludf.DUMMYFUNCTION("""COMPUTED_VALUE"""),"Айкат ")</f>
        <v>Айкат </v>
      </c>
      <c r="J852" s="6" t="str">
        <f>IFERROR(__xludf.DUMMYFUNCTION("""COMPUTED_VALUE"""),"Саша")</f>
        <v>Саша</v>
      </c>
      <c r="K852" s="6" t="str">
        <f>IFERROR(__xludf.DUMMYFUNCTION("""COMPUTED_VALUE"""),"Ленин")</f>
        <v>Ленин</v>
      </c>
      <c r="L852" s="6" t="str">
        <f>IFERROR(__xludf.DUMMYFUNCTION("""COMPUTED_VALUE"""),"Никогда не сдавайся")</f>
        <v>Никогда не сдавайся</v>
      </c>
      <c r="M852" s="6" t="str">
        <f>IFERROR(__xludf.DUMMYFUNCTION("""COMPUTED_VALUE"""),"Уголь")</f>
        <v>Уголь</v>
      </c>
      <c r="N852" s="6" t="str">
        <f>IFERROR(__xludf.DUMMYFUNCTION("""COMPUTED_VALUE"""),"Не знаю ")</f>
        <v>Не знаю </v>
      </c>
      <c r="O852" s="6" t="str">
        <f>IFERROR(__xludf.DUMMYFUNCTION("""COMPUTED_VALUE"""),"Общежития ")</f>
        <v>Общежития </v>
      </c>
      <c r="P852" s="6" t="str">
        <f>IFERROR(__xludf.DUMMYFUNCTION("""COMPUTED_VALUE"""),"Яндекс")</f>
        <v>Яндекс</v>
      </c>
      <c r="Q852" s="6" t="str">
        <f>IFERROR(__xludf.DUMMYFUNCTION("""COMPUTED_VALUE"""),"интервью с местными предпринимателями")</f>
        <v>интервью с местными предпринимателями</v>
      </c>
      <c r="R852" s="6" t="str">
        <f>IFERROR(__xludf.DUMMYFUNCTION("""COMPUTED_VALUE"""),"Май 9")</f>
        <v>Май 9</v>
      </c>
      <c r="S852" s="6" t="str">
        <f>IFERROR(__xludf.DUMMYFUNCTION("""COMPUTED_VALUE"""),"Нет, не приходилось")</f>
        <v>Нет, не приходилось</v>
      </c>
      <c r="T852" s="6" t="str">
        <f>IFERROR(__xludf.DUMMYFUNCTION("""COMPUTED_VALUE"""),"Уголь ")</f>
        <v>Уголь </v>
      </c>
      <c r="U852" s="6" t="str">
        <f>IFERROR(__xludf.DUMMYFUNCTION("""COMPUTED_VALUE"""),"Центр ")</f>
        <v>Центр </v>
      </c>
      <c r="V852" s="6" t="str">
        <f>IFERROR(__xludf.DUMMYFUNCTION("""COMPUTED_VALUE"""),"Да")</f>
        <v>Да</v>
      </c>
      <c r="W852" s="6" t="str">
        <f>IFERROR(__xludf.DUMMYFUNCTION("""COMPUTED_VALUE"""),"Хороший ")</f>
        <v>Хороший </v>
      </c>
      <c r="X852" s="6" t="str">
        <f>IFERROR(__xludf.DUMMYFUNCTION("""COMPUTED_VALUE"""),"1т")</f>
        <v>1т</v>
      </c>
      <c r="Y852" s="6" t="str">
        <f>IFERROR(__xludf.DUMMYFUNCTION("""COMPUTED_VALUE"""),"Не знаю")</f>
        <v>Не знаю</v>
      </c>
      <c r="Z852" s="6" t="str">
        <f>IFERROR(__xludf.DUMMYFUNCTION("""COMPUTED_VALUE"""),"Никак ")</f>
        <v>Никак </v>
      </c>
      <c r="AA852" s="6" t="str">
        <f>IFERROR(__xludf.DUMMYFUNCTION("""COMPUTED_VALUE"""),"Нет")</f>
        <v>Нет</v>
      </c>
      <c r="AB852" s="6" t="str">
        <f>IFERROR(__xludf.DUMMYFUNCTION("""COMPUTED_VALUE"""),"Нормально ")</f>
        <v>Нормально </v>
      </c>
      <c r="AC852" s="6" t="str">
        <f>IFERROR(__xludf.DUMMYFUNCTION("""COMPUTED_VALUE"""),"Нет")</f>
        <v>Нет</v>
      </c>
      <c r="AD852"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v>
      </c>
      <c r="AE852" s="6" t="str">
        <f>IFERROR(__xludf.DUMMYFUNCTION("""COMPUTED_VALUE"""),"Мужской")</f>
        <v>Мужской</v>
      </c>
      <c r="AF852" s="6" t="str">
        <f>IFERROR(__xludf.DUMMYFUNCTION("""COMPUTED_VALUE"""),"18-29")</f>
        <v>18-29</v>
      </c>
      <c r="AG852" s="6"/>
      <c r="AH852" s="6"/>
      <c r="AI852" s="6"/>
      <c r="AJ852" s="6"/>
      <c r="AK852" s="6"/>
      <c r="AL852" s="6"/>
      <c r="AM852" s="6"/>
    </row>
    <row r="853">
      <c r="A853" s="6">
        <v>852.0</v>
      </c>
      <c r="B853" s="6" t="str">
        <f>IFERROR(__xludf.DUMMYFUNCTION("""COMPUTED_VALUE"""),"Учусь ")</f>
        <v>Учусь </v>
      </c>
      <c r="C853" s="6" t="str">
        <f>IFERROR(__xludf.DUMMYFUNCTION("""COMPUTED_VALUE"""),"Нет")</f>
        <v>Нет</v>
      </c>
      <c r="D853" s="6" t="str">
        <f>IFERROR(__xludf.DUMMYFUNCTION("""COMPUTED_VALUE"""),"Новостройка")</f>
        <v>Новостройка</v>
      </c>
      <c r="E853" s="6" t="str">
        <f>IFERROR(__xludf.DUMMYFUNCTION("""COMPUTED_VALUE"""),"Никакой")</f>
        <v>Никакой</v>
      </c>
      <c r="F853" s="6" t="str">
        <f>IFERROR(__xludf.DUMMYFUNCTION("""COMPUTED_VALUE"""),"Прехал учиться")</f>
        <v>Прехал учиться</v>
      </c>
      <c r="G853" s="6" t="str">
        <f>IFERROR(__xludf.DUMMYFUNCTION("""COMPUTED_VALUE"""),"Парк ")</f>
        <v>Парк </v>
      </c>
      <c r="H853" s="6" t="str">
        <f>IFERROR(__xludf.DUMMYFUNCTION("""COMPUTED_VALUE"""),"Дорога дом пробки учеба институт")</f>
        <v>Дорога дом пробки учеба институт</v>
      </c>
      <c r="I853" s="6" t="str">
        <f>IFERROR(__xludf.DUMMYFUNCTION("""COMPUTED_VALUE"""),"Незнаю")</f>
        <v>Незнаю</v>
      </c>
      <c r="J853" s="6" t="str">
        <f>IFERROR(__xludf.DUMMYFUNCTION("""COMPUTED_VALUE"""),"Незнаю")</f>
        <v>Незнаю</v>
      </c>
      <c r="K853" s="6" t="str">
        <f>IFERROR(__xludf.DUMMYFUNCTION("""COMPUTED_VALUE"""),"Незнаю")</f>
        <v>Незнаю</v>
      </c>
      <c r="L853" s="6" t="str">
        <f>IFERROR(__xludf.DUMMYFUNCTION("""COMPUTED_VALUE"""),"На чужой каравай – роток не разевай.")</f>
        <v>На чужой каравай – роток не разевай.</v>
      </c>
      <c r="M853" s="6" t="str">
        <f>IFERROR(__xludf.DUMMYFUNCTION("""COMPUTED_VALUE"""),"По-кемеровсеи,")</f>
        <v>По-кемеровсеи,</v>
      </c>
      <c r="N853" s="6" t="str">
        <f>IFERROR(__xludf.DUMMYFUNCTION("""COMPUTED_VALUE"""),"Экология, парк, пешеход, велодорожка, ТЦ")</f>
        <v>Экология, парк, пешеход, велодорожка, ТЦ</v>
      </c>
      <c r="O853" s="6" t="str">
        <f>IFERROR(__xludf.DUMMYFUNCTION("""COMPUTED_VALUE"""),"Незнаю")</f>
        <v>Незнаю</v>
      </c>
      <c r="P853" s="6" t="str">
        <f>IFERROR(__xludf.DUMMYFUNCTION("""COMPUTED_VALUE"""),"Новости")</f>
        <v>Новости</v>
      </c>
      <c r="Q853" s="6" t="str">
        <f>IFERROR(__xludf.DUMMYFUNCTION("""COMPUTED_VALUE"""),"куда пойти в свободное время")</f>
        <v>куда пойти в свободное время</v>
      </c>
      <c r="R853" s="6" t="str">
        <f>IFERROR(__xludf.DUMMYFUNCTION("""COMPUTED_VALUE"""),"День победы")</f>
        <v>День победы</v>
      </c>
      <c r="S853" s="6" t="str">
        <f>IFERROR(__xludf.DUMMYFUNCTION("""COMPUTED_VALUE"""),"Нет, не приходилось")</f>
        <v>Нет, не приходилось</v>
      </c>
      <c r="T853" s="6" t="str">
        <f>IFERROR(__xludf.DUMMYFUNCTION("""COMPUTED_VALUE"""),"Незнаю")</f>
        <v>Незнаю</v>
      </c>
      <c r="U853" s="6" t="str">
        <f>IFERROR(__xludf.DUMMYFUNCTION("""COMPUTED_VALUE"""),"Незнаю")</f>
        <v>Незнаю</v>
      </c>
      <c r="V853" s="6" t="str">
        <f>IFERROR(__xludf.DUMMYFUNCTION("""COMPUTED_VALUE"""),"Да")</f>
        <v>Да</v>
      </c>
      <c r="W853" s="6" t="str">
        <f>IFERROR(__xludf.DUMMYFUNCTION("""COMPUTED_VALUE"""),"Нормальные")</f>
        <v>Нормальные</v>
      </c>
      <c r="X853" s="6" t="str">
        <f>IFERROR(__xludf.DUMMYFUNCTION("""COMPUTED_VALUE"""),"Незнаю")</f>
        <v>Незнаю</v>
      </c>
      <c r="Y853" s="6" t="str">
        <f>IFERROR(__xludf.DUMMYFUNCTION("""COMPUTED_VALUE"""),"Незнаю")</f>
        <v>Незнаю</v>
      </c>
      <c r="Z853" s="6" t="str">
        <f>IFERROR(__xludf.DUMMYFUNCTION("""COMPUTED_VALUE"""),"Забыл")</f>
        <v>Забыл</v>
      </c>
      <c r="AA853" s="6" t="str">
        <f>IFERROR(__xludf.DUMMYFUNCTION("""COMPUTED_VALUE"""),"Не было")</f>
        <v>Не было</v>
      </c>
      <c r="AB853" s="6" t="str">
        <f>IFERROR(__xludf.DUMMYFUNCTION("""COMPUTED_VALUE"""),"Незнаю")</f>
        <v>Незнаю</v>
      </c>
      <c r="AC853" s="6" t="str">
        <f>IFERROR(__xludf.DUMMYFUNCTION("""COMPUTED_VALUE"""),"Незнаю")</f>
        <v>Незнаю</v>
      </c>
      <c r="AD85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53" s="6" t="str">
        <f>IFERROR(__xludf.DUMMYFUNCTION("""COMPUTED_VALUE"""),"Мужской")</f>
        <v>Мужской</v>
      </c>
      <c r="AF853" s="6" t="str">
        <f>IFERROR(__xludf.DUMMYFUNCTION("""COMPUTED_VALUE"""),"18-29")</f>
        <v>18-29</v>
      </c>
      <c r="AG853" s="6"/>
      <c r="AH853" s="6"/>
      <c r="AI853" s="6"/>
      <c r="AJ853" s="6"/>
      <c r="AK853" s="6"/>
      <c r="AL853" s="6"/>
      <c r="AM853" s="6"/>
    </row>
    <row r="854">
      <c r="A854" s="6">
        <v>853.0</v>
      </c>
      <c r="B854" s="6" t="str">
        <f>IFERROR(__xludf.DUMMYFUNCTION("""COMPUTED_VALUE"""),"системный администратор")</f>
        <v>системный администратор</v>
      </c>
      <c r="C854" s="6" t="str">
        <f>IFERROR(__xludf.DUMMYFUNCTION("""COMPUTED_VALUE"""),"программирование")</f>
        <v>программирование</v>
      </c>
      <c r="D854" s="6" t="str">
        <f>IFERROR(__xludf.DUMMYFUNCTION("""COMPUTED_VALUE"""),"ФПК")</f>
        <v>ФПК</v>
      </c>
      <c r="E854" s="6" t="str">
        <f>IFERROR(__xludf.DUMMYFUNCTION("""COMPUTED_VALUE"""),"ТЦ Гринвич и сквер около него")</f>
        <v>ТЦ Гринвич и сквер около него</v>
      </c>
      <c r="F854" s="6" t="str">
        <f>IFERROR(__xludf.DUMMYFUNCTION("""COMPUTED_VALUE"""),"Живу здесь с рождения")</f>
        <v>Живу здесь с рождения</v>
      </c>
      <c r="G854" s="6" t="str">
        <f>IFERROR(__xludf.DUMMYFUNCTION("""COMPUTED_VALUE"""),"Сосновый бор")</f>
        <v>Сосновый бор</v>
      </c>
      <c r="H854" s="6" t="str">
        <f>IFERROR(__xludf.DUMMYFUNCTION("""COMPUTED_VALUE"""),"Химия, заводы, мрачность, просторы, чистота")</f>
        <v>Химия, заводы, мрачность, просторы, чистота</v>
      </c>
      <c r="I854" s="6" t="str">
        <f>IFERROR(__xludf.DUMMYFUNCTION("""COMPUTED_VALUE"""),"Михайло Волков, Алексей Леонов")</f>
        <v>Михайло Волков, Алексей Леонов</v>
      </c>
      <c r="J854" s="6" t="str">
        <f>IFERROR(__xludf.DUMMYFUNCTION("""COMPUTED_VALUE"""),"Тулеев, Подгорбунский")</f>
        <v>Тулеев, Подгорбунский</v>
      </c>
      <c r="K854" s="6" t="str">
        <f>IFERROR(__xludf.DUMMYFUNCTION("""COMPUTED_VALUE"""),"Детская площадка Берендеевка в Шалготарьяне (Октябрьский 78)")</f>
        <v>Детская площадка Берендеевка в Шалготарьяне (Октябрьский 78)</v>
      </c>
      <c r="L854" s="6" t="str">
        <f>IFERROR(__xludf.DUMMYFUNCTION("""COMPUTED_VALUE"""),"-")</f>
        <v>-</v>
      </c>
      <c r="M854" s="6" t="str">
        <f>IFERROR(__xludf.DUMMYFUNCTION("""COMPUTED_VALUE"""),"Не знаю")</f>
        <v>Не знаю</v>
      </c>
      <c r="N854" s="6" t="str">
        <f>IFERROR(__xludf.DUMMYFUNCTION("""COMPUTED_VALUE"""),"Отсутствие автомобилей на тротуарах; перекрёстки, где пешеходам не надо долго ждать; урны везде; скамейки в каждом зелёном месте.")</f>
        <v>Отсутствие автомобилей на тротуарах; перекрёстки, где пешеходам не надо долго ждать; урны везде; скамейки в каждом зелёном месте.</v>
      </c>
      <c r="O854" s="6" t="str">
        <f>IFERROR(__xludf.DUMMYFUNCTION("""COMPUTED_VALUE"""),"Пустить транспорт в вечернее время.")</f>
        <v>Пустить транспорт в вечернее время.</v>
      </c>
      <c r="P854" s="6" t="str">
        <f>IFERROR(__xludf.DUMMYFUNCTION("""COMPUTED_VALUE"""),"Вконтакте")</f>
        <v>Вконтакте</v>
      </c>
      <c r="Q854" s="6" t="str">
        <f>IFERROR(__xludf.DUMMYFUNCTION("""COMPUTED_VALUE"""),"куда пойти в свободное время,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интервью с эксп"&amp;"ертами на разные темы (напишите в разделе Другое свои предложения)")</f>
        <v>куда пойти в свободное время,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854" s="6" t="str">
        <f>IFERROR(__xludf.DUMMYFUNCTION("""COMPUTED_VALUE"""),"День города, День шахтёра")</f>
        <v>День города, День шахтёра</v>
      </c>
      <c r="S854" s="6" t="str">
        <f>IFERROR(__xludf.DUMMYFUNCTION("""COMPUTED_VALUE"""),"Нет, не приходилось")</f>
        <v>Нет, не приходилось</v>
      </c>
      <c r="T854" s="6" t="str">
        <f>IFERROR(__xludf.DUMMYFUNCTION("""COMPUTED_VALUE"""),"Сосновый бор (хотя похожий есть в Челябинске)")</f>
        <v>Сосновый бор (хотя похожий есть в Челябинске)</v>
      </c>
      <c r="U854" s="6" t="str">
        <f>IFERROR(__xludf.DUMMYFUNCTION("""COMPUTED_VALUE"""),"Территорию между Драмтеатром, пл. Советов, Рекой и ЦУМом.")</f>
        <v>Территорию между Драмтеатром, пл. Советов, Рекой и ЦУМом.</v>
      </c>
      <c r="V854" s="6" t="str">
        <f>IFERROR(__xludf.DUMMYFUNCTION("""COMPUTED_VALUE"""),"Работали, строили.")</f>
        <v>Работали, строили.</v>
      </c>
      <c r="W854" s="6" t="str">
        <f>IFERROR(__xludf.DUMMYFUNCTION("""COMPUTED_VALUE"""),"Угрюмые на вид, довольно отзывчивые, если попросить помочь.")</f>
        <v>Угрюмые на вид, довольно отзывчивые, если попросить помочь.</v>
      </c>
      <c r="X854" s="6" t="str">
        <f>IFERROR(__xludf.DUMMYFUNCTION("""COMPUTED_VALUE"""),"Шалготарьян, пр.Ленина, пл.Советов, Горсад, Лысая гора, Красная горка.")</f>
        <v>Шалготарьян, пр.Ленина, пл.Советов, Горсад, Лысая гора, Красная горка.</v>
      </c>
      <c r="Y854" s="6" t="str">
        <f>IFERROR(__xludf.DUMMYFUNCTION("""COMPUTED_VALUE"""),"Моё рождение.")</f>
        <v>Моё рождение.</v>
      </c>
      <c r="Z854" s="6" t="str">
        <f>IFERROR(__xludf.DUMMYFUNCTION("""COMPUTED_VALUE"""),"""Чест Фест"" от Теле 2, день Шахтёра.")</f>
        <v>"Чест Фест" от Теле 2, день Шахтёра.</v>
      </c>
      <c r="AA854" s="6" t="str">
        <f>IFERROR(__xludf.DUMMYFUNCTION("""COMPUTED_VALUE"""),"Смог")</f>
        <v>Смог</v>
      </c>
      <c r="AB854" s="6" t="str">
        <f>IFERROR(__xludf.DUMMYFUNCTION("""COMPUTED_VALUE"""),"Туристических (альтернативных Городскому клубу туристов)")</f>
        <v>Туристических (альтернативных Городскому клубу туристов)</v>
      </c>
      <c r="AC854" s="6" t="str">
        <f>IFERROR(__xludf.DUMMYFUNCTION("""COMPUTED_VALUE"""),"Художественное творчество с привлечением толпы.")</f>
        <v>Художественное творчество с привлечением толпы.</v>
      </c>
      <c r="AD85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54" s="6" t="str">
        <f>IFERROR(__xludf.DUMMYFUNCTION("""COMPUTED_VALUE"""),"Мужской")</f>
        <v>Мужской</v>
      </c>
      <c r="AF854" s="6" t="str">
        <f>IFERROR(__xludf.DUMMYFUNCTION("""COMPUTED_VALUE"""),"30-44")</f>
        <v>30-44</v>
      </c>
      <c r="AG854" s="6"/>
      <c r="AH854" s="6"/>
      <c r="AI854" s="6"/>
      <c r="AJ854" s="6"/>
      <c r="AK854" s="6"/>
      <c r="AL854" s="6"/>
      <c r="AM854" s="6"/>
    </row>
    <row r="855">
      <c r="A855" s="6">
        <v>854.0</v>
      </c>
      <c r="B855" s="6" t="str">
        <f>IFERROR(__xludf.DUMMYFUNCTION("""COMPUTED_VALUE"""),"Мастер контрольно-измерительных приборов и автоматики ")</f>
        <v>Мастер контрольно-измерительных приборов и автоматики </v>
      </c>
      <c r="C855" s="6" t="str">
        <f>IFERROR(__xludf.DUMMYFUNCTION("""COMPUTED_VALUE"""),"Рисование, музыка, спорт и работа.")</f>
        <v>Рисование, музыка, спорт и работа.</v>
      </c>
      <c r="D855" s="6" t="str">
        <f>IFERROR(__xludf.DUMMYFUNCTION("""COMPUTED_VALUE"""),"Кировский ")</f>
        <v>Кировский </v>
      </c>
      <c r="E855" s="6" t="str">
        <f>IFERROR(__xludf.DUMMYFUNCTION("""COMPUTED_VALUE"""),"ДК-Кировского ")</f>
        <v>ДК-Кировского </v>
      </c>
      <c r="F855" s="6" t="str">
        <f>IFERROR(__xludf.DUMMYFUNCTION("""COMPUTED_VALUE"""),"Переехал сюда из другого места (откуда? укажите в графе другое), П.Щегловский")</f>
        <v>Переехал сюда из другого места (откуда? укажите в графе другое), П.Щегловский</v>
      </c>
      <c r="G855" s="6" t="str">
        <f>IFERROR(__xludf.DUMMYFUNCTION("""COMPUTED_VALUE"""),"ДК-Кировского, ТЦ-Я.")</f>
        <v>ДК-Кировского, ТЦ-Я.</v>
      </c>
      <c r="H855" s="6" t="str">
        <f>IFERROR(__xludf.DUMMYFUNCTION("""COMPUTED_VALUE"""),"Азот, Смолы, Уголь, Лес, Низкие зарплаты.")</f>
        <v>Азот, Смолы, Уголь, Лес, Низкие зарплаты.</v>
      </c>
      <c r="I855" s="6" t="str">
        <f>IFERROR(__xludf.DUMMYFUNCTION("""COMPUTED_VALUE"""),"РемДиггга)")</f>
        <v>РемДиггга)</v>
      </c>
      <c r="J855" s="6" t="str">
        <f>IFERROR(__xludf.DUMMYFUNCTION("""COMPUTED_VALUE"""),"Синьков Владимир Владимирович")</f>
        <v>Синьков Владимир Владимирович</v>
      </c>
      <c r="K855" s="6" t="str">
        <f>IFERROR(__xludf.DUMMYFUNCTION("""COMPUTED_VALUE"""),"Парк Ангелов, Парк Маша и Медведь, ДК-Кировского.")</f>
        <v>Парк Ангелов, Парк Маша и Медведь, ДК-Кировского.</v>
      </c>
      <c r="L855" s="6" t="str">
        <f>IFERROR(__xludf.DUMMYFUNCTION("""COMPUTED_VALUE"""),"Смотри, ствол стоит вон там
Ствол пустой, как и карман
Смотри дом, стопом вода
Скучает шахта в холода")</f>
        <v>Смотри, ствол стоит вон там
Ствол пустой, как и карман
Смотри дом, стопом вода
Скучает шахта в холода</v>
      </c>
      <c r="M855" s="6" t="str">
        <f>IFERROR(__xludf.DUMMYFUNCTION("""COMPUTED_VALUE"""),"Кем")</f>
        <v>Кем</v>
      </c>
      <c r="N855" s="6" t="str">
        <f>IFERROR(__xludf.DUMMYFUNCTION("""COMPUTED_VALUE"""),"Их нет")</f>
        <v>Их нет</v>
      </c>
      <c r="O855" s="6" t="str">
        <f>IFERROR(__xludf.DUMMYFUNCTION("""COMPUTED_VALUE"""),"Экономику ")</f>
        <v>Экономику </v>
      </c>
      <c r="P855" s="6" t="str">
        <f>IFERROR(__xludf.DUMMYFUNCTION("""COMPUTED_VALUE"""),"ВК группа топор")</f>
        <v>ВК группа топор</v>
      </c>
      <c r="Q855" s="6" t="str">
        <f>IFERROR(__xludf.DUMMYFUNCTION("""COMPUTED_VALUE"""),"криминальные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855" s="6" t="str">
        <f>IFERROR(__xludf.DUMMYFUNCTION("""COMPUTED_VALUE"""),"Нет таких")</f>
        <v>Нет таких</v>
      </c>
      <c r="S855" s="6" t="str">
        <f>IFERROR(__xludf.DUMMYFUNCTION("""COMPUTED_VALUE"""),"Нет, не приходилось")</f>
        <v>Нет, не приходилось</v>
      </c>
      <c r="T855" s="6" t="str">
        <f>IFERROR(__xludf.DUMMYFUNCTION("""COMPUTED_VALUE"""),"Дом Рем диггги")</f>
        <v>Дом Рем диггги</v>
      </c>
      <c r="U855" s="6" t="str">
        <f>IFERROR(__xludf.DUMMYFUNCTION("""COMPUTED_VALUE"""),"Центр")</f>
        <v>Центр</v>
      </c>
      <c r="V855" s="6" t="str">
        <f>IFERROR(__xludf.DUMMYFUNCTION("""COMPUTED_VALUE"""),"Развитие промышленности")</f>
        <v>Развитие промышленности</v>
      </c>
      <c r="W855" s="6" t="str">
        <f>IFERROR(__xludf.DUMMYFUNCTION("""COMPUTED_VALUE"""),"Зоновские понятия на гражданке")</f>
        <v>Зоновские понятия на гражданке</v>
      </c>
      <c r="X855" s="6" t="str">
        <f>IFERROR(__xludf.DUMMYFUNCTION("""COMPUTED_VALUE"""),"ТЦ-Я")</f>
        <v>ТЦ-Я</v>
      </c>
      <c r="Y855" s="6" t="str">
        <f>IFERROR(__xludf.DUMMYFUNCTION("""COMPUTED_VALUE"""),"Не знаю таких")</f>
        <v>Не знаю таких</v>
      </c>
      <c r="Z855" s="6" t="str">
        <f>IFERROR(__xludf.DUMMYFUNCTION("""COMPUTED_VALUE"""),"нету таких")</f>
        <v>нету таких</v>
      </c>
      <c r="AA855" s="6" t="str">
        <f>IFERROR(__xludf.DUMMYFUNCTION("""COMPUTED_VALUE"""),"Зимняя вишня сгорела ")</f>
        <v>Зимняя вишня сгорела </v>
      </c>
      <c r="AB855" s="6" t="str">
        <f>IFERROR(__xludf.DUMMYFUNCTION("""COMPUTED_VALUE"""),"Движения с военной тематикой по типу ребят из 715 Team")</f>
        <v>Движения с военной тематикой по типу ребят из 715 Team</v>
      </c>
      <c r="AC855" s="6" t="str">
        <f>IFERROR(__xludf.DUMMYFUNCTION("""COMPUTED_VALUE"""),"И так сойдёт")</f>
        <v>И так сойдёт</v>
      </c>
      <c r="AD855"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855" s="6" t="str">
        <f>IFERROR(__xludf.DUMMYFUNCTION("""COMPUTED_VALUE"""),"Мужской")</f>
        <v>Мужской</v>
      </c>
      <c r="AF855" s="6" t="str">
        <f>IFERROR(__xludf.DUMMYFUNCTION("""COMPUTED_VALUE"""),"18-29")</f>
        <v>18-29</v>
      </c>
      <c r="AG855" s="6"/>
      <c r="AH855" s="6"/>
      <c r="AI855" s="6"/>
      <c r="AJ855" s="6"/>
      <c r="AK855" s="6"/>
      <c r="AL855" s="6"/>
      <c r="AM855" s="6"/>
    </row>
    <row r="856">
      <c r="A856" s="6">
        <v>855.0</v>
      </c>
      <c r="B856" s="6" t="str">
        <f>IFERROR(__xludf.DUMMYFUNCTION("""COMPUTED_VALUE"""),"Воспитываю детей ")</f>
        <v>Воспитываю детей </v>
      </c>
      <c r="C856" s="6" t="str">
        <f>IFERROR(__xludf.DUMMYFUNCTION("""COMPUTED_VALUE"""),"Развиваюсь в разных направлениях ")</f>
        <v>Развиваюсь в разных направлениях </v>
      </c>
      <c r="D856" s="6" t="str">
        <f>IFERROR(__xludf.DUMMYFUNCTION("""COMPUTED_VALUE"""),"Южный")</f>
        <v>Южный</v>
      </c>
      <c r="E856" s="6" t="str">
        <f>IFERROR(__xludf.DUMMYFUNCTION("""COMPUTED_VALUE"""),"Аллея на ул Патриотов")</f>
        <v>Аллея на ул Патриотов</v>
      </c>
      <c r="F856"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856" s="6" t="str">
        <f>IFERROR(__xludf.DUMMYFUNCTION("""COMPUTED_VALUE"""),"Детей вожу на выставки животных, катаемся на велосипеде ")</f>
        <v>Детей вожу на выставки животных, катаемся на велосипеде </v>
      </c>
      <c r="H856" s="6" t="str">
        <f>IFERROR(__xludf.DUMMYFUNCTION("""COMPUTED_VALUE"""),"Грязный, неухоженный, запущенный,туман, смог")</f>
        <v>Грязный, неухоженный, запущенный,туман, смог</v>
      </c>
      <c r="I856" s="6" t="str">
        <f>IFERROR(__xludf.DUMMYFUNCTION("""COMPUTED_VALUE"""),"Леонов")</f>
        <v>Леонов</v>
      </c>
      <c r="J856" s="6" t="str">
        <f>IFERROR(__xludf.DUMMYFUNCTION("""COMPUTED_VALUE"""),"Нет таки")</f>
        <v>Нет таки</v>
      </c>
      <c r="K856" s="6" t="str">
        <f>IFERROR(__xludf.DUMMYFUNCTION("""COMPUTED_VALUE"""),"Памятник Сердце шахтера")</f>
        <v>Памятник Сердце шахтера</v>
      </c>
      <c r="L856" s="6" t="str">
        <f>IFERROR(__xludf.DUMMYFUNCTION("""COMPUTED_VALUE"""),"Не знаю ")</f>
        <v>Не знаю </v>
      </c>
      <c r="M856" s="6" t="str">
        <f>IFERROR(__xludf.DUMMYFUNCTION("""COMPUTED_VALUE"""),"Не знаю ")</f>
        <v>Не знаю </v>
      </c>
      <c r="N856" s="6" t="str">
        <f>IFERROR(__xludf.DUMMYFUNCTION("""COMPUTED_VALUE"""),"Хотелось бы видеть ухоженный, Чистый город. В котором не будет спирать дыхание и свербить в носу.")</f>
        <v>Хотелось бы видеть ухоженный, Чистый город. В котором не будет спирать дыхание и свербить в носу.</v>
      </c>
      <c r="O856" s="6" t="str">
        <f>IFERROR(__xludf.DUMMYFUNCTION("""COMPUTED_VALUE"""),"Навести порядок. Помыть остановки и ограждения, витрины магазинов, привести в подобающий вид места массового скопления людей( например ул. Патриотов).")</f>
        <v>Навести порядок. Помыть остановки и ограждения, витрины магазинов, привести в подобающий вид места массового скопления людей( например ул. Патриотов).</v>
      </c>
      <c r="P856" s="6" t="str">
        <f>IFERROR(__xludf.DUMMYFUNCTION("""COMPUTED_VALUE"""),"Яндекс новости")</f>
        <v>Яндекс новости</v>
      </c>
      <c r="Q856"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v>
      </c>
      <c r="R856" s="6" t="str">
        <f>IFERROR(__xludf.DUMMYFUNCTION("""COMPUTED_VALUE"""),"9 мая")</f>
        <v>9 мая</v>
      </c>
      <c r="S856" s="6" t="str">
        <f>IFERROR(__xludf.DUMMYFUNCTION("""COMPUTED_VALUE"""),"Через социальные сети (Какие? Укажите в графе другое), Делал рассылку по электронной почте, Обращался в редакции городских газет, телевидения, радио")</f>
        <v>Через социальные сети (Какие? Укажите в графе другое), Делал рассылку по электронной почте, Обращался в редакции городских газет, телевидения, радио</v>
      </c>
      <c r="T856" s="6" t="str">
        <f>IFERROR(__xludf.DUMMYFUNCTION("""COMPUTED_VALUE"""),"Грязным снегом)")</f>
        <v>Грязным снегом)</v>
      </c>
      <c r="U856" s="6" t="str">
        <f>IFERROR(__xludf.DUMMYFUNCTION("""COMPUTED_VALUE"""),"Ленин)")</f>
        <v>Ленин)</v>
      </c>
      <c r="V856" s="6" t="str">
        <f>IFERROR(__xludf.DUMMYFUNCTION("""COMPUTED_VALUE"""),"Нужно уточнять данную информацию ")</f>
        <v>Нужно уточнять данную информацию </v>
      </c>
      <c r="W856" s="6" t="str">
        <f>IFERROR(__xludf.DUMMYFUNCTION("""COMPUTED_VALUE"""),"Любители выпить алкоголь")</f>
        <v>Любители выпить алкоголь</v>
      </c>
      <c r="X856" s="6" t="str">
        <f>IFERROR(__xludf.DUMMYFUNCTION("""COMPUTED_VALUE"""),"Нет такого")</f>
        <v>Нет такого</v>
      </c>
      <c r="Y856" s="6" t="str">
        <f>IFERROR(__xludf.DUMMYFUNCTION("""COMPUTED_VALUE"""),"Юбилей дня победы")</f>
        <v>Юбилей дня победы</v>
      </c>
      <c r="Z856" s="6" t="str">
        <f>IFERROR(__xludf.DUMMYFUNCTION("""COMPUTED_VALUE"""),"Строительство ледового дворца ")</f>
        <v>Строительство ледового дворца </v>
      </c>
      <c r="AA856" s="6" t="str">
        <f>IFERROR(__xludf.DUMMYFUNCTION("""COMPUTED_VALUE"""),"Зимняя вишня (")</f>
        <v>Зимняя вишня (</v>
      </c>
      <c r="AB856" s="6" t="str">
        <f>IFERROR(__xludf.DUMMYFUNCTION("""COMPUTED_VALUE"""),"Выставок")</f>
        <v>Выставок</v>
      </c>
      <c r="AC856" s="6" t="str">
        <f>IFERROR(__xludf.DUMMYFUNCTION("""COMPUTED_VALUE"""),"Развивающих, обучающих")</f>
        <v>Развивающих, обучающих</v>
      </c>
      <c r="AD85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56" s="6" t="str">
        <f>IFERROR(__xludf.DUMMYFUNCTION("""COMPUTED_VALUE"""),"Женский")</f>
        <v>Женский</v>
      </c>
      <c r="AF856" s="6" t="str">
        <f>IFERROR(__xludf.DUMMYFUNCTION("""COMPUTED_VALUE"""),"30-44")</f>
        <v>30-44</v>
      </c>
      <c r="AG856" s="6"/>
      <c r="AH856" s="6"/>
      <c r="AI856" s="6"/>
      <c r="AJ856" s="6"/>
      <c r="AK856" s="6"/>
      <c r="AL856" s="6"/>
      <c r="AM856" s="6"/>
    </row>
    <row r="857">
      <c r="A857" s="6">
        <v>856.0</v>
      </c>
      <c r="B857" s="6" t="str">
        <f>IFERROR(__xludf.DUMMYFUNCTION("""COMPUTED_VALUE"""),"Дошкольное образование ")</f>
        <v>Дошкольное образование </v>
      </c>
      <c r="C857" s="6" t="str">
        <f>IFERROR(__xludf.DUMMYFUNCTION("""COMPUTED_VALUE"""),"Путешествия, спорт")</f>
        <v>Путешествия, спорт</v>
      </c>
      <c r="D857" s="6" t="str">
        <f>IFERROR(__xludf.DUMMYFUNCTION("""COMPUTED_VALUE"""),"Мой дом на  бульваре Строителей - это дом, где прошло моё детство, родились мои дети. Сейчас взяла квартиру на Лесной поляне. ")</f>
        <v>Мой дом на  бульваре Строителей - это дом, где прошло моё детство, родились мои дети. Сейчас взяла квартиру на Лесной поляне. </v>
      </c>
      <c r="E857" s="6" t="str">
        <f>IFERROR(__xludf.DUMMYFUNCTION("""COMPUTED_VALUE"""),"Мой бульвар Строителей, я его обожаю. А сейчас прогулочная зона около кадетского корпуса! ")</f>
        <v>Мой бульвар Строителей, я его обожаю. А сейчас прогулочная зона около кадетского корпуса! </v>
      </c>
      <c r="F857" s="6" t="str">
        <f>IFERROR(__xludf.DUMMYFUNCTION("""COMPUTED_VALUE"""),"Живу здесь с рождения")</f>
        <v>Живу здесь с рождения</v>
      </c>
      <c r="G857" s="6" t="str">
        <f>IFERROR(__xludf.DUMMYFUNCTION("""COMPUTED_VALUE"""),"Свободного времени, к сожалению нет, но свой город я люблю. Последнее время очень изменился в лучшую сторону")</f>
        <v>Свободного времени, к сожалению нет, но свой город я люблю. Последнее время очень изменился в лучшую сторону</v>
      </c>
      <c r="H857" s="6" t="str">
        <f>IFERROR(__xludf.DUMMYFUNCTION("""COMPUTED_VALUE"""),"Зелёный, красивый, чистый, богатый (исторически), РОДНОЙ. ")</f>
        <v>Зелёный, красивый, чистый, богатый (исторически), РОДНОЙ. </v>
      </c>
      <c r="I857" s="6" t="str">
        <f>IFERROR(__xludf.DUMMYFUNCTION("""COMPUTED_VALUE"""),"ВОЛКОВ, Леонов, Терешкова, Волошина, Тулеев, Марковцев, Киров, Николай II. .. ")</f>
        <v>ВОЛКОВ, Леонов, Терешкова, Волошина, Тулеев, Марковцев, Киров, Николай II. .. </v>
      </c>
      <c r="J857" s="6" t="str">
        <f>IFERROR(__xludf.DUMMYFUNCTION("""COMPUTED_VALUE"""),"Гришковец, Малышева, Распутина, Панин, Тиньков, Логинов")</f>
        <v>Гришковец, Малышева, Распутина, Панин, Тиньков, Логинов</v>
      </c>
      <c r="K857" s="6" t="str">
        <f>IFERROR(__xludf.DUMMYFUNCTION("""COMPUTED_VALUE"""),"Красная горка, памятник Шахтёрам, Набережная, паровоз на привокзальной площади, соборы, мечеть, президентский корпус, окрестности филармонии, святой мсточник на Бутовке, Греческую деревню, Лесную Поляну, Писаницу, а новый аэропорт, множество скульптуры ко"&amp;"мпозиций, театры и кино.... ")</f>
        <v>Красная горка, памятник Шахтёрам, Набережная, паровоз на привокзальной площади, соборы, мечеть, президентский корпус, окрестности филармонии, святой мсточник на Бутовке, Греческую деревню, Лесную Поляну, Писаницу, а новый аэропорт, множество скульптуры композиций, театры и кино.... </v>
      </c>
      <c r="L857" s="6" t="str">
        <f>IFERROR(__xludf.DUMMYFUNCTION("""COMPUTED_VALUE"""),"Мой папа ""построил"" десятки значимых объектов, а мама отдала почти 40 лет образованию... А вы говорите про анекдоты?... ")</f>
        <v>Мой папа "построил" десятки значимых объектов, а мама отдала почти 40 лет образованию... А вы говорите про анекдоты?... </v>
      </c>
      <c r="M857" s="6" t="str">
        <f>IFERROR(__xludf.DUMMYFUNCTION("""COMPUTED_VALUE"""),"Нет")</f>
        <v>Нет</v>
      </c>
      <c r="N857" s="6" t="str">
        <f>IFERROR(__xludf.DUMMYFUNCTION("""COMPUTED_VALUE"""),"Зелёный, прогулочный, тёплый, красивый, удобный")</f>
        <v>Зелёный, прогулочный, тёплый, красивый, удобный</v>
      </c>
      <c r="O857" s="6" t="str">
        <f>IFERROR(__xludf.DUMMYFUNCTION("""COMPUTED_VALUE"""),"Ж/д ВОКЗАЛ, хочется приезжать домой, а не до Тайги")</f>
        <v>Ж/д ВОКЗАЛ, хочется приезжать домой, а не до Тайги</v>
      </c>
      <c r="P857" s="6" t="str">
        <f>IFERROR(__xludf.DUMMYFUNCTION("""COMPUTED_VALUE"""),"На работе, лента новостей в интернете")</f>
        <v>На работе, лента новостей в интернете</v>
      </c>
      <c r="Q857"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857" s="6" t="str">
        <f>IFERROR(__xludf.DUMMYFUNCTION("""COMPUTED_VALUE"""),"День города")</f>
        <v>День города</v>
      </c>
      <c r="S857" s="6" t="str">
        <f>IFERROR(__xludf.DUMMYFUNCTION("""COMPUTED_VALUE"""),"Нет, не приходилось")</f>
        <v>Нет, не приходилось</v>
      </c>
      <c r="T857" s="6" t="str">
        <f>IFERROR(__xludf.DUMMYFUNCTION("""COMPUTED_VALUE"""),"Столица Кузбасса, ""исток"" кузнецкого бассейна")</f>
        <v>Столица Кузбасса, "исток" кузнецкого бассейна</v>
      </c>
      <c r="U857" s="6" t="str">
        <f>IFERROR(__xludf.DUMMYFUNCTION("""COMPUTED_VALUE"""),"Парк чудес, площадь у вокзала, цирк, бульвар (Строителей) ")</f>
        <v>Парк чудес, площадь у вокзала, цирк, бульвар (Строителей) </v>
      </c>
      <c r="V857" s="6" t="str">
        <f>IFERROR(__xludf.DUMMYFUNCTION("""COMPUTED_VALUE"""),"РАБОТАЛИ!!! ")</f>
        <v>РАБОТАЛИ!!! </v>
      </c>
      <c r="W857" s="6" t="str">
        <f>IFERROR(__xludf.DUMMYFUNCTION("""COMPUTED_VALUE"""),"Добрые, отзывчивые, гостеприимные, трудолюбивые, терпеливые.")</f>
        <v>Добрые, отзывчивые, гостеприимные, трудолюбивые, терпеливые.</v>
      </c>
      <c r="X857" s="6" t="str">
        <f>IFERROR(__xludf.DUMMYFUNCTION("""COMPUTED_VALUE"""),"Памятник Шахтёрам")</f>
        <v>Памятник Шахтёрам</v>
      </c>
      <c r="Y857" s="6" t="str">
        <f>IFERROR(__xludf.DUMMYFUNCTION("""COMPUTED_VALUE"""),"Олимпийский огонь в 2014 г")</f>
        <v>Олимпийский огонь в 2014 г</v>
      </c>
      <c r="Z857" s="6" t="str">
        <f>IFERROR(__xludf.DUMMYFUNCTION("""COMPUTED_VALUE"""),"Открытие президентского училища, строительство нового аэропорта, застройка Притомского новыми культурным и спортивными объектами")</f>
        <v>Открытие президентского училища, строительство нового аэропорта, застройка Притомского новыми культурным и спортивными объектами</v>
      </c>
      <c r="AA857" s="6" t="str">
        <f>IFERROR(__xludf.DUMMYFUNCTION("""COMPUTED_VALUE"""),"Коронавирум")</f>
        <v>Коронавирум</v>
      </c>
      <c r="AB857" s="6" t="str">
        <f>IFERROR(__xludf.DUMMYFUNCTION("""COMPUTED_VALUE"""),"Меня всё устраивает массовых, семейных праздника, типа просмотр кино на Химике, концерты Звёзд на площадях, шествий")</f>
        <v>Меня всё устраивает массовых, семейных праздника, типа просмотр кино на Химике, концерты Звёзд на площадях, шествий</v>
      </c>
      <c r="AC857" s="6" t="str">
        <f>IFERROR(__xludf.DUMMYFUNCTION("""COMPUTED_VALUE"""),"Массовых, семейных праздников, типа просмотр кино на Химике, концерты Звёзд на площадях, шествий")</f>
        <v>Массовых, семейных праздников, типа просмотр кино на Химике, концерты Звёзд на площадях, шествий</v>
      </c>
      <c r="AD857"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857" s="6" t="str">
        <f>IFERROR(__xludf.DUMMYFUNCTION("""COMPUTED_VALUE"""),"Женский")</f>
        <v>Женский</v>
      </c>
      <c r="AF857" s="6" t="str">
        <f>IFERROR(__xludf.DUMMYFUNCTION("""COMPUTED_VALUE"""),"45-55")</f>
        <v>45-55</v>
      </c>
      <c r="AG857" s="6"/>
      <c r="AH857" s="6"/>
      <c r="AI857" s="6"/>
      <c r="AJ857" s="6"/>
      <c r="AK857" s="6"/>
      <c r="AL857" s="6"/>
      <c r="AM857" s="6"/>
    </row>
    <row r="858">
      <c r="A858" s="6">
        <v>857.0</v>
      </c>
      <c r="B858" s="6" t="str">
        <f>IFERROR(__xludf.DUMMYFUNCTION("""COMPUTED_VALUE"""),"педагогическая")</f>
        <v>педагогическая</v>
      </c>
      <c r="C858" s="6" t="str">
        <f>IFERROR(__xludf.DUMMYFUNCTION("""COMPUTED_VALUE"""),"академический вокал, коллекционирование кукол")</f>
        <v>академический вокал, коллекционирование кукол</v>
      </c>
      <c r="D858" s="6" t="str">
        <f>IFERROR(__xludf.DUMMYFUNCTION("""COMPUTED_VALUE"""),"Заводский. Для объяснения где живу: недалеко от вокзала, в районе Швейки (раньше)")</f>
        <v>Заводский. Для объяснения где живу: недалеко от вокзала, в районе Швейки (раньше)</v>
      </c>
      <c r="E858" s="6" t="str">
        <f>IFERROR(__xludf.DUMMYFUNCTION("""COMPUTED_VALUE"""),"Швейка, была Зимняя Вишня (теперь Парк Ангелов), Вокзал, Автовокзал")</f>
        <v>Швейка, была Зимняя Вишня (теперь Парк Ангелов), Вокзал, Автовокзал</v>
      </c>
      <c r="F858" s="6" t="str">
        <f>IFERROR(__xludf.DUMMYFUNCTION("""COMPUTED_VALUE"""),"Живу здесь с рождения")</f>
        <v>Живу здесь с рождения</v>
      </c>
      <c r="G858" s="6" t="str">
        <f>IFERROR(__xludf.DUMMYFUNCTION("""COMPUTED_VALUE"""),"Если не иду в определенное место,могу погулять на набережной или в парках: Волкова, Жукова")</f>
        <v>Если не иду в определенное место,могу погулять на набережной или в парках: Волкова, Жукова</v>
      </c>
      <c r="H858" s="6" t="str">
        <f>IFERROR(__xludf.DUMMYFUNCTION("""COMPUTED_VALUE"""),"Родина, стройка, контрасты, Золушка, мозаика")</f>
        <v>Родина, стройка, контрасты, Золушка, мозаика</v>
      </c>
      <c r="I858" s="6" t="str">
        <f>IFERROR(__xludf.DUMMYFUNCTION("""COMPUTED_VALUE"""),"Волков, Достоевский")</f>
        <v>Волков, Достоевский</v>
      </c>
      <c r="J858" s="6" t="str">
        <f>IFERROR(__xludf.DUMMYFUNCTION("""COMPUTED_VALUE"""),"Федоров, Леонов, Михайлов (мэр города)")</f>
        <v>Федоров, Леонов, Михайлов (мэр города)</v>
      </c>
      <c r="K858" s="6" t="str">
        <f>IFERROR(__xludf.DUMMYFUNCTION("""COMPUTED_VALUE"""),"Лесная Поляна, Притомский, набережная")</f>
        <v>Лесная Поляна, Притомский, набережная</v>
      </c>
      <c r="L858" s="6" t="str">
        <f>IFERROR(__xludf.DUMMYFUNCTION("""COMPUTED_VALUE"""),"человек из Кемерово (слова из песни)")</f>
        <v>человек из Кемерово (слова из песни)</v>
      </c>
      <c r="M858" s="6" t="str">
        <f>IFERROR(__xludf.DUMMYFUNCTION("""COMPUTED_VALUE"""),"добираться через Плешки (окольными путями)")</f>
        <v>добираться через Плешки (окольными путями)</v>
      </c>
      <c r="N858" s="6" t="str">
        <f>IFERROR(__xludf.DUMMYFUNCTION("""COMPUTED_VALUE"""),"чистота улиц и дворов, точность движения транспорта, доступность социальных и медицинских услуг, наличие зеленых зон (парки, скверы), наличие объектов культуры (театры и т.п.) и спорта (бассейн и т.п.)")</f>
        <v>чистота улиц и дворов, точность движения транспорта, доступность социальных и медицинских услуг, наличие зеленых зон (парки, скверы), наличие объектов культуры (театры и т.п.) и спорта (бассейн и т.п.)</v>
      </c>
      <c r="O858" s="6" t="str">
        <f>IFERROR(__xludf.DUMMYFUNCTION("""COMPUTED_VALUE"""),"ремонт дорог внутри дворов, оборудование стоянок для машин")</f>
        <v>ремонт дорог внутри дворов, оборудование стоянок для машин</v>
      </c>
      <c r="P858" s="6" t="str">
        <f>IFERROR(__xludf.DUMMYFUNCTION("""COMPUTED_VALUE"""),"телевизор (местные новости),  интернет (подписка на новости в Контакте, инстаграме)")</f>
        <v>телевизор (местные новости),  интернет (подписка на новости в Контакте, инстаграме)</v>
      </c>
      <c r="Q858" s="6" t="str">
        <f>IFERROR(__xludf.DUMMYFUNCTION("""COMPUTED_VALUE"""),"городская афиша (кино/театр/концерты), интервью с местными политиками, интервью с экспертами на разные темы (напишите в разделе Другое свои предложения)")</f>
        <v>городская афиша (кино/театр/концерты), интервью с местными политиками, интервью с экспертами на разные темы (напишите в разделе Другое свои предложения)</v>
      </c>
      <c r="R858" s="6" t="str">
        <f>IFERROR(__xludf.DUMMYFUNCTION("""COMPUTED_VALUE"""),"Парад 9 мая, 12 июня")</f>
        <v>Парад 9 мая, 12 июня</v>
      </c>
      <c r="S858" s="6" t="str">
        <f>IFERROR(__xludf.DUMMYFUNCTION("""COMPUTED_VALUE"""),"Нет, не приходилось")</f>
        <v>Нет, не приходилось</v>
      </c>
      <c r="T858" s="6" t="str">
        <f>IFERROR(__xludf.DUMMYFUNCTION("""COMPUTED_VALUE"""),"Шахтеры, Тулеев, Зимняя вишня...")</f>
        <v>Шахтеры, Тулеев, Зимняя вишня...</v>
      </c>
      <c r="U858" s="6" t="str">
        <f>IFERROR(__xludf.DUMMYFUNCTION("""COMPUTED_VALUE"""),"площадь Советов")</f>
        <v>площадь Советов</v>
      </c>
      <c r="V858" s="6" t="str">
        <f>IFERROR(__xludf.DUMMYFUNCTION("""COMPUTED_VALUE"""),"Построили много интересных зданий и сооружений, прославили город успехами в спорте, искусстве и т.п.")</f>
        <v>Построили много интересных зданий и сооружений, прославили город успехами в спорте, искусстве и т.п.</v>
      </c>
      <c r="W858" s="6" t="str">
        <f>IFERROR(__xludf.DUMMYFUNCTION("""COMPUTED_VALUE"""),"гостеприимные, в меру открытые и доброжелательные")</f>
        <v>гостеприимные, в меру открытые и доброжелательные</v>
      </c>
      <c r="X858" s="6" t="str">
        <f>IFERROR(__xludf.DUMMYFUNCTION("""COMPUTED_VALUE"""),"Советский проспект,Весенняя, горсад, набережная")</f>
        <v>Советский проспект,Весенняя, горсад, набережная</v>
      </c>
      <c r="Y858" s="6" t="str">
        <f>IFERROR(__xludf.DUMMYFUNCTION("""COMPUTED_VALUE"""),"Сложно сказать, что значит значимое: со знаком минус - трагедия Зимней Вишни, со знаком плюс - приезд известных людей, культурные и спортивные события (например, выступления Хворостовского,чемпионат по хоккею с мячом 2007 и др.)")</f>
        <v>Сложно сказать, что значит значимое: со знаком минус - трагедия Зимней Вишни, со знаком плюс - приезд известных людей, культурные и спортивные события (например, выступления Хворостовского,чемпионат по хоккею с мячом 2007 и др.)</v>
      </c>
      <c r="Z858" s="6" t="str">
        <f>IFERROR(__xludf.DUMMYFUNCTION("""COMPUTED_VALUE"""),"Победа волейболистов ""Кузбасса"" в 2019 году")</f>
        <v>Победа волейболистов "Кузбасса" в 2019 году</v>
      </c>
      <c r="AA858" s="6" t="str">
        <f>IFERROR(__xludf.DUMMYFUNCTION("""COMPUTED_VALUE"""),"закрытие бассейна ""Лазурный""")</f>
        <v>закрытие бассейна "Лазурный"</v>
      </c>
      <c r="AB858" s="6" t="str">
        <f>IFERROR(__xludf.DUMMYFUNCTION("""COMPUTED_VALUE"""),"клуб коллекционеров кукол:)")</f>
        <v>клуб коллекционеров кукол:)</v>
      </c>
      <c r="AC858" s="6" t="str">
        <f>IFERROR(__xludf.DUMMYFUNCTION("""COMPUTED_VALUE"""),"Было бы желание, и сейчас можно найти много интересных событий и мероприятий")</f>
        <v>Было бы желание, и сейчас можно найти много интересных событий и мероприятий</v>
      </c>
      <c r="AD85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58" s="6" t="str">
        <f>IFERROR(__xludf.DUMMYFUNCTION("""COMPUTED_VALUE"""),"Женский")</f>
        <v>Женский</v>
      </c>
      <c r="AF858" s="6" t="str">
        <f>IFERROR(__xludf.DUMMYFUNCTION("""COMPUTED_VALUE"""),"45-55")</f>
        <v>45-55</v>
      </c>
      <c r="AG858" s="6"/>
      <c r="AH858" s="6"/>
      <c r="AI858" s="6"/>
      <c r="AJ858" s="6"/>
      <c r="AK858" s="6"/>
      <c r="AL858" s="6"/>
      <c r="AM858" s="6"/>
    </row>
    <row r="859">
      <c r="A859" s="6">
        <v>858.0</v>
      </c>
      <c r="B859" s="6" t="str">
        <f>IFERROR(__xludf.DUMMYFUNCTION("""COMPUTED_VALUE"""),"Ведущий специалист по УМР в институте ")</f>
        <v>Ведущий специалист по УМР в институте </v>
      </c>
      <c r="C859" s="6" t="str">
        <f>IFERROR(__xludf.DUMMYFUNCTION("""COMPUTED_VALUE"""),"Да. Вышивание, вязание, спорт. ")</f>
        <v>Да. Вышивание, вязание, спорт. </v>
      </c>
      <c r="D859" s="6" t="str">
        <f>IFERROR(__xludf.DUMMYFUNCTION("""COMPUTED_VALUE"""),"Заводской район. За вокзалом. ")</f>
        <v>Заводской район. За вокзалом. </v>
      </c>
      <c r="E859" s="6" t="str">
        <f>IFERROR(__xludf.DUMMYFUNCTION("""COMPUTED_VALUE"""),"Церковь. ")</f>
        <v>Церковь. </v>
      </c>
      <c r="F859" s="6" t="str">
        <f>IFERROR(__xludf.DUMMYFUNCTION("""COMPUTED_VALUE"""),"Живу здесь с рождения")</f>
        <v>Живу здесь с рождения</v>
      </c>
      <c r="G859" s="6" t="str">
        <f>IFERROR(__xludf.DUMMYFUNCTION("""COMPUTED_VALUE"""),"Театры, парк Чудес, набережная, музеи. ")</f>
        <v>Театры, парк Чудес, набережная, музеи. </v>
      </c>
      <c r="H859" s="6" t="str">
        <f>IFERROR(__xludf.DUMMYFUNCTION("""COMPUTED_VALUE"""),"Кузбасс. Кузгту. Драмтеатр. Красота. Инновации. ")</f>
        <v>Кузбасс. Кузгту. Драмтеатр. Красота. Инновации. </v>
      </c>
      <c r="I859" s="6" t="str">
        <f>IFERROR(__xludf.DUMMYFUNCTION("""COMPUTED_VALUE"""),"Тулеев.")</f>
        <v>Тулеев.</v>
      </c>
      <c r="J859" s="6" t="str">
        <f>IFERROR(__xludf.DUMMYFUNCTION("""COMPUTED_VALUE"""),"Тулеев ")</f>
        <v>Тулеев </v>
      </c>
      <c r="K859" s="6" t="str">
        <f>IFERROR(__xludf.DUMMYFUNCTION("""COMPUTED_VALUE"""),"Красная горка. ")</f>
        <v>Красная горка. </v>
      </c>
      <c r="L859" s="6" t="str">
        <f>IFERROR(__xludf.DUMMYFUNCTION("""COMPUTED_VALUE"""),"Делу время потехий час. ")</f>
        <v>Делу время потехий час. </v>
      </c>
      <c r="M859" s="6" t="str">
        <f>IFERROR(__xludf.DUMMYFUNCTION("""COMPUTED_VALUE"""),"Только вперёд ")</f>
        <v>Только вперёд </v>
      </c>
      <c r="N859" s="6" t="str">
        <f>IFERROR(__xludf.DUMMYFUNCTION("""COMPUTED_VALUE"""),"Чистота, образование, культура города, инновации, рабочие места для молодёжи. ")</f>
        <v>Чистота, образование, культура города, инновации, рабочие места для молодёжи. </v>
      </c>
      <c r="O859" s="6" t="str">
        <f>IFERROR(__xludf.DUMMYFUNCTION("""COMPUTED_VALUE"""),"Дороги и места отдыха для детей и молодёжи за вокзалой части города. ")</f>
        <v>Дороги и места отдыха для детей и молодёжи за вокзалой части города. </v>
      </c>
      <c r="P859" s="6" t="str">
        <f>IFERROR(__xludf.DUMMYFUNCTION("""COMPUTED_VALUE"""),"Из социальных сетей. Коллег по работе. ")</f>
        <v>Из социальных сетей. Коллег по работе. </v>
      </c>
      <c r="Q859"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859" s="6" t="str">
        <f>IFERROR(__xludf.DUMMYFUNCTION("""COMPUTED_VALUE"""),"9 мая. День города. День шахтёра. ")</f>
        <v>9 мая. День города. День шахтёра. </v>
      </c>
      <c r="S859" s="6" t="str">
        <f>IFERROR(__xludf.DUMMYFUNCTION("""COMPUTED_VALUE"""),"Нет, не приходилось")</f>
        <v>Нет, не приходилось</v>
      </c>
      <c r="T859" s="6" t="str">
        <f>IFERROR(__xludf.DUMMYFUNCTION("""COMPUTED_VALUE"""),"Памятниками. Театрами. ")</f>
        <v>Памятниками. Театрами. </v>
      </c>
      <c r="U859" s="6" t="str">
        <f>IFERROR(__xludf.DUMMYFUNCTION("""COMPUTED_VALUE"""),"Парк Чудес. ")</f>
        <v>Парк Чудес. </v>
      </c>
      <c r="V859" s="6" t="str">
        <f>IFERROR(__xludf.DUMMYFUNCTION("""COMPUTED_VALUE"""),"Преображение города. ")</f>
        <v>Преображение города. </v>
      </c>
      <c r="W859" s="6" t="str">
        <f>IFERROR(__xludf.DUMMYFUNCTION("""COMPUTED_VALUE"""),"Гостеприимные. Весёлые. Отзывчивые. ")</f>
        <v>Гостеприимные. Весёлые. Отзывчивые. </v>
      </c>
      <c r="X859" s="6" t="str">
        <f>IFERROR(__xludf.DUMMYFUNCTION("""COMPUTED_VALUE"""),"Драмтеатр. Набережная. ")</f>
        <v>Драмтеатр. Набережная. </v>
      </c>
      <c r="Y859" s="6" t="str">
        <f>IFERROR(__xludf.DUMMYFUNCTION("""COMPUTED_VALUE"""),"Олимпийский огонь ")</f>
        <v>Олимпийский огонь </v>
      </c>
      <c r="Z859" s="6" t="str">
        <f>IFERROR(__xludf.DUMMYFUNCTION("""COMPUTED_VALUE"""),"Походы в театры")</f>
        <v>Походы в театры</v>
      </c>
      <c r="AA859" s="6" t="str">
        <f>IFERROR(__xludf.DUMMYFUNCTION("""COMPUTED_VALUE"""),"Гибель детей и взрослых в Зимней вишни ")</f>
        <v>Гибель детей и взрослых в Зимней вишни </v>
      </c>
      <c r="AB859" s="6" t="str">
        <f>IFERROR(__xludf.DUMMYFUNCTION("""COMPUTED_VALUE"""),"Бассейна ")</f>
        <v>Бассейна </v>
      </c>
      <c r="AC859" s="6" t="str">
        <f>IFERROR(__xludf.DUMMYFUNCTION("""COMPUTED_VALUE"""),"В частном секторе создание для детей детских площадок ")</f>
        <v>В частном секторе создание для детей детских площадок </v>
      </c>
      <c r="AD859"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59" s="6" t="str">
        <f>IFERROR(__xludf.DUMMYFUNCTION("""COMPUTED_VALUE"""),"Женский")</f>
        <v>Женский</v>
      </c>
      <c r="AF859" s="6" t="str">
        <f>IFERROR(__xludf.DUMMYFUNCTION("""COMPUTED_VALUE"""),"30-44")</f>
        <v>30-44</v>
      </c>
      <c r="AG859" s="6"/>
      <c r="AH859" s="6"/>
      <c r="AI859" s="6"/>
      <c r="AJ859" s="6"/>
      <c r="AK859" s="6"/>
      <c r="AL859" s="6"/>
      <c r="AM859" s="6"/>
    </row>
    <row r="860">
      <c r="A860" s="6">
        <v>859.0</v>
      </c>
      <c r="B860" s="6" t="str">
        <f>IFERROR(__xludf.DUMMYFUNCTION("""COMPUTED_VALUE"""),"Творческая ")</f>
        <v>Творческая </v>
      </c>
      <c r="C860" s="6" t="str">
        <f>IFERROR(__xludf.DUMMYFUNCTION("""COMPUTED_VALUE"""),"Садовод - огородник)")</f>
        <v>Садовод - огородник)</v>
      </c>
      <c r="D860" s="6" t="str">
        <f>IFERROR(__xludf.DUMMYFUNCTION("""COMPUTED_VALUE"""),"Ленинском")</f>
        <v>Ленинском</v>
      </c>
      <c r="E860" s="6" t="str">
        <f>IFERROR(__xludf.DUMMYFUNCTION("""COMPUTED_VALUE"""),"Кольцо, Линейный парк ""Бульвар Строителей"" церкви, мечеть, Кузбасский парк ")</f>
        <v>Кольцо, Линейный парк "Бульвар Строителей" церкви, мечеть, Кузбасский парк </v>
      </c>
      <c r="F860" s="6" t="str">
        <f>IFERROR(__xludf.DUMMYFUNCTION("""COMPUTED_VALUE"""),"Живу здесь с рождения")</f>
        <v>Живу здесь с рождения</v>
      </c>
      <c r="G860" s="6" t="str">
        <f>IFERROR(__xludf.DUMMYFUNCTION("""COMPUTED_VALUE"""),"Рудничный бор, Томская писаница, филармония, музей ИЗО, Кузбасский центр искусств")</f>
        <v>Рудничный бор, Томская писаница, филармония, музей ИЗО, Кузбасский центр искусств</v>
      </c>
      <c r="H860" s="6" t="str">
        <f>IFERROR(__xludf.DUMMYFUNCTION("""COMPUTED_VALUE"""),"1) Томь; 2) Михайло Волков; 3) широкие, просторные проспекты; 4) вид на Рудничный бор с левого берега; 5 ""промышленный вид"", т.е. ГРЭС, Коксохим (со стороны Рудничного бора)")</f>
        <v>1) Томь; 2) Михайло Волков; 3) широкие, просторные проспекты; 4) вид на Рудничный бор с левого берега; 5 "промышленный вид", т.е. ГРЭС, Коксохим (со стороны Рудничного бора)</v>
      </c>
      <c r="I860" s="6" t="str">
        <f>IFERROR(__xludf.DUMMYFUNCTION("""COMPUTED_VALUE"""),"Михайло Волков, Василий Фёдоров, Евгений Гришковец, Алексей Леонов, А. Тулеев, Себальд Рутгерс")</f>
        <v>Михайло Волков, Василий Фёдоров, Евгений Гришковец, Алексей Леонов, А. Тулеев, Себальд Рутгерс</v>
      </c>
      <c r="J860" s="6" t="str">
        <f>IFERROR(__xludf.DUMMYFUNCTION("""COMPUTED_VALUE"""),"Е Гришковец")</f>
        <v>Е Гришковец</v>
      </c>
      <c r="K860" s="6" t="str">
        <f>IFERROR(__xludf.DUMMYFUNCTION("""COMPUTED_VALUE"""),"Бульвар Строителей")</f>
        <v>Бульвар Строителей</v>
      </c>
      <c r="L860" s="6" t="str">
        <f>IFERROR(__xludf.DUMMYFUNCTION("""COMPUTED_VALUE"""),"не припоминаю таких")</f>
        <v>не припоминаю таких</v>
      </c>
      <c r="M860" s="6" t="str">
        <f>IFERROR(__xludf.DUMMYFUNCTION("""COMPUTED_VALUE"""),"КемеровО (вопреки всем нормам русского языка). Омлет по-Кузбасски (блюдо такое)")</f>
        <v>КемеровО (вопреки всем нормам русского языка). Омлет по-Кузбасски (блюдо такое)</v>
      </c>
      <c r="N860" s="6" t="str">
        <f>IFERROR(__xludf.DUMMYFUNCTION("""COMPUTED_VALUE"""),"1)Наличие прогулочных зон; 2) Комфортный общественный транспорт; 3) Культурная жизнь (выставки, концерты, лекции); 4) Возможность для саморазвития и самореализации (работа и социальная активность); 5) Развитая инфраструктура (магазины, общественное питани"&amp;"е)")</f>
        <v>1)Наличие прогулочных зон; 2) Комфортный общественный транспорт; 3) Культурная жизнь (выставки, концерты, лекции); 4) Возможность для саморазвития и самореализации (работа и социальная активность); 5) Развитая инфраструктура (магазины, общественное питание)</v>
      </c>
      <c r="O860" s="6" t="str">
        <f>IFERROR(__xludf.DUMMYFUNCTION("""COMPUTED_VALUE"""),"Экология")</f>
        <v>Экология</v>
      </c>
      <c r="P860" s="6" t="str">
        <f>IFERROR(__xludf.DUMMYFUNCTION("""COMPUTED_VALUE"""),"Яндекс новости, телеграмм канал ""ваш город"", рассылка на почту (концерты в филармонии) Афиша")</f>
        <v>Яндекс новости, телеграмм канал "ваш город", рассылка на почту (концерты в филармонии) Афиша</v>
      </c>
      <c r="Q860"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ак"&amp;"ции/запуск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860" s="6" t="str">
        <f>IFERROR(__xludf.DUMMYFUNCTION("""COMPUTED_VALUE"""),"обычно эти празники провожу на даче, посещаю массовые мероприятия если интересный хэдлайнер, или интересное мероприятие, нет какого то важного лично для меня знаменательного праздника")</f>
        <v>обычно эти празники провожу на даче, посещаю массовые мероприятия если интересный хэдлайнер, или интересное мероприятие, нет какого то важного лично для меня знаменательного праздника</v>
      </c>
      <c r="S860" s="6" t="str">
        <f>IFERROR(__xludf.DUMMYFUNCTION("""COMPUTED_VALUE"""),"немного причастен к площади городских историй")</f>
        <v>немного причастен к площади городских историй</v>
      </c>
      <c r="T860" s="6" t="str">
        <f>IFERROR(__xludf.DUMMYFUNCTION("""COMPUTED_VALUE"""),"Кемерово знаменит шахтерами, промышленностью, трагедией в  ""Зимней вишне"". Кемеровчане показали себя способными переживать боль, помогать. Сейчас строится культурный кластер нужно создавать новый имидж города и края как центра культурной и креативной ин"&amp;"дустрии, есть задел в IT–индустрии")</f>
        <v>Кемерово знаменит шахтерами, промышленностью, трагедией в  "Зимней вишне". Кемеровчане показали себя способными переживать боль, помогать. Сейчас строится культурный кластер нужно создавать новый имидж города и края как центра культурной и креативной индустрии, есть задел в IT–индустрии</v>
      </c>
      <c r="U860" s="6" t="str">
        <f>IFERROR(__xludf.DUMMYFUNCTION("""COMPUTED_VALUE"""),"Цирк, Бульвар Строителей, Красная горка, ")</f>
        <v>Цирк, Бульвар Строителей, Красная горка, </v>
      </c>
      <c r="V860" s="6" t="str">
        <f>IFERROR(__xludf.DUMMYFUNCTION("""COMPUTED_VALUE"""),"Михайло Волков открыл уголь, создал систему условных обозначений полезных ископаемых. Создали промышленность, Евгений Гришковец - уникальный творец, Томская Писаница.")</f>
        <v>Михайло Волков открыл уголь, создал систему условных обозначений полезных ископаемых. Создали промышленность, Евгений Гришковец - уникальный творец, Томская Писаница.</v>
      </c>
      <c r="W860" s="6" t="str">
        <f>IFERROR(__xludf.DUMMYFUNCTION("""COMPUTED_VALUE"""),"Есть опыт переживания общей трагедии (Зимняя вишня).  Трудолюбивые, может немного индивидуалисты")</f>
        <v>Есть опыт переживания общей трагедии (Зимняя вишня).  Трудолюбивые, может немного индивидуалисты</v>
      </c>
      <c r="X860" s="6" t="str">
        <f>IFERROR(__xludf.DUMMYFUNCTION("""COMPUTED_VALUE"""),"из парка ""Антошка"" через парк им. Жукова, Филармонию на набережную, где открывается вид на скалистый склон с Рудничным бором...")</f>
        <v>из парка "Антошка" через парк им. Жукова, Филармонию на набережную, где открывается вид на скалистый склон с Рудничным бором...</v>
      </c>
      <c r="Y860" s="6" t="str">
        <f>IFERROR(__xludf.DUMMYFUNCTION("""COMPUTED_VALUE"""),"открытие угля М. Волковым, АИК Кузбасс, А Леонов (его выход в открытый космос), трагедия ""Зимней вишни""")</f>
        <v>открытие угля М. Волковым, АИК Кузбасс, А Леонов (его выход в открытый космос), трагедия "Зимней вишни"</v>
      </c>
      <c r="Z860" s="6" t="str">
        <f>IFERROR(__xludf.DUMMYFUNCTION("""COMPUTED_VALUE"""),"Строительство культурного кластера,  Площадь Кузбасских историй")</f>
        <v>Строительство культурного кластера,  Площадь Кузбасских историй</v>
      </c>
      <c r="AA860" s="6" t="str">
        <f>IFERROR(__xludf.DUMMYFUNCTION("""COMPUTED_VALUE"""),"экология")</f>
        <v>экология</v>
      </c>
      <c r="AB860" s="6" t="str">
        <f>IFERROR(__xludf.DUMMYFUNCTION("""COMPUTED_VALUE"""),"у нас в городе есть сообщества на любой вкус просто необходима лучшая освещенность их деятельности")</f>
        <v>у нас в городе есть сообщества на любой вкус просто необходима лучшая освещенность их деятельности</v>
      </c>
      <c r="AC860" s="6" t="str">
        <f>IFERROR(__xludf.DUMMYFUNCTION("""COMPUTED_VALUE"""),"я бы не про события размышлял, а про центр в котором можно реализовать креативную идею, социальную активность")</f>
        <v>я бы не про события размышлял, а про центр в котором можно реализовать креативную идею, социальную активность</v>
      </c>
      <c r="AD86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860" s="6" t="str">
        <f>IFERROR(__xludf.DUMMYFUNCTION("""COMPUTED_VALUE"""),"Мужской")</f>
        <v>Мужской</v>
      </c>
      <c r="AF860" s="6" t="str">
        <f>IFERROR(__xludf.DUMMYFUNCTION("""COMPUTED_VALUE"""),"45-55")</f>
        <v>45-55</v>
      </c>
      <c r="AG860" s="6"/>
      <c r="AH860" s="6"/>
      <c r="AI860" s="6"/>
      <c r="AJ860" s="6"/>
      <c r="AK860" s="6"/>
      <c r="AL860" s="6"/>
      <c r="AM860" s="6"/>
    </row>
    <row r="861">
      <c r="A861" s="6">
        <v>860.0</v>
      </c>
      <c r="B861" s="6" t="str">
        <f>IFERROR(__xludf.DUMMYFUNCTION("""COMPUTED_VALUE"""),"образование")</f>
        <v>образование</v>
      </c>
      <c r="C861" s="6" t="str">
        <f>IFERROR(__xludf.DUMMYFUNCTION("""COMPUTED_VALUE"""),"Чтение, вязание")</f>
        <v>Чтение, вязание</v>
      </c>
      <c r="D861" s="6" t="str">
        <f>IFERROR(__xludf.DUMMYFUNCTION("""COMPUTED_VALUE"""),"Центральный, Центр")</f>
        <v>Центральный, Центр</v>
      </c>
      <c r="E861" s="6" t="str">
        <f>IFERROR(__xludf.DUMMYFUNCTION("""COMPUTED_VALUE"""),"Площадь Советов, площадь перед филармонией, парк Жукова, набережная")</f>
        <v>Площадь Советов, площадь перед филармонией, парк Жукова, набережная</v>
      </c>
      <c r="F861" s="6" t="str">
        <f>IFERROR(__xludf.DUMMYFUNCTION("""COMPUTED_VALUE"""),"Живу здесь с рождения")</f>
        <v>Живу здесь с рождения</v>
      </c>
      <c r="G861" s="6" t="str">
        <f>IFERROR(__xludf.DUMMYFUNCTION("""COMPUTED_VALUE"""),"Очень мало свободного времени, поэтому если оно появляется, то уезжаем за пределы города. Но в вечернее время можно погулять по набережной.")</f>
        <v>Очень мало свободного времени, поэтому если оно появляется, то уезжаем за пределы города. Но в вечернее время можно погулять по набережной.</v>
      </c>
      <c r="H861" s="6" t="str">
        <f>IFERROR(__xludf.DUMMYFUNCTION("""COMPUTED_VALUE"""),"Сибирь, столица, Кузбасс, Лицей, родина")</f>
        <v>Сибирь, столица, Кузбасс, Лицей, родина</v>
      </c>
      <c r="I861" s="6" t="str">
        <f>IFERROR(__xludf.DUMMYFUNCTION("""COMPUTED_VALUE"""),"Подгорбунский, Леонов, из недавнего прошлого - Михайлов Владимир Васильевич")</f>
        <v>Подгорбунский, Леонов, из недавнего прошлого - Михайлов Владимир Васильевич</v>
      </c>
      <c r="J861" s="6" t="str">
        <f>IFERROR(__xludf.DUMMYFUNCTION("""COMPUTED_VALUE"""),"Середюк Илья Владимирович")</f>
        <v>Середюк Илья Владимирович</v>
      </c>
      <c r="K861" s="6" t="str">
        <f>IFERROR(__xludf.DUMMYFUNCTION("""COMPUTED_VALUE"""),"парк Ангелов, бульвар Строителей,")</f>
        <v>парк Ангелов, бульвар Строителей,</v>
      </c>
      <c r="L861" s="6" t="str">
        <f>IFERROR(__xludf.DUMMYFUNCTION("""COMPUTED_VALUE"""),"не припоминается")</f>
        <v>не припоминается</v>
      </c>
      <c r="M861" s="6" t="str">
        <f>IFERROR(__xludf.DUMMYFUNCTION("""COMPUTED_VALUE"""),"может и знаю, но не идентифицирую их именно ""по-кемеровски""")</f>
        <v>может и знаю, но не идентифицирую их именно "по-кемеровски"</v>
      </c>
      <c r="N861" s="6" t="str">
        <f>IFERROR(__xludf.DUMMYFUNCTION("""COMPUTED_VALUE"""),"чистота, безопасность, цифровизация, транспортная доступность, тишина")</f>
        <v>чистота, безопасность, цифровизация, транспортная доступность, тишина</v>
      </c>
      <c r="O861" s="6" t="str">
        <f>IFERROR(__xludf.DUMMYFUNCTION("""COMPUTED_VALUE"""),"жителей, нужно воспитывать бережливое отношение к городу")</f>
        <v>жителей, нужно воспитывать бережливое отношение к городу</v>
      </c>
      <c r="P861" s="6" t="str">
        <f>IFERROR(__xludf.DUMMYFUNCTION("""COMPUTED_VALUE"""),"в основном в ходе работы, т.к. в образование приходит очень много информации")</f>
        <v>в основном в ходе работы, т.к. в образование приходит очень много информации</v>
      </c>
      <c r="Q861" s="6" t="str">
        <f>IFERROR(__xludf.DUMMYFUNCTION("""COMPUTED_VALUE"""),"где вкусно поесть/открытие новых кафе/ресторанов, городская афиша (кино/театр/концерты), результаты местных исследований (рейтинги/аналитика/тенденции)")</f>
        <v>где вкусно поесть/открытие новых кафе/ресторанов, городская афиша (кино/театр/концерты), результаты местных исследований (рейтинги/аналитика/тенденции)</v>
      </c>
      <c r="R861" s="6" t="str">
        <f>IFERROR(__xludf.DUMMYFUNCTION("""COMPUTED_VALUE"""),"не очень люблю массовые сборища")</f>
        <v>не очень люблю массовые сборища</v>
      </c>
      <c r="S861" s="6" t="str">
        <f>IFERROR(__xludf.DUMMYFUNCTION("""COMPUTED_VALUE"""),"на уровне своей организации принимал участие в организации")</f>
        <v>на уровне своей организации принимал участие в организации</v>
      </c>
      <c r="T861" s="6" t="str">
        <f>IFERROR(__xludf.DUMMYFUNCTION("""COMPUTED_VALUE"""),"Красная горка. Уникален своим расположением. ")</f>
        <v>Красная горка. Уникален своим расположением. </v>
      </c>
      <c r="U861" s="6" t="str">
        <f>IFERROR(__xludf.DUMMYFUNCTION("""COMPUTED_VALUE"""),"площадь Советов")</f>
        <v>площадь Советов</v>
      </c>
      <c r="V861" s="6" t="str">
        <f>IFERROR(__xludf.DUMMYFUNCTION("""COMPUTED_VALUE"""),"В годы ВОВ - работа предприятий")</f>
        <v>В годы ВОВ - работа предприятий</v>
      </c>
      <c r="W861" s="6" t="str">
        <f>IFERROR(__xludf.DUMMYFUNCTION("""COMPUTED_VALUE"""),"Мне кажется нет общих качеств, очень разнородные")</f>
        <v>Мне кажется нет общих качеств, очень разнородные</v>
      </c>
      <c r="X861" s="6" t="str">
        <f>IFERROR(__xludf.DUMMYFUNCTION("""COMPUTED_VALUE"""),"Набережная")</f>
        <v>Набережная</v>
      </c>
      <c r="Y861" s="6" t="str">
        <f>IFERROR(__xludf.DUMMYFUNCTION("""COMPUTED_VALUE"""),"Чемпионат мира по бенди")</f>
        <v>Чемпионат мира по бенди</v>
      </c>
      <c r="Z861" s="6" t="str">
        <f>IFERROR(__xludf.DUMMYFUNCTION("""COMPUTED_VALUE"""),"открытие новых школ")</f>
        <v>открытие новых школ</v>
      </c>
      <c r="AA861" s="6" t="str">
        <f>IFERROR(__xludf.DUMMYFUNCTION("""COMPUTED_VALUE"""),"пандемия")</f>
        <v>пандемия</v>
      </c>
      <c r="AB861" s="6" t="str">
        <f>IFERROR(__xludf.DUMMYFUNCTION("""COMPUTED_VALUE"""),"нет таких")</f>
        <v>нет таких</v>
      </c>
      <c r="AC861" s="6" t="str">
        <f>IFERROR(__xludf.DUMMYFUNCTION("""COMPUTED_VALUE"""),"событий достаточно, должно быть желание и время в них участвовать")</f>
        <v>событий достаточно, должно быть желание и время в них участвовать</v>
      </c>
      <c r="AD861"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861" s="6" t="str">
        <f>IFERROR(__xludf.DUMMYFUNCTION("""COMPUTED_VALUE"""),"Женский")</f>
        <v>Женский</v>
      </c>
      <c r="AF861" s="6" t="str">
        <f>IFERROR(__xludf.DUMMYFUNCTION("""COMPUTED_VALUE"""),"30-44")</f>
        <v>30-44</v>
      </c>
      <c r="AG861" s="6"/>
      <c r="AH861" s="6"/>
      <c r="AI861" s="6"/>
      <c r="AJ861" s="6"/>
      <c r="AK861" s="6"/>
      <c r="AL861" s="6"/>
      <c r="AM861" s="6"/>
    </row>
    <row r="862">
      <c r="A862" s="6">
        <v>861.0</v>
      </c>
      <c r="B862" s="6" t="str">
        <f>IFERROR(__xludf.DUMMYFUNCTION("""COMPUTED_VALUE"""),"Мама")</f>
        <v>Мама</v>
      </c>
      <c r="C862" s="6" t="str">
        <f>IFERROR(__xludf.DUMMYFUNCTION("""COMPUTED_VALUE"""),"Шью")</f>
        <v>Шью</v>
      </c>
      <c r="D862" s="6" t="str">
        <f>IFERROR(__xludf.DUMMYFUNCTION("""COMPUTED_VALUE"""),"ФПК, сибиряки")</f>
        <v>ФПК, сибиряки</v>
      </c>
      <c r="E862" s="6" t="str">
        <f>IFERROR(__xludf.DUMMYFUNCTION("""COMPUTED_VALUE"""),"Дорога до парка веры волошиной")</f>
        <v>Дорога до парка веры волошиной</v>
      </c>
      <c r="F862" s="6" t="str">
        <f>IFERROR(__xludf.DUMMYFUNCTION("""COMPUTED_VALUE"""),"Переехал сюда из другого места (откуда? укажите в графе другое), Рубцовск")</f>
        <v>Переехал сюда из другого места (откуда? укажите в графе другое), Рубцовск</v>
      </c>
      <c r="G862" s="6" t="str">
        <f>IFERROR(__xludf.DUMMYFUNCTION("""COMPUTED_VALUE"""),"Парк веры волошиной")</f>
        <v>Парк веры волошиной</v>
      </c>
      <c r="H862" s="6" t="str">
        <f>IFERROR(__xludf.DUMMYFUNCTION("""COMPUTED_VALUE"""),"Зелёный, чистый, классика, простор, спокойствие")</f>
        <v>Зелёный, чистый, классика, простор, спокойствие</v>
      </c>
      <c r="I862" s="6" t="str">
        <f>IFERROR(__xludf.DUMMYFUNCTION("""COMPUTED_VALUE"""),"Леонов")</f>
        <v>Леонов</v>
      </c>
      <c r="J862" s="6" t="str">
        <f>IFERROR(__xludf.DUMMYFUNCTION("""COMPUTED_VALUE"""),"Тулеев")</f>
        <v>Тулеев</v>
      </c>
      <c r="K862" s="6" t="str">
        <f>IFERROR(__xludf.DUMMYFUNCTION("""COMPUTED_VALUE"""),"Парк веры волошиной, набережная от парка чудес, парк чудес, сквер ФПК возле гринвича")</f>
        <v>Парк веры волошиной, набережная от парка чудес, парк чудес, сквер ФПК возле гринвича</v>
      </c>
      <c r="L862" s="6" t="str">
        <f>IFERROR(__xludf.DUMMYFUNCTION("""COMPUTED_VALUE"""),"Зелёный город")</f>
        <v>Зелёный город</v>
      </c>
      <c r="M862" s="6" t="str">
        <f>IFERROR(__xludf.DUMMYFUNCTION("""COMPUTED_VALUE"""),"Нет")</f>
        <v>Нет</v>
      </c>
      <c r="N862" s="6" t="str">
        <f>IFERROR(__xludf.DUMMYFUNCTION("""COMPUTED_VALUE"""),"Комфорт передвижения")</f>
        <v>Комфорт передвижения</v>
      </c>
      <c r="O862" s="6" t="str">
        <f>IFERROR(__xludf.DUMMYFUNCTION("""COMPUTED_VALUE"""),"Дорога пешеходная от гринвича до парка веры волошиной. Там ходят постоянно до парка весь район!!!! Но там нет асфальта")</f>
        <v>Дорога пешеходная от гринвича до парка веры волошиной. Там ходят постоянно до парка весь район!!!! Но там нет асфальта</v>
      </c>
      <c r="P862" s="6" t="str">
        <f>IFERROR(__xludf.DUMMYFUNCTION("""COMPUTED_VALUE"""),"Все42")</f>
        <v>Все42</v>
      </c>
      <c r="Q862" s="6" t="str">
        <f>IFERROR(__xludf.DUMMYFUNCTION("""COMPUTED_VALUE"""),"куда пойти в свободное время, новости про новые профессии/куда поступать/вакансии, интервью с экспертами на разные темы (напишите в разделе Другое свои предложения), Правильный образ жизни")</f>
        <v>куда пойти в свободное время, новости про новые профессии/куда поступать/вакансии, интервью с экспертами на разные темы (напишите в разделе Другое свои предложения), Правильный образ жизни</v>
      </c>
      <c r="R862" s="6" t="str">
        <f>IFERROR(__xludf.DUMMYFUNCTION("""COMPUTED_VALUE"""),"Всё но в необеденное время! Их проводят когда все дети спят,это глупо")</f>
        <v>Всё но в необеденное время! Их проводят когда все дети спят,это глупо</v>
      </c>
      <c r="S862"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городских газет, телевидения, радио")</f>
        <v>Писал и расклеивал объявления/афиши, Через социальные сети (Какие? Укажите в графе другое), Делал рассылку по электронной почте, Обращался в редакции городских газет, телевидения, радио</v>
      </c>
      <c r="T862" s="6" t="str">
        <f>IFERROR(__xludf.DUMMYFUNCTION("""COMPUTED_VALUE"""),"Зелёными зонами в городе")</f>
        <v>Зелёными зонами в городе</v>
      </c>
      <c r="U862" s="6" t="str">
        <f>IFERROR(__xludf.DUMMYFUNCTION("""COMPUTED_VALUE"""),"Набережная")</f>
        <v>Набережная</v>
      </c>
      <c r="V862" s="6" t="str">
        <f>IFERROR(__xludf.DUMMYFUNCTION("""COMPUTED_VALUE"""),"Для меня важна порядочность, человечность, а не выдающиеся поступки")</f>
        <v>Для меня важна порядочность, человечность, а не выдающиеся поступки</v>
      </c>
      <c r="W862" s="6" t="str">
        <f>IFERROR(__xludf.DUMMYFUNCTION("""COMPUTED_VALUE"""),"Много пьют на улице")</f>
        <v>Много пьют на улице</v>
      </c>
      <c r="X862" s="6" t="str">
        <f>IFERROR(__xludf.DUMMYFUNCTION("""COMPUTED_VALUE"""),"91 автобус")</f>
        <v>91 автобус</v>
      </c>
      <c r="Y862" s="6" t="str">
        <f>IFERROR(__xludf.DUMMYFUNCTION("""COMPUTED_VALUE"""),"Зимняя вишня")</f>
        <v>Зимняя вишня</v>
      </c>
      <c r="Z862" s="6" t="str">
        <f>IFERROR(__xludf.DUMMYFUNCTION("""COMPUTED_VALUE"""),"Нет")</f>
        <v>Нет</v>
      </c>
      <c r="AA862" s="6" t="str">
        <f>IFERROR(__xludf.DUMMYFUNCTION("""COMPUTED_VALUE"""),"Нет")</f>
        <v>Нет</v>
      </c>
      <c r="AB862" s="6" t="str">
        <f>IFERROR(__xludf.DUMMYFUNCTION("""COMPUTED_VALUE"""),"За здоровый образ жизни")</f>
        <v>За здоровый образ жизни</v>
      </c>
      <c r="AC862" s="6" t="str">
        <f>IFERROR(__xludf.DUMMYFUNCTION("""COMPUTED_VALUE"""),"ЗОЖ, правильное питание, правильные привычки чтобы продлить жизнь")</f>
        <v>ЗОЖ, правильное питание, правильные привычки чтобы продлить жизнь</v>
      </c>
      <c r="AD862" s="6" t="str">
        <f>IFERROR(__xludf.DUMMYFUNCTION("""COMPUTED_VALUE"""),"Профессионала. Обучать, проводить занятия, мастер-классы, лекции, тренинги, оказать консультацию (укажите тему в поле ""Другое""), ЗОЖ, правильные привычки для продления жизни")</f>
        <v>Профессионала. Обучать, проводить занятия, мастер-классы, лекции, тренинги, оказать консультацию (укажите тему в поле "Другое"), ЗОЖ, правильные привычки для продления жизни</v>
      </c>
      <c r="AE862" s="6" t="str">
        <f>IFERROR(__xludf.DUMMYFUNCTION("""COMPUTED_VALUE"""),"Женский")</f>
        <v>Женский</v>
      </c>
      <c r="AF862" s="6" t="str">
        <f>IFERROR(__xludf.DUMMYFUNCTION("""COMPUTED_VALUE"""),"30-44")</f>
        <v>30-44</v>
      </c>
      <c r="AG862" s="6"/>
      <c r="AH862" s="6"/>
      <c r="AI862" s="6"/>
      <c r="AJ862" s="6"/>
      <c r="AK862" s="6"/>
      <c r="AL862" s="6"/>
      <c r="AM862" s="6"/>
    </row>
    <row r="863">
      <c r="A863" s="6">
        <v>862.0</v>
      </c>
      <c r="B863" s="6" t="str">
        <f>IFERROR(__xludf.DUMMYFUNCTION("""COMPUTED_VALUE"""),"Врач")</f>
        <v>Врач</v>
      </c>
      <c r="C863" s="6" t="str">
        <f>IFERROR(__xludf.DUMMYFUNCTION("""COMPUTED_VALUE"""),"Огород и строительство ")</f>
        <v>Огород и строительство </v>
      </c>
      <c r="D863" s="6" t="str">
        <f>IFERROR(__xludf.DUMMYFUNCTION("""COMPUTED_VALUE"""),"Центральный. Гетто, т. к. вокруг частник и много асоциальных ""элементов""")</f>
        <v>Центральный. Гетто, т. к. вокруг частник и много асоциальных "элементов"</v>
      </c>
      <c r="E863" s="6" t="str">
        <f>IFERROR(__xludf.DUMMYFUNCTION("""COMPUTED_VALUE"""),"Комсомольский парк, Арена")</f>
        <v>Комсомольский парк, Арена</v>
      </c>
      <c r="F863" s="6" t="str">
        <f>IFERROR(__xludf.DUMMYFUNCTION("""COMPUTED_VALUE"""),"Живу здесь с рождения")</f>
        <v>Живу здесь с рождения</v>
      </c>
      <c r="G863" s="6" t="str">
        <f>IFERROR(__xludf.DUMMYFUNCTION("""COMPUTED_VALUE"""),"Сосновый бор, Комсомольский парк, Центральный горсад, ")</f>
        <v>Сосновый бор, Комсомольский парк, Центральный горсад, </v>
      </c>
      <c r="H863" s="6" t="str">
        <f>IFERROR(__xludf.DUMMYFUNCTION("""COMPUTED_VALUE"""),"Шахтёры, режим НМУ, уголь, ВИЧ, Родина")</f>
        <v>Шахтёры, режим НМУ, уголь, ВИЧ, Родина</v>
      </c>
      <c r="I863" s="6" t="str">
        <f>IFERROR(__xludf.DUMMYFUNCTION("""COMPUTED_VALUE"""),"Леонов")</f>
        <v>Леонов</v>
      </c>
      <c r="J863" s="6" t="str">
        <f>IFERROR(__xludf.DUMMYFUNCTION("""COMPUTED_VALUE"""),"Шаламова Светлана Владимировна, Забавин Григорий Львович")</f>
        <v>Шаламова Светлана Владимировна, Забавин Григорий Львович</v>
      </c>
      <c r="K863" s="6" t="str">
        <f>IFERROR(__xludf.DUMMYFUNCTION("""COMPUTED_VALUE"""),"""Слон и улитка"" на Набережной, Кадетское училище, Красная горка")</f>
        <v>"Слон и улитка" на Набережной, Кадетское училище, Красная горка</v>
      </c>
      <c r="L863" s="6" t="str">
        <f>IFERROR(__xludf.DUMMYFUNCTION("""COMPUTED_VALUE"""),"В России только две беды: дураки и дороги.")</f>
        <v>В России только две беды: дураки и дороги.</v>
      </c>
      <c r="M863" s="6" t="str">
        <f>IFERROR(__xludf.DUMMYFUNCTION("""COMPUTED_VALUE"""),"Нет")</f>
        <v>Нет</v>
      </c>
      <c r="N863" s="6" t="str">
        <f>IFERROR(__xludf.DUMMYFUNCTION("""COMPUTED_VALUE"""),"Приемлемая экология, нет перенаселенности и пробок, наличие рабочих мест, доступная медицина, наличие культурных объектов с достойным репертуаром")</f>
        <v>Приемлемая экология, нет перенаселенности и пробок, наличие рабочих мест, доступная медицина, наличие культурных объектов с достойным репертуаром</v>
      </c>
      <c r="O863" s="6" t="str">
        <f>IFERROR(__xludf.DUMMYFUNCTION("""COMPUTED_VALUE"""),"Экология и соответствующий рост онкологии")</f>
        <v>Экология и соответствующий рост онкологии</v>
      </c>
      <c r="P863" s="6" t="str">
        <f>IFERROR(__xludf.DUMMYFUNCTION("""COMPUTED_VALUE"""),"Яндекс.новости")</f>
        <v>Яндекс.новости</v>
      </c>
      <c r="Q863" s="6" t="str">
        <f>IFERROR(__xludf.DUMMYFUNCTION("""COMPUTED_VALUE"""),"куда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v>
      </c>
      <c r="R863" s="6" t="str">
        <f>IFERROR(__xludf.DUMMYFUNCTION("""COMPUTED_VALUE"""),"9 мая, Новый год")</f>
        <v>9 мая, Новый год</v>
      </c>
      <c r="S863"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863" s="6" t="str">
        <f>IFERROR(__xludf.DUMMYFUNCTION("""COMPUTED_VALUE"""),"Шахты и разрезы, при этом, уникальность состоит в том,что уголь для местных жителей очень дорогой и плохого качества.")</f>
        <v>Шахты и разрезы, при этом, уникальность состоит в том,что уголь для местных жителей очень дорогой и плохого качества.</v>
      </c>
      <c r="U863" s="6" t="str">
        <f>IFERROR(__xludf.DUMMYFUNCTION("""COMPUTED_VALUE"""),"Фонтан")</f>
        <v>Фонтан</v>
      </c>
      <c r="V863" s="6" t="str">
        <f>IFERROR(__xludf.DUMMYFUNCTION("""COMPUTED_VALUE"""),"""Отвоевали"" реликтовый Сосновый бор у желающих получить наживу с каждого квадратного метра в городе")</f>
        <v>"Отвоевали" реликтовый Сосновый бор у желающих получить наживу с каждого квадратного метра в городе</v>
      </c>
      <c r="W863" s="6" t="str">
        <f>IFERROR(__xludf.DUMMYFUNCTION("""COMPUTED_VALUE"""),"Апатичные,  брюзжащие, не желающие бороться за лучшую жизнь")</f>
        <v>Апатичные,  брюзжащие, не желающие бороться за лучшую жизнь</v>
      </c>
      <c r="X863" s="6" t="str">
        <f>IFERROR(__xludf.DUMMYFUNCTION("""COMPUTED_VALUE"""),"Вдоль набережной")</f>
        <v>Вдоль набережной</v>
      </c>
      <c r="Y863" s="6" t="str">
        <f>IFERROR(__xludf.DUMMYFUNCTION("""COMPUTED_VALUE"""),"Затрудняюсь ответить")</f>
        <v>Затрудняюсь ответить</v>
      </c>
      <c r="Z863" s="6" t="str">
        <f>IFERROR(__xludf.DUMMYFUNCTION("""COMPUTED_VALUE"""),"Создание культурного кластера, как двигателя экономики в городе")</f>
        <v>Создание культурного кластера, как двигателя экономики в городе</v>
      </c>
      <c r="AA863" s="6" t="str">
        <f>IFERROR(__xludf.DUMMYFUNCTION("""COMPUTED_VALUE"""),"Обманутые дольщики в городе остаются наедине со своими проблемами, помочь им некому. Хоть и преподносится все так, будто администрация не остаётся равнодушной к данному вопросу ")</f>
        <v>Обманутые дольщики в городе остаются наедине со своими проблемами, помочь им некому. Хоть и преподносится все так, будто администрация не остаётся равнодушной к данному вопросу </v>
      </c>
      <c r="AB863" s="6" t="str">
        <f>IFERROR(__xludf.DUMMYFUNCTION("""COMPUTED_VALUE"""),"Не хватает оборудованных площадок для собак, где собирались бы владельцы со своими питомцами")</f>
        <v>Не хватает оборудованных площадок для собак, где собирались бы владельцы со своими питомцами</v>
      </c>
      <c r="AC863" s="6" t="str">
        <f>IFERROR(__xludf.DUMMYFUNCTION("""COMPUTED_VALUE"""),"Джазовые вечера в заведениях; опера и балет на уровне именитых театров; спортивные мероприятия, привлекающие рядовых граждан к участию в них")</f>
        <v>Джазовые вечера в заведениях; опера и балет на уровне именитых театров; спортивные мероприятия, привлекающие рядовых граждан к участию в них</v>
      </c>
      <c r="AD86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v>
      </c>
      <c r="AE863" s="6" t="str">
        <f>IFERROR(__xludf.DUMMYFUNCTION("""COMPUTED_VALUE"""),"Женский")</f>
        <v>Женский</v>
      </c>
      <c r="AF863" s="6" t="str">
        <f>IFERROR(__xludf.DUMMYFUNCTION("""COMPUTED_VALUE"""),"30-44")</f>
        <v>30-44</v>
      </c>
      <c r="AG863" s="6"/>
      <c r="AH863" s="6"/>
      <c r="AI863" s="6"/>
      <c r="AJ863" s="6"/>
      <c r="AK863" s="6"/>
      <c r="AL863" s="6"/>
      <c r="AM863" s="6"/>
    </row>
    <row r="864">
      <c r="A864" s="6">
        <v>863.0</v>
      </c>
      <c r="B864" s="6" t="str">
        <f>IFERROR(__xludf.DUMMYFUNCTION("""COMPUTED_VALUE"""),"Наемный сотрудник в финансовой сфере")</f>
        <v>Наемный сотрудник в финансовой сфере</v>
      </c>
      <c r="C864" s="6" t="str">
        <f>IFERROR(__xludf.DUMMYFUNCTION("""COMPUTED_VALUE"""),"Чтение")</f>
        <v>Чтение</v>
      </c>
      <c r="D864" s="6" t="str">
        <f>IFERROR(__xludf.DUMMYFUNCTION("""COMPUTED_VALUE"""),"Киррвский и Центральный")</f>
        <v>Киррвский и Центральный</v>
      </c>
      <c r="E864" s="6" t="str">
        <f>IFERROR(__xludf.DUMMYFUNCTION("""COMPUTED_VALUE"""),"Набережные и в Кировском, и в Центральном")</f>
        <v>Набережные и в Кировском, и в Центральном</v>
      </c>
      <c r="F864" s="6" t="str">
        <f>IFERROR(__xludf.DUMMYFUNCTION("""COMPUTED_VALUE"""),"Жила в Киселевске, Осинниках, Новокузнецке. Училась и переехала жить с 2001 в Кемерово")</f>
        <v>Жила в Киселевске, Осинниках, Новокузнецке. Училась и переехала жить с 2001 в Кемерово</v>
      </c>
      <c r="G864" s="6" t="str">
        <f>IFERROR(__xludf.DUMMYFUNCTION("""COMPUTED_VALUE"""),"Парк Чудес, Парк им.В.Волошиной, Набережные Центрального и Кировского района. Люблю также просто гулять по Весенней). ")</f>
        <v>Парк Чудес, Парк им.В.Волошиной, Набережные Центрального и Кировского района. Люблю также просто гулять по Весенней). </v>
      </c>
      <c r="H864" s="6" t="str">
        <f>IFERROR(__xludf.DUMMYFUNCTION("""COMPUTED_VALUE"""),"Простой и понятный, чистый,  рабочий, зеленый")</f>
        <v>Простой и понятный, чистый,  рабочий, зеленый</v>
      </c>
      <c r="I864" s="6" t="str">
        <f>IFERROR(__xludf.DUMMYFUNCTION("""COMPUTED_VALUE"""),"М. Волков, и В.Михайлов")</f>
        <v>М. Волков, и В.Михайлов</v>
      </c>
      <c r="J864" s="6" t="str">
        <f>IFERROR(__xludf.DUMMYFUNCTION("""COMPUTED_VALUE"""),"В.Михайлов")</f>
        <v>В.Михайлов</v>
      </c>
      <c r="K864" s="6" t="str">
        <f>IFERROR(__xludf.DUMMYFUNCTION("""COMPUTED_VALUE"""),"Нравятся памятники,  посвященные семье. ")</f>
        <v>Нравятся памятники,  посвященные семье. </v>
      </c>
      <c r="L864" s="6" t="str">
        <f>IFERROR(__xludf.DUMMYFUNCTION("""COMPUTED_VALUE"""),"Нет такого")</f>
        <v>Нет такого</v>
      </c>
      <c r="M864" s="6" t="str">
        <f>IFERROR(__xludf.DUMMYFUNCTION("""COMPUTED_VALUE"""),"Тормозок, гаманок - еда на смену рабочим")</f>
        <v>Тормозок, гаманок - еда на смену рабочим</v>
      </c>
      <c r="N864" s="6" t="str">
        <f>IFERROR(__xludf.DUMMYFUNCTION("""COMPUTED_VALUE"""),"Транспортная доступность ( Кировский это ""засада""). Чистота улиц. Зеленые насаждения в городе и вокруг него. Наличие мест для отдыха семьей. Оперативность работы городских служб и соц.сферы")</f>
        <v>Транспортная доступность ( Кировский это "засада"). Чистота улиц. Зеленые насаждения в городе и вокруг него. Наличие мест для отдыха семьей. Оперативность работы городских служб и соц.сферы</v>
      </c>
      <c r="O864" s="6" t="str">
        <f>IFERROR(__xludf.DUMMYFUNCTION("""COMPUTED_VALUE"""),"Транспортную доступность Правого берега")</f>
        <v>Транспортную доступность Правого берега</v>
      </c>
      <c r="P864" s="6" t="str">
        <f>IFERROR(__xludf.DUMMYFUNCTION("""COMPUTED_VALUE"""),"Инстаграмм адм.г.Кемерово, мэра, управления образования, Вестей и т.д. соцсети полностью заменяют мне ТВ и т.д. ")</f>
        <v>Инстаграмм адм.г.Кемерово, мэра, управления образования, Вестей и т.д. соцсети полностью заменяют мне ТВ и т.д. </v>
      </c>
      <c r="Q864" s="6" t="str">
        <f>IFERROR(__xludf.DUMMYFUNCTION("""COMPUTED_VALUE"""),"куда пойти в свободное время, городская афиша (кино/театр/концерты),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акции/запуск"&amp;" новых предприятий), результаты местных исследований (рейтинги/аналитика/тенденции)")</f>
        <v>куда пойти в свободное время, городская афиша (кино/театр/концерты),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864" s="6" t="str">
        <f>IFERROR(__xludf.DUMMYFUNCTION("""COMPUTED_VALUE"""),"День Шахтера и День города")</f>
        <v>День Шахтера и День города</v>
      </c>
      <c r="S864" s="6" t="str">
        <f>IFERROR(__xludf.DUMMYFUNCTION("""COMPUTED_VALUE"""),"Нет, не приходилось")</f>
        <v>Нет, не приходилось</v>
      </c>
      <c r="T864" s="6" t="str">
        <f>IFERROR(__xludf.DUMMYFUNCTION("""COMPUTED_VALUE"""),"Прославились Зимней Вишней и это очень и очень трагическая слава. Надо больше положительных событий, чтобы это изменить")</f>
        <v>Прославились Зимней Вишней и это очень и очень трагическая слава. Надо больше положительных событий, чтобы это изменить</v>
      </c>
      <c r="U864" s="6" t="str">
        <f>IFERROR(__xludf.DUMMYFUNCTION("""COMPUTED_VALUE"""),"Бульвар Строителей и Набережная - центры притяжения молодежи")</f>
        <v>Бульвар Строителей и Набережная - центры притяжения молодежи</v>
      </c>
      <c r="V864" s="6" t="str">
        <f>IFERROR(__xludf.DUMMYFUNCTION("""COMPUTED_VALUE"""),"Заводы наши, их продукция. А также творческие коллективы и их достижения")</f>
        <v>Заводы наши, их продукция. А также творческие коллективы и их достижения</v>
      </c>
      <c r="W864" s="6" t="str">
        <f>IFERROR(__xludf.DUMMYFUNCTION("""COMPUTED_VALUE"""),"Работоспособные, искренние,  гостиприимные. ")</f>
        <v>Работоспособные, искренние,  гостиприимные. </v>
      </c>
      <c r="X864" s="6" t="str">
        <f>IFERROR(__xludf.DUMMYFUNCTION("""COMPUTED_VALUE"""),"От Красной Горки через Центр и набережную к бульвару Строителей")</f>
        <v>От Красной Горки через Центр и набережную к бульвару Строителей</v>
      </c>
      <c r="Y864" s="6" t="str">
        <f>IFERROR(__xludf.DUMMYFUNCTION("""COMPUTED_VALUE"""),"Еще не произошло - 300-летие Кузбасса)")</f>
        <v>Еще не произошло - 300-летие Кузбасса)</v>
      </c>
      <c r="Z864" s="6" t="str">
        <f>IFERROR(__xludf.DUMMYFUNCTION("""COMPUTED_VALUE"""),"Открытие кадетского училища и запуск Лесной Поляны")</f>
        <v>Открытие кадетского училища и запуск Лесной Поляны</v>
      </c>
      <c r="AA864" s="6" t="str">
        <f>IFERROR(__xludf.DUMMYFUNCTION("""COMPUTED_VALUE"""),"Зимняя Вишня")</f>
        <v>Зимняя Вишня</v>
      </c>
      <c r="AB864" s="6" t="str">
        <f>IFERROR(__xludf.DUMMYFUNCTION("""COMPUTED_VALUE"""),"Всего достаточно")</f>
        <v>Всего достаточно</v>
      </c>
      <c r="AC864" s="6" t="str">
        <f>IFERROR(__xludf.DUMMYFUNCTION("""COMPUTED_VALUE"""),"Больше открытых и бесплатных мероприятий для семей и молодежи")</f>
        <v>Больше открытых и бесплатных мероприятий для семей и молодежи</v>
      </c>
      <c r="AD86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за"&amp;"интересованных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864" s="6" t="str">
        <f>IFERROR(__xludf.DUMMYFUNCTION("""COMPUTED_VALUE"""),"Женский")</f>
        <v>Женский</v>
      </c>
      <c r="AF864" s="6" t="str">
        <f>IFERROR(__xludf.DUMMYFUNCTION("""COMPUTED_VALUE"""),"30-44")</f>
        <v>30-44</v>
      </c>
      <c r="AG864" s="6"/>
      <c r="AH864" s="6"/>
      <c r="AI864" s="6"/>
      <c r="AJ864" s="6"/>
      <c r="AK864" s="6"/>
      <c r="AL864" s="6"/>
      <c r="AM864" s="6"/>
    </row>
    <row r="865">
      <c r="A865" s="6">
        <v>864.0</v>
      </c>
      <c r="B865" s="6" t="str">
        <f>IFERROR(__xludf.DUMMYFUNCTION("""COMPUTED_VALUE"""),"Пенсионер.")</f>
        <v>Пенсионер.</v>
      </c>
      <c r="C865" s="6" t="str">
        <f>IFERROR(__xludf.DUMMYFUNCTION("""COMPUTED_VALUE"""),"Садовый участок.")</f>
        <v>Садовый участок.</v>
      </c>
      <c r="D865" s="6" t="str">
        <f>IFERROR(__xludf.DUMMYFUNCTION("""COMPUTED_VALUE"""),"Кировский.")</f>
        <v>Кировский.</v>
      </c>
      <c r="E865" s="6" t="str">
        <f>IFERROR(__xludf.DUMMYFUNCTION("""COMPUTED_VALUE"""),"Березовая роща, набережная,бассейн,Ккбсмп.")</f>
        <v>Березовая роща, набережная,бассейн,Ккбсмп.</v>
      </c>
      <c r="F865" s="6" t="str">
        <f>IFERROR(__xludf.DUMMYFUNCTION("""COMPUTED_VALUE"""),"Живу здесь с рождения, Пожил во всех районах Кемерова,кроме Рудничного.")</f>
        <v>Живу здесь с рождения, Пожил во всех районах Кемерова,кроме Рудничного.</v>
      </c>
      <c r="G865" s="6" t="str">
        <f>IFERROR(__xludf.DUMMYFUNCTION("""COMPUTED_VALUE"""),"Горсад, ул Весенняя,пр Советский,стадион Химик,КЛМ стадиона, к-тр Космос,Березовая роща,набережная и вообще просто по ГОРОДУ.")</f>
        <v>Горсад, ул Весенняя,пр Советский,стадион Химик,КЛМ стадиона, к-тр Космос,Березовая роща,набережная и вообще просто по ГОРОДУ.</v>
      </c>
      <c r="H865" s="6" t="str">
        <f>IFERROR(__xludf.DUMMYFUNCTION("""COMPUTED_VALUE"""),"Шахтер,химия,спорт,чистый,уютный,родной.")</f>
        <v>Шахтер,химия,спорт,чистый,уютный,родной.</v>
      </c>
      <c r="I865" s="6" t="str">
        <f>IFERROR(__xludf.DUMMYFUNCTION("""COMPUTED_VALUE"""),"Задионченко,Ештокин,Тулеев,Михайлов,Подгорбунский, Валошина, Сарыгин, Двужильный,.")</f>
        <v>Задионченко,Ештокин,Тулеев,Михайлов,Подгорбунский, Валошина, Сарыгин, Двужильный,.</v>
      </c>
      <c r="J865" s="6" t="str">
        <f>IFERROR(__xludf.DUMMYFUNCTION("""COMPUTED_VALUE"""),"Михайлов, Середюк, Сельский, Гришковец,..")</f>
        <v>Михайлов, Середюк, Сельский, Гришковец,..</v>
      </c>
      <c r="K865" s="6" t="str">
        <f>IFERROR(__xludf.DUMMYFUNCTION("""COMPUTED_VALUE"""),"Памятник Шахтёрам, Томская писаница, Притомская набережная и просто прогуляться по улицам города.")</f>
        <v>Памятник Шахтёрам, Томская писаница, Притомская набережная и просто прогуляться по улицам города.</v>
      </c>
      <c r="L865" s="6" t="str">
        <f>IFERROR(__xludf.DUMMYFUNCTION("""COMPUTED_VALUE"""),"Не припомню.")</f>
        <v>Не припомню.</v>
      </c>
      <c r="M865" s="6" t="str">
        <f>IFERROR(__xludf.DUMMYFUNCTION("""COMPUTED_VALUE"""),"Не знаю.")</f>
        <v>Не знаю.</v>
      </c>
      <c r="N865" s="6" t="str">
        <f>IFERROR(__xludf.DUMMYFUNCTION("""COMPUTED_VALUE"""),"Чисто, хорошие дороги, качественное медицинское обслуживание -лечение, возможность найти достойную работу, ")</f>
        <v>Чисто, хорошие дороги, качественное медицинское обслуживание -лечение, возможность найти достойную работу, </v>
      </c>
      <c r="O865" s="6" t="str">
        <f>IFERROR(__xludf.DUMMYFUNCTION("""COMPUTED_VALUE"""),"Расширять проезжую часть дорог, парковки для личного транспорта,.")</f>
        <v>Расширять проезжую часть дорог, парковки для личного транспорта,.</v>
      </c>
      <c r="P865" s="6" t="str">
        <f>IFERROR(__xludf.DUMMYFUNCTION("""COMPUTED_VALUE"""),"Гоодлайн.")</f>
        <v>Гоодлайн.</v>
      </c>
      <c r="Q865"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865" s="6" t="str">
        <f>IFERROR(__xludf.DUMMYFUNCTION("""COMPUTED_VALUE"""),"День города, день победы, новый год, день шахтера.")</f>
        <v>День города, день победы, новый год, день шахтера.</v>
      </c>
      <c r="S865" s="6" t="str">
        <f>IFERROR(__xludf.DUMMYFUNCTION("""COMPUTED_VALUE"""),"Нет, не приходилось")</f>
        <v>Нет, не приходилось</v>
      </c>
      <c r="T865" s="6" t="str">
        <f>IFERROR(__xludf.DUMMYFUNCTION("""COMPUTED_VALUE"""),"Промышленность,спорт,наука-образование,медицина.")</f>
        <v>Промышленность,спорт,наука-образование,медицина.</v>
      </c>
      <c r="U865" s="6" t="str">
        <f>IFERROR(__xludf.DUMMYFUNCTION("""COMPUTED_VALUE"""),"Улица Весенняя. ")</f>
        <v>Улица Весенняя. </v>
      </c>
      <c r="V865" s="6" t="str">
        <f>IFERROR(__xludf.DUMMYFUNCTION("""COMPUTED_VALUE"""),"Строили и строят дома, школы, сады, спорт объекты, театры... ")</f>
        <v>Строили и строят дома, школы, сады, спорт объекты, театры... </v>
      </c>
      <c r="W865" s="6" t="str">
        <f>IFERROR(__xludf.DUMMYFUNCTION("""COMPUTED_VALUE"""),"Как и все люди нашей страны.")</f>
        <v>Как и все люди нашей страны.</v>
      </c>
      <c r="X865" s="6" t="str">
        <f>IFERROR(__xludf.DUMMYFUNCTION("""COMPUTED_VALUE"""),"Притомская набережная - Весенняя.")</f>
        <v>Притомская набережная - Весенняя.</v>
      </c>
      <c r="Y865" s="6" t="str">
        <f>IFERROR(__xludf.DUMMYFUNCTION("""COMPUTED_VALUE"""),"1943г образовалась Кемеровская область .")</f>
        <v>1943г образовалась Кемеровская область .</v>
      </c>
      <c r="Z865" s="6" t="str">
        <f>IFERROR(__xludf.DUMMYFUNCTION("""COMPUTED_VALUE"""),"Реконструкция аэропорта, строительство новой хоккейной арены.")</f>
        <v>Реконструкция аэропорта, строительство новой хоккейной арены.</v>
      </c>
      <c r="AA865" s="6" t="str">
        <f>IFERROR(__xludf.DUMMYFUNCTION("""COMPUTED_VALUE"""),"Три года назад,-пожар в Зимней вишне. Смерть шестидесяти человек из-за чьей-то алчности,халатности.")</f>
        <v>Три года назад,-пожар в Зимней вишне. Смерть шестидесяти человек из-за чьей-то алчности,халатности.</v>
      </c>
      <c r="AB865" s="6" t="str">
        <f>IFERROR(__xludf.DUMMYFUNCTION("""COMPUTED_VALUE"""),"Мне хватает.")</f>
        <v>Мне хватает.</v>
      </c>
      <c r="AC865" s="6" t="str">
        <f>IFERROR(__xludf.DUMMYFUNCTION("""COMPUTED_VALUE"""),"Большие концерты,выступления наподобие Шахтерский зори, больше различных конкурсов, выставок,спортивных состязаний.")</f>
        <v>Большие концерты,выступления наподобие Шахтерский зори, больше различных конкурсов, выставок,спортивных состязаний.</v>
      </c>
      <c r="AD865" s="6" t="str">
        <f>IFERROR(__xludf.DUMMYFUNCTION("""COMPUTED_VALUE"""),"Не готов принимать личное участие (укажите, пожалуйста, причину в поле «Другое»), Здоровье не позволяет.")</f>
        <v>Не готов принимать личное участие (укажите, пожалуйста, причину в поле «Другое»), Здоровье не позволяет.</v>
      </c>
      <c r="AE865" s="6" t="str">
        <f>IFERROR(__xludf.DUMMYFUNCTION("""COMPUTED_VALUE"""),"Мужской")</f>
        <v>Мужской</v>
      </c>
      <c r="AF865" s="6" t="str">
        <f>IFERROR(__xludf.DUMMYFUNCTION("""COMPUTED_VALUE"""),"старше 55")</f>
        <v>старше 55</v>
      </c>
      <c r="AG865" s="6"/>
      <c r="AH865" s="6"/>
      <c r="AI865" s="6"/>
      <c r="AJ865" s="6"/>
      <c r="AK865" s="6"/>
      <c r="AL865" s="6"/>
      <c r="AM865" s="6"/>
    </row>
    <row r="866">
      <c r="A866" s="6">
        <v>865.0</v>
      </c>
      <c r="B866" s="6" t="str">
        <f>IFERROR(__xludf.DUMMYFUNCTION("""COMPUTED_VALUE"""),"документационной деятельностью")</f>
        <v>документационной деятельностью</v>
      </c>
      <c r="C866" s="6" t="str">
        <f>IFERROR(__xludf.DUMMYFUNCTION("""COMPUTED_VALUE"""),"читать")</f>
        <v>читать</v>
      </c>
      <c r="D866" s="6" t="str">
        <f>IFERROR(__xludf.DUMMYFUNCTION("""COMPUTED_VALUE"""),"Рудничный. Радуга")</f>
        <v>Рудничный. Радуга</v>
      </c>
      <c r="E866" s="6" t="str">
        <f>IFERROR(__xludf.DUMMYFUNCTION("""COMPUTED_VALUE"""),"Красная горка ")</f>
        <v>Красная горка </v>
      </c>
      <c r="F866" s="6" t="str">
        <f>IFERROR(__xludf.DUMMYFUNCTION("""COMPUTED_VALUE"""),"Переехал сюда из другого места (откуда? укажите в графе другое), из г.Березовский ")</f>
        <v>Переехал сюда из другого места (откуда? укажите в графе другое), из г.Березовский </v>
      </c>
      <c r="G866" s="6" t="str">
        <f>IFERROR(__xludf.DUMMYFUNCTION("""COMPUTED_VALUE"""),"бор, но сейчас из за клещей страшно. Заведения города, немного интересных")</f>
        <v>бор, но сейчас из за клещей страшно. Заведения города, немного интересных</v>
      </c>
      <c r="H866" s="6" t="str">
        <f>IFERROR(__xludf.DUMMYFUNCTION("""COMPUTED_VALUE"""),"уют,родной дом, уголь, плохая экология, грязь")</f>
        <v>уют,родной дом, уголь, плохая экология, грязь</v>
      </c>
      <c r="I866" s="6" t="str">
        <f>IFERROR(__xludf.DUMMYFUNCTION("""COMPUTED_VALUE"""),"Михайло Волков")</f>
        <v>Михайло Волков</v>
      </c>
      <c r="J866" s="6" t="str">
        <f>IFERROR(__xludf.DUMMYFUNCTION("""COMPUTED_VALUE"""),"Евгений Гришковец ")</f>
        <v>Евгений Гришковец </v>
      </c>
      <c r="K866" s="6" t="str">
        <f>IFERROR(__xludf.DUMMYFUNCTION("""COMPUTED_VALUE"""),"-")</f>
        <v>-</v>
      </c>
      <c r="L866" s="6" t="str">
        <f>IFERROR(__xludf.DUMMYFUNCTION("""COMPUTED_VALUE"""),"-")</f>
        <v>-</v>
      </c>
      <c r="M866" s="6" t="str">
        <f>IFERROR(__xludf.DUMMYFUNCTION("""COMPUTED_VALUE"""),"-")</f>
        <v>-</v>
      </c>
      <c r="N866" s="6" t="str">
        <f>IFERROR(__xludf.DUMMYFUNCTION("""COMPUTED_VALUE"""),"Чистота, свежий воздух, благоустройство дворов, развитая инфраструктура, не только бары и рестораны и пивные магазины, современный просторный транспорт ")</f>
        <v>Чистота, свежий воздух, благоустройство дворов, развитая инфраструктура, не только бары и рестораны и пивные магазины, современный просторный транспорт </v>
      </c>
      <c r="O866" s="6" t="str">
        <f>IFERROR(__xludf.DUMMYFUNCTION("""COMPUTED_VALUE"""),"открывать разные интересные заведения , больше культурного просвещения, увеличить зп и количество рабочих мест  ")</f>
        <v>открывать разные интересные заведения , больше культурного просвещения, увеличить зп и количество рабочих мест  </v>
      </c>
      <c r="P866" s="6" t="str">
        <f>IFERROR(__xludf.DUMMYFUNCTION("""COMPUTED_VALUE"""),"регион42, кемерово-инцидент ")</f>
        <v>регион42, кемерово-инцидент </v>
      </c>
      <c r="Q86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местн"&amp;"ых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866" s="6" t="str">
        <f>IFERROR(__xludf.DUMMYFUNCTION("""COMPUTED_VALUE"""),"День города ")</f>
        <v>День города </v>
      </c>
      <c r="S866" s="6" t="str">
        <f>IFERROR(__xludf.DUMMYFUNCTION("""COMPUTED_VALUE"""),"Нет, не приходилось")</f>
        <v>Нет, не приходилось</v>
      </c>
      <c r="T866" s="6" t="str">
        <f>IFERROR(__xludf.DUMMYFUNCTION("""COMPUTED_VALUE"""),"к сожалению сейчас Кемерово больше всего знаменит ""Зимней Вишней""")</f>
        <v>к сожалению сейчас Кемерово больше всего знаменит "Зимней Вишней"</v>
      </c>
      <c r="U866" s="6" t="str">
        <f>IFERROR(__xludf.DUMMYFUNCTION("""COMPUTED_VALUE"""),"Площадь советов, набережная ")</f>
        <v>Площадь советов, набережная </v>
      </c>
      <c r="V866" s="6" t="str">
        <f>IFERROR(__xludf.DUMMYFUNCTION("""COMPUTED_VALUE"""),"-")</f>
        <v>-</v>
      </c>
      <c r="W866" s="6" t="str">
        <f>IFERROR(__xludf.DUMMYFUNCTION("""COMPUTED_VALUE"""),"недоброжелательные, удрученные ")</f>
        <v>недоброжелательные, удрученные </v>
      </c>
      <c r="X866" s="6" t="str">
        <f>IFERROR(__xludf.DUMMYFUNCTION("""COMPUTED_VALUE"""),"наверное будет Московская площадь интересным местом ")</f>
        <v>наверное будет Московская площадь интересным местом </v>
      </c>
      <c r="Y866" s="6" t="str">
        <f>IFERROR(__xludf.DUMMYFUNCTION("""COMPUTED_VALUE"""),"-")</f>
        <v>-</v>
      </c>
      <c r="Z866" s="6" t="str">
        <f>IFERROR(__xludf.DUMMYFUNCTION("""COMPUTED_VALUE"""),"строительство новых объектов ")</f>
        <v>строительство новых объектов </v>
      </c>
      <c r="AA866" s="6" t="str">
        <f>IFERROR(__xludf.DUMMYFUNCTION("""COMPUTED_VALUE"""),"-")</f>
        <v>-</v>
      </c>
      <c r="AB866" s="6" t="str">
        <f>IFERROR(__xludf.DUMMYFUNCTION("""COMPUTED_VALUE"""),"-")</f>
        <v>-</v>
      </c>
      <c r="AC866" s="6" t="str">
        <f>IFERROR(__xludf.DUMMYFUNCTION("""COMPUTED_VALUE"""),"больше спектаклей, также с артистами известных театров России , различных выставок не только картин, но и научных, научно-фантастических ")</f>
        <v>больше спектаклей, также с артистами известных театров России , различных выставок не только картин, но и научных, научно-фантастических </v>
      </c>
      <c r="AD866" s="6" t="str">
        <f>IFERROR(__xludf.DUMMYFUNCTION("""COMPUTED_VALUE"""),"Не готов принимать личное участие (укажите, пожалуйста, причину в поле «Другое»), нет свободного времени и средств ")</f>
        <v>Не готов принимать личное участие (укажите, пожалуйста, причину в поле «Другое»), нет свободного времени и средств </v>
      </c>
      <c r="AE866" s="6" t="str">
        <f>IFERROR(__xludf.DUMMYFUNCTION("""COMPUTED_VALUE"""),"Женский")</f>
        <v>Женский</v>
      </c>
      <c r="AF866" s="6" t="str">
        <f>IFERROR(__xludf.DUMMYFUNCTION("""COMPUTED_VALUE"""),"18-29")</f>
        <v>18-29</v>
      </c>
      <c r="AG866" s="6"/>
      <c r="AH866" s="6"/>
      <c r="AI866" s="6"/>
      <c r="AJ866" s="6"/>
      <c r="AK866" s="6"/>
      <c r="AL866" s="6"/>
      <c r="AM866" s="6"/>
    </row>
    <row r="867">
      <c r="A867" s="6">
        <v>866.0</v>
      </c>
      <c r="B867" s="6" t="str">
        <f>IFERROR(__xludf.DUMMYFUNCTION("""COMPUTED_VALUE"""),"Менеджер по работе с клиентами, сфера угольной промышленности")</f>
        <v>Менеджер по работе с клиентами, сфера угольной промышленности</v>
      </c>
      <c r="C867" s="6" t="str">
        <f>IFERROR(__xludf.DUMMYFUNCTION("""COMPUTED_VALUE"""),"Играть на гитаре, петь")</f>
        <v>Играть на гитаре, петь</v>
      </c>
      <c r="D867" s="6" t="str">
        <f>IFERROR(__xludf.DUMMYFUNCTION("""COMPUTED_VALUE"""),"Центральный. Телецентр")</f>
        <v>Центральный. Телецентр</v>
      </c>
      <c r="E867" s="6" t="str">
        <f>IFERROR(__xludf.DUMMYFUNCTION("""COMPUTED_VALUE"""),"""Старый центр"", музеи, театры, филармония, парки, скверы, набережная")</f>
        <v>"Старый центр", музеи, театры, филармония, парки, скверы, набережная</v>
      </c>
      <c r="F867" s="6" t="str">
        <f>IFERROR(__xludf.DUMMYFUNCTION("""COMPUTED_VALUE"""),"Переехал сюда из другого места (откуда? укажите в графе другое), 11 лет живу в Кемерово. приехала из Мариинска учиться и осталась")</f>
        <v>Переехал сюда из другого места (откуда? укажите в графе другое), 11 лет живу в Кемерово. приехала из Мариинска учиться и осталась</v>
      </c>
      <c r="G867" s="6" t="str">
        <f>IFERROR(__xludf.DUMMYFUNCTION("""COMPUTED_VALUE"""),"Ходим гулять, каждый раз по возможности выбираем новое место для прогулок в разных районах города. Ходим в кинотеатры и кафе/рестораны. Из окрестностей любим гулять в ""Лесной Поляне"" ")</f>
        <v>Ходим гулять, каждый раз по возможности выбираем новое место для прогулок в разных районах города. Ходим в кинотеатры и кафе/рестораны. Из окрестностей любим гулять в "Лесной Поляне" </v>
      </c>
      <c r="H867" s="6" t="str">
        <f>IFERROR(__xludf.DUMMYFUNCTION("""COMPUTED_VALUE"""),"Шахтеры, уголь, ""черное золото""")</f>
        <v>Шахтеры, уголь, "черное золото"</v>
      </c>
      <c r="I867" s="6" t="str">
        <f>IFERROR(__xludf.DUMMYFUNCTION("""COMPUTED_VALUE"""),"Алексей Леонов - первый человек , вышедший в открытый космос (но он не из Кемерово, а из области). ")</f>
        <v>Алексей Леонов - первый человек , вышедший в открытый космос (но он не из Кемерово, а из области). </v>
      </c>
      <c r="J867" s="6" t="str">
        <f>IFERROR(__xludf.DUMMYFUNCTION("""COMPUTED_VALUE"""),"Сама не припомню таких имен, только если подглянуть в интернете, но это будет не честный ответ ")</f>
        <v>Сама не припомню таких имен, только если подглянуть в интернете, но это будет не честный ответ </v>
      </c>
      <c r="K867" s="6" t="str">
        <f>IFERROR(__xludf.DUMMYFUNCTION("""COMPUTED_VALUE"""),"Старый центр, возможно посетили бы по желанию знакомого что-то из музеев и театров, парк Ангелов, музей Красная Горка, сосновый бор, буковки ""Кузбасс"" на горе, зимой гора Люскус, зимой прогулка на снегоходах по заснеженному лесу, летом прогулка на квадр"&amp;"оциклах, Лесная Поляна, арт-пространство ""Клумба""")</f>
        <v>Старый центр, возможно посетили бы по желанию знакомого что-то из музеев и театров, парк Ангелов, музей Красная Горка, сосновый бор, буковки "Кузбасс" на горе, зимой гора Люскус, зимой прогулка на снегоходах по заснеженному лесу, летом прогулка на квадроциклах, Лесная Поляна, арт-пространство "Клумба"</v>
      </c>
      <c r="L867" s="6" t="str">
        <f>IFERROR(__xludf.DUMMYFUNCTION("""COMPUTED_VALUE"""),"Если на улицах города был замечен ""Коламен"" - к холодам. ")</f>
        <v>Если на улицах города был замечен "Коламен" - к холодам. </v>
      </c>
      <c r="M867" s="6" t="str">
        <f>IFERROR(__xludf.DUMMYFUNCTION("""COMPUTED_VALUE"""),"Затрудняюсь ответить")</f>
        <v>Затрудняюсь ответить</v>
      </c>
      <c r="N867" s="6" t="str">
        <f>IFERROR(__xludf.DUMMYFUNCTION("""COMPUTED_VALUE"""),"Чистота, уют, транспорт, отсутсвие пробок, хорошие дороги, разнообразный досуг")</f>
        <v>Чистота, уют, транспорт, отсутсвие пробок, хорошие дороги, разнообразный досуг</v>
      </c>
      <c r="O867" s="6" t="str">
        <f>IFERROR(__xludf.DUMMYFUNCTION("""COMPUTED_VALUE"""),"Улучшить экологию")</f>
        <v>Улучшить экологию</v>
      </c>
      <c r="P867" s="6" t="str">
        <f>IFERROR(__xludf.DUMMYFUNCTION("""COMPUTED_VALUE"""),"Различные кемеровские паблики и новостные каналы в Инстаграмм и Вконтакте. ")</f>
        <v>Различные кемеровские паблики и новостные каналы в Инстаграмм и Вконтакте. </v>
      </c>
      <c r="Q867"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бизнес-новости (средний чек/рекламные акции/запуск новых предприятий), результаты местных исследо"&amp;"ваний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867" s="6" t="str">
        <f>IFERROR(__xludf.DUMMYFUNCTION("""COMPUTED_VALUE"""),"День города, День победы, День Шахтера")</f>
        <v>День города, День победы, День Шахтера</v>
      </c>
      <c r="S867" s="6" t="str">
        <f>IFERROR(__xludf.DUMMYFUNCTION("""COMPUTED_VALUE"""),"Нет, не приходилось")</f>
        <v>Нет, не приходилось</v>
      </c>
      <c r="T867" s="6" t="str">
        <f>IFERROR(__xludf.DUMMYFUNCTION("""COMPUTED_VALUE"""),"Углем. С недавнего времени известен за счет трагедии в Зимней Вишне... ")</f>
        <v>Углем. С недавнего времени известен за счет трагедии в Зимней Вишне... </v>
      </c>
      <c r="U867" s="6" t="str">
        <f>IFERROR(__xludf.DUMMYFUNCTION("""COMPUTED_VALUE"""),"Набережную с видом на буковки ""Кузбасс"" ")</f>
        <v>Набережную с видом на буковки "Кузбасс" </v>
      </c>
      <c r="V867" s="6" t="str">
        <f>IFERROR(__xludf.DUMMYFUNCTION("""COMPUTED_VALUE"""),"Создавали в городе уют и соблюдали чистоту")</f>
        <v>Создавали в городе уют и соблюдали чистоту</v>
      </c>
      <c r="W867" s="6" t="str">
        <f>IFERROR(__xludf.DUMMYFUNCTION("""COMPUTED_VALUE"""),"Образованные, хорошие специалисты, творческие личности. Грамотная речь, отсутствие специфического говора/акцента, когда мы приезжаем в Питер, Москву или другие регионы , то местные жители всегда отмечают нашу  грамотную речь и правильное произношение. Так"&amp;" же люди из других регионов считают нас трудолюбивыми и ответственными людьми. ")</f>
        <v>Образованные, хорошие специалисты, творческие личности. Грамотная речь, отсутствие специфического говора/акцента, когда мы приезжаем в Питер, Москву или другие регионы , то местные жители всегда отмечают нашу  грамотную речь и правильное произношение. Так же люди из других регионов считают нас трудолюбивыми и ответственными людьми. </v>
      </c>
      <c r="X867" s="6" t="str">
        <f>IFERROR(__xludf.DUMMYFUNCTION("""COMPUTED_VALUE"""),"Я бы начала с набережной и парка Чудес, после показала бы Музей красная горка, и прогулка на велосипедах по сосновому бору, с выездом на смотровые площадки")</f>
        <v>Я бы начала с набережной и парка Чудес, после показала бы Музей красная горка, и прогулка на велосипедах по сосновому бору, с выездом на смотровые площадки</v>
      </c>
      <c r="Y867" s="6" t="str">
        <f>IFERROR(__xludf.DUMMYFUNCTION("""COMPUTED_VALUE"""),"Открытие Кузнецкого угольного бассейна Михайло Волковым")</f>
        <v>Открытие Кузнецкого угольного бассейна Михайло Волковым</v>
      </c>
      <c r="Z867" s="6" t="str">
        <f>IFERROR(__xludf.DUMMYFUNCTION("""COMPUTED_VALUE"""),"Фестиваль ""Герои Мирового Рока"" в честь 25 летия ""Стройсервиса"". ")</f>
        <v>Фестиваль "Герои Мирового Рока" в честь 25 летия "Стройсервиса". </v>
      </c>
      <c r="AA867" s="6" t="str">
        <f>IFERROR(__xludf.DUMMYFUNCTION("""COMPUTED_VALUE"""),"Режим ""Черное небо"", ужасный смог")</f>
        <v>Режим "Черное небо", ужасный смог</v>
      </c>
      <c r="AB867" s="6" t="str">
        <f>IFERROR(__xludf.DUMMYFUNCTION("""COMPUTED_VALUE"""),"Затрудняюсь ответить ")</f>
        <v>Затрудняюсь ответить </v>
      </c>
      <c r="AC867" s="6" t="str">
        <f>IFERROR(__xludf.DUMMYFUNCTION("""COMPUTED_VALUE"""),"Открытие аквапарка, океанариума, дельфинариума
Не хватает водных прогулок по реке на теплоходе, желательно с экскурсией")</f>
        <v>Открытие аквапарка, океанариума, дельфинариума
Не хватает водных прогулок по реке на теплоходе, желательно с экскурсией</v>
      </c>
      <c r="AD86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867" s="6" t="str">
        <f>IFERROR(__xludf.DUMMYFUNCTION("""COMPUTED_VALUE"""),"Женский")</f>
        <v>Женский</v>
      </c>
      <c r="AF867" s="6" t="str">
        <f>IFERROR(__xludf.DUMMYFUNCTION("""COMPUTED_VALUE"""),"18-29")</f>
        <v>18-29</v>
      </c>
      <c r="AG867" s="6"/>
      <c r="AH867" s="6"/>
      <c r="AI867" s="6"/>
      <c r="AJ867" s="6"/>
      <c r="AK867" s="6"/>
      <c r="AL867" s="6"/>
      <c r="AM867" s="6"/>
    </row>
    <row r="868">
      <c r="A868" s="6">
        <v>867.0</v>
      </c>
      <c r="B868" s="6" t="str">
        <f>IFERROR(__xludf.DUMMYFUNCTION("""COMPUTED_VALUE"""),"служащий")</f>
        <v>служащий</v>
      </c>
      <c r="C868" s="6" t="str">
        <f>IFERROR(__xludf.DUMMYFUNCTION("""COMPUTED_VALUE"""),"Есть, разные")</f>
        <v>Есть, разные</v>
      </c>
      <c r="D868" s="6" t="str">
        <f>IFERROR(__xludf.DUMMYFUNCTION("""COMPUTED_VALUE"""),"Рудничный")</f>
        <v>Рудничный</v>
      </c>
      <c r="E868" s="6" t="str">
        <f>IFERROR(__xludf.DUMMYFUNCTION("""COMPUTED_VALUE"""),"Бор")</f>
        <v>Бор</v>
      </c>
      <c r="F868" s="6" t="str">
        <f>IFERROR(__xludf.DUMMYFUNCTION("""COMPUTED_VALUE"""),"Живу здесь с рождения")</f>
        <v>Живу здесь с рождения</v>
      </c>
      <c r="G868" s="6" t="str">
        <f>IFERROR(__xludf.DUMMYFUNCTION("""COMPUTED_VALUE"""),"Набережная")</f>
        <v>Набережная</v>
      </c>
      <c r="H868" s="6" t="str">
        <f>IFERROR(__xludf.DUMMYFUNCTION("""COMPUTED_VALUE"""),"Дом, Родина, Кузбасс, Сибирь, Томь")</f>
        <v>Дом, Родина, Кузбасс, Сибирь, Томь</v>
      </c>
      <c r="I868" s="6" t="str">
        <f>IFERROR(__xludf.DUMMYFUNCTION("""COMPUTED_VALUE"""),"Михайло Волков")</f>
        <v>Михайло Волков</v>
      </c>
      <c r="J868" s="6" t="str">
        <f>IFERROR(__xludf.DUMMYFUNCTION("""COMPUTED_VALUE"""),"Владимир Васильевич Михайлов")</f>
        <v>Владимир Васильевич Михайлов</v>
      </c>
      <c r="K868" s="6" t="str">
        <f>IFERROR(__xludf.DUMMYFUNCTION("""COMPUTED_VALUE"""),"Набережная ")</f>
        <v>Набережная </v>
      </c>
      <c r="L868" s="6" t="str">
        <f>IFERROR(__xludf.DUMMYFUNCTION("""COMPUTED_VALUE"""),"Не знаю")</f>
        <v>Не знаю</v>
      </c>
      <c r="M868" s="6" t="str">
        <f>IFERROR(__xludf.DUMMYFUNCTION("""COMPUTED_VALUE"""),"Нет")</f>
        <v>Нет</v>
      </c>
      <c r="N868" s="6" t="str">
        <f>IFERROR(__xludf.DUMMYFUNCTION("""COMPUTED_VALUE"""),"Своевременное функционирование общественного транспорта, наличие объездной дороги, достаточное количество детских садов и школ, достаточное количество поликлиник и больниц, строительство дополнительного моста")</f>
        <v>Своевременное функционирование общественного транспорта, наличие объездной дороги, достаточное количество детских садов и школ, достаточное количество поликлиник и больниц, строительство дополнительного моста</v>
      </c>
      <c r="O868" s="6" t="str">
        <f>IFERROR(__xludf.DUMMYFUNCTION("""COMPUTED_VALUE"""),"Построить дополнительный мост")</f>
        <v>Построить дополнительный мост</v>
      </c>
      <c r="P868" s="6" t="str">
        <f>IFERROR(__xludf.DUMMYFUNCTION("""COMPUTED_VALUE"""),"Инстаграм")</f>
        <v>Инстаграм</v>
      </c>
      <c r="Q868" s="6" t="str">
        <f>IFERROR(__xludf.DUMMYFUNCTION("""COMPUTED_VALUE"""),"городская афиша (кино/театр/концерты), интервью с местными политиками, новости про новые профессии/куда поступать/вакансии")</f>
        <v>городская афиша (кино/театр/концерты), интервью с местными политиками, новости про новые профессии/куда поступать/вакансии</v>
      </c>
      <c r="R868" s="6" t="str">
        <f>IFERROR(__xludf.DUMMYFUNCTION("""COMPUTED_VALUE"""),"День Победы")</f>
        <v>День Победы</v>
      </c>
      <c r="S868" s="6" t="str">
        <f>IFERROR(__xludf.DUMMYFUNCTION("""COMPUTED_VALUE"""),"Нет, не приходилось")</f>
        <v>Нет, не приходилось</v>
      </c>
      <c r="T868" s="6" t="str">
        <f>IFERROR(__xludf.DUMMYFUNCTION("""COMPUTED_VALUE"""),"Своими предприятиями")</f>
        <v>Своими предприятиями</v>
      </c>
      <c r="U868" s="6" t="str">
        <f>IFERROR(__xludf.DUMMYFUNCTION("""COMPUTED_VALUE"""),"Центр города")</f>
        <v>Центр города</v>
      </c>
      <c r="V868" s="6" t="str">
        <f>IFERROR(__xludf.DUMMYFUNCTION("""COMPUTED_VALUE"""),"Строили объекты жизнедеятельности, работали на предприятиях")</f>
        <v>Строили объекты жизнедеятельности, работали на предприятиях</v>
      </c>
      <c r="W868" s="6" t="str">
        <f>IFERROR(__xludf.DUMMYFUNCTION("""COMPUTED_VALUE"""),"Целеустремленные")</f>
        <v>Целеустремленные</v>
      </c>
      <c r="X868" s="6" t="str">
        <f>IFERROR(__xludf.DUMMYFUNCTION("""COMPUTED_VALUE"""),"По центру города")</f>
        <v>По центру города</v>
      </c>
      <c r="Y868" s="6" t="str">
        <f>IFERROR(__xludf.DUMMYFUNCTION("""COMPUTED_VALUE"""),"Не могу вспомнить")</f>
        <v>Не могу вспомнить</v>
      </c>
      <c r="Z868" s="6" t="str">
        <f>IFERROR(__xludf.DUMMYFUNCTION("""COMPUTED_VALUE"""),"Таких не было")</f>
        <v>Таких не было</v>
      </c>
      <c r="AA868" s="6" t="str">
        <f>IFERROR(__xludf.DUMMYFUNCTION("""COMPUTED_VALUE"""),"Пожары, пандемия, смог")</f>
        <v>Пожары, пандемия, смог</v>
      </c>
      <c r="AB868" s="6" t="str">
        <f>IFERROR(__xludf.DUMMYFUNCTION("""COMPUTED_VALUE"""),"Нет таких")</f>
        <v>Нет таких</v>
      </c>
      <c r="AC868" s="6" t="str">
        <f>IFERROR(__xludf.DUMMYFUNCTION("""COMPUTED_VALUE"""),"Экологические")</f>
        <v>Экологические</v>
      </c>
      <c r="AD86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868" s="6" t="str">
        <f>IFERROR(__xludf.DUMMYFUNCTION("""COMPUTED_VALUE"""),"Женский")</f>
        <v>Женский</v>
      </c>
      <c r="AF868" s="6" t="str">
        <f>IFERROR(__xludf.DUMMYFUNCTION("""COMPUTED_VALUE"""),"30-44")</f>
        <v>30-44</v>
      </c>
      <c r="AG868" s="6"/>
      <c r="AH868" s="6"/>
      <c r="AI868" s="6"/>
      <c r="AJ868" s="6"/>
      <c r="AK868" s="6"/>
      <c r="AL868" s="6"/>
      <c r="AM868" s="6"/>
    </row>
    <row r="869">
      <c r="A869" s="6">
        <v>868.0</v>
      </c>
      <c r="B869" s="6" t="str">
        <f>IFERROR(__xludf.DUMMYFUNCTION("""COMPUTED_VALUE"""),"Служащий")</f>
        <v>Служащий</v>
      </c>
      <c r="C869" s="6" t="str">
        <f>IFERROR(__xludf.DUMMYFUNCTION("""COMPUTED_VALUE"""),"Автопутешествия")</f>
        <v>Автопутешествия</v>
      </c>
      <c r="D869" s="6" t="str">
        <f>IFERROR(__xludf.DUMMYFUNCTION("""COMPUTED_VALUE"""),"Центр")</f>
        <v>Центр</v>
      </c>
      <c r="E869" s="6" t="str">
        <f>IFERROR(__xludf.DUMMYFUNCTION("""COMPUTED_VALUE"""),"Парк Жукова, парк Антошка")</f>
        <v>Парк Жукова, парк Антошка</v>
      </c>
      <c r="F869" s="6" t="str">
        <f>IFERROR(__xludf.DUMMYFUNCTION("""COMPUTED_VALUE"""),"Живу здесь с рождения")</f>
        <v>Живу здесь с рождения</v>
      </c>
      <c r="G869" s="6" t="str">
        <f>IFERROR(__xludf.DUMMYFUNCTION("""COMPUTED_VALUE"""),"Почти везде")</f>
        <v>Почти везде</v>
      </c>
      <c r="H869" s="6" t="str">
        <f>IFERROR(__xludf.DUMMYFUNCTION("""COMPUTED_VALUE"""),"Столица, родина, пробки, деревня, река")</f>
        <v>Столица, родина, пробки, деревня, река</v>
      </c>
      <c r="I869" s="6" t="str">
        <f>IFERROR(__xludf.DUMMYFUNCTION("""COMPUTED_VALUE"""),"Михайлов, Волков. ")</f>
        <v>Михайлов, Волков. </v>
      </c>
      <c r="J869" s="6" t="str">
        <f>IFERROR(__xludf.DUMMYFUNCTION("""COMPUTED_VALUE"""),"Не знаю ")</f>
        <v>Не знаю </v>
      </c>
      <c r="K869" s="6" t="str">
        <f>IFERROR(__xludf.DUMMYFUNCTION("""COMPUTED_VALUE"""),"Лесная поляна. ")</f>
        <v>Лесная поляна. </v>
      </c>
      <c r="L869" s="6" t="str">
        <f>IFERROR(__xludf.DUMMYFUNCTION("""COMPUTED_VALUE"""),"Нет такого")</f>
        <v>Нет такого</v>
      </c>
      <c r="M869" s="6" t="str">
        <f>IFERROR(__xludf.DUMMYFUNCTION("""COMPUTED_VALUE"""),"Нет ")</f>
        <v>Нет </v>
      </c>
      <c r="N869" s="6" t="str">
        <f>IFERROR(__xludf.DUMMYFUNCTION("""COMPUTED_VALUE"""),"Удобные дороги, хорошие магазины, доступные услуги организаций культуры, доступное жилье (в том числе плата за коммуналку), удобные и интересные парковые зоны")</f>
        <v>Удобные дороги, хорошие магазины, доступные услуги организаций культуры, доступное жилье (в том числе плата за коммуналку), удобные и интересные парковые зоны</v>
      </c>
      <c r="O869" s="6" t="str">
        <f>IFERROR(__xludf.DUMMYFUNCTION("""COMPUTED_VALUE"""),"Схему движения транспорта. ")</f>
        <v>Схему движения транспорта. </v>
      </c>
      <c r="P869" s="6" t="str">
        <f>IFERROR(__xludf.DUMMYFUNCTION("""COMPUTED_VALUE"""),"Инстаграмм")</f>
        <v>Инстаграмм</v>
      </c>
      <c r="Q869"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869" s="6" t="str">
        <f>IFERROR(__xludf.DUMMYFUNCTION("""COMPUTED_VALUE"""),"День города ")</f>
        <v>День города </v>
      </c>
      <c r="S869" s="6" t="str">
        <f>IFERROR(__xludf.DUMMYFUNCTION("""COMPUTED_VALUE"""),"Нет, не приходилось")</f>
        <v>Нет, не приходилось</v>
      </c>
      <c r="T869" s="6" t="str">
        <f>IFERROR(__xludf.DUMMYFUNCTION("""COMPUTED_VALUE"""),"Промышленный город")</f>
        <v>Промышленный город</v>
      </c>
      <c r="U869" s="6" t="str">
        <f>IFERROR(__xludf.DUMMYFUNCTION("""COMPUTED_VALUE"""),"Улица Весенняя ")</f>
        <v>Улица Весенняя </v>
      </c>
      <c r="V869" s="6" t="str">
        <f>IFERROR(__xludf.DUMMYFUNCTION("""COMPUTED_VALUE"""),"Выжили")</f>
        <v>Выжили</v>
      </c>
      <c r="W869" s="6" t="str">
        <f>IFERROR(__xludf.DUMMYFUNCTION("""COMPUTED_VALUE"""),"Доброта и уважение друг к другу")</f>
        <v>Доброта и уважение друг к другу</v>
      </c>
      <c r="X869" s="6" t="str">
        <f>IFERROR(__xludf.DUMMYFUNCTION("""COMPUTED_VALUE"""),"Район Азота")</f>
        <v>Район Азота</v>
      </c>
      <c r="Y869" s="6" t="str">
        <f>IFERROR(__xludf.DUMMYFUNCTION("""COMPUTED_VALUE"""),"Запуск трамвая")</f>
        <v>Запуск трамвая</v>
      </c>
      <c r="Z869" s="6" t="str">
        <f>IFERROR(__xludf.DUMMYFUNCTION("""COMPUTED_VALUE"""),"Открытие новых дорог ")</f>
        <v>Открытие новых дорог </v>
      </c>
      <c r="AA869" s="6" t="str">
        <f>IFERROR(__xludf.DUMMYFUNCTION("""COMPUTED_VALUE"""),"Митинги в 2021 году")</f>
        <v>Митинги в 2021 году</v>
      </c>
      <c r="AB869" s="6" t="str">
        <f>IFERROR(__xludf.DUMMYFUNCTION("""COMPUTED_VALUE"""),"Для развития детей и молодёжи ")</f>
        <v>Для развития детей и молодёжи </v>
      </c>
      <c r="AC869" s="6" t="str">
        <f>IFERROR(__xludf.DUMMYFUNCTION("""COMPUTED_VALUE"""),"Бесплатные концерты на открытых площадках ")</f>
        <v>Бесплатные концерты на открытых площадках </v>
      </c>
      <c r="AD869"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69" s="6" t="str">
        <f>IFERROR(__xludf.DUMMYFUNCTION("""COMPUTED_VALUE"""),"Мужской")</f>
        <v>Мужской</v>
      </c>
      <c r="AF869" s="6" t="str">
        <f>IFERROR(__xludf.DUMMYFUNCTION("""COMPUTED_VALUE"""),"30-44")</f>
        <v>30-44</v>
      </c>
      <c r="AG869" s="6"/>
      <c r="AH869" s="6"/>
      <c r="AI869" s="6"/>
      <c r="AJ869" s="6"/>
      <c r="AK869" s="6"/>
      <c r="AL869" s="6"/>
      <c r="AM869" s="6"/>
    </row>
    <row r="870">
      <c r="A870" s="6">
        <v>869.0</v>
      </c>
      <c r="B870" s="6" t="str">
        <f>IFERROR(__xludf.DUMMYFUNCTION("""COMPUTED_VALUE"""),"Служащий")</f>
        <v>Служащий</v>
      </c>
      <c r="C870" s="6" t="str">
        <f>IFERROR(__xludf.DUMMYFUNCTION("""COMPUTED_VALUE"""),"Автопутешествия")</f>
        <v>Автопутешествия</v>
      </c>
      <c r="D870" s="6" t="str">
        <f>IFERROR(__xludf.DUMMYFUNCTION("""COMPUTED_VALUE"""),"Центр")</f>
        <v>Центр</v>
      </c>
      <c r="E870" s="6" t="str">
        <f>IFERROR(__xludf.DUMMYFUNCTION("""COMPUTED_VALUE"""),"Парк Жукова, парк Антошка")</f>
        <v>Парк Жукова, парк Антошка</v>
      </c>
      <c r="F870" s="6" t="str">
        <f>IFERROR(__xludf.DUMMYFUNCTION("""COMPUTED_VALUE"""),"Живу здесь с рождения")</f>
        <v>Живу здесь с рождения</v>
      </c>
      <c r="G870" s="6" t="str">
        <f>IFERROR(__xludf.DUMMYFUNCTION("""COMPUTED_VALUE"""),"Почти везде")</f>
        <v>Почти везде</v>
      </c>
      <c r="H870" s="6" t="str">
        <f>IFERROR(__xludf.DUMMYFUNCTION("""COMPUTED_VALUE"""),"Столица, родина, пробки, деревня, река")</f>
        <v>Столица, родина, пробки, деревня, река</v>
      </c>
      <c r="I870" s="6" t="str">
        <f>IFERROR(__xludf.DUMMYFUNCTION("""COMPUTED_VALUE"""),"Михайлов, Волков. ")</f>
        <v>Михайлов, Волков. </v>
      </c>
      <c r="J870" s="6" t="str">
        <f>IFERROR(__xludf.DUMMYFUNCTION("""COMPUTED_VALUE"""),"Не знаю ")</f>
        <v>Не знаю </v>
      </c>
      <c r="K870" s="6" t="str">
        <f>IFERROR(__xludf.DUMMYFUNCTION("""COMPUTED_VALUE"""),"Лесная поляна. ")</f>
        <v>Лесная поляна. </v>
      </c>
      <c r="L870" s="6" t="str">
        <f>IFERROR(__xludf.DUMMYFUNCTION("""COMPUTED_VALUE"""),"Нет такого")</f>
        <v>Нет такого</v>
      </c>
      <c r="M870" s="6" t="str">
        <f>IFERROR(__xludf.DUMMYFUNCTION("""COMPUTED_VALUE"""),"Нет ")</f>
        <v>Нет </v>
      </c>
      <c r="N870" s="6" t="str">
        <f>IFERROR(__xludf.DUMMYFUNCTION("""COMPUTED_VALUE"""),"Удобные дороги, хорошие магазины, доступные услуги организаций культуры, доступное жилье (в том числе плата за коммуналку), удобные и интересные парковые зоны")</f>
        <v>Удобные дороги, хорошие магазины, доступные услуги организаций культуры, доступное жилье (в том числе плата за коммуналку), удобные и интересные парковые зоны</v>
      </c>
      <c r="O870" s="6" t="str">
        <f>IFERROR(__xludf.DUMMYFUNCTION("""COMPUTED_VALUE"""),"Схему движения транспорта. ")</f>
        <v>Схему движения транспорта. </v>
      </c>
      <c r="P870" s="6" t="str">
        <f>IFERROR(__xludf.DUMMYFUNCTION("""COMPUTED_VALUE"""),"Инстаграмм")</f>
        <v>Инстаграмм</v>
      </c>
      <c r="Q870"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870" s="6" t="str">
        <f>IFERROR(__xludf.DUMMYFUNCTION("""COMPUTED_VALUE"""),"День города ")</f>
        <v>День города </v>
      </c>
      <c r="S870" s="6" t="str">
        <f>IFERROR(__xludf.DUMMYFUNCTION("""COMPUTED_VALUE"""),"Нет, не приходилось")</f>
        <v>Нет, не приходилось</v>
      </c>
      <c r="T870" s="6" t="str">
        <f>IFERROR(__xludf.DUMMYFUNCTION("""COMPUTED_VALUE"""),"Промышленный город")</f>
        <v>Промышленный город</v>
      </c>
      <c r="U870" s="6" t="str">
        <f>IFERROR(__xludf.DUMMYFUNCTION("""COMPUTED_VALUE"""),"Улица Весенняя ")</f>
        <v>Улица Весенняя </v>
      </c>
      <c r="V870" s="6" t="str">
        <f>IFERROR(__xludf.DUMMYFUNCTION("""COMPUTED_VALUE"""),"Выжили")</f>
        <v>Выжили</v>
      </c>
      <c r="W870" s="6" t="str">
        <f>IFERROR(__xludf.DUMMYFUNCTION("""COMPUTED_VALUE"""),"Доброта и уважение друг к другу")</f>
        <v>Доброта и уважение друг к другу</v>
      </c>
      <c r="X870" s="6" t="str">
        <f>IFERROR(__xludf.DUMMYFUNCTION("""COMPUTED_VALUE"""),"Район Азота")</f>
        <v>Район Азота</v>
      </c>
      <c r="Y870" s="6" t="str">
        <f>IFERROR(__xludf.DUMMYFUNCTION("""COMPUTED_VALUE"""),"Запуск трамвая")</f>
        <v>Запуск трамвая</v>
      </c>
      <c r="Z870" s="6" t="str">
        <f>IFERROR(__xludf.DUMMYFUNCTION("""COMPUTED_VALUE"""),"Открытие новых дорог ")</f>
        <v>Открытие новых дорог </v>
      </c>
      <c r="AA870" s="6" t="str">
        <f>IFERROR(__xludf.DUMMYFUNCTION("""COMPUTED_VALUE"""),"Митинги в 2021 году")</f>
        <v>Митинги в 2021 году</v>
      </c>
      <c r="AB870" s="6" t="str">
        <f>IFERROR(__xludf.DUMMYFUNCTION("""COMPUTED_VALUE"""),"Для развития детей и молодёжи ")</f>
        <v>Для развития детей и молодёжи </v>
      </c>
      <c r="AC870" s="6" t="str">
        <f>IFERROR(__xludf.DUMMYFUNCTION("""COMPUTED_VALUE"""),"Бесплатные концерты на открытых площадках ")</f>
        <v>Бесплатные концерты на открытых площадках </v>
      </c>
      <c r="AD87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70" s="6" t="str">
        <f>IFERROR(__xludf.DUMMYFUNCTION("""COMPUTED_VALUE"""),"Мужской")</f>
        <v>Мужской</v>
      </c>
      <c r="AF870" s="6" t="str">
        <f>IFERROR(__xludf.DUMMYFUNCTION("""COMPUTED_VALUE"""),"30-44")</f>
        <v>30-44</v>
      </c>
      <c r="AG870" s="6"/>
      <c r="AH870" s="6"/>
      <c r="AI870" s="6"/>
      <c r="AJ870" s="6"/>
      <c r="AK870" s="6"/>
      <c r="AL870" s="6"/>
      <c r="AM870" s="6"/>
    </row>
    <row r="871">
      <c r="A871" s="6">
        <v>870.0</v>
      </c>
      <c r="B871" s="6" t="str">
        <f>IFERROR(__xludf.DUMMYFUNCTION("""COMPUTED_VALUE"""),"Работаю")</f>
        <v>Работаю</v>
      </c>
      <c r="C871" s="6" t="str">
        <f>IFERROR(__xludf.DUMMYFUNCTION("""COMPUTED_VALUE"""),"Нет")</f>
        <v>Нет</v>
      </c>
      <c r="D871" s="6" t="str">
        <f>IFERROR(__xludf.DUMMYFUNCTION("""COMPUTED_VALUE"""),"Кедровка")</f>
        <v>Кедровка</v>
      </c>
      <c r="E871" s="6" t="str">
        <f>IFERROR(__xludf.DUMMYFUNCTION("""COMPUTED_VALUE"""),"Аллея")</f>
        <v>Аллея</v>
      </c>
      <c r="F871" s="6" t="str">
        <f>IFERROR(__xludf.DUMMYFUNCTION("""COMPUTED_VALUE"""),"Живу здесь с рождения")</f>
        <v>Живу здесь с рождения</v>
      </c>
      <c r="G871" s="6" t="str">
        <f>IFERROR(__xludf.DUMMYFUNCTION("""COMPUTED_VALUE"""),"Парк чудес")</f>
        <v>Парк чудес</v>
      </c>
      <c r="H871" s="6" t="str">
        <f>IFERROR(__xludf.DUMMYFUNCTION("""COMPUTED_VALUE"""),"Красивый, уютный, современный, ")</f>
        <v>Красивый, уютный, современный, </v>
      </c>
      <c r="I871" s="6" t="str">
        <f>IFERROR(__xludf.DUMMYFUNCTION("""COMPUTED_VALUE"""),"Волков")</f>
        <v>Волков</v>
      </c>
      <c r="J871" s="6" t="str">
        <f>IFERROR(__xludf.DUMMYFUNCTION("""COMPUTED_VALUE"""),"Малышева")</f>
        <v>Малышева</v>
      </c>
      <c r="K871" s="6" t="str">
        <f>IFERROR(__xludf.DUMMYFUNCTION("""COMPUTED_VALUE"""),"Парк ангелов")</f>
        <v>Парк ангелов</v>
      </c>
      <c r="L871" s="6" t="str">
        <f>IFERROR(__xludf.DUMMYFUNCTION("""COMPUTED_VALUE"""),"Не знаю")</f>
        <v>Не знаю</v>
      </c>
      <c r="M871" s="6" t="str">
        <f>IFERROR(__xludf.DUMMYFUNCTION("""COMPUTED_VALUE"""),"Не знаю ")</f>
        <v>Не знаю </v>
      </c>
      <c r="N871" s="6" t="str">
        <f>IFERROR(__xludf.DUMMYFUNCTION("""COMPUTED_VALUE"""),"Чистота")</f>
        <v>Чистота</v>
      </c>
      <c r="O871" s="6" t="str">
        <f>IFERROR(__xludf.DUMMYFUNCTION("""COMPUTED_VALUE"""),"Дороги")</f>
        <v>Дороги</v>
      </c>
      <c r="P871" s="6" t="str">
        <f>IFERROR(__xludf.DUMMYFUNCTION("""COMPUTED_VALUE"""),"Интернет")</f>
        <v>Интернет</v>
      </c>
      <c r="Q871" s="6" t="str">
        <f>IFERROR(__xludf.DUMMYFUNCTION("""COMPUTED_VALUE"""),"городская афиша (кино/театр/концерты)")</f>
        <v>городская афиша (кино/театр/концерты)</v>
      </c>
      <c r="R871" s="6" t="str">
        <f>IFERROR(__xludf.DUMMYFUNCTION("""COMPUTED_VALUE"""),"День города")</f>
        <v>День города</v>
      </c>
      <c r="S871" s="6" t="str">
        <f>IFERROR(__xludf.DUMMYFUNCTION("""COMPUTED_VALUE"""),"Нет, не приходилось")</f>
        <v>Нет, не приходилось</v>
      </c>
      <c r="T871" s="6" t="str">
        <f>IFERROR(__xludf.DUMMYFUNCTION("""COMPUTED_VALUE"""),"Театр")</f>
        <v>Театр</v>
      </c>
      <c r="U871" s="6" t="str">
        <f>IFERROR(__xludf.DUMMYFUNCTION("""COMPUTED_VALUE"""),"Площадь советов ")</f>
        <v>Площадь советов </v>
      </c>
      <c r="V871" s="6" t="str">
        <f>IFERROR(__xludf.DUMMYFUNCTION("""COMPUTED_VALUE"""),"Строительство")</f>
        <v>Строительство</v>
      </c>
      <c r="W871" s="6" t="str">
        <f>IFERROR(__xludf.DUMMYFUNCTION("""COMPUTED_VALUE"""),"Добрые, современные")</f>
        <v>Добрые, современные</v>
      </c>
      <c r="X871" s="6" t="str">
        <f>IFERROR(__xludf.DUMMYFUNCTION("""COMPUTED_VALUE"""),"Пр. Советов")</f>
        <v>Пр. Советов</v>
      </c>
      <c r="Y871" s="6" t="str">
        <f>IFERROR(__xludf.DUMMYFUNCTION("""COMPUTED_VALUE"""),"Не помню")</f>
        <v>Не помню</v>
      </c>
      <c r="Z871" s="6" t="str">
        <f>IFERROR(__xludf.DUMMYFUNCTION("""COMPUTED_VALUE"""),"День шахтера")</f>
        <v>День шахтера</v>
      </c>
      <c r="AA871" s="6" t="str">
        <f>IFERROR(__xludf.DUMMYFUNCTION("""COMPUTED_VALUE"""),"Зимняя вишня")</f>
        <v>Зимняя вишня</v>
      </c>
      <c r="AB871" s="6" t="str">
        <f>IFERROR(__xludf.DUMMYFUNCTION("""COMPUTED_VALUE"""),"Все хватает")</f>
        <v>Все хватает</v>
      </c>
      <c r="AC871" s="6" t="str">
        <f>IFERROR(__xludf.DUMMYFUNCTION("""COMPUTED_VALUE"""),"Всё хорошо ")</f>
        <v>Всё хорошо </v>
      </c>
      <c r="AD87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71" s="6" t="str">
        <f>IFERROR(__xludf.DUMMYFUNCTION("""COMPUTED_VALUE"""),"Женский")</f>
        <v>Женский</v>
      </c>
      <c r="AF871" s="6" t="str">
        <f>IFERROR(__xludf.DUMMYFUNCTION("""COMPUTED_VALUE"""),"30-44")</f>
        <v>30-44</v>
      </c>
      <c r="AG871" s="6"/>
      <c r="AH871" s="6"/>
      <c r="AI871" s="6"/>
      <c r="AJ871" s="6"/>
      <c r="AK871" s="6"/>
      <c r="AL871" s="6"/>
      <c r="AM871" s="6"/>
    </row>
    <row r="872">
      <c r="A872" s="6">
        <v>871.0</v>
      </c>
      <c r="B872" s="6" t="str">
        <f>IFERROR(__xludf.DUMMYFUNCTION("""COMPUTED_VALUE"""),"Государственный служащий")</f>
        <v>Государственный служащий</v>
      </c>
      <c r="C872" s="6" t="str">
        <f>IFERROR(__xludf.DUMMYFUNCTION("""COMPUTED_VALUE"""),"Есть, рыбалка и спорт ")</f>
        <v>Есть, рыбалка и спорт </v>
      </c>
      <c r="D872" s="6" t="str">
        <f>IFERROR(__xludf.DUMMYFUNCTION("""COMPUTED_VALUE"""),"В Центральном, Московский")</f>
        <v>В Центральном, Московский</v>
      </c>
      <c r="E872" s="6" t="str">
        <f>IFERROR(__xludf.DUMMYFUNCTION("""COMPUTED_VALUE"""),"Президентское училище, больше нет ничего")</f>
        <v>Президентское училище, больше нет ничего</v>
      </c>
      <c r="F87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872" s="6" t="str">
        <f>IFERROR(__xludf.DUMMYFUNCTION("""COMPUTED_VALUE"""),"Парк в п. Металлоплощадка")</f>
        <v>Парк в п. Металлоплощадка</v>
      </c>
      <c r="H872" s="6" t="str">
        <f>IFERROR(__xludf.DUMMYFUNCTION("""COMPUTED_VALUE"""),"Азот, скульптура Эрнста Неизвестного, Лазурный, Парк Ангелов, ")</f>
        <v>Азот, скульптура Эрнста Неизвестного, Лазурный, Парк Ангелов, </v>
      </c>
      <c r="I872" s="6" t="str">
        <f>IFERROR(__xludf.DUMMYFUNCTION("""COMPUTED_VALUE"""),"Михайлов, Раздаев, Тулеев, Подгорбунский, Мартемьянов")</f>
        <v>Михайлов, Раздаев, Тулеев, Подгорбунский, Мартемьянов</v>
      </c>
      <c r="J872" s="6" t="str">
        <f>IFERROR(__xludf.DUMMYFUNCTION("""COMPUTED_VALUE"""),"Затрудняюсь ")</f>
        <v>Затрудняюсь </v>
      </c>
      <c r="K872" s="6" t="str">
        <f>IFERROR(__xludf.DUMMYFUNCTION("""COMPUTED_VALUE"""),"Музей Красная горка, ТРЦ Лапландия, Президентское училище, Парк Чудес, ГЦС «Кузбасс»")</f>
        <v>Музей Красная горка, ТРЦ Лапландия, Президентское училище, Парк Чудес, ГЦС «Кузбасс»</v>
      </c>
      <c r="L872" s="6" t="str">
        <f>IFERROR(__xludf.DUMMYFUNCTION("""COMPUTED_VALUE"""),"Песня Б. Гребенщикова «Человек из Кемерово»")</f>
        <v>Песня Б. Гребенщикова «Человек из Кемерово»</v>
      </c>
      <c r="M872" s="6" t="str">
        <f>IFERROR(__xludf.DUMMYFUNCTION("""COMPUTED_VALUE"""),"Нет")</f>
        <v>Нет</v>
      </c>
      <c r="N872" s="6" t="str">
        <f>IFERROR(__xludf.DUMMYFUNCTION("""COMPUTED_VALUE"""),"Экология, чистота, наличие зелёных зон, состояние дорог, наличие мест для отдыха и занятий спортом для детей")</f>
        <v>Экология, чистота, наличие зелёных зон, состояние дорог, наличие мест для отдыха и занятий спортом для детей</v>
      </c>
      <c r="O872" s="6" t="str">
        <f>IFERROR(__xludf.DUMMYFUNCTION("""COMPUTED_VALUE"""),"Убрать в городе мусор")</f>
        <v>Убрать в городе мусор</v>
      </c>
      <c r="P872" s="6" t="str">
        <f>IFERROR(__xludf.DUMMYFUNCTION("""COMPUTED_VALUE"""),"Яндекс Кемерово")</f>
        <v>Яндекс Кемерово</v>
      </c>
      <c r="Q872" s="6" t="str">
        <f>IFERROR(__xludf.DUMMYFUNCTION("""COMPUTED_VALUE"""),"куда пойти в свободное время, новости про новые профессии/куда поступать/вакансии, результаты местных исследований (рейтинги/аналитика/тенденции)")</f>
        <v>куда пойти в свободное время, новости про новые профессии/куда поступать/вакансии, результаты местных исследований (рейтинги/аналитика/тенденции)</v>
      </c>
      <c r="R872" s="6" t="str">
        <f>IFERROR(__xludf.DUMMYFUNCTION("""COMPUTED_VALUE"""),"Затрудняюсь ответить, так как после всех праздников остаются горы мусора")</f>
        <v>Затрудняюсь ответить, так как после всех праздников остаются горы мусора</v>
      </c>
      <c r="S872" s="6" t="str">
        <f>IFERROR(__xludf.DUMMYFUNCTION("""COMPUTED_VALUE"""),"Нет, не приходилось")</f>
        <v>Нет, не приходилось</v>
      </c>
      <c r="T872" s="6" t="str">
        <f>IFERROR(__xludf.DUMMYFUNCTION("""COMPUTED_VALUE"""),"Здесь родился Гришковец")</f>
        <v>Здесь родился Гришковец</v>
      </c>
      <c r="U872" s="6" t="str">
        <f>IFERROR(__xludf.DUMMYFUNCTION("""COMPUTED_VALUE"""),"Площадь Советов")</f>
        <v>Площадь Советов</v>
      </c>
      <c r="V872" s="6" t="str">
        <f>IFERROR(__xludf.DUMMYFUNCTION("""COMPUTED_VALUE"""),"Построили крупнейшие в СССР заводы, шахты, дороги, здания.")</f>
        <v>Построили крупнейшие в СССР заводы, шахты, дороги, здания.</v>
      </c>
      <c r="W872" s="6" t="str">
        <f>IFERROR(__xludf.DUMMYFUNCTION("""COMPUTED_VALUE"""),"Серьёзные люди ")</f>
        <v>Серьёзные люди </v>
      </c>
      <c r="X872" s="6" t="str">
        <f>IFERROR(__xludf.DUMMYFUNCTION("""COMPUTED_VALUE"""),"Набережная")</f>
        <v>Набережная</v>
      </c>
      <c r="Y872" s="6" t="str">
        <f>IFERROR(__xludf.DUMMYFUNCTION("""COMPUTED_VALUE"""),"300 лет Кузбассу")</f>
        <v>300 лет Кузбассу</v>
      </c>
      <c r="Z872" s="6" t="str">
        <f>IFERROR(__xludf.DUMMYFUNCTION("""COMPUTED_VALUE"""),"Никаких")</f>
        <v>Никаких</v>
      </c>
      <c r="AA872" s="6" t="str">
        <f>IFERROR(__xludf.DUMMYFUNCTION("""COMPUTED_VALUE"""),"Закрылся для посещения «СКЛазурный», дороги стали в городе отвратительными, подорожала оплата в детских садах, спортивный комплекс на Притомском строится для развития хоккея с мячом, а не с шайбой (А стадиона Химик недостаточно?). Экология стала хуже раза"&amp;" в три. Зимой совершенно нельзя на улицу выйти.")</f>
        <v>Закрылся для посещения «СКЛазурный», дороги стали в городе отвратительными, подорожала оплата в детских садах, спортивный комплекс на Притомском строится для развития хоккея с мячом, а не с шайбой (А стадиона Химик недостаточно?). Экология стала хуже раза в три. Зимой совершенно нельзя на улицу выйти.</v>
      </c>
      <c r="AB872" s="6" t="str">
        <f>IFERROR(__xludf.DUMMYFUNCTION("""COMPUTED_VALUE"""),"Не хватает общественников уличных")</f>
        <v>Не хватает общественников уличных</v>
      </c>
      <c r="AC872" s="6" t="str">
        <f>IFERROR(__xludf.DUMMYFUNCTION("""COMPUTED_VALUE"""),"Развивать детский хоккей с шайбой!!!")</f>
        <v>Развивать детский хоккей с шайбой!!!</v>
      </c>
      <c r="AD87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872" s="6" t="str">
        <f>IFERROR(__xludf.DUMMYFUNCTION("""COMPUTED_VALUE"""),"Мужской")</f>
        <v>Мужской</v>
      </c>
      <c r="AF872" s="6" t="str">
        <f>IFERROR(__xludf.DUMMYFUNCTION("""COMPUTED_VALUE"""),"30-44")</f>
        <v>30-44</v>
      </c>
      <c r="AG872" s="6"/>
      <c r="AH872" s="6"/>
      <c r="AI872" s="6"/>
      <c r="AJ872" s="6"/>
      <c r="AK872" s="6"/>
      <c r="AL872" s="6"/>
      <c r="AM872" s="6"/>
    </row>
    <row r="873">
      <c r="A873" s="6">
        <v>872.0</v>
      </c>
      <c r="B873" s="6" t="str">
        <f>IFERROR(__xludf.DUMMYFUNCTION("""COMPUTED_VALUE"""),"Государственная служба")</f>
        <v>Государственная служба</v>
      </c>
      <c r="C873" s="6" t="str">
        <f>IFERROR(__xludf.DUMMYFUNCTION("""COMPUTED_VALUE"""),"Да. Велосипедные прогулки. ")</f>
        <v>Да. Велосипедные прогулки. </v>
      </c>
      <c r="D873" s="6" t="str">
        <f>IFERROR(__xludf.DUMMYFUNCTION("""COMPUTED_VALUE"""),"В Центральном.")</f>
        <v>В Центральном.</v>
      </c>
      <c r="E873" s="6" t="str">
        <f>IFERROR(__xludf.DUMMYFUNCTION("""COMPUTED_VALUE"""),"Пионерский проспект, Комсомольский парк, новая Московская площадь торжеств. Кинотеатр Юбилейный. Цирк.")</f>
        <v>Пионерский проспект, Комсомольский парк, новая Московская площадь торжеств. Кинотеатр Юбилейный. Цирк.</v>
      </c>
      <c r="F873" s="6" t="str">
        <f>IFERROR(__xludf.DUMMYFUNCTION("""COMPUTED_VALUE"""),"Живу здесь с рождения")</f>
        <v>Живу здесь с рождения</v>
      </c>
      <c r="G873" s="6" t="str">
        <f>IFERROR(__xludf.DUMMYFUNCTION("""COMPUTED_VALUE"""),"Горсад, Комсомольский парк, Набережная реки Томь в Центре города, д.Сухово, *Наш парк*, Кировский район- набережная. Прогулочная зона около Президентского кадетского училища, Красное озеро и др.")</f>
        <v>Горсад, Комсомольский парк, Набережная реки Томь в Центре города, д.Сухово, *Наш парк*, Кировский район- набережная. Прогулочная зона около Президентского кадетского училища, Красное озеро и др.</v>
      </c>
      <c r="H873" s="6" t="str">
        <f>IFERROR(__xludf.DUMMYFUNCTION("""COMPUTED_VALUE"""),"Снег, столица Кузбасса, площадь Советов, грязный воздух, угольная пыль.")</f>
        <v>Снег, столица Кузбасса, площадь Советов, грязный воздух, угольная пыль.</v>
      </c>
      <c r="I873" s="6" t="str">
        <f>IFERROR(__xludf.DUMMYFUNCTION("""COMPUTED_VALUE"""),"М.Волков, Киров, Леонов, Ленин, Радищев и др.")</f>
        <v>М.Волков, Киров, Леонов, Ленин, Радищев и др.</v>
      </c>
      <c r="J873" s="6" t="str">
        <f>IFERROR(__xludf.DUMMYFUNCTION("""COMPUTED_VALUE"""),"В.В.Михайлов и др.")</f>
        <v>В.В.Михайлов и др.</v>
      </c>
      <c r="K873" s="6" t="str">
        <f>IFERROR(__xludf.DUMMYFUNCTION("""COMPUTED_VALUE"""),"Центр города, театр Драмы, ул. Весенняя, скверы и парки и др.")</f>
        <v>Центр города, театр Драмы, ул. Весенняя, скверы и парки и др.</v>
      </c>
      <c r="L873" s="6" t="str">
        <f>IFERROR(__xludf.DUMMYFUNCTION("""COMPUTED_VALUE"""),"Сибирский характер, суровые и терпеливые люди привыкшие к тяжелому труду в трудных условиях холодного климата.")</f>
        <v>Сибирский характер, суровые и терпеливые люди привыкшие к тяжелому труду в трудных условиях холодного климата.</v>
      </c>
      <c r="M873" s="6" t="str">
        <f>IFERROR(__xludf.DUMMYFUNCTION("""COMPUTED_VALUE"""),"Жкс, Третий особый, 57магазин.")</f>
        <v>Жкс, Третий особый, 57магазин.</v>
      </c>
      <c r="N873" s="6" t="str">
        <f>IFERROR(__xludf.DUMMYFUNCTION("""COMPUTED_VALUE"""),"Экология, здравоохранение, хорошие дороги, образование, досуг.")</f>
        <v>Экология, здравоохранение, хорошие дороги, образование, досуг.</v>
      </c>
      <c r="O873" s="6" t="str">
        <f>IFERROR(__xludf.DUMMYFUNCTION("""COMPUTED_VALUE"""),"Сделать воздух чище, поставить фильтры на трубы заводов.")</f>
        <v>Сделать воздух чище, поставить фильтры на трубы заводов.</v>
      </c>
      <c r="P873" s="6" t="str">
        <f>IFERROR(__xludf.DUMMYFUNCTION("""COMPUTED_VALUE"""),"От друзей и знакомых, афиши, реклама на радио, инстаграм.")</f>
        <v>От друзей и знакомых, афиши, реклама на радио, инстаграм.</v>
      </c>
      <c r="Q873"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873" s="6" t="str">
        <f>IFERROR(__xludf.DUMMYFUNCTION("""COMPUTED_VALUE"""),"День Победы, день города, день шахтера.")</f>
        <v>День Победы, день города, день шахтера.</v>
      </c>
      <c r="S873" s="6" t="str">
        <f>IFERROR(__xludf.DUMMYFUNCTION("""COMPUTED_VALUE"""),"Нет, не приходилось")</f>
        <v>Нет, не приходилось</v>
      </c>
      <c r="T873" s="6" t="str">
        <f>IFERROR(__xludf.DUMMYFUNCTION("""COMPUTED_VALUE"""),"Шахтерский край")</f>
        <v>Шахтерский край</v>
      </c>
      <c r="U873" s="6" t="str">
        <f>IFERROR(__xludf.DUMMYFUNCTION("""COMPUTED_VALUE"""),"Площадь Советов")</f>
        <v>Площадь Советов</v>
      </c>
      <c r="V873" s="6" t="str">
        <f>IFERROR(__xludf.DUMMYFUNCTION("""COMPUTED_VALUE"""),"Преобразили")</f>
        <v>Преобразили</v>
      </c>
      <c r="W873" s="6" t="str">
        <f>IFERROR(__xludf.DUMMYFUNCTION("""COMPUTED_VALUE"""),"Суровые трудолюбивые люди которые умеют радоваться жизни.")</f>
        <v>Суровые трудолюбивые люди которые умеют радоваться жизни.</v>
      </c>
      <c r="X873" s="6" t="str">
        <f>IFERROR(__xludf.DUMMYFUNCTION("""COMPUTED_VALUE"""),"На набережную")</f>
        <v>На набережную</v>
      </c>
      <c r="Y873" s="6" t="str">
        <f>IFERROR(__xludf.DUMMYFUNCTION("""COMPUTED_VALUE"""),"Много событий произошло")</f>
        <v>Много событий произошло</v>
      </c>
      <c r="Z873" s="6" t="str">
        <f>IFERROR(__xludf.DUMMYFUNCTION("""COMPUTED_VALUE"""),"Начали строить много жилья и новых обьектов, разбивать скверы и парки. ")</f>
        <v>Начали строить много жилья и новых обьектов, разбивать скверы и парки. </v>
      </c>
      <c r="AA873" s="6" t="str">
        <f>IFERROR(__xludf.DUMMYFUNCTION("""COMPUTED_VALUE"""),"Нет таких")</f>
        <v>Нет таких</v>
      </c>
      <c r="AB873" s="6" t="str">
        <f>IFERROR(__xludf.DUMMYFUNCTION("""COMPUTED_VALUE"""),"Всего достаточно")</f>
        <v>Всего достаточно</v>
      </c>
      <c r="AC873" s="6" t="str">
        <f>IFERROR(__xludf.DUMMYFUNCTION("""COMPUTED_VALUE"""),"И так очень интересно")</f>
        <v>И так очень интересно</v>
      </c>
      <c r="AD87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73" s="6" t="str">
        <f>IFERROR(__xludf.DUMMYFUNCTION("""COMPUTED_VALUE"""),"Женский")</f>
        <v>Женский</v>
      </c>
      <c r="AF873" s="6" t="str">
        <f>IFERROR(__xludf.DUMMYFUNCTION("""COMPUTED_VALUE"""),"30-44")</f>
        <v>30-44</v>
      </c>
      <c r="AG873" s="6"/>
      <c r="AH873" s="6"/>
      <c r="AI873" s="6"/>
      <c r="AJ873" s="6"/>
      <c r="AK873" s="6"/>
      <c r="AL873" s="6"/>
      <c r="AM873" s="6"/>
    </row>
    <row r="874">
      <c r="A874" s="6">
        <v>873.0</v>
      </c>
      <c r="B874" s="6" t="str">
        <f>IFERROR(__xludf.DUMMYFUNCTION("""COMPUTED_VALUE"""),"госслужба")</f>
        <v>госслужба</v>
      </c>
      <c r="C874" s="6" t="str">
        <f>IFERROR(__xludf.DUMMYFUNCTION("""COMPUTED_VALUE"""),"стретчинг")</f>
        <v>стретчинг</v>
      </c>
      <c r="D874" s="6" t="str">
        <f>IFERROR(__xludf.DUMMYFUNCTION("""COMPUTED_VALUE"""),"Ленинский район")</f>
        <v>Ленинский район</v>
      </c>
      <c r="E874" s="6" t="str">
        <f>IFERROR(__xludf.DUMMYFUNCTION("""COMPUTED_VALUE"""),"Линейный парк на бульваре Строителей")</f>
        <v>Линейный парк на бульваре Строителей</v>
      </c>
      <c r="F874" s="6" t="str">
        <f>IFERROR(__xludf.DUMMYFUNCTION("""COMPUTED_VALUE"""),"Переехал сюда из другого места (откуда? укажите в графе другое), из Таштагола, приехала для учебы в универе в 17 лет")</f>
        <v>Переехал сюда из другого места (откуда? укажите в графе другое), из Таштагола, приехала для учебы в универе в 17 лет</v>
      </c>
      <c r="G874" s="6" t="str">
        <f>IFERROR(__xludf.DUMMYFUNCTION("""COMPUTED_VALUE"""),"в парки, в ТЦ")</f>
        <v>в парки, в ТЦ</v>
      </c>
      <c r="H874" s="6" t="str">
        <f>IFERROR(__xludf.DUMMYFUNCTION("""COMPUTED_VALUE"""),"Парк Чудес, Парк Ангелов, Комсомольский парк, Томская Писаница, Красная Горка")</f>
        <v>Парк Чудес, Парк Ангелов, Комсомольский парк, Томская Писаница, Красная Горка</v>
      </c>
      <c r="I874" s="6" t="str">
        <f>IFERROR(__xludf.DUMMYFUNCTION("""COMPUTED_VALUE"""),"Алексей Леонов, Вера Волошина, Юрий Двужильный, Александр Бобров, Степан Беляев")</f>
        <v>Алексей Леонов, Вера Волошина, Юрий Двужильный, Александр Бобров, Степан Беляев</v>
      </c>
      <c r="J874" s="6" t="str">
        <f>IFERROR(__xludf.DUMMYFUNCTION("""COMPUTED_VALUE"""),"Владимир Михайлов, Виталий Раздаев")</f>
        <v>Владимир Михайлов, Виталий Раздаев</v>
      </c>
      <c r="K874" s="6" t="str">
        <f>IFERROR(__xludf.DUMMYFUNCTION("""COMPUTED_VALUE"""),"Притомская Набережная, Кузбасский парк")</f>
        <v>Притомская Набережная, Кузбасский парк</v>
      </c>
      <c r="L874" s="6" t="str">
        <f>IFERROR(__xludf.DUMMYFUNCTION("""COMPUTED_VALUE"""),"От одних слов «ура» уголь не пойдет на-гора")</f>
        <v>От одних слов «ура» уголь не пойдет на-гора</v>
      </c>
      <c r="M874" s="6" t="str">
        <f>IFERROR(__xludf.DUMMYFUNCTION("""COMPUTED_VALUE"""),"Марийка - магазин Мария-Ра")</f>
        <v>Марийка - магазин Мария-Ра</v>
      </c>
      <c r="N874" s="6" t="str">
        <f>IFERROR(__xludf.DUMMYFUNCTION("""COMPUTED_VALUE"""),"развитая инфраструктура, транспортная доступность, хорошее качество дорог, наличие культурно-развлекательных центров для взрослых и детей, наличие среднеобразовательных и высших учебных заведений")</f>
        <v>развитая инфраструктура, транспортная доступность, хорошее качество дорог, наличие культурно-развлекательных центров для взрослых и детей, наличие среднеобразовательных и высших учебных заведений</v>
      </c>
      <c r="O874" s="6" t="str">
        <f>IFERROR(__xludf.DUMMYFUNCTION("""COMPUTED_VALUE"""),"построить объездную дорогу и дополнительный мост")</f>
        <v>построить объездную дорогу и дополнительный мост</v>
      </c>
      <c r="P874" s="6" t="str">
        <f>IFERROR(__xludf.DUMMYFUNCTION("""COMPUTED_VALUE"""),"Instagram, Telegram-канал, ВК")</f>
        <v>Instagram, Telegram-канал, ВК</v>
      </c>
      <c r="Q874" s="6" t="str">
        <f>IFERROR(__xludf.DUMMYFUNCTION("""COMPUTED_VALUE"""),"городская афиша (кино/театр/концерты), интервью с местными политиками, криминальные новости (происшествия/преступления)")</f>
        <v>городская афиша (кино/театр/концерты), интервью с местными политиками, криминальные новости (происшествия/преступления)</v>
      </c>
      <c r="R874" s="6" t="str">
        <f>IFERROR(__xludf.DUMMYFUNCTION("""COMPUTED_VALUE"""),"9 Мая, День города, День народного единства")</f>
        <v>9 Мая, День города, День народного единства</v>
      </c>
      <c r="S874" s="6" t="str">
        <f>IFERROR(__xludf.DUMMYFUNCTION("""COMPUTED_VALUE"""),"Нет, не приходилось")</f>
        <v>Нет, не приходилось</v>
      </c>
      <c r="T874" s="6" t="str">
        <f>IFERROR(__xludf.DUMMYFUNCTION("""COMPUTED_VALUE"""),"Мызкальный театр им. Боброва, Филармония им. Штоколова, Драматический театр, Областная библиотека им. Федорова")</f>
        <v>Мызкальный театр им. Боброва, Филармония им. Штоколова, Драматический театр, Областная библиотека им. Федорова</v>
      </c>
      <c r="U874" s="6" t="str">
        <f>IFERROR(__xludf.DUMMYFUNCTION("""COMPUTED_VALUE"""),"Площадь Советов, фонтан возле Драмтеатра")</f>
        <v>Площадь Советов, фонтан возле Драмтеатра</v>
      </c>
      <c r="V874" s="6" t="str">
        <f>IFERROR(__xludf.DUMMYFUNCTION("""COMPUTED_VALUE"""),"Отстраивали город, облагораживали его вид")</f>
        <v>Отстраивали город, облагораживали его вид</v>
      </c>
      <c r="W874" s="6" t="str">
        <f>IFERROR(__xludf.DUMMYFUNCTION("""COMPUTED_VALUE"""),"Добродушные, креативные, отзывчивые, деятельные")</f>
        <v>Добродушные, креативные, отзывчивые, деятельные</v>
      </c>
      <c r="X874" s="6" t="str">
        <f>IFERROR(__xludf.DUMMYFUNCTION("""COMPUTED_VALUE"""),"Поездка в музей-заповедник Красная Горка")</f>
        <v>Поездка в музей-заповедник Красная Горка</v>
      </c>
      <c r="Y874" s="6" t="str">
        <f>IFERROR(__xludf.DUMMYFUNCTION("""COMPUTED_VALUE"""),"1943 год - Кемерово стал областным центром")</f>
        <v>1943 год - Кемерово стал областным центром</v>
      </c>
      <c r="Z874" s="6" t="str">
        <f>IFERROR(__xludf.DUMMYFUNCTION("""COMPUTED_VALUE"""),"Строительство Президентского кадетского училища и Восьмого кассационного суда")</f>
        <v>Строительство Президентского кадетского училища и Восьмого кассационного суда</v>
      </c>
      <c r="AA874" s="6" t="str">
        <f>IFERROR(__xludf.DUMMYFUNCTION("""COMPUTED_VALUE"""),"несанкционированные митинги и протесты")</f>
        <v>несанкционированные митинги и протесты</v>
      </c>
      <c r="AB874" s="6" t="str">
        <f>IFERROR(__xludf.DUMMYFUNCTION("""COMPUTED_VALUE"""),"Лично мне всего достаточно")</f>
        <v>Лично мне всего достаточно</v>
      </c>
      <c r="AC874" s="6" t="str">
        <f>IFERROR(__xludf.DUMMYFUNCTION("""COMPUTED_VALUE"""),"Проведение городских конкурсов на открытых площадках, проведение концертов и показ фильмов под открытым небом")</f>
        <v>Проведение городских конкурсов на открытых площадках, проведение концертов и показ фильмов под открытым небом</v>
      </c>
      <c r="AD87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74" s="6" t="str">
        <f>IFERROR(__xludf.DUMMYFUNCTION("""COMPUTED_VALUE"""),"Женский")</f>
        <v>Женский</v>
      </c>
      <c r="AF874" s="6" t="str">
        <f>IFERROR(__xludf.DUMMYFUNCTION("""COMPUTED_VALUE"""),"30-44")</f>
        <v>30-44</v>
      </c>
      <c r="AG874" s="6"/>
      <c r="AH874" s="6"/>
      <c r="AI874" s="6"/>
      <c r="AJ874" s="6"/>
      <c r="AK874" s="6"/>
      <c r="AL874" s="6"/>
      <c r="AM874" s="6"/>
    </row>
    <row r="875">
      <c r="A875" s="6">
        <v>874.0</v>
      </c>
      <c r="B875" s="6" t="str">
        <f>IFERROR(__xludf.DUMMYFUNCTION("""COMPUTED_VALUE"""),"Методист")</f>
        <v>Методист</v>
      </c>
      <c r="C875" s="6" t="str">
        <f>IFERROR(__xludf.DUMMYFUNCTION("""COMPUTED_VALUE"""),"Иллюстрация")</f>
        <v>Иллюстрация</v>
      </c>
      <c r="D875" s="6" t="str">
        <f>IFERROR(__xludf.DUMMYFUNCTION("""COMPUTED_VALUE"""),"Центральный")</f>
        <v>Центральный</v>
      </c>
      <c r="E875" s="6" t="str">
        <f>IFERROR(__xludf.DUMMYFUNCTION("""COMPUTED_VALUE"""),"Все, что выходит в первых картинках Гугл по запросу «Кемерово»")</f>
        <v>Все, что выходит в первых картинках Гугл по запросу «Кемерово»</v>
      </c>
      <c r="F875" s="6" t="str">
        <f>IFERROR(__xludf.DUMMYFUNCTION("""COMPUTED_VALUE"""),"Живу здесь с рождения")</f>
        <v>Живу здесь с рождения</v>
      </c>
      <c r="G875" s="6" t="str">
        <f>IFERROR(__xludf.DUMMYFUNCTION("""COMPUTED_VALUE"""),"Набережная, советский ")</f>
        <v>Набережная, советский </v>
      </c>
      <c r="H875" s="6" t="str">
        <f>IFERROR(__xludf.DUMMYFUNCTION("""COMPUTED_VALUE"""),"Чистый, немолодежный, угольный, скучный, спокойный")</f>
        <v>Чистый, немолодежный, угольный, скучный, спокойный</v>
      </c>
      <c r="I875" s="6" t="str">
        <f>IFERROR(__xludf.DUMMYFUNCTION("""COMPUTED_VALUE"""),"Раздаев, Мартемьянов, Волков")</f>
        <v>Раздаев, Мартемьянов, Волков</v>
      </c>
      <c r="J875" s="6" t="str">
        <f>IFERROR(__xludf.DUMMYFUNCTION("""COMPUTED_VALUE"""),"Михайлов, Бессонов, ")</f>
        <v>Михайлов, Бессонов, </v>
      </c>
      <c r="K875" s="6" t="str">
        <f>IFERROR(__xludf.DUMMYFUNCTION("""COMPUTED_VALUE"""),"Набережная Кировского, парк В.Волошиной, парк напротив 2 променада, парк лесная сказка ")</f>
        <v>Набережная Кировского, парк В.Волошиной, парк напротив 2 променада, парк лесная сказка </v>
      </c>
      <c r="L875" s="6" t="str">
        <f>IFERROR(__xludf.DUMMYFUNCTION("""COMPUTED_VALUE"""),"Только песня «человек из Кемерово»")</f>
        <v>Только песня «человек из Кемерово»</v>
      </c>
      <c r="M875" s="6" t="str">
        <f>IFERROR(__xludf.DUMMYFUNCTION("""COMPUTED_VALUE"""),"Скорей региональные слова: верхотурах, толченка,  мультифора")</f>
        <v>Скорей региональные слова: верхотурах, толченка,  мультифора</v>
      </c>
      <c r="N875" s="6" t="str">
        <f>IFERROR(__xludf.DUMMYFUNCTION("""COMPUTED_VALUE"""),"Чистота, хорошие дороги, большой выбор культурных развлечений современного формата, наличие каворк-площадок, выше зп, чтобы была возможность все это посещать ")</f>
        <v>Чистота, хорошие дороги, большой выбор культурных развлечений современного формата, наличие каворк-площадок, выше зп, чтобы была возможность все это посещать </v>
      </c>
      <c r="O875" s="6" t="str">
        <f>IFERROR(__xludf.DUMMYFUNCTION("""COMPUTED_VALUE"""),"Вычистить ")</f>
        <v>Вычистить </v>
      </c>
      <c r="P875" s="6" t="str">
        <f>IFERROR(__xludf.DUMMYFUNCTION("""COMPUTED_VALUE"""),"Интернет, друзья, радио ")</f>
        <v>Интернет, друзья, радио </v>
      </c>
      <c r="Q875" s="6" t="str">
        <f>IFERROR(__xludf.DUMMYFUNCTION("""COMPUTED_VALUE"""),"куда пойти в свободное время, где вкусно поесть/открытие новых кафе/ресторанов, интервью с местными творческими личностями")</f>
        <v>куда пойти в свободное время, где вкусно поесть/открытие новых кафе/ресторанов, интервью с местными творческими личностями</v>
      </c>
      <c r="R875" s="6" t="str">
        <f>IFERROR(__xludf.DUMMYFUNCTION("""COMPUTED_VALUE"""),"9 мая, без остальных переживем ")</f>
        <v>9 мая, без остальных переживем </v>
      </c>
      <c r="S875" s="6" t="str">
        <f>IFERROR(__xludf.DUMMYFUNCTION("""COMPUTED_VALUE"""),"Нет, не приходилось")</f>
        <v>Нет, не приходилось</v>
      </c>
      <c r="T875" s="6" t="str">
        <f>IFERROR(__xludf.DUMMYFUNCTION("""COMPUTED_VALUE"""),"Ничего")</f>
        <v>Ничего</v>
      </c>
      <c r="U875" s="6" t="str">
        <f>IFERROR(__xludf.DUMMYFUNCTION("""COMPUTED_VALUE"""),"Площадь советов - весь советский ")</f>
        <v>Площадь советов - весь советский </v>
      </c>
      <c r="V875" s="6" t="str">
        <f>IFERROR(__xludf.DUMMYFUNCTION("""COMPUTED_VALUE"""),"Выживали ")</f>
        <v>Выживали </v>
      </c>
      <c r="W875" s="6" t="str">
        <f>IFERROR(__xludf.DUMMYFUNCTION("""COMPUTED_VALUE"""),"Уставшие ")</f>
        <v>Уставшие </v>
      </c>
      <c r="X875" s="6" t="str">
        <f>IFERROR(__xludf.DUMMYFUNCTION("""COMPUTED_VALUE"""),"Советский - набережная, через бассейн на Притомский проспект - через цирк в парк Жукова ")</f>
        <v>Советский - набережная, через бассейн на Притомский проспект - через цирк в парк Жукова </v>
      </c>
      <c r="Y875" s="6" t="str">
        <f>IFERROR(__xludf.DUMMYFUNCTION("""COMPUTED_VALUE"""),"Фест «Герои мирового рока» в июле 2019 ")</f>
        <v>Фест «Герои мирового рока» в июле 2019 </v>
      </c>
      <c r="Z875" s="6" t="str">
        <f>IFERROR(__xludf.DUMMYFUNCTION("""COMPUTED_VALUE"""),"См. выше ")</f>
        <v>См. выше </v>
      </c>
      <c r="AA875" s="6" t="str">
        <f>IFERROR(__xludf.DUMMYFUNCTION("""COMPUTED_VALUE"""),"Стараюсь не зацикливаться, все мелочи ")</f>
        <v>Стараюсь не зацикливаться, все мелочи </v>
      </c>
      <c r="AB875" s="6" t="str">
        <f>IFERROR(__xludf.DUMMYFUNCTION("""COMPUTED_VALUE"""),"-")</f>
        <v>-</v>
      </c>
      <c r="AC875" s="6" t="str">
        <f>IFERROR(__xludf.DUMMYFUNCTION("""COMPUTED_VALUE"""),"Выставки картин, открытые площадки для активности Молодежи ")</f>
        <v>Выставки картин, открытые площадки для активности Молодежи </v>
      </c>
      <c r="AD87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875" s="6" t="str">
        <f>IFERROR(__xludf.DUMMYFUNCTION("""COMPUTED_VALUE"""),"Женский")</f>
        <v>Женский</v>
      </c>
      <c r="AF875" s="6" t="str">
        <f>IFERROR(__xludf.DUMMYFUNCTION("""COMPUTED_VALUE"""),"18-29")</f>
        <v>18-29</v>
      </c>
      <c r="AG875" s="6"/>
      <c r="AH875" s="6"/>
      <c r="AI875" s="6"/>
      <c r="AJ875" s="6"/>
      <c r="AK875" s="6"/>
      <c r="AL875" s="6"/>
      <c r="AM875" s="6"/>
    </row>
    <row r="876">
      <c r="A876" s="6">
        <v>875.0</v>
      </c>
      <c r="B876" s="6" t="str">
        <f>IFERROR(__xludf.DUMMYFUNCTION("""COMPUTED_VALUE"""),"Культура")</f>
        <v>Культура</v>
      </c>
      <c r="C876" s="6" t="str">
        <f>IFERROR(__xludf.DUMMYFUNCTION("""COMPUTED_VALUE"""),"Нет")</f>
        <v>Нет</v>
      </c>
      <c r="D876" s="6" t="str">
        <f>IFERROR(__xludf.DUMMYFUNCTION("""COMPUTED_VALUE"""),"Центральный ")</f>
        <v>Центральный </v>
      </c>
      <c r="E876" s="6" t="str">
        <f>IFERROR(__xludf.DUMMYFUNCTION("""COMPUTED_VALUE"""),"Парк")</f>
        <v>Парк</v>
      </c>
      <c r="F876" s="6" t="str">
        <f>IFERROR(__xludf.DUMMYFUNCTION("""COMPUTED_VALUE"""),"Живу здесь с рождения")</f>
        <v>Живу здесь с рождения</v>
      </c>
      <c r="G876" s="6" t="str">
        <f>IFERROR(__xludf.DUMMYFUNCTION("""COMPUTED_VALUE"""),"Парк")</f>
        <v>Парк</v>
      </c>
      <c r="H876" s="6" t="str">
        <f>IFERROR(__xludf.DUMMYFUNCTION("""COMPUTED_VALUE"""),"Уголь")</f>
        <v>Уголь</v>
      </c>
      <c r="I876" s="6" t="str">
        <f>IFERROR(__xludf.DUMMYFUNCTION("""COMPUTED_VALUE"""),"Не знаю ")</f>
        <v>Не знаю </v>
      </c>
      <c r="J876" s="6" t="str">
        <f>IFERROR(__xludf.DUMMYFUNCTION("""COMPUTED_VALUE"""),"Не знаю ")</f>
        <v>Не знаю </v>
      </c>
      <c r="K876" s="6" t="str">
        <f>IFERROR(__xludf.DUMMYFUNCTION("""COMPUTED_VALUE"""),"Парки")</f>
        <v>Парки</v>
      </c>
      <c r="L876" s="6" t="str">
        <f>IFERROR(__xludf.DUMMYFUNCTION("""COMPUTED_VALUE"""),"Не знаю ")</f>
        <v>Не знаю </v>
      </c>
      <c r="M876" s="6" t="str">
        <f>IFERROR(__xludf.DUMMYFUNCTION("""COMPUTED_VALUE"""),"Нет")</f>
        <v>Нет</v>
      </c>
      <c r="N876" s="6" t="str">
        <f>IFERROR(__xludf.DUMMYFUNCTION("""COMPUTED_VALUE"""),"Нет")</f>
        <v>Нет</v>
      </c>
      <c r="O876" s="6" t="str">
        <f>IFERROR(__xludf.DUMMYFUNCTION("""COMPUTED_VALUE"""),"Дороги")</f>
        <v>Дороги</v>
      </c>
      <c r="P876" s="6" t="str">
        <f>IFERROR(__xludf.DUMMYFUNCTION("""COMPUTED_VALUE"""),"Интернет ")</f>
        <v>Интернет </v>
      </c>
      <c r="Q876" s="6" t="str">
        <f>IFERROR(__xludf.DUMMYFUNCTION("""COMPUTED_VALUE"""),"результаты местных исследований (рейтинги/аналитика/тенденции)")</f>
        <v>результаты местных исследований (рейтинги/аналитика/тенденции)</v>
      </c>
      <c r="R876" s="6" t="str">
        <f>IFERROR(__xludf.DUMMYFUNCTION("""COMPUTED_VALUE"""),"Все")</f>
        <v>Все</v>
      </c>
      <c r="S876" s="6" t="str">
        <f>IFERROR(__xludf.DUMMYFUNCTION("""COMPUTED_VALUE"""),"Нет, не приходилось")</f>
        <v>Нет, не приходилось</v>
      </c>
      <c r="T876" s="6" t="str">
        <f>IFERROR(__xludf.DUMMYFUNCTION("""COMPUTED_VALUE"""),"Уголь")</f>
        <v>Уголь</v>
      </c>
      <c r="U876" s="6" t="str">
        <f>IFERROR(__xludf.DUMMYFUNCTION("""COMPUTED_VALUE"""),"Площадь")</f>
        <v>Площадь</v>
      </c>
      <c r="V876" s="6" t="str">
        <f>IFERROR(__xludf.DUMMYFUNCTION("""COMPUTED_VALUE"""),"Да")</f>
        <v>Да</v>
      </c>
      <c r="W876" s="6" t="str">
        <f>IFERROR(__xludf.DUMMYFUNCTION("""COMPUTED_VALUE"""),"Да")</f>
        <v>Да</v>
      </c>
      <c r="X876" s="6" t="str">
        <f>IFERROR(__xludf.DUMMYFUNCTION("""COMPUTED_VALUE"""),"Да")</f>
        <v>Да</v>
      </c>
      <c r="Y876" s="6" t="str">
        <f>IFERROR(__xludf.DUMMYFUNCTION("""COMPUTED_VALUE"""),"О")</f>
        <v>О</v>
      </c>
      <c r="Z876" s="6" t="str">
        <f>IFERROR(__xludf.DUMMYFUNCTION("""COMPUTED_VALUE"""),"О")</f>
        <v>О</v>
      </c>
      <c r="AA876" s="6" t="str">
        <f>IFERROR(__xludf.DUMMYFUNCTION("""COMPUTED_VALUE"""),"О")</f>
        <v>О</v>
      </c>
      <c r="AB876" s="6" t="str">
        <f>IFERROR(__xludf.DUMMYFUNCTION("""COMPUTED_VALUE"""),"Ж")</f>
        <v>Ж</v>
      </c>
      <c r="AC876" s="6" t="str">
        <f>IFERROR(__xludf.DUMMYFUNCTION("""COMPUTED_VALUE"""),"А")</f>
        <v>А</v>
      </c>
      <c r="AD87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76" s="6" t="str">
        <f>IFERROR(__xludf.DUMMYFUNCTION("""COMPUTED_VALUE"""),"Мужской")</f>
        <v>Мужской</v>
      </c>
      <c r="AF876" s="6" t="str">
        <f>IFERROR(__xludf.DUMMYFUNCTION("""COMPUTED_VALUE"""),"18-29")</f>
        <v>18-29</v>
      </c>
      <c r="AG876" s="6"/>
      <c r="AH876" s="6"/>
      <c r="AI876" s="6"/>
      <c r="AJ876" s="6"/>
      <c r="AK876" s="6"/>
      <c r="AL876" s="6"/>
      <c r="AM876" s="6"/>
    </row>
    <row r="877">
      <c r="A877" s="6">
        <v>876.0</v>
      </c>
      <c r="B877" s="6" t="str">
        <f>IFERROR(__xludf.DUMMYFUNCTION("""COMPUTED_VALUE"""),"Преподаватель")</f>
        <v>Преподаватель</v>
      </c>
      <c r="C877" s="6" t="str">
        <f>IFERROR(__xludf.DUMMYFUNCTION("""COMPUTED_VALUE"""),"Рисование")</f>
        <v>Рисование</v>
      </c>
      <c r="D877" s="6" t="str">
        <f>IFERROR(__xludf.DUMMYFUNCTION("""COMPUTED_VALUE"""),"Рудничный")</f>
        <v>Рудничный</v>
      </c>
      <c r="E877" s="6" t="str">
        <f>IFERROR(__xludf.DUMMYFUNCTION("""COMPUTED_VALUE"""),"Сосновый бор")</f>
        <v>Сосновый бор</v>
      </c>
      <c r="F877" s="6" t="str">
        <f>IFERROR(__xludf.DUMMYFUNCTION("""COMPUTED_VALUE"""),"Живу здесь с рождения")</f>
        <v>Живу здесь с рождения</v>
      </c>
      <c r="G877" s="6" t="str">
        <f>IFERROR(__xludf.DUMMYFUNCTION("""COMPUTED_VALUE"""),"Набережная, центр города,сосновый бор")</f>
        <v>Набережная, центр города,сосновый бор</v>
      </c>
      <c r="H877" s="6" t="str">
        <f>IFERROR(__xludf.DUMMYFUNCTION("""COMPUTED_VALUE"""),"Пыль,уголь,снег,добро,плохая экология ")</f>
        <v>Пыль,уголь,снег,добро,плохая экология </v>
      </c>
      <c r="I877" s="6" t="str">
        <f>IFERROR(__xludf.DUMMYFUNCTION("""COMPUTED_VALUE"""),"Не знаю ")</f>
        <v>Не знаю </v>
      </c>
      <c r="J877" s="6" t="str">
        <f>IFERROR(__xludf.DUMMYFUNCTION("""COMPUTED_VALUE"""),"Не знаю")</f>
        <v>Не знаю</v>
      </c>
      <c r="K877" s="6" t="str">
        <f>IFERROR(__xludf.DUMMYFUNCTION("""COMPUTED_VALUE"""),"Площадка ""Клумба""")</f>
        <v>Площадка "Клумба"</v>
      </c>
      <c r="L877" s="6" t="str">
        <f>IFERROR(__xludf.DUMMYFUNCTION("""COMPUTED_VALUE"""),"Не знаю")</f>
        <v>Не знаю</v>
      </c>
      <c r="M877" s="6" t="str">
        <f>IFERROR(__xludf.DUMMYFUNCTION("""COMPUTED_VALUE"""),"Чё, ")</f>
        <v>Чё, </v>
      </c>
      <c r="N877" s="6" t="str">
        <f>IFERROR(__xludf.DUMMYFUNCTION("""COMPUTED_VALUE"""),"Хорошие дороги,развитая инфраструктура,большое количество общественных мест на улице для отдыха, симпатичная архитектура как в Спб,много разных событий устраиваемых городом  и частниками.")</f>
        <v>Хорошие дороги,развитая инфраструктура,большое количество общественных мест на улице для отдыха, симпатичная архитектура как в Спб,много разных событий устраиваемых городом  и частниками.</v>
      </c>
      <c r="O877" s="6" t="str">
        <f>IFERROR(__xludf.DUMMYFUNCTION("""COMPUTED_VALUE"""),"Все набережные их нужно облагородить и  дать выход к воде,реставрация исторически зданий ")</f>
        <v>Все набережные их нужно облагородить и  дать выход к воде,реставрация исторически зданий </v>
      </c>
      <c r="P877" s="6" t="str">
        <f>IFERROR(__xludf.DUMMYFUNCTION("""COMPUTED_VALUE"""),"Все42.ru , Типичный Кемерово")</f>
        <v>Все42.ru , Типичный Кемерово</v>
      </c>
      <c r="Q877" s="6" t="str">
        <f>IFERROR(__xludf.DUMMYFUNCTION("""COMPUTED_VALUE"""),"куда пойти в свободное время, где вкусно поесть/открытие новых кафе/ресторанов, результаты местных исследований (рейтинги/аналитика/тенденции)")</f>
        <v>куда пойти в свободное время, где вкусно поесть/открытие новых кафе/ресторанов, результаты местных исследований (рейтинги/аналитика/тенденции)</v>
      </c>
      <c r="R877" s="6" t="str">
        <f>IFERROR(__xludf.DUMMYFUNCTION("""COMPUTED_VALUE"""),"8 марта, день России, масленица ")</f>
        <v>8 марта, день России, масленица </v>
      </c>
      <c r="S877" s="6" t="str">
        <f>IFERROR(__xludf.DUMMYFUNCTION("""COMPUTED_VALUE"""),"Нет, не приходилось")</f>
        <v>Нет, не приходилось</v>
      </c>
      <c r="T877" s="6" t="str">
        <f>IFERROR(__xludf.DUMMYFUNCTION("""COMPUTED_VALUE"""),"Пожар ""Зимняя вишня"", уголь , Сосновый бор ")</f>
        <v>Пожар "Зимняя вишня", уголь , Сосновый бор </v>
      </c>
      <c r="U877" s="6" t="str">
        <f>IFERROR(__xludf.DUMMYFUNCTION("""COMPUTED_VALUE"""),"Площадь Советов ,Весенняя ")</f>
        <v>Площадь Советов ,Весенняя </v>
      </c>
      <c r="V877" s="6" t="str">
        <f>IFERROR(__xludf.DUMMYFUNCTION("""COMPUTED_VALUE"""),"Построили город, добыли тонны угля ")</f>
        <v>Построили город, добыли тонны угля </v>
      </c>
      <c r="W877" s="6" t="str">
        <f>IFERROR(__xludf.DUMMYFUNCTION("""COMPUTED_VALUE"""),"Добрые,заботливые,поддерживающие,надежные,терпилы ")</f>
        <v>Добрые,заботливые,поддерживающие,надежные,терпилы </v>
      </c>
      <c r="X877" s="6" t="str">
        <f>IFERROR(__xludf.DUMMYFUNCTION("""COMPUTED_VALUE"""),"Начать от площади Советов, пройтись по Весенней улице,заглянуть в Парк Чудес и гулять по набережной ")</f>
        <v>Начать от площади Советов, пройтись по Весенней улице,заглянуть в Парк Чудес и гулять по набережной </v>
      </c>
      <c r="Y877" s="6" t="str">
        <f>IFERROR(__xludf.DUMMYFUNCTION("""COMPUTED_VALUE"""),"Пронесли вечный огонь в честь Олимпиады 2014")</f>
        <v>Пронесли вечный огонь в честь Олимпиады 2014</v>
      </c>
      <c r="Z877" s="6" t="str">
        <f>IFERROR(__xludf.DUMMYFUNCTION("""COMPUTED_VALUE"""),"Не знаю")</f>
        <v>Не знаю</v>
      </c>
      <c r="AA877" s="6" t="str">
        <f>IFERROR(__xludf.DUMMYFUNCTION("""COMPUTED_VALUE"""),"Не знаю")</f>
        <v>Не знаю</v>
      </c>
      <c r="AB877" s="6" t="str">
        <f>IFERROR(__xludf.DUMMYFUNCTION("""COMPUTED_VALUE"""),"не знаю")</f>
        <v>не знаю</v>
      </c>
      <c r="AC877" s="6" t="str">
        <f>IFERROR(__xludf.DUMMYFUNCTION("""COMPUTED_VALUE"""),"Фестивали,концерты под открытым небом с современными исполнителями,фильмы по открытом небом, инсталляции и выставки ")</f>
        <v>Фестивали,концерты под открытым небом с современными исполнителями,фильмы по открытом небом, инсталляции и выставки </v>
      </c>
      <c r="AD877"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877" s="6" t="str">
        <f>IFERROR(__xludf.DUMMYFUNCTION("""COMPUTED_VALUE"""),"Женский")</f>
        <v>Женский</v>
      </c>
      <c r="AF877" s="6" t="str">
        <f>IFERROR(__xludf.DUMMYFUNCTION("""COMPUTED_VALUE"""),"18-29")</f>
        <v>18-29</v>
      </c>
      <c r="AG877" s="6"/>
      <c r="AH877" s="6"/>
      <c r="AI877" s="6"/>
      <c r="AJ877" s="6"/>
      <c r="AK877" s="6"/>
      <c r="AL877" s="6"/>
      <c r="AM877" s="6"/>
    </row>
    <row r="878">
      <c r="A878" s="6">
        <v>877.0</v>
      </c>
      <c r="B878" s="6" t="str">
        <f>IFERROR(__xludf.DUMMYFUNCTION("""COMPUTED_VALUE"""),"Культура")</f>
        <v>Культура</v>
      </c>
      <c r="C878" s="6" t="str">
        <f>IFERROR(__xludf.DUMMYFUNCTION("""COMPUTED_VALUE"""),"Нет")</f>
        <v>Нет</v>
      </c>
      <c r="D878" s="6" t="str">
        <f>IFERROR(__xludf.DUMMYFUNCTION("""COMPUTED_VALUE"""),"Кировский")</f>
        <v>Кировский</v>
      </c>
      <c r="E878" s="6" t="str">
        <f>IFERROR(__xludf.DUMMYFUNCTION("""COMPUTED_VALUE"""),"Набережная")</f>
        <v>Набережная</v>
      </c>
      <c r="F878" s="6" t="str">
        <f>IFERROR(__xludf.DUMMYFUNCTION("""COMPUTED_VALUE"""),"Живу здесь с рождения")</f>
        <v>Живу здесь с рождения</v>
      </c>
      <c r="G878" s="6" t="str">
        <f>IFERROR(__xludf.DUMMYFUNCTION("""COMPUTED_VALUE"""),"На набережную своего района, Лесная поляна, ")</f>
        <v>На набережную своего района, Лесная поляна, </v>
      </c>
      <c r="H878" s="6" t="str">
        <f>IFERROR(__xludf.DUMMYFUNCTION("""COMPUTED_VALUE"""),"Памятник Шахтёрам")</f>
        <v>Памятник Шахтёрам</v>
      </c>
      <c r="I878" s="6" t="str">
        <f>IFERROR(__xludf.DUMMYFUNCTION("""COMPUTED_VALUE"""),"Рутгерс")</f>
        <v>Рутгерс</v>
      </c>
      <c r="J878" s="6" t="str">
        <f>IFERROR(__xludf.DUMMYFUNCTION("""COMPUTED_VALUE"""),"А.Г. Тулеев")</f>
        <v>А.Г. Тулеев</v>
      </c>
      <c r="K878" s="6" t="str">
        <f>IFERROR(__xludf.DUMMYFUNCTION("""COMPUTED_VALUE"""),"Томская писаница")</f>
        <v>Томская писаница</v>
      </c>
      <c r="L878" s="6" t="str">
        <f>IFERROR(__xludf.DUMMYFUNCTION("""COMPUTED_VALUE"""),"Особенно хорошо Дышать в краю родном")</f>
        <v>Особенно хорошо Дышать в краю родном</v>
      </c>
      <c r="M878" s="6" t="str">
        <f>IFERROR(__xludf.DUMMYFUNCTION("""COMPUTED_VALUE"""),"Нет")</f>
        <v>Нет</v>
      </c>
      <c r="N878" s="6" t="str">
        <f>IFERROR(__xludf.DUMMYFUNCTION("""COMPUTED_VALUE"""),"0")</f>
        <v>0</v>
      </c>
      <c r="O878" s="6" t="str">
        <f>IFERROR(__xludf.DUMMYFUNCTION("""COMPUTED_VALUE"""),"Все, особенно экологию")</f>
        <v>Все, особенно экологию</v>
      </c>
      <c r="P878" s="6" t="str">
        <f>IFERROR(__xludf.DUMMYFUNCTION("""COMPUTED_VALUE"""),"Интернет")</f>
        <v>Интернет</v>
      </c>
      <c r="Q878" s="6" t="str">
        <f>IFERROR(__xludf.DUMMYFUNCTION("""COMPUTED_VALUE"""),"куда пойти в свободное время, новости про новые профессии/куда поступать/вакансии, интервью с экспертами на разные темы (напишите в разделе Другое свои предложения)")</f>
        <v>куда пойти в свободное время, новости про новые профессии/куда поступать/вакансии, интервью с экспертами на разные темы (напишите в разделе Другое свои предложения)</v>
      </c>
      <c r="R878" s="6" t="str">
        <f>IFERROR(__xludf.DUMMYFUNCTION("""COMPUTED_VALUE"""),"Все")</f>
        <v>Все</v>
      </c>
      <c r="S878" s="6" t="str">
        <f>IFERROR(__xludf.DUMMYFUNCTION("""COMPUTED_VALUE"""),"Нет, не приходилось")</f>
        <v>Нет, не приходилось</v>
      </c>
      <c r="T878" s="6" t="str">
        <f>IFERROR(__xludf.DUMMYFUNCTION("""COMPUTED_VALUE"""),"🤗")</f>
        <v>🤗</v>
      </c>
      <c r="U878" s="6" t="str">
        <f>IFERROR(__xludf.DUMMYFUNCTION("""COMPUTED_VALUE"""),"Зимнюю вишню")</f>
        <v>Зимнюю вишню</v>
      </c>
      <c r="V878" s="6" t="str">
        <f>IFERROR(__xludf.DUMMYFUNCTION("""COMPUTED_VALUE"""),"Ничего")</f>
        <v>Ничего</v>
      </c>
      <c r="W878" s="6" t="str">
        <f>IFERROR(__xludf.DUMMYFUNCTION("""COMPUTED_VALUE"""),"Разные")</f>
        <v>Разные</v>
      </c>
      <c r="X878" s="6" t="str">
        <f>IFERROR(__xludf.DUMMYFUNCTION("""COMPUTED_VALUE"""),"Центр города, набережные, парки")</f>
        <v>Центр города, набережные, парки</v>
      </c>
      <c r="Y878" s="6" t="str">
        <f>IFERROR(__xludf.DUMMYFUNCTION("""COMPUTED_VALUE"""),"🤗")</f>
        <v>🤗</v>
      </c>
      <c r="Z878" s="6" t="str">
        <f>IFERROR(__xludf.DUMMYFUNCTION("""COMPUTED_VALUE"""),"🤭🤭🤭")</f>
        <v>🤭🤭🤭</v>
      </c>
      <c r="AA878" s="6" t="str">
        <f>IFERROR(__xludf.DUMMYFUNCTION("""COMPUTED_VALUE"""),"Руководство города")</f>
        <v>Руководство города</v>
      </c>
      <c r="AB878" s="6" t="str">
        <f>IFERROR(__xludf.DUMMYFUNCTION("""COMPUTED_VALUE"""),"Никаких")</f>
        <v>Никаких</v>
      </c>
      <c r="AC878" s="6" t="str">
        <f>IFERROR(__xludf.DUMMYFUNCTION("""COMPUTED_VALUE"""),"Многое нужно ремонтировать и менять")</f>
        <v>Многое нужно ремонтировать и менять</v>
      </c>
      <c r="AD87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78" s="6" t="str">
        <f>IFERROR(__xludf.DUMMYFUNCTION("""COMPUTED_VALUE"""),"Женский")</f>
        <v>Женский</v>
      </c>
      <c r="AF878" s="6" t="str">
        <f>IFERROR(__xludf.DUMMYFUNCTION("""COMPUTED_VALUE"""),"30-44")</f>
        <v>30-44</v>
      </c>
      <c r="AG878" s="6"/>
      <c r="AH878" s="6"/>
      <c r="AI878" s="6"/>
      <c r="AJ878" s="6"/>
      <c r="AK878" s="6"/>
      <c r="AL878" s="6"/>
      <c r="AM878" s="6"/>
    </row>
    <row r="879">
      <c r="A879" s="6">
        <v>878.0</v>
      </c>
      <c r="B879" s="6" t="str">
        <f>IFERROR(__xludf.DUMMYFUNCTION("""COMPUTED_VALUE"""),"Творчеством")</f>
        <v>Творчеством</v>
      </c>
      <c r="C879" s="6" t="str">
        <f>IFERROR(__xludf.DUMMYFUNCTION("""COMPUTED_VALUE"""),"Спорт")</f>
        <v>Спорт</v>
      </c>
      <c r="D879" s="6" t="str">
        <f>IFERROR(__xludf.DUMMYFUNCTION("""COMPUTED_VALUE"""),"Ленинский")</f>
        <v>Ленинский</v>
      </c>
      <c r="E879" s="6" t="str">
        <f>IFERROR(__xludf.DUMMYFUNCTION("""COMPUTED_VALUE"""),"Бульвар Строителей")</f>
        <v>Бульвар Строителей</v>
      </c>
      <c r="F879" s="6" t="str">
        <f>IFERROR(__xludf.DUMMYFUNCTION("""COMPUTED_VALUE"""),"Живу здесь с рождения")</f>
        <v>Живу здесь с рождения</v>
      </c>
      <c r="G879" s="6" t="str">
        <f>IFERROR(__xludf.DUMMYFUNCTION("""COMPUTED_VALUE"""),"В театры")</f>
        <v>В театры</v>
      </c>
      <c r="H879" s="6" t="str">
        <f>IFERROR(__xludf.DUMMYFUNCTION("""COMPUTED_VALUE"""),"Родина, любимый город, любимая работа, дом, семья")</f>
        <v>Родина, любимый город, любимая работа, дом, семья</v>
      </c>
      <c r="I879" s="6" t="str">
        <f>IFERROR(__xludf.DUMMYFUNCTION("""COMPUTED_VALUE"""),"Михайлв В. В.")</f>
        <v>Михайлв В. В.</v>
      </c>
      <c r="J879" s="6" t="str">
        <f>IFERROR(__xludf.DUMMYFUNCTION("""COMPUTED_VALUE"""),"Михайлов В. В.")</f>
        <v>Михайлов В. В.</v>
      </c>
      <c r="K879" s="6" t="str">
        <f>IFERROR(__xludf.DUMMYFUNCTION("""COMPUTED_VALUE"""),"Набережную Томи")</f>
        <v>Набережную Томи</v>
      </c>
      <c r="L879" s="6" t="str">
        <f>IFERROR(__xludf.DUMMYFUNCTION("""COMPUTED_VALUE"""),"Не знаю")</f>
        <v>Не знаю</v>
      </c>
      <c r="M879" s="6" t="str">
        <f>IFERROR(__xludf.DUMMYFUNCTION("""COMPUTED_VALUE"""),"Не знаю")</f>
        <v>Не знаю</v>
      </c>
      <c r="N879" s="6" t="str">
        <f>IFERROR(__xludf.DUMMYFUNCTION("""COMPUTED_VALUE"""),"Компактность")</f>
        <v>Компактность</v>
      </c>
      <c r="O879" s="6" t="str">
        <f>IFERROR(__xludf.DUMMYFUNCTION("""COMPUTED_VALUE"""),"Отрегулировать светофоры")</f>
        <v>Отрегулировать светофоры</v>
      </c>
      <c r="P879" s="6" t="str">
        <f>IFERROR(__xludf.DUMMYFUNCTION("""COMPUTED_VALUE"""),"В контакте")</f>
        <v>В контакте</v>
      </c>
      <c r="Q879" s="6" t="str">
        <f>IFERROR(__xludf.DUMMYFUNCTION("""COMPUTED_VALUE"""),"городская афиша (кино/театр/концерты)")</f>
        <v>городская афиша (кино/театр/концерты)</v>
      </c>
      <c r="R879" s="6" t="str">
        <f>IFERROR(__xludf.DUMMYFUNCTION("""COMPUTED_VALUE"""),"Все")</f>
        <v>Все</v>
      </c>
      <c r="S879" s="6" t="str">
        <f>IFERROR(__xludf.DUMMYFUNCTION("""COMPUTED_VALUE"""),"Через социальные сети (Какие? Укажите в графе другое)")</f>
        <v>Через социальные сети (Какие? Укажите в графе другое)</v>
      </c>
      <c r="T879" s="6" t="str">
        <f>IFERROR(__xludf.DUMMYFUNCTION("""COMPUTED_VALUE"""),"Людьми")</f>
        <v>Людьми</v>
      </c>
      <c r="U879" s="6" t="str">
        <f>IFERROR(__xludf.DUMMYFUNCTION("""COMPUTED_VALUE"""),"Площадь Советов")</f>
        <v>Площадь Советов</v>
      </c>
      <c r="V879" s="6" t="str">
        <f>IFERROR(__xludf.DUMMYFUNCTION("""COMPUTED_VALUE"""),"Работали")</f>
        <v>Работали</v>
      </c>
      <c r="W879" s="6" t="str">
        <f>IFERROR(__xludf.DUMMYFUNCTION("""COMPUTED_VALUE"""),"Очень разные")</f>
        <v>Очень разные</v>
      </c>
      <c r="X879" s="6" t="str">
        <f>IFERROR(__xludf.DUMMYFUNCTION("""COMPUTED_VALUE"""),"Набережная Томи")</f>
        <v>Набережная Томи</v>
      </c>
      <c r="Y879" s="6" t="str">
        <f>IFERROR(__xludf.DUMMYFUNCTION("""COMPUTED_VALUE"""),"Затрудеяюсь")</f>
        <v>Затрудеяюсь</v>
      </c>
      <c r="Z879" s="6" t="str">
        <f>IFERROR(__xludf.DUMMYFUNCTION("""COMPUTED_VALUE"""),"Строительство")</f>
        <v>Строительство</v>
      </c>
      <c r="AA879" s="6" t="str">
        <f>IFERROR(__xludf.DUMMYFUNCTION("""COMPUTED_VALUE"""),"Зимняя вишня")</f>
        <v>Зимняя вишня</v>
      </c>
      <c r="AB879" s="6" t="str">
        <f>IFERROR(__xludf.DUMMYFUNCTION("""COMPUTED_VALUE"""),"Не испытываю недостатка")</f>
        <v>Не испытываю недостатка</v>
      </c>
      <c r="AC879" s="6" t="str">
        <f>IFERROR(__xludf.DUMMYFUNCTION("""COMPUTED_VALUE"""),"Что- то уже утеряно и не хватает живого общения")</f>
        <v>Что- то уже утеряно и не хватает живого общения</v>
      </c>
      <c r="AD87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79" s="6" t="str">
        <f>IFERROR(__xludf.DUMMYFUNCTION("""COMPUTED_VALUE"""),"Мужской")</f>
        <v>Мужской</v>
      </c>
      <c r="AF879" s="6" t="str">
        <f>IFERROR(__xludf.DUMMYFUNCTION("""COMPUTED_VALUE"""),"старше 55")</f>
        <v>старше 55</v>
      </c>
      <c r="AG879" s="6"/>
      <c r="AH879" s="6"/>
      <c r="AI879" s="6"/>
      <c r="AJ879" s="6"/>
      <c r="AK879" s="6"/>
      <c r="AL879" s="6"/>
      <c r="AM879" s="6"/>
    </row>
    <row r="880">
      <c r="A880" s="6">
        <v>879.0</v>
      </c>
      <c r="B880" s="6" t="str">
        <f>IFERROR(__xludf.DUMMYFUNCTION("""COMPUTED_VALUE"""),"Человек-рабочий")</f>
        <v>Человек-рабочий</v>
      </c>
      <c r="C880" s="6" t="str">
        <f>IFERROR(__xludf.DUMMYFUNCTION("""COMPUTED_VALUE"""),"Музыка, вокал")</f>
        <v>Музыка, вокал</v>
      </c>
      <c r="D880" s="6" t="str">
        <f>IFERROR(__xludf.DUMMYFUNCTION("""COMPUTED_VALUE"""),"Центральный район, «Центр»")</f>
        <v>Центральный район, «Центр»</v>
      </c>
      <c r="E880" s="6" t="str">
        <f>IFERROR(__xludf.DUMMYFUNCTION("""COMPUTED_VALUE"""),"Улица Весенняя, Набережная, Драмтеатр")</f>
        <v>Улица Весенняя, Набережная, Драмтеатр</v>
      </c>
      <c r="F880"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880" s="6" t="str">
        <f>IFERROR(__xludf.DUMMYFUNCTION("""COMPUTED_VALUE"""),"Кино, общепит, тц, улица")</f>
        <v>Кино, общепит, тц, улица</v>
      </c>
      <c r="H880" s="6" t="str">
        <f>IFERROR(__xludf.DUMMYFUNCTION("""COMPUTED_VALUE"""),"Молодежный, активный, пыльный, культурный, промышленный ")</f>
        <v>Молодежный, активный, пыльный, культурный, промышленный </v>
      </c>
      <c r="I880" s="6" t="str">
        <f>IFERROR(__xludf.DUMMYFUNCTION("""COMPUTED_VALUE"""),"Михайло Волков, Рутгерс ")</f>
        <v>Михайло Волков, Рутгерс </v>
      </c>
      <c r="J880" s="6" t="str">
        <f>IFERROR(__xludf.DUMMYFUNCTION("""COMPUTED_VALUE"""),"Илья Владимирович Середюк ")</f>
        <v>Илья Владимирович Середюк </v>
      </c>
      <c r="K880" s="6" t="str">
        <f>IFERROR(__xludf.DUMMYFUNCTION("""COMPUTED_VALUE"""),"Арт-пространство «Клумба». Там атмосферно!")</f>
        <v>Арт-пространство «Клумба». Там атмосферно!</v>
      </c>
      <c r="L880" s="6" t="str">
        <f>IFERROR(__xludf.DUMMYFUNCTION("""COMPUTED_VALUE"""),"Извините, но это сложно... ")</f>
        <v>Извините, но это сложно... </v>
      </c>
      <c r="M880" s="6" t="str">
        <f>IFERROR(__xludf.DUMMYFUNCTION("""COMPUTED_VALUE"""),"Нет. А такие есть? ")</f>
        <v>Нет. А такие есть? </v>
      </c>
      <c r="N880" s="6" t="str">
        <f>IFERROR(__xludf.DUMMYFUNCTION("""COMPUTED_VALUE"""),"Экология, образование, развлечения, доступность жилья, торговля. ")</f>
        <v>Экология, образование, развлечения, доступность жилья, торговля. </v>
      </c>
      <c r="O880" s="6" t="str">
        <f>IFERROR(__xludf.DUMMYFUNCTION("""COMPUTED_VALUE"""),"Образовательные учреждения, промышленность (рабочие места)")</f>
        <v>Образовательные учреждения, промышленность (рабочие места)</v>
      </c>
      <c r="P880" s="6" t="str">
        <f>IFERROR(__xludf.DUMMYFUNCTION("""COMPUTED_VALUE"""),"Инстаграм")</f>
        <v>Инстаграм</v>
      </c>
      <c r="Q880" s="6" t="str">
        <f>IFERROR(__xludf.DUMMYFUNCTION("""COMPUTED_VALUE"""),"где вкусно поесть/открытие новых кафе/ресторанов, городская афиша (кино/театр/концерты), новости про новые профессии/куда поступать/вакансии")</f>
        <v>где вкусно поесть/открытие новых кафе/ресторанов, городская афиша (кино/театр/концерты), новости про новые профессии/куда поступать/вакансии</v>
      </c>
      <c r="R880" s="6" t="str">
        <f>IFERROR(__xludf.DUMMYFUNCTION("""COMPUTED_VALUE"""),"9 мая")</f>
        <v>9 мая</v>
      </c>
      <c r="S880" s="6" t="str">
        <f>IFERROR(__xludf.DUMMYFUNCTION("""COMPUTED_VALUE"""),"Нет, не приходилось")</f>
        <v>Нет, не приходилось</v>
      </c>
      <c r="T880" s="6" t="str">
        <f>IFERROR(__xludf.DUMMYFUNCTION("""COMPUTED_VALUE"""),"Сложно зацепиться за что-то одно... просто уютный город для жизни и не более...")</f>
        <v>Сложно зацепиться за что-то одно... просто уютный город для жизни и не более...</v>
      </c>
      <c r="U880" s="6" t="str">
        <f>IFERROR(__xludf.DUMMYFUNCTION("""COMPUTED_VALUE"""),"Набережная, Бульвар Строителей, Драмтеатр")</f>
        <v>Набережная, Бульвар Строителей, Драмтеатр</v>
      </c>
      <c r="V880" s="6" t="str">
        <f>IFERROR(__xludf.DUMMYFUNCTION("""COMPUTED_VALUE"""),"Развивали его ")</f>
        <v>Развивали его </v>
      </c>
      <c r="W880" s="6" t="str">
        <f>IFERROR(__xludf.DUMMYFUNCTION("""COMPUTED_VALUE"""),"Трудолюбивые, стойкие, гостеприимные, творческие, культурные")</f>
        <v>Трудолюбивые, стойкие, гостеприимные, творческие, культурные</v>
      </c>
      <c r="X880" s="6" t="str">
        <f>IFERROR(__xludf.DUMMYFUNCTION("""COMPUTED_VALUE"""),"Что значит «крутой»?")</f>
        <v>Что значит «крутой»?</v>
      </c>
      <c r="Y880" s="6" t="str">
        <f>IFERROR(__xludf.DUMMYFUNCTION("""COMPUTED_VALUE"""),"Трагедия в ТЦ «Зимняя вишня» ")</f>
        <v>Трагедия в ТЦ «Зимняя вишня» </v>
      </c>
      <c r="Z880" s="6" t="str">
        <f>IFERROR(__xludf.DUMMYFUNCTION("""COMPUTED_VALUE"""),"100 летие - масштабный праздник. ")</f>
        <v>100 летие - масштабный праздник. </v>
      </c>
      <c r="AA880" s="6" t="str">
        <f>IFERROR(__xludf.DUMMYFUNCTION("""COMPUTED_VALUE"""),"Трагедия в ТЦ «Зимняя Вишня» ")</f>
        <v>Трагедия в ТЦ «Зимняя Вишня» </v>
      </c>
      <c r="AB880" s="6" t="str">
        <f>IFERROR(__xludf.DUMMYFUNCTION("""COMPUTED_VALUE"""),"По мне всего хватает.")</f>
        <v>По мне всего хватает.</v>
      </c>
      <c r="AC880" s="6" t="str">
        <f>IFERROR(__xludf.DUMMYFUNCTION("""COMPUTED_VALUE"""),"Молодежных форумов, слетов! ")</f>
        <v>Молодежных форумов, слетов! </v>
      </c>
      <c r="AD880"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880" s="6" t="str">
        <f>IFERROR(__xludf.DUMMYFUNCTION("""COMPUTED_VALUE"""),"Женский")</f>
        <v>Женский</v>
      </c>
      <c r="AF880" s="6" t="str">
        <f>IFERROR(__xludf.DUMMYFUNCTION("""COMPUTED_VALUE"""),"18-29")</f>
        <v>18-29</v>
      </c>
      <c r="AG880" s="6"/>
      <c r="AH880" s="6"/>
      <c r="AI880" s="6"/>
      <c r="AJ880" s="6"/>
      <c r="AK880" s="6"/>
      <c r="AL880" s="6"/>
      <c r="AM880" s="6"/>
    </row>
    <row r="881">
      <c r="A881" s="6">
        <v>880.0</v>
      </c>
      <c r="B881" s="6" t="str">
        <f>IFERROR(__xludf.DUMMYFUNCTION("""COMPUTED_VALUE"""),"Сфера культуры")</f>
        <v>Сфера культуры</v>
      </c>
      <c r="C881" s="6" t="str">
        <f>IFERROR(__xludf.DUMMYFUNCTION("""COMPUTED_VALUE"""),"Автоиобиль")</f>
        <v>Автоиобиль</v>
      </c>
      <c r="D881" s="6" t="str">
        <f>IFERROR(__xludf.DUMMYFUNCTION("""COMPUTED_VALUE"""),"Кировский")</f>
        <v>Кировский</v>
      </c>
      <c r="E881" s="6" t="str">
        <f>IFERROR(__xludf.DUMMYFUNCTION("""COMPUTED_VALUE"""),"Набережная, березовая роща, дворец культуры")</f>
        <v>Набережная, березовая роща, дворец культуры</v>
      </c>
      <c r="F881" s="6" t="str">
        <f>IFERROR(__xludf.DUMMYFUNCTION("""COMPUTED_VALUE"""),"Живу здесь с рождения")</f>
        <v>Живу здесь с рождения</v>
      </c>
      <c r="G881" s="6" t="str">
        <f>IFERROR(__xludf.DUMMYFUNCTION("""COMPUTED_VALUE"""),"Центральная набережная, парк чудес")</f>
        <v>Центральная набережная, парк чудес</v>
      </c>
      <c r="H881" s="6" t="str">
        <f>IFERROR(__xludf.DUMMYFUNCTION("""COMPUTED_VALUE"""),"Детство, уютно, дочь, родные, любовь")</f>
        <v>Детство, уютно, дочь, родные, любовь</v>
      </c>
      <c r="I881" s="6" t="str">
        <f>IFERROR(__xludf.DUMMYFUNCTION("""COMPUTED_VALUE"""),"Леонов, киров, рутгерс")</f>
        <v>Леонов, киров, рутгерс</v>
      </c>
      <c r="J881" s="6" t="str">
        <f>IFERROR(__xludf.DUMMYFUNCTION("""COMPUTED_VALUE"""),"Михайлов")</f>
        <v>Михайлов</v>
      </c>
      <c r="K881" s="6" t="str">
        <f>IFERROR(__xludf.DUMMYFUNCTION("""COMPUTED_VALUE"""),"Музей красная горка, ботанический сад, лесная поляна")</f>
        <v>Музей красная горка, ботанический сад, лесная поляна</v>
      </c>
      <c r="L881" s="6" t="str">
        <f>IFERROR(__xludf.DUMMYFUNCTION("""COMPUTED_VALUE"""),"Есть зло-значит близко и добро")</f>
        <v>Есть зло-значит близко и добро</v>
      </c>
      <c r="M881" s="6" t="str">
        <f>IFERROR(__xludf.DUMMYFUNCTION("""COMPUTED_VALUE"""),"Кемерово👋")</f>
        <v>Кемерово👋</v>
      </c>
      <c r="N881" s="6" t="str">
        <f>IFERROR(__xludf.DUMMYFUNCTION("""COMPUTED_VALUE"""),"Удобные транспортные развяки, хорошие дороги,")</f>
        <v>Удобные транспортные развяки, хорошие дороги,</v>
      </c>
      <c r="O881" s="6" t="str">
        <f>IFERROR(__xludf.DUMMYFUNCTION("""COMPUTED_VALUE"""),"Производство")</f>
        <v>Производство</v>
      </c>
      <c r="P881" s="6" t="str">
        <f>IFERROR(__xludf.DUMMYFUNCTION("""COMPUTED_VALUE"""),"Интэрнэт")</f>
        <v>Интэрнэт</v>
      </c>
      <c r="Q881" s="6" t="str">
        <f>IFERROR(__xludf.DUMMYFUNCTION("""COMPUTED_VALUE"""),"культурные новинки (что почитать/что послушать), интервью с местными творческими личностями")</f>
        <v>культурные новинки (что почитать/что послушать), интервью с местными творческими личностями</v>
      </c>
      <c r="R881" s="6" t="str">
        <f>IFERROR(__xludf.DUMMYFUNCTION("""COMPUTED_VALUE"""),"День победы, день города")</f>
        <v>День победы, день города</v>
      </c>
      <c r="S881" s="6" t="str">
        <f>IFERROR(__xludf.DUMMYFUNCTION("""COMPUTED_VALUE"""),"Организаторы и участники городских праздников")</f>
        <v>Организаторы и участники городских праздников</v>
      </c>
      <c r="T881" s="6" t="str">
        <f>IFERROR(__xludf.DUMMYFUNCTION("""COMPUTED_VALUE"""),"Памятник шахтерам, театр для детей и молодежи, музей красная горка")</f>
        <v>Памятник шахтерам, театр для детей и молодежи, музей красная горка</v>
      </c>
      <c r="U881" s="6" t="str">
        <f>IFERROR(__xludf.DUMMYFUNCTION("""COMPUTED_VALUE"""),"Площадь советоа")</f>
        <v>Площадь советоа</v>
      </c>
      <c r="V881" s="6" t="str">
        <f>IFERROR(__xludf.DUMMYFUNCTION("""COMPUTED_VALUE"""),"Построили наш город, развивали промышленные предприятия")</f>
        <v>Построили наш город, развивали промышленные предприятия</v>
      </c>
      <c r="W881" s="6" t="str">
        <f>IFERROR(__xludf.DUMMYFUNCTION("""COMPUTED_VALUE"""),"Приветливые")</f>
        <v>Приветливые</v>
      </c>
      <c r="X881" s="6" t="str">
        <f>IFERROR(__xludf.DUMMYFUNCTION("""COMPUTED_VALUE"""),"На трамвае от района радуга до вокзала")</f>
        <v>На трамвае от района радуга до вокзала</v>
      </c>
      <c r="Y881" s="6" t="str">
        <f>IFERROR(__xludf.DUMMYFUNCTION("""COMPUTED_VALUE"""),"Чемпионат бенди")</f>
        <v>Чемпионат бенди</v>
      </c>
      <c r="Z881" s="6" t="str">
        <f>IFERROR(__xludf.DUMMYFUNCTION("""COMPUTED_VALUE"""),"Бессмертный полк")</f>
        <v>Бессмертный полк</v>
      </c>
      <c r="AA881" s="6" t="str">
        <f>IFERROR(__xludf.DUMMYFUNCTION("""COMPUTED_VALUE"""),"Зимняя вишня")</f>
        <v>Зимняя вишня</v>
      </c>
      <c r="AB881" s="6" t="str">
        <f>IFERROR(__xludf.DUMMYFUNCTION("""COMPUTED_VALUE"""),"Национальных")</f>
        <v>Национальных</v>
      </c>
      <c r="AC881" s="6" t="str">
        <f>IFERROR(__xludf.DUMMYFUNCTION("""COMPUTED_VALUE"""),"Новые проекты по благоустройству города")</f>
        <v>Новые проекты по благоустройству города</v>
      </c>
      <c r="AD88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81" s="6" t="str">
        <f>IFERROR(__xludf.DUMMYFUNCTION("""COMPUTED_VALUE"""),"Женский")</f>
        <v>Женский</v>
      </c>
      <c r="AF881" s="6" t="str">
        <f>IFERROR(__xludf.DUMMYFUNCTION("""COMPUTED_VALUE"""),"45-55")</f>
        <v>45-55</v>
      </c>
      <c r="AG881" s="6"/>
      <c r="AH881" s="6"/>
      <c r="AI881" s="6"/>
      <c r="AJ881" s="6"/>
      <c r="AK881" s="6"/>
      <c r="AL881" s="6"/>
      <c r="AM881" s="6"/>
    </row>
    <row r="882">
      <c r="A882" s="6">
        <v>881.0</v>
      </c>
      <c r="B882" s="6" t="str">
        <f>IFERROR(__xludf.DUMMYFUNCTION("""COMPUTED_VALUE"""),"Юрист")</f>
        <v>Юрист</v>
      </c>
      <c r="C882" s="6" t="str">
        <f>IFERROR(__xludf.DUMMYFUNCTION("""COMPUTED_VALUE"""),"Чтение книг, дача")</f>
        <v>Чтение книг, дача</v>
      </c>
      <c r="D882" s="6" t="str">
        <f>IFERROR(__xludf.DUMMYFUNCTION("""COMPUTED_VALUE"""),"Центральный, Центр")</f>
        <v>Центральный, Центр</v>
      </c>
      <c r="E882" s="6" t="str">
        <f>IFERROR(__xludf.DUMMYFUNCTION("""COMPUTED_VALUE"""),"Областная библиотека, крытый рынок, арбитражный суд, КЕМГУ, Лицей 62, цирк, горсал, парк Антошка, бассейн, почтамт")</f>
        <v>Областная библиотека, крытый рынок, арбитражный суд, КЕМГУ, Лицей 62, цирк, горсал, парк Антошка, бассейн, почтамт</v>
      </c>
      <c r="F882" s="6" t="str">
        <f>IFERROR(__xludf.DUMMYFUNCTION("""COMPUTED_VALUE"""),"Живу здесь с рождения")</f>
        <v>Живу здесь с рождения</v>
      </c>
      <c r="G882" s="6" t="str">
        <f>IFERROR(__xludf.DUMMYFUNCTION("""COMPUTED_VALUE"""),"Филармония, оперетта, набережная")</f>
        <v>Филармония, оперетта, набережная</v>
      </c>
      <c r="H882" s="6" t="str">
        <f>IFERROR(__xludf.DUMMYFUNCTION("""COMPUTED_VALUE"""),"Река, глушь, болото, дыра, безработица")</f>
        <v>Река, глушь, болото, дыра, безработица</v>
      </c>
      <c r="I882" s="6" t="str">
        <f>IFERROR(__xludf.DUMMYFUNCTION("""COMPUTED_VALUE"""),"Ляхов Илья Яковлевич, Фёдоров, Волков")</f>
        <v>Ляхов Илья Яковлевич, Фёдоров, Волков</v>
      </c>
      <c r="J882" s="6" t="str">
        <f>IFERROR(__xludf.DUMMYFUNCTION("""COMPUTED_VALUE"""),"Ляхов Илья Яковлевич, мэр Михайлов")</f>
        <v>Ляхов Илья Яковлевич, мэр Михайлов</v>
      </c>
      <c r="K882" s="6" t="str">
        <f>IFERROR(__xludf.DUMMYFUNCTION("""COMPUTED_VALUE"""),"Сердце шахтёра, памятник бездомной собаке")</f>
        <v>Сердце шахтёра, памятник бездомной собаке</v>
      </c>
      <c r="L882" s="6" t="str">
        <f>IFERROR(__xludf.DUMMYFUNCTION("""COMPUTED_VALUE"""),"Не знаю")</f>
        <v>Не знаю</v>
      </c>
      <c r="M882" s="6" t="str">
        <f>IFERROR(__xludf.DUMMYFUNCTION("""COMPUTED_VALUE"""),"Нет")</f>
        <v>Нет</v>
      </c>
      <c r="N882" s="6" t="str">
        <f>IFERROR(__xludf.DUMMYFUNCTION("""COMPUTED_VALUE"""),"Чисто, отремонтированные дворы, отремонтированные дороги")</f>
        <v>Чисто, отремонтированные дворы, отремонтированные дороги</v>
      </c>
      <c r="O882" s="6" t="str">
        <f>IFERROR(__xludf.DUMMYFUNCTION("""COMPUTED_VALUE"""),"Дороги для машин и во дворах")</f>
        <v>Дороги для машин и во дворах</v>
      </c>
      <c r="P882" s="6" t="str">
        <f>IFERROR(__xludf.DUMMYFUNCTION("""COMPUTED_VALUE"""),"Нет")</f>
        <v>Нет</v>
      </c>
      <c r="Q882" s="6" t="str">
        <f>IFERROR(__xludf.DUMMYFUNCTION("""COMPUTED_VALUE"""),"городская афиша (кино/театр/концерты), новости про новые профессии/куда поступать/вакансии")</f>
        <v>городская афиша (кино/театр/концерты), новости про новые профессии/куда поступать/вакансии</v>
      </c>
      <c r="R882" s="6" t="str">
        <f>IFERROR(__xludf.DUMMYFUNCTION("""COMPUTED_VALUE"""),"9 мая")</f>
        <v>9 мая</v>
      </c>
      <c r="S882" s="6" t="str">
        <f>IFERROR(__xludf.DUMMYFUNCTION("""COMPUTED_VALUE"""),"Нет, не приходилось")</f>
        <v>Нет, не приходилось</v>
      </c>
      <c r="T882" s="6" t="str">
        <f>IFERROR(__xludf.DUMMYFUNCTION("""COMPUTED_VALUE"""),"Зимняя вишня")</f>
        <v>Зимняя вишня</v>
      </c>
      <c r="U882" s="6" t="str">
        <f>IFERROR(__xludf.DUMMYFUNCTION("""COMPUTED_VALUE"""),"Площадь Советов")</f>
        <v>Площадь Советов</v>
      </c>
      <c r="V882" s="6" t="str">
        <f>IFERROR(__xludf.DUMMYFUNCTION("""COMPUTED_VALUE"""),"Отремонтировали дороги дворы")</f>
        <v>Отремонтировали дороги дворы</v>
      </c>
      <c r="W882" s="6" t="str">
        <f>IFERROR(__xludf.DUMMYFUNCTION("""COMPUTED_VALUE"""),"Уставшие")</f>
        <v>Уставшие</v>
      </c>
      <c r="X882" s="6" t="str">
        <f>IFERROR(__xludf.DUMMYFUNCTION("""COMPUTED_VALUE"""),"Мосты, сосновый бор")</f>
        <v>Мосты, сосновый бор</v>
      </c>
      <c r="Y882" s="6" t="str">
        <f>IFERROR(__xludf.DUMMYFUNCTION("""COMPUTED_VALUE"""),"Зимняя вишня")</f>
        <v>Зимняя вишня</v>
      </c>
      <c r="Z882" s="6" t="str">
        <f>IFERROR(__xludf.DUMMYFUNCTION("""COMPUTED_VALUE"""),"Нет")</f>
        <v>Нет</v>
      </c>
      <c r="AA882" s="6" t="str">
        <f>IFERROR(__xludf.DUMMYFUNCTION("""COMPUTED_VALUE"""),"Нет")</f>
        <v>Нет</v>
      </c>
      <c r="AB882" s="6" t="str">
        <f>IFERROR(__xludf.DUMMYFUNCTION("""COMPUTED_VALUE"""),"Нет")</f>
        <v>Нет</v>
      </c>
      <c r="AC882" s="6" t="str">
        <f>IFERROR(__xludf.DUMMYFUNCTION("""COMPUTED_VALUE"""),"Не знаю")</f>
        <v>Не знаю</v>
      </c>
      <c r="AD88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882" s="6" t="str">
        <f>IFERROR(__xludf.DUMMYFUNCTION("""COMPUTED_VALUE"""),"Женский")</f>
        <v>Женский</v>
      </c>
      <c r="AF882" s="6" t="str">
        <f>IFERROR(__xludf.DUMMYFUNCTION("""COMPUTED_VALUE"""),"45-55")</f>
        <v>45-55</v>
      </c>
      <c r="AG882" s="6"/>
      <c r="AH882" s="6"/>
      <c r="AI882" s="6"/>
      <c r="AJ882" s="6"/>
      <c r="AK882" s="6"/>
      <c r="AL882" s="6"/>
      <c r="AM882" s="6"/>
    </row>
    <row r="883">
      <c r="A883" s="6">
        <v>882.0</v>
      </c>
      <c r="B883" s="6" t="str">
        <f>IFERROR(__xludf.DUMMYFUNCTION("""COMPUTED_VALUE"""),"Госслужащий")</f>
        <v>Госслужащий</v>
      </c>
      <c r="C883" s="6" t="str">
        <f>IFERROR(__xludf.DUMMYFUNCTION("""COMPUTED_VALUE"""),"Здоровый образ жизни. Фитнес. ")</f>
        <v>Здоровый образ жизни. Фитнес. </v>
      </c>
      <c r="D883" s="6" t="str">
        <f>IFERROR(__xludf.DUMMYFUNCTION("""COMPUTED_VALUE"""),"Заводском районе. Южный. ")</f>
        <v>Заводском районе. Южный. </v>
      </c>
      <c r="E883" s="6" t="str">
        <f>IFERROR(__xludf.DUMMYFUNCTION("""COMPUTED_VALUE"""),"Аллея ул. Патриотов; бюст Ю. А. Гагарину")</f>
        <v>Аллея ул. Патриотов; бюст Ю. А. Гагарину</v>
      </c>
      <c r="F883" s="6" t="str">
        <f>IFERROR(__xludf.DUMMYFUNCTION("""COMPUTED_VALUE"""),"Переехал сюда из другого места (откуда? укажите в графе другое), Пгт. Зеленогорский Крапивинского района Кемеровской области ")</f>
        <v>Переехал сюда из другого места (откуда? укажите в графе другое), Пгт. Зеленогорский Крапивинского района Кемеровской области </v>
      </c>
      <c r="G883" s="6" t="str">
        <f>IFERROR(__xludf.DUMMYFUNCTION("""COMPUTED_VALUE"""),"Набережная реки Томь, Томская писанница, Парк чудес ")</f>
        <v>Набережная реки Томь, Томская писанница, Парк чудес </v>
      </c>
      <c r="H883" s="6" t="str">
        <f>IFERROR(__xludf.DUMMYFUNCTION("""COMPUTED_VALUE"""),"Красная горка, Площадь Советов, уголь, центр области, дом")</f>
        <v>Красная горка, Площадь Советов, уголь, центр области, дом</v>
      </c>
      <c r="I883" s="6" t="str">
        <f>IFERROR(__xludf.DUMMYFUNCTION("""COMPUTED_VALUE"""),"Михайлович В. В. ")</f>
        <v>Михайлович В. В. </v>
      </c>
      <c r="J883" s="6" t="str">
        <f>IFERROR(__xludf.DUMMYFUNCTION("""COMPUTED_VALUE"""),"Затрудняюсь ответить ")</f>
        <v>Затрудняюсь ответить </v>
      </c>
      <c r="K883" s="6" t="str">
        <f>IFERROR(__xludf.DUMMYFUNCTION("""COMPUTED_VALUE"""),"Парк ангелов, район лесная Поляна ")</f>
        <v>Парк ангелов, район лесная Поляна </v>
      </c>
      <c r="L883" s="6" t="str">
        <f>IFERROR(__xludf.DUMMYFUNCTION("""COMPUTED_VALUE"""),"Нет ответа")</f>
        <v>Нет ответа</v>
      </c>
      <c r="M883" s="6" t="str">
        <f>IFERROR(__xludf.DUMMYFUNCTION("""COMPUTED_VALUE"""),"??? ")</f>
        <v>??? </v>
      </c>
      <c r="N883" s="6" t="str">
        <f>IFERROR(__xludf.DUMMYFUNCTION("""COMPUTED_VALUE"""),"Доступность социальных объектов (больниц, культурно-досуговых центров), наличие образовательных учреждений, безопасность, экология, наличие мест отдыха, состояние дорог. ")</f>
        <v>Доступность социальных объектов (больниц, культурно-досуговых центров), наличие образовательных учреждений, безопасность, экология, наличие мест отдыха, состояние дорог. </v>
      </c>
      <c r="O883" s="6" t="str">
        <f>IFERROR(__xludf.DUMMYFUNCTION("""COMPUTED_VALUE"""),"Вопросы благоустройства ")</f>
        <v>Вопросы благоустройства </v>
      </c>
      <c r="P883" s="6" t="str">
        <f>IFERROR(__xludf.DUMMYFUNCTION("""COMPUTED_VALUE"""),"Официальный сайт администрации города, инстаграмм, друзья ")</f>
        <v>Официальный сайт администрации города, инстаграмм, друзья </v>
      </c>
      <c r="Q883" s="6" t="str">
        <f>IFERROR(__xludf.DUMMYFUNCTION("""COMPUTED_VALUE"""),"городская афиша (кино/театр/концерты), интервью с местными творческими личностями, интервью с местными предпринимателями")</f>
        <v>городская афиша (кино/театр/концерты), интервью с местными творческими личностями, интервью с местными предпринимателями</v>
      </c>
      <c r="R883" s="6" t="str">
        <f>IFERROR(__xludf.DUMMYFUNCTION("""COMPUTED_VALUE"""),"Первое июня, день города, 9 мая")</f>
        <v>Первое июня, день города, 9 мая</v>
      </c>
      <c r="S883" s="6" t="str">
        <f>IFERROR(__xludf.DUMMYFUNCTION("""COMPUTED_VALUE"""),"Нет, не приходилось")</f>
        <v>Нет, не приходилось</v>
      </c>
      <c r="T883" s="6" t="str">
        <f>IFERROR(__xludf.DUMMYFUNCTION("""COMPUTED_VALUE"""),"? ")</f>
        <v>? </v>
      </c>
      <c r="U883" s="6" t="str">
        <f>IFERROR(__xludf.DUMMYFUNCTION("""COMPUTED_VALUE"""),"Площадь Советов, цирк, вокзал ")</f>
        <v>Площадь Советов, цирк, вокзал </v>
      </c>
      <c r="V883" s="6" t="str">
        <f>IFERROR(__xludf.DUMMYFUNCTION("""COMPUTED_VALUE"""),"Строили дороги и мосты, дома, благоустраивали город")</f>
        <v>Строили дороги и мосты, дома, благоустраивали город</v>
      </c>
      <c r="W883" s="6" t="str">
        <f>IFERROR(__xludf.DUMMYFUNCTION("""COMPUTED_VALUE"""),"Кемеровчане-это люди, а люди они все разные. Отзывчивые и заботливые, есть и грубые и равнодушные, уверенные и настойчивые, умные и талантливые. ")</f>
        <v>Кемеровчане-это люди, а люди они все разные. Отзывчивые и заботливые, есть и грубые и равнодушные, уверенные и настойчивые, умные и талантливые. </v>
      </c>
      <c r="X883" s="6" t="str">
        <f>IFERROR(__xludf.DUMMYFUNCTION("""COMPUTED_VALUE"""),"Надо подумать ")</f>
        <v>Надо подумать </v>
      </c>
      <c r="Y883" s="6" t="str">
        <f>IFERROR(__xludf.DUMMYFUNCTION("""COMPUTED_VALUE"""),"Само появление города")</f>
        <v>Само появление города</v>
      </c>
      <c r="Z883" s="6" t="str">
        <f>IFERROR(__xludf.DUMMYFUNCTION("""COMPUTED_VALUE"""),"Не могу выделить что либо ")</f>
        <v>Не могу выделить что либо </v>
      </c>
      <c r="AA883" s="6" t="str">
        <f>IFERROR(__xludf.DUMMYFUNCTION("""COMPUTED_VALUE"""),"Не могу выделить что либо ")</f>
        <v>Не могу выделить что либо </v>
      </c>
      <c r="AB883" s="6" t="str">
        <f>IFERROR(__xludf.DUMMYFUNCTION("""COMPUTED_VALUE"""),"Всего хватает ")</f>
        <v>Всего хватает </v>
      </c>
      <c r="AC883" s="6" t="str">
        <f>IFERROR(__xludf.DUMMYFUNCTION("""COMPUTED_VALUE"""),"Информационно-познавательные, чтобы донести, заинтересовать и получить новые знания ")</f>
        <v>Информационно-познавательные, чтобы донести, заинтересовать и получить новые знания </v>
      </c>
      <c r="AD88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83" s="6" t="str">
        <f>IFERROR(__xludf.DUMMYFUNCTION("""COMPUTED_VALUE"""),"Женский")</f>
        <v>Женский</v>
      </c>
      <c r="AF883" s="6" t="str">
        <f>IFERROR(__xludf.DUMMYFUNCTION("""COMPUTED_VALUE"""),"30-44")</f>
        <v>30-44</v>
      </c>
      <c r="AG883" s="6"/>
      <c r="AH883" s="6"/>
      <c r="AI883" s="6"/>
      <c r="AJ883" s="6"/>
      <c r="AK883" s="6"/>
      <c r="AL883" s="6"/>
      <c r="AM883" s="6"/>
    </row>
    <row r="884">
      <c r="A884" s="6">
        <v>883.0</v>
      </c>
      <c r="B884" s="6" t="str">
        <f>IFERROR(__xludf.DUMMYFUNCTION("""COMPUTED_VALUE"""),"Преподаватель ")</f>
        <v>Преподаватель </v>
      </c>
      <c r="C884" s="6" t="str">
        <f>IFERROR(__xludf.DUMMYFUNCTION("""COMPUTED_VALUE"""),"Нет")</f>
        <v>Нет</v>
      </c>
      <c r="D884" s="6" t="str">
        <f>IFERROR(__xludf.DUMMYFUNCTION("""COMPUTED_VALUE"""),"5 поликлинника ")</f>
        <v>5 поликлинника </v>
      </c>
      <c r="E884" s="6" t="str">
        <f>IFERROR(__xludf.DUMMYFUNCTION("""COMPUTED_VALUE"""),"Комсомольский парк")</f>
        <v>Комсомольский парк</v>
      </c>
      <c r="F884" s="6" t="str">
        <f>IFERROR(__xludf.DUMMYFUNCTION("""COMPUTED_VALUE"""),"Переехал сюда из другого места (откуда? укажите в графе другое), Из Крапивинского района ")</f>
        <v>Переехал сюда из другого места (откуда? укажите в графе другое), Из Крапивинского района </v>
      </c>
      <c r="G884" s="6" t="str">
        <f>IFERROR(__xludf.DUMMYFUNCTION("""COMPUTED_VALUE"""),"Кузбасский парк, набережная реки. Томь, городской сад ")</f>
        <v>Кузбасский парк, набережная реки. Томь, городской сад </v>
      </c>
      <c r="H884" s="6" t="str">
        <f>IFERROR(__xludf.DUMMYFUNCTION("""COMPUTED_VALUE"""),"Кузбасс, гордость, возможности, отдых, театры")</f>
        <v>Кузбасс, гордость, возможности, отдых, театры</v>
      </c>
      <c r="I884" s="6" t="str">
        <f>IFERROR(__xludf.DUMMYFUNCTION("""COMPUTED_VALUE"""),"Волков Михайло, ")</f>
        <v>Волков Михайло, </v>
      </c>
      <c r="J884" s="6" t="str">
        <f>IFERROR(__xludf.DUMMYFUNCTION("""COMPUTED_VALUE"""),"Тулеев, Сердюк, ")</f>
        <v>Тулеев, Сердюк, </v>
      </c>
      <c r="K884" s="6" t="str">
        <f>IFERROR(__xludf.DUMMYFUNCTION("""COMPUTED_VALUE"""),"Красная горка музей, краеведческий музей, театры, ")</f>
        <v>Красная горка музей, краеведческий музей, театры, </v>
      </c>
      <c r="L884" s="6" t="str">
        <f>IFERROR(__xludf.DUMMYFUNCTION("""COMPUTED_VALUE"""),"Ктоине работает тот не ест")</f>
        <v>Ктоине работает тот не ест</v>
      </c>
      <c r="M884" s="6" t="str">
        <f>IFERROR(__xludf.DUMMYFUNCTION("""COMPUTED_VALUE"""),"Нет ")</f>
        <v>Нет </v>
      </c>
      <c r="N884" s="6" t="str">
        <f>IFERROR(__xludf.DUMMYFUNCTION("""COMPUTED_VALUE"""),"Транспорт ")</f>
        <v>Транспорт </v>
      </c>
      <c r="O884" s="6" t="str">
        <f>IFERROR(__xludf.DUMMYFUNCTION("""COMPUTED_VALUE"""),"Транспорт, по больше ")</f>
        <v>Транспорт, по больше </v>
      </c>
      <c r="P884" s="6" t="str">
        <f>IFERROR(__xludf.DUMMYFUNCTION("""COMPUTED_VALUE"""),"Интернет")</f>
        <v>Интернет</v>
      </c>
      <c r="Q884"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884" s="6" t="str">
        <f>IFERROR(__xludf.DUMMYFUNCTION("""COMPUTED_VALUE"""),"День города ")</f>
        <v>День города </v>
      </c>
      <c r="S884" s="6" t="str">
        <f>IFERROR(__xludf.DUMMYFUNCTION("""COMPUTED_VALUE"""),"Через социальные сети (Какие? Укажите в графе другое)")</f>
        <v>Через социальные сети (Какие? Укажите в графе другое)</v>
      </c>
      <c r="T884" s="6" t="str">
        <f>IFERROR(__xludf.DUMMYFUNCTION("""COMPUTED_VALUE"""),"Уголь ")</f>
        <v>Уголь </v>
      </c>
      <c r="U884" s="6" t="str">
        <f>IFERROR(__xludf.DUMMYFUNCTION("""COMPUTED_VALUE"""),"Красная Горка музей")</f>
        <v>Красная Горка музей</v>
      </c>
      <c r="V884" s="6" t="str">
        <f>IFERROR(__xludf.DUMMYFUNCTION("""COMPUTED_VALUE"""),"Культурная жизнь ")</f>
        <v>Культурная жизнь </v>
      </c>
      <c r="W884" s="6" t="str">
        <f>IFERROR(__xludf.DUMMYFUNCTION("""COMPUTED_VALUE"""),"Добрые, отзывчивые, культурные ")</f>
        <v>Добрые, отзывчивые, культурные </v>
      </c>
      <c r="X884" s="6" t="str">
        <f>IFERROR(__xludf.DUMMYFUNCTION("""COMPUTED_VALUE"""),"Красная Горка ")</f>
        <v>Красная Горка </v>
      </c>
      <c r="Y884" s="6" t="str">
        <f>IFERROR(__xludf.DUMMYFUNCTION("""COMPUTED_VALUE"""),"Открытие местораждения угля ")</f>
        <v>Открытие местораждения угля </v>
      </c>
      <c r="Z884" s="6" t="str">
        <f>IFERROR(__xludf.DUMMYFUNCTION("""COMPUTED_VALUE"""),"Концерт хора турецкого ")</f>
        <v>Концерт хора турецкого </v>
      </c>
      <c r="AA884" s="6" t="str">
        <f>IFERROR(__xludf.DUMMYFUNCTION("""COMPUTED_VALUE"""),"В транспорте ")</f>
        <v>В транспорте </v>
      </c>
      <c r="AB884" s="6" t="str">
        <f>IFERROR(__xludf.DUMMYFUNCTION("""COMPUTED_VALUE"""),"Все хватает ")</f>
        <v>Все хватает </v>
      </c>
      <c r="AC884" s="6" t="str">
        <f>IFERROR(__xludf.DUMMYFUNCTION("""COMPUTED_VALUE"""),"Духовые оркестры в парках")</f>
        <v>Духовые оркестры в парках</v>
      </c>
      <c r="AD88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884" s="6" t="str">
        <f>IFERROR(__xludf.DUMMYFUNCTION("""COMPUTED_VALUE"""),"Женский")</f>
        <v>Женский</v>
      </c>
      <c r="AF884" s="6" t="str">
        <f>IFERROR(__xludf.DUMMYFUNCTION("""COMPUTED_VALUE"""),"45-55")</f>
        <v>45-55</v>
      </c>
      <c r="AG884" s="6"/>
      <c r="AH884" s="6"/>
      <c r="AI884" s="6"/>
      <c r="AJ884" s="6"/>
      <c r="AK884" s="6"/>
      <c r="AL884" s="6"/>
      <c r="AM884" s="6"/>
    </row>
    <row r="885">
      <c r="A885" s="6">
        <v>884.0</v>
      </c>
      <c r="B885" s="6" t="str">
        <f>IFERROR(__xludf.DUMMYFUNCTION("""COMPUTED_VALUE"""),"Работаю ")</f>
        <v>Работаю </v>
      </c>
      <c r="C885" s="6" t="str">
        <f>IFERROR(__xludf.DUMMYFUNCTION("""COMPUTED_VALUE"""),"Спать. Времени на другое хобби нет")</f>
        <v>Спать. Времени на другое хобби нет</v>
      </c>
      <c r="D885" s="6" t="str">
        <f>IFERROR(__xludf.DUMMYFUNCTION("""COMPUTED_VALUE"""),"Южный. Называю его ""Южный никому не нужный"" ")</f>
        <v>Южный. Называю его "Южный никому не нужный" </v>
      </c>
      <c r="E885" s="6" t="str">
        <f>IFERROR(__xludf.DUMMYFUNCTION("""COMPUTED_VALUE"""),"Гипермаркет ""Лента"" ")</f>
        <v>Гипермаркет "Лента" </v>
      </c>
      <c r="F885" s="6" t="str">
        <f>IFERROR(__xludf.DUMMYFUNCTION("""COMPUTED_VALUE"""),"Живу здесь с рождения")</f>
        <v>Живу здесь с рождения</v>
      </c>
      <c r="G885" s="6" t="str">
        <f>IFERROR(__xludf.DUMMYFUNCTION("""COMPUTED_VALUE"""),"На набережную")</f>
        <v>На набережную</v>
      </c>
      <c r="H885" s="6" t="str">
        <f>IFERROR(__xludf.DUMMYFUNCTION("""COMPUTED_VALUE"""),"Уголь, смог, холод, грязь, ямы")</f>
        <v>Уголь, смог, холод, грязь, ямы</v>
      </c>
      <c r="I885" s="6" t="str">
        <f>IFERROR(__xludf.DUMMYFUNCTION("""COMPUTED_VALUE"""),"Е. Малышева (в плохом смысле выдающаяся), В. Логинов ")</f>
        <v>Е. Малышева (в плохом смысле выдающаяся), В. Логинов </v>
      </c>
      <c r="J885" s="6" t="str">
        <f>IFERROR(__xludf.DUMMYFUNCTION("""COMPUTED_VALUE"""),"Не знаю таких")</f>
        <v>Не знаю таких</v>
      </c>
      <c r="K885" s="6" t="str">
        <f>IFERROR(__xludf.DUMMYFUNCTION("""COMPUTED_VALUE"""),"Набережная, центр ")</f>
        <v>Набережная, центр </v>
      </c>
      <c r="L885" s="6" t="str">
        <f>IFERROR(__xludf.DUMMYFUNCTION("""COMPUTED_VALUE"""),"Денег нет, но вы держитесь ©Медведев ")</f>
        <v>Денег нет, но вы держитесь ©Медведев </v>
      </c>
      <c r="M885" s="6" t="str">
        <f>IFERROR(__xludf.DUMMYFUNCTION("""COMPUTED_VALUE"""),"Нет")</f>
        <v>Нет</v>
      </c>
      <c r="N885" s="6" t="str">
        <f>IFERROR(__xludf.DUMMYFUNCTION("""COMPUTED_VALUE"""),"1. Органы управления, которые стараются для людей, а не для себя 
2. Чистота (воздуха, дорог, парков и т.д.) 
3. Зарплата 
4. Сделанные дороги
5. Добрые люди ")</f>
        <v>1. Органы управления, которые стараются для людей, а не для себя 
2. Чистота (воздуха, дорог, парков и т.д.) 
3. Зарплата 
4. Сделанные дороги
5. Добрые люди </v>
      </c>
      <c r="O885" s="6" t="str">
        <f>IFERROR(__xludf.DUMMYFUNCTION("""COMPUTED_VALUE"""),"Всё. Направление задано. Ждём")</f>
        <v>Всё. Направление задано. Ждём</v>
      </c>
      <c r="P885" s="6" t="str">
        <f>IFERROR(__xludf.DUMMYFUNCTION("""COMPUTED_VALUE"""),"Инстаграм ")</f>
        <v>Инстаграм </v>
      </c>
      <c r="Q885" s="6" t="str">
        <f>IFERROR(__xludf.DUMMYFUNCTION("""COMPUTED_VALUE"""),"интервью с местными политиками, криминальные новости (происшествия/преступления), Токсины, выброшенные от заводов в разных районах области")</f>
        <v>интервью с местными политиками, криминальные новости (происшествия/преступления), Токсины, выброшенные от заводов в разных районах области</v>
      </c>
      <c r="R885" s="6" t="str">
        <f>IFERROR(__xludf.DUMMYFUNCTION("""COMPUTED_VALUE"""),"9 мая ")</f>
        <v>9 мая </v>
      </c>
      <c r="S885" s="6" t="str">
        <f>IFERROR(__xludf.DUMMYFUNCTION("""COMPUTED_VALUE"""),"Нет, не приходилось")</f>
        <v>Нет, не приходилось</v>
      </c>
      <c r="T885" s="6" t="str">
        <f>IFERROR(__xludf.DUMMYFUNCTION("""COMPUTED_VALUE"""),"Зимняя вишня, красная горка")</f>
        <v>Зимняя вишня, красная горка</v>
      </c>
      <c r="U885" s="6" t="str">
        <f>IFERROR(__xludf.DUMMYFUNCTION("""COMPUTED_VALUE"""),"Площадь советов")</f>
        <v>Площадь советов</v>
      </c>
      <c r="V885" s="6" t="str">
        <f>IFERROR(__xludf.DUMMYFUNCTION("""COMPUTED_VALUE"""),"Работали ")</f>
        <v>Работали </v>
      </c>
      <c r="W885" s="6" t="str">
        <f>IFERROR(__xludf.DUMMYFUNCTION("""COMPUTED_VALUE"""),"Терпеливые, болеющие ")</f>
        <v>Терпеливые, болеющие </v>
      </c>
      <c r="X885" s="6" t="str">
        <f>IFERROR(__xludf.DUMMYFUNCTION("""COMPUTED_VALUE"""),"От площади и до конца набережной ")</f>
        <v>От площади и до конца набережной </v>
      </c>
      <c r="Y885" s="6" t="str">
        <f>IFERROR(__xludf.DUMMYFUNCTION("""COMPUTED_VALUE"""),"Открытие месторождения угля")</f>
        <v>Открытие месторождения угля</v>
      </c>
      <c r="Z885" s="6" t="str">
        <f>IFERROR(__xludf.DUMMYFUNCTION("""COMPUTED_VALUE"""),"Рок концерт возле лапландии ")</f>
        <v>Рок концерт возле лапландии </v>
      </c>
      <c r="AA885" s="6" t="str">
        <f>IFERROR(__xludf.DUMMYFUNCTION("""COMPUTED_VALUE"""),"Много писать ")</f>
        <v>Много писать </v>
      </c>
      <c r="AB885" s="6" t="str">
        <f>IFERROR(__xludf.DUMMYFUNCTION("""COMPUTED_VALUE"""),"Никаких")</f>
        <v>Никаких</v>
      </c>
      <c r="AC885" s="6" t="str">
        <f>IFERROR(__xludf.DUMMYFUNCTION("""COMPUTED_VALUE"""),"Концерты (например, классические в филармонии) ")</f>
        <v>Концерты (например, классические в филармонии) </v>
      </c>
      <c r="AD885"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885" s="6" t="str">
        <f>IFERROR(__xludf.DUMMYFUNCTION("""COMPUTED_VALUE"""),"Мужской")</f>
        <v>Мужской</v>
      </c>
      <c r="AF885" s="6" t="str">
        <f>IFERROR(__xludf.DUMMYFUNCTION("""COMPUTED_VALUE"""),"30-44")</f>
        <v>30-44</v>
      </c>
      <c r="AG885" s="6"/>
      <c r="AH885" s="6"/>
      <c r="AI885" s="6"/>
      <c r="AJ885" s="6"/>
      <c r="AK885" s="6"/>
      <c r="AL885" s="6"/>
      <c r="AM885" s="6"/>
    </row>
    <row r="886">
      <c r="A886" s="6">
        <v>885.0</v>
      </c>
      <c r="B886" s="6" t="str">
        <f>IFERROR(__xludf.DUMMYFUNCTION("""COMPUTED_VALUE"""),"Работа ")</f>
        <v>Работа </v>
      </c>
      <c r="C886" s="6" t="str">
        <f>IFERROR(__xludf.DUMMYFUNCTION("""COMPUTED_VALUE"""),"Музыка ")</f>
        <v>Музыка </v>
      </c>
      <c r="D886" s="6" t="str">
        <f>IFERROR(__xludf.DUMMYFUNCTION("""COMPUTED_VALUE"""),"Кировский район ")</f>
        <v>Кировский район </v>
      </c>
      <c r="E886" s="6" t="str">
        <f>IFERROR(__xludf.DUMMYFUNCTION("""COMPUTED_VALUE"""),"Бегемот ")</f>
        <v>Бегемот </v>
      </c>
      <c r="F886" s="6" t="str">
        <f>IFERROR(__xludf.DUMMYFUNCTION("""COMPUTED_VALUE"""),"Живу здесь с рождения")</f>
        <v>Живу здесь с рождения</v>
      </c>
      <c r="G886" s="6" t="str">
        <f>IFERROR(__xludf.DUMMYFUNCTION("""COMPUTED_VALUE"""),"Театр, набережная, кино")</f>
        <v>Театр, набережная, кино</v>
      </c>
      <c r="H886" s="6" t="str">
        <f>IFERROR(__xludf.DUMMYFUNCTION("""COMPUTED_VALUE"""),"Грязный, холодно, дороги ")</f>
        <v>Грязный, холодно, дороги </v>
      </c>
      <c r="I886" s="6" t="str">
        <f>IFERROR(__xludf.DUMMYFUNCTION("""COMPUTED_VALUE"""),"Не знаю ")</f>
        <v>Не знаю </v>
      </c>
      <c r="J886" s="6" t="str">
        <f>IFERROR(__xludf.DUMMYFUNCTION("""COMPUTED_VALUE"""),"Не слышала ")</f>
        <v>Не слышала </v>
      </c>
      <c r="K886" s="6" t="str">
        <f>IFERROR(__xludf.DUMMYFUNCTION("""COMPUTED_VALUE"""),"Речка говнянка, заброшка, и аэропорт с жд вокзалом ")</f>
        <v>Речка говнянка, заброшка, и аэропорт с жд вокзалом </v>
      </c>
      <c r="L886" s="6" t="str">
        <f>IFERROR(__xludf.DUMMYFUNCTION("""COMPUTED_VALUE"""),"Тощий немощный кащей тащит ящик овощей ")</f>
        <v>Тощий немощный кащей тащит ящик овощей </v>
      </c>
      <c r="M886" s="6" t="str">
        <f>IFERROR(__xludf.DUMMYFUNCTION("""COMPUTED_VALUE"""),"Не знаю ")</f>
        <v>Не знаю </v>
      </c>
      <c r="N886" s="6" t="str">
        <f>IFERROR(__xludf.DUMMYFUNCTION("""COMPUTED_VALUE"""),"Чистота, вежливые люди, хорошие дороги, достойные цены в магазинах, зарплата ")</f>
        <v>Чистота, вежливые люди, хорошие дороги, достойные цены в магазинах, зарплата </v>
      </c>
      <c r="O886" s="6" t="str">
        <f>IFERROR(__xludf.DUMMYFUNCTION("""COMPUTED_VALUE"""),"Батьку и всё ")</f>
        <v>Батьку и всё </v>
      </c>
      <c r="P886" s="6" t="str">
        <f>IFERROR(__xludf.DUMMYFUNCTION("""COMPUTED_VALUE"""),"Интернет, новости читаю ")</f>
        <v>Интернет, новости читаю </v>
      </c>
      <c r="Q886" s="6" t="str">
        <f>IFERROR(__xludf.DUMMYFUNCTION("""COMPUTED_VALUE"""),"куда пойти в свободное время, где вкусно поесть/открытие новых кафе/ресторанов")</f>
        <v>куда пойти в свободное время, где вкусно поесть/открытие новых кафе/ресторанов</v>
      </c>
      <c r="R886" s="6" t="str">
        <f>IFERROR(__xludf.DUMMYFUNCTION("""COMPUTED_VALUE"""),"День вдв, 9 мая ")</f>
        <v>День вдв, 9 мая </v>
      </c>
      <c r="S886" s="6" t="str">
        <f>IFERROR(__xludf.DUMMYFUNCTION("""COMPUTED_VALUE"""),"Писал и расклеивал объявления/афиши, Обращался в редакции городских газет, телевидения, радио")</f>
        <v>Писал и расклеивал объявления/афиши, Обращался в редакции городских газет, телевидения, радио</v>
      </c>
      <c r="T886" s="6" t="str">
        <f>IFERROR(__xludf.DUMMYFUNCTION("""COMPUTED_VALUE"""),"Зимняя вишня, красная горка")</f>
        <v>Зимняя вишня, красная горка</v>
      </c>
      <c r="U886" s="6" t="str">
        <f>IFERROR(__xludf.DUMMYFUNCTION("""COMPUTED_VALUE"""),"Памятник шахтёрам")</f>
        <v>Памятник шахтёрам</v>
      </c>
      <c r="V886" s="6" t="str">
        <f>IFERROR(__xludf.DUMMYFUNCTION("""COMPUTED_VALUE"""),"Уехали ")</f>
        <v>Уехали </v>
      </c>
      <c r="W886" s="6" t="str">
        <f>IFERROR(__xludf.DUMMYFUNCTION("""COMPUTED_VALUE"""),"Все разные, подойди к каждому и узнаешь ")</f>
        <v>Все разные, подойди к каждому и узнаешь </v>
      </c>
      <c r="X886" s="6" t="str">
        <f>IFERROR(__xludf.DUMMYFUNCTION("""COMPUTED_VALUE"""),"В кфс, бк, кб")</f>
        <v>В кфс, бк, кб</v>
      </c>
      <c r="Y886" s="6" t="str">
        <f>IFERROR(__xludf.DUMMYFUNCTION("""COMPUTED_VALUE"""),"Елка за деньги, которых она не стоит и зимняя вишня ")</f>
        <v>Елка за деньги, которых она не стоит и зимняя вишня </v>
      </c>
      <c r="Z886" s="6" t="str">
        <f>IFERROR(__xludf.DUMMYFUNCTION("""COMPUTED_VALUE"""),"Не знаю ")</f>
        <v>Не знаю </v>
      </c>
      <c r="AA886" s="6" t="str">
        <f>IFERROR(__xludf.DUMMYFUNCTION("""COMPUTED_VALUE""")," мне лень все расписывать, много")</f>
        <v> мне лень все расписывать, много</v>
      </c>
      <c r="AB886" s="6" t="str">
        <f>IFERROR(__xludf.DUMMYFUNCTION("""COMPUTED_VALUE"""),"Не знаю ")</f>
        <v>Не знаю </v>
      </c>
      <c r="AC886" s="6" t="str">
        <f>IFERROR(__xludf.DUMMYFUNCTION("""COMPUTED_VALUE"""),"Не знаю ")</f>
        <v>Не знаю </v>
      </c>
      <c r="AD88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886" s="6" t="str">
        <f>IFERROR(__xludf.DUMMYFUNCTION("""COMPUTED_VALUE"""),"Мужской")</f>
        <v>Мужской</v>
      </c>
      <c r="AF886" s="6" t="str">
        <f>IFERROR(__xludf.DUMMYFUNCTION("""COMPUTED_VALUE"""),"45-55")</f>
        <v>45-55</v>
      </c>
      <c r="AG886" s="6"/>
      <c r="AH886" s="6"/>
      <c r="AI886" s="6"/>
      <c r="AJ886" s="6"/>
      <c r="AK886" s="6"/>
      <c r="AL886" s="6"/>
      <c r="AM886" s="6"/>
    </row>
    <row r="887">
      <c r="A887" s="6">
        <v>886.0</v>
      </c>
      <c r="B887" s="6" t="str">
        <f>IFERROR(__xludf.DUMMYFUNCTION("""COMPUTED_VALUE"""),"Преподаватель")</f>
        <v>Преподаватель</v>
      </c>
      <c r="C887" s="6" t="str">
        <f>IFERROR(__xludf.DUMMYFUNCTION("""COMPUTED_VALUE"""),"Нет")</f>
        <v>Нет</v>
      </c>
      <c r="D887" s="6" t="str">
        <f>IFERROR(__xludf.DUMMYFUNCTION("""COMPUTED_VALUE"""),"Ленинский
")</f>
        <v>Ленинский
</v>
      </c>
      <c r="E887" s="6" t="str">
        <f>IFERROR(__xludf.DUMMYFUNCTION("""COMPUTED_VALUE"""),"Бульвар строителей")</f>
        <v>Бульвар строителей</v>
      </c>
      <c r="F887" s="6" t="str">
        <f>IFERROR(__xludf.DUMMYFUNCTION("""COMPUTED_VALUE"""),"Живу здесь с рождения")</f>
        <v>Живу здесь с рождения</v>
      </c>
      <c r="G887" s="6" t="str">
        <f>IFERROR(__xludf.DUMMYFUNCTION("""COMPUTED_VALUE"""),"Просто по улицам")</f>
        <v>Просто по улицам</v>
      </c>
      <c r="H887" s="6" t="str">
        <f>IFERROR(__xludf.DUMMYFUNCTION("""COMPUTED_VALUE"""),"Нет ответ")</f>
        <v>Нет ответ</v>
      </c>
      <c r="I887" s="6" t="str">
        <f>IFERROR(__xludf.DUMMYFUNCTION("""COMPUTED_VALUE"""),"Волков, Федоров, Скударнова, Сомов")</f>
        <v>Волков, Федоров, Скударнова, Сомов</v>
      </c>
      <c r="J887" s="6" t="str">
        <f>IFERROR(__xludf.DUMMYFUNCTION("""COMPUTED_VALUE"""),"Нет ответа")</f>
        <v>Нет ответа</v>
      </c>
      <c r="K887" s="6" t="str">
        <f>IFERROR(__xludf.DUMMYFUNCTION("""COMPUTED_VALUE"""),"Театры, памятник погибшим шахтерам, Красную горку, Томскую писаницу")</f>
        <v>Театры, памятник погибшим шахтерам, Красную горку, Томскую писаницу</v>
      </c>
      <c r="L887" s="6" t="str">
        <f>IFERROR(__xludf.DUMMYFUNCTION("""COMPUTED_VALUE"""),"Нет ответа")</f>
        <v>Нет ответа</v>
      </c>
      <c r="M887" s="6" t="str">
        <f>IFERROR(__xludf.DUMMYFUNCTION("""COMPUTED_VALUE"""),"Нет")</f>
        <v>Нет</v>
      </c>
      <c r="N887" s="6" t="str">
        <f>IFERROR(__xludf.DUMMYFUNCTION("""COMPUTED_VALUE"""),"Доступная медицина, транспорт, наличие городского пляжа в летний сезон, ухоженные придворовые территории
")</f>
        <v>Доступная медицина, транспорт, наличие городского пляжа в летний сезон, ухоженные придворовые территории
</v>
      </c>
      <c r="O887" s="6" t="str">
        <f>IFERROR(__xludf.DUMMYFUNCTION("""COMPUTED_VALUE"""),"Отремонтировать дворовые территории")</f>
        <v>Отремонтировать дворовые территории</v>
      </c>
      <c r="P887" s="6" t="str">
        <f>IFERROR(__xludf.DUMMYFUNCTION("""COMPUTED_VALUE"""),"Радио ""Кузбасс""")</f>
        <v>Радио "Кузбасс"</v>
      </c>
      <c r="Q887"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887" s="6" t="str">
        <f>IFERROR(__xludf.DUMMYFUNCTION("""COMPUTED_VALUE"""),"День шахтеров")</f>
        <v>День шахтеров</v>
      </c>
      <c r="S887" s="6" t="str">
        <f>IFERROR(__xludf.DUMMYFUNCTION("""COMPUTED_VALUE"""),"Нет, не приходилось")</f>
        <v>Нет, не приходилось</v>
      </c>
      <c r="T887" s="6" t="str">
        <f>IFERROR(__xludf.DUMMYFUNCTION("""COMPUTED_VALUE"""),"Футбольной командой")</f>
        <v>Футбольной командой</v>
      </c>
      <c r="U887" s="6" t="str">
        <f>IFERROR(__xludf.DUMMYFUNCTION("""COMPUTED_VALUE"""),"Площадь Советов")</f>
        <v>Площадь Советов</v>
      </c>
      <c r="V887" s="6" t="str">
        <f>IFERROR(__xludf.DUMMYFUNCTION("""COMPUTED_VALUE"""),"Нет ответа")</f>
        <v>Нет ответа</v>
      </c>
      <c r="W887" s="6" t="str">
        <f>IFERROR(__xludf.DUMMYFUNCTION("""COMPUTED_VALUE"""),"Озабоченные материальными проблемами")</f>
        <v>Озабоченные материальными проблемами</v>
      </c>
      <c r="X887" s="6" t="str">
        <f>IFERROR(__xludf.DUMMYFUNCTION("""COMPUTED_VALUE"""),"Центр города")</f>
        <v>Центр города</v>
      </c>
      <c r="Y887" s="6" t="str">
        <f>IFERROR(__xludf.DUMMYFUNCTION("""COMPUTED_VALUE"""),"Открытие музея Томская писаница")</f>
        <v>Открытие музея Томская писаница</v>
      </c>
      <c r="Z887" s="6" t="str">
        <f>IFERROR(__xludf.DUMMYFUNCTION("""COMPUTED_VALUE"""),"В нашем дворе положили новый асфальт")</f>
        <v>В нашем дворе положили новый асфальт</v>
      </c>
      <c r="AA887" s="6" t="str">
        <f>IFERROR(__xludf.DUMMYFUNCTION("""COMPUTED_VALUE"""),"Зимняя вишня")</f>
        <v>Зимняя вишня</v>
      </c>
      <c r="AB887" s="6" t="str">
        <f>IFERROR(__xludf.DUMMYFUNCTION("""COMPUTED_VALUE"""),"Всего хватает")</f>
        <v>Всего хватает</v>
      </c>
      <c r="AC887" s="6" t="str">
        <f>IFERROR(__xludf.DUMMYFUNCTION("""COMPUTED_VALUE"""),"Гастроли оперных и драматических театров по доступным ценам")</f>
        <v>Гастроли оперных и драматических театров по доступным ценам</v>
      </c>
      <c r="AD88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887" s="6" t="str">
        <f>IFERROR(__xludf.DUMMYFUNCTION("""COMPUTED_VALUE"""),"Женский")</f>
        <v>Женский</v>
      </c>
      <c r="AF887" s="6" t="str">
        <f>IFERROR(__xludf.DUMMYFUNCTION("""COMPUTED_VALUE"""),"старше 55")</f>
        <v>старше 55</v>
      </c>
      <c r="AG887" s="6"/>
      <c r="AH887" s="6"/>
      <c r="AI887" s="6"/>
      <c r="AJ887" s="6"/>
      <c r="AK887" s="6"/>
      <c r="AL887" s="6"/>
      <c r="AM887" s="6"/>
    </row>
    <row r="888">
      <c r="A888" s="6">
        <v>887.0</v>
      </c>
      <c r="B888" s="6" t="str">
        <f>IFERROR(__xludf.DUMMYFUNCTION("""COMPUTED_VALUE"""),"Работаю в культуре ")</f>
        <v>Работаю в культуре </v>
      </c>
      <c r="C888" s="6" t="str">
        <f>IFERROR(__xludf.DUMMYFUNCTION("""COMPUTED_VALUE"""),"Читать ")</f>
        <v>Читать </v>
      </c>
      <c r="D888" s="6" t="str">
        <f>IFERROR(__xludf.DUMMYFUNCTION("""COMPUTED_VALUE"""),"Кировский ")</f>
        <v>Кировский </v>
      </c>
      <c r="E888" s="6" t="str">
        <f>IFERROR(__xludf.DUMMYFUNCTION("""COMPUTED_VALUE"""),"Берёзовая роща ")</f>
        <v>Берёзовая роща </v>
      </c>
      <c r="F888" s="6" t="str">
        <f>IFERROR(__xludf.DUMMYFUNCTION("""COMPUTED_VALUE"""),"Переехал сюда из другого места (откуда? укажите в графе другое), Белово")</f>
        <v>Переехал сюда из другого места (откуда? укажите в графе другое), Белово</v>
      </c>
      <c r="G888" s="6" t="str">
        <f>IFERROR(__xludf.DUMMYFUNCTION("""COMPUTED_VALUE"""),"Берёзовая роща, Парк чедес, Парк Жукова. ")</f>
        <v>Берёзовая роща, Парк чедес, Парк Жукова. </v>
      </c>
      <c r="H888" s="6" t="str">
        <f>IFERROR(__xludf.DUMMYFUNCTION("""COMPUTED_VALUE"""),"Зелёный, старый, заброшенный, не уютный, контрастный. ")</f>
        <v>Зелёный, старый, заброшенный, не уютный, контрастный. </v>
      </c>
      <c r="I888" s="6" t="str">
        <f>IFERROR(__xludf.DUMMYFUNCTION("""COMPUTED_VALUE"""),"Леонов. ")</f>
        <v>Леонов. </v>
      </c>
      <c r="J888" s="6" t="str">
        <f>IFERROR(__xludf.DUMMYFUNCTION("""COMPUTED_VALUE"""),"Тулеев")</f>
        <v>Тулеев</v>
      </c>
      <c r="K888" s="6" t="str">
        <f>IFERROR(__xludf.DUMMYFUNCTION("""COMPUTED_VALUE"""),"Красная горка")</f>
        <v>Красная горка</v>
      </c>
      <c r="L888" s="6" t="str">
        <f>IFERROR(__xludf.DUMMYFUNCTION("""COMPUTED_VALUE"""),"Нет")</f>
        <v>Нет</v>
      </c>
      <c r="M888" s="6" t="str">
        <f>IFERROR(__xludf.DUMMYFUNCTION("""COMPUTED_VALUE"""),"Нет")</f>
        <v>Нет</v>
      </c>
      <c r="N888" s="6" t="str">
        <f>IFERROR(__xludf.DUMMYFUNCTION("""COMPUTED_VALUE"""),"Близко школа работа больница, хорошие дорог, хорошее жилье. ")</f>
        <v>Близко школа работа больница, хорошие дорог, хорошее жилье. </v>
      </c>
      <c r="O888" s="6" t="str">
        <f>IFERROR(__xludf.DUMMYFUNCTION("""COMPUTED_VALUE"""),"Отношение ко всем районам одинаковое, а то где-то густо, а где-то пусто. ")</f>
        <v>Отношение ко всем районам одинаковое, а то где-то густо, а где-то пусто. </v>
      </c>
      <c r="P888" s="6" t="str">
        <f>IFERROR(__xludf.DUMMYFUNCTION("""COMPUTED_VALUE"""),"Интернет ")</f>
        <v>Интернет </v>
      </c>
      <c r="Q888"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888" s="6" t="str">
        <f>IFERROR(__xludf.DUMMYFUNCTION("""COMPUTED_VALUE"""),"Новый год, день шахтера, день города. ")</f>
        <v>Новый год, день шахтера, день города. </v>
      </c>
      <c r="S888" s="6" t="str">
        <f>IFERROR(__xludf.DUMMYFUNCTION("""COMPUTED_VALUE"""),"Нет, не приходилось")</f>
        <v>Нет, не приходилось</v>
      </c>
      <c r="T888" s="6" t="str">
        <f>IFERROR(__xludf.DUMMYFUNCTION("""COMPUTED_VALUE"""),"Углем")</f>
        <v>Углем</v>
      </c>
      <c r="U888" s="6" t="str">
        <f>IFERROR(__xludf.DUMMYFUNCTION("""COMPUTED_VALUE"""),"Памятник шахтёр. ")</f>
        <v>Памятник шахтёр. </v>
      </c>
      <c r="V888" s="6" t="str">
        <f>IFERROR(__xludf.DUMMYFUNCTION("""COMPUTED_VALUE"""),"Выход в открытый космос, кино. ")</f>
        <v>Выход в открытый космос, кино. </v>
      </c>
      <c r="W888" s="6" t="str">
        <f>IFERROR(__xludf.DUMMYFUNCTION("""COMPUTED_VALUE"""),"Весёлые ")</f>
        <v>Весёлые </v>
      </c>
      <c r="X888" s="6" t="str">
        <f>IFERROR(__xludf.DUMMYFUNCTION("""COMPUTED_VALUE"""),"40")</f>
        <v>40</v>
      </c>
      <c r="Y888" s="6" t="str">
        <f>IFERROR(__xludf.DUMMYFUNCTION("""COMPUTED_VALUE"""),"Не знаю ")</f>
        <v>Не знаю </v>
      </c>
      <c r="Z888" s="6" t="str">
        <f>IFERROR(__xludf.DUMMYFUNCTION("""COMPUTED_VALUE"""),"Отремонтировали Берёзовую рощу")</f>
        <v>Отремонтировали Берёзовую рощу</v>
      </c>
      <c r="AA888" s="6" t="str">
        <f>IFERROR(__xludf.DUMMYFUNCTION("""COMPUTED_VALUE"""),"Закрыли родильный дом в Кировском районе ")</f>
        <v>Закрыли родильный дом в Кировском районе </v>
      </c>
      <c r="AB888" s="6" t="str">
        <f>IFERROR(__xludf.DUMMYFUNCTION("""COMPUTED_VALUE"""),"Ни каких")</f>
        <v>Ни каких</v>
      </c>
      <c r="AC888" s="6" t="str">
        <f>IFERROR(__xludf.DUMMYFUNCTION("""COMPUTED_VALUE"""),"Не знаю ")</f>
        <v>Не знаю </v>
      </c>
      <c r="AD88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88" s="6" t="str">
        <f>IFERROR(__xludf.DUMMYFUNCTION("""COMPUTED_VALUE"""),"Женский")</f>
        <v>Женский</v>
      </c>
      <c r="AF888" s="6" t="str">
        <f>IFERROR(__xludf.DUMMYFUNCTION("""COMPUTED_VALUE"""),"45-55")</f>
        <v>45-55</v>
      </c>
      <c r="AG888" s="6"/>
      <c r="AH888" s="6"/>
      <c r="AI888" s="6"/>
      <c r="AJ888" s="6"/>
      <c r="AK888" s="6"/>
      <c r="AL888" s="6"/>
      <c r="AM888" s="6"/>
    </row>
    <row r="889">
      <c r="A889" s="6">
        <v>888.0</v>
      </c>
      <c r="B889" s="6" t="str">
        <f>IFERROR(__xludf.DUMMYFUNCTION("""COMPUTED_VALUE"""),"Работаю в сфере культуры")</f>
        <v>Работаю в сфере культуры</v>
      </c>
      <c r="C889" s="6" t="str">
        <f>IFERROR(__xludf.DUMMYFUNCTION("""COMPUTED_VALUE"""),"Чтение книг")</f>
        <v>Чтение книг</v>
      </c>
      <c r="D889" s="6" t="str">
        <f>IFERROR(__xludf.DUMMYFUNCTION("""COMPUTED_VALUE"""),"Рудничный район ")</f>
        <v>Рудничный район </v>
      </c>
      <c r="E889" s="6" t="str">
        <f>IFERROR(__xludf.DUMMYFUNCTION("""COMPUTED_VALUE"""),"ДК Содружество, памятник Шахтеру, музей красная горка")</f>
        <v>ДК Содружество, памятник Шахтеру, музей красная горка</v>
      </c>
      <c r="F889" s="6" t="str">
        <f>IFERROR(__xludf.DUMMYFUNCTION("""COMPUTED_VALUE"""),"Переехал сюда из другого места (откуда? укажите в графе другое), Город Ленинск-Кузнецкий")</f>
        <v>Переехал сюда из другого места (откуда? укажите в графе другое), Город Ленинск-Кузнецкий</v>
      </c>
      <c r="G889" s="6" t="str">
        <f>IFERROR(__xludf.DUMMYFUNCTION("""COMPUTED_VALUE"""),"Сосновый бор ")</f>
        <v>Сосновый бор </v>
      </c>
      <c r="H889" s="6" t="str">
        <f>IFERROR(__xludf.DUMMYFUNCTION("""COMPUTED_VALUE"""),"Спорт, культура, наука, Томь, шахтерг")</f>
        <v>Спорт, культура, наука, Томь, шахтерг</v>
      </c>
      <c r="I889" s="6" t="str">
        <f>IFERROR(__xludf.DUMMYFUNCTION("""COMPUTED_VALUE"""),"Галина Скударнова, Алексей Леонов")</f>
        <v>Галина Скударнова, Алексей Леонов</v>
      </c>
      <c r="J889" s="6" t="str">
        <f>IFERROR(__xludf.DUMMYFUNCTION("""COMPUTED_VALUE"""),"Виталий Раздаев, А.Г. Тулеев, В.В.Михайлов")</f>
        <v>Виталий Раздаев, А.Г. Тулеев, В.В.Михайлов</v>
      </c>
      <c r="K889" s="6" t="str">
        <f>IFERROR(__xludf.DUMMYFUNCTION("""COMPUTED_VALUE"""),"Набережная, красная горка. ")</f>
        <v>Набережная, красная горка. </v>
      </c>
      <c r="L889" s="6" t="str">
        <f>IFERROR(__xludf.DUMMYFUNCTION("""COMPUTED_VALUE"""),"Нет ответа")</f>
        <v>Нет ответа</v>
      </c>
      <c r="M889" s="6" t="str">
        <f>IFERROR(__xludf.DUMMYFUNCTION("""COMPUTED_VALUE"""),"Нет.")</f>
        <v>Нет.</v>
      </c>
      <c r="N889" s="6" t="str">
        <f>IFERROR(__xludf.DUMMYFUNCTION("""COMPUTED_VALUE"""),"Комфортный город.")</f>
        <v>Комфортный город.</v>
      </c>
      <c r="O889" s="6" t="str">
        <f>IFERROR(__xludf.DUMMYFUNCTION("""COMPUTED_VALUE"""),"Дороги")</f>
        <v>Дороги</v>
      </c>
      <c r="P889" s="6" t="str">
        <f>IFERROR(__xludf.DUMMYFUNCTION("""COMPUTED_VALUE"""),"Инстаграмм, фейсбук...")</f>
        <v>Инстаграмм, фейсбук...</v>
      </c>
      <c r="Q889" s="6" t="str">
        <f>IFERROR(__xludf.DUMMYFUNCTION("""COMPUTED_VALUE"""),"куда пойти в свободное время, городская афиша (кино/театр/концерты), интервью с местными политиками")</f>
        <v>куда пойти в свободное время, городская афиша (кино/театр/концерты), интервью с местными политиками</v>
      </c>
      <c r="R889" s="6" t="str">
        <f>IFERROR(__xludf.DUMMYFUNCTION("""COMPUTED_VALUE"""),"День Шахтера")</f>
        <v>День Шахтера</v>
      </c>
      <c r="S889" s="6" t="str">
        <f>IFERROR(__xludf.DUMMYFUNCTION("""COMPUTED_VALUE"""),"Нет, не приходилось")</f>
        <v>Нет, не приходилось</v>
      </c>
      <c r="T889" s="6" t="str">
        <f>IFERROR(__xludf.DUMMYFUNCTION("""COMPUTED_VALUE"""),"Химическая промышленность.")</f>
        <v>Химическая промышленность.</v>
      </c>
      <c r="U889" s="6" t="str">
        <f>IFERROR(__xludf.DUMMYFUNCTION("""COMPUTED_VALUE"""),"Площадь Советов, улица Весенняя")</f>
        <v>Площадь Советов, улица Весенняя</v>
      </c>
      <c r="V889" s="6" t="str">
        <f>IFERROR(__xludf.DUMMYFUNCTION("""COMPUTED_VALUE"""),"Строительство жилых домов., объектов культуры и спорта.")</f>
        <v>Строительство жилых домов., объектов культуры и спорта.</v>
      </c>
      <c r="W889" s="6" t="str">
        <f>IFERROR(__xludf.DUMMYFUNCTION("""COMPUTED_VALUE"""),"Открытые, веселые")</f>
        <v>Открытые, веселые</v>
      </c>
      <c r="X889" s="6" t="str">
        <f>IFERROR(__xludf.DUMMYFUNCTION("""COMPUTED_VALUE"""),"Набережная ")</f>
        <v>Набережная </v>
      </c>
      <c r="Y889" s="6" t="str">
        <f>IFERROR(__xludf.DUMMYFUNCTION("""COMPUTED_VALUE"""),"Чемпионат мира по бенди")</f>
        <v>Чемпионат мира по бенди</v>
      </c>
      <c r="Z889" s="6" t="str">
        <f>IFERROR(__xludf.DUMMYFUNCTION("""COMPUTED_VALUE"""),"Строительство новых объектов ")</f>
        <v>Строительство новых объектов </v>
      </c>
      <c r="AA889" s="6" t="str">
        <f>IFERROR(__xludf.DUMMYFUNCTION("""COMPUTED_VALUE"""),"Нет ответа")</f>
        <v>Нет ответа</v>
      </c>
      <c r="AB889" s="6" t="str">
        <f>IFERROR(__xludf.DUMMYFUNCTION("""COMPUTED_VALUE"""),"Всего хватает.")</f>
        <v>Всего хватает.</v>
      </c>
      <c r="AC889" s="6" t="str">
        <f>IFERROR(__xludf.DUMMYFUNCTION("""COMPUTED_VALUE"""),"Затрудняюсь ответить")</f>
        <v>Затрудняюсь ответить</v>
      </c>
      <c r="AD88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89" s="6" t="str">
        <f>IFERROR(__xludf.DUMMYFUNCTION("""COMPUTED_VALUE"""),"Женский")</f>
        <v>Женский</v>
      </c>
      <c r="AF889" s="6" t="str">
        <f>IFERROR(__xludf.DUMMYFUNCTION("""COMPUTED_VALUE"""),"45-55")</f>
        <v>45-55</v>
      </c>
      <c r="AG889" s="6"/>
      <c r="AH889" s="6"/>
      <c r="AI889" s="6"/>
      <c r="AJ889" s="6"/>
      <c r="AK889" s="6"/>
      <c r="AL889" s="6"/>
      <c r="AM889" s="6"/>
    </row>
    <row r="890">
      <c r="A890" s="6">
        <v>889.0</v>
      </c>
      <c r="B890" s="6" t="str">
        <f>IFERROR(__xludf.DUMMYFUNCTION("""COMPUTED_VALUE"""),"Государственная служба")</f>
        <v>Государственная служба</v>
      </c>
      <c r="C890" s="6" t="str">
        <f>IFERROR(__xludf.DUMMYFUNCTION("""COMPUTED_VALUE"""),"Волонтерская деятельность по оказанию помощи бездомным животным")</f>
        <v>Волонтерская деятельность по оказанию помощи бездомным животным</v>
      </c>
      <c r="D890" s="6" t="str">
        <f>IFERROR(__xludf.DUMMYFUNCTION("""COMPUTED_VALUE"""),"Центральный")</f>
        <v>Центральный</v>
      </c>
      <c r="E890" s="6" t="str">
        <f>IFERROR(__xludf.DUMMYFUNCTION("""COMPUTED_VALUE"""),"Набережная, площадь Советов, парк Ангелов")</f>
        <v>Набережная, площадь Советов, парк Ангелов</v>
      </c>
      <c r="F890" s="6" t="str">
        <f>IFERROR(__xludf.DUMMYFUNCTION("""COMPUTED_VALUE"""),"Живу здесь с рождения")</f>
        <v>Живу здесь с рождения</v>
      </c>
      <c r="G890" s="6" t="str">
        <f>IFERROR(__xludf.DUMMYFUNCTION("""COMPUTED_VALUE"""),"Набережная, Рудничный бор")</f>
        <v>Набережная, Рудничный бор</v>
      </c>
      <c r="H890" s="6" t="str">
        <f>IFERROR(__xludf.DUMMYFUNCTION("""COMPUTED_VALUE"""),"столица Кузбасса; уголь; Томь; город на двух берегах; бор")</f>
        <v>столица Кузбасса; уголь; Томь; город на двух берегах; бор</v>
      </c>
      <c r="I890" s="6" t="str">
        <f>IFERROR(__xludf.DUMMYFUNCTION("""COMPUTED_VALUE"""),"Михайло Волков, Себальд Рутгерс")</f>
        <v>Михайло Волков, Себальд Рутгерс</v>
      </c>
      <c r="J890" s="6" t="str">
        <f>IFERROR(__xludf.DUMMYFUNCTION("""COMPUTED_VALUE"""),"Евгений Гришковец, Аман Тулеев, Илья Середюк")</f>
        <v>Евгений Гришковец, Аман Тулеев, Илья Середюк</v>
      </c>
      <c r="K890" s="6" t="str">
        <f>IFERROR(__xludf.DUMMYFUNCTION("""COMPUTED_VALUE"""),"Красная Горка, площадь Советов, Набережная (центр), Рудничный бор, парк Ангелов")</f>
        <v>Красная Горка, площадь Советов, Набережная (центр), Рудничный бор, парк Ангелов</v>
      </c>
      <c r="L890" s="6" t="str">
        <f>IFERROR(__xludf.DUMMYFUNCTION("""COMPUTED_VALUE"""),"""там по улицам медведи ходят"", ""человек из Кемерова""")</f>
        <v>"там по улицам медведи ходят", "человек из Кемерова"</v>
      </c>
      <c r="M890" s="6" t="str">
        <f>IFERROR(__xludf.DUMMYFUNCTION("""COMPUTED_VALUE"""),"нет")</f>
        <v>нет</v>
      </c>
      <c r="N890" s="6" t="str">
        <f>IFERROR(__xludf.DUMMYFUNCTION("""COMPUTED_VALUE"""),"- экология города;
- налаженная инфраструктура;
- озеленение города;
- красивые и функциональные общественные пространства;
- креативные заведения для досуга.")</f>
        <v>- экология города;
- налаженная инфраструктура;
- озеленение города;
- красивые и функциональные общественные пространства;
- креативные заведения для досуга.</v>
      </c>
      <c r="O890" s="6" t="str">
        <f>IFERROR(__xludf.DUMMYFUNCTION("""COMPUTED_VALUE"""),"Обновить фасады зданий не только на центральных улицах; заасфальтировать тротуары также не только центральных улиц")</f>
        <v>Обновить фасады зданий не только на центральных улицах; заасфальтировать тротуары также не только центральных улиц</v>
      </c>
      <c r="P890" s="7" t="str">
        <f>IFERROR(__xludf.DUMMYFUNCTION("""COMPUTED_VALUE"""),"https://www.instagram.com/ompkemerovo/")</f>
        <v>https://www.instagram.com/ompkemerovo/</v>
      </c>
      <c r="Q890" s="6" t="str">
        <f>IFERROR(__xludf.DUMMYFUNCTION("""COMPUTED_VALUE"""),"куда пойти в свободное время, где вкусно поесть/открытие новых кафе/ресторанов, интервью с местными политиками, бизнес-новости (средний чек/рекламные акции/запуск новых предприятий), результаты местных исследований (рейтинги/аналитика/тенденции), интервью"&amp;" с экспертами на разные темы (напишите в разделе Другое свои предложения)")</f>
        <v>куда пойти в свободное время, где вкусно поесть/открытие новых кафе/ресторанов, интервью с местными политиками,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890" s="6" t="str">
        <f>IFERROR(__xludf.DUMMYFUNCTION("""COMPUTED_VALUE"""),"Парад Победы, День города, День молодежи")</f>
        <v>Парад Победы, День города, День молодежи</v>
      </c>
      <c r="S890" s="6" t="str">
        <f>IFERROR(__xludf.DUMMYFUNCTION("""COMPUTED_VALUE"""),"Через социальные сети (Какие? Укажите в графе другое)")</f>
        <v>Через социальные сети (Какие? Укажите в графе другое)</v>
      </c>
      <c r="T890" s="6" t="str">
        <f>IFERROR(__xludf.DUMMYFUNCTION("""COMPUTED_VALUE"""),"Столица Кузбасса")</f>
        <v>Столица Кузбасса</v>
      </c>
      <c r="U890" s="6" t="str">
        <f>IFERROR(__xludf.DUMMYFUNCTION("""COMPUTED_VALUE"""),"площадь Советов")</f>
        <v>площадь Советов</v>
      </c>
      <c r="V890" s="6" t="str">
        <f>IFERROR(__xludf.DUMMYFUNCTION("""COMPUTED_VALUE"""),"если промониторить список почетных граждан, то можно перечислить многое, что кемеровчане сделали для города и чем можно гордиться, не считая тяжелого шахтерского труда")</f>
        <v>если промониторить список почетных граждан, то можно перечислить многое, что кемеровчане сделали для города и чем можно гордиться, не считая тяжелого шахтерского труда</v>
      </c>
      <c r="W890" s="6" t="str">
        <f>IFERROR(__xludf.DUMMYFUNCTION("""COMPUTED_VALUE"""),"Трудолюбивые, стрессоустойчивые ")</f>
        <v>Трудолюбивые, стрессоустойчивые </v>
      </c>
      <c r="X890" s="6" t="str">
        <f>IFERROR(__xludf.DUMMYFUNCTION("""COMPUTED_VALUE"""),"Площадь Советов - площадь Пушкина - Набережная - Красная Горка - Рудничный бор")</f>
        <v>Площадь Советов - площадь Пушкина - Набережная - Красная Горка - Рудничный бор</v>
      </c>
      <c r="Y890" s="6" t="str">
        <f>IFERROR(__xludf.DUMMYFUNCTION("""COMPUTED_VALUE"""),"открытие угля на Красной горке (ну если территориально, а не формально относить это именно к Кемерово)")</f>
        <v>открытие угля на Красной горке (ну если территориально, а не формально относить это именно к Кемерово)</v>
      </c>
      <c r="Z890" s="6" t="str">
        <f>IFERROR(__xludf.DUMMYFUNCTION("""COMPUTED_VALUE"""),"празднование дня молодежи")</f>
        <v>празднование дня молодежи</v>
      </c>
      <c r="AA890" s="6" t="str">
        <f>IFERROR(__xludf.DUMMYFUNCTION("""COMPUTED_VALUE"""),"Митинги")</f>
        <v>Митинги</v>
      </c>
      <c r="AB890" s="6" t="str">
        <f>IFERROR(__xludf.DUMMYFUNCTION("""COMPUTED_VALUE"""),"Адекватной зоозащиты")</f>
        <v>Адекватной зоозащиты</v>
      </c>
      <c r="AC890" s="6" t="str">
        <f>IFERROR(__xludf.DUMMYFUNCTION("""COMPUTED_VALUE"""),"Любые чуть более креативные, чем календарная повестка")</f>
        <v>Любые чуть более креативные, чем календарная повестка</v>
      </c>
      <c r="AD890"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890" s="6" t="str">
        <f>IFERROR(__xludf.DUMMYFUNCTION("""COMPUTED_VALUE"""),"Женский")</f>
        <v>Женский</v>
      </c>
      <c r="AF890" s="6" t="str">
        <f>IFERROR(__xludf.DUMMYFUNCTION("""COMPUTED_VALUE"""),"18-29")</f>
        <v>18-29</v>
      </c>
      <c r="AG890" s="6"/>
      <c r="AH890" s="6"/>
      <c r="AI890" s="6"/>
      <c r="AJ890" s="6"/>
      <c r="AK890" s="6"/>
      <c r="AL890" s="6"/>
      <c r="AM890" s="6"/>
    </row>
    <row r="891">
      <c r="A891" s="6">
        <v>890.0</v>
      </c>
      <c r="B891" s="6" t="str">
        <f>IFERROR(__xludf.DUMMYFUNCTION("""COMPUTED_VALUE"""),"Культорганизатор")</f>
        <v>Культорганизатор</v>
      </c>
      <c r="C891" s="6" t="str">
        <f>IFERROR(__xludf.DUMMYFUNCTION("""COMPUTED_VALUE"""),"Театр, кино, фотоискусство")</f>
        <v>Театр, кино, фотоискусство</v>
      </c>
      <c r="D891" s="6" t="str">
        <f>IFERROR(__xludf.DUMMYFUNCTION("""COMPUTED_VALUE"""),"Ленинский (бульвар)")</f>
        <v>Ленинский (бульвар)</v>
      </c>
      <c r="E891" s="6" t="str">
        <f>IFERROR(__xludf.DUMMYFUNCTION("""COMPUTED_VALUE"""),"Бульвар строителей,  спорткомплекс Кузбасс")</f>
        <v>Бульвар строителей,  спорткомплекс Кузбасс</v>
      </c>
      <c r="F891" s="6" t="str">
        <f>IFERROR(__xludf.DUMMYFUNCTION("""COMPUTED_VALUE"""),"Живу здесь с рождения")</f>
        <v>Живу здесь с рождения</v>
      </c>
      <c r="G891" s="6" t="str">
        <f>IFERROR(__xludf.DUMMYFUNCTION("""COMPUTED_VALUE"""),"Бульвар строителей, кинотеатр ""Юбилейный"", ТРЦ ""Лапландия"" кафе и фастфуды города.")</f>
        <v>Бульвар строителей, кинотеатр "Юбилейный", ТРЦ "Лапландия" кафе и фастфуды города.</v>
      </c>
      <c r="H891" s="6" t="str">
        <f>IFERROR(__xludf.DUMMYFUNCTION("""COMPUTED_VALUE"""),"Родина, Сибирь, желание разнообразить развлекательныую сферу для детей и молодёжи,  культура, природа, уголь ")</f>
        <v>Родина, Сибирь, желание разнообразить развлекательныую сферу для детей и молодёжи,  культура, природа, уголь </v>
      </c>
      <c r="I891" s="6" t="str">
        <f>IFERROR(__xludf.DUMMYFUNCTION("""COMPUTED_VALUE"""),"Тулеев, Кобзон, Похоменок,  Волошина, Бабанский")</f>
        <v>Тулеев, Кобзон, Похоменок,  Волошина, Бабанский</v>
      </c>
      <c r="J891" s="6" t="str">
        <f>IFERROR(__xludf.DUMMYFUNCTION("""COMPUTED_VALUE"""),"Каждый, кто горит своим делом и приносит в него что-то новое: учёный, режиссёр, учитель, врач, пожарный, тех.работник и другие - каждый из них сделал очень много для нашего города")</f>
        <v>Каждый, кто горит своим делом и приносит в него что-то новое: учёный, режиссёр, учитель, врач, пожарный, тех.работник и другие - каждый из них сделал очень много для нашего города</v>
      </c>
      <c r="K891" s="6" t="str">
        <f>IFERROR(__xludf.DUMMYFUNCTION("""COMPUTED_VALUE"""),"Драматический театр им.Луначарского, Музыкальный театр им. Боброва,  набережная, Городской парк, Кузбасский колледж культуры и искусств, дворцы культуры города Кемерово, филармония, площадь Советов.")</f>
        <v>Драматический театр им.Луначарского, Музыкальный театр им. Боброва,  набережная, Городской парк, Кузбасский колледж культуры и искусств, дворцы культуры города Кемерово, филармония, площадь Советов.</v>
      </c>
      <c r="L891" s="6" t="str">
        <f>IFERROR(__xludf.DUMMYFUNCTION("""COMPUTED_VALUE"""),"Мал золотник, да дорог. Не место красит человека, а человек место. Встречают по одёжке, а провожают по уму. ")</f>
        <v>Мал золотник, да дорог. Не место красит человека, а человек место. Встречают по одёжке, а провожают по уму. </v>
      </c>
      <c r="M891" s="6" t="str">
        <f>IFERROR(__xludf.DUMMYFUNCTION("""COMPUTED_VALUE"""),"Не встречала особых различий ")</f>
        <v>Не встречала особых различий </v>
      </c>
      <c r="N891" s="6" t="str">
        <f>IFERROR(__xludf.DUMMYFUNCTION("""COMPUTED_VALUE"""),"Забота о гражданах, разумные цены и заработная плата, выбор мест для обучения детей (садики, школы, сузы и вузы, доп.образование), выбор разноплановых развлечений для всех возрастов, выбор комфортного и доступного жилья, дороги и коммунальные услуги. Жела"&amp;"ние правительства идти на обсуждение различных проблем и их решений с гражданами.")</f>
        <v>Забота о гражданах, разумные цены и заработная плата, выбор мест для обучения детей (садики, школы, сузы и вузы, доп.образование), выбор разноплановых развлечений для всех возрастов, выбор комфортного и доступного жилья, дороги и коммунальные услуги. Желание правительства идти на обсуждение различных проблем и их решений с гражданами.</v>
      </c>
      <c r="O891" s="6" t="str">
        <f>IFERROR(__xludf.DUMMYFUNCTION("""COMPUTED_VALUE"""),"Отношение к его жителям, их проблем. Цены и зароботные платы, дороги, финансирование учреждений. ")</f>
        <v>Отношение к его жителям, их проблем. Цены и зароботные платы, дороги, финансирование учреждений. </v>
      </c>
      <c r="P891" s="6" t="str">
        <f>IFERROR(__xludf.DUMMYFUNCTION("""COMPUTED_VALUE"""),"Работаю в сфере культуры, инстаграм.")</f>
        <v>Работаю в сфере культуры, инстаграм.</v>
      </c>
      <c r="Q891"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v>
      </c>
      <c r="R891" s="6" t="str">
        <f>IFERROR(__xludf.DUMMYFUNCTION("""COMPUTED_VALUE"""),"Новый год, масленица, 9 мая, день защиты детей, день России и города Кемерово, Иван Купала, день молодёжи, день шахтёра, день матери.")</f>
        <v>Новый год, масленица, 9 мая, день защиты детей, день России и города Кемерово, Иван Купала, день молодёжи, день шахтёра, день матери.</v>
      </c>
      <c r="S891" s="6" t="str">
        <f>IFERROR(__xludf.DUMMYFUNCTION("""COMPUTED_VALUE"""),"Писал и расклеивал объявления/афиши, Через социальные сети (Какие? Укажите в графе другое), Инстаграм, вконтакте, одноклассники")</f>
        <v>Писал и расклеивал объявления/афиши, Через социальные сети (Какие? Укажите в графе другое), Инстаграм, вконтакте, одноклассники</v>
      </c>
      <c r="T891" s="6" t="str">
        <f>IFERROR(__xludf.DUMMYFUNCTION("""COMPUTED_VALUE"""),"Углем, лесами, историей, архитектурой, трагедиями.")</f>
        <v>Углем, лесами, историей, архитектурой, трагедиями.</v>
      </c>
      <c r="U891" s="6" t="str">
        <f>IFERROR(__xludf.DUMMYFUNCTION("""COMPUTED_VALUE"""),"Площадь советов, филармония, цирк, центр я, трц лапландия, вокзал, бульвар строителей")</f>
        <v>Площадь советов, филармония, цирк, центр я, трц лапландия, вокзал, бульвар строителей</v>
      </c>
      <c r="V891" s="6" t="str">
        <f>IFERROR(__xludf.DUMMYFUNCTION("""COMPUTED_VALUE"""),"Очень странный вопрос, потому что Кемеровчане сделали очень многое во всех сферах жизнедеятельности.  Как для города, так и для страны. И не хватит никакого времени, чтобы перечислить всё. ")</f>
        <v>Очень странный вопрос, потому что Кемеровчане сделали очень многое во всех сферах жизнедеятельности.  Как для города, так и для страны. И не хватит никакого времени, чтобы перечислить всё. </v>
      </c>
      <c r="W891" s="6" t="str">
        <f>IFERROR(__xludf.DUMMYFUNCTION("""COMPUTED_VALUE"""),"Сильные духом, готовы кричать на весь мир, чтобы помочь своей родине, творческие и талантливые, трудолюбивые и достигают свои цели")</f>
        <v>Сильные духом, готовы кричать на весь мир, чтобы помочь своей родине, творческие и талантливые, трудолюбивые и достигают свои цели</v>
      </c>
      <c r="X891" s="6" t="str">
        <f>IFERROR(__xludf.DUMMYFUNCTION("""COMPUTED_VALUE"""),"Набережная, площадь Советов, филармония, цирк,  лапландия, бульвар строителей.")</f>
        <v>Набережная, площадь Советов, филармония, цирк,  лапландия, бульвар строителей.</v>
      </c>
      <c r="Y891" s="6" t="str">
        <f>IFERROR(__xludf.DUMMYFUNCTION("""COMPUTED_VALUE"""),"Шахтерский бунт")</f>
        <v>Шахтерский бунт</v>
      </c>
      <c r="Z891" s="6" t="str">
        <f>IFERROR(__xludf.DUMMYFUNCTION("""COMPUTED_VALUE"""),"Отремонтировали 60 школу города Кемерово, ремонт дорог")</f>
        <v>Отремонтировали 60 школу города Кемерово, ремонт дорог</v>
      </c>
      <c r="AA891" s="6" t="str">
        <f>IFERROR(__xludf.DUMMYFUNCTION("""COMPUTED_VALUE"""),"Отмена льгот, введение впр, короновирус (хотя у нас прошёл достаточно глатко)")</f>
        <v>Отмена льгот, введение впр, короновирус (хотя у нас прошёл достаточно глатко)</v>
      </c>
      <c r="AB891" s="6" t="str">
        <f>IFERROR(__xludf.DUMMYFUNCTION("""COMPUTED_VALUE"""),"Гик культуры, разных стран, молодёжных сообществ и мест для них ")</f>
        <v>Гик культуры, разных стран, молодёжных сообществ и мест для них </v>
      </c>
      <c r="AC891" s="6" t="str">
        <f>IFERROR(__xludf.DUMMYFUNCTION("""COMPUTED_VALUE"""),"Фестивали, концерты, зон отдыха, ролевых кафе, игровых клубов (компьютеры и настольные), интересные выставки, арт объекты и пространства")</f>
        <v>Фестивали, концерты, зон отдыха, ролевых кафе, игровых клубов (компьютеры и настольные), интересные выставки, арт объекты и пространства</v>
      </c>
      <c r="AD89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91" s="6" t="str">
        <f>IFERROR(__xludf.DUMMYFUNCTION("""COMPUTED_VALUE"""),"Женский")</f>
        <v>Женский</v>
      </c>
      <c r="AF891" s="6" t="str">
        <f>IFERROR(__xludf.DUMMYFUNCTION("""COMPUTED_VALUE"""),"18-29")</f>
        <v>18-29</v>
      </c>
      <c r="AG891" s="6"/>
      <c r="AH891" s="6"/>
      <c r="AI891" s="6"/>
      <c r="AJ891" s="6"/>
      <c r="AK891" s="6"/>
      <c r="AL891" s="6"/>
      <c r="AM891" s="6"/>
    </row>
    <row r="892">
      <c r="A892" s="6">
        <v>891.0</v>
      </c>
      <c r="B892" s="6" t="str">
        <f>IFERROR(__xludf.DUMMYFUNCTION("""COMPUTED_VALUE"""),"Рпботаю")</f>
        <v>Рпботаю</v>
      </c>
      <c r="C892" s="6" t="str">
        <f>IFERROR(__xludf.DUMMYFUNCTION("""COMPUTED_VALUE"""),"Гулять по городу")</f>
        <v>Гулять по городу</v>
      </c>
      <c r="D892" s="6" t="str">
        <f>IFERROR(__xludf.DUMMYFUNCTION("""COMPUTED_VALUE"""),"Кировский")</f>
        <v>Кировский</v>
      </c>
      <c r="E892" s="6" t="str">
        <f>IFERROR(__xludf.DUMMYFUNCTION("""COMPUTED_VALUE"""),"Набережная, Берёзовая роша")</f>
        <v>Набережная, Берёзовая роша</v>
      </c>
      <c r="F892" s="6" t="str">
        <f>IFERROR(__xludf.DUMMYFUNCTION("""COMPUTED_VALUE"""),"Переехал сюда из другого места (откуда? укажите в графе другое), Тяжин")</f>
        <v>Переехал сюда из другого места (откуда? укажите в графе другое), Тяжин</v>
      </c>
      <c r="G892" s="6" t="str">
        <f>IFERROR(__xludf.DUMMYFUNCTION("""COMPUTED_VALUE"""),"Кинотеатр, Парки")</f>
        <v>Кинотеатр, Парки</v>
      </c>
      <c r="H892" s="6" t="str">
        <f>IFERROR(__xludf.DUMMYFUNCTION("""COMPUTED_VALUE"""),"Крест, Площадь Пушкина, Сосновый бор, Красная Горка, Набережная")</f>
        <v>Крест, Площадь Пушкина, Сосновый бор, Красная Горка, Набережная</v>
      </c>
      <c r="I892" s="6" t="str">
        <f>IFERROR(__xludf.DUMMYFUNCTION("""COMPUTED_VALUE"""),"Леонов, Терешкова")</f>
        <v>Леонов, Терешкова</v>
      </c>
      <c r="J892" s="6" t="str">
        <f>IFERROR(__xludf.DUMMYFUNCTION("""COMPUTED_VALUE"""),"Не знаю")</f>
        <v>Не знаю</v>
      </c>
      <c r="K892" s="6" t="str">
        <f>IFERROR(__xludf.DUMMYFUNCTION("""COMPUTED_VALUE"""),"Красная Горка, крест")</f>
        <v>Красная Горка, крест</v>
      </c>
      <c r="L892" s="6" t="str">
        <f>IFERROR(__xludf.DUMMYFUNCTION("""COMPUTED_VALUE"""),"Не знаю")</f>
        <v>Не знаю</v>
      </c>
      <c r="M892" s="6" t="str">
        <f>IFERROR(__xludf.DUMMYFUNCTION("""COMPUTED_VALUE"""),"Не помню")</f>
        <v>Не помню</v>
      </c>
      <c r="N892" s="6" t="str">
        <f>IFERROR(__xludf.DUMMYFUNCTION("""COMPUTED_VALUE"""),"Транспорт, чистота, воздух, отдых, ")</f>
        <v>Транспорт, чистота, воздух, отдых, </v>
      </c>
      <c r="O892" s="6" t="str">
        <f>IFERROR(__xludf.DUMMYFUNCTION("""COMPUTED_VALUE"""),"Дороги, чистоту")</f>
        <v>Дороги, чистоту</v>
      </c>
      <c r="P892" s="6" t="str">
        <f>IFERROR(__xludf.DUMMYFUNCTION("""COMPUTED_VALUE"""),"Афиша 42")</f>
        <v>Афиша 42</v>
      </c>
      <c r="Q892"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892" s="6" t="str">
        <f>IFERROR(__xludf.DUMMYFUNCTION("""COMPUTED_VALUE"""),"День города")</f>
        <v>День города</v>
      </c>
      <c r="S892" s="6" t="str">
        <f>IFERROR(__xludf.DUMMYFUNCTION("""COMPUTED_VALUE"""),"Нет, не приходилось")</f>
        <v>Нет, не приходилось</v>
      </c>
      <c r="T892" s="6" t="str">
        <f>IFERROR(__xludf.DUMMYFUNCTION("""COMPUTED_VALUE"""),"Столица Кузбасса")</f>
        <v>Столица Кузбасса</v>
      </c>
      <c r="U892" s="6" t="str">
        <f>IFERROR(__xludf.DUMMYFUNCTION("""COMPUTED_VALUE"""),"Набережная, площадь советов")</f>
        <v>Набережная, площадь советов</v>
      </c>
      <c r="V892" s="6" t="str">
        <f>IFERROR(__xludf.DUMMYFUNCTION("""COMPUTED_VALUE"""),"Развивали")</f>
        <v>Развивали</v>
      </c>
      <c r="W892" s="6" t="str">
        <f>IFERROR(__xludf.DUMMYFUNCTION("""COMPUTED_VALUE"""),"Добрые, отзывчивые")</f>
        <v>Добрые, отзывчивые</v>
      </c>
      <c r="X892" s="6" t="str">
        <f>IFERROR(__xludf.DUMMYFUNCTION("""COMPUTED_VALUE"""),"Парки")</f>
        <v>Парки</v>
      </c>
      <c r="Y892" s="6" t="str">
        <f>IFERROR(__xludf.DUMMYFUNCTION("""COMPUTED_VALUE"""),"Их много")</f>
        <v>Их много</v>
      </c>
      <c r="Z892" s="6" t="str">
        <f>IFERROR(__xludf.DUMMYFUNCTION("""COMPUTED_VALUE"""),"Празднование Дня города")</f>
        <v>Празднование Дня города</v>
      </c>
      <c r="AA892" s="6" t="str">
        <f>IFERROR(__xludf.DUMMYFUNCTION("""COMPUTED_VALUE"""),"Пожар в зимней вишне(")</f>
        <v>Пожар в зимней вишне(</v>
      </c>
      <c r="AB892" s="6" t="str">
        <f>IFERROR(__xludf.DUMMYFUNCTION("""COMPUTED_VALUE"""),"Незнпю")</f>
        <v>Незнпю</v>
      </c>
      <c r="AC892" s="6" t="str">
        <f>IFERROR(__xludf.DUMMYFUNCTION("""COMPUTED_VALUE"""),"Культурных")</f>
        <v>Культурных</v>
      </c>
      <c r="AD89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892" s="6" t="str">
        <f>IFERROR(__xludf.DUMMYFUNCTION("""COMPUTED_VALUE"""),"Женский")</f>
        <v>Женский</v>
      </c>
      <c r="AF892" s="6" t="str">
        <f>IFERROR(__xludf.DUMMYFUNCTION("""COMPUTED_VALUE"""),"30-44")</f>
        <v>30-44</v>
      </c>
      <c r="AG892" s="6"/>
      <c r="AH892" s="6"/>
      <c r="AI892" s="6"/>
      <c r="AJ892" s="6"/>
      <c r="AK892" s="6"/>
      <c r="AL892" s="6"/>
      <c r="AM892" s="6"/>
    </row>
    <row r="893">
      <c r="A893" s="6">
        <v>892.0</v>
      </c>
      <c r="B893" s="6" t="str">
        <f>IFERROR(__xludf.DUMMYFUNCTION("""COMPUTED_VALUE"""),"Рпботаю")</f>
        <v>Рпботаю</v>
      </c>
      <c r="C893" s="6" t="str">
        <f>IFERROR(__xludf.DUMMYFUNCTION("""COMPUTED_VALUE"""),"Гулять по городу")</f>
        <v>Гулять по городу</v>
      </c>
      <c r="D893" s="6" t="str">
        <f>IFERROR(__xludf.DUMMYFUNCTION("""COMPUTED_VALUE"""),"Кировский")</f>
        <v>Кировский</v>
      </c>
      <c r="E893" s="6" t="str">
        <f>IFERROR(__xludf.DUMMYFUNCTION("""COMPUTED_VALUE"""),"Набережная, Берёзовая роша")</f>
        <v>Набережная, Берёзовая роша</v>
      </c>
      <c r="F893" s="6" t="str">
        <f>IFERROR(__xludf.DUMMYFUNCTION("""COMPUTED_VALUE"""),"Переехал сюда из другого места (откуда? укажите в графе другое), Тяжин")</f>
        <v>Переехал сюда из другого места (откуда? укажите в графе другое), Тяжин</v>
      </c>
      <c r="G893" s="6" t="str">
        <f>IFERROR(__xludf.DUMMYFUNCTION("""COMPUTED_VALUE"""),"Кинотеатр, Парки")</f>
        <v>Кинотеатр, Парки</v>
      </c>
      <c r="H893" s="6" t="str">
        <f>IFERROR(__xludf.DUMMYFUNCTION("""COMPUTED_VALUE"""),"Крест, Площадь Пушкина, Сосновый бор, Красная Горка, Набережная")</f>
        <v>Крест, Площадь Пушкина, Сосновый бор, Красная Горка, Набережная</v>
      </c>
      <c r="I893" s="6" t="str">
        <f>IFERROR(__xludf.DUMMYFUNCTION("""COMPUTED_VALUE"""),"Леонов, Терешкова")</f>
        <v>Леонов, Терешкова</v>
      </c>
      <c r="J893" s="6" t="str">
        <f>IFERROR(__xludf.DUMMYFUNCTION("""COMPUTED_VALUE"""),"Не знаю")</f>
        <v>Не знаю</v>
      </c>
      <c r="K893" s="6" t="str">
        <f>IFERROR(__xludf.DUMMYFUNCTION("""COMPUTED_VALUE"""),"Красная Горка, крест")</f>
        <v>Красная Горка, крест</v>
      </c>
      <c r="L893" s="6" t="str">
        <f>IFERROR(__xludf.DUMMYFUNCTION("""COMPUTED_VALUE"""),"Не знаю")</f>
        <v>Не знаю</v>
      </c>
      <c r="M893" s="6" t="str">
        <f>IFERROR(__xludf.DUMMYFUNCTION("""COMPUTED_VALUE"""),"Не помню")</f>
        <v>Не помню</v>
      </c>
      <c r="N893" s="6" t="str">
        <f>IFERROR(__xludf.DUMMYFUNCTION("""COMPUTED_VALUE"""),"Транспорт, чистота, воздух, отдых, ")</f>
        <v>Транспорт, чистота, воздух, отдых, </v>
      </c>
      <c r="O893" s="6" t="str">
        <f>IFERROR(__xludf.DUMMYFUNCTION("""COMPUTED_VALUE"""),"Дороги, чистоту")</f>
        <v>Дороги, чистоту</v>
      </c>
      <c r="P893" s="6" t="str">
        <f>IFERROR(__xludf.DUMMYFUNCTION("""COMPUTED_VALUE"""),"Афиша 42")</f>
        <v>Афиша 42</v>
      </c>
      <c r="Q893"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893" s="6" t="str">
        <f>IFERROR(__xludf.DUMMYFUNCTION("""COMPUTED_VALUE"""),"День города")</f>
        <v>День города</v>
      </c>
      <c r="S893" s="6" t="str">
        <f>IFERROR(__xludf.DUMMYFUNCTION("""COMPUTED_VALUE"""),"Нет, не приходилось")</f>
        <v>Нет, не приходилось</v>
      </c>
      <c r="T893" s="6" t="str">
        <f>IFERROR(__xludf.DUMMYFUNCTION("""COMPUTED_VALUE"""),"Столица Кузбасса")</f>
        <v>Столица Кузбасса</v>
      </c>
      <c r="U893" s="6" t="str">
        <f>IFERROR(__xludf.DUMMYFUNCTION("""COMPUTED_VALUE"""),"Набережная, площадь советов")</f>
        <v>Набережная, площадь советов</v>
      </c>
      <c r="V893" s="6" t="str">
        <f>IFERROR(__xludf.DUMMYFUNCTION("""COMPUTED_VALUE"""),"Развивали")</f>
        <v>Развивали</v>
      </c>
      <c r="W893" s="6" t="str">
        <f>IFERROR(__xludf.DUMMYFUNCTION("""COMPUTED_VALUE"""),"Добрые, отзывчивые")</f>
        <v>Добрые, отзывчивые</v>
      </c>
      <c r="X893" s="6" t="str">
        <f>IFERROR(__xludf.DUMMYFUNCTION("""COMPUTED_VALUE"""),"Парки")</f>
        <v>Парки</v>
      </c>
      <c r="Y893" s="6" t="str">
        <f>IFERROR(__xludf.DUMMYFUNCTION("""COMPUTED_VALUE"""),"Их много")</f>
        <v>Их много</v>
      </c>
      <c r="Z893" s="6" t="str">
        <f>IFERROR(__xludf.DUMMYFUNCTION("""COMPUTED_VALUE"""),"Празднование Дня города")</f>
        <v>Празднование Дня города</v>
      </c>
      <c r="AA893" s="6" t="str">
        <f>IFERROR(__xludf.DUMMYFUNCTION("""COMPUTED_VALUE"""),"Пожар в зимней вишне(")</f>
        <v>Пожар в зимней вишне(</v>
      </c>
      <c r="AB893" s="6" t="str">
        <f>IFERROR(__xludf.DUMMYFUNCTION("""COMPUTED_VALUE"""),"Незнпю")</f>
        <v>Незнпю</v>
      </c>
      <c r="AC893" s="6" t="str">
        <f>IFERROR(__xludf.DUMMYFUNCTION("""COMPUTED_VALUE"""),"Культурных")</f>
        <v>Культурных</v>
      </c>
      <c r="AD89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893" s="6" t="str">
        <f>IFERROR(__xludf.DUMMYFUNCTION("""COMPUTED_VALUE"""),"Женский")</f>
        <v>Женский</v>
      </c>
      <c r="AF893" s="6" t="str">
        <f>IFERROR(__xludf.DUMMYFUNCTION("""COMPUTED_VALUE"""),"30-44")</f>
        <v>30-44</v>
      </c>
      <c r="AG893" s="6"/>
      <c r="AH893" s="6"/>
      <c r="AI893" s="6"/>
      <c r="AJ893" s="6"/>
      <c r="AK893" s="6"/>
      <c r="AL893" s="6"/>
      <c r="AM893" s="6"/>
    </row>
    <row r="894">
      <c r="A894" s="6">
        <v>893.0</v>
      </c>
      <c r="B894" s="6" t="str">
        <f>IFERROR(__xludf.DUMMYFUNCTION("""COMPUTED_VALUE"""),"Строительство")</f>
        <v>Строительство</v>
      </c>
      <c r="C894" s="6" t="str">
        <f>IFERROR(__xludf.DUMMYFUNCTION("""COMPUTED_VALUE"""),"Нет")</f>
        <v>Нет</v>
      </c>
      <c r="D894" s="6" t="str">
        <f>IFERROR(__xludf.DUMMYFUNCTION("""COMPUTED_VALUE"""),"Металлплощадка")</f>
        <v>Металлплощадка</v>
      </c>
      <c r="E894" s="6" t="str">
        <f>IFERROR(__xludf.DUMMYFUNCTION("""COMPUTED_VALUE"""),"Наш парк")</f>
        <v>Наш парк</v>
      </c>
      <c r="F894" s="6" t="str">
        <f>IFERROR(__xludf.DUMMYFUNCTION("""COMPUTED_VALUE"""),"Живу здесь с рождения")</f>
        <v>Живу здесь с рождения</v>
      </c>
      <c r="G894" s="6" t="str">
        <f>IFERROR(__xludf.DUMMYFUNCTION("""COMPUTED_VALUE"""),"Никуда")</f>
        <v>Никуда</v>
      </c>
      <c r="H894" s="6" t="str">
        <f>IFERROR(__xludf.DUMMYFUNCTION("""COMPUTED_VALUE"""),"Нет")</f>
        <v>Нет</v>
      </c>
      <c r="I894" s="6" t="str">
        <f>IFERROR(__xludf.DUMMYFUNCTION("""COMPUTED_VALUE"""),"Не знаю")</f>
        <v>Не знаю</v>
      </c>
      <c r="J894" s="6" t="str">
        <f>IFERROR(__xludf.DUMMYFUNCTION("""COMPUTED_VALUE"""),"Тулеев, Михайлов")</f>
        <v>Тулеев, Михайлов</v>
      </c>
      <c r="K894" s="6" t="str">
        <f>IFERROR(__xludf.DUMMYFUNCTION("""COMPUTED_VALUE"""),"Парк Антошка")</f>
        <v>Парк Антошка</v>
      </c>
      <c r="L894" s="6" t="str">
        <f>IFERROR(__xludf.DUMMYFUNCTION("""COMPUTED_VALUE"""),"Не знаю")</f>
        <v>Не знаю</v>
      </c>
      <c r="M894" s="6" t="str">
        <f>IFERROR(__xludf.DUMMYFUNCTION("""COMPUTED_VALUE"""),"Нет")</f>
        <v>Нет</v>
      </c>
      <c r="N894" s="6" t="str">
        <f>IFERROR(__xludf.DUMMYFUNCTION("""COMPUTED_VALUE"""),"Чистота, экология, доступность, дружелюбие")</f>
        <v>Чистота, экология, доступность, дружелюбие</v>
      </c>
      <c r="O894" s="6" t="str">
        <f>IFERROR(__xludf.DUMMYFUNCTION("""COMPUTED_VALUE"""),"Экологию")</f>
        <v>Экологию</v>
      </c>
      <c r="P894" s="6" t="str">
        <f>IFERROR(__xludf.DUMMYFUNCTION("""COMPUTED_VALUE"""),"Не откуда")</f>
        <v>Не откуда</v>
      </c>
      <c r="Q894" s="6" t="str">
        <f>IFERROR(__xludf.DUMMYFUNCTION("""COMPUTED_VALUE"""),"Никаких, не интерестные новости")</f>
        <v>Никаких, не интерестные новости</v>
      </c>
      <c r="R894" s="6" t="str">
        <f>IFERROR(__xludf.DUMMYFUNCTION("""COMPUTED_VALUE"""),"9 мая")</f>
        <v>9 мая</v>
      </c>
      <c r="S894" s="6" t="str">
        <f>IFERROR(__xludf.DUMMYFUNCTION("""COMPUTED_VALUE"""),"Нет, не приходилось")</f>
        <v>Нет, не приходилось</v>
      </c>
      <c r="T894" s="6" t="str">
        <f>IFERROR(__xludf.DUMMYFUNCTION("""COMPUTED_VALUE"""),"Трагедией в Зимней вишне")</f>
        <v>Трагедией в Зимней вишне</v>
      </c>
      <c r="U894" s="6" t="str">
        <f>IFERROR(__xludf.DUMMYFUNCTION("""COMPUTED_VALUE"""),"Пионерский бульвар")</f>
        <v>Пионерский бульвар</v>
      </c>
      <c r="V894" s="6" t="str">
        <f>IFERROR(__xludf.DUMMYFUNCTION("""COMPUTED_VALUE"""),"Добычей угля")</f>
        <v>Добычей угля</v>
      </c>
      <c r="W894" s="6" t="str">
        <f>IFERROR(__xludf.DUMMYFUNCTION("""COMPUTED_VALUE"""),"Грустные")</f>
        <v>Грустные</v>
      </c>
      <c r="X894" s="6" t="str">
        <f>IFERROR(__xludf.DUMMYFUNCTION("""COMPUTED_VALUE"""),"5")</f>
        <v>5</v>
      </c>
      <c r="Y894" s="6" t="str">
        <f>IFERROR(__xludf.DUMMYFUNCTION("""COMPUTED_VALUE"""),"Не знаю")</f>
        <v>Не знаю</v>
      </c>
      <c r="Z894" s="6" t="str">
        <f>IFERROR(__xludf.DUMMYFUNCTION("""COMPUTED_VALUE"""),"Небыло")</f>
        <v>Небыло</v>
      </c>
      <c r="AA894" s="6" t="str">
        <f>IFERROR(__xludf.DUMMYFUNCTION("""COMPUTED_VALUE"""),"Зимняя вишня")</f>
        <v>Зимняя вишня</v>
      </c>
      <c r="AB894" s="6" t="str">
        <f>IFERROR(__xludf.DUMMYFUNCTION("""COMPUTED_VALUE"""),"Сообщест кого?")</f>
        <v>Сообщест кого?</v>
      </c>
      <c r="AC894" s="6" t="str">
        <f>IFERROR(__xludf.DUMMYFUNCTION("""COMPUTED_VALUE"""),"Улучшение экологии, повышение заработной платы, оказание квалифицированной мед помощи, доступность жилья")</f>
        <v>Улучшение экологии, повышение заработной платы, оказание квалифицированной мед помощи, доступность жилья</v>
      </c>
      <c r="AD89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94" s="6" t="str">
        <f>IFERROR(__xludf.DUMMYFUNCTION("""COMPUTED_VALUE"""),"Мужской")</f>
        <v>Мужской</v>
      </c>
      <c r="AF894" s="6" t="str">
        <f>IFERROR(__xludf.DUMMYFUNCTION("""COMPUTED_VALUE"""),"30-44")</f>
        <v>30-44</v>
      </c>
      <c r="AG894" s="6"/>
      <c r="AH894" s="6"/>
      <c r="AI894" s="6"/>
      <c r="AJ894" s="6"/>
      <c r="AK894" s="6"/>
      <c r="AL894" s="6"/>
      <c r="AM894" s="6"/>
    </row>
    <row r="895">
      <c r="A895" s="6">
        <v>894.0</v>
      </c>
      <c r="B895" s="6" t="str">
        <f>IFERROR(__xludf.DUMMYFUNCTION("""COMPUTED_VALUE"""),"Культура, организация мероприятий ")</f>
        <v>Культура, организация мероприятий </v>
      </c>
      <c r="C895" s="6" t="str">
        <f>IFERROR(__xludf.DUMMYFUNCTION("""COMPUTED_VALUE"""),"Занятия спортом ")</f>
        <v>Занятия спортом </v>
      </c>
      <c r="D895" s="6" t="str">
        <f>IFERROR(__xludf.DUMMYFUNCTION("""COMPUTED_VALUE"""),"Заводский район, фпк ")</f>
        <v>Заводский район, фпк </v>
      </c>
      <c r="E895" s="6" t="str">
        <f>IFERROR(__xludf.DUMMYFUNCTION("""COMPUTED_VALUE"""),"Нет ")</f>
        <v>Нет </v>
      </c>
      <c r="F895" s="6" t="str">
        <f>IFERROR(__xludf.DUMMYFUNCTION("""COMPUTED_VALUE"""),"Живу здесь с рождения")</f>
        <v>Живу здесь с рождения</v>
      </c>
      <c r="G895" s="6" t="str">
        <f>IFERROR(__xludf.DUMMYFUNCTION("""COMPUTED_VALUE"""),"В центр города, набережная, парк чудес, парк ангелов ")</f>
        <v>В центр города, набережная, парк чудес, парк ангелов </v>
      </c>
      <c r="H895" s="6" t="str">
        <f>IFERROR(__xludf.DUMMYFUNCTION("""COMPUTED_VALUE"""),"Серость, загрязнения, родной город, разбитые дороги, новые застройки ")</f>
        <v>Серость, загрязнения, родной город, разбитые дороги, новые застройки </v>
      </c>
      <c r="I895" s="6" t="str">
        <f>IFERROR(__xludf.DUMMYFUNCTION("""COMPUTED_VALUE"""),"Волков ")</f>
        <v>Волков </v>
      </c>
      <c r="J895" s="6" t="str">
        <f>IFERROR(__xludf.DUMMYFUNCTION("""COMPUTED_VALUE"""),"Терехов, Михайлов ")</f>
        <v>Терехов, Михайлов </v>
      </c>
      <c r="K895" s="6" t="str">
        <f>IFERROR(__xludf.DUMMYFUNCTION("""COMPUTED_VALUE"""),"Сердце шахтёра, красная горка, парк ангелов ")</f>
        <v>Сердце шахтёра, красная горка, парк ангелов </v>
      </c>
      <c r="L895" s="6" t="str">
        <f>IFERROR(__xludf.DUMMYFUNCTION("""COMPUTED_VALUE"""),"Не знаю ")</f>
        <v>Не знаю </v>
      </c>
      <c r="M895" s="6" t="str">
        <f>IFERROR(__xludf.DUMMYFUNCTION("""COMPUTED_VALUE"""),"Мультифора (за Уралом все используют слово «файл») ")</f>
        <v>Мультифора (за Уралом все используют слово «файл») </v>
      </c>
      <c r="N895" s="6" t="str">
        <f>IFERROR(__xludf.DUMMYFUNCTION("""COMPUTED_VALUE"""),"Чистота, разнообразная инфраструктура,  хорошие дороги ")</f>
        <v>Чистота, разнообразная инфраструктура,  хорошие дороги </v>
      </c>
      <c r="O895" s="6" t="str">
        <f>IFERROR(__xludf.DUMMYFUNCTION("""COMPUTED_VALUE"""),"Дороги и загрязнение воздуха ")</f>
        <v>Дороги и загрязнение воздуха </v>
      </c>
      <c r="P895" s="6" t="str">
        <f>IFERROR(__xludf.DUMMYFUNCTION("""COMPUTED_VALUE"""),"Интернет ресурс, в основном социальная сеть Инстаграм ")</f>
        <v>Интернет ресурс, в основном социальная сеть Инстаграм </v>
      </c>
      <c r="Q895" s="6" t="str">
        <f>IFERROR(__xludf.DUMMYFUNCTION("""COMPUTED_VALUE"""),"куда пойти в свободное время, где вкусно поесть/открытие новых кафе/ресторанов, культурные новинки (что почитать/что послушать)")</f>
        <v>куда пойти в свободное время, где вкусно поесть/открытие новых кафе/ресторанов, культурные новинки (что почитать/что послушать)</v>
      </c>
      <c r="R895" s="6" t="str">
        <f>IFERROR(__xludf.DUMMYFUNCTION("""COMPUTED_VALUE"""),"Новый год, День Победы, день города, день шахтёра ")</f>
        <v>Новый год, День Победы, день города, день шахтёра </v>
      </c>
      <c r="S895"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895" s="6" t="str">
        <f>IFERROR(__xludf.DUMMYFUNCTION("""COMPUTED_VALUE"""),"Углём ")</f>
        <v>Углём </v>
      </c>
      <c r="U895" s="6" t="str">
        <f>IFERROR(__xludf.DUMMYFUNCTION("""COMPUTED_VALUE"""),"Набережная центрального района ")</f>
        <v>Набережная центрального района </v>
      </c>
      <c r="V895" s="6" t="str">
        <f>IFERROR(__xludf.DUMMYFUNCTION("""COMPUTED_VALUE"""),"Развивали город ")</f>
        <v>Развивали город </v>
      </c>
      <c r="W895" s="6" t="str">
        <f>IFERROR(__xludf.DUMMYFUNCTION("""COMPUTED_VALUE"""),"Резкие, хваткие, добрые ")</f>
        <v>Резкие, хваткие, добрые </v>
      </c>
      <c r="X895" s="6" t="str">
        <f>IFERROR(__xludf.DUMMYFUNCTION("""COMPUTED_VALUE"""),"Центр города")</f>
        <v>Центр города</v>
      </c>
      <c r="Y895" s="6" t="str">
        <f>IFERROR(__xludf.DUMMYFUNCTION("""COMPUTED_VALUE"""),"Много разных событий ")</f>
        <v>Много разных событий </v>
      </c>
      <c r="Z895" s="6" t="str">
        <f>IFERROR(__xludf.DUMMYFUNCTION("""COMPUTED_VALUE"""),"Не запомнилось ")</f>
        <v>Не запомнилось </v>
      </c>
      <c r="AA895" s="6" t="str">
        <f>IFERROR(__xludf.DUMMYFUNCTION("""COMPUTED_VALUE"""),"Не запомнилось ")</f>
        <v>Не запомнилось </v>
      </c>
      <c r="AB895" s="6" t="str">
        <f>IFERROR(__xludf.DUMMYFUNCTION("""COMPUTED_VALUE"""),"Хватает всего ")</f>
        <v>Хватает всего </v>
      </c>
      <c r="AC895" s="6" t="str">
        <f>IFERROR(__xludf.DUMMYFUNCTION("""COMPUTED_VALUE"""),"Достаточно мероприятий ")</f>
        <v>Достаточно мероприятий </v>
      </c>
      <c r="AD89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95" s="6" t="str">
        <f>IFERROR(__xludf.DUMMYFUNCTION("""COMPUTED_VALUE"""),"Женский")</f>
        <v>Женский</v>
      </c>
      <c r="AF895" s="6" t="str">
        <f>IFERROR(__xludf.DUMMYFUNCTION("""COMPUTED_VALUE"""),"30-44")</f>
        <v>30-44</v>
      </c>
      <c r="AG895" s="6"/>
      <c r="AH895" s="6"/>
      <c r="AI895" s="6"/>
      <c r="AJ895" s="6"/>
      <c r="AK895" s="6"/>
      <c r="AL895" s="6"/>
      <c r="AM895" s="6"/>
    </row>
    <row r="896">
      <c r="A896" s="6">
        <v>895.0</v>
      </c>
      <c r="B896" s="6" t="str">
        <f>IFERROR(__xludf.DUMMYFUNCTION("""COMPUTED_VALUE"""),"Служащий")</f>
        <v>Служащий</v>
      </c>
      <c r="C896" s="6" t="str">
        <f>IFERROR(__xludf.DUMMYFUNCTION("""COMPUTED_VALUE"""),"Спорт, музыка")</f>
        <v>Спорт, музыка</v>
      </c>
      <c r="D896" s="6" t="str">
        <f>IFERROR(__xludf.DUMMYFUNCTION("""COMPUTED_VALUE"""),"Центральный. Центр")</f>
        <v>Центральный. Центр</v>
      </c>
      <c r="E896" s="6" t="str">
        <f>IFERROR(__xludf.DUMMYFUNCTION("""COMPUTED_VALUE"""),"Ул. Весенняя, Театр драмы, Парк Чудес, Площадь Волкова, Притомская набережная, парк Антошка, парк Победы им Г.К. Жукова")</f>
        <v>Ул. Весенняя, Театр драмы, Парк Чудес, Площадь Волкова, Притомская набережная, парк Антошка, парк Победы им Г.К. Жукова</v>
      </c>
      <c r="F896" s="6" t="str">
        <f>IFERROR(__xludf.DUMMYFUNCTION("""COMPUTED_VALUE"""),"Живу здесь с рождения")</f>
        <v>Живу здесь с рождения</v>
      </c>
      <c r="G896" s="6" t="str">
        <f>IFERROR(__xludf.DUMMYFUNCTION("""COMPUTED_VALUE"""),"Ул. Весенняя, Парк Чудес, парк Антошка")</f>
        <v>Ул. Весенняя, Парк Чудес, парк Антошка</v>
      </c>
      <c r="H896" s="6" t="str">
        <f>IFERROR(__xludf.DUMMYFUNCTION("""COMPUTED_VALUE"""),"Столица Кузбасса, Михайло Волков, Площадь Советов, угольная и химическая промышленность")</f>
        <v>Столица Кузбасса, Михайло Волков, Площадь Советов, угольная и химическая промышленность</v>
      </c>
      <c r="I896" s="6" t="str">
        <f>IFERROR(__xludf.DUMMYFUNCTION("""COMPUTED_VALUE"""),"В.В. Михайлов, А.Г. Тулеев, ")</f>
        <v>В.В. Михайлов, А.Г. Тулеев, </v>
      </c>
      <c r="J896" s="6" t="str">
        <f>IFERROR(__xludf.DUMMYFUNCTION("""COMPUTED_VALUE"""),"В.А. Раздаев")</f>
        <v>В.А. Раздаев</v>
      </c>
      <c r="K896" s="6" t="str">
        <f>IFERROR(__xludf.DUMMYFUNCTION("""COMPUTED_VALUE"""),"Площадь Советов, площадь Пушкина, площадь Волкова, ул. Весенняя, Театр драмы, Парк Чудес")</f>
        <v>Площадь Советов, площадь Пушкина, площадь Волкова, ул. Весенняя, Театр драмы, Парк Чудес</v>
      </c>
      <c r="L896" s="6" t="str">
        <f>IFERROR(__xludf.DUMMYFUNCTION("""COMPUTED_VALUE"""),"Не знаю")</f>
        <v>Не знаю</v>
      </c>
      <c r="M896" s="6" t="str">
        <f>IFERROR(__xludf.DUMMYFUNCTION("""COMPUTED_VALUE"""),"Не знаю")</f>
        <v>Не знаю</v>
      </c>
      <c r="N896" s="6" t="str">
        <f>IFERROR(__xludf.DUMMYFUNCTION("""COMPUTED_VALUE"""),"Инфраструктура (наличие мест для парковки), чистота, качественные дороги (особенно в дворовых территориях), наличие общественных туалетов (особенно в местах скопления граждан)")</f>
        <v>Инфраструктура (наличие мест для парковки), чистота, качественные дороги (особенно в дворовых территориях), наличие общественных туалетов (особенно в местах скопления граждан)</v>
      </c>
      <c r="O896" s="6" t="str">
        <f>IFERROR(__xludf.DUMMYFUNCTION("""COMPUTED_VALUE"""),"Дороги")</f>
        <v>Дороги</v>
      </c>
      <c r="P896" s="6" t="str">
        <f>IFERROR(__xludf.DUMMYFUNCTION("""COMPUTED_VALUE"""),"Интернет")</f>
        <v>Интернет</v>
      </c>
      <c r="Q896" s="6" t="str">
        <f>IFERROR(__xludf.DUMMYFUNCTION("""COMPUTED_VALUE"""),"куда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v>
      </c>
      <c r="R896" s="6" t="str">
        <f>IFERROR(__xludf.DUMMYFUNCTION("""COMPUTED_VALUE"""),"День города")</f>
        <v>День города</v>
      </c>
      <c r="S896" s="6" t="str">
        <f>IFERROR(__xludf.DUMMYFUNCTION("""COMPUTED_VALUE"""),"Через социальные сети (Какие? Укажите в графе другое)")</f>
        <v>Через социальные сети (Какие? Укажите в графе другое)</v>
      </c>
      <c r="T896" s="6" t="str">
        <f>IFERROR(__xludf.DUMMYFUNCTION("""COMPUTED_VALUE"""),"Только печальными событиями")</f>
        <v>Только печальными событиями</v>
      </c>
      <c r="U896" s="6" t="str">
        <f>IFERROR(__xludf.DUMMYFUNCTION("""COMPUTED_VALUE"""),"Площадь Советов")</f>
        <v>Площадь Советов</v>
      </c>
      <c r="V896" s="6" t="str">
        <f>IFERROR(__xludf.DUMMYFUNCTION("""COMPUTED_VALUE"""),"Трудились и работали")</f>
        <v>Трудились и работали</v>
      </c>
      <c r="W896" s="6" t="str">
        <f>IFERROR(__xludf.DUMMYFUNCTION("""COMPUTED_VALUE"""),"Обычные люди")</f>
        <v>Обычные люди</v>
      </c>
      <c r="X896" s="6" t="str">
        <f>IFERROR(__xludf.DUMMYFUNCTION("""COMPUTED_VALUE"""),"Пешие прогулки по Центу города")</f>
        <v>Пешие прогулки по Центу города</v>
      </c>
      <c r="Y896" s="6" t="str">
        <f>IFERROR(__xludf.DUMMYFUNCTION("""COMPUTED_VALUE"""),"Чемпионат мира по хоккею с мячом")</f>
        <v>Чемпионат мира по хоккею с мячом</v>
      </c>
      <c r="Z896" s="6" t="str">
        <f>IFERROR(__xludf.DUMMYFUNCTION("""COMPUTED_VALUE"""),"строительство Ледового дворца")</f>
        <v>строительство Ледового дворца</v>
      </c>
      <c r="AA896" s="6" t="str">
        <f>IFERROR(__xludf.DUMMYFUNCTION("""COMPUTED_VALUE"""),"Пожары, ДТП")</f>
        <v>Пожары, ДТП</v>
      </c>
      <c r="AB896" s="6" t="str">
        <f>IFERROR(__xludf.DUMMYFUNCTION("""COMPUTED_VALUE"""),"Всего хватает")</f>
        <v>Всего хватает</v>
      </c>
      <c r="AC896" s="6" t="str">
        <f>IFERROR(__xludf.DUMMYFUNCTION("""COMPUTED_VALUE"""),"спортивные, культурные")</f>
        <v>спортивные, культурные</v>
      </c>
      <c r="AD896"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896" s="6" t="str">
        <f>IFERROR(__xludf.DUMMYFUNCTION("""COMPUTED_VALUE"""),"Мужской")</f>
        <v>Мужской</v>
      </c>
      <c r="AF896" s="6" t="str">
        <f>IFERROR(__xludf.DUMMYFUNCTION("""COMPUTED_VALUE"""),"45-55")</f>
        <v>45-55</v>
      </c>
      <c r="AG896" s="6"/>
      <c r="AH896" s="6"/>
      <c r="AI896" s="6"/>
      <c r="AJ896" s="6"/>
      <c r="AK896" s="6"/>
      <c r="AL896" s="6"/>
      <c r="AM896" s="6"/>
    </row>
    <row r="897">
      <c r="A897" s="6">
        <v>896.0</v>
      </c>
      <c r="B897" s="6" t="str">
        <f>IFERROR(__xludf.DUMMYFUNCTION("""COMPUTED_VALUE"""),"Служащий")</f>
        <v>Служащий</v>
      </c>
      <c r="C897" s="6" t="str">
        <f>IFERROR(__xludf.DUMMYFUNCTION("""COMPUTED_VALUE"""),"Путешествие")</f>
        <v>Путешествие</v>
      </c>
      <c r="D897" s="6" t="str">
        <f>IFERROR(__xludf.DUMMYFUNCTION("""COMPUTED_VALUE"""),"Ленинский")</f>
        <v>Ленинский</v>
      </c>
      <c r="E897" s="6" t="str">
        <f>IFERROR(__xludf.DUMMYFUNCTION("""COMPUTED_VALUE""")," Бульвар строителей")</f>
        <v> Бульвар строителей</v>
      </c>
      <c r="F897"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897" s="6" t="str">
        <f>IFERROR(__xludf.DUMMYFUNCTION("""COMPUTED_VALUE"""),"Набережная, бульвар строитетелей, парк веры волошиной")</f>
        <v>Набережная, бульвар строитетелей, парк веры волошиной</v>
      </c>
      <c r="H897" s="6" t="str">
        <f>IFERROR(__xludf.DUMMYFUNCTION("""COMPUTED_VALUE"""),"Загазованный, строящийся, культурный, угольный, развивающийся")</f>
        <v>Загазованный, строящийся, культурный, угольный, развивающийся</v>
      </c>
      <c r="I897" s="6" t="str">
        <f>IFERROR(__xludf.DUMMYFUNCTION("""COMPUTED_VALUE"""),"Волков, Леонов, Волошина")</f>
        <v>Волков, Леонов, Волошина</v>
      </c>
      <c r="J897" s="6" t="str">
        <f>IFERROR(__xludf.DUMMYFUNCTION("""COMPUTED_VALUE"""),"Леонов, Волков, Машков")</f>
        <v>Леонов, Волков, Машков</v>
      </c>
      <c r="K897" s="6" t="str">
        <f>IFERROR(__xludf.DUMMYFUNCTION("""COMPUTED_VALUE"""),"Парк победы, парк В. Волошиной, набережная, памятник  М.Волкову, бульвар строителей")</f>
        <v>Парк победы, парк В. Волошиной, набережная, памятник  М.Волкову, бульвар строителей</v>
      </c>
      <c r="L897" s="6" t="str">
        <f>IFERROR(__xludf.DUMMYFUNCTION("""COMPUTED_VALUE"""),"Не знаю")</f>
        <v>Не знаю</v>
      </c>
      <c r="M897" s="6" t="str">
        <f>IFERROR(__xludf.DUMMYFUNCTION("""COMPUTED_VALUE"""),"Нет")</f>
        <v>Нет</v>
      </c>
      <c r="N897" s="6" t="str">
        <f>IFERROR(__xludf.DUMMYFUNCTION("""COMPUTED_VALUE"""),"Компактность, доступность инфраструктуры, транспорта,")</f>
        <v>Компактность, доступность инфраструктуры, транспорта,</v>
      </c>
      <c r="O897" s="6" t="str">
        <f>IFERROR(__xludf.DUMMYFUNCTION("""COMPUTED_VALUE"""),"Заинтересованность в медицинских кадрах и новейшем оборудовании, увеличение пенсии, борьба с коррупцией ")</f>
        <v>Заинтересованность в медицинских кадрах и новейшем оборудовании, увеличение пенсии, борьба с коррупцией </v>
      </c>
      <c r="P897" s="6" t="str">
        <f>IFERROR(__xludf.DUMMYFUNCTION("""COMPUTED_VALUE"""),"Интернет: Инстаграм ")</f>
        <v>Интернет: Инстаграм </v>
      </c>
      <c r="Q897" s="6" t="str">
        <f>IFERROR(__xludf.DUMMYFUNCTION("""COMPUTED_VALUE"""),"городская афиша (кино/театр/концерты), культурные новинки (что почитать/что послушать)")</f>
        <v>городская афиша (кино/театр/концерты), культурные новинки (что почитать/что послушать)</v>
      </c>
      <c r="R897" s="6" t="str">
        <f>IFERROR(__xludf.DUMMYFUNCTION("""COMPUTED_VALUE"""),"День России,день города")</f>
        <v>День России,день города</v>
      </c>
      <c r="S897" s="6" t="str">
        <f>IFERROR(__xludf.DUMMYFUNCTION("""COMPUTED_VALUE"""),"Нет, не приходилось")</f>
        <v>Нет, не приходилось</v>
      </c>
      <c r="T897" s="6" t="str">
        <f>IFERROR(__xludf.DUMMYFUNCTION("""COMPUTED_VALUE"""),"Музей краеведческий, филармония имеет свой орган, музей изобразительных искусств, музей археологи , театр драмы, театр оперетты ")</f>
        <v>Музей краеведческий, филармония имеет свой орган, музей изобразительных искусств, музей археологи , театр драмы, театр оперетты </v>
      </c>
      <c r="U897" s="6" t="str">
        <f>IFERROR(__xludf.DUMMYFUNCTION("""COMPUTED_VALUE"""),"Площадь советов")</f>
        <v>Площадь советов</v>
      </c>
      <c r="V897" s="6" t="str">
        <f>IFERROR(__xludf.DUMMYFUNCTION("""COMPUTED_VALUE"""),"Алексей Леонов-космонавт,Владимир Машков- актёр, Александр Бессмертных футболист- прославили город")</f>
        <v>Алексей Леонов-космонавт,Владимир Машков- актёр, Александр Бессмертных футболист- прославили город</v>
      </c>
      <c r="W897" s="6" t="str">
        <f>IFERROR(__xludf.DUMMYFUNCTION("""COMPUTED_VALUE"""),"Гостеприимные, талантливые")</f>
        <v>Гостеприимные, талантливые</v>
      </c>
      <c r="X897" s="6" t="str">
        <f>IFERROR(__xludf.DUMMYFUNCTION("""COMPUTED_VALUE"""),"Набережная")</f>
        <v>Набережная</v>
      </c>
      <c r="Y897" s="6" t="str">
        <f>IFERROR(__xludf.DUMMYFUNCTION("""COMPUTED_VALUE"""),"Строение кадетского корпуса ")</f>
        <v>Строение кадетского корпуса </v>
      </c>
      <c r="Z897" s="6" t="str">
        <f>IFERROR(__xludf.DUMMYFUNCTION("""COMPUTED_VALUE"""),"Строение культурного комплекса")</f>
        <v>Строение культурного комплекса</v>
      </c>
      <c r="AA897" s="6" t="str">
        <f>IFERROR(__xludf.DUMMYFUNCTION("""COMPUTED_VALUE"""),"Пожар в Зимней вишне")</f>
        <v>Пожар в Зимней вишне</v>
      </c>
      <c r="AB897" s="6" t="str">
        <f>IFERROR(__xludf.DUMMYFUNCTION("""COMPUTED_VALUE"""),"Достаточно ")</f>
        <v>Достаточно </v>
      </c>
      <c r="AC897" s="6" t="str">
        <f>IFERROR(__xludf.DUMMYFUNCTION("""COMPUTED_VALUE"""),"Развитие детских площадок")</f>
        <v>Развитие детских площадок</v>
      </c>
      <c r="AD89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897" s="6" t="str">
        <f>IFERROR(__xludf.DUMMYFUNCTION("""COMPUTED_VALUE"""),"Женский")</f>
        <v>Женский</v>
      </c>
      <c r="AF897" s="6" t="str">
        <f>IFERROR(__xludf.DUMMYFUNCTION("""COMPUTED_VALUE"""),"старше 55")</f>
        <v>старше 55</v>
      </c>
      <c r="AG897" s="6"/>
      <c r="AH897" s="6"/>
      <c r="AI897" s="6"/>
      <c r="AJ897" s="6"/>
      <c r="AK897" s="6"/>
      <c r="AL897" s="6"/>
      <c r="AM897" s="6"/>
    </row>
    <row r="898">
      <c r="A898" s="6">
        <v>897.0</v>
      </c>
      <c r="B898" s="6" t="str">
        <f>IFERROR(__xludf.DUMMYFUNCTION("""COMPUTED_VALUE"""),"Преподаватель")</f>
        <v>Преподаватель</v>
      </c>
      <c r="C898" s="6" t="str">
        <f>IFERROR(__xludf.DUMMYFUNCTION("""COMPUTED_VALUE"""),"Дача")</f>
        <v>Дача</v>
      </c>
      <c r="D898" s="6" t="str">
        <f>IFERROR(__xludf.DUMMYFUNCTION("""COMPUTED_VALUE"""),"Ленинский район")</f>
        <v>Ленинский район</v>
      </c>
      <c r="E898" s="6" t="str">
        <f>IFERROR(__xludf.DUMMYFUNCTION("""COMPUTED_VALUE"""),"Бульвар сроителей")</f>
        <v>Бульвар сроителей</v>
      </c>
      <c r="F898" s="6" t="str">
        <f>IFERROR(__xludf.DUMMYFUNCTION("""COMPUTED_VALUE"""),"Живу здесь с рождения")</f>
        <v>Живу здесь с рождения</v>
      </c>
      <c r="G898" s="6" t="str">
        <f>IFERROR(__xludf.DUMMYFUNCTION("""COMPUTED_VALUE"""),"Парк на пр-те Химиков, Бульвар Строителей")</f>
        <v>Парк на пр-те Химиков, Бульвар Строителей</v>
      </c>
      <c r="H898" s="6" t="str">
        <f>IFERROR(__xludf.DUMMYFUNCTION("""COMPUTED_VALUE"""),"Родной, любимый, красивый, яркий, благоустроенный")</f>
        <v>Родной, любимый, красивый, яркий, благоустроенный</v>
      </c>
      <c r="I898" s="6" t="str">
        <f>IFERROR(__xludf.DUMMYFUNCTION("""COMPUTED_VALUE"""),"Марковцев С Х, Подгорбунский,  Гагарин, Терешкова и т д")</f>
        <v>Марковцев С Х, Подгорбунский,  Гагарин, Терешкова и т д</v>
      </c>
      <c r="J898" s="6" t="str">
        <f>IFERROR(__xludf.DUMMYFUNCTION("""COMPUTED_VALUE"""),"Футболист Раздаев, Тулеев, Середюк и др")</f>
        <v>Футболист Раздаев, Тулеев, Середюк и др</v>
      </c>
      <c r="K898" s="6" t="str">
        <f>IFERROR(__xludf.DUMMYFUNCTION("""COMPUTED_VALUE"""),"Красная горка, Парк ангелов, ботанический сад")</f>
        <v>Красная горка, Парк ангелов, ботанический сад</v>
      </c>
      <c r="L898" s="6" t="str">
        <f>IFERROR(__xludf.DUMMYFUNCTION("""COMPUTED_VALUE"""),"Город - царство, а деревня - рай")</f>
        <v>Город - царство, а деревня - рай</v>
      </c>
      <c r="M898" s="6" t="str">
        <f>IFERROR(__xludf.DUMMYFUNCTION("""COMPUTED_VALUE"""),"Колба, кедрач")</f>
        <v>Колба, кедрач</v>
      </c>
      <c r="N898" s="6" t="str">
        <f>IFERROR(__xludf.DUMMYFUNCTION("""COMPUTED_VALUE"""),"Устроенность внутренних дворов, озеленение, места отдыха с детьми, дороги, доступный транспорт")</f>
        <v>Устроенность внутренних дворов, озеленение, места отдыха с детьми, дороги, доступный транспорт</v>
      </c>
      <c r="O898" s="6" t="str">
        <f>IFERROR(__xludf.DUMMYFUNCTION("""COMPUTED_VALUE"""),"Больше внимания уделять особенным детям, больше мероприятий, занятий для них, дворы благоустроить и асфальтировать проезжую часть вокруг домов")</f>
        <v>Больше внимания уделять особенным детям, больше мероприятий, занятий для них, дворы благоустроить и асфальтировать проезжую часть вокруг домов</v>
      </c>
      <c r="P898" s="6" t="str">
        <f>IFERROR(__xludf.DUMMYFUNCTION("""COMPUTED_VALUE"""),"Контакты, Одноклассники, новости Яндекс и Мой мир. ")</f>
        <v>Контакты, Одноклассники, новости Яндекс и Мой мир. </v>
      </c>
      <c r="Q898" s="6" t="str">
        <f>IFERROR(__xludf.DUMMYFUNCTION("""COMPUTED_VALUE"""),"городская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898" s="6" t="str">
        <f>IFERROR(__xludf.DUMMYFUNCTION("""COMPUTED_VALUE"""),"Все")</f>
        <v>Все</v>
      </c>
      <c r="S898" s="6" t="str">
        <f>IFERROR(__xludf.DUMMYFUNCTION("""COMPUTED_VALUE"""),"Нет, не приходилось")</f>
        <v>Нет, не приходилось</v>
      </c>
      <c r="T898" s="6" t="str">
        <f>IFERROR(__xludf.DUMMYFUNCTION("""COMPUTED_VALUE"""),"Тем что он шахтёрскийгород, со множеством красот и достопримечательностей")</f>
        <v>Тем что он шахтёрскийгород, со множеством красот и достопримечательностей</v>
      </c>
      <c r="U898" s="6" t="str">
        <f>IFERROR(__xludf.DUMMYFUNCTION("""COMPUTED_VALUE"""),"Театры, улица Весенняя")</f>
        <v>Театры, улица Весенняя</v>
      </c>
      <c r="V898" s="6" t="str">
        <f>IFERROR(__xludf.DUMMYFUNCTION("""COMPUTED_VALUE"""),"Облагораживали город, просоавляли поэты и писатели ")</f>
        <v>Облагораживали город, просоавляли поэты и писатели </v>
      </c>
      <c r="W898" s="6" t="str">
        <f>IFERROR(__xludf.DUMMYFUNCTION("""COMPUTED_VALUE"""),"Добрые, отзывчивые люди")</f>
        <v>Добрые, отзывчивые люди</v>
      </c>
      <c r="X898" s="6" t="str">
        <f>IFERROR(__xludf.DUMMYFUNCTION("""COMPUTED_VALUE"""),"Центр и ул Весенняя с театра и и фонтаном")</f>
        <v>Центр и ул Весенняя с театра и и фонтаном</v>
      </c>
      <c r="Y898" s="6" t="str">
        <f>IFERROR(__xludf.DUMMYFUNCTION("""COMPUTED_VALUE"""),"Событий много и все они значимые")</f>
        <v>Событий много и все они значимые</v>
      </c>
      <c r="Z898" s="6" t="str">
        <f>IFERROR(__xludf.DUMMYFUNCTION("""COMPUTED_VALUE"""),"Праздники проводимые на Бульваре строителей0")</f>
        <v>Праздники проводимые на Бульваре строителей0</v>
      </c>
      <c r="AA898" s="6" t="str">
        <f>IFERROR(__xludf.DUMMYFUNCTION("""COMPUTED_VALUE"""),"23 января, когда отменили транспорт и невозможно было доехать домой, только такси, а был мороз!!!!!! ")</f>
        <v>23 января, когда отменили транспорт и невозможно было доехать домой, только такси, а был мороз!!!!!! </v>
      </c>
      <c r="AB898" s="6" t="str">
        <f>IFERROR(__xludf.DUMMYFUNCTION("""COMPUTED_VALUE"""),"Достаточно в городе их")</f>
        <v>Достаточно в городе их</v>
      </c>
      <c r="AC898" s="6" t="str">
        <f>IFERROR(__xludf.DUMMYFUNCTION("""COMPUTED_VALUE"""),"Достаточно всего")</f>
        <v>Достаточно всего</v>
      </c>
      <c r="AD898"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898" s="6" t="str">
        <f>IFERROR(__xludf.DUMMYFUNCTION("""COMPUTED_VALUE"""),"Женский")</f>
        <v>Женский</v>
      </c>
      <c r="AF898" s="6" t="str">
        <f>IFERROR(__xludf.DUMMYFUNCTION("""COMPUTED_VALUE"""),"старше 55")</f>
        <v>старше 55</v>
      </c>
      <c r="AG898" s="6"/>
      <c r="AH898" s="6"/>
      <c r="AI898" s="6"/>
      <c r="AJ898" s="6"/>
      <c r="AK898" s="6"/>
      <c r="AL898" s="6"/>
      <c r="AM898" s="6"/>
    </row>
    <row r="899">
      <c r="A899" s="6">
        <v>898.0</v>
      </c>
      <c r="B899" s="6" t="str">
        <f>IFERROR(__xludf.DUMMYFUNCTION("""COMPUTED_VALUE"""),"Кредитный специалист ")</f>
        <v>Кредитный специалист </v>
      </c>
      <c r="C899" s="6" t="str">
        <f>IFERROR(__xludf.DUMMYFUNCTION("""COMPUTED_VALUE"""),"Фотография ")</f>
        <v>Фотография </v>
      </c>
      <c r="D899" s="6" t="str">
        <f>IFERROR(__xludf.DUMMYFUNCTION("""COMPUTED_VALUE"""),"Ягуновский")</f>
        <v>Ягуновский</v>
      </c>
      <c r="E899" s="6" t="str">
        <f>IFERROR(__xludf.DUMMYFUNCTION("""COMPUTED_VALUE"""),"Нету ")</f>
        <v>Нету </v>
      </c>
      <c r="F899" s="6" t="str">
        <f>IFERROR(__xludf.DUMMYFUNCTION("""COMPUTED_VALUE"""),"Живу здесь с рождения")</f>
        <v>Живу здесь с рождения</v>
      </c>
      <c r="G899" s="6" t="str">
        <f>IFERROR(__xludf.DUMMYFUNCTION("""COMPUTED_VALUE"""),"Набережная")</f>
        <v>Набережная</v>
      </c>
      <c r="H899" s="6" t="str">
        <f>IFERROR(__xludf.DUMMYFUNCTION("""COMPUTED_VALUE"""),"Мой город ")</f>
        <v>Мой город </v>
      </c>
      <c r="I899" s="6" t="str">
        <f>IFERROR(__xludf.DUMMYFUNCTION("""COMPUTED_VALUE"""),"Букин")</f>
        <v>Букин</v>
      </c>
      <c r="J899" s="6" t="str">
        <f>IFERROR(__xludf.DUMMYFUNCTION("""COMPUTED_VALUE"""),"Букин, артист ")</f>
        <v>Букин, артист </v>
      </c>
      <c r="K899" s="6" t="str">
        <f>IFERROR(__xludf.DUMMYFUNCTION("""COMPUTED_VALUE"""),"Набережная ")</f>
        <v>Набережная </v>
      </c>
      <c r="L899" s="6" t="str">
        <f>IFERROR(__xludf.DUMMYFUNCTION("""COMPUTED_VALUE"""),"Не знаю ")</f>
        <v>Не знаю </v>
      </c>
      <c r="M899" s="6" t="str">
        <f>IFERROR(__xludf.DUMMYFUNCTION("""COMPUTED_VALUE"""),"Нет")</f>
        <v>Нет</v>
      </c>
      <c r="N899" s="6" t="str">
        <f>IFERROR(__xludf.DUMMYFUNCTION("""COMPUTED_VALUE"""),"Чистота")</f>
        <v>Чистота</v>
      </c>
      <c r="O899" s="6" t="str">
        <f>IFERROR(__xludf.DUMMYFUNCTION("""COMPUTED_VALUE"""),"Ничего ")</f>
        <v>Ничего </v>
      </c>
      <c r="P899" s="6" t="str">
        <f>IFERROR(__xludf.DUMMYFUNCTION("""COMPUTED_VALUE"""),"Интернет ")</f>
        <v>Интернет </v>
      </c>
      <c r="Q89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899" s="6" t="str">
        <f>IFERROR(__xludf.DUMMYFUNCTION("""COMPUTED_VALUE"""),"9 мая, Новый год ")</f>
        <v>9 мая, Новый год </v>
      </c>
      <c r="S899" s="6" t="str">
        <f>IFERROR(__xludf.DUMMYFUNCTION("""COMPUTED_VALUE"""),"Нет, не приходилось")</f>
        <v>Нет, не приходилось</v>
      </c>
      <c r="T899" s="6" t="str">
        <f>IFERROR(__xludf.DUMMYFUNCTION("""COMPUTED_VALUE"""),"Не знаю ")</f>
        <v>Не знаю </v>
      </c>
      <c r="U899" s="6" t="str">
        <f>IFERROR(__xludf.DUMMYFUNCTION("""COMPUTED_VALUE"""),"Не знаю ")</f>
        <v>Не знаю </v>
      </c>
      <c r="V899" s="6" t="str">
        <f>IFERROR(__xludf.DUMMYFUNCTION("""COMPUTED_VALUE"""),"Посадили дерево ")</f>
        <v>Посадили дерево </v>
      </c>
      <c r="W899" s="6" t="str">
        <f>IFERROR(__xludf.DUMMYFUNCTION("""COMPUTED_VALUE"""),"Так себе ")</f>
        <v>Так себе </v>
      </c>
      <c r="X899" s="6" t="str">
        <f>IFERROR(__xludf.DUMMYFUNCTION("""COMPUTED_VALUE"""),"Центр города ")</f>
        <v>Центр города </v>
      </c>
      <c r="Y899" s="6" t="str">
        <f>IFERROR(__xludf.DUMMYFUNCTION("""COMPUTED_VALUE"""),"Никакое ")</f>
        <v>Никакое </v>
      </c>
      <c r="Z899" s="6" t="str">
        <f>IFERROR(__xludf.DUMMYFUNCTION("""COMPUTED_VALUE"""),"65 лет ")</f>
        <v>65 лет </v>
      </c>
      <c r="AA899" s="6" t="str">
        <f>IFERROR(__xludf.DUMMYFUNCTION("""COMPUTED_VALUE"""),"Не знаю ")</f>
        <v>Не знаю </v>
      </c>
      <c r="AB899" s="6" t="str">
        <f>IFERROR(__xludf.DUMMYFUNCTION("""COMPUTED_VALUE"""),"Не знаю ")</f>
        <v>Не знаю </v>
      </c>
      <c r="AC899" s="6" t="str">
        <f>IFERROR(__xludf.DUMMYFUNCTION("""COMPUTED_VALUE"""),"Не знаю ")</f>
        <v>Не знаю </v>
      </c>
      <c r="AD89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899" s="6" t="str">
        <f>IFERROR(__xludf.DUMMYFUNCTION("""COMPUTED_VALUE"""),"Женский")</f>
        <v>Женский</v>
      </c>
      <c r="AF899" s="6" t="str">
        <f>IFERROR(__xludf.DUMMYFUNCTION("""COMPUTED_VALUE"""),"18-29")</f>
        <v>18-29</v>
      </c>
      <c r="AG899" s="6"/>
      <c r="AH899" s="6"/>
      <c r="AI899" s="6"/>
      <c r="AJ899" s="6"/>
      <c r="AK899" s="6"/>
      <c r="AL899" s="6"/>
      <c r="AM899" s="6"/>
    </row>
    <row r="900">
      <c r="A900" s="6">
        <v>899.0</v>
      </c>
      <c r="B900" s="6" t="str">
        <f>IFERROR(__xludf.DUMMYFUNCTION("""COMPUTED_VALUE"""),"Культура")</f>
        <v>Культура</v>
      </c>
      <c r="C900" s="6" t="str">
        <f>IFERROR(__xludf.DUMMYFUNCTION("""COMPUTED_VALUE"""),"Вязания ")</f>
        <v>Вязания </v>
      </c>
      <c r="D900" s="6" t="str">
        <f>IFERROR(__xludf.DUMMYFUNCTION("""COMPUTED_VALUE"""),"Кировский")</f>
        <v>Кировский</v>
      </c>
      <c r="E900" s="6" t="str">
        <f>IFERROR(__xludf.DUMMYFUNCTION("""COMPUTED_VALUE"""),"Берёзовая роща")</f>
        <v>Берёзовая роща</v>
      </c>
      <c r="F900" s="6" t="str">
        <f>IFERROR(__xludf.DUMMYFUNCTION("""COMPUTED_VALUE"""),"Живу здесь с рождения")</f>
        <v>Живу здесь с рождения</v>
      </c>
      <c r="G900" s="6" t="str">
        <f>IFERROR(__xludf.DUMMYFUNCTION("""COMPUTED_VALUE"""),"На набережную ")</f>
        <v>На набережную </v>
      </c>
      <c r="H900" s="6" t="str">
        <f>IFERROR(__xludf.DUMMYFUNCTION("""COMPUTED_VALUE"""),"Хороший, красивый культурный, знаменитый, чудный")</f>
        <v>Хороший, красивый культурный, знаменитый, чудный</v>
      </c>
      <c r="I900" s="6" t="str">
        <f>IFERROR(__xludf.DUMMYFUNCTION("""COMPUTED_VALUE"""),"Леонов")</f>
        <v>Леонов</v>
      </c>
      <c r="J900" s="6" t="str">
        <f>IFERROR(__xludf.DUMMYFUNCTION("""COMPUTED_VALUE"""),"Врачи ")</f>
        <v>Врачи </v>
      </c>
      <c r="K900" s="6" t="str">
        <f>IFERROR(__xludf.DUMMYFUNCTION("""COMPUTED_VALUE"""),"Шахтёра ")</f>
        <v>Шахтёра </v>
      </c>
      <c r="L900" s="6" t="str">
        <f>IFERROR(__xludf.DUMMYFUNCTION("""COMPUTED_VALUE"""),"Про шахтеров ")</f>
        <v>Про шахтеров </v>
      </c>
      <c r="M900" s="6" t="str">
        <f>IFERROR(__xludf.DUMMYFUNCTION("""COMPUTED_VALUE"""),"По человечески")</f>
        <v>По человечески</v>
      </c>
      <c r="N900" s="6" t="str">
        <f>IFERROR(__xludf.DUMMYFUNCTION("""COMPUTED_VALUE"""),"Автобусы,  дороги, театры, и тд")</f>
        <v>Автобусы,  дороги, театры, и тд</v>
      </c>
      <c r="O900" s="6" t="str">
        <f>IFERROR(__xludf.DUMMYFUNCTION("""COMPUTED_VALUE"""),"Цены на бензин")</f>
        <v>Цены на бензин</v>
      </c>
      <c r="P900" s="6" t="str">
        <f>IFERROR(__xludf.DUMMYFUNCTION("""COMPUTED_VALUE"""),"Телевидение ")</f>
        <v>Телевидение </v>
      </c>
      <c r="Q900" s="6" t="str">
        <f>IFERROR(__xludf.DUMMYFUNCTION("""COMPUTED_VALUE"""),"городская афиша (кино/театр/концерты), культурные новинки (что почитать/что послушать), интервью с местными политиками")</f>
        <v>городская афиша (кино/театр/концерты), культурные новинки (что почитать/что послушать), интервью с местными политиками</v>
      </c>
      <c r="R900" s="6" t="str">
        <f>IFERROR(__xludf.DUMMYFUNCTION("""COMPUTED_VALUE"""),"Масленица ")</f>
        <v>Масленица </v>
      </c>
      <c r="S900" s="6" t="str">
        <f>IFERROR(__xludf.DUMMYFUNCTION("""COMPUTED_VALUE"""),"Нет, не приходилось")</f>
        <v>Нет, не приходилось</v>
      </c>
      <c r="T900" s="6" t="str">
        <f>IFERROR(__xludf.DUMMYFUNCTION("""COMPUTED_VALUE"""),"Драм театр")</f>
        <v>Драм театр</v>
      </c>
      <c r="U900" s="6" t="str">
        <f>IFERROR(__xludf.DUMMYFUNCTION("""COMPUTED_VALUE"""),"Фантан")</f>
        <v>Фантан</v>
      </c>
      <c r="V900" s="6" t="str">
        <f>IFERROR(__xludf.DUMMYFUNCTION("""COMPUTED_VALUE"""),"Все")</f>
        <v>Все</v>
      </c>
      <c r="W900" s="6" t="str">
        <f>IFERROR(__xludf.DUMMYFUNCTION("""COMPUTED_VALUE"""),"Хорошие")</f>
        <v>Хорошие</v>
      </c>
      <c r="X900" s="6" t="str">
        <f>IFERROR(__xludf.DUMMYFUNCTION("""COMPUTED_VALUE"""),"Центральный ")</f>
        <v>Центральный </v>
      </c>
      <c r="Y900" s="6" t="str">
        <f>IFERROR(__xludf.DUMMYFUNCTION("""COMPUTED_VALUE"""),"Много ")</f>
        <v>Много </v>
      </c>
      <c r="Z900" s="6" t="str">
        <f>IFERROR(__xludf.DUMMYFUNCTION("""COMPUTED_VALUE"""),"Подготовка к 300 летит Кузбасс ")</f>
        <v>Подготовка к 300 летит Кузбасс </v>
      </c>
      <c r="AA900" s="6" t="str">
        <f>IFERROR(__xludf.DUMMYFUNCTION("""COMPUTED_VALUE"""),"Чёрное небо")</f>
        <v>Чёрное небо</v>
      </c>
      <c r="AB900" s="6" t="str">
        <f>IFERROR(__xludf.DUMMYFUNCTION("""COMPUTED_VALUE"""),"Все хватает")</f>
        <v>Все хватает</v>
      </c>
      <c r="AC900" s="6" t="str">
        <f>IFERROR(__xludf.DUMMYFUNCTION("""COMPUTED_VALUE"""),"Уже есть")</f>
        <v>Уже есть</v>
      </c>
      <c r="AD900"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900" s="6" t="str">
        <f>IFERROR(__xludf.DUMMYFUNCTION("""COMPUTED_VALUE"""),"Женский")</f>
        <v>Женский</v>
      </c>
      <c r="AF900" s="6" t="str">
        <f>IFERROR(__xludf.DUMMYFUNCTION("""COMPUTED_VALUE"""),"30-44")</f>
        <v>30-44</v>
      </c>
      <c r="AG900" s="6"/>
      <c r="AH900" s="6"/>
      <c r="AI900" s="6"/>
      <c r="AJ900" s="6"/>
      <c r="AK900" s="6"/>
      <c r="AL900" s="6"/>
      <c r="AM900" s="6"/>
    </row>
    <row r="901">
      <c r="A901" s="6">
        <v>900.0</v>
      </c>
      <c r="B901" s="6" t="str">
        <f>IFERROR(__xludf.DUMMYFUNCTION("""COMPUTED_VALUE"""),"Преподаватель")</f>
        <v>Преподаватель</v>
      </c>
      <c r="C901" s="6" t="str">
        <f>IFERROR(__xludf.DUMMYFUNCTION("""COMPUTED_VALUE"""),"Петь")</f>
        <v>Петь</v>
      </c>
      <c r="D901" s="6" t="str">
        <f>IFERROR(__xludf.DUMMYFUNCTION("""COMPUTED_VALUE"""),"Кировский ")</f>
        <v>Кировский </v>
      </c>
      <c r="E901" s="6" t="str">
        <f>IFERROR(__xludf.DUMMYFUNCTION("""COMPUTED_VALUE"""),"Дк им. 50 летия Октября, набережная")</f>
        <v>Дк им. 50 летия Октября, набережная</v>
      </c>
      <c r="F901" s="6" t="str">
        <f>IFERROR(__xludf.DUMMYFUNCTION("""COMPUTED_VALUE"""),"Живу здесь с рождения")</f>
        <v>Живу здесь с рождения</v>
      </c>
      <c r="G901" s="6" t="str">
        <f>IFERROR(__xludf.DUMMYFUNCTION("""COMPUTED_VALUE"""),"Гуляем по пр. Московский, комсомольский парк. ")</f>
        <v>Гуляем по пр. Московский, комсомольский парк. </v>
      </c>
      <c r="H901" s="6" t="str">
        <f>IFERROR(__xludf.DUMMYFUNCTION("""COMPUTED_VALUE"""),"Нет ответа")</f>
        <v>Нет ответа</v>
      </c>
      <c r="I901" s="6" t="str">
        <f>IFERROR(__xludf.DUMMYFUNCTION("""COMPUTED_VALUE"""),"Игорь Киселев поэт, Мартемьянов")</f>
        <v>Игорь Киселев поэт, Мартемьянов</v>
      </c>
      <c r="J901" s="6" t="str">
        <f>IFERROR(__xludf.DUMMYFUNCTION("""COMPUTED_VALUE"""),"Не знаю")</f>
        <v>Не знаю</v>
      </c>
      <c r="K901" s="6" t="str">
        <f>IFERROR(__xludf.DUMMYFUNCTION("""COMPUTED_VALUE"""),"Парк Жукова, площадь Пушкина, ул. ВЕСЕННЯЯ")</f>
        <v>Парк Жукова, площадь Пушкина, ул. ВЕСЕННЯЯ</v>
      </c>
      <c r="L901" s="6" t="str">
        <f>IFERROR(__xludf.DUMMYFUNCTION("""COMPUTED_VALUE"""),"Нет ")</f>
        <v>Нет </v>
      </c>
      <c r="M901" s="6" t="str">
        <f>IFERROR(__xludf.DUMMYFUNCTION("""COMPUTED_VALUE"""),"Нет")</f>
        <v>Нет</v>
      </c>
      <c r="N901" s="6" t="str">
        <f>IFERROR(__xludf.DUMMYFUNCTION("""COMPUTED_VALUE"""),"Транспорт")</f>
        <v>Транспорт</v>
      </c>
      <c r="O901" s="6" t="str">
        <f>IFERROR(__xludf.DUMMYFUNCTION("""COMPUTED_VALUE"""),"Сделать дороги после зимы")</f>
        <v>Сделать дороги после зимы</v>
      </c>
      <c r="P901" s="6" t="str">
        <f>IFERROR(__xludf.DUMMYFUNCTION("""COMPUTED_VALUE"""),"По телевизору")</f>
        <v>По телевизору</v>
      </c>
      <c r="Q901"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901" s="6" t="str">
        <f>IFERROR(__xludf.DUMMYFUNCTION("""COMPUTED_VALUE"""),"День города")</f>
        <v>День города</v>
      </c>
      <c r="S901" s="6" t="str">
        <f>IFERROR(__xludf.DUMMYFUNCTION("""COMPUTED_VALUE"""),"Нет, не приходилось")</f>
        <v>Нет, не приходилось</v>
      </c>
      <c r="T901" s="6" t="str">
        <f>IFERROR(__xludf.DUMMYFUNCTION("""COMPUTED_VALUE"""),"Угольной промышленностью")</f>
        <v>Угольной промышленностью</v>
      </c>
      <c r="U901" s="6" t="str">
        <f>IFERROR(__xludf.DUMMYFUNCTION("""COMPUTED_VALUE"""),"Площадь Советов")</f>
        <v>Площадь Советов</v>
      </c>
      <c r="V901" s="6" t="str">
        <f>IFERROR(__xludf.DUMMYFUNCTION("""COMPUTED_VALUE"""),"Не знаю")</f>
        <v>Не знаю</v>
      </c>
      <c r="W901" s="6" t="str">
        <f>IFERROR(__xludf.DUMMYFUNCTION("""COMPUTED_VALUE"""),"Обычные")</f>
        <v>Обычные</v>
      </c>
      <c r="X901" s="6" t="str">
        <f>IFERROR(__xludf.DUMMYFUNCTION("""COMPUTED_VALUE"""),"Никакой")</f>
        <v>Никакой</v>
      </c>
      <c r="Y901" s="6" t="str">
        <f>IFERROR(__xludf.DUMMYFUNCTION("""COMPUTED_VALUE"""),"Не знаю ")</f>
        <v>Не знаю </v>
      </c>
      <c r="Z901" s="6" t="str">
        <f>IFERROR(__xludf.DUMMYFUNCTION("""COMPUTED_VALUE"""),"Ничего ")</f>
        <v>Ничего </v>
      </c>
      <c r="AA901" s="6" t="str">
        <f>IFERROR(__xludf.DUMMYFUNCTION("""COMPUTED_VALUE"""),"Никаких ")</f>
        <v>Никаких </v>
      </c>
      <c r="AB901" s="6" t="str">
        <f>IFERROR(__xludf.DUMMYFUNCTION("""COMPUTED_VALUE"""),"Никаких")</f>
        <v>Никаких</v>
      </c>
      <c r="AC901" s="6" t="str">
        <f>IFERROR(__xludf.DUMMYFUNCTION("""COMPUTED_VALUE"""),"Затрудняюсь")</f>
        <v>Затрудняюсь</v>
      </c>
      <c r="AD90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901" s="6" t="str">
        <f>IFERROR(__xludf.DUMMYFUNCTION("""COMPUTED_VALUE"""),"Женский")</f>
        <v>Женский</v>
      </c>
      <c r="AF901" s="6" t="str">
        <f>IFERROR(__xludf.DUMMYFUNCTION("""COMPUTED_VALUE"""),"45-55")</f>
        <v>45-55</v>
      </c>
      <c r="AG901" s="6"/>
      <c r="AH901" s="6"/>
      <c r="AI901" s="6"/>
      <c r="AJ901" s="6"/>
      <c r="AK901" s="6"/>
      <c r="AL901" s="6"/>
      <c r="AM901" s="6"/>
    </row>
    <row r="902">
      <c r="A902" s="6">
        <v>901.0</v>
      </c>
      <c r="B902" s="6" t="str">
        <f>IFERROR(__xludf.DUMMYFUNCTION("""COMPUTED_VALUE"""),"Преподаватель живописи")</f>
        <v>Преподаватель живописи</v>
      </c>
      <c r="C902" s="6" t="str">
        <f>IFERROR(__xludf.DUMMYFUNCTION("""COMPUTED_VALUE"""),"Собака")</f>
        <v>Собака</v>
      </c>
      <c r="D902" s="6" t="str">
        <f>IFERROR(__xludf.DUMMYFUNCTION("""COMPUTED_VALUE"""),"Кировский")</f>
        <v>Кировский</v>
      </c>
      <c r="E902" s="6" t="str">
        <f>IFERROR(__xludf.DUMMYFUNCTION("""COMPUTED_VALUE"""),"Набережная, березовая роща")</f>
        <v>Набережная, березовая роща</v>
      </c>
      <c r="F902" s="6" t="str">
        <f>IFERROR(__xludf.DUMMYFUNCTION("""COMPUTED_VALUE"""),"Живу здесь с рождения")</f>
        <v>Живу здесь с рождения</v>
      </c>
      <c r="G902" s="6" t="str">
        <f>IFERROR(__xludf.DUMMYFUNCTION("""COMPUTED_VALUE"""),"Театры, музеи, прогулки по паркам и аллеям города")</f>
        <v>Театры, музеи, прогулки по паркам и аллеям города</v>
      </c>
      <c r="H902" s="6" t="str">
        <f>IFERROR(__xludf.DUMMYFUNCTION("""COMPUTED_VALUE"""),"Завод, Красная горка, река Томь, Томская писаница, Волков")</f>
        <v>Завод, Красная горка, река Томь, Томская писаница, Волков</v>
      </c>
      <c r="I902" s="6" t="str">
        <f>IFERROR(__xludf.DUMMYFUNCTION("""COMPUTED_VALUE"""),"Волков")</f>
        <v>Волков</v>
      </c>
      <c r="J902" s="6" t="str">
        <f>IFERROR(__xludf.DUMMYFUNCTION("""COMPUTED_VALUE"""),"Тулеев")</f>
        <v>Тулеев</v>
      </c>
      <c r="K902" s="6" t="str">
        <f>IFERROR(__xludf.DUMMYFUNCTION("""COMPUTED_VALUE"""),"Лесная поляна, Красная горка, Детская железная дорога, Оперетта, Томская писаница, Сосновый бор, Кедровый бор - озеро")</f>
        <v>Лесная поляна, Красная горка, Детская железная дорога, Оперетта, Томская писаница, Сосновый бор, Кедровый бор - озеро</v>
      </c>
      <c r="L902" s="6" t="str">
        <f>IFERROR(__xludf.DUMMYFUNCTION("""COMPUTED_VALUE"""),"Что за город: и Калача купить не на что")</f>
        <v>Что за город: и Калача купить не на что</v>
      </c>
      <c r="M902" s="6" t="str">
        <f>IFERROR(__xludf.DUMMYFUNCTION("""COMPUTED_VALUE"""),"Не знаю")</f>
        <v>Не знаю</v>
      </c>
      <c r="N902" s="6" t="str">
        <f>IFERROR(__xludf.DUMMYFUNCTION("""COMPUTED_VALUE"""),"Красота города, наличие мест для отдыха, освещенность улиц, чистота, состояние дорог")</f>
        <v>Красота города, наличие мест для отдыха, освещенность улиц, чистота, состояние дорог</v>
      </c>
      <c r="O902" s="6" t="str">
        <f>IFERROR(__xludf.DUMMYFUNCTION("""COMPUTED_VALUE"""),"Работа над экологией в городе")</f>
        <v>Работа над экологией в городе</v>
      </c>
      <c r="P902" s="6" t="str">
        <f>IFERROR(__xludf.DUMMYFUNCTION("""COMPUTED_VALUE"""),"ВК")</f>
        <v>ВК</v>
      </c>
      <c r="Q90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v>
      </c>
      <c r="R902" s="6" t="str">
        <f>IFERROR(__xludf.DUMMYFUNCTION("""COMPUTED_VALUE"""),"Масленица, день города, день победы, новый год")</f>
        <v>Масленица, день города, день победы, новый год</v>
      </c>
      <c r="S902" s="6" t="str">
        <f>IFERROR(__xludf.DUMMYFUNCTION("""COMPUTED_VALUE"""),"Через социальные сети (Какие? Укажите в графе другое), Онлайн мастер-класс по живописи")</f>
        <v>Через социальные сети (Какие? Укажите в графе другое), Онлайн мастер-класс по живописи</v>
      </c>
      <c r="T902" s="6" t="str">
        <f>IFERROR(__xludf.DUMMYFUNCTION("""COMPUTED_VALUE"""),"Уголь")</f>
        <v>Уголь</v>
      </c>
      <c r="U902" s="6" t="str">
        <f>IFERROR(__xludf.DUMMYFUNCTION("""COMPUTED_VALUE"""),"Музей-заповедник Красная Горка, городская набережная реки Томь")</f>
        <v>Музей-заповедник Красная Горка, городская набережная реки Томь</v>
      </c>
      <c r="V902" s="6" t="str">
        <f>IFERROR(__xludf.DUMMYFUNCTION("""COMPUTED_VALUE"""),"Возможность креативно мыслить, тем самым создавая новые объекты в городе")</f>
        <v>Возможность креативно мыслить, тем самым создавая новые объекты в городе</v>
      </c>
      <c r="W902" s="6" t="str">
        <f>IFERROR(__xludf.DUMMYFUNCTION("""COMPUTED_VALUE"""),"Мирные, простые, замотанные, верящие в чудо")</f>
        <v>Мирные, простые, замотанные, верящие в чудо</v>
      </c>
      <c r="X902" s="6" t="str">
        <f>IFERROR(__xludf.DUMMYFUNCTION("""COMPUTED_VALUE"""),"Кедровый бор - озеро - Томская писаница")</f>
        <v>Кедровый бор - озеро - Томская писаница</v>
      </c>
      <c r="Y902" s="6" t="str">
        <f>IFERROR(__xludf.DUMMYFUNCTION("""COMPUTED_VALUE"""),"Находка угля")</f>
        <v>Находка угля</v>
      </c>
      <c r="Z902" s="6" t="str">
        <f>IFERROR(__xludf.DUMMYFUNCTION("""COMPUTED_VALUE"""),"Открытие театров после пандемии")</f>
        <v>Открытие театров после пандемии</v>
      </c>
      <c r="AA902" s="6" t="str">
        <f>IFERROR(__xludf.DUMMYFUNCTION("""COMPUTED_VALUE"""),"Пожар в Зимней вишне")</f>
        <v>Пожар в Зимней вишне</v>
      </c>
      <c r="AB902" s="6" t="str">
        <f>IFERROR(__xludf.DUMMYFUNCTION("""COMPUTED_VALUE"""),"Творческих")</f>
        <v>Творческих</v>
      </c>
      <c r="AC902" s="6" t="str">
        <f>IFERROR(__xludf.DUMMYFUNCTION("""COMPUTED_VALUE"""),"Передать старые заводы и помещения под креативные центры, новые общественные пространства, сортировка мусора")</f>
        <v>Передать старые заводы и помещения под креативные центры, новые общественные пространства, сортировка мусора</v>
      </c>
      <c r="AD902"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902" s="6" t="str">
        <f>IFERROR(__xludf.DUMMYFUNCTION("""COMPUTED_VALUE"""),"Женский")</f>
        <v>Женский</v>
      </c>
      <c r="AF902" s="6" t="str">
        <f>IFERROR(__xludf.DUMMYFUNCTION("""COMPUTED_VALUE"""),"30-44")</f>
        <v>30-44</v>
      </c>
      <c r="AG902" s="6"/>
      <c r="AH902" s="6"/>
      <c r="AI902" s="6"/>
      <c r="AJ902" s="6"/>
      <c r="AK902" s="6"/>
      <c r="AL902" s="6"/>
      <c r="AM902" s="6"/>
    </row>
    <row r="903">
      <c r="A903" s="6">
        <v>902.0</v>
      </c>
      <c r="B903" s="6" t="str">
        <f>IFERROR(__xludf.DUMMYFUNCTION("""COMPUTED_VALUE"""),"Кадровая работа")</f>
        <v>Кадровая работа</v>
      </c>
      <c r="C903" s="6" t="str">
        <f>IFERROR(__xludf.DUMMYFUNCTION("""COMPUTED_VALUE"""),"Семья")</f>
        <v>Семья</v>
      </c>
      <c r="D903" s="6" t="str">
        <f>IFERROR(__xludf.DUMMYFUNCTION("""COMPUTED_VALUE"""),"Кировский")</f>
        <v>Кировский</v>
      </c>
      <c r="E903" s="6" t="str">
        <f>IFERROR(__xludf.DUMMYFUNCTION("""COMPUTED_VALUE"""),"Набережная")</f>
        <v>Набережная</v>
      </c>
      <c r="F903" s="6" t="str">
        <f>IFERROR(__xludf.DUMMYFUNCTION("""COMPUTED_VALUE"""),"Живу здесь с рождения")</f>
        <v>Живу здесь с рождения</v>
      </c>
      <c r="G903" s="6" t="str">
        <f>IFERROR(__xludf.DUMMYFUNCTION("""COMPUTED_VALUE"""),"Набережная, горсад")</f>
        <v>Набережная, горсад</v>
      </c>
      <c r="H903" s="6" t="str">
        <f>IFERROR(__xludf.DUMMYFUNCTION("""COMPUTED_VALUE"""),"Шахты, заводы, деревья, церкви, культура")</f>
        <v>Шахты, заводы, деревья, церкви, культура</v>
      </c>
      <c r="I903" s="6" t="str">
        <f>IFERROR(__xludf.DUMMYFUNCTION("""COMPUTED_VALUE"""),"Леонов, Волков, Мартемьянов")</f>
        <v>Леонов, Волков, Мартемьянов</v>
      </c>
      <c r="J903" s="6" t="str">
        <f>IFERROR(__xludf.DUMMYFUNCTION("""COMPUTED_VALUE"""),"Малышева")</f>
        <v>Малышева</v>
      </c>
      <c r="K903" s="6" t="str">
        <f>IFERROR(__xludf.DUMMYFUNCTION("""COMPUTED_VALUE"""),"Памятник Волкову, красная горка")</f>
        <v>Памятник Волкову, красная горка</v>
      </c>
      <c r="L903" s="6" t="str">
        <f>IFERROR(__xludf.DUMMYFUNCTION("""COMPUTED_VALUE"""),"Не знаю")</f>
        <v>Не знаю</v>
      </c>
      <c r="M903" s="6" t="str">
        <f>IFERROR(__xludf.DUMMYFUNCTION("""COMPUTED_VALUE"""),"Нет")</f>
        <v>Нет</v>
      </c>
      <c r="N903" s="6" t="str">
        <f>IFERROR(__xludf.DUMMYFUNCTION("""COMPUTED_VALUE"""),"Уютность, доступность, красота, много деревьев")</f>
        <v>Уютность, доступность, красота, много деревьев</v>
      </c>
      <c r="O903" s="6" t="str">
        <f>IFERROR(__xludf.DUMMYFUNCTION("""COMPUTED_VALUE"""),"Развивать все районы,а не только левый берег")</f>
        <v>Развивать все районы,а не только левый берег</v>
      </c>
      <c r="P903" s="6" t="str">
        <f>IFERROR(__xludf.DUMMYFUNCTION("""COMPUTED_VALUE"""),"ВК")</f>
        <v>ВК</v>
      </c>
      <c r="Q903" s="6" t="str">
        <f>IFERROR(__xludf.DUMMYFUNCTION("""COMPUTED_VALUE"""),"куда пойти в свободное время, где вкусно поесть/открытие новых кафе/ресторанов")</f>
        <v>куда пойти в свободное время, где вкусно поесть/открытие новых кафе/ресторанов</v>
      </c>
      <c r="R903" s="6" t="str">
        <f>IFERROR(__xludf.DUMMYFUNCTION("""COMPUTED_VALUE"""),"9 мая и 12 июня")</f>
        <v>9 мая и 12 июня</v>
      </c>
      <c r="S903" s="6" t="str">
        <f>IFERROR(__xludf.DUMMYFUNCTION("""COMPUTED_VALUE"""),"Нет, не приходилось")</f>
        <v>Нет, не приходилось</v>
      </c>
      <c r="T903" s="6" t="str">
        <f>IFERROR(__xludf.DUMMYFUNCTION("""COMPUTED_VALUE"""),"Шахтерский край")</f>
        <v>Шахтерский край</v>
      </c>
      <c r="U903" s="6" t="str">
        <f>IFERROR(__xludf.DUMMYFUNCTION("""COMPUTED_VALUE"""),"Набережная и горсад")</f>
        <v>Набережная и горсад</v>
      </c>
      <c r="V903" s="6" t="str">
        <f>IFERROR(__xludf.DUMMYFUNCTION("""COMPUTED_VALUE"""),"Не знаю")</f>
        <v>Не знаю</v>
      </c>
      <c r="W903" s="6" t="str">
        <f>IFERROR(__xludf.DUMMYFUNCTION("""COMPUTED_VALUE"""),"Разные")</f>
        <v>Разные</v>
      </c>
      <c r="X903" s="6" t="str">
        <f>IFERROR(__xludf.DUMMYFUNCTION("""COMPUTED_VALUE"""),"Не знаю")</f>
        <v>Не знаю</v>
      </c>
      <c r="Y903" s="6" t="str">
        <f>IFERROR(__xludf.DUMMYFUNCTION("""COMPUTED_VALUE"""),"Строительство ледового дворца")</f>
        <v>Строительство ледового дворца</v>
      </c>
      <c r="Z903" s="6" t="str">
        <f>IFERROR(__xludf.DUMMYFUNCTION("""COMPUTED_VALUE"""),"Не знаю")</f>
        <v>Не знаю</v>
      </c>
      <c r="AA903" s="6" t="str">
        <f>IFERROR(__xludf.DUMMYFUNCTION("""COMPUTED_VALUE"""),"Нет")</f>
        <v>Нет</v>
      </c>
      <c r="AB903" s="6" t="str">
        <f>IFERROR(__xludf.DUMMYFUNCTION("""COMPUTED_VALUE"""),"Всего хватает")</f>
        <v>Всего хватает</v>
      </c>
      <c r="AC903" s="6" t="str">
        <f>IFERROR(__xludf.DUMMYFUNCTION("""COMPUTED_VALUE"""),"Всего хватает")</f>
        <v>Всего хватает</v>
      </c>
      <c r="AD90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03" s="6" t="str">
        <f>IFERROR(__xludf.DUMMYFUNCTION("""COMPUTED_VALUE"""),"Женский")</f>
        <v>Женский</v>
      </c>
      <c r="AF903" s="6" t="str">
        <f>IFERROR(__xludf.DUMMYFUNCTION("""COMPUTED_VALUE"""),"30-44")</f>
        <v>30-44</v>
      </c>
      <c r="AG903" s="6"/>
      <c r="AH903" s="6"/>
      <c r="AI903" s="6"/>
      <c r="AJ903" s="6"/>
      <c r="AK903" s="6"/>
      <c r="AL903" s="6"/>
      <c r="AM903" s="6"/>
    </row>
    <row r="904">
      <c r="A904" s="6">
        <v>903.0</v>
      </c>
      <c r="B904" s="6" t="str">
        <f>IFERROR(__xludf.DUMMYFUNCTION("""COMPUTED_VALUE"""),"Культура")</f>
        <v>Культура</v>
      </c>
      <c r="C904" s="6" t="str">
        <f>IFERROR(__xludf.DUMMYFUNCTION("""COMPUTED_VALUE"""),"Танцы ")</f>
        <v>Танцы </v>
      </c>
      <c r="D904" s="6" t="str">
        <f>IFERROR(__xludf.DUMMYFUNCTION("""COMPUTED_VALUE"""),"Центральный ")</f>
        <v>Центральный </v>
      </c>
      <c r="E904" s="6" t="str">
        <f>IFERROR(__xludf.DUMMYFUNCTION("""COMPUTED_VALUE"""),"Горсад,парк Ангелов")</f>
        <v>Горсад,парк Ангелов</v>
      </c>
      <c r="F904" s="6" t="str">
        <f>IFERROR(__xludf.DUMMYFUNCTION("""COMPUTED_VALUE"""),"Живу здесь с рождения")</f>
        <v>Живу здесь с рождения</v>
      </c>
      <c r="G904" s="6" t="str">
        <f>IFERROR(__xludf.DUMMYFUNCTION("""COMPUTED_VALUE"""),"На набережную, живем на Притомском и там же гуляем, в парк Ангелов")</f>
        <v>На набережную, живем на Притомском и там же гуляем, в парк Ангелов</v>
      </c>
      <c r="H904" s="6" t="str">
        <f>IFERROR(__xludf.DUMMYFUNCTION("""COMPUTED_VALUE"""),"Молодой, красивый, домашний, чистый, уютный ")</f>
        <v>Молодой, красивый, домашний, чистый, уютный </v>
      </c>
      <c r="I904" s="6" t="str">
        <f>IFERROR(__xludf.DUMMYFUNCTION("""COMPUTED_VALUE"""),"Тулеев")</f>
        <v>Тулеев</v>
      </c>
      <c r="J904" s="6" t="str">
        <f>IFERROR(__xludf.DUMMYFUNCTION("""COMPUTED_VALUE"""),"Середюк ")</f>
        <v>Середюк </v>
      </c>
      <c r="K904" s="6" t="str">
        <f>IFERROR(__xludf.DUMMYFUNCTION("""COMPUTED_VALUE"""),"Парк ангелов, ботанический сад, красная горка, Томская писаница")</f>
        <v>Парк ангелов, ботанический сад, красная горка, Томская писаница</v>
      </c>
      <c r="L904" s="6" t="str">
        <f>IFERROR(__xludf.DUMMYFUNCTION("""COMPUTED_VALUE"""),"Сложно")</f>
        <v>Сложно</v>
      </c>
      <c r="M904" s="6" t="str">
        <f>IFERROR(__xludf.DUMMYFUNCTION("""COMPUTED_VALUE"""),"Нет")</f>
        <v>Нет</v>
      </c>
      <c r="N904" s="6" t="str">
        <f>IFERROR(__xludf.DUMMYFUNCTION("""COMPUTED_VALUE"""),"Чистота, доступное жилье, зарплата соизмеримая с ценами")</f>
        <v>Чистота, доступное жилье, зарплата соизмеримая с ценами</v>
      </c>
      <c r="O904" s="6" t="str">
        <f>IFERROR(__xludf.DUMMYFUNCTION("""COMPUTED_VALUE"""),"Дороги ")</f>
        <v>Дороги </v>
      </c>
      <c r="P904" s="6" t="str">
        <f>IFERROR(__xludf.DUMMYFUNCTION("""COMPUTED_VALUE"""),"С работы ")</f>
        <v>С работы </v>
      </c>
      <c r="Q904" s="6" t="str">
        <f>IFERROR(__xludf.DUMMYFUNCTION("""COMPUTED_VALUE"""),"городская афиша (кино/театр/концерты), результаты местных исследований (рейтинги/аналитика/тенденции)")</f>
        <v>городская афиша (кино/театр/концерты), результаты местных исследований (рейтинги/аналитика/тенденции)</v>
      </c>
      <c r="R904" s="6" t="str">
        <f>IFERROR(__xludf.DUMMYFUNCTION("""COMPUTED_VALUE"""),"День города,день шахтера, День Победы ")</f>
        <v>День города,день шахтера, День Победы </v>
      </c>
      <c r="S904" s="6" t="str">
        <f>IFERROR(__xludf.DUMMYFUNCTION("""COMPUTED_VALUE"""),"Нет, не приходилось")</f>
        <v>Нет, не приходилось</v>
      </c>
      <c r="T904" s="6" t="str">
        <f>IFERROR(__xludf.DUMMYFUNCTION("""COMPUTED_VALUE"""),"Не знаю")</f>
        <v>Не знаю</v>
      </c>
      <c r="U904" s="6" t="str">
        <f>IFERROR(__xludf.DUMMYFUNCTION("""COMPUTED_VALUE"""),"Площадь Советов")</f>
        <v>Площадь Советов</v>
      </c>
      <c r="V904" s="6" t="str">
        <f>IFERROR(__xludf.DUMMYFUNCTION("""COMPUTED_VALUE"""),"Старались делать все для людей ")</f>
        <v>Старались делать все для людей </v>
      </c>
      <c r="W904" s="6" t="str">
        <f>IFERROR(__xludf.DUMMYFUNCTION("""COMPUTED_VALUE"""),"Добрые, работящие, исполнительные ")</f>
        <v>Добрые, работящие, исполнительные </v>
      </c>
      <c r="X904" s="6" t="str">
        <f>IFERROR(__xludf.DUMMYFUNCTION("""COMPUTED_VALUE"""),"Весь центральный район ")</f>
        <v>Весь центральный район </v>
      </c>
      <c r="Y904" s="6" t="str">
        <f>IFERROR(__xludf.DUMMYFUNCTION("""COMPUTED_VALUE"""),"Не знаю")</f>
        <v>Не знаю</v>
      </c>
      <c r="Z904" s="6" t="str">
        <f>IFERROR(__xludf.DUMMYFUNCTION("""COMPUTED_VALUE"""),"Концерт звёзд  на площади советов ")</f>
        <v>Концерт звёзд  на площади советов </v>
      </c>
      <c r="AA904" s="6" t="str">
        <f>IFERROR(__xludf.DUMMYFUNCTION("""COMPUTED_VALUE"""),"Коронавирус ")</f>
        <v>Коронавирус </v>
      </c>
      <c r="AB904" s="6" t="str">
        <f>IFERROR(__xludf.DUMMYFUNCTION("""COMPUTED_VALUE"""),"Все хватает ")</f>
        <v>Все хватает </v>
      </c>
      <c r="AC904" s="6" t="str">
        <f>IFERROR(__xludf.DUMMYFUNCTION("""COMPUTED_VALUE"""),"Почаще концерты приглашённых звёзд ")</f>
        <v>Почаще концерты приглашённых звёзд </v>
      </c>
      <c r="AD904"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904" s="6" t="str">
        <f>IFERROR(__xludf.DUMMYFUNCTION("""COMPUTED_VALUE"""),"Женский")</f>
        <v>Женский</v>
      </c>
      <c r="AF904" s="6" t="str">
        <f>IFERROR(__xludf.DUMMYFUNCTION("""COMPUTED_VALUE"""),"30-44")</f>
        <v>30-44</v>
      </c>
      <c r="AG904" s="6"/>
      <c r="AH904" s="6"/>
      <c r="AI904" s="6"/>
      <c r="AJ904" s="6"/>
      <c r="AK904" s="6"/>
      <c r="AL904" s="6"/>
      <c r="AM904" s="6"/>
    </row>
    <row r="905">
      <c r="A905" s="6">
        <v>904.0</v>
      </c>
      <c r="B905" s="6" t="str">
        <f>IFERROR(__xludf.DUMMYFUNCTION("""COMPUTED_VALUE"""),"студентка")</f>
        <v>студентка</v>
      </c>
      <c r="C905" s="6" t="str">
        <f>IFERROR(__xludf.DUMMYFUNCTION("""COMPUTED_VALUE"""),"фаер-шоу")</f>
        <v>фаер-шоу</v>
      </c>
      <c r="D905" s="6" t="str">
        <f>IFERROR(__xludf.DUMMYFUNCTION("""COMPUTED_VALUE"""),"ФПК")</f>
        <v>ФПК</v>
      </c>
      <c r="E905" s="6" t="str">
        <f>IFERROR(__xludf.DUMMYFUNCTION("""COMPUTED_VALUE"""),"Знаковые???что имеете ввиду")</f>
        <v>Знаковые???что имеете ввиду</v>
      </c>
      <c r="F905" s="6" t="str">
        <f>IFERROR(__xludf.DUMMYFUNCTION("""COMPUTED_VALUE"""),"Живу здесь с рождения")</f>
        <v>Живу здесь с рождения</v>
      </c>
      <c r="G905" s="6" t="str">
        <f>IFERROR(__xludf.DUMMYFUNCTION("""COMPUTED_VALUE"""),"Парки, бор, кафешки разные))")</f>
        <v>Парки, бор, кафешки разные))</v>
      </c>
      <c r="H905" s="6" t="str">
        <f>IFERROR(__xludf.DUMMYFUNCTION("""COMPUTED_VALUE"""),"сложно сказать, особых ассоциаций нет.. безликий и заорганизованный")</f>
        <v>сложно сказать, особых ассоциаций нет.. безликий и заорганизованный</v>
      </c>
      <c r="I905" s="6" t="str">
        <f>IFERROR(__xludf.DUMMYFUNCTION("""COMPUTED_VALUE"""),"Подгорбунский, Волков (то ли связан, то ли...) Волошина, Двужильный, Леонов")</f>
        <v>Подгорбунский, Волков (то ли связан, то ли...) Волошина, Двужильный, Леонов</v>
      </c>
      <c r="J905" s="6" t="str">
        <f>IFERROR(__xludf.DUMMYFUNCTION("""COMPUTED_VALUE"""),"моя мама")</f>
        <v>моя мама</v>
      </c>
      <c r="K905" s="6" t="str">
        <f>IFERROR(__xludf.DUMMYFUNCTION("""COMPUTED_VALUE"""),"Парк Чудес, Комсомольский парк, Красная горка, бор")</f>
        <v>Парк Чудес, Комсомольский парк, Красная горка, бор</v>
      </c>
      <c r="L905" s="6" t="str">
        <f>IFERROR(__xludf.DUMMYFUNCTION("""COMPUTED_VALUE"""),"не знаю")</f>
        <v>не знаю</v>
      </c>
      <c r="M905" s="6" t="str">
        <f>IFERROR(__xludf.DUMMYFUNCTION("""COMPUTED_VALUE"""),"таковых нет")</f>
        <v>таковых нет</v>
      </c>
      <c r="N905" s="6" t="str">
        <f>IFERROR(__xludf.DUMMYFUNCTION("""COMPUTED_VALUE"""),"удобный и быстрый транспорт, чистый воздух, хорошие парковки, ухоженные дворы и скверы, бесснежные тротуары, чтобы ходить не по тропам))")</f>
        <v>удобный и быстрый транспорт, чистый воздух, хорошие парковки, ухоженные дворы и скверы, бесснежные тротуары, чтобы ходить не по тропам))</v>
      </c>
      <c r="O905" s="6" t="str">
        <f>IFERROR(__xludf.DUMMYFUNCTION("""COMPUTED_VALUE"""),"отношение к людям")</f>
        <v>отношение к людям</v>
      </c>
      <c r="P905" s="6" t="str">
        <f>IFERROR(__xludf.DUMMYFUNCTION("""COMPUTED_VALUE"""),"Вконтакте")</f>
        <v>Вконтакте</v>
      </c>
      <c r="Q905" s="6" t="str">
        <f>IFERROR(__xludf.DUMMYFUNCTION("""COMPUTED_VALUE"""),"культурные новинки (что почитать/что послушать), интервью с местными творческими личностями, новости про новые профессии/куда поступать/вакансии")</f>
        <v>культурные новинки (что почитать/что послушать), интервью с местными творческими личностями, новости про новые профессии/куда поступать/вакансии</v>
      </c>
      <c r="R905" s="6" t="str">
        <f>IFERROR(__xludf.DUMMYFUNCTION("""COMPUTED_VALUE"""),"9 МАЯ")</f>
        <v>9 МАЯ</v>
      </c>
      <c r="S905" s="6" t="str">
        <f>IFERROR(__xludf.DUMMYFUNCTION("""COMPUTED_VALUE"""),"Писал и расклеивал объявления/афиши")</f>
        <v>Писал и расклеивал объявления/афиши</v>
      </c>
      <c r="T905" s="6" t="str">
        <f>IFERROR(__xludf.DUMMYFUNCTION("""COMPUTED_VALUE"""),"Известен как столица угольного края. Уникальность скорее со знаком минус - показуха")</f>
        <v>Известен как столица угольного края. Уникальность скорее со знаком минус - показуха</v>
      </c>
      <c r="U905" s="6" t="str">
        <f>IFERROR(__xludf.DUMMYFUNCTION("""COMPUTED_VALUE"""),"Арочная улица")</f>
        <v>Арочная улица</v>
      </c>
      <c r="V905" s="6" t="str">
        <f>IFERROR(__xludf.DUMMYFUNCTION("""COMPUTED_VALUE"""),"создали город")</f>
        <v>создали город</v>
      </c>
      <c r="W905" s="6" t="str">
        <f>IFERROR(__xludf.DUMMYFUNCTION("""COMPUTED_VALUE"""),"чинопочитание зашкаливает")</f>
        <v>чинопочитание зашкаливает</v>
      </c>
      <c r="X905" s="6" t="str">
        <f>IFERROR(__xludf.DUMMYFUNCTION("""COMPUTED_VALUE"""),"такого нет")</f>
        <v>такого нет</v>
      </c>
      <c r="Y905" s="6" t="str">
        <f>IFERROR(__xludf.DUMMYFUNCTION("""COMPUTED_VALUE"""),"скорее трагическое -""Зимняя вишня""")</f>
        <v>скорее трагическое -"Зимняя вишня"</v>
      </c>
      <c r="Z905" s="6" t="str">
        <f>IFERROR(__xludf.DUMMYFUNCTION("""COMPUTED_VALUE"""),"ни одного")</f>
        <v>ни одного</v>
      </c>
      <c r="AA905" s="6" t="str">
        <f>IFERROR(__xludf.DUMMYFUNCTION("""COMPUTED_VALUE"""),"ни одного")</f>
        <v>ни одного</v>
      </c>
      <c r="AB905" s="6" t="str">
        <f>IFERROR(__xludf.DUMMYFUNCTION("""COMPUTED_VALUE""")," сообщества?? разве -это важно???")</f>
        <v> сообщества?? разве -это важно???</v>
      </c>
      <c r="AC905" s="6" t="str">
        <f>IFERROR(__xludf.DUMMYFUNCTION("""COMPUTED_VALUE"""),"Интересно.когда у тебя классная работа")</f>
        <v>Интересно.когда у тебя классная работа</v>
      </c>
      <c r="AD905" s="6" t="str">
        <f>IFERROR(__xludf.DUMMYFUNCTION("""COMPUTED_VALUE"""),"Не готов принимать личное участие (укажите, пожалуйста, причину в поле «Другое»), учусь,работаю и собираюсь поступать в Питерскую ординатуру.  на проекты, непонятного качества и целей времени нет")</f>
        <v>Не готов принимать личное участие (укажите, пожалуйста, причину в поле «Другое»), учусь,работаю и собираюсь поступать в Питерскую ординатуру.  на проекты, непонятного качества и целей времени нет</v>
      </c>
      <c r="AE905" s="6" t="str">
        <f>IFERROR(__xludf.DUMMYFUNCTION("""COMPUTED_VALUE"""),"Женский")</f>
        <v>Женский</v>
      </c>
      <c r="AF905" s="6" t="str">
        <f>IFERROR(__xludf.DUMMYFUNCTION("""COMPUTED_VALUE"""),"18-29")</f>
        <v>18-29</v>
      </c>
      <c r="AG905" s="6"/>
      <c r="AH905" s="6"/>
      <c r="AI905" s="6"/>
      <c r="AJ905" s="6"/>
      <c r="AK905" s="6"/>
      <c r="AL905" s="6"/>
      <c r="AM905" s="6"/>
    </row>
    <row r="906">
      <c r="A906" s="6">
        <v>905.0</v>
      </c>
      <c r="B906" s="6" t="str">
        <f>IFERROR(__xludf.DUMMYFUNCTION("""COMPUTED_VALUE"""),"Работаю в сфере культуры ")</f>
        <v>Работаю в сфере культуры </v>
      </c>
      <c r="C906" s="6" t="str">
        <f>IFERROR(__xludf.DUMMYFUNCTION("""COMPUTED_VALUE"""),"Путешествия")</f>
        <v>Путешествия</v>
      </c>
      <c r="D906" s="6" t="str">
        <f>IFERROR(__xludf.DUMMYFUNCTION("""COMPUTED_VALUE"""),"Рудничный или Радуга")</f>
        <v>Рудничный или Радуга</v>
      </c>
      <c r="E906" s="6" t="str">
        <f>IFERROR(__xludf.DUMMYFUNCTION("""COMPUTED_VALUE"""),"Сквер напротив ТУРР Рудничного района")</f>
        <v>Сквер напротив ТУРР Рудничного района</v>
      </c>
      <c r="F906" s="6" t="str">
        <f>IFERROR(__xludf.DUMMYFUNCTION("""COMPUTED_VALUE"""),"Живу здесь с рождения")</f>
        <v>Живу здесь с рождения</v>
      </c>
      <c r="G906" s="6" t="str">
        <f>IFERROR(__xludf.DUMMYFUNCTION("""COMPUTED_VALUE"""),"Набережная, Парк Чудес ")</f>
        <v>Набережная, Парк Чудес </v>
      </c>
      <c r="H906" s="6" t="str">
        <f>IFERROR(__xludf.DUMMYFUNCTION("""COMPUTED_VALUE"""),"Шахтёры, Красная Горка, Сосновый бор,
Томская писаница, Парк Ангелов")</f>
        <v>Шахтёры, Красная Горка, Сосновый бор,
Томская писаница, Парк Ангелов</v>
      </c>
      <c r="I906" s="6" t="str">
        <f>IFERROR(__xludf.DUMMYFUNCTION("""COMPUTED_VALUE"""),"Михайло Волков ")</f>
        <v>Михайло Волков </v>
      </c>
      <c r="J906" s="6" t="str">
        <f>IFERROR(__xludf.DUMMYFUNCTION("""COMPUTED_VALUE"""),"Эрнест Неизвестный ")</f>
        <v>Эрнест Неизвестный </v>
      </c>
      <c r="K906" s="6" t="str">
        <f>IFERROR(__xludf.DUMMYFUNCTION("""COMPUTED_VALUE"""),"Красная Горка, Парк Ангелов ")</f>
        <v>Красная Горка, Парк Ангелов </v>
      </c>
      <c r="L906" s="6" t="str">
        <f>IFERROR(__xludf.DUMMYFUNCTION("""COMPUTED_VALUE"""),"Где родился там и пригодился ")</f>
        <v>Где родился там и пригодился </v>
      </c>
      <c r="M906" s="6" t="str">
        <f>IFERROR(__xludf.DUMMYFUNCTION("""COMPUTED_VALUE"""),"Незнаю")</f>
        <v>Незнаю</v>
      </c>
      <c r="N906" s="6" t="str">
        <f>IFERROR(__xludf.DUMMYFUNCTION("""COMPUTED_VALUE"""),"Досуг, спорт, развлечения, природа, театры")</f>
        <v>Досуг, спорт, развлечения, природа, театры</v>
      </c>
      <c r="O906" s="6" t="str">
        <f>IFERROR(__xludf.DUMMYFUNCTION("""COMPUTED_VALUE"""),"Расширить ржд направления ")</f>
        <v>Расширить ржд направления </v>
      </c>
      <c r="P906" s="6" t="str">
        <f>IFERROR(__xludf.DUMMYFUNCTION("""COMPUTED_VALUE"""),"В контакте ")</f>
        <v>В контакте </v>
      </c>
      <c r="Q906"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906" s="6" t="str">
        <f>IFERROR(__xludf.DUMMYFUNCTION("""COMPUTED_VALUE"""),"Все")</f>
        <v>Все</v>
      </c>
      <c r="S906" s="6" t="str">
        <f>IFERROR(__xludf.DUMMYFUNCTION("""COMPUTED_VALUE"""),"Нет, не приходилось")</f>
        <v>Нет, не приходилось</v>
      </c>
      <c r="T906" s="6" t="str">
        <f>IFERROR(__xludf.DUMMYFUNCTION("""COMPUTED_VALUE"""),"Шахтерским трудом ")</f>
        <v>Шахтерским трудом </v>
      </c>
      <c r="U906" s="6" t="str">
        <f>IFERROR(__xludf.DUMMYFUNCTION("""COMPUTED_VALUE"""),"Бульвар Строителей Линейный парк ")</f>
        <v>Бульвар Строителей Линейный парк </v>
      </c>
      <c r="V906" s="6" t="str">
        <f>IFERROR(__xludf.DUMMYFUNCTION("""COMPUTED_VALUE"""),"Развитие инфраструктуры ")</f>
        <v>Развитие инфраструктуры </v>
      </c>
      <c r="W906" s="6" t="str">
        <f>IFERROR(__xludf.DUMMYFUNCTION("""COMPUTED_VALUE"""),"Доброта, уважение")</f>
        <v>Доброта, уважение</v>
      </c>
      <c r="X906" s="6" t="str">
        <f>IFERROR(__xludf.DUMMYFUNCTION("""COMPUTED_VALUE"""),"Красная горка")</f>
        <v>Красная горка</v>
      </c>
      <c r="Y906" s="6" t="str">
        <f>IFERROR(__xludf.DUMMYFUNCTION("""COMPUTED_VALUE"""),"Строительство Парка Ангелов ")</f>
        <v>Строительство Парка Ангелов </v>
      </c>
      <c r="Z906" s="6" t="str">
        <f>IFERROR(__xludf.DUMMYFUNCTION("""COMPUTED_VALUE"""),"Ничего")</f>
        <v>Ничего</v>
      </c>
      <c r="AA906" s="6" t="str">
        <f>IFERROR(__xludf.DUMMYFUNCTION("""COMPUTED_VALUE"""),"Трагедия в Зимней вишни ")</f>
        <v>Трагедия в Зимней вишни </v>
      </c>
      <c r="AB906" s="6" t="str">
        <f>IFERROR(__xludf.DUMMYFUNCTION("""COMPUTED_VALUE"""),"Незнаю ")</f>
        <v>Незнаю </v>
      </c>
      <c r="AC906" s="6" t="str">
        <f>IFERROR(__xludf.DUMMYFUNCTION("""COMPUTED_VALUE"""),"Затрудняюсь ответить ")</f>
        <v>Затрудняюсь ответить </v>
      </c>
      <c r="AD906"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906" s="6" t="str">
        <f>IFERROR(__xludf.DUMMYFUNCTION("""COMPUTED_VALUE"""),"Женский")</f>
        <v>Женский</v>
      </c>
      <c r="AF906" s="6" t="str">
        <f>IFERROR(__xludf.DUMMYFUNCTION("""COMPUTED_VALUE"""),"18-29")</f>
        <v>18-29</v>
      </c>
      <c r="AG906" s="6"/>
      <c r="AH906" s="6"/>
      <c r="AI906" s="6"/>
      <c r="AJ906" s="6"/>
      <c r="AK906" s="6"/>
      <c r="AL906" s="6"/>
      <c r="AM906" s="6"/>
    </row>
    <row r="907">
      <c r="A907" s="6">
        <v>906.0</v>
      </c>
      <c r="B907" s="6" t="str">
        <f>IFERROR(__xludf.DUMMYFUNCTION("""COMPUTED_VALUE"""),"Работаю в крупной угольной компании")</f>
        <v>Работаю в крупной угольной компании</v>
      </c>
      <c r="C907" s="6" t="str">
        <f>IFERROR(__xludf.DUMMYFUNCTION("""COMPUTED_VALUE"""),"Есть. Дача")</f>
        <v>Есть. Дача</v>
      </c>
      <c r="D907" s="6" t="str">
        <f>IFERROR(__xludf.DUMMYFUNCTION("""COMPUTED_VALUE"""),"В Ленинском. Называю Ленинский")</f>
        <v>В Ленинском. Называю Ленинский</v>
      </c>
      <c r="E907" s="6" t="str">
        <f>IFERROR(__xludf.DUMMYFUNCTION("""COMPUTED_VALUE"""),"Кольцо, красное озеро, Томь, Бульвар Строителей")</f>
        <v>Кольцо, красное озеро, Томь, Бульвар Строителей</v>
      </c>
      <c r="F907" s="6" t="str">
        <f>IFERROR(__xludf.DUMMYFUNCTION("""COMPUTED_VALUE"""),"Живу здесь с рождения")</f>
        <v>Живу здесь с рождения</v>
      </c>
      <c r="G907" s="6" t="str">
        <f>IFERROR(__xludf.DUMMYFUNCTION("""COMPUTED_VALUE"""),"В центр города, площадь Пушкина, в Березово")</f>
        <v>В центр города, площадь Пушкина, в Березово</v>
      </c>
      <c r="H907" s="6" t="str">
        <f>IFERROR(__xludf.DUMMYFUNCTION("""COMPUTED_VALUE"""),"Столица, уголь, химия, пробки, Кузбасс")</f>
        <v>Столица, уголь, химия, пробки, Кузбасс</v>
      </c>
      <c r="I907" s="6" t="str">
        <f>IFERROR(__xludf.DUMMYFUNCTION("""COMPUTED_VALUE"""),"Леонов")</f>
        <v>Леонов</v>
      </c>
      <c r="J907" s="6" t="str">
        <f>IFERROR(__xludf.DUMMYFUNCTION("""COMPUTED_VALUE"""),"Не знаю, все люди равны")</f>
        <v>Не знаю, все люди равны</v>
      </c>
      <c r="K907" s="6" t="str">
        <f>IFERROR(__xludf.DUMMYFUNCTION("""COMPUTED_VALUE"""),"
Площадь Пушкина, ул Весенняя")</f>
        <v>
Площадь Пушкина, ул Весенняя</v>
      </c>
      <c r="L907" s="6" t="str">
        <f>IFERROR(__xludf.DUMMYFUNCTION("""COMPUTED_VALUE"""),"Не знаю")</f>
        <v>Не знаю</v>
      </c>
      <c r="M907" s="6" t="str">
        <f>IFERROR(__xludf.DUMMYFUNCTION("""COMPUTED_VALUE"""),"Швейка")</f>
        <v>Швейка</v>
      </c>
      <c r="N907" s="6" t="str">
        <f>IFERROR(__xludf.DUMMYFUNCTION("""COMPUTED_VALUE"""),"Дороги, парки, зоны отдыха, спортивные объекты, чистота")</f>
        <v>Дороги, парки, зоны отдыха, спортивные объекты, чистота</v>
      </c>
      <c r="O907" s="6" t="str">
        <f>IFERROR(__xludf.DUMMYFUNCTION("""COMPUTED_VALUE"""),"Нужны новые дороги (например продолжение Бульвара Строителей), обновить асфальт в парках и тротуарах, общественный транспорт, убрать сквозной проезд федеральной трассы, новый мост")</f>
        <v>Нужны новые дороги (например продолжение Бульвара Строителей), обновить асфальт в парках и тротуарах, общественный транспорт, убрать сквозной проезд федеральной трассы, новый мост</v>
      </c>
      <c r="P907" s="6" t="str">
        <f>IFERROR(__xludf.DUMMYFUNCTION("""COMPUTED_VALUE"""),"Сибдепо")</f>
        <v>Сибдепо</v>
      </c>
      <c r="Q907"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907" s="6" t="str">
        <f>IFERROR(__xludf.DUMMYFUNCTION("""COMPUTED_VALUE"""),"День труда, новый год")</f>
        <v>День труда, новый год</v>
      </c>
      <c r="S907" s="6" t="str">
        <f>IFERROR(__xludf.DUMMYFUNCTION("""COMPUTED_VALUE"""),"Нет, не приходилось")</f>
        <v>Нет, не приходилось</v>
      </c>
      <c r="T907" s="6" t="str">
        <f>IFERROR(__xludf.DUMMYFUNCTION("""COMPUTED_VALUE"""),"Заводы, промышленность")</f>
        <v>Заводы, промышленность</v>
      </c>
      <c r="U907" s="6" t="str">
        <f>IFERROR(__xludf.DUMMYFUNCTION("""COMPUTED_VALUE"""),"Площадь советов, площадь Пушкина, ул. Весенняя, ул. Кирова, набережная")</f>
        <v>Площадь советов, площадь Пушкина, ул. Весенняя, ул. Кирова, набережная</v>
      </c>
      <c r="V907" s="6" t="str">
        <f>IFERROR(__xludf.DUMMYFUNCTION("""COMPUTED_VALUE"""),"Развивали промышленность")</f>
        <v>Развивали промышленность</v>
      </c>
      <c r="W907" s="6" t="str">
        <f>IFERROR(__xludf.DUMMYFUNCTION("""COMPUTED_VALUE"""),"Обычные граждане РФ, трудолюбивые")</f>
        <v>Обычные граждане РФ, трудолюбивые</v>
      </c>
      <c r="X907" s="6" t="str">
        <f>IFERROR(__xludf.DUMMYFUNCTION("""COMPUTED_VALUE"""),"Площадь Пушкина-ул. Островского-горсад")</f>
        <v>Площадь Пушкина-ул. Островского-горсад</v>
      </c>
      <c r="Y907" s="6" t="str">
        <f>IFERROR(__xludf.DUMMYFUNCTION("""COMPUTED_VALUE"""),"Перенос заводов из европейской части России в Кемерово, победа волейбольного клуба Кузбасс в чемпионате России")</f>
        <v>Перенос заводов из европейской части России в Кемерово, победа волейбольного клуба Кузбасс в чемпионате России</v>
      </c>
      <c r="Z907" s="6" t="str">
        <f>IFERROR(__xludf.DUMMYFUNCTION("""COMPUTED_VALUE"""),"Победа Кузбасса в чемпионате России по волейболу, ремонт тротуаров и ремонт дорог")</f>
        <v>Победа Кузбасса в чемпионате России по волейболу, ремонт тротуаров и ремонт дорог</v>
      </c>
      <c r="AA907" s="6" t="str">
        <f>IFERROR(__xludf.DUMMYFUNCTION("""COMPUTED_VALUE"""),"Трата денег на культурный кластер, кризис в угольной сфере")</f>
        <v>Трата денег на культурный кластер, кризис в угольной сфере</v>
      </c>
      <c r="AB907" s="6" t="str">
        <f>IFERROR(__xludf.DUMMYFUNCTION("""COMPUTED_VALUE"""),"Исторических, славянских патриотических, футбольных")</f>
        <v>Исторических, славянских патриотических, футбольных</v>
      </c>
      <c r="AC907" s="6" t="str">
        <f>IFERROR(__xludf.DUMMYFUNCTION("""COMPUTED_VALUE"""),"Реконструкция исторических событий, спорт")</f>
        <v>Реконструкция исторических событий, спорт</v>
      </c>
      <c r="AD907"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907" s="6" t="str">
        <f>IFERROR(__xludf.DUMMYFUNCTION("""COMPUTED_VALUE"""),"Мужской")</f>
        <v>Мужской</v>
      </c>
      <c r="AF907" s="6" t="str">
        <f>IFERROR(__xludf.DUMMYFUNCTION("""COMPUTED_VALUE"""),"30-44")</f>
        <v>30-44</v>
      </c>
      <c r="AG907" s="6"/>
      <c r="AH907" s="6"/>
      <c r="AI907" s="6"/>
      <c r="AJ907" s="6"/>
      <c r="AK907" s="6"/>
      <c r="AL907" s="6"/>
      <c r="AM907" s="6"/>
    </row>
    <row r="908">
      <c r="A908" s="6">
        <v>907.0</v>
      </c>
      <c r="B908" s="6" t="str">
        <f>IFERROR(__xludf.DUMMYFUNCTION("""COMPUTED_VALUE"""),"Работаю, работаю и работаю")</f>
        <v>Работаю, работаю и работаю</v>
      </c>
      <c r="C908" s="6" t="str">
        <f>IFERROR(__xludf.DUMMYFUNCTION("""COMPUTED_VALUE"""),"Да, игра на фортепиано, на гитаре.")</f>
        <v>Да, игра на фортепиано, на гитаре.</v>
      </c>
      <c r="D908" s="6" t="str">
        <f>IFERROR(__xludf.DUMMYFUNCTION("""COMPUTED_VALUE"""),"Ленинский, Шалготарьян, так и называю.")</f>
        <v>Ленинский, Шалготарьян, так и называю.</v>
      </c>
      <c r="E908" s="6" t="str">
        <f>IFERROR(__xludf.DUMMYFUNCTION("""COMPUTED_VALUE"""),"Фонтан, памятник защитникам блокадного Ленинграда, кадетское училище.")</f>
        <v>Фонтан, памятник защитникам блокадного Ленинграда, кадетское училище.</v>
      </c>
      <c r="F908" s="6" t="str">
        <f>IFERROR(__xludf.DUMMYFUNCTION("""COMPUTED_VALUE"""),"Живу здесь с рождения")</f>
        <v>Живу здесь с рождения</v>
      </c>
      <c r="G908" s="6" t="str">
        <f>IFERROR(__xludf.DUMMYFUNCTION("""COMPUTED_VALUE"""),"Никуда. Что бы куда-то ходить, нужны деньги, а зарплаты учителя хватает только на еду, исключительно по акциям, коммунальные платежи и выплату кредита. На всём остальном приходится экономить.")</f>
        <v>Никуда. Что бы куда-то ходить, нужны деньги, а зарплаты учителя хватает только на еду, исключительно по акциям, коммунальные платежи и выплату кредита. На всём остальном приходится экономить.</v>
      </c>
      <c r="H908" s="6" t="str">
        <f>IFERROR(__xludf.DUMMYFUNCTION("""COMPUTED_VALUE"""),"Очень плохая экология, безработица, низкая зарплата, грязь повсюду и самая дорогая в РФ ёлка.")</f>
        <v>Очень плохая экология, безработица, низкая зарплата, грязь повсюду и самая дорогая в РФ ёлка.</v>
      </c>
      <c r="I908" s="6" t="str">
        <f>IFERROR(__xludf.DUMMYFUNCTION("""COMPUTED_VALUE"""),"Михайло Волков, Владимир Васильевич Михайлов (бывший мэр).")</f>
        <v>Михайло Волков, Владимир Васильевич Михайлов (бывший мэр).</v>
      </c>
      <c r="J908" s="6" t="str">
        <f>IFERROR(__xludf.DUMMYFUNCTION("""COMPUTED_VALUE"""),"Затрудняюсь ответить, но думаю, что каждый житель вносит свой вклад, который не должен обесцениваться на фоне выдающихся людей. Без выдающихся людей можно обойтись, а без учителей, врачей, пожарных, электриков, сантехников, дворников вряд ли.")</f>
        <v>Затрудняюсь ответить, но думаю, что каждый житель вносит свой вклад, который не должен обесцениваться на фоне выдающихся людей. Без выдающихся людей можно обойтись, а без учителей, врачей, пожарных, электриков, сантехников, дворников вряд ли.</v>
      </c>
      <c r="K908" s="6" t="str">
        <f>IFERROR(__xludf.DUMMYFUNCTION("""COMPUTED_VALUE"""),"Томскую писаница, Красную горку, Набережную, центр города.")</f>
        <v>Томскую писаница, Красную горку, Набережную, центр города.</v>
      </c>
      <c r="L908" s="6" t="str">
        <f>IFERROR(__xludf.DUMMYFUNCTION("""COMPUTED_VALUE"""),"Не знаю.")</f>
        <v>Не знаю.</v>
      </c>
      <c r="M908" s="6" t="str">
        <f>IFERROR(__xludf.DUMMYFUNCTION("""COMPUTED_VALUE"""),"Что-то не припомню.")</f>
        <v>Что-то не припомню.</v>
      </c>
      <c r="N908" s="6" t="str">
        <f>IFERROR(__xludf.DUMMYFUNCTION("""COMPUTED_VALUE"""),"Компактность (многое можно успеть), инфраструктура ( конкретно в Шалготарьяне), больше назвать не могу по причине отсутствия.")</f>
        <v>Компактность (многое можно успеть), инфраструктура ( конкретно в Шалготарьяне), больше назвать не могу по причине отсутствия.</v>
      </c>
      <c r="O908" s="6" t="str">
        <f>IFERROR(__xludf.DUMMYFUNCTION("""COMPUTED_VALUE"""),"Сложно какую-либо проблему выделить, как первостепенную, всё важно и работа правоохранительных органов, чтобы реагировали на звонки граждан и приезжали, когда человека убивают; и усиление пожарной безопасности; и катастрофическая нехватка общественного тр"&amp;"анспорта; и неработающий бассейн ""Лазурный""; очень плохо стали чистить снег, зимой не пройти и весной тонем в грязи; контроль за деятельностью управляющих компаний и директоров бюджетных организаций, которые давно превратили государственные учреждения в"&amp;" частные лавочки. ")</f>
        <v>Сложно какую-либо проблему выделить, как первостепенную, всё важно и работа правоохранительных органов, чтобы реагировали на звонки граждан и приезжали, когда человека убивают; и усиление пожарной безопасности; и катастрофическая нехватка общественного транспорта; и неработающий бассейн "Лазурный"; очень плохо стали чистить снег, зимой не пройти и весной тонем в грязи; контроль за деятельностью управляющих компаний и директоров бюджетных организаций, которые давно превратили государственные учреждения в частные лавочки. </v>
      </c>
      <c r="P908" s="6" t="str">
        <f>IFERROR(__xludf.DUMMYFUNCTION("""COMPUTED_VALUE"""),"Общественные группы ВКонтакте, телевизор не смотрю.")</f>
        <v>Общественные группы ВКонтакте, телевизор не смотрю.</v>
      </c>
      <c r="Q908" s="6" t="str">
        <f>IFERROR(__xludf.DUMMYFUNCTION("""COMPUTED_VALUE"""),"интервью с экспертами на разные темы (напишите в разделе Другое свои предложения), Текущие события в целом.")</f>
        <v>интервью с экспертами на разные темы (напишите в разделе Другое свои предложения), Текущие события в целом.</v>
      </c>
      <c r="R908" s="6" t="str">
        <f>IFERROR(__xludf.DUMMYFUNCTION("""COMPUTED_VALUE"""),"Ко всем праздникам отношусь довольно безразлично, радости нет, постоянное безденежье и беспросветная нищета даёт свои плоды.")</f>
        <v>Ко всем праздникам отношусь довольно безразлично, радости нет, постоянное безденежье и беспросветная нищета даёт свои плоды.</v>
      </c>
      <c r="S908" s="6" t="str">
        <f>IFERROR(__xludf.DUMMYFUNCTION("""COMPUTED_VALUE"""),"Писал и расклеивал объявления/афиши")</f>
        <v>Писал и расклеивал объявления/афиши</v>
      </c>
      <c r="T908" s="6" t="str">
        <f>IFERROR(__xludf.DUMMYFUNCTION("""COMPUTED_VALUE"""),"Уникального ничего нет, все, у кого есть возможность уезжают. А знаменит добычей угля, на данный момент дорогой ёлкой, убитой девушкой, которую полицейские не сочли нужным спасать, ""Зимней вишней"". ")</f>
        <v>Уникального ничего нет, все, у кого есть возможность уезжают. А знаменит добычей угля, на данный момент дорогой ёлкой, убитой девушкой, которую полицейские не сочли нужным спасать, "Зимней вишней". </v>
      </c>
      <c r="U908" s="6" t="str">
        <f>IFERROR(__xludf.DUMMYFUNCTION("""COMPUTED_VALUE"""),"Улица Весенняя, вечный огонь.")</f>
        <v>Улица Весенняя, вечный огонь.</v>
      </c>
      <c r="V908" s="6" t="str">
        <f>IFERROR(__xludf.DUMMYFUNCTION("""COMPUTED_VALUE"""),"Каждый, кто по-доброму относится к людям, работает на собой, ответственно выполняет свои обязанности, всё, кому не безразлично то, что происходит вокруг, несомненно может гордиться собой.")</f>
        <v>Каждый, кто по-доброму относится к людям, работает на собой, ответственно выполняет свои обязанности, всё, кому не безразлично то, что происходит вокруг, несомненно может гордиться собой.</v>
      </c>
      <c r="W908" s="6" t="str">
        <f>IFERROR(__xludf.DUMMYFUNCTION("""COMPUTED_VALUE"""),"Разные, как и везде.")</f>
        <v>Разные, как и везде.</v>
      </c>
      <c r="X908" s="6" t="str">
        <f>IFERROR(__xludf.DUMMYFUNCTION("""COMPUTED_VALUE"""),"В центре города, Весенняя, набережная, горсад.")</f>
        <v>В центре города, Весенняя, набережная, горсад.</v>
      </c>
      <c r="Y908" s="6" t="str">
        <f>IFERROR(__xludf.DUMMYFUNCTION("""COMPUTED_VALUE"""),"Разработка угольных месторождений, основание города.")</f>
        <v>Разработка угольных месторождений, основание города.</v>
      </c>
      <c r="Z908" s="6" t="str">
        <f>IFERROR(__xludf.DUMMYFUNCTION("""COMPUTED_VALUE"""),"Открытие фонтана в Шалготарьяне.")</f>
        <v>Открытие фонтана в Шалготарьяне.</v>
      </c>
      <c r="AA908" s="6" t="str">
        <f>IFERROR(__xludf.DUMMYFUNCTION("""COMPUTED_VALUE"""),"Растраты бюджетных средств на никому ненужную ёлку, на ""борьбу с терроризмом в Сосновом бору"", которого там отродясь не было, рост цен, тарифов ЖКХ, бездействие правоохранительных органов, сокращение общественного транспорта.")</f>
        <v>Растраты бюджетных средств на никому ненужную ёлку, на "борьбу с терроризмом в Сосновом бору", которого там отродясь не было, рост цен, тарифов ЖКХ, бездействие правоохранительных органов, сокращение общественного транспорта.</v>
      </c>
      <c r="AB908" s="6" t="str">
        <f>IFERROR(__xludf.DUMMYFUNCTION("""COMPUTED_VALUE"""),"Затрудняюсь ответить")</f>
        <v>Затрудняюсь ответить</v>
      </c>
      <c r="AC908" s="6" t="str">
        <f>IFERROR(__xludf.DUMMYFUNCTION("""COMPUTED_VALUE"""),"Событий и мероприятий вполне хватае на любой вкус, денег не хватает.")</f>
        <v>Событий и мероприятий вполне хватае на любой вкус, денег не хватает.</v>
      </c>
      <c r="AD908"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Меня могли бы заинтересовать самые различные виды деяте"&amp;"льности, но не бесплатно. Я считаю, что любой труд должен быть оплачен, у нас чиновники всё норовят задействовать народ на общественных началах. ")</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Меня могли бы заинтересовать самые различные виды деятельности, но не бесплатно. Я считаю, что любой труд должен быть оплачен, у нас чиновники всё норовят задействовать народ на общественных началах. </v>
      </c>
      <c r="AE908" s="6" t="str">
        <f>IFERROR(__xludf.DUMMYFUNCTION("""COMPUTED_VALUE"""),"Женский")</f>
        <v>Женский</v>
      </c>
      <c r="AF908" s="6" t="str">
        <f>IFERROR(__xludf.DUMMYFUNCTION("""COMPUTED_VALUE"""),"30-44")</f>
        <v>30-44</v>
      </c>
      <c r="AG908" s="6"/>
      <c r="AH908" s="6"/>
      <c r="AI908" s="6"/>
      <c r="AJ908" s="6"/>
      <c r="AK908" s="6"/>
      <c r="AL908" s="6"/>
      <c r="AM908" s="6"/>
    </row>
    <row r="909">
      <c r="A909" s="6">
        <v>908.0</v>
      </c>
      <c r="B909" s="6" t="str">
        <f>IFERROR(__xludf.DUMMYFUNCTION("""COMPUTED_VALUE"""),"Актриса ")</f>
        <v>Актриса </v>
      </c>
      <c r="C909" s="6" t="str">
        <f>IFERROR(__xludf.DUMMYFUNCTION("""COMPUTED_VALUE"""),"Гулять")</f>
        <v>Гулять</v>
      </c>
      <c r="D909" s="6" t="str">
        <f>IFERROR(__xludf.DUMMYFUNCTION("""COMPUTED_VALUE"""),"Ленинский")</f>
        <v>Ленинский</v>
      </c>
      <c r="E909" s="6" t="str">
        <f>IFERROR(__xludf.DUMMYFUNCTION("""COMPUTED_VALUE"""),"Парковая зона «Президентского кадетского училища»")</f>
        <v>Парковая зона «Президентского кадетского училища»</v>
      </c>
      <c r="F909" s="6" t="str">
        <f>IFERROR(__xludf.DUMMYFUNCTION("""COMPUTED_VALUE"""),"Переехал сюда из другого места (откуда? укажите в графе другое), С.Симбирка")</f>
        <v>Переехал сюда из другого места (откуда? укажите в графе другое), С.Симбирка</v>
      </c>
      <c r="G909" s="6" t="str">
        <f>IFERROR(__xludf.DUMMYFUNCTION("""COMPUTED_VALUE"""),"Парки, кинотеатры, театры")</f>
        <v>Парки, кинотеатры, театры</v>
      </c>
      <c r="H909" s="6" t="str">
        <f>IFERROR(__xludf.DUMMYFUNCTION("""COMPUTED_VALUE"""),"Уют, современность, архитектура, дружба, любовь")</f>
        <v>Уют, современность, архитектура, дружба, любовь</v>
      </c>
      <c r="I909" s="6" t="str">
        <f>IFERROR(__xludf.DUMMYFUNCTION("""COMPUTED_VALUE"""),"-")</f>
        <v>-</v>
      </c>
      <c r="J909" s="6" t="str">
        <f>IFERROR(__xludf.DUMMYFUNCTION("""COMPUTED_VALUE"""),"-")</f>
        <v>-</v>
      </c>
      <c r="K909" s="6" t="str">
        <f>IFERROR(__xludf.DUMMYFUNCTION("""COMPUTED_VALUE"""),"Парк Ангелов")</f>
        <v>Парк Ангелов</v>
      </c>
      <c r="L909" s="6" t="str">
        <f>IFERROR(__xludf.DUMMYFUNCTION("""COMPUTED_VALUE"""),"-")</f>
        <v>-</v>
      </c>
      <c r="M909" s="6" t="str">
        <f>IFERROR(__xludf.DUMMYFUNCTION("""COMPUTED_VALUE"""),"-")</f>
        <v>-</v>
      </c>
      <c r="N909" s="6" t="str">
        <f>IFERROR(__xludf.DUMMYFUNCTION("""COMPUTED_VALUE"""),"Коммуникация, чистота, транспорт, парковки")</f>
        <v>Коммуникация, чистота, транспорт, парковки</v>
      </c>
      <c r="O909" s="6" t="str">
        <f>IFERROR(__xludf.DUMMYFUNCTION("""COMPUTED_VALUE"""),"Навести чистоту")</f>
        <v>Навести чистоту</v>
      </c>
      <c r="P909" s="6" t="str">
        <f>IFERROR(__xludf.DUMMYFUNCTION("""COMPUTED_VALUE"""),"Афиша Кемерово")</f>
        <v>Афиша Кемерово</v>
      </c>
      <c r="Q909"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f>
        <v>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v>
      </c>
      <c r="R909" s="6" t="str">
        <f>IFERROR(__xludf.DUMMYFUNCTION("""COMPUTED_VALUE"""),"День города, день шахтера, день театра")</f>
        <v>День города, день шахтера, день театра</v>
      </c>
      <c r="S909"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v>
      </c>
      <c r="T909" s="6" t="str">
        <f>IFERROR(__xludf.DUMMYFUNCTION("""COMPUTED_VALUE"""),"Уголь")</f>
        <v>Уголь</v>
      </c>
      <c r="U909" s="6" t="str">
        <f>IFERROR(__xludf.DUMMYFUNCTION("""COMPUTED_VALUE"""),"Парк «Ангелов»")</f>
        <v>Парк «Ангелов»</v>
      </c>
      <c r="V909" s="6" t="str">
        <f>IFERROR(__xludf.DUMMYFUNCTION("""COMPUTED_VALUE"""),"Строительство достопримечательностей")</f>
        <v>Строительство достопримечательностей</v>
      </c>
      <c r="W909" s="6" t="str">
        <f>IFERROR(__xludf.DUMMYFUNCTION("""COMPUTED_VALUE"""),"Добрые, отзывчивые, открытые, заботливые")</f>
        <v>Добрые, отзывчивые, открытые, заботливые</v>
      </c>
      <c r="X909" s="6" t="str">
        <f>IFERROR(__xludf.DUMMYFUNCTION("""COMPUTED_VALUE"""),"Набережная, парк «Ангелов», советский проспект")</f>
        <v>Набережная, парк «Ангелов», советский проспект</v>
      </c>
      <c r="Y909" s="6" t="str">
        <f>IFERROR(__xludf.DUMMYFUNCTION("""COMPUTED_VALUE"""),"Переименование в Кемерово")</f>
        <v>Переименование в Кемерово</v>
      </c>
      <c r="Z909" s="6" t="str">
        <f>IFERROR(__xludf.DUMMYFUNCTION("""COMPUTED_VALUE"""),"День города")</f>
        <v>День города</v>
      </c>
      <c r="AA909" s="6" t="str">
        <f>IFERROR(__xludf.DUMMYFUNCTION("""COMPUTED_VALUE"""),"Митинги")</f>
        <v>Митинги</v>
      </c>
      <c r="AB909" s="6" t="str">
        <f>IFERROR(__xludf.DUMMYFUNCTION("""COMPUTED_VALUE"""),"Хватает")</f>
        <v>Хватает</v>
      </c>
      <c r="AC909" s="6" t="str">
        <f>IFERROR(__xludf.DUMMYFUNCTION("""COMPUTED_VALUE"""),"Молодежные фестивали")</f>
        <v>Молодежные фестивали</v>
      </c>
      <c r="AD90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909" s="6" t="str">
        <f>IFERROR(__xludf.DUMMYFUNCTION("""COMPUTED_VALUE"""),"Женский")</f>
        <v>Женский</v>
      </c>
      <c r="AF909" s="6" t="str">
        <f>IFERROR(__xludf.DUMMYFUNCTION("""COMPUTED_VALUE"""),"18-29")</f>
        <v>18-29</v>
      </c>
      <c r="AG909" s="6"/>
      <c r="AH909" s="6"/>
      <c r="AI909" s="6"/>
      <c r="AJ909" s="6"/>
      <c r="AK909" s="6"/>
      <c r="AL909" s="6"/>
      <c r="AM909" s="6"/>
    </row>
    <row r="910">
      <c r="A910" s="6">
        <v>909.0</v>
      </c>
      <c r="B910" s="6" t="str">
        <f>IFERROR(__xludf.DUMMYFUNCTION("""COMPUTED_VALUE"""),"Преподаватель")</f>
        <v>Преподаватель</v>
      </c>
      <c r="C910" s="6" t="str">
        <f>IFERROR(__xludf.DUMMYFUNCTION("""COMPUTED_VALUE"""),"У")</f>
        <v>У</v>
      </c>
      <c r="D910" s="6" t="str">
        <f>IFERROR(__xludf.DUMMYFUNCTION("""COMPUTED_VALUE"""),"Ленинский")</f>
        <v>Ленинский</v>
      </c>
      <c r="E910" s="6" t="str">
        <f>IFERROR(__xludf.DUMMYFUNCTION("""COMPUTED_VALUE"""),"Кадетский коррус")</f>
        <v>Кадетский коррус</v>
      </c>
      <c r="F910" s="6" t="str">
        <f>IFERROR(__xludf.DUMMYFUNCTION("""COMPUTED_VALUE"""),"Бываю как турист")</f>
        <v>Бываю как турист</v>
      </c>
      <c r="G910" s="6" t="str">
        <f>IFERROR(__xludf.DUMMYFUNCTION("""COMPUTED_VALUE"""),"Набережная")</f>
        <v>Набережная</v>
      </c>
      <c r="H910" s="6" t="str">
        <f>IFERROR(__xludf.DUMMYFUNCTION("""COMPUTED_VALUE"""),"Плохая экология")</f>
        <v>Плохая экология</v>
      </c>
      <c r="I910" s="6" t="str">
        <f>IFERROR(__xludf.DUMMYFUNCTION("""COMPUTED_VALUE"""),"Леонов т ")</f>
        <v>Леонов т </v>
      </c>
      <c r="J910" s="6" t="str">
        <f>IFERROR(__xludf.DUMMYFUNCTION("""COMPUTED_VALUE"""),"Н")</f>
        <v>Н</v>
      </c>
      <c r="K910" s="6" t="str">
        <f>IFERROR(__xludf.DUMMYFUNCTION("""COMPUTED_VALUE"""),"О")</f>
        <v>О</v>
      </c>
      <c r="L910" s="6" t="str">
        <f>IFERROR(__xludf.DUMMYFUNCTION("""COMPUTED_VALUE"""),"О")</f>
        <v>О</v>
      </c>
      <c r="M910" s="6" t="str">
        <f>IFERROR(__xludf.DUMMYFUNCTION("""COMPUTED_VALUE"""),"О")</f>
        <v>О</v>
      </c>
      <c r="N910" s="6" t="str">
        <f>IFERROR(__xludf.DUMMYFUNCTION("""COMPUTED_VALUE"""),"П")</f>
        <v>П</v>
      </c>
      <c r="O910" s="6" t="str">
        <f>IFERROR(__xludf.DUMMYFUNCTION("""COMPUTED_VALUE"""),"О")</f>
        <v>О</v>
      </c>
      <c r="P910" s="6" t="str">
        <f>IFERROR(__xludf.DUMMYFUNCTION("""COMPUTED_VALUE"""),"П")</f>
        <v>П</v>
      </c>
      <c r="Q910" s="6" t="str">
        <f>IFERROR(__xludf.DUMMYFUNCTION("""COMPUTED_VALUE"""),"куда пойти в свободное время")</f>
        <v>куда пойти в свободное время</v>
      </c>
      <c r="R910" s="6" t="str">
        <f>IFERROR(__xludf.DUMMYFUNCTION("""COMPUTED_VALUE"""),"О")</f>
        <v>О</v>
      </c>
      <c r="S910" s="6" t="str">
        <f>IFERROR(__xludf.DUMMYFUNCTION("""COMPUTED_VALUE"""),"Нет, не приходилось")</f>
        <v>Нет, не приходилось</v>
      </c>
      <c r="T910" s="6" t="str">
        <f>IFERROR(__xludf.DUMMYFUNCTION("""COMPUTED_VALUE"""),"Л")</f>
        <v>Л</v>
      </c>
      <c r="U910" s="6" t="str">
        <f>IFERROR(__xludf.DUMMYFUNCTION("""COMPUTED_VALUE"""),"О")</f>
        <v>О</v>
      </c>
      <c r="V910" s="6" t="str">
        <f>IFERROR(__xludf.DUMMYFUNCTION("""COMPUTED_VALUE"""),"П")</f>
        <v>П</v>
      </c>
      <c r="W910" s="6" t="str">
        <f>IFERROR(__xludf.DUMMYFUNCTION("""COMPUTED_VALUE"""),"Р")</f>
        <v>Р</v>
      </c>
      <c r="X910" s="6" t="str">
        <f>IFERROR(__xludf.DUMMYFUNCTION("""COMPUTED_VALUE"""),"Л")</f>
        <v>Л</v>
      </c>
      <c r="Y910" s="6" t="str">
        <f>IFERROR(__xludf.DUMMYFUNCTION("""COMPUTED_VALUE"""),"Е")</f>
        <v>Е</v>
      </c>
      <c r="Z910" s="6" t="str">
        <f>IFERROR(__xludf.DUMMYFUNCTION("""COMPUTED_VALUE"""),"Ш")</f>
        <v>Ш</v>
      </c>
      <c r="AA910" s="6" t="str">
        <f>IFERROR(__xludf.DUMMYFUNCTION("""COMPUTED_VALUE"""),"Л")</f>
        <v>Л</v>
      </c>
      <c r="AB910" s="6" t="str">
        <f>IFERROR(__xludf.DUMMYFUNCTION("""COMPUTED_VALUE"""),"К")</f>
        <v>К</v>
      </c>
      <c r="AC910" s="6" t="str">
        <f>IFERROR(__xludf.DUMMYFUNCTION("""COMPUTED_VALUE"""),"В")</f>
        <v>В</v>
      </c>
      <c r="AD910"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910" s="6" t="str">
        <f>IFERROR(__xludf.DUMMYFUNCTION("""COMPUTED_VALUE"""),"Женский")</f>
        <v>Женский</v>
      </c>
      <c r="AF910" s="6" t="str">
        <f>IFERROR(__xludf.DUMMYFUNCTION("""COMPUTED_VALUE"""),"18-29")</f>
        <v>18-29</v>
      </c>
      <c r="AG910" s="6"/>
      <c r="AH910" s="6"/>
      <c r="AI910" s="6"/>
      <c r="AJ910" s="6"/>
      <c r="AK910" s="6"/>
      <c r="AL910" s="6"/>
      <c r="AM910" s="6"/>
    </row>
    <row r="911">
      <c r="A911" s="6">
        <v>910.0</v>
      </c>
      <c r="B911" s="6" t="str">
        <f>IFERROR(__xludf.DUMMYFUNCTION("""COMPUTED_VALUE"""),"Преподаю в школе искусств")</f>
        <v>Преподаю в школе искусств</v>
      </c>
      <c r="C911" s="6" t="str">
        <f>IFERROR(__xludf.DUMMYFUNCTION("""COMPUTED_VALUE"""),"Нет.")</f>
        <v>Нет.</v>
      </c>
      <c r="D911" s="6" t="str">
        <f>IFERROR(__xludf.DUMMYFUNCTION("""COMPUTED_VALUE"""),"В Ленинском районе")</f>
        <v>В Ленинском районе</v>
      </c>
      <c r="E911" s="6" t="str">
        <f>IFERROR(__xludf.DUMMYFUNCTION("""COMPUTED_VALUE"""),"Бульвар Строителей, Комсомольский парк, кинотеатр Аврора, парк у Кадетского училища, Храм Казанской Божьей Матери")</f>
        <v>Бульвар Строителей, Комсомольский парк, кинотеатр Аврора, парк у Кадетского училища, Храм Казанской Божьей Матери</v>
      </c>
      <c r="F911" s="6" t="str">
        <f>IFERROR(__xludf.DUMMYFUNCTION("""COMPUTED_VALUE"""),"Переехал сюда из другого места (откуда? укажите в графе другое), Приехала из г.Мариинск к мужу.")</f>
        <v>Переехал сюда из другого места (откуда? укажите в графе другое), Приехала из г.Мариинск к мужу.</v>
      </c>
      <c r="G911" s="6" t="str">
        <f>IFERROR(__xludf.DUMMYFUNCTION("""COMPUTED_VALUE"""),"О. Красное, р. Томь, Храм Казанской Божьей Матери, бульвар Строителей")</f>
        <v>О. Красное, р. Томь, Храм Казанской Божьей Матери, бульвар Строителей</v>
      </c>
      <c r="H911" s="6" t="str">
        <f>IFERROR(__xludf.DUMMYFUNCTION("""COMPUTED_VALUE"""),"Красивый, зелёный, грязные дворы, ")</f>
        <v>Красивый, зелёный, грязные дворы, </v>
      </c>
      <c r="I911" s="6" t="str">
        <f>IFERROR(__xludf.DUMMYFUNCTION("""COMPUTED_VALUE"""),"Фёдоров, Михайло Волков, Хмелевской, Бочинин, Хворостовский, Туснолобова, Бобров")</f>
        <v>Фёдоров, Михайло Волков, Хмелевской, Бочинин, Хворостовский, Туснолобова, Бобров</v>
      </c>
      <c r="J911" s="6" t="str">
        <f>IFERROR(__xludf.DUMMYFUNCTION("""COMPUTED_VALUE"""),"Ксения Кривко")</f>
        <v>Ксения Кривко</v>
      </c>
      <c r="K911" s="6" t="str">
        <f>IFERROR(__xludf.DUMMYFUNCTION("""COMPUTED_VALUE"""),"Сосновый бор, о. Красное, ул. Весенняя, Набережная, Парк Ангелов")</f>
        <v>Сосновый бор, о. Красное, ул. Весенняя, Набережная, Парк Ангелов</v>
      </c>
      <c r="L911" s="6" t="str">
        <f>IFERROR(__xludf.DUMMYFUNCTION("""COMPUTED_VALUE"""),"Во время Великой Отечественной войны, артисты и коллектив драмтеатра собрали деньги на самолёт для фронта")</f>
        <v>Во время Великой Отечественной войны, артисты и коллектив драмтеатра собрали деньги на самолёт для фронта</v>
      </c>
      <c r="M911" s="6" t="str">
        <f>IFERROR(__xludf.DUMMYFUNCTION("""COMPUTED_VALUE"""),"Нахаловка")</f>
        <v>Нахаловка</v>
      </c>
      <c r="N911" s="6" t="str">
        <f>IFERROR(__xludf.DUMMYFUNCTION("""COMPUTED_VALUE"""),"Чистые улицы, чтстый воздух, много зелени, оборудованные площадки для выгула собак, отсутствие пробок на дорогах.")</f>
        <v>Чистые улицы, чтстый воздух, много зелени, оборудованные площадки для выгула собак, отсутствие пробок на дорогах.</v>
      </c>
      <c r="O911" s="6" t="str">
        <f>IFERROR(__xludf.DUMMYFUNCTION("""COMPUTED_VALUE"""),"Обустроить площадки для выгула собак.")</f>
        <v>Обустроить площадки для выгула собак.</v>
      </c>
      <c r="P911" s="6" t="str">
        <f>IFERROR(__xludf.DUMMYFUNCTION("""COMPUTED_VALUE"""),"В контакте")</f>
        <v>В контакте</v>
      </c>
      <c r="Q911" s="6" t="str">
        <f>IFERROR(__xludf.DUMMYFUNCTION("""COMPUTED_VALUE"""),"культурные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f>
        <v>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911" s="6" t="str">
        <f>IFERROR(__xludf.DUMMYFUNCTION("""COMPUTED_VALUE"""),"День Победы")</f>
        <v>День Победы</v>
      </c>
      <c r="S911" s="6" t="str">
        <f>IFERROR(__xludf.DUMMYFUNCTION("""COMPUTED_VALUE"""),"Нет, не приходилось")</f>
        <v>Нет, не приходилось</v>
      </c>
      <c r="T911" s="6" t="str">
        <f>IFERROR(__xludf.DUMMYFUNCTION("""COMPUTED_VALUE"""),"Музей Красная горка и Томская писаница, Ботаничнский сад")</f>
        <v>Музей Красная горка и Томская писаница, Ботаничнский сад</v>
      </c>
      <c r="U911" s="6" t="str">
        <f>IFERROR(__xludf.DUMMYFUNCTION("""COMPUTED_VALUE"""),"Памятник Эрнста Неизвестного и музей Красная горка, площадь Пушкина, Знаменский собор")</f>
        <v>Памятник Эрнста Неизвестного и музей Красная горка, площадь Пушкина, Знаменский собор</v>
      </c>
      <c r="V911" s="6" t="str">
        <f>IFERROR(__xludf.DUMMYFUNCTION("""COMPUTED_VALUE"""),"Развитая угледобывающая промышленность, коксо- химическая промышленность, культурный центр города, ботанический сад")</f>
        <v>Развитая угледобывающая промышленность, коксо- химическая промышленность, культурный центр города, ботанический сад</v>
      </c>
      <c r="W911" s="6" t="str">
        <f>IFERROR(__xludf.DUMMYFUNCTION("""COMPUTED_VALUE"""),"Внешне мрачноватые, но отзывчивые")</f>
        <v>Внешне мрачноватые, но отзывчивые</v>
      </c>
      <c r="X911" s="6" t="str">
        <f>IFERROR(__xludf.DUMMYFUNCTION("""COMPUTED_VALUE"""),"Драмтеатр, ул.Весенняя, Набережная")</f>
        <v>Драмтеатр, ул.Весенняя, Набережная</v>
      </c>
      <c r="Y911" s="6" t="str">
        <f>IFERROR(__xludf.DUMMYFUNCTION("""COMPUTED_VALUE"""),"АИК")</f>
        <v>АИК</v>
      </c>
      <c r="Z911" s="6" t="str">
        <f>IFERROR(__xludf.DUMMYFUNCTION("""COMPUTED_VALUE"""),"Рокфестиваль, строительство культурного кластера")</f>
        <v>Рокфестиваль, строительство культурного кластера</v>
      </c>
      <c r="AA911" s="6" t="str">
        <f>IFERROR(__xludf.DUMMYFUNCTION("""COMPUTED_VALUE"""),"Зимняя вишня")</f>
        <v>Зимняя вишня</v>
      </c>
      <c r="AB911" s="6" t="str">
        <f>IFERROR(__xludf.DUMMYFUNCTION("""COMPUTED_VALUE"""),"Частной галереи")</f>
        <v>Частной галереи</v>
      </c>
      <c r="AC911" s="6" t="str">
        <f>IFERROR(__xludf.DUMMYFUNCTION("""COMPUTED_VALUE"""),"Выставки современного искусства, открытие уличных арт-объектов")</f>
        <v>Выставки современного искусства, открытие уличных арт-объектов</v>
      </c>
      <c r="AD911"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911" s="6" t="str">
        <f>IFERROR(__xludf.DUMMYFUNCTION("""COMPUTED_VALUE"""),"Женский")</f>
        <v>Женский</v>
      </c>
      <c r="AF911" s="6" t="str">
        <f>IFERROR(__xludf.DUMMYFUNCTION("""COMPUTED_VALUE"""),"45-55")</f>
        <v>45-55</v>
      </c>
      <c r="AG911" s="6"/>
      <c r="AH911" s="6"/>
      <c r="AI911" s="6"/>
      <c r="AJ911" s="6"/>
      <c r="AK911" s="6"/>
      <c r="AL911" s="6"/>
      <c r="AM911" s="6"/>
    </row>
    <row r="912">
      <c r="A912" s="6">
        <v>911.0</v>
      </c>
      <c r="B912" s="6" t="str">
        <f>IFERROR(__xludf.DUMMYFUNCTION("""COMPUTED_VALUE"""),"Пенсионер")</f>
        <v>Пенсионер</v>
      </c>
      <c r="C912" s="6" t="str">
        <f>IFERROR(__xludf.DUMMYFUNCTION("""COMPUTED_VALUE"""),"Путешествие")</f>
        <v>Путешествие</v>
      </c>
      <c r="D912" s="6" t="str">
        <f>IFERROR(__xludf.DUMMYFUNCTION("""COMPUTED_VALUE"""),"Кировский,(самый ""Убогий"")-р-он.")</f>
        <v>Кировский,(самый "Убогий")-р-он.</v>
      </c>
      <c r="E912" s="6" t="str">
        <f>IFERROR(__xludf.DUMMYFUNCTION("""COMPUTED_VALUE"""),"Парк на набережной.")</f>
        <v>Парк на набережной.</v>
      </c>
      <c r="F912" s="6" t="str">
        <f>IFERROR(__xludf.DUMMYFUNCTION("""COMPUTED_VALUE"""),"Переехал из Киргизии в 1980году,июня месяца.")</f>
        <v>Переехал из Киргизии в 1980году,июня месяца.</v>
      </c>
      <c r="G912" s="6" t="str">
        <f>IFERROR(__xludf.DUMMYFUNCTION("""COMPUTED_VALUE"""),"Езжу в Центральный -р-он,Горсад,Набережная,ул.Весенняя,Драмтеатр...")</f>
        <v>Езжу в Центральный -р-он,Горсад,Набережная,ул.Весенняя,Драмтеатр...</v>
      </c>
      <c r="H912" s="6" t="str">
        <f>IFERROR(__xludf.DUMMYFUNCTION("""COMPUTED_VALUE"""),"Очень загазованный,серый,скучный,неприветливый и заполненный а/мобилями даже во дворах,пробки из-за нехватки Мостов через р.Томь.")</f>
        <v>Очень загазованный,серый,скучный,неприветливый и заполненный а/мобилями даже во дворах,пробки из-за нехватки Мостов через р.Томь.</v>
      </c>
      <c r="I912" s="6" t="str">
        <f>IFERROR(__xludf.DUMMYFUNCTION("""COMPUTED_VALUE"""),"Леонид Леонов,Бобров,Мартемьянов,Подгорбунский,Литвинов,Калинкин,Михайлов,Заузелков,Небогатов,Тулеев....")</f>
        <v>Леонид Леонов,Бобров,Мартемьянов,Подгорбунский,Литвинов,Калинкин,Михайлов,Заузелков,Небогатов,Тулеев....</v>
      </c>
      <c r="J912" s="6" t="str">
        <f>IFERROR(__xludf.DUMMYFUNCTION("""COMPUTED_VALUE"""),"Бормотов А.В.,Чукин А.Ю.,")</f>
        <v>Бормотов А.В.,Чукин А.Ю.,</v>
      </c>
      <c r="K912" s="6" t="str">
        <f>IFERROR(__xludf.DUMMYFUNCTION("""COMPUTED_VALUE"""),"Мой ответ в 6)вопросе,аеще памятники-Ленину,Воинам ВОВ,Шахтерам,Красную Горку,П арк Жукова, Спорткомплексы,А эропорт...Парк Ангелов...")</f>
        <v>Мой ответ в 6)вопросе,аеще памятники-Ленину,Воинам ВОВ,Шахтерам,Красную Горку,П арк Жукова, Спорткомплексы,А эропорт...Парк Ангелов...</v>
      </c>
      <c r="L912" s="6" t="str">
        <f>IFERROR(__xludf.DUMMYFUNCTION("""COMPUTED_VALUE"""),"Не слышал...")</f>
        <v>Не слышал...</v>
      </c>
      <c r="M912" s="6" t="str">
        <f>IFERROR(__xludf.DUMMYFUNCTION("""COMPUTED_VALUE"""),"Смоги...Кислотные Дожди,Азот...")</f>
        <v>Смоги...Кислотные Дожди,Азот...</v>
      </c>
      <c r="N912" s="6" t="str">
        <f>IFERROR(__xludf.DUMMYFUNCTION("""COMPUTED_VALUE"""),"Нет общественных пляжей,Народных гуляний... всё в прошлом...")</f>
        <v>Нет общественных пляжей,Народных гуляний... всё в прошлом...</v>
      </c>
      <c r="O912" s="6" t="str">
        <f>IFERROR(__xludf.DUMMYFUNCTION("""COMPUTED_VALUE"""),"Построить Мосты чирез Томь,и заменить Инфраструктуру,р разбить в каждом р-не Порки и Скверы для отдыха...")</f>
        <v>Построить Мосты чирез Томь,и заменить Инфраструктуру,р разбить в каждом р-не Порки и Скверы для отдыха...</v>
      </c>
      <c r="P912" s="6" t="str">
        <f>IFERROR(__xludf.DUMMYFUNCTION("""COMPUTED_VALUE"""),"Из каналов Кузбасса...")</f>
        <v>Из каналов Кузбасса...</v>
      </c>
      <c r="Q912" s="6" t="str">
        <f>IFERROR(__xludf.DUMMYFUNCTION("""COMPUTED_VALUE"""),"куда пойти в свободное время, криминальные новости (происшествия/преступления), Политика в Р.Ф.")</f>
        <v>куда пойти в свободное время, криминальные новости (происшествия/преступления), Политика в Р.Ф.</v>
      </c>
      <c r="R912" s="6" t="str">
        <f>IFERROR(__xludf.DUMMYFUNCTION("""COMPUTED_VALUE"""),"1е Мая,День Победы,день Шахтеров...Новый Год.")</f>
        <v>1е Мая,День Победы,день Шахтеров...Новый Год.</v>
      </c>
      <c r="S912" s="6" t="str">
        <f>IFERROR(__xludf.DUMMYFUNCTION("""COMPUTED_VALUE"""),"Нет.")</f>
        <v>Нет.</v>
      </c>
      <c r="T912" s="6" t="str">
        <f>IFERROR(__xludf.DUMMYFUNCTION("""COMPUTED_VALUE"""),"Космонавт Леонов,Волков Михайло,стротельство ЛДК новых спорсооружений..")</f>
        <v>Космонавт Леонов,Волков Михайло,стротельство ЛДК новых спорсооружений..</v>
      </c>
      <c r="U912" s="6" t="str">
        <f>IFERROR(__xludf.DUMMYFUNCTION("""COMPUTED_VALUE"""),"Старый Центр,Драмтеатр,Цирк,Оперета,сквер Орбита,ул.Весенняя,Набережная...")</f>
        <v>Старый Центр,Драмтеатр,Цирк,Оперета,сквер Орбита,ул.Весенняя,Набережная...</v>
      </c>
      <c r="V912" s="6" t="str">
        <f>IFERROR(__xludf.DUMMYFUNCTION("""COMPUTED_VALUE"""),"Всё,что внем есть,тем и гордимся...")</f>
        <v>Всё,что внем есть,тем и гордимся...</v>
      </c>
      <c r="W912" s="6" t="str">
        <f>IFERROR(__xludf.DUMMYFUNCTION("""COMPUTED_VALUE"""),"Угрюмые,суровые,но с чувством юмора..")</f>
        <v>Угрюмые,суровые,но с чувством юмора..</v>
      </c>
      <c r="X912" s="6" t="str">
        <f>IFERROR(__xludf.DUMMYFUNCTION("""COMPUTED_VALUE"""),"Смотря откуда его начало...")</f>
        <v>Смотря откуда его начало...</v>
      </c>
      <c r="Y912" s="6" t="str">
        <f>IFERROR(__xludf.DUMMYFUNCTION("""COMPUTED_VALUE"""),"Когда его назвали Столицей")</f>
        <v>Когда его назвали Столицей</v>
      </c>
      <c r="Z912" s="6" t="str">
        <f>IFERROR(__xludf.DUMMYFUNCTION("""COMPUTED_VALUE"""),"Новые Спорткомплексы,и ниодного производства.")</f>
        <v>Новые Спорткомплексы,и ниодного производства.</v>
      </c>
      <c r="AA912" s="6" t="str">
        <f>IFERROR(__xludf.DUMMYFUNCTION("""COMPUTED_VALUE"""),"Т.Ц.Зимняя Вишня,отмена праздничных мероприятий...")</f>
        <v>Т.Ц.Зимняя Вишня,отмена праздничных мероприятий...</v>
      </c>
      <c r="AB912" s="6" t="str">
        <f>IFERROR(__xludf.DUMMYFUNCTION("""COMPUTED_VALUE"""),"Нормальных и честных")</f>
        <v>Нормальных и честных</v>
      </c>
      <c r="AC912" s="6" t="str">
        <f>IFERROR(__xludf.DUMMYFUNCTION("""COMPUTED_VALUE"""),"Честные Выборы,новые фабрики ,и заводы икультурномассовые мероприятия...")</f>
        <v>Честные Выборы,новые фабрики ,и заводы икультурномассовые мероприятия...</v>
      </c>
      <c r="AD912" s="6" t="str">
        <f>IFERROR(__xludf.DUMMYFUNCTION("""COMPUTED_VALUE"""),"Депутатом Госовета!!!")</f>
        <v>Депутатом Госовета!!!</v>
      </c>
      <c r="AE912" s="6" t="str">
        <f>IFERROR(__xludf.DUMMYFUNCTION("""COMPUTED_VALUE"""),"Мужской")</f>
        <v>Мужской</v>
      </c>
      <c r="AF912" s="6" t="str">
        <f>IFERROR(__xludf.DUMMYFUNCTION("""COMPUTED_VALUE"""),"старше 55")</f>
        <v>старше 55</v>
      </c>
      <c r="AG912" s="6"/>
      <c r="AH912" s="6"/>
      <c r="AI912" s="6"/>
      <c r="AJ912" s="6"/>
      <c r="AK912" s="6"/>
      <c r="AL912" s="6"/>
      <c r="AM912" s="6"/>
    </row>
    <row r="913">
      <c r="A913" s="6">
        <v>912.0</v>
      </c>
      <c r="B913" s="6" t="str">
        <f>IFERROR(__xludf.DUMMYFUNCTION("""COMPUTED_VALUE"""),"Работник культуры. Преподаватель. Самозанятый")</f>
        <v>Работник культуры. Преподаватель. Самозанятый</v>
      </c>
      <c r="C913" s="6" t="str">
        <f>IFERROR(__xludf.DUMMYFUNCTION("""COMPUTED_VALUE"""),"Да, рисую картины")</f>
        <v>Да, рисую картины</v>
      </c>
      <c r="D913" s="6" t="str">
        <f>IFERROR(__xludf.DUMMYFUNCTION("""COMPUTED_VALUE"""),"Ленинский район, называю Ленинским районом")</f>
        <v>Ленинский район, называю Ленинским районом</v>
      </c>
      <c r="E913" s="6" t="str">
        <f>IFERROR(__xludf.DUMMYFUNCTION("""COMPUTED_VALUE"""),"Бульвар строителей, Кольцо Победы, Губернский парк, Мечеть")</f>
        <v>Бульвар строителей, Кольцо Победы, Губернский парк, Мечеть</v>
      </c>
      <c r="F913" s="6" t="str">
        <f>IFERROR(__xludf.DUMMYFUNCTION("""COMPUTED_VALUE"""),"Переехал сюда из другого места (откуда? укажите в графе другое), Переехала учиться, потом  осталась работать и жить из г.Мыски")</f>
        <v>Переехал сюда из другого места (откуда? укажите в графе другое), Переехала учиться, потом  осталась работать и жить из г.Мыски</v>
      </c>
      <c r="G913" s="6" t="str">
        <f>IFERROR(__xludf.DUMMYFUNCTION("""COMPUTED_VALUE"""),"Люблю гулять пешком по городу от бульвара Строителей до Центра города (парк Чудес и набережная) разными маршрутами")</f>
        <v>Люблю гулять пешком по городу от бульвара Строителей до Центра города (парк Чудес и набережная) разными маршрутами</v>
      </c>
      <c r="H913" s="6" t="str">
        <f>IFERROR(__xludf.DUMMYFUNCTION("""COMPUTED_VALUE"""),"Тараканы, Чёрное небо, Патриотизм, Стройка, Пыль")</f>
        <v>Тараканы, Чёрное небо, Патриотизм, Стройка, Пыль</v>
      </c>
      <c r="I913" s="6" t="str">
        <f>IFERROR(__xludf.DUMMYFUNCTION("""COMPUTED_VALUE"""),"Андрей Панин, Борис Бурмистров, Вера Волошина, Юрий Двужильный, Алексей Леонов")</f>
        <v>Андрей Панин, Борис Бурмистров, Вера Волошина, Юрий Двужильный, Алексей Леонов</v>
      </c>
      <c r="J913" s="6" t="str">
        <f>IFERROR(__xludf.DUMMYFUNCTION("""COMPUTED_VALUE"""),"Ирина Николаевна Латынникова, Амангельды Молдагозыевич Тулеев, Евгений Гришковец,  Ирина Александровна Евса")</f>
        <v>Ирина Николаевна Латынникова, Амангельды Молдагозыевич Тулеев, Евгений Гришковец,  Ирина Александровна Евса</v>
      </c>
      <c r="K913" s="6" t="str">
        <f>IFERROR(__xludf.DUMMYFUNCTION("""COMPUTED_VALUE"""),"Надпись «КУЗБАСС» на горе, набережную, улицу Весеннюю")</f>
        <v>Надпись «КУЗБАСС» на горе, набережную, улицу Весеннюю</v>
      </c>
      <c r="L913" s="6" t="str">
        <f>IFERROR(__xludf.DUMMYFUNCTION("""COMPUTED_VALUE"""),"Не плюй в колодец, пригодится воды напиться. Не ищи красоты, ищи доброты. Кому пироги да пышки, кому желваки да шишки. Был бы хлеб, а зубы сыщутся. ")</f>
        <v>Не плюй в колодец, пригодится воды напиться. Не ищи красоты, ищи доброты. Кому пироги да пышки, кому желваки да шишки. Был бы хлеб, а зубы сыщутся. </v>
      </c>
      <c r="M913" s="6" t="str">
        <f>IFERROR(__xludf.DUMMYFUNCTION("""COMPUTED_VALUE"""),"Кулёк, Кемеровка, Щегловка, Мультифора")</f>
        <v>Кулёк, Кемеровка, Щегловка, Мультифора</v>
      </c>
      <c r="N913" s="6" t="str">
        <f>IFERROR(__xludf.DUMMYFUNCTION("""COMPUTED_VALUE"""),"1.Высокий уровень заработной платы.  2.Доступное и комфортное жилье. 3.Чистый воздух. 4.Разнообразие профессиональной среды и возможность профессионального роста. 5.Доступный транспорт в вечернее время. ")</f>
        <v>1.Высокий уровень заработной платы.  2.Доступное и комфортное жилье. 3.Чистый воздух. 4.Разнообразие профессиональной среды и возможность профессионального роста. 5.Доступный транспорт в вечернее время. </v>
      </c>
      <c r="O913" s="6" t="str">
        <f>IFERROR(__xludf.DUMMYFUNCTION("""COMPUTED_VALUE"""),"Размер оплаты труда 
Экологическую ситуацию")</f>
        <v>Размер оплаты труда 
Экологическую ситуацию</v>
      </c>
      <c r="P913" s="6" t="str">
        <f>IFERROR(__xludf.DUMMYFUNCTION("""COMPUTED_VALUE"""),"Instagram, ВКонтакте, новостные порталы в соцсетях. ")</f>
        <v>Instagram, ВКонтакте, новостные порталы в соцсетях. </v>
      </c>
      <c r="Q913"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f>
        <v>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913" s="6" t="str">
        <f>IFERROR(__xludf.DUMMYFUNCTION("""COMPUTED_VALUE"""),"День города, Новый год, Парад Победы")</f>
        <v>День города, Новый год, Парад Победы</v>
      </c>
      <c r="S913" s="6" t="str">
        <f>IFERROR(__xludf.DUMMYFUNCTION("""COMPUTED_VALUE"""),"Через социальные сети (Какие? Укажите в графе другое), Через Instagram ")</f>
        <v>Через социальные сети (Какие? Укажите в графе другое), Через Instagram </v>
      </c>
      <c r="T913" s="6" t="str">
        <f>IFERROR(__xludf.DUMMYFUNCTION("""COMPUTED_VALUE"""),"Знаменит строгостью режима, тяжелой экологической ситуацией, высокими ценами на жилье. ")</f>
        <v>Знаменит строгостью режима, тяжелой экологической ситуацией, высокими ценами на жилье. </v>
      </c>
      <c r="U913" s="6" t="str">
        <f>IFERROR(__xludf.DUMMYFUNCTION("""COMPUTED_VALUE"""),"Драматический театр и улица Весенняя, Бульвар Строителей, Бульвар Патриотов, Рудничный Бор")</f>
        <v>Драматический театр и улица Весенняя, Бульвар Строителей, Бульвар Патриотов, Рудничный Бор</v>
      </c>
      <c r="V913" s="6" t="str">
        <f>IFERROR(__xludf.DUMMYFUNCTION("""COMPUTED_VALUE"""),"Сформировали морально крепкое население, воспитали достойно своих детей. Кемеровчане разных времён всегда шли к вершинам, пусть через тернистые пути, но шли не сгибаясь к своей цели. Мне вообще кажется, что мы целеустремленный народ. Город всегда формирую"&amp;"т люди, которые в нем живут. ")</f>
        <v>Сформировали морально крепкое население, воспитали достойно своих детей. Кемеровчане разных времён всегда шли к вершинам, пусть через тернистые пути, но шли не сгибаясь к своей цели. Мне вообще кажется, что мы целеустремленный народ. Город всегда формируют люди, которые в нем живут. </v>
      </c>
      <c r="W913" s="6" t="str">
        <f>IFERROR(__xludf.DUMMYFUNCTION("""COMPUTED_VALUE"""),"Целеустремленные, терпеливые, добрые, упорные, несгибаемые, душевные, с верой в людей. ")</f>
        <v>Целеустремленные, терпеливые, добрые, упорные, несгибаемые, душевные, с верой в людей. </v>
      </c>
      <c r="X913" s="6" t="str">
        <f>IFERROR(__xludf.DUMMYFUNCTION("""COMPUTED_VALUE"""),"Пеший маршрут от бульвара Строителей по проспекту Ленина до Цирка, по Советскому проспекту до тц Я, по Кузнецкому мосту до Рудничного бора с восхождением к буквам «Кузбасс»")</f>
        <v>Пеший маршрут от бульвара Строителей по проспекту Ленина до Цирка, по Советскому проспекту до тц Я, по Кузнецкому мосту до Рудничного бора с восхождением к буквам «Кузбасс»</v>
      </c>
      <c r="Y913" s="6" t="str">
        <f>IFERROR(__xludf.DUMMYFUNCTION("""COMPUTED_VALUE"""),"100 летие города в 2018 году ")</f>
        <v>100 летие города в 2018 году </v>
      </c>
      <c r="Z913" s="6" t="str">
        <f>IFERROR(__xludf.DUMMYFUNCTION("""COMPUTED_VALUE"""),"Начало строительства культурного кластера")</f>
        <v>Начало строительства культурного кластера</v>
      </c>
      <c r="AA913" s="6" t="str">
        <f>IFERROR(__xludf.DUMMYFUNCTION("""COMPUTED_VALUE"""),"Постоянное возведение судов в нашем городе.
То, что губернатор не смог своевременно решить конфликт в Черемзе.  
Если чуть отойти во времени назад - события Зимней Вишни. ")</f>
        <v>Постоянное возведение судов в нашем городе.
То, что губернатор не смог своевременно решить конфликт в Черемзе.  
Если чуть отойти во времени назад - события Зимней Вишни. </v>
      </c>
      <c r="AB913" s="6" t="str">
        <f>IFERROR(__xludf.DUMMYFUNCTION("""COMPUTED_VALUE"""),"Открытых культурных пространств, площадок для реализации культурных проектов, ведения мастер-классов и организации лекций по культуре. ")</f>
        <v>Открытых культурных пространств, площадок для реализации культурных проектов, ведения мастер-классов и организации лекций по культуре. </v>
      </c>
      <c r="AC913" s="6" t="str">
        <f>IFERROR(__xludf.DUMMYFUNCTION("""COMPUTED_VALUE"""),"Городские фестивали крупного масштаба, у нас есть театральный фестиваль, но о нем никто не знает, потому что нет должной поддержки от региона. Можно превратить его в эдакий карнавал Рио-де-Жанейро, только в масштабах города Кемерово и области. ")</f>
        <v>Городские фестивали крупного масштаба, у нас есть театральный фестиваль, но о нем никто не знает, потому что нет должной поддержки от региона. Можно превратить его в эдакий карнавал Рио-де-Жанейро, только в масштабах города Кемерово и области. </v>
      </c>
      <c r="AD91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за"&amp;"интересованных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913" s="6" t="str">
        <f>IFERROR(__xludf.DUMMYFUNCTION("""COMPUTED_VALUE"""),"Женский")</f>
        <v>Женский</v>
      </c>
      <c r="AF913" s="6" t="str">
        <f>IFERROR(__xludf.DUMMYFUNCTION("""COMPUTED_VALUE"""),"18-29")</f>
        <v>18-29</v>
      </c>
      <c r="AG913" s="6"/>
      <c r="AH913" s="6"/>
      <c r="AI913" s="6"/>
      <c r="AJ913" s="6"/>
      <c r="AK913" s="6"/>
      <c r="AL913" s="6"/>
      <c r="AM913" s="6"/>
    </row>
    <row r="914">
      <c r="A914" s="6">
        <v>913.0</v>
      </c>
      <c r="B914" s="6" t="str">
        <f>IFERROR(__xludf.DUMMYFUNCTION("""COMPUTED_VALUE"""),"Преподаватель")</f>
        <v>Преподаватель</v>
      </c>
      <c r="C914" s="6" t="str">
        <f>IFERROR(__xludf.DUMMYFUNCTION("""COMPUTED_VALUE"""),"Рукоделие, вышивка")</f>
        <v>Рукоделие, вышивка</v>
      </c>
      <c r="D914" s="6" t="str">
        <f>IFERROR(__xludf.DUMMYFUNCTION("""COMPUTED_VALUE"""),"Центральный, Юный техникой творчества")</f>
        <v>Центральный, Юный техникой творчества</v>
      </c>
      <c r="E914" s="6" t="str">
        <f>IFERROR(__xludf.DUMMYFUNCTION("""COMPUTED_VALUE"""),"Дом творчества,  Универсам 2, Онкодиспансер")</f>
        <v>Дом творчества,  Универсам 2, Онкодиспансер</v>
      </c>
      <c r="F914" s="6" t="str">
        <f>IFERROR(__xludf.DUMMYFUNCTION("""COMPUTED_VALUE"""),"Переехал сюда из другого места (откуда? укажите в графе другое), Вышла замуж, приехала из Анжеро-Судженска")</f>
        <v>Переехал сюда из другого места (откуда? укажите в графе другое), Вышла замуж, приехала из Анжеро-Судженска</v>
      </c>
      <c r="G914" s="6" t="str">
        <f>IFERROR(__xludf.DUMMYFUNCTION("""COMPUTED_VALUE"""),"Бульвар Строителей, парк В.Волошиной")</f>
        <v>Бульвар Строителей, парк В.Волошиной</v>
      </c>
      <c r="H914" s="6" t="str">
        <f>IFERROR(__xludf.DUMMYFUNCTION("""COMPUTED_VALUE"""),"Тайга,  дорога, колба, шахта, театр")</f>
        <v>Тайга,  дорога, колба, шахта, театр</v>
      </c>
      <c r="I914" s="6" t="str">
        <f>IFERROR(__xludf.DUMMYFUNCTION("""COMPUTED_VALUE"""),"Волков, Леонов, Тулеев, Машков")</f>
        <v>Волков, Леонов, Тулеев, Машков</v>
      </c>
      <c r="J914" s="6" t="str">
        <f>IFERROR(__xludf.DUMMYFUNCTION("""COMPUTED_VALUE"""),"Тулеев")</f>
        <v>Тулеев</v>
      </c>
      <c r="K914" s="6" t="str">
        <f>IFERROR(__xludf.DUMMYFUNCTION("""COMPUTED_VALUE"""),"Красная горка, бот .сад")</f>
        <v>Красная горка, бот .сад</v>
      </c>
      <c r="L914" s="6" t="str">
        <f>IFERROR(__xludf.DUMMYFUNCTION("""COMPUTED_VALUE"""),"Когла-то в детстве, я думала, что в Кемерово есть мужчины, которые красят глаза. Оказалось, что это шахтеры)")</f>
        <v>Когла-то в детстве, я думала, что в Кемерово есть мужчины, которые красят глаза. Оказалось, что это шахтеры)</v>
      </c>
      <c r="M914" s="6" t="str">
        <f>IFERROR(__xludf.DUMMYFUNCTION("""COMPUTED_VALUE"""),"Пихтач , валенок сибирский")</f>
        <v>Пихтач , валенок сибирский</v>
      </c>
      <c r="N914" s="6" t="str">
        <f>IFERROR(__xludf.DUMMYFUNCTION("""COMPUTED_VALUE"""),"Чистота, отсутствие преступности, наличие парковой зоны для прогулок и отдыха,  достаточное количество транспорта в разных направлениях,  площадки для детей разных возрастов")</f>
        <v>Чистота, отсутствие преступности, наличие парковой зоны для прогулок и отдыха,  достаточное количество транспорта в разных направлениях,  площадки для детей разных возрастов</v>
      </c>
      <c r="O914" s="6" t="str">
        <f>IFERROR(__xludf.DUMMYFUNCTION("""COMPUTED_VALUE"""),"Власть")</f>
        <v>Власть</v>
      </c>
      <c r="P914" s="6" t="str">
        <f>IFERROR(__xludf.DUMMYFUNCTION("""COMPUTED_VALUE"""),"ВКонтакте, СМИ(местные каналы ТВ)")</f>
        <v>ВКонтакте, СМИ(местные каналы ТВ)</v>
      </c>
      <c r="Q914" s="6" t="str">
        <f>IFERROR(__xludf.DUMMYFUNCTION("""COMPUTED_VALUE"""),"городская афиша (кино/театр/концерты), интервью с местными творческими личностями, криминальные новости (происшествия/преступления)")</f>
        <v>городская афиша (кино/театр/концерты), интервью с местными творческими личностями, криминальные новости (происшествия/преступления)</v>
      </c>
      <c r="R914" s="6" t="str">
        <f>IFERROR(__xludf.DUMMYFUNCTION("""COMPUTED_VALUE"""),"День шахтёра, 9 мая, День города")</f>
        <v>День шахтёра, 9 мая, День города</v>
      </c>
      <c r="S914" s="6" t="str">
        <f>IFERROR(__xludf.DUMMYFUNCTION("""COMPUTED_VALUE"""),"Через социальные сети (Какие? Укажите в графе другое), Вконтакте")</f>
        <v>Через социальные сети (Какие? Укажите в графе другое), Вконтакте</v>
      </c>
      <c r="T914" s="6" t="str">
        <f>IFERROR(__xludf.DUMMYFUNCTION("""COMPUTED_VALUE"""),"Каретки корпус, строящийся культурный кластер")</f>
        <v>Каретки корпус, строящийся культурный кластер</v>
      </c>
      <c r="U914" s="6" t="str">
        <f>IFERROR(__xludf.DUMMYFUNCTION("""COMPUTED_VALUE"""),"Ул. Весенняя, Набережная р.Томь, пр.Советский")</f>
        <v>Ул. Весенняя, Набережная р.Томь, пр.Советский</v>
      </c>
      <c r="V914" s="6" t="str">
        <f>IFERROR(__xludf.DUMMYFUNCTION("""COMPUTED_VALUE"""),"Театры, предприятия ")</f>
        <v>Театры, предприятия </v>
      </c>
      <c r="W914" s="6" t="str">
        <f>IFERROR(__xludf.DUMMYFUNCTION("""COMPUTED_VALUE"""),"Озлобленные, бескультурные")</f>
        <v>Озлобленные, бескультурные</v>
      </c>
      <c r="X914" s="6" t="str">
        <f>IFERROR(__xludf.DUMMYFUNCTION("""COMPUTED_VALUE"""),"От Набережной до Лесной Поляны")</f>
        <v>От Набережной до Лесной Поляны</v>
      </c>
      <c r="Y914" s="6" t="str">
        <f>IFERROR(__xludf.DUMMYFUNCTION("""COMPUTED_VALUE"""),"Строительство культурного кластера в центре города")</f>
        <v>Строительство культурного кластера в центре города</v>
      </c>
      <c r="Z914" s="6" t="str">
        <f>IFERROR(__xludf.DUMMYFUNCTION("""COMPUTED_VALUE"""),"Затрудняюсь ")</f>
        <v>Затрудняюсь </v>
      </c>
      <c r="AA914" s="6" t="str">
        <f>IFERROR(__xludf.DUMMYFUNCTION("""COMPUTED_VALUE"""),"Закрытие на ремонт бассейна Лазурный")</f>
        <v>Закрытие на ремонт бассейна Лазурный</v>
      </c>
      <c r="AB914" s="6" t="str">
        <f>IFERROR(__xludf.DUMMYFUNCTION("""COMPUTED_VALUE"""),"Затрудняюсь ")</f>
        <v>Затрудняюсь </v>
      </c>
      <c r="AC914" s="6" t="str">
        <f>IFERROR(__xludf.DUMMYFUNCTION("""COMPUTED_VALUE"""),"Открытие новых зон отдыха для горожан в разное время гола")</f>
        <v>Открытие новых зон отдыха для горожан в разное время гола</v>
      </c>
      <c r="AD914"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914" s="6" t="str">
        <f>IFERROR(__xludf.DUMMYFUNCTION("""COMPUTED_VALUE"""),"Женский")</f>
        <v>Женский</v>
      </c>
      <c r="AF914" s="6" t="str">
        <f>IFERROR(__xludf.DUMMYFUNCTION("""COMPUTED_VALUE"""),"30-44")</f>
        <v>30-44</v>
      </c>
      <c r="AG914" s="6"/>
      <c r="AH914" s="6"/>
      <c r="AI914" s="6"/>
      <c r="AJ914" s="6"/>
      <c r="AK914" s="6"/>
      <c r="AL914" s="6"/>
      <c r="AM914" s="6"/>
    </row>
    <row r="915">
      <c r="A915" s="6">
        <v>914.0</v>
      </c>
      <c r="B915" s="6" t="str">
        <f>IFERROR(__xludf.DUMMYFUNCTION("""COMPUTED_VALUE"""),"Спортивная деятельность")</f>
        <v>Спортивная деятельность</v>
      </c>
      <c r="C915" s="6" t="str">
        <f>IFERROR(__xludf.DUMMYFUNCTION("""COMPUTED_VALUE"""),"Бег")</f>
        <v>Бег</v>
      </c>
      <c r="D915" s="6" t="str">
        <f>IFERROR(__xludf.DUMMYFUNCTION("""COMPUTED_VALUE"""),"Заводский район, ФПК")</f>
        <v>Заводский район, ФПК</v>
      </c>
      <c r="E915" s="6" t="str">
        <f>IFERROR(__xludf.DUMMYFUNCTION("""COMPUTED_VALUE"""),"Ледовая Арена Кемерово")</f>
        <v>Ледовая Арена Кемерово</v>
      </c>
      <c r="F915" s="6" t="str">
        <f>IFERROR(__xludf.DUMMYFUNCTION("""COMPUTED_VALUE"""),"Переехал сюда из другого места (откуда? укажите в графе другое), Переехала из Ленинска-Кузнецкого, более удобная инфраструктура")</f>
        <v>Переехал сюда из другого места (откуда? укажите в графе другое), Переехала из Ленинска-Кузнецкого, более удобная инфраструктура</v>
      </c>
      <c r="G915" s="6" t="str">
        <f>IFERROR(__xludf.DUMMYFUNCTION("""COMPUTED_VALUE"""),"Парк им В. Волошиной, парк Победы им. Г.К. Жукова ")</f>
        <v>Парк им В. Волошиной, парк Победы им. Г.К. Жукова </v>
      </c>
      <c r="H915" s="6" t="str">
        <f>IFERROR(__xludf.DUMMYFUNCTION("""COMPUTED_VALUE"""),"Приветливый, солнечный, спортивный, культурный")</f>
        <v>Приветливый, солнечный, спортивный, культурный</v>
      </c>
      <c r="I915" s="6" t="str">
        <f>IFERROR(__xludf.DUMMYFUNCTION("""COMPUTED_VALUE"""),"Эрнест Иванович Иванов")</f>
        <v>Эрнест Иванович Иванов</v>
      </c>
      <c r="J915" s="6" t="str">
        <f>IFERROR(__xludf.DUMMYFUNCTION("""COMPUTED_VALUE"""),"Елена Груднева")</f>
        <v>Елена Груднева</v>
      </c>
      <c r="K915" s="6" t="str">
        <f>IFERROR(__xludf.DUMMYFUNCTION("""COMPUTED_VALUE"""),"Музей-заповедник ""Красная горка""")</f>
        <v>Музей-заповедник "Красная горка"</v>
      </c>
      <c r="L915" s="6" t="str">
        <f>IFERROR(__xludf.DUMMYFUNCTION("""COMPUTED_VALUE"""),"Не знаю")</f>
        <v>Не знаю</v>
      </c>
      <c r="M915" s="6" t="str">
        <f>IFERROR(__xludf.DUMMYFUNCTION("""COMPUTED_VALUE"""),"Человек из Кемерово")</f>
        <v>Человек из Кемерово</v>
      </c>
      <c r="N915" s="6" t="str">
        <f>IFERROR(__xludf.DUMMYFUNCTION("""COMPUTED_VALUE"""),"Спортивные объекты
Комфортные спортивные стадионы
Объекты культуры
Современные детские площадки")</f>
        <v>Спортивные объекты
Комфортные спортивные стадионы
Объекты культуры
Современные детские площадки</v>
      </c>
      <c r="O915" s="6" t="str">
        <f>IFERROR(__xludf.DUMMYFUNCTION("""COMPUTED_VALUE"""),"Увеличить количество комфортных спортивных стадионов")</f>
        <v>Увеличить количество комфортных спортивных стадионов</v>
      </c>
      <c r="P915" s="6" t="str">
        <f>IFERROR(__xludf.DUMMYFUNCTION("""COMPUTED_VALUE"""),"Инстаграмм")</f>
        <v>Инстаграмм</v>
      </c>
      <c r="Q915" s="6" t="str">
        <f>IFERROR(__xludf.DUMMYFUNCTION("""COMPUTED_VALUE"""),"куда пойти в свободное время, городская афиша (кино/театр/концерты), культурные новинки (что почитать/что послушать), бизнес-новости (средний чек/рекламные акции/запуск новых предприятий), Спортивные новости")</f>
        <v>куда пойти в свободное время, городская афиша (кино/театр/концерты), культурные новинки (что почитать/что послушать), бизнес-новости (средний чек/рекламные акции/запуск новых предприятий), Спортивные новости</v>
      </c>
      <c r="R915" s="6" t="str">
        <f>IFERROR(__xludf.DUMMYFUNCTION("""COMPUTED_VALUE"""),"День города")</f>
        <v>День города</v>
      </c>
      <c r="S915" s="6" t="str">
        <f>IFERROR(__xludf.DUMMYFUNCTION("""COMPUTED_VALUE"""),"Нет, не приходилось")</f>
        <v>Нет, не приходилось</v>
      </c>
      <c r="T915" s="6" t="str">
        <f>IFERROR(__xludf.DUMMYFUNCTION("""COMPUTED_VALUE"""),"Спортивными достижениями")</f>
        <v>Спортивными достижениями</v>
      </c>
      <c r="U915" s="6" t="str">
        <f>IFERROR(__xludf.DUMMYFUNCTION("""COMPUTED_VALUE"""),"Кинотеатр Юбилейный")</f>
        <v>Кинотеатр Юбилейный</v>
      </c>
      <c r="V915" s="6" t="str">
        <f>IFERROR(__xludf.DUMMYFUNCTION("""COMPUTED_VALUE"""),"Спортивный результат")</f>
        <v>Спортивный результат</v>
      </c>
      <c r="W915" s="6" t="str">
        <f>IFERROR(__xludf.DUMMYFUNCTION("""COMPUTED_VALUE"""),"Раздражённые, но в глубине души - добрые")</f>
        <v>Раздражённые, но в глубине души - добрые</v>
      </c>
      <c r="X915" s="6" t="str">
        <f>IFERROR(__xludf.DUMMYFUNCTION("""COMPUTED_VALUE"""),"улица Весенняя")</f>
        <v>улица Весенняя</v>
      </c>
      <c r="Y915" s="6" t="str">
        <f>IFERROR(__xludf.DUMMYFUNCTION("""COMPUTED_VALUE"""),"26 января 1943 года Указом Президиума Верховного Совета СССР Кузбасский промышленный регион выделяется в самостоятельную область. Кемерово становится административным центром Кемеровской области")</f>
        <v>26 января 1943 года Указом Президиума Верховного Совета СССР Кузбасский промышленный регион выделяется в самостоятельную область. Кемерово становится административным центром Кемеровской области</v>
      </c>
      <c r="Z915" s="6" t="str">
        <f>IFERROR(__xludf.DUMMYFUNCTION("""COMPUTED_VALUE"""),"Рок фестиваль")</f>
        <v>Рок фестиваль</v>
      </c>
      <c r="AA915" s="6" t="str">
        <f>IFERROR(__xludf.DUMMYFUNCTION("""COMPUTED_VALUE"""),"нет")</f>
        <v>нет</v>
      </c>
      <c r="AB915" s="6" t="str">
        <f>IFERROR(__xludf.DUMMYFUNCTION("""COMPUTED_VALUE"""),"Никаких")</f>
        <v>Никаких</v>
      </c>
      <c r="AC915" s="6" t="str">
        <f>IFERROR(__xludf.DUMMYFUNCTION("""COMPUTED_VALUE"""),"Беговых марафонов")</f>
        <v>Беговых марафонов</v>
      </c>
      <c r="AD915" s="6" t="str">
        <f>IFERROR(__xludf.DUMMYFUNCTION("""COMPUTED_VALUE"""),"Не готов принимать личное участие (укажите, пожалуйста, причину в поле «Другое»), Запустить свой предпринимательский проект, организовать компанию.")</f>
        <v>Не готов принимать личное участие (укажите, пожалуйста, причину в поле «Другое»), Запустить свой предпринимательский проект, организовать компанию.</v>
      </c>
      <c r="AE915" s="6" t="str">
        <f>IFERROR(__xludf.DUMMYFUNCTION("""COMPUTED_VALUE"""),"Женский")</f>
        <v>Женский</v>
      </c>
      <c r="AF915" s="6" t="str">
        <f>IFERROR(__xludf.DUMMYFUNCTION("""COMPUTED_VALUE"""),"30-44")</f>
        <v>30-44</v>
      </c>
      <c r="AG915" s="6"/>
      <c r="AH915" s="6"/>
      <c r="AI915" s="6"/>
      <c r="AJ915" s="6"/>
      <c r="AK915" s="6"/>
      <c r="AL915" s="6"/>
      <c r="AM915" s="6"/>
    </row>
    <row r="916">
      <c r="A916" s="6">
        <v>915.0</v>
      </c>
      <c r="B916" s="6" t="str">
        <f>IFERROR(__xludf.DUMMYFUNCTION("""COMPUTED_VALUE"""),"Студентка")</f>
        <v>Студентка</v>
      </c>
      <c r="C916" s="6" t="str">
        <f>IFERROR(__xludf.DUMMYFUNCTION("""COMPUTED_VALUE"""),"Читаю книги")</f>
        <v>Читаю книги</v>
      </c>
      <c r="D916" s="6" t="str">
        <f>IFERROR(__xludf.DUMMYFUNCTION("""COMPUTED_VALUE"""),"Заводской")</f>
        <v>Заводской</v>
      </c>
      <c r="E916" s="6" t="str">
        <f>IFERROR(__xludf.DUMMYFUNCTION("""COMPUTED_VALUE"""),"Парк ангелов,парк чудес,парк победы,парк антошка")</f>
        <v>Парк ангелов,парк чудес,парк победы,парк антошка</v>
      </c>
      <c r="F916" s="6" t="str">
        <f>IFERROR(__xludf.DUMMYFUNCTION("""COMPUTED_VALUE"""),"Живу здесь с рождения")</f>
        <v>Живу здесь с рождения</v>
      </c>
      <c r="G916" s="6" t="str">
        <f>IFERROR(__xludf.DUMMYFUNCTION("""COMPUTED_VALUE"""),"Гуляю по всему городу")</f>
        <v>Гуляю по всему городу</v>
      </c>
      <c r="H916" s="6" t="str">
        <f>IFERROR(__xludf.DUMMYFUNCTION("""COMPUTED_VALUE"""),"Уголь,шахтер,шахта,сибирь,тайга")</f>
        <v>Уголь,шахтер,шахта,сибирь,тайга</v>
      </c>
      <c r="I916" s="6" t="str">
        <f>IFERROR(__xludf.DUMMYFUNCTION("""COMPUTED_VALUE"""),"Вера")</f>
        <v>Вера</v>
      </c>
      <c r="J916" s="6" t="str">
        <f>IFERROR(__xludf.DUMMYFUNCTION("""COMPUTED_VALUE"""),"Герои")</f>
        <v>Герои</v>
      </c>
      <c r="K916" s="6" t="str">
        <f>IFERROR(__xludf.DUMMYFUNCTION("""COMPUTED_VALUE"""),"Памятник шахтерам")</f>
        <v>Памятник шахтерам</v>
      </c>
      <c r="L916" s="6" t="str">
        <f>IFERROR(__xludf.DUMMYFUNCTION("""COMPUTED_VALUE"""),"Не знаю")</f>
        <v>Не знаю</v>
      </c>
      <c r="M916" s="6" t="str">
        <f>IFERROR(__xludf.DUMMYFUNCTION("""COMPUTED_VALUE"""),"Да")</f>
        <v>Да</v>
      </c>
      <c r="N916" s="6" t="str">
        <f>IFERROR(__xludf.DUMMYFUNCTION("""COMPUTED_VALUE"""),"Чистота")</f>
        <v>Чистота</v>
      </c>
      <c r="O916" s="6" t="str">
        <f>IFERROR(__xludf.DUMMYFUNCTION("""COMPUTED_VALUE"""),"Дороги")</f>
        <v>Дороги</v>
      </c>
      <c r="P916" s="6" t="str">
        <f>IFERROR(__xludf.DUMMYFUNCTION("""COMPUTED_VALUE"""),"Инстаграмм,вконтакте")</f>
        <v>Инстаграмм,вконтакте</v>
      </c>
      <c r="Q916"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f>
        <v>где вкусно поесть/открытие новых кафе/ресторанов, городская афиша (кино/театр/концерты), культурные новинки (что почитать/что послушать)</v>
      </c>
      <c r="R916" s="6" t="str">
        <f>IFERROR(__xludf.DUMMYFUNCTION("""COMPUTED_VALUE"""),"День города")</f>
        <v>День города</v>
      </c>
      <c r="S916" s="6" t="str">
        <f>IFERROR(__xludf.DUMMYFUNCTION("""COMPUTED_VALUE"""),"Нет, не приходилось")</f>
        <v>Нет, не приходилось</v>
      </c>
      <c r="T916" s="6" t="str">
        <f>IFERROR(__xludf.DUMMYFUNCTION("""COMPUTED_VALUE"""),"Уголь")</f>
        <v>Уголь</v>
      </c>
      <c r="U916" s="6" t="str">
        <f>IFERROR(__xludf.DUMMYFUNCTION("""COMPUTED_VALUE"""),"Фантан")</f>
        <v>Фантан</v>
      </c>
      <c r="V916" s="6" t="str">
        <f>IFERROR(__xludf.DUMMYFUNCTION("""COMPUTED_VALUE"""),"Победа")</f>
        <v>Победа</v>
      </c>
      <c r="W916" s="6" t="str">
        <f>IFERROR(__xludf.DUMMYFUNCTION("""COMPUTED_VALUE"""),"Обысные люди")</f>
        <v>Обысные люди</v>
      </c>
      <c r="X916" s="6" t="str">
        <f>IFERROR(__xludf.DUMMYFUNCTION("""COMPUTED_VALUE"""),"Кузнецкий мост")</f>
        <v>Кузнецкий мост</v>
      </c>
      <c r="Y916" s="6" t="str">
        <f>IFERROR(__xludf.DUMMYFUNCTION("""COMPUTED_VALUE"""),"300 лет Кузбасса")</f>
        <v>300 лет Кузбасса</v>
      </c>
      <c r="Z916" s="6" t="str">
        <f>IFERROR(__xludf.DUMMYFUNCTION("""COMPUTED_VALUE"""),"День города,салют")</f>
        <v>День города,салют</v>
      </c>
      <c r="AA916" s="6" t="str">
        <f>IFERROR(__xludf.DUMMYFUNCTION("""COMPUTED_VALUE"""),"Не было такого")</f>
        <v>Не было такого</v>
      </c>
      <c r="AB916" s="6" t="str">
        <f>IFERROR(__xludf.DUMMYFUNCTION("""COMPUTED_VALUE"""),"Всего хватает")</f>
        <v>Всего хватает</v>
      </c>
      <c r="AC916" s="6" t="str">
        <f>IFERROR(__xludf.DUMMYFUNCTION("""COMPUTED_VALUE"""),"Больше музыкальных мероприятий")</f>
        <v>Больше музыкальных мероприятий</v>
      </c>
      <c r="AD91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916" s="6" t="str">
        <f>IFERROR(__xludf.DUMMYFUNCTION("""COMPUTED_VALUE"""),"Женский")</f>
        <v>Женский</v>
      </c>
      <c r="AF916" s="6" t="str">
        <f>IFERROR(__xludf.DUMMYFUNCTION("""COMPUTED_VALUE"""),"18-29")</f>
        <v>18-29</v>
      </c>
      <c r="AG916" s="6"/>
      <c r="AH916" s="6"/>
      <c r="AI916" s="6"/>
      <c r="AJ916" s="6"/>
      <c r="AK916" s="6"/>
      <c r="AL916" s="6"/>
      <c r="AM916" s="6"/>
    </row>
    <row r="917">
      <c r="A917" s="6">
        <v>916.0</v>
      </c>
      <c r="B917" s="6" t="str">
        <f>IFERROR(__xludf.DUMMYFUNCTION("""COMPUTED_VALUE"""),"Работаю")</f>
        <v>Работаю</v>
      </c>
      <c r="C917" s="6" t="str">
        <f>IFERROR(__xludf.DUMMYFUNCTION("""COMPUTED_VALUE"""),"Нет")</f>
        <v>Нет</v>
      </c>
      <c r="D917" s="6" t="str">
        <f>IFERROR(__xludf.DUMMYFUNCTION("""COMPUTED_VALUE"""),"Южный")</f>
        <v>Южный</v>
      </c>
      <c r="E917" s="6" t="str">
        <f>IFERROR(__xludf.DUMMYFUNCTION("""COMPUTED_VALUE"""),"Парк Чудес")</f>
        <v>Парк Чудес</v>
      </c>
      <c r="F917" s="6" t="str">
        <f>IFERROR(__xludf.DUMMYFUNCTION("""COMPUTED_VALUE"""),"Живу здесь с рождения")</f>
        <v>Живу здесь с рождения</v>
      </c>
      <c r="G917" s="6" t="str">
        <f>IFERROR(__xludf.DUMMYFUNCTION("""COMPUTED_VALUE"""),"Бульвар Патриотов")</f>
        <v>Бульвар Патриотов</v>
      </c>
      <c r="H917" s="6" t="str">
        <f>IFERROR(__xludf.DUMMYFUNCTION("""COMPUTED_VALUE"""),"Кузбасс, набережная, парк Победы, вечный огонь, фонтан")</f>
        <v>Кузбасс, набережная, парк Победы, вечный огонь, фонтан</v>
      </c>
      <c r="I917" s="6" t="str">
        <f>IFERROR(__xludf.DUMMYFUNCTION("""COMPUTED_VALUE"""),"Двужильный, Волошина")</f>
        <v>Двужильный, Волошина</v>
      </c>
      <c r="J917" s="6" t="str">
        <f>IFERROR(__xludf.DUMMYFUNCTION("""COMPUTED_VALUE"""),"Нет")</f>
        <v>Нет</v>
      </c>
      <c r="K917" s="6" t="str">
        <f>IFERROR(__xludf.DUMMYFUNCTION("""COMPUTED_VALUE"""),"Нет")</f>
        <v>Нет</v>
      </c>
      <c r="L917" s="6" t="str">
        <f>IFERROR(__xludf.DUMMYFUNCTION("""COMPUTED_VALUE"""),"Нет")</f>
        <v>Нет</v>
      </c>
      <c r="M917" s="6" t="str">
        <f>IFERROR(__xludf.DUMMYFUNCTION("""COMPUTED_VALUE"""),"Нет")</f>
        <v>Нет</v>
      </c>
      <c r="N917" s="6" t="str">
        <f>IFERROR(__xludf.DUMMYFUNCTION("""COMPUTED_VALUE"""),"Нет")</f>
        <v>Нет</v>
      </c>
      <c r="O917" s="6" t="str">
        <f>IFERROR(__xludf.DUMMYFUNCTION("""COMPUTED_VALUE"""),"Экологию")</f>
        <v>Экологию</v>
      </c>
      <c r="P917" s="6" t="str">
        <f>IFERROR(__xludf.DUMMYFUNCTION("""COMPUTED_VALUE"""),"Инстаграм")</f>
        <v>Инстаграм</v>
      </c>
      <c r="Q917" s="6" t="str">
        <f>IFERROR(__xludf.DUMMYFUNCTION("""COMPUTED_VALUE"""),"городская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"&amp;"свои предложения)")</f>
        <v>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v>
      </c>
      <c r="R917" s="6" t="str">
        <f>IFERROR(__xludf.DUMMYFUNCTION("""COMPUTED_VALUE"""),"Масленица")</f>
        <v>Масленица</v>
      </c>
      <c r="S917" s="6" t="str">
        <f>IFERROR(__xludf.DUMMYFUNCTION("""COMPUTED_VALUE"""),"Нет, не приходилось")</f>
        <v>Нет, не приходилось</v>
      </c>
      <c r="T917" s="6" t="str">
        <f>IFERROR(__xludf.DUMMYFUNCTION("""COMPUTED_VALUE"""),"Плохой экологией")</f>
        <v>Плохой экологией</v>
      </c>
      <c r="U917" s="6" t="str">
        <f>IFERROR(__xludf.DUMMYFUNCTION("""COMPUTED_VALUE"""),"Фонтан")</f>
        <v>Фонтан</v>
      </c>
      <c r="V917" s="6" t="str">
        <f>IFERROR(__xludf.DUMMYFUNCTION("""COMPUTED_VALUE"""),"Нет")</f>
        <v>Нет</v>
      </c>
      <c r="W917" s="6" t="str">
        <f>IFERROR(__xludf.DUMMYFUNCTION("""COMPUTED_VALUE"""),"Нет")</f>
        <v>Нет</v>
      </c>
      <c r="X917" s="6" t="str">
        <f>IFERROR(__xludf.DUMMYFUNCTION("""COMPUTED_VALUE"""),"Нет")</f>
        <v>Нет</v>
      </c>
      <c r="Y917" s="6" t="str">
        <f>IFERROR(__xludf.DUMMYFUNCTION("""COMPUTED_VALUE"""),"Нет")</f>
        <v>Нет</v>
      </c>
      <c r="Z917" s="6" t="str">
        <f>IFERROR(__xludf.DUMMYFUNCTION("""COMPUTED_VALUE"""),"Нет")</f>
        <v>Нет</v>
      </c>
      <c r="AA917" s="6" t="str">
        <f>IFERROR(__xludf.DUMMYFUNCTION("""COMPUTED_VALUE"""),"Нет")</f>
        <v>Нет</v>
      </c>
      <c r="AB917" s="6" t="str">
        <f>IFERROR(__xludf.DUMMYFUNCTION("""COMPUTED_VALUE"""),"Нет")</f>
        <v>Нет</v>
      </c>
      <c r="AC917" s="6" t="str">
        <f>IFERROR(__xludf.DUMMYFUNCTION("""COMPUTED_VALUE"""),"Нет")</f>
        <v>Нет</v>
      </c>
      <c r="AD91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917" s="6" t="str">
        <f>IFERROR(__xludf.DUMMYFUNCTION("""COMPUTED_VALUE"""),"Женский")</f>
        <v>Женский</v>
      </c>
      <c r="AF917" s="6" t="str">
        <f>IFERROR(__xludf.DUMMYFUNCTION("""COMPUTED_VALUE"""),"30-44")</f>
        <v>30-44</v>
      </c>
      <c r="AG917" s="6"/>
      <c r="AH917" s="6"/>
      <c r="AI917" s="6"/>
      <c r="AJ917" s="6"/>
      <c r="AK917" s="6"/>
      <c r="AL917" s="6"/>
      <c r="AM917" s="6"/>
    </row>
    <row r="918">
      <c r="A918" s="6">
        <v>917.0</v>
      </c>
      <c r="B918" s="6" t="str">
        <f>IFERROR(__xludf.DUMMYFUNCTION("""COMPUTED_VALUE"""),"Музыкант")</f>
        <v>Музыкант</v>
      </c>
      <c r="C918" s="6" t="str">
        <f>IFERROR(__xludf.DUMMYFUNCTION("""COMPUTED_VALUE"""),"Вышивание, вязание, йога")</f>
        <v>Вышивание, вязание, йога</v>
      </c>
      <c r="D918" s="6" t="str">
        <f>IFERROR(__xludf.DUMMYFUNCTION("""COMPUTED_VALUE"""),"Ленинский")</f>
        <v>Ленинский</v>
      </c>
      <c r="E918" s="6" t="str">
        <f>IFERROR(__xludf.DUMMYFUNCTION("""COMPUTED_VALUE"""),"Бр. Строителей, фонтан, где медведица с Умкой")</f>
        <v>Бр. Строителей, фонтан, где медведица с Умкой</v>
      </c>
      <c r="F918" s="6" t="str">
        <f>IFERROR(__xludf.DUMMYFUNCTION("""COMPUTED_VALUE"""),"Переехал сюда из другого места (откуда? укажите в графе другое), По распределению")</f>
        <v>Переехал сюда из другого места (откуда? укажите в графе другое), По распределению</v>
      </c>
      <c r="G918" s="6" t="str">
        <f>IFERROR(__xludf.DUMMYFUNCTION("""COMPUTED_VALUE"""),"Бр. Строителей, парк Победы, притомская набережная")</f>
        <v>Бр. Строителей, парк Победы, притомская набережная</v>
      </c>
      <c r="H918" s="6" t="str">
        <f>IFERROR(__xludf.DUMMYFUNCTION("""COMPUTED_VALUE"""),"Кузбасс, Сибирь, шахтер, уголь, тайга")</f>
        <v>Кузбасс, Сибирь, шахтер, уголь, тайга</v>
      </c>
      <c r="I918" s="6" t="str">
        <f>IFERROR(__xludf.DUMMYFUNCTION("""COMPUTED_VALUE"""),"Вера Волошина, Михайло Волков, Алексей Леонов")</f>
        <v>Вера Волошина, Михайло Волков, Алексей Леонов</v>
      </c>
      <c r="J918" s="6" t="str">
        <f>IFERROR(__xludf.DUMMYFUNCTION("""COMPUTED_VALUE"""),"Елена Малышева, Алена Бабенко, Виктор Логинов")</f>
        <v>Елена Малышева, Алена Бабенко, Виктор Логинов</v>
      </c>
      <c r="K918" s="6" t="str">
        <f>IFERROR(__xludf.DUMMYFUNCTION("""COMPUTED_VALUE"""),"Красная горка, парк чудес,  парк Победы, музыкальный театр Кузбасса им. Боброва, музей Томская писаница")</f>
        <v>Красная горка, парк чудес,  парк Победы, музыкальный театр Кузбасса им. Боброва, музей Томская писаница</v>
      </c>
      <c r="L918" s="6" t="str">
        <f>IFERROR(__xludf.DUMMYFUNCTION("""COMPUTED_VALUE"""),"Из села Щегловск в  переименован в 1932г. В г. Кемерово ")</f>
        <v>Из села Щегловск в  переименован в 1932г. В г. Кемерово </v>
      </c>
      <c r="M918" s="6" t="str">
        <f>IFERROR(__xludf.DUMMYFUNCTION("""COMPUTED_VALUE"""),"Сибирские здоровье")</f>
        <v>Сибирские здоровье</v>
      </c>
      <c r="N918" s="6" t="str">
        <f>IFERROR(__xludf.DUMMYFUNCTION("""COMPUTED_VALUE"""),"Зелень, широкие дороги, освещение, детские площадки с мягким покрытием, оздоровительные профилактические учреждения")</f>
        <v>Зелень, широкие дороги, освещение, детские площадки с мягким покрытием, оздоровительные профилактические учреждения</v>
      </c>
      <c r="O918" s="6" t="str">
        <f>IFERROR(__xludf.DUMMYFUNCTION("""COMPUTED_VALUE"""),"Дворовые дороги: во время дождя приходится ходить босиком, лужи, не подойти к дому")</f>
        <v>Дворовые дороги: во время дождя приходится ходить босиком, лужи, не подойти к дому</v>
      </c>
      <c r="P918" s="6" t="str">
        <f>IFERROR(__xludf.DUMMYFUNCTION("""COMPUTED_VALUE"""),"Радио, телевизор")</f>
        <v>Радио, телевизор</v>
      </c>
      <c r="Q918" s="6" t="str">
        <f>IFERROR(__xludf.DUMMYFUNCTION("""COMPUTED_VALUE"""),"культурные новинки (что почитать/что послушать)")</f>
        <v>культурные новинки (что почитать/что послушать)</v>
      </c>
      <c r="R918" s="6" t="str">
        <f>IFERROR(__xludf.DUMMYFUNCTION("""COMPUTED_VALUE"""),"Новый год")</f>
        <v>Новый год</v>
      </c>
      <c r="S918" s="6" t="str">
        <f>IFERROR(__xludf.DUMMYFUNCTION("""COMPUTED_VALUE"""),"Нет, не приходилось")</f>
        <v>Нет, не приходилось</v>
      </c>
      <c r="T918" s="6" t="str">
        <f>IFERROR(__xludf.DUMMYFUNCTION("""COMPUTED_VALUE"""),"Музей Красная горка")</f>
        <v>Музей Красная горка</v>
      </c>
      <c r="U918" s="6" t="str">
        <f>IFERROR(__xludf.DUMMYFUNCTION("""COMPUTED_VALUE"""),"Советский проспект")</f>
        <v>Советский проспект</v>
      </c>
      <c r="V918" s="6" t="str">
        <f>IFERROR(__xludf.DUMMYFUNCTION("""COMPUTED_VALUE"""),"Добыча угля")</f>
        <v>Добыча угля</v>
      </c>
      <c r="W918" s="6" t="str">
        <f>IFERROR(__xludf.DUMMYFUNCTION("""COMPUTED_VALUE"""),"Дрбрые, отзывчивые, готовые прийти на помощь")</f>
        <v>Дрбрые, отзывчивые, готовые прийти на помощь</v>
      </c>
      <c r="X918" s="6" t="str">
        <f>IFERROR(__xludf.DUMMYFUNCTION("""COMPUTED_VALUE"""),"Советский проспект")</f>
        <v>Советский проспект</v>
      </c>
      <c r="Y918" s="6" t="str">
        <f>IFERROR(__xludf.DUMMYFUNCTION("""COMPUTED_VALUE"""),"Создание государственного музейного комплекса ""Томская писаница""")</f>
        <v>Создание государственного музейного комплекса "Томская писаница"</v>
      </c>
      <c r="Z918" s="6" t="str">
        <f>IFERROR(__xludf.DUMMYFUNCTION("""COMPUTED_VALUE"""),"Открытие линейного парка в Сибири на б-ре Строителей")</f>
        <v>Открытие линейного парка в Сибири на б-ре Строителей</v>
      </c>
      <c r="AA918" s="6" t="str">
        <f>IFERROR(__xludf.DUMMYFUNCTION("""COMPUTED_VALUE"""),"Пожар в ""Зимней вишне""")</f>
        <v>Пожар в "Зимней вишне"</v>
      </c>
      <c r="AB918" s="6" t="str">
        <f>IFERROR(__xludf.DUMMYFUNCTION("""COMPUTED_VALUE"""),"Клуб любителей любового творчества: рукоделие, вышивка, выжигание, резка по дереву и  др.")</f>
        <v>Клуб любителей любового творчества: рукоделие, вышивка, выжигание, резка по дереву и  др.</v>
      </c>
      <c r="AC918" s="6" t="str">
        <f>IFERROR(__xludf.DUMMYFUNCTION("""COMPUTED_VALUE"""),"Выставки работ любителей любого рукоделия. Привлечь молодежь творить своими руками")</f>
        <v>Выставки работ любителей любого рукоделия. Привлечь молодежь творить своими руками</v>
      </c>
      <c r="AD918"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918" s="6" t="str">
        <f>IFERROR(__xludf.DUMMYFUNCTION("""COMPUTED_VALUE"""),"Женский")</f>
        <v>Женский</v>
      </c>
      <c r="AF918" s="6" t="str">
        <f>IFERROR(__xludf.DUMMYFUNCTION("""COMPUTED_VALUE"""),"старше 55")</f>
        <v>старше 55</v>
      </c>
      <c r="AG918" s="6"/>
      <c r="AH918" s="6"/>
      <c r="AI918" s="6"/>
      <c r="AJ918" s="6"/>
      <c r="AK918" s="6"/>
      <c r="AL918" s="6"/>
      <c r="AM918" s="6"/>
    </row>
    <row r="919">
      <c r="A919" s="6">
        <v>918.0</v>
      </c>
      <c r="B919" s="6" t="str">
        <f>IFERROR(__xludf.DUMMYFUNCTION("""COMPUTED_VALUE"""),"Преподаю")</f>
        <v>Преподаю</v>
      </c>
      <c r="C919" s="6" t="str">
        <f>IFERROR(__xludf.DUMMYFUNCTION("""COMPUTED_VALUE"""),"Вязание")</f>
        <v>Вязание</v>
      </c>
      <c r="D919" s="6" t="str">
        <f>IFERROR(__xludf.DUMMYFUNCTION("""COMPUTED_VALUE"""),"В Ленинском, так и называю")</f>
        <v>В Ленинском, так и называю</v>
      </c>
      <c r="E919" s="6" t="str">
        <f>IFERROR(__xludf.DUMMYFUNCTION("""COMPUTED_VALUE"""),"Бульвар Строителей")</f>
        <v>Бульвар Строителей</v>
      </c>
      <c r="F919" s="6" t="str">
        <f>IFERROR(__xludf.DUMMYFUNCTION("""COMPUTED_VALUE"""),"Живу здесь с рождения")</f>
        <v>Живу здесь с рождения</v>
      </c>
      <c r="G919" s="6" t="str">
        <f>IFERROR(__xludf.DUMMYFUNCTION("""COMPUTED_VALUE"""),"В филармонию")</f>
        <v>В филармонию</v>
      </c>
      <c r="H919" s="6" t="str">
        <f>IFERROR(__xludf.DUMMYFUNCTION("""COMPUTED_VALUE"""),"Затрудняюсь ответить")</f>
        <v>Затрудняюсь ответить</v>
      </c>
      <c r="I919" s="6" t="str">
        <f>IFERROR(__xludf.DUMMYFUNCTION("""COMPUTED_VALUE"""),"М. Волков")</f>
        <v>М. Волков</v>
      </c>
      <c r="J919" s="6" t="str">
        <f>IFERROR(__xludf.DUMMYFUNCTION("""COMPUTED_VALUE"""),"Владимир Мартемьянов-летчик")</f>
        <v>Владимир Мартемьянов-летчик</v>
      </c>
      <c r="K919" s="6" t="str">
        <f>IFERROR(__xludf.DUMMYFUNCTION("""COMPUTED_VALUE"""),"Томская писаница")</f>
        <v>Томская писаница</v>
      </c>
      <c r="L919" s="6" t="str">
        <f>IFERROR(__xludf.DUMMYFUNCTION("""COMPUTED_VALUE"""),"Не знаю таких")</f>
        <v>Не знаю таких</v>
      </c>
      <c r="M919" s="6" t="str">
        <f>IFERROR(__xludf.DUMMYFUNCTION("""COMPUTED_VALUE"""),"Нет")</f>
        <v>Нет</v>
      </c>
      <c r="N919" s="6" t="str">
        <f>IFERROR(__xludf.DUMMYFUNCTION("""COMPUTED_VALUE"""),"Транспорт, услуги жкх, единые цены на продукты питания, качественное медицинское обслуживание, доступность стоматологического лечения")</f>
        <v>Транспорт, услуги жкх, единые цены на продукты питания, качественное медицинское обслуживание, доступность стоматологического лечения</v>
      </c>
      <c r="O919" s="6" t="str">
        <f>IFERROR(__xludf.DUMMYFUNCTION("""COMPUTED_VALUE"""),"Сделать комфортной жизнь  горожан")</f>
        <v>Сделать комфортной жизнь  горожан</v>
      </c>
      <c r="P919" s="6" t="str">
        <f>IFERROR(__xludf.DUMMYFUNCTION("""COMPUTED_VALUE"""),"Новости ТВ")</f>
        <v>Новости ТВ</v>
      </c>
      <c r="Q919"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919" s="6" t="str">
        <f>IFERROR(__xludf.DUMMYFUNCTION("""COMPUTED_VALUE"""),"Нет таковых")</f>
        <v>Нет таковых</v>
      </c>
      <c r="S919" s="6" t="str">
        <f>IFERROR(__xludf.DUMMYFUNCTION("""COMPUTED_VALUE"""),"Нет, не приходилось")</f>
        <v>Нет, не приходилось</v>
      </c>
      <c r="T919" s="6" t="str">
        <f>IFERROR(__xludf.DUMMYFUNCTION("""COMPUTED_VALUE"""),"Химические предприятия, учреждения культуры, спорта. ")</f>
        <v>Химические предприятия, учреждения культуры, спорта. </v>
      </c>
      <c r="U919" s="6" t="str">
        <f>IFERROR(__xludf.DUMMYFUNCTION("""COMPUTED_VALUE"""),"Площадь Советов")</f>
        <v>Площадь Советов</v>
      </c>
      <c r="V919" s="6" t="str">
        <f>IFERROR(__xludf.DUMMYFUNCTION("""COMPUTED_VALUE"""),"Построили город, ")</f>
        <v>Построили город, </v>
      </c>
      <c r="W919" s="6" t="str">
        <f>IFERROR(__xludf.DUMMYFUNCTION("""COMPUTED_VALUE"""),"Хмурые лица на улицах города")</f>
        <v>Хмурые лица на улицах города</v>
      </c>
      <c r="X919" s="6" t="str">
        <f>IFERROR(__xludf.DUMMYFUNCTION("""COMPUTED_VALUE"""),"Пр. СОВЕТСКИЙ, ПРИТОМСКИЙ, МОСКОВСКИЙ")</f>
        <v>Пр. СОВЕТСКИЙ, ПРИТОМСКИЙ, МОСКОВСКИЙ</v>
      </c>
      <c r="Y919" s="6" t="str">
        <f>IFERROR(__xludf.DUMMYFUNCTION("""COMPUTED_VALUE"""),"Затрудняюсь ответить ")</f>
        <v>Затрудняюсь ответить </v>
      </c>
      <c r="Z919" s="6" t="str">
        <f>IFERROR(__xludf.DUMMYFUNCTION("""COMPUTED_VALUE"""),"Не помню")</f>
        <v>Не помню</v>
      </c>
      <c r="AA919" s="6" t="str">
        <f>IFERROR(__xludf.DUMMYFUNCTION("""COMPUTED_VALUE"""),"Пожар в Зимней вишне")</f>
        <v>Пожар в Зимней вишне</v>
      </c>
      <c r="AB919" s="6" t="str">
        <f>IFERROR(__xludf.DUMMYFUNCTION("""COMPUTED_VALUE"""),"Не интересуюсь")</f>
        <v>Не интересуюсь</v>
      </c>
      <c r="AC919" s="6" t="str">
        <f>IFERROR(__xludf.DUMMYFUNCTION("""COMPUTED_VALUE"""),"И так хорошо")</f>
        <v>И так хорошо</v>
      </c>
      <c r="AD91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919" s="6" t="str">
        <f>IFERROR(__xludf.DUMMYFUNCTION("""COMPUTED_VALUE"""),"Женский")</f>
        <v>Женский</v>
      </c>
      <c r="AF919" s="6" t="str">
        <f>IFERROR(__xludf.DUMMYFUNCTION("""COMPUTED_VALUE"""),"старше 55")</f>
        <v>старше 55</v>
      </c>
      <c r="AG919" s="6"/>
      <c r="AH919" s="6"/>
      <c r="AI919" s="6"/>
      <c r="AJ919" s="6"/>
      <c r="AK919" s="6"/>
      <c r="AL919" s="6"/>
      <c r="AM919" s="6"/>
    </row>
    <row r="920">
      <c r="A920" s="6">
        <v>919.0</v>
      </c>
      <c r="B920" s="6" t="str">
        <f>IFERROR(__xludf.DUMMYFUNCTION("""COMPUTED_VALUE"""),"Врач")</f>
        <v>Врач</v>
      </c>
      <c r="C920" s="6" t="str">
        <f>IFERROR(__xludf.DUMMYFUNCTION("""COMPUTED_VALUE"""),"Электроника")</f>
        <v>Электроника</v>
      </c>
      <c r="D920" s="6" t="str">
        <f>IFERROR(__xludf.DUMMYFUNCTION("""COMPUTED_VALUE"""),"Южный")</f>
        <v>Южный</v>
      </c>
      <c r="E920" s="6" t="str">
        <f>IFERROR(__xludf.DUMMYFUNCTION("""COMPUTED_VALUE"""),"Церковь")</f>
        <v>Церковь</v>
      </c>
      <c r="F920" s="6" t="str">
        <f>IFERROR(__xludf.DUMMYFUNCTION("""COMPUTED_VALUE"""),"Живу здесь с рождения")</f>
        <v>Живу здесь с рождения</v>
      </c>
      <c r="G920" s="6" t="str">
        <f>IFERROR(__xludf.DUMMYFUNCTION("""COMPUTED_VALUE"""),"Набережная")</f>
        <v>Набережная</v>
      </c>
      <c r="H920" s="6" t="str">
        <f>IFERROR(__xludf.DUMMYFUNCTION("""COMPUTED_VALUE"""),"Современный удобный страдает экология")</f>
        <v>Современный удобный страдает экология</v>
      </c>
      <c r="I920" s="6" t="str">
        <f>IFERROR(__xludf.DUMMYFUNCTION("""COMPUTED_VALUE"""),"Подгорбунский Шраер Волков")</f>
        <v>Подгорбунский Шраер Волков</v>
      </c>
      <c r="J920" s="6" t="str">
        <f>IFERROR(__xludf.DUMMYFUNCTION("""COMPUTED_VALUE"""),"Барбараш")</f>
        <v>Барбараш</v>
      </c>
      <c r="K920" s="6" t="str">
        <f>IFERROR(__xludf.DUMMYFUNCTION("""COMPUTED_VALUE"""),"Нет")</f>
        <v>Нет</v>
      </c>
      <c r="L920" s="6" t="str">
        <f>IFERROR(__xludf.DUMMYFUNCTION("""COMPUTED_VALUE"""),"Нет")</f>
        <v>Нет</v>
      </c>
      <c r="M920" s="6" t="str">
        <f>IFERROR(__xludf.DUMMYFUNCTION("""COMPUTED_VALUE"""),"Нет")</f>
        <v>Нет</v>
      </c>
      <c r="N920" s="6" t="str">
        <f>IFERROR(__xludf.DUMMYFUNCTION("""COMPUTED_VALUE"""),"Чистота, хорошие дороги, экология,красивые районы")</f>
        <v>Чистота, хорошие дороги, экология,красивые районы</v>
      </c>
      <c r="O920" s="6" t="str">
        <f>IFERROR(__xludf.DUMMYFUNCTION("""COMPUTED_VALUE"""),"Экологию")</f>
        <v>Экологию</v>
      </c>
      <c r="P920" s="6" t="str">
        <f>IFERROR(__xludf.DUMMYFUNCTION("""COMPUTED_VALUE"""),"Яндекс новости")</f>
        <v>Яндекс новости</v>
      </c>
      <c r="Q920" s="6" t="str">
        <f>IFERROR(__xludf.DUMMYFUNCTION("""COMPUTED_VALUE"""),"городская афиша (кино/театр/концерты), интервью с местными политиками,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политиками, интервью с местными творческими личностями, результаты местных исследований (рейтинги/аналитика/тенденции)</v>
      </c>
      <c r="R920" s="6" t="str">
        <f>IFERROR(__xludf.DUMMYFUNCTION("""COMPUTED_VALUE"""),"День города, день шахтера")</f>
        <v>День города, день шахтера</v>
      </c>
      <c r="S920" s="6" t="str">
        <f>IFERROR(__xludf.DUMMYFUNCTION("""COMPUTED_VALUE"""),"Нет, не приходилось")</f>
        <v>Нет, не приходилось</v>
      </c>
      <c r="T920" s="6" t="str">
        <f>IFERROR(__xludf.DUMMYFUNCTION("""COMPUTED_VALUE"""),"Нет")</f>
        <v>Нет</v>
      </c>
      <c r="U920" s="6" t="str">
        <f>IFERROR(__xludf.DUMMYFUNCTION("""COMPUTED_VALUE"""),"Площадь советов")</f>
        <v>Площадь советов</v>
      </c>
      <c r="V920" s="6" t="str">
        <f>IFERROR(__xludf.DUMMYFUNCTION("""COMPUTED_VALUE"""),"Нет")</f>
        <v>Нет</v>
      </c>
      <c r="W920" s="6" t="str">
        <f>IFERROR(__xludf.DUMMYFUNCTION("""COMPUTED_VALUE"""),"Нет ")</f>
        <v>Нет </v>
      </c>
      <c r="X920" s="6" t="str">
        <f>IFERROR(__xludf.DUMMYFUNCTION("""COMPUTED_VALUE"""),"Весенняя набережная")</f>
        <v>Весенняя набережная</v>
      </c>
      <c r="Y920" s="6" t="str">
        <f>IFERROR(__xludf.DUMMYFUNCTION("""COMPUTED_VALUE"""),"Нет ")</f>
        <v>Нет </v>
      </c>
      <c r="Z920" s="6" t="str">
        <f>IFERROR(__xludf.DUMMYFUNCTION("""COMPUTED_VALUE"""),"Нет")</f>
        <v>Нет</v>
      </c>
      <c r="AA920" s="6" t="str">
        <f>IFERROR(__xludf.DUMMYFUNCTION("""COMPUTED_VALUE"""),"Зимняя вишня")</f>
        <v>Зимняя вишня</v>
      </c>
      <c r="AB920" s="6" t="str">
        <f>IFERROR(__xludf.DUMMYFUNCTION("""COMPUTED_VALUE"""),"Врачей ")</f>
        <v>Врачей </v>
      </c>
      <c r="AC920" s="6" t="str">
        <f>IFERROR(__xludf.DUMMYFUNCTION("""COMPUTED_VALUE"""),"Нет ")</f>
        <v>Нет </v>
      </c>
      <c r="AD920"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920" s="6" t="str">
        <f>IFERROR(__xludf.DUMMYFUNCTION("""COMPUTED_VALUE"""),"Мужской")</f>
        <v>Мужской</v>
      </c>
      <c r="AF920" s="6" t="str">
        <f>IFERROR(__xludf.DUMMYFUNCTION("""COMPUTED_VALUE"""),"30-44")</f>
        <v>30-44</v>
      </c>
      <c r="AG920" s="6"/>
      <c r="AH920" s="6"/>
      <c r="AI920" s="6"/>
      <c r="AJ920" s="6"/>
      <c r="AK920" s="6"/>
      <c r="AL920" s="6"/>
      <c r="AM920" s="6"/>
    </row>
    <row r="921">
      <c r="A921" s="6">
        <v>920.0</v>
      </c>
      <c r="B921" s="6" t="str">
        <f>IFERROR(__xludf.DUMMYFUNCTION("""COMPUTED_VALUE"""),"Спортом")</f>
        <v>Спортом</v>
      </c>
      <c r="C921" s="6" t="str">
        <f>IFERROR(__xludf.DUMMYFUNCTION("""COMPUTED_VALUE"""),"Стать олимпийским чемпионом")</f>
        <v>Стать олимпийским чемпионом</v>
      </c>
      <c r="D921" s="6" t="str">
        <f>IFERROR(__xludf.DUMMYFUNCTION("""COMPUTED_VALUE"""),"Новостройка ")</f>
        <v>Новостройка </v>
      </c>
      <c r="E921" s="6" t="str">
        <f>IFERROR(__xludf.DUMMYFUNCTION("""COMPUTED_VALUE"""),"Кузбасс")</f>
        <v>Кузбасс</v>
      </c>
      <c r="F921" s="6" t="str">
        <f>IFERROR(__xludf.DUMMYFUNCTION("""COMPUTED_VALUE"""),"Студент ")</f>
        <v>Студент </v>
      </c>
      <c r="G921" s="6" t="str">
        <f>IFERROR(__xludf.DUMMYFUNCTION("""COMPUTED_VALUE"""),"Центр ")</f>
        <v>Центр </v>
      </c>
      <c r="H921" s="6" t="str">
        <f>IFERROR(__xludf.DUMMYFUNCTION("""COMPUTED_VALUE"""),"Магнит ")</f>
        <v>Магнит </v>
      </c>
      <c r="I921" s="6" t="str">
        <f>IFERROR(__xludf.DUMMYFUNCTION("""COMPUTED_VALUE"""),"Айкат ")</f>
        <v>Айкат </v>
      </c>
      <c r="J921" s="6" t="str">
        <f>IFERROR(__xludf.DUMMYFUNCTION("""COMPUTED_VALUE"""),"Саша")</f>
        <v>Саша</v>
      </c>
      <c r="K921" s="6" t="str">
        <f>IFERROR(__xludf.DUMMYFUNCTION("""COMPUTED_VALUE"""),"Ленин")</f>
        <v>Ленин</v>
      </c>
      <c r="L921" s="6" t="str">
        <f>IFERROR(__xludf.DUMMYFUNCTION("""COMPUTED_VALUE"""),"Никогда не сдавайся")</f>
        <v>Никогда не сдавайся</v>
      </c>
      <c r="M921" s="6" t="str">
        <f>IFERROR(__xludf.DUMMYFUNCTION("""COMPUTED_VALUE"""),"Уголь")</f>
        <v>Уголь</v>
      </c>
      <c r="N921" s="6" t="str">
        <f>IFERROR(__xludf.DUMMYFUNCTION("""COMPUTED_VALUE"""),"Не знаю ")</f>
        <v>Не знаю </v>
      </c>
      <c r="O921" s="6" t="str">
        <f>IFERROR(__xludf.DUMMYFUNCTION("""COMPUTED_VALUE"""),"Общежития ")</f>
        <v>Общежития </v>
      </c>
      <c r="P921" s="6" t="str">
        <f>IFERROR(__xludf.DUMMYFUNCTION("""COMPUTED_VALUE"""),"Яндекс")</f>
        <v>Яндекс</v>
      </c>
      <c r="Q921" s="6" t="str">
        <f>IFERROR(__xludf.DUMMYFUNCTION("""COMPUTED_VALUE"""),"интервью с местными предпринимателями")</f>
        <v>интервью с местными предпринимателями</v>
      </c>
      <c r="R921" s="6" t="str">
        <f>IFERROR(__xludf.DUMMYFUNCTION("""COMPUTED_VALUE"""),"Май 9")</f>
        <v>Май 9</v>
      </c>
      <c r="S921" s="6" t="str">
        <f>IFERROR(__xludf.DUMMYFUNCTION("""COMPUTED_VALUE"""),"Нет, не приходилось")</f>
        <v>Нет, не приходилось</v>
      </c>
      <c r="T921" s="6" t="str">
        <f>IFERROR(__xludf.DUMMYFUNCTION("""COMPUTED_VALUE"""),"Уголь ")</f>
        <v>Уголь </v>
      </c>
      <c r="U921" s="6" t="str">
        <f>IFERROR(__xludf.DUMMYFUNCTION("""COMPUTED_VALUE"""),"Центр ")</f>
        <v>Центр </v>
      </c>
      <c r="V921" s="6" t="str">
        <f>IFERROR(__xludf.DUMMYFUNCTION("""COMPUTED_VALUE"""),"Да")</f>
        <v>Да</v>
      </c>
      <c r="W921" s="6" t="str">
        <f>IFERROR(__xludf.DUMMYFUNCTION("""COMPUTED_VALUE"""),"Хороший ")</f>
        <v>Хороший </v>
      </c>
      <c r="X921" s="6" t="str">
        <f>IFERROR(__xludf.DUMMYFUNCTION("""COMPUTED_VALUE"""),"1т")</f>
        <v>1т</v>
      </c>
      <c r="Y921" s="6" t="str">
        <f>IFERROR(__xludf.DUMMYFUNCTION("""COMPUTED_VALUE"""),"Не знаю")</f>
        <v>Не знаю</v>
      </c>
      <c r="Z921" s="6" t="str">
        <f>IFERROR(__xludf.DUMMYFUNCTION("""COMPUTED_VALUE"""),"Никак ")</f>
        <v>Никак </v>
      </c>
      <c r="AA921" s="6" t="str">
        <f>IFERROR(__xludf.DUMMYFUNCTION("""COMPUTED_VALUE"""),"Нет")</f>
        <v>Нет</v>
      </c>
      <c r="AB921" s="6" t="str">
        <f>IFERROR(__xludf.DUMMYFUNCTION("""COMPUTED_VALUE"""),"Нормально ")</f>
        <v>Нормально </v>
      </c>
      <c r="AC921" s="6" t="str">
        <f>IFERROR(__xludf.DUMMYFUNCTION("""COMPUTED_VALUE"""),"Нет")</f>
        <v>Нет</v>
      </c>
      <c r="AD921"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v>
      </c>
      <c r="AE921" s="6" t="str">
        <f>IFERROR(__xludf.DUMMYFUNCTION("""COMPUTED_VALUE"""),"Мужской")</f>
        <v>Мужской</v>
      </c>
      <c r="AF921" s="6" t="str">
        <f>IFERROR(__xludf.DUMMYFUNCTION("""COMPUTED_VALUE"""),"18-29")</f>
        <v>18-29</v>
      </c>
      <c r="AG921" s="6"/>
      <c r="AH921" s="6"/>
      <c r="AI921" s="6"/>
      <c r="AJ921" s="6"/>
      <c r="AK921" s="6"/>
      <c r="AL921" s="6"/>
      <c r="AM921" s="6"/>
    </row>
    <row r="922">
      <c r="A922" s="6">
        <v>921.0</v>
      </c>
      <c r="B922" s="6" t="str">
        <f>IFERROR(__xludf.DUMMYFUNCTION("""COMPUTED_VALUE"""),"Педагог ")</f>
        <v>Педагог </v>
      </c>
      <c r="C922" s="6" t="str">
        <f>IFERROR(__xludf.DUMMYFUNCTION("""COMPUTED_VALUE"""),"Рыбалка")</f>
        <v>Рыбалка</v>
      </c>
      <c r="D922" s="6" t="str">
        <f>IFERROR(__xludf.DUMMYFUNCTION("""COMPUTED_VALUE"""),"Лесная поляна ")</f>
        <v>Лесная поляна </v>
      </c>
      <c r="E922" s="6" t="str">
        <f>IFERROR(__xludf.DUMMYFUNCTION("""COMPUTED_VALUE"""),"Стадион, с резиновым покрытием. ")</f>
        <v>Стадион, с резиновым покрытием. </v>
      </c>
      <c r="F922" s="6" t="str">
        <f>IFERROR(__xludf.DUMMYFUNCTION("""COMPUTED_VALUE"""),"Живу здесь с рождения")</f>
        <v>Живу здесь с рождения</v>
      </c>
      <c r="G922" s="6" t="str">
        <f>IFERROR(__xludf.DUMMYFUNCTION("""COMPUTED_VALUE"""),"Кинотеатр. ")</f>
        <v>Кинотеатр. </v>
      </c>
      <c r="H922" s="6" t="str">
        <f>IFERROR(__xludf.DUMMYFUNCTION("""COMPUTED_VALUE"""),"Уголь, заводы, светофоры, Томь, шахтёры. ")</f>
        <v>Уголь, заводы, светофоры, Томь, шахтёры. </v>
      </c>
      <c r="I922" s="6" t="str">
        <f>IFERROR(__xludf.DUMMYFUNCTION("""COMPUTED_VALUE"""),"Михайло Волков, В. В. Михайлов.")</f>
        <v>Михайло Волков, В. В. Михайлов.</v>
      </c>
      <c r="J922" s="6" t="str">
        <f>IFERROR(__xludf.DUMMYFUNCTION("""COMPUTED_VALUE"""),"Нет")</f>
        <v>Нет</v>
      </c>
      <c r="K922" s="6" t="str">
        <f>IFERROR(__xludf.DUMMYFUNCTION("""COMPUTED_VALUE"""),"Красная горка, улица утренняя в ж.р. Лесная поляна. ")</f>
        <v>Красная горка, улица утренняя в ж.р. Лесная поляна. </v>
      </c>
      <c r="L922" s="6" t="str">
        <f>IFERROR(__xludf.DUMMYFUNCTION("""COMPUTED_VALUE"""),"Нет")</f>
        <v>Нет</v>
      </c>
      <c r="M922" s="6" t="str">
        <f>IFERROR(__xludf.DUMMYFUNCTION("""COMPUTED_VALUE"""),"Нет")</f>
        <v>Нет</v>
      </c>
      <c r="N922" s="6" t="str">
        <f>IFERROR(__xludf.DUMMYFUNCTION("""COMPUTED_VALUE"""),"Транспорт, дороги, досуг, спортивные площадки, водоёмы. ")</f>
        <v>Транспорт, дороги, досуг, спортивные площадки, водоёмы. </v>
      </c>
      <c r="O922" s="6" t="str">
        <f>IFERROR(__xludf.DUMMYFUNCTION("""COMPUTED_VALUE"""),"Оборудование на оживлённых перекрёстках подземными и надземными переходами. ")</f>
        <v>Оборудование на оживлённых перекрёстках подземными и надземными переходами. </v>
      </c>
      <c r="P922" s="6" t="str">
        <f>IFERROR(__xludf.DUMMYFUNCTION("""COMPUTED_VALUE"""),"Яндекс")</f>
        <v>Яндекс</v>
      </c>
      <c r="Q922" s="6" t="str">
        <f>IFERROR(__xludf.DUMMYFUNCTION("""COMPUTED_VALUE"""),"культурные новинки (что почитать/что послушать), интервью с местными творческими личностями, новости про новые профессии/куда поступать/вакансии")</f>
        <v>культурные новинки (что почитать/что послушать), интервью с местными творческими личностями, новости про новые профессии/куда поступать/вакансии</v>
      </c>
      <c r="R922" s="6" t="str">
        <f>IFERROR(__xludf.DUMMYFUNCTION("""COMPUTED_VALUE"""),"День города")</f>
        <v>День города</v>
      </c>
      <c r="S922"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v>
      </c>
      <c r="T922" s="6" t="str">
        <f>IFERROR(__xludf.DUMMYFUNCTION("""COMPUTED_VALUE"""),"Шахтёрский край")</f>
        <v>Шахтёрский край</v>
      </c>
      <c r="U922" s="6" t="str">
        <f>IFERROR(__xludf.DUMMYFUNCTION("""COMPUTED_VALUE"""),"Красная горка")</f>
        <v>Красная горка</v>
      </c>
      <c r="V922" s="6" t="str">
        <f>IFERROR(__xludf.DUMMYFUNCTION("""COMPUTED_VALUE"""),"Нет ответа")</f>
        <v>Нет ответа</v>
      </c>
      <c r="W922" s="6" t="str">
        <f>IFERROR(__xludf.DUMMYFUNCTION("""COMPUTED_VALUE"""),"Уставшие ")</f>
        <v>Уставшие </v>
      </c>
      <c r="X922" s="6" t="str">
        <f>IFERROR(__xludf.DUMMYFUNCTION("""COMPUTED_VALUE"""),"От вокзала к центру города ")</f>
        <v>От вокзала к центру города </v>
      </c>
      <c r="Y922" s="6" t="str">
        <f>IFERROR(__xludf.DUMMYFUNCTION("""COMPUTED_VALUE"""),"Концерт рок звёзд")</f>
        <v>Концерт рок звёзд</v>
      </c>
      <c r="Z922" s="6" t="str">
        <f>IFERROR(__xludf.DUMMYFUNCTION("""COMPUTED_VALUE"""),"Нет")</f>
        <v>Нет</v>
      </c>
      <c r="AA922" s="6" t="str">
        <f>IFERROR(__xludf.DUMMYFUNCTION("""COMPUTED_VALUE"""),"Нет")</f>
        <v>Нет</v>
      </c>
      <c r="AB922" s="6" t="str">
        <f>IFERROR(__xludf.DUMMYFUNCTION("""COMPUTED_VALUE"""),"Нет")</f>
        <v>Нет</v>
      </c>
      <c r="AC922" s="6" t="str">
        <f>IFERROR(__xludf.DUMMYFUNCTION("""COMPUTED_VALUE"""),"Бесплатные концерты и праздники на открытом воздухе")</f>
        <v>Бесплатные концерты и праздники на открытом воздухе</v>
      </c>
      <c r="AD922"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922" s="6" t="str">
        <f>IFERROR(__xludf.DUMMYFUNCTION("""COMPUTED_VALUE"""),"Мужской")</f>
        <v>Мужской</v>
      </c>
      <c r="AF922" s="6" t="str">
        <f>IFERROR(__xludf.DUMMYFUNCTION("""COMPUTED_VALUE"""),"30-44")</f>
        <v>30-44</v>
      </c>
      <c r="AG922" s="6"/>
      <c r="AH922" s="6"/>
      <c r="AI922" s="6"/>
      <c r="AJ922" s="6"/>
      <c r="AK922" s="6"/>
      <c r="AL922" s="6"/>
      <c r="AM922" s="6"/>
    </row>
    <row r="923">
      <c r="A923" s="6">
        <v>922.0</v>
      </c>
      <c r="B923" s="6" t="str">
        <f>IFERROR(__xludf.DUMMYFUNCTION("""COMPUTED_VALUE"""),"Работаю в найме")</f>
        <v>Работаю в найме</v>
      </c>
      <c r="C923" s="6" t="str">
        <f>IFERROR(__xludf.DUMMYFUNCTION("""COMPUTED_VALUE"""),"Орхомания")</f>
        <v>Орхомания</v>
      </c>
      <c r="D923" s="6" t="str">
        <f>IFERROR(__xludf.DUMMYFUNCTION("""COMPUTED_VALUE"""),"Рудничный")</f>
        <v>Рудничный</v>
      </c>
      <c r="E923" s="6" t="str">
        <f>IFERROR(__xludf.DUMMYFUNCTION("""COMPUTED_VALUE"""),"Бор сосновый")</f>
        <v>Бор сосновый</v>
      </c>
      <c r="F923" s="6" t="str">
        <f>IFERROR(__xludf.DUMMYFUNCTION("""COMPUTED_VALUE"""),"Переехал сюда из другого места (откуда? укажите в графе другое), Из центра")</f>
        <v>Переехал сюда из другого места (откуда? укажите в графе другое), Из центра</v>
      </c>
      <c r="G923" s="6" t="str">
        <f>IFERROR(__xludf.DUMMYFUNCTION("""COMPUTED_VALUE"""),"Набережная")</f>
        <v>Набережная</v>
      </c>
      <c r="H923" s="6" t="str">
        <f>IFERROR(__xludf.DUMMYFUNCTION("""COMPUTED_VALUE"""),"Грязь")</f>
        <v>Грязь</v>
      </c>
      <c r="I923" s="6" t="str">
        <f>IFERROR(__xludf.DUMMYFUNCTION("""COMPUTED_VALUE"""),"Гришковец")</f>
        <v>Гришковец</v>
      </c>
      <c r="J923" s="6" t="str">
        <f>IFERROR(__xludf.DUMMYFUNCTION("""COMPUTED_VALUE"""),"Гришковец")</f>
        <v>Гришковец</v>
      </c>
      <c r="K923" s="6" t="str">
        <f>IFERROR(__xludf.DUMMYFUNCTION("""COMPUTED_VALUE"""),"Красная горка")</f>
        <v>Красная горка</v>
      </c>
      <c r="L923" s="6" t="str">
        <f>IFERROR(__xludf.DUMMYFUNCTION("""COMPUTED_VALUE"""),"Не знаю")</f>
        <v>Не знаю</v>
      </c>
      <c r="M923" s="6" t="str">
        <f>IFERROR(__xludf.DUMMYFUNCTION("""COMPUTED_VALUE"""),"Нет")</f>
        <v>Нет</v>
      </c>
      <c r="N923" s="6" t="str">
        <f>IFERROR(__xludf.DUMMYFUNCTION("""COMPUTED_VALUE"""),"Чистота, простор, скорость передвижения")</f>
        <v>Чистота, простор, скорость передвижения</v>
      </c>
      <c r="O923" s="6" t="str">
        <f>IFERROR(__xludf.DUMMYFUNCTION("""COMPUTED_VALUE"""),"Чистота")</f>
        <v>Чистота</v>
      </c>
      <c r="P923" s="6" t="str">
        <f>IFERROR(__xludf.DUMMYFUNCTION("""COMPUTED_VALUE"""),"Фейсбук")</f>
        <v>Фейсбук</v>
      </c>
      <c r="Q923"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v>
      </c>
      <c r="R923" s="6" t="str">
        <f>IFERROR(__xludf.DUMMYFUNCTION("""COMPUTED_VALUE"""),"День города")</f>
        <v>День города</v>
      </c>
      <c r="S923" s="6" t="str">
        <f>IFERROR(__xludf.DUMMYFUNCTION("""COMPUTED_VALUE"""),"Нет, не приходилось")</f>
        <v>Нет, не приходилось</v>
      </c>
      <c r="T923" s="6" t="str">
        <f>IFERROR(__xludf.DUMMYFUNCTION("""COMPUTED_VALUE"""),"Не знаю")</f>
        <v>Не знаю</v>
      </c>
      <c r="U923" s="6" t="str">
        <f>IFERROR(__xludf.DUMMYFUNCTION("""COMPUTED_VALUE"""),"Фонтан")</f>
        <v>Фонтан</v>
      </c>
      <c r="V923" s="6" t="str">
        <f>IFERROR(__xludf.DUMMYFUNCTION("""COMPUTED_VALUE"""),"Центр")</f>
        <v>Центр</v>
      </c>
      <c r="W923" s="6" t="str">
        <f>IFERROR(__xludf.DUMMYFUNCTION("""COMPUTED_VALUE"""),"Доброжелательность")</f>
        <v>Доброжелательность</v>
      </c>
      <c r="X923" s="6" t="str">
        <f>IFERROR(__xludf.DUMMYFUNCTION("""COMPUTED_VALUE"""),"Набережная")</f>
        <v>Набережная</v>
      </c>
      <c r="Y923" s="6" t="str">
        <f>IFERROR(__xludf.DUMMYFUNCTION("""COMPUTED_VALUE"""),"Не знаю")</f>
        <v>Не знаю</v>
      </c>
      <c r="Z923" s="6" t="str">
        <f>IFERROR(__xludf.DUMMYFUNCTION("""COMPUTED_VALUE"""),"Нет")</f>
        <v>Нет</v>
      </c>
      <c r="AA923" s="6" t="str">
        <f>IFERROR(__xludf.DUMMYFUNCTION("""COMPUTED_VALUE"""),"Нет")</f>
        <v>Нет</v>
      </c>
      <c r="AB923" s="6" t="str">
        <f>IFERROR(__xludf.DUMMYFUNCTION("""COMPUTED_VALUE"""),"Не знаю")</f>
        <v>Не знаю</v>
      </c>
      <c r="AC923" s="6" t="str">
        <f>IFERROR(__xludf.DUMMYFUNCTION("""COMPUTED_VALUE"""),"Общегородские")</f>
        <v>Общегородские</v>
      </c>
      <c r="AD923"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923" s="6" t="str">
        <f>IFERROR(__xludf.DUMMYFUNCTION("""COMPUTED_VALUE"""),"Женский")</f>
        <v>Женский</v>
      </c>
      <c r="AF923" s="6" t="str">
        <f>IFERROR(__xludf.DUMMYFUNCTION("""COMPUTED_VALUE"""),"45-55")</f>
        <v>45-55</v>
      </c>
      <c r="AG923" s="6"/>
      <c r="AH923" s="6"/>
      <c r="AI923" s="6"/>
      <c r="AJ923" s="6"/>
      <c r="AK923" s="6"/>
      <c r="AL923" s="6"/>
      <c r="AM923" s="6"/>
    </row>
    <row r="924">
      <c r="A924" s="6">
        <v>923.0</v>
      </c>
      <c r="B924" s="6" t="str">
        <f>IFERROR(__xludf.DUMMYFUNCTION("""COMPUTED_VALUE"""),"Культура")</f>
        <v>Культура</v>
      </c>
      <c r="C924" s="6" t="str">
        <f>IFERROR(__xludf.DUMMYFUNCTION("""COMPUTED_VALUE"""),"Дизайн домов")</f>
        <v>Дизайн домов</v>
      </c>
      <c r="D924" s="6" t="str">
        <f>IFERROR(__xludf.DUMMYFUNCTION("""COMPUTED_VALUE"""),"Рудничный")</f>
        <v>Рудничный</v>
      </c>
      <c r="E924" s="6" t="str">
        <f>IFERROR(__xludf.DUMMYFUNCTION("""COMPUTED_VALUE"""),"Сосновый бор")</f>
        <v>Сосновый бор</v>
      </c>
      <c r="F924" s="6" t="str">
        <f>IFERROR(__xludf.DUMMYFUNCTION("""COMPUTED_VALUE"""),"Переехал сюда из другого места (откуда? укажите в графе другое), Из Казахстана")</f>
        <v>Переехал сюда из другого места (откуда? укажите в графе другое), Из Казахстана</v>
      </c>
      <c r="G924" s="6" t="str">
        <f>IFERROR(__xludf.DUMMYFUNCTION("""COMPUTED_VALUE"""),"Сосновый бор, набережная, театры")</f>
        <v>Сосновый бор, набережная, театры</v>
      </c>
      <c r="H924" s="6" t="str">
        <f>IFERROR(__xludf.DUMMYFUNCTION("""COMPUTED_VALUE"""),"Сундучок, шахтер, уют, застой, тупик")</f>
        <v>Сундучок, шахтер, уют, застой, тупик</v>
      </c>
      <c r="I924" s="6" t="str">
        <f>IFERROR(__xludf.DUMMYFUNCTION("""COMPUTED_VALUE"""),"Леонов, Ворошилов (писатель), Федоров, Волков")</f>
        <v>Леонов, Ворошилов (писатель), Федоров, Волков</v>
      </c>
      <c r="J924" s="6" t="str">
        <f>IFERROR(__xludf.DUMMYFUNCTION("""COMPUTED_VALUE"""),"Тулеев, Михайлов")</f>
        <v>Тулеев, Михайлов</v>
      </c>
      <c r="K924" s="6" t="str">
        <f>IFERROR(__xludf.DUMMYFUNCTION("""COMPUTED_VALUE"""),"Затрудняюсь")</f>
        <v>Затрудняюсь</v>
      </c>
      <c r="L924" s="6" t="str">
        <f>IFERROR(__xludf.DUMMYFUNCTION("""COMPUTED_VALUE"""),"""А воз и ныне там""")</f>
        <v>"А воз и ныне там"</v>
      </c>
      <c r="M924" s="6" t="str">
        <f>IFERROR(__xludf.DUMMYFUNCTION("""COMPUTED_VALUE"""),"Нет")</f>
        <v>Нет</v>
      </c>
      <c r="N924" s="6" t="str">
        <f>IFERROR(__xludf.DUMMYFUNCTION("""COMPUTED_VALUE"""),"Экология, минимум транзитного транспорта в городе, развитый рынок труда, достойные зарплаты, дороги и пешеходные тротуары на окраине города")</f>
        <v>Экология, минимум транзитного транспорта в городе, развитый рынок труда, достойные зарплаты, дороги и пешеходные тротуары на окраине города</v>
      </c>
      <c r="O924" s="6" t="str">
        <f>IFERROR(__xludf.DUMMYFUNCTION("""COMPUTED_VALUE"""),"Излишнюю показуху, вовремя менять начальство")</f>
        <v>Излишнюю показуху, вовремя менять начальство</v>
      </c>
      <c r="P924" s="6" t="str">
        <f>IFERROR(__xludf.DUMMYFUNCTION("""COMPUTED_VALUE"""),"Интернет, тв")</f>
        <v>Интернет, тв</v>
      </c>
      <c r="Q924"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f>
        <v>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v>
      </c>
      <c r="R924" s="6" t="str">
        <f>IFERROR(__xludf.DUMMYFUNCTION("""COMPUTED_VALUE"""),"День Победы")</f>
        <v>День Победы</v>
      </c>
      <c r="S924" s="6" t="str">
        <f>IFERROR(__xludf.DUMMYFUNCTION("""COMPUTED_VALUE"""),"Через социальные сети (Какие? Укажите в графе другое), Делал рассылку по электронной почте, Одноклассники, ВКонтакте")</f>
        <v>Через социальные сети (Какие? Укажите в графе другое), Делал рассылку по электронной почте, Одноклассники, ВКонтакте</v>
      </c>
      <c r="T924" s="6" t="str">
        <f>IFERROR(__xludf.DUMMYFUNCTION("""COMPUTED_VALUE"""),"Раньше шахтами, сейчас затрудняюсь ")</f>
        <v>Раньше шахтами, сейчас затрудняюсь </v>
      </c>
      <c r="U924" s="6" t="str">
        <f>IFERROR(__xludf.DUMMYFUNCTION("""COMPUTED_VALUE"""),"Площадь Советов")</f>
        <v>Площадь Советов</v>
      </c>
      <c r="V924" s="6" t="str">
        <f>IFERROR(__xludf.DUMMYFUNCTION("""COMPUTED_VALUE"""),"Трудились")</f>
        <v>Трудились</v>
      </c>
      <c r="W924" s="6" t="str">
        <f>IFERROR(__xludf.DUMMYFUNCTION("""COMPUTED_VALUE"""),"Разныеул. Весенняя")</f>
        <v>Разныеул. Весенняя</v>
      </c>
      <c r="X924" s="6" t="str">
        <f>IFERROR(__xludf.DUMMYFUNCTION("""COMPUTED_VALUE"""),"Весенняя ул, ")</f>
        <v>Весенняя ул, </v>
      </c>
      <c r="Y924" s="6" t="str">
        <f>IFERROR(__xludf.DUMMYFUNCTION("""COMPUTED_VALUE"""),"Затрудняюсь")</f>
        <v>Затрудняюсь</v>
      </c>
      <c r="Z924" s="6" t="str">
        <f>IFERROR(__xludf.DUMMYFUNCTION("""COMPUTED_VALUE"""),"Начало строительства объездной дороги")</f>
        <v>Начало строительства объездной дороги</v>
      </c>
      <c r="AA924" s="6" t="str">
        <f>IFERROR(__xludf.DUMMYFUNCTION("""COMPUTED_VALUE"""),"Пожар в зимней вишне")</f>
        <v>Пожар в зимней вишне</v>
      </c>
      <c r="AB924" s="6" t="str">
        <f>IFERROR(__xludf.DUMMYFUNCTION("""COMPUTED_VALUE"""),"Мне не нужны сообщества")</f>
        <v>Мне не нужны сообщества</v>
      </c>
      <c r="AC924" s="6" t="str">
        <f>IFERROR(__xludf.DUMMYFUNCTION("""COMPUTED_VALUE"""),"Затрудняюсь")</f>
        <v>Затрудняюсь</v>
      </c>
      <c r="AD924"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924" s="6" t="str">
        <f>IFERROR(__xludf.DUMMYFUNCTION("""COMPUTED_VALUE"""),"Женский")</f>
        <v>Женский</v>
      </c>
      <c r="AF924" s="6" t="str">
        <f>IFERROR(__xludf.DUMMYFUNCTION("""COMPUTED_VALUE"""),"45-55")</f>
        <v>45-55</v>
      </c>
      <c r="AG924" s="6"/>
      <c r="AH924" s="6"/>
      <c r="AI924" s="6"/>
      <c r="AJ924" s="6"/>
      <c r="AK924" s="6"/>
      <c r="AL924" s="6"/>
      <c r="AM924" s="6"/>
    </row>
    <row r="925">
      <c r="A925" s="6">
        <v>924.0</v>
      </c>
      <c r="B925" s="6" t="str">
        <f>IFERROR(__xludf.DUMMYFUNCTION("""COMPUTED_VALUE"""),"Организация досуга для детей и молодежи ")</f>
        <v>Организация досуга для детей и молодежи </v>
      </c>
      <c r="C925" s="6" t="str">
        <f>IFERROR(__xludf.DUMMYFUNCTION("""COMPUTED_VALUE"""),"Сетевой маркетинг ")</f>
        <v>Сетевой маркетинг </v>
      </c>
      <c r="D925" s="6" t="str">
        <f>IFERROR(__xludf.DUMMYFUNCTION("""COMPUTED_VALUE"""),"Кедровка ")</f>
        <v>Кедровка </v>
      </c>
      <c r="E925" s="6" t="str">
        <f>IFERROR(__xludf.DUMMYFUNCTION("""COMPUTED_VALUE"""),"ДК Содружество ")</f>
        <v>ДК Содружество </v>
      </c>
      <c r="F925" s="6" t="str">
        <f>IFERROR(__xludf.DUMMYFUNCTION("""COMPUTED_VALUE"""),"Переехал сюда из другого места (откуда? укажите в графе другое), Забайкальский край ")</f>
        <v>Переехал сюда из другого места (откуда? укажите в графе другое), Забайкальский край </v>
      </c>
      <c r="G925" s="6" t="str">
        <f>IFERROR(__xludf.DUMMYFUNCTION("""COMPUTED_VALUE"""),"Центр города ")</f>
        <v>Центр города </v>
      </c>
      <c r="H925" s="6" t="str">
        <f>IFERROR(__xludf.DUMMYFUNCTION("""COMPUTED_VALUE"""),"Современный, удобный, чистый, свободный, интересный ")</f>
        <v>Современный, удобный, чистый, свободный, интересный </v>
      </c>
      <c r="I925" s="6" t="str">
        <f>IFERROR(__xludf.DUMMYFUNCTION("""COMPUTED_VALUE"""),"Тулеев, Леонов, Федоров, Машков, Волков ")</f>
        <v>Тулеев, Леонов, Федоров, Машков, Волков </v>
      </c>
      <c r="J925" s="6" t="str">
        <f>IFERROR(__xludf.DUMMYFUNCTION("""COMPUTED_VALUE"""),"Тулеев, Машков, Цивелев, Цивелева, ")</f>
        <v>Тулеев, Машков, Цивелев, Цивелева, </v>
      </c>
      <c r="K925" s="6" t="str">
        <f>IFERROR(__xludf.DUMMYFUNCTION("""COMPUTED_VALUE"""),"Красная горка, лесная поляна, площадь советов ")</f>
        <v>Красная горка, лесная поляна, площадь советов </v>
      </c>
      <c r="L925" s="6" t="str">
        <f>IFERROR(__xludf.DUMMYFUNCTION("""COMPUTED_VALUE"""),"Один в поле не воин")</f>
        <v>Один в поле не воин</v>
      </c>
      <c r="M925" s="6" t="str">
        <f>IFERROR(__xludf.DUMMYFUNCTION("""COMPUTED_VALUE"""),"Нет ")</f>
        <v>Нет </v>
      </c>
      <c r="N925" s="6" t="str">
        <f>IFERROR(__xludf.DUMMYFUNCTION("""COMPUTED_VALUE"""),"Доступность ")</f>
        <v>Доступность </v>
      </c>
      <c r="O925" s="6" t="str">
        <f>IFERROR(__xludf.DUMMYFUNCTION("""COMPUTED_VALUE"""),"Все")</f>
        <v>Все</v>
      </c>
      <c r="P925" s="6" t="str">
        <f>IFERROR(__xludf.DUMMYFUNCTION("""COMPUTED_VALUE"""),"Яндекс новости ")</f>
        <v>Яндекс новости </v>
      </c>
      <c r="Q92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925" s="6" t="str">
        <f>IFERROR(__xludf.DUMMYFUNCTION("""COMPUTED_VALUE"""),"День города, Фестиваль Вместе ярче, День Победы ")</f>
        <v>День города, Фестиваль Вместе ярче, День Победы </v>
      </c>
      <c r="S925" s="6" t="str">
        <f>IFERROR(__xludf.DUMMYFUNCTION("""COMPUTED_VALUE"""),"Нет, не приходилось")</f>
        <v>Нет, не приходилось</v>
      </c>
      <c r="T925" s="6" t="str">
        <f>IFERROR(__xludf.DUMMYFUNCTION("""COMPUTED_VALUE"""),"Всё ")</f>
        <v>Всё </v>
      </c>
      <c r="U925" s="6" t="str">
        <f>IFERROR(__xludf.DUMMYFUNCTION("""COMPUTED_VALUE"""),"Памятник Шахтёрам ")</f>
        <v>Памятник Шахтёрам </v>
      </c>
      <c r="V925" s="6" t="str">
        <f>IFERROR(__xludf.DUMMYFUNCTION("""COMPUTED_VALUE"""),"Всё ")</f>
        <v>Всё </v>
      </c>
      <c r="W925" s="6" t="str">
        <f>IFERROR(__xludf.DUMMYFUNCTION("""COMPUTED_VALUE"""),"Злые
")</f>
        <v>Злые
</v>
      </c>
      <c r="X925" s="6" t="str">
        <f>IFERROR(__xludf.DUMMYFUNCTION("""COMPUTED_VALUE"""),"179 автобус ")</f>
        <v>179 автобус </v>
      </c>
      <c r="Y925" s="6" t="str">
        <f>IFERROR(__xludf.DUMMYFUNCTION("""COMPUTED_VALUE"""),"300 лет кузбасс ")</f>
        <v>300 лет кузбасс </v>
      </c>
      <c r="Z925" s="6" t="str">
        <f>IFERROR(__xludf.DUMMYFUNCTION("""COMPUTED_VALUE"""),"Ни чего")</f>
        <v>Ни чего</v>
      </c>
      <c r="AA925" s="6" t="str">
        <f>IFERROR(__xludf.DUMMYFUNCTION("""COMPUTED_VALUE"""),"Короновирус ")</f>
        <v>Короновирус </v>
      </c>
      <c r="AB925" s="6" t="str">
        <f>IFERROR(__xludf.DUMMYFUNCTION("""COMPUTED_VALUE"""),"Не знаю")</f>
        <v>Не знаю</v>
      </c>
      <c r="AC925" s="6" t="str">
        <f>IFERROR(__xludf.DUMMYFUNCTION("""COMPUTED_VALUE"""),"Что нибудь ")</f>
        <v>Что нибудь </v>
      </c>
      <c r="AD925"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925" s="6" t="str">
        <f>IFERROR(__xludf.DUMMYFUNCTION("""COMPUTED_VALUE"""),"Женский")</f>
        <v>Женский</v>
      </c>
      <c r="AF925" s="6" t="str">
        <f>IFERROR(__xludf.DUMMYFUNCTION("""COMPUTED_VALUE"""),"30-44")</f>
        <v>30-44</v>
      </c>
      <c r="AG925" s="6"/>
      <c r="AH925" s="6"/>
      <c r="AI925" s="6"/>
      <c r="AJ925" s="6"/>
      <c r="AK925" s="6"/>
      <c r="AL925" s="6"/>
      <c r="AM925" s="6"/>
    </row>
    <row r="926">
      <c r="A926" s="6">
        <v>925.0</v>
      </c>
      <c r="B926" s="6" t="str">
        <f>IFERROR(__xludf.DUMMYFUNCTION("""COMPUTED_VALUE"""),"Домохозяйка")</f>
        <v>Домохозяйка</v>
      </c>
      <c r="C926" s="6" t="str">
        <f>IFERROR(__xludf.DUMMYFUNCTION("""COMPUTED_VALUE"""),"Люблю петь")</f>
        <v>Люблю петь</v>
      </c>
      <c r="D926" s="6" t="str">
        <f>IFERROR(__xludf.DUMMYFUNCTION("""COMPUTED_VALUE"""),"Центральный")</f>
        <v>Центральный</v>
      </c>
      <c r="E926" s="6" t="str">
        <f>IFERROR(__xludf.DUMMYFUNCTION("""COMPUTED_VALUE"""),"Набережная реки Томь")</f>
        <v>Набережная реки Томь</v>
      </c>
      <c r="F926" s="6" t="str">
        <f>IFERROR(__xludf.DUMMYFUNCTION("""COMPUTED_VALUE"""),"Переехал сюда из другого места (откуда? укажите в графе другое), Киселевск")</f>
        <v>Переехал сюда из другого места (откуда? укажите в графе другое), Киселевск</v>
      </c>
      <c r="G926" s="6" t="str">
        <f>IFERROR(__xludf.DUMMYFUNCTION("""COMPUTED_VALUE"""),"Сосновый бор, Томская писаница, Набережная, парк чудес ")</f>
        <v>Сосновый бор, Томская писаница, Набережная, парк чудес </v>
      </c>
      <c r="H926" s="6" t="str">
        <f>IFERROR(__xludf.DUMMYFUNCTION("""COMPUTED_VALUE"""),"Провинция, деревня, неухоженный, примитивный, колхоз")</f>
        <v>Провинция, деревня, неухоженный, примитивный, колхоз</v>
      </c>
      <c r="I926" s="6" t="str">
        <f>IFERROR(__xludf.DUMMYFUNCTION("""COMPUTED_VALUE"""),"Леонов, Подгорбунский, Волошина, двужильный")</f>
        <v>Леонов, Подгорбунский, Волошина, двужильный</v>
      </c>
      <c r="J926" s="6" t="str">
        <f>IFERROR(__xludf.DUMMYFUNCTION("""COMPUTED_VALUE"""),"Гришковец, Михайлов")</f>
        <v>Гришковец, Михайлов</v>
      </c>
      <c r="K926" s="6" t="str">
        <f>IFERROR(__xludf.DUMMYFUNCTION("""COMPUTED_VALUE"""),"Набережная реки Томь, Сосновый бор, по.Советов")</f>
        <v>Набережная реки Томь, Сосновый бор, по.Советов</v>
      </c>
      <c r="L926" s="6" t="str">
        <f>IFERROR(__xludf.DUMMYFUNCTION("""COMPUTED_VALUE"""),"Космонавт Леонов характеризует город, ")</f>
        <v>Космонавт Леонов характеризует город, </v>
      </c>
      <c r="M926" s="6" t="str">
        <f>IFERROR(__xludf.DUMMYFUNCTION("""COMPUTED_VALUE"""),"Человек из Кемерова")</f>
        <v>Человек из Кемерова</v>
      </c>
      <c r="N926" s="6" t="str">
        <f>IFERROR(__xludf.DUMMYFUNCTION("""COMPUTED_VALUE"""),"Зеленые улицы с красивыми деревьями, ухоженные покрашенные дома, мощённые улицы вместо асфальта, хорошие дороги с разметкой, красивые, ухоженные парки")</f>
        <v>Зеленые улицы с красивыми деревьями, ухоженные покрашенные дома, мощённые улицы вместо асфальта, хорошие дороги с разметкой, красивые, ухоженные парки</v>
      </c>
      <c r="O926" s="6" t="str">
        <f>IFERROR(__xludf.DUMMYFUNCTION("""COMPUTED_VALUE"""),"Сменить асфальт на плитку на пешеходных зонах, прогулочных местах, проверить все ли деревья растут на улицах вдоль дорог( многие деревья отсутствуют), покрасить дома")</f>
        <v>Сменить асфальт на плитку на пешеходных зонах, прогулочных местах, проверить все ли деревья растут на улицах вдоль дорог( многие деревья отсутствуют), покрасить дома</v>
      </c>
      <c r="P926" s="6" t="str">
        <f>IFERROR(__xludf.DUMMYFUNCTION("""COMPUTED_VALUE"""),"Сибдепо, телевидение, Интернет")</f>
        <v>Сибдепо, телевидение, Интернет</v>
      </c>
      <c r="Q92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926" s="6" t="str">
        <f>IFERROR(__xludf.DUMMYFUNCTION("""COMPUTED_VALUE"""),"День города, 9 Мая, шествия музыкальных коллективов по улицам города")</f>
        <v>День города, 9 Мая, шествия музыкальных коллективов по улицам города</v>
      </c>
      <c r="S926" s="6" t="str">
        <f>IFERROR(__xludf.DUMMYFUNCTION("""COMPUTED_VALUE"""),"Нет, не приходилось")</f>
        <v>Нет, не приходилось</v>
      </c>
      <c r="T926" s="6" t="str">
        <f>IFERROR(__xludf.DUMMYFUNCTION("""COMPUTED_VALUE"""),"Зимняя вишня. Сосновый бор, Томская писаница")</f>
        <v>Зимняя вишня. Сосновый бор, Томская писаница</v>
      </c>
      <c r="U926" s="6" t="str">
        <f>IFERROR(__xludf.DUMMYFUNCTION("""COMPUTED_VALUE"""),"Пл.Советов, улица Весенняя, Бульвар Строителей")</f>
        <v>Пл.Советов, улица Весенняя, Бульвар Строителей</v>
      </c>
      <c r="V926" s="6" t="str">
        <f>IFERROR(__xludf.DUMMYFUNCTION("""COMPUTED_VALUE"""),"Посадили много деревьев, разбили парки")</f>
        <v>Посадили много деревьев, разбили парки</v>
      </c>
      <c r="W926" s="6" t="str">
        <f>IFERROR(__xludf.DUMMYFUNCTION("""COMPUTED_VALUE"""),"Добрые, отзывчивые, внимательные")</f>
        <v>Добрые, отзывчивые, внимательные</v>
      </c>
      <c r="X926" s="6" t="str">
        <f>IFERROR(__xludf.DUMMYFUNCTION("""COMPUTED_VALUE"""),"Улица Весенняя, пл.Советов, Набережная")</f>
        <v>Улица Весенняя, пл.Советов, Набережная</v>
      </c>
      <c r="Y926" s="6" t="str">
        <f>IFERROR(__xludf.DUMMYFUNCTION("""COMPUTED_VALUE"""),"Рок- концерт на День Шахтера, организованный компанией Стройсервис, Зимняя вишня")</f>
        <v>Рок- концерт на День Шахтера, организованный компанией Стройсервис, Зимняя вишня</v>
      </c>
      <c r="Z926" s="6" t="str">
        <f>IFERROR(__xludf.DUMMYFUNCTION("""COMPUTED_VALUE"""),"Стройки, которые развернулись по всему городу к З00- летию Кузбасса, ремонт дорог, Открытие дороги между Кемерово и Новокузнецком скоростной, строительство аэропорта")</f>
        <v>Стройки, которые развернулись по всему городу к З00- летию Кузбасса, ремонт дорог, Открытие дороги между Кемерово и Новокузнецком скоростной, строительство аэропорта</v>
      </c>
      <c r="AA926" s="6" t="str">
        <f>IFERROR(__xludf.DUMMYFUNCTION("""COMPUTED_VALUE"""),"Город деградирует, закрываются хорошие рестораны, магазины, много пустых окон « Аренда», город беднеет")</f>
        <v>Город деградирует, закрываются хорошие рестораны, магазины, много пустых окон « Аренда», город беднеет</v>
      </c>
      <c r="AB926" s="6" t="str">
        <f>IFERROR(__xludf.DUMMYFUNCTION("""COMPUTED_VALUE"""),"Активное долголетие, занятия спортом в парках, на свежем воздухе")</f>
        <v>Активное долголетие, занятия спортом в парках, на свежем воздухе</v>
      </c>
      <c r="AC926" s="6" t="str">
        <f>IFERROR(__xludf.DUMMYFUNCTION("""COMPUTED_VALUE"""),"Приглашать музык.коллективы для шествий по городу, активная работа парков отдыха, выставки в парках ")</f>
        <v>Приглашать музык.коллективы для шествий по городу, активная работа парков отдыха, выставки в парках </v>
      </c>
      <c r="AD92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26" s="6" t="str">
        <f>IFERROR(__xludf.DUMMYFUNCTION("""COMPUTED_VALUE"""),"Женский")</f>
        <v>Женский</v>
      </c>
      <c r="AF926" s="6" t="str">
        <f>IFERROR(__xludf.DUMMYFUNCTION("""COMPUTED_VALUE"""),"45-55")</f>
        <v>45-55</v>
      </c>
      <c r="AG926" s="6"/>
      <c r="AH926" s="6"/>
      <c r="AI926" s="6"/>
      <c r="AJ926" s="6"/>
      <c r="AK926" s="6"/>
      <c r="AL926" s="6"/>
      <c r="AM926" s="6"/>
    </row>
    <row r="927">
      <c r="A927" s="6">
        <v>926.0</v>
      </c>
      <c r="B927" s="6" t="str">
        <f>IFERROR(__xludf.DUMMYFUNCTION("""COMPUTED_VALUE"""),"Юрист ")</f>
        <v>Юрист </v>
      </c>
      <c r="C927" s="6" t="str">
        <f>IFERROR(__xludf.DUMMYFUNCTION("""COMPUTED_VALUE"""),"Интеллектуальные игры  ")</f>
        <v>Интеллектуальные игры  </v>
      </c>
      <c r="D927" s="6" t="str">
        <f>IFERROR(__xludf.DUMMYFUNCTION("""COMPUTED_VALUE"""),"Ленинский")</f>
        <v>Ленинский</v>
      </c>
      <c r="E927" s="6" t="str">
        <f>IFERROR(__xludf.DUMMYFUNCTION("""COMPUTED_VALUE"""),"Бульвар строителей ")</f>
        <v>Бульвар строителей </v>
      </c>
      <c r="F927" s="6" t="str">
        <f>IFERROR(__xludf.DUMMYFUNCTION("""COMPUTED_VALUE"""),"Живу здесь с рождения")</f>
        <v>Живу здесь с рождения</v>
      </c>
      <c r="G927" s="6" t="str">
        <f>IFERROR(__xludf.DUMMYFUNCTION("""COMPUTED_VALUE"""),"Бор, набережная ")</f>
        <v>Бор, набережная </v>
      </c>
      <c r="H927" s="6" t="str">
        <f>IFERROR(__xludf.DUMMYFUNCTION("""COMPUTED_VALUE"""),"Заводы, столица, культура, природа, красивые виды ")</f>
        <v>Заводы, столица, культура, природа, красивые виды </v>
      </c>
      <c r="I927" s="6" t="str">
        <f>IFERROR(__xludf.DUMMYFUNCTION("""COMPUTED_VALUE"""),"Михайлов, Волков, Леонов, Гришковец ")</f>
        <v>Михайлов, Волков, Леонов, Гришковец </v>
      </c>
      <c r="J927" s="6" t="str">
        <f>IFERROR(__xludf.DUMMYFUNCTION("""COMPUTED_VALUE"""),"Михайлов, Гришковец, Ольга Васильева ")</f>
        <v>Михайлов, Гришковец, Ольга Васильева </v>
      </c>
      <c r="K927" s="6" t="str">
        <f>IFERROR(__xludf.DUMMYFUNCTION("""COMPUTED_VALUE"""),"Красная горка, Томская писаница, лесная поляна ")</f>
        <v>Красная горка, Томская писаница, лесная поляна </v>
      </c>
      <c r="L927" s="6" t="str">
        <f>IFERROR(__xludf.DUMMYFUNCTION("""COMPUTED_VALUE"""),"Любые истории из экскурсий «рыба шагала» ")</f>
        <v>Любые истории из экскурсий «рыба шагала» </v>
      </c>
      <c r="M927" s="6" t="str">
        <f>IFERROR(__xludf.DUMMYFUNCTION("""COMPUTED_VALUE"""),"Нет")</f>
        <v>Нет</v>
      </c>
      <c r="N927" s="6" t="str">
        <f>IFERROR(__xludf.DUMMYFUNCTION("""COMPUTED_VALUE"""),"Экология, рабочие места, места отдыха, транспортная доступность ")</f>
        <v>Экология, рабочие места, места отдыха, транспортная доступность </v>
      </c>
      <c r="O927" s="6" t="str">
        <f>IFERROR(__xludf.DUMMYFUNCTION("""COMPUTED_VALUE"""),"Экология, транспорт ")</f>
        <v>Экология, транспорт </v>
      </c>
      <c r="P927" s="6" t="str">
        <f>IFERROR(__xludf.DUMMYFUNCTION("""COMPUTED_VALUE"""),"А42, Сибдепо ")</f>
        <v>А42, Сибдепо </v>
      </c>
      <c r="Q927" s="6" t="str">
        <f>IFERROR(__xludf.DUMMYFUNCTION("""COMPUTED_VALUE"""),"куда пойти в свободное время, где вкусно поесть/открытие новых кафе/ресторанов, культурные новинки (что почитать/что послушать), результаты местных исследований (рейтинги/аналитика/тенденции)")</f>
        <v>куда пойти в свободное время, где вкусно поесть/открытие новых кафе/ресторанов, культурные новинки (что почитать/что послушать), результаты местных исследований (рейтинги/аналитика/тенденции)</v>
      </c>
      <c r="R927" s="6" t="str">
        <f>IFERROR(__xludf.DUMMYFUNCTION("""COMPUTED_VALUE"""),"День города, 9 мая ")</f>
        <v>День города, 9 мая </v>
      </c>
      <c r="S927" s="6" t="str">
        <f>IFERROR(__xludf.DUMMYFUNCTION("""COMPUTED_VALUE"""),"Нет, не приходилось")</f>
        <v>Нет, не приходилось</v>
      </c>
      <c r="T927" s="6" t="str">
        <f>IFERROR(__xludf.DUMMYFUNCTION("""COMPUTED_VALUE"""),"Томская писаница, красная горка ")</f>
        <v>Томская писаница, красная горка </v>
      </c>
      <c r="U927" s="6" t="str">
        <f>IFERROR(__xludf.DUMMYFUNCTION("""COMPUTED_VALUE"""),"Красная горка 
Набережная ")</f>
        <v>Красная горка 
Набережная </v>
      </c>
      <c r="V927" s="6" t="str">
        <f>IFERROR(__xludf.DUMMYFUNCTION("""COMPUTED_VALUE"""),"Создали заводы, построили красивый центр ")</f>
        <v>Создали заводы, построили красивый центр </v>
      </c>
      <c r="W927" s="6" t="str">
        <f>IFERROR(__xludf.DUMMYFUNCTION("""COMPUTED_VALUE"""),"Открытые, активные")</f>
        <v>Открытые, активные</v>
      </c>
      <c r="X927" s="6" t="str">
        <f>IFERROR(__xludf.DUMMYFUNCTION("""COMPUTED_VALUE"""),"Красная горка, набережная, лесная поляна ")</f>
        <v>Красная горка, набережная, лесная поляна </v>
      </c>
      <c r="Y927" s="6" t="str">
        <f>IFERROR(__xludf.DUMMYFUNCTION("""COMPUTED_VALUE"""),"Чемпионат мира по хоккею ")</f>
        <v>Чемпионат мира по хоккею </v>
      </c>
      <c r="Z927" s="6" t="str">
        <f>IFERROR(__xludf.DUMMYFUNCTION("""COMPUTED_VALUE"""),"Строительство новых объектов ")</f>
        <v>Строительство новых объектов </v>
      </c>
      <c r="AA927" s="6" t="str">
        <f>IFERROR(__xludf.DUMMYFUNCTION("""COMPUTED_VALUE"""),"Транспортная реформа, снос детских площадок натплощади советов и в центре ")</f>
        <v>Транспортная реформа, снос детских площадок натплощади советов и в центре </v>
      </c>
      <c r="AB927" s="6" t="str">
        <f>IFERROR(__xludf.DUMMYFUNCTION("""COMPUTED_VALUE"""),"Кот да Винчи ")</f>
        <v>Кот да Винчи </v>
      </c>
      <c r="AC927" s="6" t="str">
        <f>IFERROR(__xludf.DUMMYFUNCTION("""COMPUTED_VALUE"""),"Больше культурных проектов ")</f>
        <v>Больше культурных проектов </v>
      </c>
      <c r="AD92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27" s="6" t="str">
        <f>IFERROR(__xludf.DUMMYFUNCTION("""COMPUTED_VALUE"""),"Мужской")</f>
        <v>Мужской</v>
      </c>
      <c r="AF927" s="6" t="str">
        <f>IFERROR(__xludf.DUMMYFUNCTION("""COMPUTED_VALUE"""),"30-44")</f>
        <v>30-44</v>
      </c>
      <c r="AG927" s="6"/>
      <c r="AH927" s="6"/>
      <c r="AI927" s="6"/>
      <c r="AJ927" s="6"/>
      <c r="AK927" s="6"/>
      <c r="AL927" s="6"/>
      <c r="AM927" s="6"/>
    </row>
    <row r="928">
      <c r="A928" s="6">
        <v>927.0</v>
      </c>
      <c r="B928" s="6" t="str">
        <f>IFERROR(__xludf.DUMMYFUNCTION("""COMPUTED_VALUE"""),"Юрист ")</f>
        <v>Юрист </v>
      </c>
      <c r="C928" s="6" t="str">
        <f>IFERROR(__xludf.DUMMYFUNCTION("""COMPUTED_VALUE"""),"Интеллектуальные игры  ")</f>
        <v>Интеллектуальные игры  </v>
      </c>
      <c r="D928" s="6" t="str">
        <f>IFERROR(__xludf.DUMMYFUNCTION("""COMPUTED_VALUE"""),"Ленинский")</f>
        <v>Ленинский</v>
      </c>
      <c r="E928" s="6" t="str">
        <f>IFERROR(__xludf.DUMMYFUNCTION("""COMPUTED_VALUE"""),"Бульвар строителей ")</f>
        <v>Бульвар строителей </v>
      </c>
      <c r="F928" s="6" t="str">
        <f>IFERROR(__xludf.DUMMYFUNCTION("""COMPUTED_VALUE"""),"Живу здесь с рождения")</f>
        <v>Живу здесь с рождения</v>
      </c>
      <c r="G928" s="6" t="str">
        <f>IFERROR(__xludf.DUMMYFUNCTION("""COMPUTED_VALUE"""),"Бор, набережная ")</f>
        <v>Бор, набережная </v>
      </c>
      <c r="H928" s="6" t="str">
        <f>IFERROR(__xludf.DUMMYFUNCTION("""COMPUTED_VALUE"""),"Заводы, столица, культура, природа, красивые виды ")</f>
        <v>Заводы, столица, культура, природа, красивые виды </v>
      </c>
      <c r="I928" s="6" t="str">
        <f>IFERROR(__xludf.DUMMYFUNCTION("""COMPUTED_VALUE"""),"Михайлов, Волков, Леонов, Гришковец ")</f>
        <v>Михайлов, Волков, Леонов, Гришковец </v>
      </c>
      <c r="J928" s="6" t="str">
        <f>IFERROR(__xludf.DUMMYFUNCTION("""COMPUTED_VALUE"""),"Михайлов, Гришковец, Ольга Васильева ")</f>
        <v>Михайлов, Гришковец, Ольга Васильева </v>
      </c>
      <c r="K928" s="6" t="str">
        <f>IFERROR(__xludf.DUMMYFUNCTION("""COMPUTED_VALUE"""),"Красная горка, Томская писаница, лесная поляна ")</f>
        <v>Красная горка, Томская писаница, лесная поляна </v>
      </c>
      <c r="L928" s="6" t="str">
        <f>IFERROR(__xludf.DUMMYFUNCTION("""COMPUTED_VALUE"""),"Любые истории из экскурсий «рыба шагала» ")</f>
        <v>Любые истории из экскурсий «рыба шагала» </v>
      </c>
      <c r="M928" s="6" t="str">
        <f>IFERROR(__xludf.DUMMYFUNCTION("""COMPUTED_VALUE"""),"Нет")</f>
        <v>Нет</v>
      </c>
      <c r="N928" s="6" t="str">
        <f>IFERROR(__xludf.DUMMYFUNCTION("""COMPUTED_VALUE"""),"Экология, рабочие места, места отдыха, транспортная доступность ")</f>
        <v>Экология, рабочие места, места отдыха, транспортная доступность </v>
      </c>
      <c r="O928" s="6" t="str">
        <f>IFERROR(__xludf.DUMMYFUNCTION("""COMPUTED_VALUE"""),"Экология, транспорт ")</f>
        <v>Экология, транспорт </v>
      </c>
      <c r="P928" s="6" t="str">
        <f>IFERROR(__xludf.DUMMYFUNCTION("""COMPUTED_VALUE"""),"А42, Сибдепо ")</f>
        <v>А42, Сибдепо </v>
      </c>
      <c r="Q928" s="6" t="str">
        <f>IFERROR(__xludf.DUMMYFUNCTION("""COMPUTED_VALUE"""),"куда пойти в свободное время, где вкусно поесть/открытие новых кафе/ресторанов, культурные новинки (что почитать/что послушать), результаты местных исследований (рейтинги/аналитика/тенденции)")</f>
        <v>куда пойти в свободное время, где вкусно поесть/открытие новых кафе/ресторанов, культурные новинки (что почитать/что послушать), результаты местных исследований (рейтинги/аналитика/тенденции)</v>
      </c>
      <c r="R928" s="6" t="str">
        <f>IFERROR(__xludf.DUMMYFUNCTION("""COMPUTED_VALUE"""),"День города, 9 мая ")</f>
        <v>День города, 9 мая </v>
      </c>
      <c r="S928" s="6" t="str">
        <f>IFERROR(__xludf.DUMMYFUNCTION("""COMPUTED_VALUE"""),"Нет, не приходилось")</f>
        <v>Нет, не приходилось</v>
      </c>
      <c r="T928" s="6" t="str">
        <f>IFERROR(__xludf.DUMMYFUNCTION("""COMPUTED_VALUE"""),"Томская писаница, красная горка ")</f>
        <v>Томская писаница, красная горка </v>
      </c>
      <c r="U928" s="6" t="str">
        <f>IFERROR(__xludf.DUMMYFUNCTION("""COMPUTED_VALUE"""),"Красная горка 
Набережная ")</f>
        <v>Красная горка 
Набережная </v>
      </c>
      <c r="V928" s="6" t="str">
        <f>IFERROR(__xludf.DUMMYFUNCTION("""COMPUTED_VALUE"""),"Создали заводы, построили красивый центр ")</f>
        <v>Создали заводы, построили красивый центр </v>
      </c>
      <c r="W928" s="6" t="str">
        <f>IFERROR(__xludf.DUMMYFUNCTION("""COMPUTED_VALUE"""),"Открытые, активные")</f>
        <v>Открытые, активные</v>
      </c>
      <c r="X928" s="6" t="str">
        <f>IFERROR(__xludf.DUMMYFUNCTION("""COMPUTED_VALUE"""),"Красная горка, набережная, лесная поляна ")</f>
        <v>Красная горка, набережная, лесная поляна </v>
      </c>
      <c r="Y928" s="6" t="str">
        <f>IFERROR(__xludf.DUMMYFUNCTION("""COMPUTED_VALUE"""),"Чемпионат мира по хоккею ")</f>
        <v>Чемпионат мира по хоккею </v>
      </c>
      <c r="Z928" s="6" t="str">
        <f>IFERROR(__xludf.DUMMYFUNCTION("""COMPUTED_VALUE"""),"Строительство новых объектов ")</f>
        <v>Строительство новых объектов </v>
      </c>
      <c r="AA928" s="6" t="str">
        <f>IFERROR(__xludf.DUMMYFUNCTION("""COMPUTED_VALUE"""),"Транспортная реформа, снос детских площадок натплощади советов и в центре ")</f>
        <v>Транспортная реформа, снос детских площадок натплощади советов и в центре </v>
      </c>
      <c r="AB928" s="6" t="str">
        <f>IFERROR(__xludf.DUMMYFUNCTION("""COMPUTED_VALUE"""),"Кот да Винчи ")</f>
        <v>Кот да Винчи </v>
      </c>
      <c r="AC928" s="6" t="str">
        <f>IFERROR(__xludf.DUMMYFUNCTION("""COMPUTED_VALUE"""),"Больше культурных проектов ")</f>
        <v>Больше культурных проектов </v>
      </c>
      <c r="AD92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28" s="6" t="str">
        <f>IFERROR(__xludf.DUMMYFUNCTION("""COMPUTED_VALUE"""),"Мужской")</f>
        <v>Мужской</v>
      </c>
      <c r="AF928" s="6" t="str">
        <f>IFERROR(__xludf.DUMMYFUNCTION("""COMPUTED_VALUE"""),"30-44")</f>
        <v>30-44</v>
      </c>
      <c r="AG928" s="6"/>
      <c r="AH928" s="6"/>
      <c r="AI928" s="6"/>
      <c r="AJ928" s="6"/>
      <c r="AK928" s="6"/>
      <c r="AL928" s="6"/>
      <c r="AM928" s="6"/>
    </row>
    <row r="929">
      <c r="A929" s="6">
        <v>928.0</v>
      </c>
      <c r="B929" s="6" t="str">
        <f>IFERROR(__xludf.DUMMYFUNCTION("""COMPUTED_VALUE"""),"Бухгалтер ")</f>
        <v>Бухгалтер </v>
      </c>
      <c r="C929" s="6" t="str">
        <f>IFERROR(__xludf.DUMMYFUNCTION("""COMPUTED_VALUE"""),"Фото")</f>
        <v>Фото</v>
      </c>
      <c r="D929" s="6" t="str">
        <f>IFERROR(__xludf.DUMMYFUNCTION("""COMPUTED_VALUE"""),"Швейка")</f>
        <v>Швейка</v>
      </c>
      <c r="E929" s="6" t="str">
        <f>IFERROR(__xludf.DUMMYFUNCTION("""COMPUTED_VALUE"""),"Парк ангелов")</f>
        <v>Парк ангелов</v>
      </c>
      <c r="F929" s="6" t="str">
        <f>IFERROR(__xludf.DUMMYFUNCTION("""COMPUTED_VALUE"""),"Живу здесь с рождения")</f>
        <v>Живу здесь с рождения</v>
      </c>
      <c r="G929" s="6" t="str">
        <f>IFERROR(__xludf.DUMMYFUNCTION("""COMPUTED_VALUE"""),"Набережная, сосновый бор, красная горка, весенняя.")</f>
        <v>Набережная, сосновый бор, красная горка, весенняя.</v>
      </c>
      <c r="H929" s="6" t="str">
        <f>IFERROR(__xludf.DUMMYFUNCTION("""COMPUTED_VALUE"""),"Зелёный, спокойный, мечтательный, смог, дым")</f>
        <v>Зелёный, спокойный, мечтательный, смог, дым</v>
      </c>
      <c r="I929" s="6" t="str">
        <f>IFERROR(__xludf.DUMMYFUNCTION("""COMPUTED_VALUE"""),"Вера Волошина, Михайло Волков ")</f>
        <v>Вера Волошина, Михайло Волков </v>
      </c>
      <c r="J929" s="6" t="str">
        <f>IFERROR(__xludf.DUMMYFUNCTION("""COMPUTED_VALUE"""),"Аман Тулеев ")</f>
        <v>Аман Тулеев </v>
      </c>
      <c r="K929" s="6" t="str">
        <f>IFERROR(__xludf.DUMMYFUNCTION("""COMPUTED_VALUE"""),"Сосновый бор. Обзор всего города с ""креста""")</f>
        <v>Сосновый бор. Обзор всего города с "креста"</v>
      </c>
      <c r="L929" s="6" t="str">
        <f>IFERROR(__xludf.DUMMYFUNCTION("""COMPUTED_VALUE"""),"Что знает кум, знает и кумова жена, а по ней и вся деревня.")</f>
        <v>Что знает кум, знает и кумова жена, а по ней и вся деревня.</v>
      </c>
      <c r="M929" s="6" t="str">
        <f>IFERROR(__xludf.DUMMYFUNCTION("""COMPUTED_VALUE"""),"Мультифора ( везде файл) ")</f>
        <v>Мультифора ( везде файл) </v>
      </c>
      <c r="N929" s="6" t="str">
        <f>IFERROR(__xludf.DUMMYFUNCTION("""COMPUTED_VALUE"""),"Чистый, экологичный, зелёный,  грамотно обустроеный, живой.")</f>
        <v>Чистый, экологичный, зелёный,  грамотно обустроеный, живой.</v>
      </c>
      <c r="O929" s="6" t="str">
        <f>IFERROR(__xludf.DUMMYFUNCTION("""COMPUTED_VALUE"""),"Экологию")</f>
        <v>Экологию</v>
      </c>
      <c r="P929" s="6" t="str">
        <f>IFERROR(__xludf.DUMMYFUNCTION("""COMPUTED_VALUE"""),"Инстаграм, местные новости")</f>
        <v>Инстаграм, местные новости</v>
      </c>
      <c r="Q929" s="6" t="str">
        <f>IFERROR(__xludf.DUMMYFUNCTION("""COMPUTED_VALUE"""),"куда пойти в свободное время, городская афиша (кино/театр/концерты),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929" s="6" t="str">
        <f>IFERROR(__xludf.DUMMYFUNCTION("""COMPUTED_VALUE"""),"День города, день Шахтёра, новый год.")</f>
        <v>День города, день Шахтёра, новый год.</v>
      </c>
      <c r="S929" s="6" t="str">
        <f>IFERROR(__xludf.DUMMYFUNCTION("""COMPUTED_VALUE"""),"Нет, не приходилось")</f>
        <v>Нет, не приходилось</v>
      </c>
      <c r="T929" s="6" t="str">
        <f>IFERROR(__xludf.DUMMYFUNCTION("""COMPUTED_VALUE"""),"Знаменит, сгоревшей Вишней. Это позор.")</f>
        <v>Знаменит, сгоревшей Вишней. Это позор.</v>
      </c>
      <c r="U929" s="6" t="str">
        <f>IFERROR(__xludf.DUMMYFUNCTION("""COMPUTED_VALUE"""),"Пр-т Советский, ул.  Весенняя, пл. Пушкина")</f>
        <v>Пр-т Советский, ул.  Весенняя, пл. Пушкина</v>
      </c>
      <c r="V929" s="6" t="str">
        <f>IFERROR(__xludf.DUMMYFUNCTION("""COMPUTED_VALUE"""),"Выжили")</f>
        <v>Выжили</v>
      </c>
      <c r="W929" s="6" t="str">
        <f>IFERROR(__xludf.DUMMYFUNCTION("""COMPUTED_VALUE"""),"Отзывчивые, доброжелательные, коммуникабельные.")</f>
        <v>Отзывчивые, доброжелательные, коммуникабельные.</v>
      </c>
      <c r="X929" s="6" t="str">
        <f>IFERROR(__xludf.DUMMYFUNCTION("""COMPUTED_VALUE"""),"Горсад, набережная, Весенняя, драмтеатр.")</f>
        <v>Горсад, набережная, Весенняя, драмтеатр.</v>
      </c>
      <c r="Y929" s="6" t="str">
        <f>IFERROR(__xludf.DUMMYFUNCTION("""COMPUTED_VALUE"""),"Открытие музея Красная горка 1991 г.")</f>
        <v>Открытие музея Красная горка 1991 г.</v>
      </c>
      <c r="Z929" s="6" t="str">
        <f>IFERROR(__xludf.DUMMYFUNCTION("""COMPUTED_VALUE"""),"Июль 19 рок фестиваль")</f>
        <v>Июль 19 рок фестиваль</v>
      </c>
      <c r="AA929" s="6" t="str">
        <f>IFERROR(__xludf.DUMMYFUNCTION("""COMPUTED_VALUE"""),"Запрет на строительство аквапарка. В Сибири,  где больше зимы, нет хороших пляжей, нет возможности жителям расслабиться, поплавать, покататься на водных горках.")</f>
        <v>Запрет на строительство аквапарка. В Сибири,  где больше зимы, нет хороших пляжей, нет возможности жителям расслабиться, поплавать, покататься на водных горках.</v>
      </c>
      <c r="AB929" s="6" t="str">
        <f>IFERROR(__xludf.DUMMYFUNCTION("""COMPUTED_VALUE"""),"Всего хватает.")</f>
        <v>Всего хватает.</v>
      </c>
      <c r="AC929" s="6" t="str">
        <f>IFERROR(__xludf.DUMMYFUNCTION("""COMPUTED_VALUE"""),"Нужен аквапарк и хороший бассейн.")</f>
        <v>Нужен аквапарк и хороший бассейн.</v>
      </c>
      <c r="AD92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29" s="6" t="str">
        <f>IFERROR(__xludf.DUMMYFUNCTION("""COMPUTED_VALUE"""),"Женский")</f>
        <v>Женский</v>
      </c>
      <c r="AF929" s="6" t="str">
        <f>IFERROR(__xludf.DUMMYFUNCTION("""COMPUTED_VALUE"""),"30-44")</f>
        <v>30-44</v>
      </c>
      <c r="AG929" s="6"/>
      <c r="AH929" s="6"/>
      <c r="AI929" s="6"/>
      <c r="AJ929" s="6"/>
      <c r="AK929" s="6"/>
      <c r="AL929" s="6"/>
      <c r="AM929" s="6"/>
    </row>
    <row r="930">
      <c r="A930" s="6">
        <v>929.0</v>
      </c>
      <c r="B930" s="6" t="str">
        <f>IFERROR(__xludf.DUMMYFUNCTION("""COMPUTED_VALUE"""),"Научно-педагогическая деятельность")</f>
        <v>Научно-педагогическая деятельность</v>
      </c>
      <c r="C930" s="6" t="str">
        <f>IFERROR(__xludf.DUMMYFUNCTION("""COMPUTED_VALUE"""),"Нет")</f>
        <v>Нет</v>
      </c>
      <c r="D930" s="6" t="str">
        <f>IFERROR(__xludf.DUMMYFUNCTION("""COMPUTED_VALUE"""),"Центральный район")</f>
        <v>Центральный район</v>
      </c>
      <c r="E930" s="6" t="str">
        <f>IFERROR(__xludf.DUMMYFUNCTION("""COMPUTED_VALUE"""),"Ледовый комплекс")</f>
        <v>Ледовый комплекс</v>
      </c>
      <c r="F930" s="6" t="str">
        <f>IFERROR(__xludf.DUMMYFUNCTION("""COMPUTED_VALUE"""),"Живу здесь с рождения")</f>
        <v>Живу здесь с рождения</v>
      </c>
      <c r="G930" s="6" t="str">
        <f>IFERROR(__xludf.DUMMYFUNCTION("""COMPUTED_VALUE"""),"Кадетский корпус")</f>
        <v>Кадетский корпус</v>
      </c>
      <c r="H930" s="6" t="str">
        <f>IFERROR(__xludf.DUMMYFUNCTION("""COMPUTED_VALUE"""),"Волков, Красная горка, КузГТУ ")</f>
        <v>Волков, Красная горка, КузГТУ </v>
      </c>
      <c r="I930" s="6" t="str">
        <f>IFERROR(__xludf.DUMMYFUNCTION("""COMPUTED_VALUE"""),"Шестаков")</f>
        <v>Шестаков</v>
      </c>
      <c r="J930" s="6" t="str">
        <f>IFERROR(__xludf.DUMMYFUNCTION("""COMPUTED_VALUE"""),"Михайлов")</f>
        <v>Михайлов</v>
      </c>
      <c r="K930" s="6" t="str">
        <f>IFERROR(__xludf.DUMMYFUNCTION("""COMPUTED_VALUE"""),"Красная горка")</f>
        <v>Красная горка</v>
      </c>
      <c r="L930" s="6" t="str">
        <f>IFERROR(__xludf.DUMMYFUNCTION("""COMPUTED_VALUE"""),"Не знаю ")</f>
        <v>Не знаю </v>
      </c>
      <c r="M930" s="6" t="str">
        <f>IFERROR(__xludf.DUMMYFUNCTION("""COMPUTED_VALUE"""),"Не знаю")</f>
        <v>Не знаю</v>
      </c>
      <c r="N930" s="6" t="str">
        <f>IFERROR(__xludf.DUMMYFUNCTION("""COMPUTED_VALUE"""),"Пешеходные зоны, обустройство придомовых территорий, качественные дороги, обустройство тротуаров, малые формы")</f>
        <v>Пешеходные зоны, обустройство придомовых территорий, качественные дороги, обустройство тротуаров, малые формы</v>
      </c>
      <c r="O930" s="6" t="str">
        <f>IFERROR(__xludf.DUMMYFUNCTION("""COMPUTED_VALUE"""),"Текущее содержание придомовых территорий")</f>
        <v>Текущее содержание придомовых территорий</v>
      </c>
      <c r="P930" s="6" t="str">
        <f>IFERROR(__xludf.DUMMYFUNCTION("""COMPUTED_VALUE"""),"Региональные вести")</f>
        <v>Региональные вести</v>
      </c>
      <c r="Q930" s="6" t="str">
        <f>IFERROR(__xludf.DUMMYFUNCTION("""COMPUTED_VALUE"""),"интервью с местными политиками, интервью с местными творческими личностями")</f>
        <v>интервью с местными политиками, интервью с местными творческими личностями</v>
      </c>
      <c r="R930" s="6" t="str">
        <f>IFERROR(__xludf.DUMMYFUNCTION("""COMPUTED_VALUE"""),"День города")</f>
        <v>День города</v>
      </c>
      <c r="S930" s="6" t="str">
        <f>IFERROR(__xludf.DUMMYFUNCTION("""COMPUTED_VALUE"""),"Нет, не приходилось")</f>
        <v>Нет, не приходилось</v>
      </c>
      <c r="T930" s="6" t="str">
        <f>IFERROR(__xludf.DUMMYFUNCTION("""COMPUTED_VALUE"""),"Красная горка")</f>
        <v>Красная горка</v>
      </c>
      <c r="U930" s="6" t="str">
        <f>IFERROR(__xludf.DUMMYFUNCTION("""COMPUTED_VALUE"""),"Красная горка")</f>
        <v>Красная горка</v>
      </c>
      <c r="V930" s="6" t="str">
        <f>IFERROR(__xludf.DUMMYFUNCTION("""COMPUTED_VALUE"""),"Не знаю")</f>
        <v>Не знаю</v>
      </c>
      <c r="W930" s="6" t="str">
        <f>IFERROR(__xludf.DUMMYFUNCTION("""COMPUTED_VALUE"""),"Не знаю")</f>
        <v>Не знаю</v>
      </c>
      <c r="X930" s="6" t="str">
        <f>IFERROR(__xludf.DUMMYFUNCTION("""COMPUTED_VALUE"""),"Кадетский корпус, Красная горка")</f>
        <v>Кадетский корпус, Красная горка</v>
      </c>
      <c r="Y930" s="6" t="str">
        <f>IFERROR(__xludf.DUMMYFUNCTION("""COMPUTED_VALUE"""),"Не знаю")</f>
        <v>Не знаю</v>
      </c>
      <c r="Z930" s="6" t="str">
        <f>IFERROR(__xludf.DUMMYFUNCTION("""COMPUTED_VALUE"""),"Празднование Дея Победы")</f>
        <v>Празднование Дея Победы</v>
      </c>
      <c r="AA930" s="6" t="str">
        <f>IFERROR(__xludf.DUMMYFUNCTION("""COMPUTED_VALUE"""),"Не знаю")</f>
        <v>Не знаю</v>
      </c>
      <c r="AB930" s="6" t="str">
        <f>IFERROR(__xludf.DUMMYFUNCTION("""COMPUTED_VALUE"""),"Нет")</f>
        <v>Нет</v>
      </c>
      <c r="AC930" s="6" t="str">
        <f>IFERROR(__xludf.DUMMYFUNCTION("""COMPUTED_VALUE"""),"Спортивные мероприятия ")</f>
        <v>Спортивные мероприятия </v>
      </c>
      <c r="AD93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30" s="6" t="str">
        <f>IFERROR(__xludf.DUMMYFUNCTION("""COMPUTED_VALUE"""),"Мужской")</f>
        <v>Мужской</v>
      </c>
      <c r="AF930" s="6" t="str">
        <f>IFERROR(__xludf.DUMMYFUNCTION("""COMPUTED_VALUE"""),"45-55")</f>
        <v>45-55</v>
      </c>
      <c r="AG930" s="6"/>
      <c r="AH930" s="6"/>
      <c r="AI930" s="6"/>
      <c r="AJ930" s="6"/>
      <c r="AK930" s="6"/>
      <c r="AL930" s="6"/>
      <c r="AM930" s="6"/>
    </row>
    <row r="931">
      <c r="A931" s="6">
        <v>930.0</v>
      </c>
      <c r="B931" s="6" t="str">
        <f>IFERROR(__xludf.DUMMYFUNCTION("""COMPUTED_VALUE"""),"Государственный служащий ")</f>
        <v>Государственный служащий </v>
      </c>
      <c r="C931" s="6" t="str">
        <f>IFERROR(__xludf.DUMMYFUNCTION("""COMPUTED_VALUE"""),"Да. ")</f>
        <v>Да. </v>
      </c>
      <c r="D931" s="6" t="str">
        <f>IFERROR(__xludf.DUMMYFUNCTION("""COMPUTED_VALUE"""),"Рудничный район. Радуга.")</f>
        <v>Рудничный район. Радуга.</v>
      </c>
      <c r="E931" s="6" t="str">
        <f>IFERROR(__xludf.DUMMYFUNCTION("""COMPUTED_VALUE"""),"Рудничный бор ")</f>
        <v>Рудничный бор </v>
      </c>
      <c r="F93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931" s="6" t="str">
        <f>IFERROR(__xludf.DUMMYFUNCTION("""COMPUTED_VALUE"""),"Парк чудес, Красная Горка, Набережная ")</f>
        <v>Парк чудес, Красная Горка, Набережная </v>
      </c>
      <c r="H931" s="6" t="str">
        <f>IFERROR(__xludf.DUMMYFUNCTION("""COMPUTED_VALUE"""),"Шахтер, уголь, кедр, медведь")</f>
        <v>Шахтер, уголь, кедр, медведь</v>
      </c>
      <c r="I931" s="6" t="str">
        <f>IFERROR(__xludf.DUMMYFUNCTION("""COMPUTED_VALUE"""),"Михайлов, Волков, Чихачев ")</f>
        <v>Михайлов, Волков, Чихачев </v>
      </c>
      <c r="J931" s="6" t="str">
        <f>IFERROR(__xludf.DUMMYFUNCTION("""COMPUTED_VALUE"""),"Леонов, Машков, Капризов")</f>
        <v>Леонов, Машков, Капризов</v>
      </c>
      <c r="K931" s="6" t="str">
        <f>IFERROR(__xludf.DUMMYFUNCTION("""COMPUTED_VALUE"""),"Монумент ""Память Шахтерам Кузбасса"" ")</f>
        <v>Монумент "Память Шахтерам Кузбасса" </v>
      </c>
      <c r="L931" s="6" t="str">
        <f>IFERROR(__xludf.DUMMYFUNCTION("""COMPUTED_VALUE"""),"Уголек, как золото: и блестит и ценится.")</f>
        <v>Уголек, как золото: и блестит и ценится.</v>
      </c>
      <c r="M931" s="6" t="str">
        <f>IFERROR(__xludf.DUMMYFUNCTION("""COMPUTED_VALUE"""),"черное мороженное ")</f>
        <v>черное мороженное </v>
      </c>
      <c r="N931" s="6" t="str">
        <f>IFERROR(__xludf.DUMMYFUNCTION("""COMPUTED_VALUE"""),"Дороги, воздух, чистота улиц и дворов, озеленение ")</f>
        <v>Дороги, воздух, чистота улиц и дворов, озеленение </v>
      </c>
      <c r="O931" s="6" t="str">
        <f>IFERROR(__xludf.DUMMYFUNCTION("""COMPUTED_VALUE"""),"Дороги")</f>
        <v>Дороги</v>
      </c>
      <c r="P931" s="6" t="str">
        <f>IFERROR(__xludf.DUMMYFUNCTION("""COMPUTED_VALUE"""),"Интернет - Афиша Кемерово, Вести42  ")</f>
        <v>Интернет - Афиша Кемерово, Вести42  </v>
      </c>
      <c r="Q931" s="6" t="str">
        <f>IFERROR(__xludf.DUMMYFUNCTION("""COMPUTED_VALUE"""),"куда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f>
        <v>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v>
      </c>
      <c r="R931" s="6" t="str">
        <f>IFERROR(__xludf.DUMMYFUNCTION("""COMPUTED_VALUE"""),"День города, 9 мая")</f>
        <v>День города, 9 мая</v>
      </c>
      <c r="S931" s="6" t="str">
        <f>IFERROR(__xludf.DUMMYFUNCTION("""COMPUTED_VALUE"""),"Нет, не приходилось")</f>
        <v>Нет, не приходилось</v>
      </c>
      <c r="T931" s="6" t="str">
        <f>IFERROR(__xludf.DUMMYFUNCTION("""COMPUTED_VALUE"""),"Красная горка")</f>
        <v>Красная горка</v>
      </c>
      <c r="U931" s="6" t="str">
        <f>IFERROR(__xludf.DUMMYFUNCTION("""COMPUTED_VALUE"""),"площадь Советов ")</f>
        <v>площадь Советов </v>
      </c>
      <c r="V931" s="6" t="str">
        <f>IFERROR(__xludf.DUMMYFUNCTION("""COMPUTED_VALUE"""),"Строительство, благоустройство ")</f>
        <v>Строительство, благоустройство </v>
      </c>
      <c r="W931" s="6" t="str">
        <f>IFERROR(__xludf.DUMMYFUNCTION("""COMPUTED_VALUE"""),"Добрые ")</f>
        <v>Добрые </v>
      </c>
      <c r="X931" s="6" t="str">
        <f>IFERROR(__xludf.DUMMYFUNCTION("""COMPUTED_VALUE"""),"От набережной до Красной горки ")</f>
        <v>От набережной до Красной горки </v>
      </c>
      <c r="Y931" s="6" t="str">
        <f>IFERROR(__xludf.DUMMYFUNCTION("""COMPUTED_VALUE"""),"1999 г.— учреждена медаль «За особый вклад в раз­витие Кузбасса».")</f>
        <v>1999 г.— учреждена медаль «За особый вклад в раз­витие Кузбасса».</v>
      </c>
      <c r="Z931" s="6" t="str">
        <f>IFERROR(__xludf.DUMMYFUNCTION("""COMPUTED_VALUE"""),"Фестиваль рока 2019 г. ")</f>
        <v>Фестиваль рока 2019 г. </v>
      </c>
      <c r="AA931" s="6" t="str">
        <f>IFERROR(__xludf.DUMMYFUNCTION("""COMPUTED_VALUE"""),"Зимняя вишня")</f>
        <v>Зимняя вишня</v>
      </c>
      <c r="AB931" s="6" t="str">
        <f>IFERROR(__xludf.DUMMYFUNCTION("""COMPUTED_VALUE"""),"Всего хватает")</f>
        <v>Всего хватает</v>
      </c>
      <c r="AC931" s="6" t="str">
        <f>IFERROR(__xludf.DUMMYFUNCTION("""COMPUTED_VALUE"""),"Открытие аквапарка ")</f>
        <v>Открытие аквапарка </v>
      </c>
      <c r="AD93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931" s="6" t="str">
        <f>IFERROR(__xludf.DUMMYFUNCTION("""COMPUTED_VALUE"""),"Женский")</f>
        <v>Женский</v>
      </c>
      <c r="AF931" s="6" t="str">
        <f>IFERROR(__xludf.DUMMYFUNCTION("""COMPUTED_VALUE"""),"30-44")</f>
        <v>30-44</v>
      </c>
      <c r="AG931" s="6"/>
      <c r="AH931" s="6"/>
      <c r="AI931" s="6"/>
      <c r="AJ931" s="6"/>
      <c r="AK931" s="6"/>
      <c r="AL931" s="6"/>
      <c r="AM931" s="6"/>
    </row>
    <row r="932">
      <c r="A932" s="6">
        <v>931.0</v>
      </c>
      <c r="B932" s="6" t="str">
        <f>IFERROR(__xludf.DUMMYFUNCTION("""COMPUTED_VALUE"""),"Финансы")</f>
        <v>Финансы</v>
      </c>
      <c r="C932" s="6" t="str">
        <f>IFERROR(__xludf.DUMMYFUNCTION("""COMPUTED_VALUE"""),"нет")</f>
        <v>нет</v>
      </c>
      <c r="D932" s="6" t="str">
        <f>IFERROR(__xludf.DUMMYFUNCTION("""COMPUTED_VALUE"""),"Кировский")</f>
        <v>Кировский</v>
      </c>
      <c r="E932" s="6" t="str">
        <f>IFERROR(__xludf.DUMMYFUNCTION("""COMPUTED_VALUE"""),"Березовая роща")</f>
        <v>Березовая роща</v>
      </c>
      <c r="F932" s="6" t="str">
        <f>IFERROR(__xludf.DUMMYFUNCTION("""COMPUTED_VALUE"""),"Живу здесь с рождения")</f>
        <v>Живу здесь с рождения</v>
      </c>
      <c r="G932" s="6" t="str">
        <f>IFERROR(__xludf.DUMMYFUNCTION("""COMPUTED_VALUE"""),"набережная")</f>
        <v>набережная</v>
      </c>
      <c r="H932" s="6" t="str">
        <f>IFERROR(__xludf.DUMMYFUNCTION("""COMPUTED_VALUE"""),"Кузбасс, Кемерово, край, Томь, дом")</f>
        <v>Кузбасс, Кемерово, край, Томь, дом</v>
      </c>
      <c r="I932" s="6" t="str">
        <f>IFERROR(__xludf.DUMMYFUNCTION("""COMPUTED_VALUE"""),"Леонов")</f>
        <v>Леонов</v>
      </c>
      <c r="J932" s="6" t="str">
        <f>IFERROR(__xludf.DUMMYFUNCTION("""COMPUTED_VALUE"""),"Тулеев, Михайлов")</f>
        <v>Тулеев, Михайлов</v>
      </c>
      <c r="K932" s="6" t="str">
        <f>IFERROR(__xludf.DUMMYFUNCTION("""COMPUTED_VALUE"""),"центр города")</f>
        <v>центр города</v>
      </c>
      <c r="L932" s="6" t="str">
        <f>IFERROR(__xludf.DUMMYFUNCTION("""COMPUTED_VALUE"""),"нет")</f>
        <v>нет</v>
      </c>
      <c r="M932" s="6" t="str">
        <f>IFERROR(__xludf.DUMMYFUNCTION("""COMPUTED_VALUE"""),"нет")</f>
        <v>нет</v>
      </c>
      <c r="N932" s="6" t="str">
        <f>IFERROR(__xludf.DUMMYFUNCTION("""COMPUTED_VALUE"""),"многое")</f>
        <v>многое</v>
      </c>
      <c r="O932" s="6" t="str">
        <f>IFERROR(__xludf.DUMMYFUNCTION("""COMPUTED_VALUE"""),"Экологию")</f>
        <v>Экологию</v>
      </c>
      <c r="P932" s="6" t="str">
        <f>IFERROR(__xludf.DUMMYFUNCTION("""COMPUTED_VALUE"""),"Интернет")</f>
        <v>Интернет</v>
      </c>
      <c r="Q932" s="6" t="str">
        <f>IFERROR(__xludf.DUMMYFUNCTION("""COMPUTED_VALUE"""),"куда пойти в свободное время")</f>
        <v>куда пойти в свободное время</v>
      </c>
      <c r="R932" s="6" t="str">
        <f>IFERROR(__xludf.DUMMYFUNCTION("""COMPUTED_VALUE"""),"все")</f>
        <v>все</v>
      </c>
      <c r="S932" s="6" t="str">
        <f>IFERROR(__xludf.DUMMYFUNCTION("""COMPUTED_VALUE"""),"Нет, не приходилось")</f>
        <v>Нет, не приходилось</v>
      </c>
      <c r="T932" s="6" t="str">
        <f>IFERROR(__xludf.DUMMYFUNCTION("""COMPUTED_VALUE"""),"не знаю")</f>
        <v>не знаю</v>
      </c>
      <c r="U932" s="6" t="str">
        <f>IFERROR(__xludf.DUMMYFUNCTION("""COMPUTED_VALUE"""),"площадь Советов")</f>
        <v>площадь Советов</v>
      </c>
      <c r="V932" s="6" t="str">
        <f>IFERROR(__xludf.DUMMYFUNCTION("""COMPUTED_VALUE"""),"многое")</f>
        <v>многое</v>
      </c>
      <c r="W932" s="6" t="str">
        <f>IFERROR(__xludf.DUMMYFUNCTION("""COMPUTED_VALUE"""),"разные")</f>
        <v>разные</v>
      </c>
      <c r="X932" s="6" t="str">
        <f>IFERROR(__xludf.DUMMYFUNCTION("""COMPUTED_VALUE"""),"памяник шахтерам")</f>
        <v>памяник шахтерам</v>
      </c>
      <c r="Y932" s="6" t="str">
        <f>IFERROR(__xludf.DUMMYFUNCTION("""COMPUTED_VALUE"""),"зимняя вишня")</f>
        <v>зимняя вишня</v>
      </c>
      <c r="Z932" s="6" t="str">
        <f>IFERROR(__xludf.DUMMYFUNCTION("""COMPUTED_VALUE"""),"нет")</f>
        <v>нет</v>
      </c>
      <c r="AA932" s="6" t="str">
        <f>IFERROR(__xludf.DUMMYFUNCTION("""COMPUTED_VALUE"""),"пандемия")</f>
        <v>пандемия</v>
      </c>
      <c r="AB932" s="6" t="str">
        <f>IFERROR(__xludf.DUMMYFUNCTION("""COMPUTED_VALUE"""),"нет")</f>
        <v>нет</v>
      </c>
      <c r="AC932" s="6" t="str">
        <f>IFERROR(__xludf.DUMMYFUNCTION("""COMPUTED_VALUE"""),"достаточно")</f>
        <v>достаточно</v>
      </c>
      <c r="AD93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932" s="6" t="str">
        <f>IFERROR(__xludf.DUMMYFUNCTION("""COMPUTED_VALUE"""),"Женский")</f>
        <v>Женский</v>
      </c>
      <c r="AF932" s="6" t="str">
        <f>IFERROR(__xludf.DUMMYFUNCTION("""COMPUTED_VALUE"""),"45-55")</f>
        <v>45-55</v>
      </c>
      <c r="AG932" s="6"/>
      <c r="AH932" s="6"/>
      <c r="AI932" s="6"/>
      <c r="AJ932" s="6"/>
      <c r="AK932" s="6"/>
      <c r="AL932" s="6"/>
      <c r="AM932" s="6"/>
    </row>
    <row r="933">
      <c r="A933" s="6">
        <v>932.0</v>
      </c>
      <c r="B933" s="6" t="str">
        <f>IFERROR(__xludf.DUMMYFUNCTION("""COMPUTED_VALUE"""),"Служащий")</f>
        <v>Служащий</v>
      </c>
      <c r="C933" s="6" t="str">
        <f>IFERROR(__xludf.DUMMYFUNCTION("""COMPUTED_VALUE"""),"Нет хобби")</f>
        <v>Нет хобби</v>
      </c>
      <c r="D933" s="6" t="str">
        <f>IFERROR(__xludf.DUMMYFUNCTION("""COMPUTED_VALUE"""),"Радуга")</f>
        <v>Радуга</v>
      </c>
      <c r="E933" s="6" t="str">
        <f>IFERROR(__xludf.DUMMYFUNCTION("""COMPUTED_VALUE"""),"Горка зимой")</f>
        <v>Горка зимой</v>
      </c>
      <c r="F933" s="6" t="str">
        <f>IFERROR(__xludf.DUMMYFUNCTION("""COMPUTED_VALUE"""),"Переехал сюда из другого места (откуда? укажите в графе другое), Родился в Казахстане")</f>
        <v>Переехал сюда из другого места (откуда? укажите в графе другое), Родился в Казахстане</v>
      </c>
      <c r="G933" s="6" t="str">
        <f>IFERROR(__xludf.DUMMYFUNCTION("""COMPUTED_VALUE"""),"Парки")</f>
        <v>Парки</v>
      </c>
      <c r="H933" s="6" t="str">
        <f>IFERROR(__xludf.DUMMYFUNCTION("""COMPUTED_VALUE"""),"Зимняя вишня, смог, загрязнение, Родина, семья")</f>
        <v>Зимняя вишня, смог, загрязнение, Родина, семья</v>
      </c>
      <c r="I933" s="6" t="str">
        <f>IFERROR(__xludf.DUMMYFUNCTION("""COMPUTED_VALUE"""),"Двужильный, Волошина. ")</f>
        <v>Двужильный, Волошина. </v>
      </c>
      <c r="J933" s="6" t="str">
        <f>IFERROR(__xludf.DUMMYFUNCTION("""COMPUTED_VALUE"""),"Латынникова Ирина Николаевна")</f>
        <v>Латынникова Ирина Николаевна</v>
      </c>
      <c r="K933" s="6" t="str">
        <f>IFERROR(__xludf.DUMMYFUNCTION("""COMPUTED_VALUE"""),"Красная Горка")</f>
        <v>Красная Горка</v>
      </c>
      <c r="L933" s="6" t="str">
        <f>IFERROR(__xludf.DUMMYFUNCTION("""COMPUTED_VALUE"""),"Не знаю")</f>
        <v>Не знаю</v>
      </c>
      <c r="M933" s="6" t="str">
        <f>IFERROR(__xludf.DUMMYFUNCTION("""COMPUTED_VALUE"""),"Не знаю")</f>
        <v>Не знаю</v>
      </c>
      <c r="N933" s="6" t="str">
        <f>IFERROR(__xludf.DUMMYFUNCTION("""COMPUTED_VALUE"""),"Отсутствие пробок, получасовая доступность, качество дорог")</f>
        <v>Отсутствие пробок, получасовая доступность, качество дорог</v>
      </c>
      <c r="O933" s="6" t="str">
        <f>IFERROR(__xludf.DUMMYFUNCTION("""COMPUTED_VALUE"""),"Выбросы в воздух ограничить")</f>
        <v>Выбросы в воздух ограничить</v>
      </c>
      <c r="P933" s="6" t="str">
        <f>IFERROR(__xludf.DUMMYFUNCTION("""COMPUTED_VALUE"""),"От знакомых")</f>
        <v>От знакомых</v>
      </c>
      <c r="Q933"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933" s="6" t="str">
        <f>IFERROR(__xludf.DUMMYFUNCTION("""COMPUTED_VALUE"""),"День Шахтера")</f>
        <v>День Шахтера</v>
      </c>
      <c r="S933" s="6" t="str">
        <f>IFERROR(__xludf.DUMMYFUNCTION("""COMPUTED_VALUE"""),"Нет, не приходилось")</f>
        <v>Нет, не приходилось</v>
      </c>
      <c r="T933" s="6" t="str">
        <f>IFERROR(__xludf.DUMMYFUNCTION("""COMPUTED_VALUE"""),"Знаменит Алексеем Леоновым, известен Зимней Вишней")</f>
        <v>Знаменит Алексеем Леоновым, известен Зимней Вишней</v>
      </c>
      <c r="U933" s="6" t="str">
        <f>IFERROR(__xludf.DUMMYFUNCTION("""COMPUTED_VALUE"""),"Набережная")</f>
        <v>Набережная</v>
      </c>
      <c r="V933" s="6" t="str">
        <f>IFERROR(__xludf.DUMMYFUNCTION("""COMPUTED_VALUE"""),"Жили и трудились")</f>
        <v>Жили и трудились</v>
      </c>
      <c r="W933" s="6" t="str">
        <f>IFERROR(__xludf.DUMMYFUNCTION("""COMPUTED_VALUE"""),"Добрые")</f>
        <v>Добрые</v>
      </c>
      <c r="X933" s="6" t="str">
        <f>IFERROR(__xludf.DUMMYFUNCTION("""COMPUTED_VALUE"""),"Красная Горка")</f>
        <v>Красная Горка</v>
      </c>
      <c r="Y933" s="6" t="str">
        <f>IFERROR(__xludf.DUMMYFUNCTION("""COMPUTED_VALUE"""),"Не знаю")</f>
        <v>Не знаю</v>
      </c>
      <c r="Z933" s="6" t="str">
        <f>IFERROR(__xludf.DUMMYFUNCTION("""COMPUTED_VALUE"""),"Никаких")</f>
        <v>Никаких</v>
      </c>
      <c r="AA933" s="6" t="str">
        <f>IFERROR(__xludf.DUMMYFUNCTION("""COMPUTED_VALUE"""),"Выбросы в воздух")</f>
        <v>Выбросы в воздух</v>
      </c>
      <c r="AB933" s="6" t="str">
        <f>IFERROR(__xludf.DUMMYFUNCTION("""COMPUTED_VALUE"""),"Хватает")</f>
        <v>Хватает</v>
      </c>
      <c r="AC933" s="6" t="str">
        <f>IFERROR(__xludf.DUMMYFUNCTION("""COMPUTED_VALUE"""),"Не знаю")</f>
        <v>Не знаю</v>
      </c>
      <c r="AD93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933" s="6" t="str">
        <f>IFERROR(__xludf.DUMMYFUNCTION("""COMPUTED_VALUE"""),"Мужской")</f>
        <v>Мужской</v>
      </c>
      <c r="AF933" s="6" t="str">
        <f>IFERROR(__xludf.DUMMYFUNCTION("""COMPUTED_VALUE"""),"30-44")</f>
        <v>30-44</v>
      </c>
      <c r="AG933" s="6"/>
      <c r="AH933" s="6"/>
      <c r="AI933" s="6"/>
      <c r="AJ933" s="6"/>
      <c r="AK933" s="6"/>
      <c r="AL933" s="6"/>
      <c r="AM933" s="6"/>
    </row>
    <row r="934">
      <c r="A934" s="6">
        <v>933.0</v>
      </c>
      <c r="B934" s="6" t="str">
        <f>IFERROR(__xludf.DUMMYFUNCTION("""COMPUTED_VALUE"""),"работаю")</f>
        <v>работаю</v>
      </c>
      <c r="C934" s="6" t="str">
        <f>IFERROR(__xludf.DUMMYFUNCTION("""COMPUTED_VALUE"""),"вяжу")</f>
        <v>вяжу</v>
      </c>
      <c r="D934" s="6" t="str">
        <f>IFERROR(__xludf.DUMMYFUNCTION("""COMPUTED_VALUE"""),"ленинский")</f>
        <v>ленинский</v>
      </c>
      <c r="E934" s="6" t="str">
        <f>IFERROR(__xludf.DUMMYFUNCTION("""COMPUTED_VALUE"""),"парк комсомольский")</f>
        <v>парк комсомольский</v>
      </c>
      <c r="F934" s="6" t="str">
        <f>IFERROR(__xludf.DUMMYFUNCTION("""COMPUTED_VALUE"""),"Живу здесь с рождения")</f>
        <v>Живу здесь с рождения</v>
      </c>
      <c r="G934" s="6" t="str">
        <f>IFERROR(__xludf.DUMMYFUNCTION("""COMPUTED_VALUE"""),"томская писаница, бульвар строителей")</f>
        <v>томская писаница, бульвар строителей</v>
      </c>
      <c r="H934" s="6" t="str">
        <f>IFERROR(__xludf.DUMMYFUNCTION("""COMPUTED_VALUE"""),"уголь, смог, шахетр, провинция, кузбасс")</f>
        <v>уголь, смог, шахетр, провинция, кузбасс</v>
      </c>
      <c r="I934" s="6" t="str">
        <f>IFERROR(__xludf.DUMMYFUNCTION("""COMPUTED_VALUE"""),"Леонов Алексей ,  Волков Михайло")</f>
        <v>Леонов Алексей ,  Волков Михайло</v>
      </c>
      <c r="J934" s="6" t="str">
        <f>IFERROR(__xludf.DUMMYFUNCTION("""COMPUTED_VALUE"""),"Да никто ")</f>
        <v>Да никто </v>
      </c>
      <c r="K934" s="6" t="str">
        <f>IFERROR(__xludf.DUMMYFUNCTION("""COMPUTED_VALUE"""),"Томская писаница , Красная горка, сосновый бор на радуге")</f>
        <v>Томская писаница , Красная горка, сосновый бор на радуге</v>
      </c>
      <c r="L934" s="6" t="str">
        <f>IFERROR(__xludf.DUMMYFUNCTION("""COMPUTED_VALUE"""),"нет")</f>
        <v>нет</v>
      </c>
      <c r="M934" s="6" t="str">
        <f>IFERROR(__xludf.DUMMYFUNCTION("""COMPUTED_VALUE"""),"нет")</f>
        <v>нет</v>
      </c>
      <c r="N934" s="6" t="str">
        <f>IFERROR(__xludf.DUMMYFUNCTION("""COMPUTED_VALUE"""),"Чистота, безопасность, освещенность, хорошая транспортная развязка и логистика общественно транспорта")</f>
        <v>Чистота, безопасность, освещенность, хорошая транспортная развязка и логистика общественно транспорта</v>
      </c>
      <c r="O934" s="6" t="str">
        <f>IFERROR(__xludf.DUMMYFUNCTION("""COMPUTED_VALUE"""),"-")</f>
        <v>-</v>
      </c>
      <c r="P934" s="6" t="str">
        <f>IFERROR(__xludf.DUMMYFUNCTION("""COMPUTED_VALUE"""),"Инстаграмм , местное ТВ")</f>
        <v>Инстаграмм , местное ТВ</v>
      </c>
      <c r="Q934" s="6" t="str">
        <f>IFERROR(__xludf.DUMMYFUNCTION("""COMPUTED_VALUE"""),"интервью с местными предпринимателями, результаты местных исследований (рейтинги/аналитика/тенденции), новости о вновь создаваемых объектах в городе, новых местах, новости в сфере здравоохранения и обучения  именно в Кемерово , Кузбассе")</f>
        <v>интервью с местными предпринимателями, результаты местных исследований (рейтинги/аналитика/тенденции), новости о вновь создаваемых объектах в городе, новых местах, новости в сфере здравоохранения и обучения  именно в Кемерово , Кузбассе</v>
      </c>
      <c r="R934" s="6" t="str">
        <f>IFERROR(__xludf.DUMMYFUNCTION("""COMPUTED_VALUE"""),"день города, день шахтера")</f>
        <v>день города, день шахтера</v>
      </c>
      <c r="S934" s="6" t="str">
        <f>IFERROR(__xludf.DUMMYFUNCTION("""COMPUTED_VALUE"""),"Нет, не приходилось")</f>
        <v>Нет, не приходилось</v>
      </c>
      <c r="T934" s="6" t="str">
        <f>IFERROR(__xludf.DUMMYFUNCTION("""COMPUTED_VALUE"""),"Забастовкой шахтёров в 90 годы, Тулеевым, Зимней вишней")</f>
        <v>Забастовкой шахтёров в 90 годы, Тулеевым, Зимней вишней</v>
      </c>
      <c r="U934" s="6" t="str">
        <f>IFERROR(__xludf.DUMMYFUNCTION("""COMPUTED_VALUE"""),"Площадь советов")</f>
        <v>Площадь советов</v>
      </c>
      <c r="V934" s="6" t="str">
        <f>IFERROR(__xludf.DUMMYFUNCTION("""COMPUTED_VALUE"""),"-")</f>
        <v>-</v>
      </c>
      <c r="W934" s="6" t="str">
        <f>IFERROR(__xludf.DUMMYFUNCTION("""COMPUTED_VALUE"""),"Уставшие , озлобленные ")</f>
        <v>Уставшие , озлобленные </v>
      </c>
      <c r="X934" s="6" t="str">
        <f>IFERROR(__xludf.DUMMYFUNCTION("""COMPUTED_VALUE"""),"-")</f>
        <v>-</v>
      </c>
      <c r="Y934" s="6" t="str">
        <f>IFERROR(__xludf.DUMMYFUNCTION("""COMPUTED_VALUE"""),"чемпионат мира по Бенди 2007 г")</f>
        <v>чемпионат мира по Бенди 2007 г</v>
      </c>
      <c r="Z934" s="6" t="str">
        <f>IFERROR(__xludf.DUMMYFUNCTION("""COMPUTED_VALUE"""),"-")</f>
        <v>-</v>
      </c>
      <c r="AA934" s="6" t="str">
        <f>IFERROR(__xludf.DUMMYFUNCTION("""COMPUTED_VALUE"""),"Зимняя вишня")</f>
        <v>Зимняя вишня</v>
      </c>
      <c r="AB934" s="6" t="str">
        <f>IFERROR(__xludf.DUMMYFUNCTION("""COMPUTED_VALUE"""),"-")</f>
        <v>-</v>
      </c>
      <c r="AC934" s="6" t="str">
        <f>IFERROR(__xludf.DUMMYFUNCTION("""COMPUTED_VALUE"""),"-")</f>
        <v>-</v>
      </c>
      <c r="AD93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934" s="6" t="str">
        <f>IFERROR(__xludf.DUMMYFUNCTION("""COMPUTED_VALUE"""),"Женский")</f>
        <v>Женский</v>
      </c>
      <c r="AF934" s="6" t="str">
        <f>IFERROR(__xludf.DUMMYFUNCTION("""COMPUTED_VALUE"""),"30-44")</f>
        <v>30-44</v>
      </c>
      <c r="AG934" s="6"/>
      <c r="AH934" s="6"/>
      <c r="AI934" s="6"/>
      <c r="AJ934" s="6"/>
      <c r="AK934" s="6"/>
      <c r="AL934" s="6"/>
      <c r="AM934" s="6"/>
    </row>
    <row r="935">
      <c r="A935" s="6">
        <v>934.0</v>
      </c>
      <c r="B935" s="6" t="str">
        <f>IFERROR(__xludf.DUMMYFUNCTION("""COMPUTED_VALUE"""),"предприниматель")</f>
        <v>предприниматель</v>
      </c>
      <c r="C935" s="6" t="str">
        <f>IFERROR(__xludf.DUMMYFUNCTION("""COMPUTED_VALUE"""),"путешествия")</f>
        <v>путешествия</v>
      </c>
      <c r="D935" s="6" t="str">
        <f>IFERROR(__xludf.DUMMYFUNCTION("""COMPUTED_VALUE"""),"центральный")</f>
        <v>центральный</v>
      </c>
      <c r="E935" s="6" t="str">
        <f>IFERROR(__xludf.DUMMYFUNCTION("""COMPUTED_VALUE"""),"Harat's Pub")</f>
        <v>Harat's Pub</v>
      </c>
      <c r="F935" s="6" t="str">
        <f>IFERROR(__xludf.DUMMYFUNCTION("""COMPUTED_VALUE"""),"Живу здесь с рождения")</f>
        <v>Живу здесь с рождения</v>
      </c>
      <c r="G935" s="6" t="str">
        <f>IFERROR(__xludf.DUMMYFUNCTION("""COMPUTED_VALUE"""),"В кафе")</f>
        <v>В кафе</v>
      </c>
      <c r="H935" s="6" t="str">
        <f>IFERROR(__xludf.DUMMYFUNCTION("""COMPUTED_VALUE"""),"Уголь, люди, Гришковец, бедность, весенняя")</f>
        <v>Уголь, люди, Гришковец, бедность, весенняя</v>
      </c>
      <c r="I935" s="6" t="str">
        <f>IFERROR(__xludf.DUMMYFUNCTION("""COMPUTED_VALUE"""),"Волков")</f>
        <v>Волков</v>
      </c>
      <c r="J935" s="6" t="str">
        <f>IFERROR(__xludf.DUMMYFUNCTION("""COMPUTED_VALUE"""),"Гришковец")</f>
        <v>Гришковец</v>
      </c>
      <c r="K935" s="6" t="str">
        <f>IFERROR(__xludf.DUMMYFUNCTION("""COMPUTED_VALUE"""),"Музей ""Красная гора"", Ирландский Паб ""Harat's""")</f>
        <v>Музей "Красная гора", Ирландский Паб "Harat's"</v>
      </c>
      <c r="L935" s="6" t="str">
        <f>IFERROR(__xludf.DUMMYFUNCTION("""COMPUTED_VALUE"""),"Не знаю таких")</f>
        <v>Не знаю таких</v>
      </c>
      <c r="M935" s="6" t="str">
        <f>IFERROR(__xludf.DUMMYFUNCTION("""COMPUTED_VALUE"""),"нет")</f>
        <v>нет</v>
      </c>
      <c r="N935" s="6" t="str">
        <f>IFERROR(__xludf.DUMMYFUNCTION("""COMPUTED_VALUE"""),"чистые улицы, много зелени, много зон для прогулок, много уличных кафе")</f>
        <v>чистые улицы, много зелени, много зон для прогулок, много уличных кафе</v>
      </c>
      <c r="O935" s="6" t="str">
        <f>IFERROR(__xludf.DUMMYFUNCTION("""COMPUTED_VALUE"""),"Установить красивые уличные кафе")</f>
        <v>Установить красивые уличные кафе</v>
      </c>
      <c r="P935" s="6" t="str">
        <f>IFERROR(__xludf.DUMMYFUNCTION("""COMPUTED_VALUE"""),"Инстаграм главы города, губернатора, инцендент кемерово, vse42")</f>
        <v>Инстаграм главы города, губернатора, инцендент кемерово, vse42</v>
      </c>
      <c r="Q935" s="6" t="str">
        <f>IFERROR(__xludf.DUMMYFUNCTION("""COMPUTED_VALUE"""),"где вкусно поесть/открытие новых кафе/ресторанов, 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резуль"&amp;"таты местных исследований (рейтинги/аналитика/тенденции)")</f>
        <v>где вкусно поесть/открытие новых кафе/ресторанов, 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935" s="6" t="str">
        <f>IFERROR(__xludf.DUMMYFUNCTION("""COMPUTED_VALUE"""),"никакие ")</f>
        <v>никакие </v>
      </c>
      <c r="S935" s="6" t="str">
        <f>IFERROR(__xludf.DUMMYFUNCTION("""COMPUTED_VALUE"""),"Нет, не приходилось")</f>
        <v>Нет, не приходилось</v>
      </c>
      <c r="T935" s="6" t="str">
        <f>IFERROR(__xludf.DUMMYFUNCTION("""COMPUTED_VALUE"""),"Известен Тулеевым, забастовками, углем и Гришкавцом")</f>
        <v>Известен Тулеевым, забастовками, углем и Гришкавцом</v>
      </c>
      <c r="U935" s="6" t="str">
        <f>IFERROR(__xludf.DUMMYFUNCTION("""COMPUTED_VALUE"""),"улица Весенняя")</f>
        <v>улица Весенняя</v>
      </c>
      <c r="V935" s="6" t="str">
        <f>IFERROR(__xludf.DUMMYFUNCTION("""COMPUTED_VALUE"""),"не знаю")</f>
        <v>не знаю</v>
      </c>
      <c r="W935" s="6" t="str">
        <f>IFERROR(__xludf.DUMMYFUNCTION("""COMPUTED_VALUE"""),"Разные")</f>
        <v>Разные</v>
      </c>
      <c r="X935" s="6" t="str">
        <f>IFERROR(__xludf.DUMMYFUNCTION("""COMPUTED_VALUE"""),"нет такого")</f>
        <v>нет такого</v>
      </c>
      <c r="Y935" s="6" t="str">
        <f>IFERROR(__xludf.DUMMYFUNCTION("""COMPUTED_VALUE"""),"открытие Harat's Pub")</f>
        <v>открытие Harat's Pub</v>
      </c>
      <c r="Z935" s="6" t="str">
        <f>IFERROR(__xludf.DUMMYFUNCTION("""COMPUTED_VALUE"""),"Реконструкция бульвара строителей")</f>
        <v>Реконструкция бульвара строителей</v>
      </c>
      <c r="AA935" s="6" t="str">
        <f>IFERROR(__xludf.DUMMYFUNCTION("""COMPUTED_VALUE"""),"Попытка открытия разреза возле Лесной Поляны")</f>
        <v>Попытка открытия разреза возле Лесной Поляны</v>
      </c>
      <c r="AB935" s="6" t="str">
        <f>IFERROR(__xludf.DUMMYFUNCTION("""COMPUTED_VALUE"""),"Нет ответа")</f>
        <v>Нет ответа</v>
      </c>
      <c r="AC935" s="6" t="str">
        <f>IFERROR(__xludf.DUMMYFUNCTION("""COMPUTED_VALUE"""),"Не надо событий")</f>
        <v>Не надо событий</v>
      </c>
      <c r="AD935"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935" s="6" t="str">
        <f>IFERROR(__xludf.DUMMYFUNCTION("""COMPUTED_VALUE"""),"Мужской")</f>
        <v>Мужской</v>
      </c>
      <c r="AF935" s="6" t="str">
        <f>IFERROR(__xludf.DUMMYFUNCTION("""COMPUTED_VALUE"""),"45-55")</f>
        <v>45-55</v>
      </c>
      <c r="AG935" s="6"/>
      <c r="AH935" s="6"/>
      <c r="AI935" s="6"/>
      <c r="AJ935" s="6"/>
      <c r="AK935" s="6"/>
      <c r="AL935" s="6"/>
      <c r="AM935" s="6"/>
    </row>
    <row r="936">
      <c r="A936" s="6">
        <v>935.0</v>
      </c>
      <c r="B936" s="6" t="str">
        <f>IFERROR(__xludf.DUMMYFUNCTION("""COMPUTED_VALUE"""),"Копирайтер.")</f>
        <v>Копирайтер.</v>
      </c>
      <c r="C936" s="6" t="str">
        <f>IFERROR(__xludf.DUMMYFUNCTION("""COMPUTED_VALUE"""),"Фотография.")</f>
        <v>Фотография.</v>
      </c>
      <c r="D936" s="6" t="str">
        <f>IFERROR(__xludf.DUMMYFUNCTION("""COMPUTED_VALUE"""),"Радуга. ")</f>
        <v>Радуга. </v>
      </c>
      <c r="E936" s="6" t="str">
        <f>IFERROR(__xludf.DUMMYFUNCTION("""COMPUTED_VALUE"""),"Сосновый Бор. ")</f>
        <v>Сосновый Бор. </v>
      </c>
      <c r="F936" s="6" t="str">
        <f>IFERROR(__xludf.DUMMYFUNCTION("""COMPUTED_VALUE"""),"Живу здесь с рождения")</f>
        <v>Живу здесь с рождения</v>
      </c>
      <c r="G936" s="6" t="str">
        <f>IFERROR(__xludf.DUMMYFUNCTION("""COMPUTED_VALUE"""),"Сосновый Бор, Набережная Томи, Комсомольский парк, Лесная Поляна. ")</f>
        <v>Сосновый Бор, Набережная Томи, Комсомольский парк, Лесная Поляна. </v>
      </c>
      <c r="H936" s="6" t="str">
        <f>IFERROR(__xludf.DUMMYFUNCTION("""COMPUTED_VALUE"""),"Уголь, Шахта, Тулеев, Весенняя, Уют. ")</f>
        <v>Уголь, Шахта, Тулеев, Весенняя, Уют. </v>
      </c>
      <c r="I936" s="6" t="str">
        <f>IFERROR(__xludf.DUMMYFUNCTION("""COMPUTED_VALUE"""),"Алексей Архипович Леонов. ")</f>
        <v>Алексей Архипович Леонов. </v>
      </c>
      <c r="J936" s="6" t="str">
        <f>IFERROR(__xludf.DUMMYFUNCTION("""COMPUTED_VALUE"""),"Не знаю таких. ")</f>
        <v>Не знаю таких. </v>
      </c>
      <c r="K936" s="6" t="str">
        <f>IFERROR(__xludf.DUMMYFUNCTION("""COMPUTED_VALUE"""),"Центр Города, пл. Пушкина, Лесная Поляна, Сосновый Бор. ")</f>
        <v>Центр Города, пл. Пушкина, Лесная Поляна, Сосновый Бор. </v>
      </c>
      <c r="L936" s="6" t="str">
        <f>IFERROR(__xludf.DUMMYFUNCTION("""COMPUTED_VALUE"""),"Не могу вспомнить вот так сразу.")</f>
        <v>Не могу вспомнить вот так сразу.</v>
      </c>
      <c r="M936" s="6" t="str">
        <f>IFERROR(__xludf.DUMMYFUNCTION("""COMPUTED_VALUE"""),"Нет. ")</f>
        <v>Нет. </v>
      </c>
      <c r="N936" s="6" t="str">
        <f>IFERROR(__xludf.DUMMYFUNCTION("""COMPUTED_VALUE"""),"Чистый воздух, вывоз снега, чистка снега, ремонт проходных улиц, дворов, детских площадок. ")</f>
        <v>Чистый воздух, вывоз снега, чистка снега, ремонт проходных улиц, дворов, детских площадок. </v>
      </c>
      <c r="O936" s="6" t="str">
        <f>IFERROR(__xludf.DUMMYFUNCTION("""COMPUTED_VALUE"""),"Власть. ")</f>
        <v>Власть. </v>
      </c>
      <c r="P936" s="6" t="str">
        <f>IFERROR(__xludf.DUMMYFUNCTION("""COMPUTED_VALUE"""),"Соцсети и ТВ. ")</f>
        <v>Соцсети и ТВ. </v>
      </c>
      <c r="Q936"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936" s="6" t="str">
        <f>IFERROR(__xludf.DUMMYFUNCTION("""COMPUTED_VALUE"""),"День города, День Шахтера, День Победы. ")</f>
        <v>День города, День Шахтера, День Победы. </v>
      </c>
      <c r="S936" s="6" t="str">
        <f>IFERROR(__xludf.DUMMYFUNCTION("""COMPUTED_VALUE"""),"Нет, не приходилось")</f>
        <v>Нет, не приходилось</v>
      </c>
      <c r="T936" s="6" t="str">
        <f>IFERROR(__xludf.DUMMYFUNCTION("""COMPUTED_VALUE"""),"Увы, Кемерово знаменит Зимней Вишней. Уникальность его сильно понизилась. Была в чистоте и в уюте города. ")</f>
        <v>Увы, Кемерово знаменит Зимней Вишней. Уникальность его сильно понизилась. Была в чистоте и в уюте города. </v>
      </c>
      <c r="U936" s="6" t="str">
        <f>IFERROR(__xludf.DUMMYFUNCTION("""COMPUTED_VALUE"""),"Весенняя, пл. Пушкина, пл. Советов. ")</f>
        <v>Весенняя, пл. Пушкина, пл. Советов. </v>
      </c>
      <c r="V936" s="6" t="str">
        <f>IFERROR(__xludf.DUMMYFUNCTION("""COMPUTED_VALUE"""),"Не гадили. ")</f>
        <v>Не гадили. </v>
      </c>
      <c r="W936" s="6" t="str">
        <f>IFERROR(__xludf.DUMMYFUNCTION("""COMPUTED_VALUE"""),"Уставшие, но счастливые. 😂 ")</f>
        <v>Уставшие, но счастливые. 😂 </v>
      </c>
      <c r="X936" s="6" t="str">
        <f>IFERROR(__xludf.DUMMYFUNCTION("""COMPUTED_VALUE"""),"Набережная, Весенняя, пл. Пушкина, Филармония. ")</f>
        <v>Набережная, Весенняя, пл. Пушкина, Филармония. </v>
      </c>
      <c r="Y936" s="6" t="str">
        <f>IFERROR(__xludf.DUMMYFUNCTION("""COMPUTED_VALUE"""),"Пожар ТЦ ЗМ, ")</f>
        <v>Пожар ТЦ ЗМ, </v>
      </c>
      <c r="Z936" s="6" t="str">
        <f>IFERROR(__xludf.DUMMYFUNCTION("""COMPUTED_VALUE"""),"Таковых нет. ")</f>
        <v>Таковых нет. </v>
      </c>
      <c r="AA936" s="6" t="str">
        <f>IFERROR(__xludf.DUMMYFUNCTION("""COMPUTED_VALUE"""),"Последние два года один сплошной негатив. ")</f>
        <v>Последние два года один сплошной негатив. </v>
      </c>
      <c r="AB936" s="6" t="str">
        <f>IFERROR(__xludf.DUMMYFUNCTION("""COMPUTED_VALUE"""),"Не думала об этом. ")</f>
        <v>Не думала об этом. </v>
      </c>
      <c r="AC936" s="6" t="str">
        <f>IFERROR(__xludf.DUMMYFUNCTION("""COMPUTED_VALUE"""),"На выходных вечерние концерты на открытых площадках, а не по кабакам. В дневное время детские развлечения на площадках города, спортивные, семейные. ")</f>
        <v>На выходных вечерние концерты на открытых площадках, а не по кабакам. В дневное время детские развлечения на площадках города, спортивные, семейные. </v>
      </c>
      <c r="AD93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36" s="6" t="str">
        <f>IFERROR(__xludf.DUMMYFUNCTION("""COMPUTED_VALUE"""),"Женский")</f>
        <v>Женский</v>
      </c>
      <c r="AF936" s="6" t="str">
        <f>IFERROR(__xludf.DUMMYFUNCTION("""COMPUTED_VALUE"""),"30-44")</f>
        <v>30-44</v>
      </c>
      <c r="AG936" s="6"/>
      <c r="AH936" s="6"/>
      <c r="AI936" s="6"/>
      <c r="AJ936" s="6"/>
      <c r="AK936" s="6"/>
      <c r="AL936" s="6"/>
      <c r="AM936" s="6"/>
    </row>
    <row r="937">
      <c r="A937" s="6">
        <v>936.0</v>
      </c>
      <c r="B937" s="6" t="str">
        <f>IFERROR(__xludf.DUMMYFUNCTION("""COMPUTED_VALUE"""),"Развиваю машиностроение")</f>
        <v>Развиваю машиностроение</v>
      </c>
      <c r="C937" s="6" t="str">
        <f>IFERROR(__xludf.DUMMYFUNCTION("""COMPUTED_VALUE"""),"Музыка, спорт")</f>
        <v>Музыка, спорт</v>
      </c>
      <c r="D937" s="6" t="str">
        <f>IFERROR(__xludf.DUMMYFUNCTION("""COMPUTED_VALUE"""),"Ленинский")</f>
        <v>Ленинский</v>
      </c>
      <c r="E937" s="6" t="str">
        <f>IFERROR(__xludf.DUMMYFUNCTION("""COMPUTED_VALUE"""),"Центр спорта «Кузбасс»")</f>
        <v>Центр спорта «Кузбасс»</v>
      </c>
      <c r="F937" s="6" t="str">
        <f>IFERROR(__xludf.DUMMYFUNCTION("""COMPUTED_VALUE"""),"Переехал сюда из другого места (откуда? укажите в графе другое), По работе")</f>
        <v>Переехал сюда из другого места (откуда? укажите в графе другое), По работе</v>
      </c>
      <c r="G937" s="6" t="str">
        <f>IFERROR(__xludf.DUMMYFUNCTION("""COMPUTED_VALUE"""),"Бульвар Строителей, набережная, театры, кинотеатры")</f>
        <v>Бульвар Строителей, набережная, театры, кинотеатры</v>
      </c>
      <c r="H937" s="6" t="str">
        <f>IFERROR(__xludf.DUMMYFUNCTION("""COMPUTED_VALUE"""),"Томь, Волков, зимняя вишня")</f>
        <v>Томь, Волков, зимняя вишня</v>
      </c>
      <c r="I937" s="6" t="str">
        <f>IFERROR(__xludf.DUMMYFUNCTION("""COMPUTED_VALUE"""),"Леонов")</f>
        <v>Леонов</v>
      </c>
      <c r="J937" s="6" t="str">
        <f>IFERROR(__xludf.DUMMYFUNCTION("""COMPUTED_VALUE"""),"Таких не знаю")</f>
        <v>Таких не знаю</v>
      </c>
      <c r="K937" s="6" t="str">
        <f>IFERROR(__xludf.DUMMYFUNCTION("""COMPUTED_VALUE"""),"Площадь Советов, набережная")</f>
        <v>Площадь Советов, набережная</v>
      </c>
      <c r="L937" s="6" t="str">
        <f>IFERROR(__xludf.DUMMYFUNCTION("""COMPUTED_VALUE"""),"Зимняя вишня, но она характеризует всю Россию")</f>
        <v>Зимняя вишня, но она характеризует всю Россию</v>
      </c>
      <c r="M937" s="6" t="str">
        <f>IFERROR(__xludf.DUMMYFUNCTION("""COMPUTED_VALUE"""),"Нет")</f>
        <v>Нет</v>
      </c>
      <c r="N937" s="6" t="str">
        <f>IFERROR(__xludf.DUMMYFUNCTION("""COMPUTED_VALUE"""),"Уровень доходов, наличие рабочих мест, развитие инфраструктуры и культурных объектов, чистота дорог и воздуха")</f>
        <v>Уровень доходов, наличие рабочих мест, развитие инфраструктуры и культурных объектов, чистота дорог и воздуха</v>
      </c>
      <c r="O937" s="6" t="str">
        <f>IFERROR(__xludf.DUMMYFUNCTION("""COMPUTED_VALUE"""),"Реальный уровень зарплат")</f>
        <v>Реальный уровень зарплат</v>
      </c>
      <c r="P937" s="6" t="str">
        <f>IFERROR(__xludf.DUMMYFUNCTION("""COMPUTED_VALUE"""),"Из интернета, сми")</f>
        <v>Из интернета, сми</v>
      </c>
      <c r="Q937" s="6" t="str">
        <f>IFERROR(__xludf.DUMMYFUNCTION("""COMPUTED_VALUE"""),"городская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f>
        <v>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v>
      </c>
      <c r="R937" s="6" t="str">
        <f>IFERROR(__xludf.DUMMYFUNCTION("""COMPUTED_VALUE"""),"День города")</f>
        <v>День города</v>
      </c>
      <c r="S937" s="6" t="str">
        <f>IFERROR(__xludf.DUMMYFUNCTION("""COMPUTED_VALUE"""),"Нет, не приходилось")</f>
        <v>Нет, не приходилось</v>
      </c>
      <c r="T937" s="6" t="str">
        <f>IFERROR(__xludf.DUMMYFUNCTION("""COMPUTED_VALUE"""),"Угольный, богатый край с совами-менеджерами")</f>
        <v>Угольный, богатый край с совами-менеджерами</v>
      </c>
      <c r="U937" s="6" t="str">
        <f>IFERROR(__xludf.DUMMYFUNCTION("""COMPUTED_VALUE"""),"Весенняя, драмтеатр, площадь Советов")</f>
        <v>Весенняя, драмтеатр, площадь Советов</v>
      </c>
      <c r="V937" s="6" t="str">
        <f>IFERROR(__xludf.DUMMYFUNCTION("""COMPUTED_VALUE"""),"Работали и развивали свой город")</f>
        <v>Работали и развивали свой город</v>
      </c>
      <c r="W937" s="6" t="str">
        <f>IFERROR(__xludf.DUMMYFUNCTION("""COMPUTED_VALUE"""),"Мало знаю коренных кемеровчан")</f>
        <v>Мало знаю коренных кемеровчан</v>
      </c>
      <c r="X937" s="6" t="str">
        <f>IFERROR(__xludf.DUMMYFUNCTION("""COMPUTED_VALUE"""),"Новый центр города")</f>
        <v>Новый центр города</v>
      </c>
      <c r="Y937" s="6" t="str">
        <f>IFERROR(__xludf.DUMMYFUNCTION("""COMPUTED_VALUE"""),"При мне никаких")</f>
        <v>При мне никаких</v>
      </c>
      <c r="Z937" s="6" t="str">
        <f>IFERROR(__xludf.DUMMYFUNCTION("""COMPUTED_VALUE"""),"Ремонт дорог и облагораживание города")</f>
        <v>Ремонт дорог и облагораживание города</v>
      </c>
      <c r="AA937" s="6" t="str">
        <f>IFERROR(__xludf.DUMMYFUNCTION("""COMPUTED_VALUE"""),"Особо никаких")</f>
        <v>Особо никаких</v>
      </c>
      <c r="AB937" s="6" t="str">
        <f>IFERROR(__xludf.DUMMYFUNCTION("""COMPUTED_VALUE"""),"Не могу сказать")</f>
        <v>Не могу сказать</v>
      </c>
      <c r="AC937" s="6" t="str">
        <f>IFERROR(__xludf.DUMMYFUNCTION("""COMPUTED_VALUE"""),"Событий и мероприятий достаточно, недостаточно освещения их")</f>
        <v>Событий и мероприятий достаточно, недостаточно освещения их</v>
      </c>
      <c r="AD937"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937" s="6" t="str">
        <f>IFERROR(__xludf.DUMMYFUNCTION("""COMPUTED_VALUE"""),"Мужской")</f>
        <v>Мужской</v>
      </c>
      <c r="AF937" s="6" t="str">
        <f>IFERROR(__xludf.DUMMYFUNCTION("""COMPUTED_VALUE"""),"30-44")</f>
        <v>30-44</v>
      </c>
      <c r="AG937" s="6"/>
      <c r="AH937" s="6"/>
      <c r="AI937" s="6"/>
      <c r="AJ937" s="6"/>
      <c r="AK937" s="6"/>
      <c r="AL937" s="6"/>
      <c r="AM937" s="6"/>
    </row>
    <row r="938">
      <c r="A938" s="6">
        <v>937.0</v>
      </c>
      <c r="B938" s="6" t="str">
        <f>IFERROR(__xludf.DUMMYFUNCTION("""COMPUTED_VALUE"""),"Учусь ")</f>
        <v>Учусь </v>
      </c>
      <c r="C938" s="6" t="str">
        <f>IFERROR(__xludf.DUMMYFUNCTION("""COMPUTED_VALUE"""),"Нет ")</f>
        <v>Нет </v>
      </c>
      <c r="D938" s="6" t="str">
        <f>IFERROR(__xludf.DUMMYFUNCTION("""COMPUTED_VALUE"""),"Ленинский ")</f>
        <v>Ленинский </v>
      </c>
      <c r="E938" s="6" t="str">
        <f>IFERROR(__xludf.DUMMYFUNCTION("""COMPUTED_VALUE"""),"Бульвар")</f>
        <v>Бульвар</v>
      </c>
      <c r="F938" s="6" t="str">
        <f>IFERROR(__xludf.DUMMYFUNCTION("""COMPUTED_VALUE"""),"Живу здесь с рождения")</f>
        <v>Живу здесь с рождения</v>
      </c>
      <c r="G938" s="6" t="str">
        <f>IFERROR(__xludf.DUMMYFUNCTION("""COMPUTED_VALUE"""),"Бульвар строители, центр ")</f>
        <v>Бульвар строители, центр </v>
      </c>
      <c r="H938" s="6" t="str">
        <f>IFERROR(__xludf.DUMMYFUNCTION("""COMPUTED_VALUE"""),"Нету ")</f>
        <v>Нету </v>
      </c>
      <c r="I938" s="6" t="str">
        <f>IFERROR(__xludf.DUMMYFUNCTION("""COMPUTED_VALUE"""),"Тулеев Аман Гумирович ")</f>
        <v>Тулеев Аман Гумирович </v>
      </c>
      <c r="J938" s="6" t="str">
        <f>IFERROR(__xludf.DUMMYFUNCTION("""COMPUTED_VALUE"""),"Не знаю ")</f>
        <v>Не знаю </v>
      </c>
      <c r="K938" s="6" t="str">
        <f>IFERROR(__xludf.DUMMYFUNCTION("""COMPUTED_VALUE"""),"В центре ")</f>
        <v>В центре </v>
      </c>
      <c r="L938" s="6" t="str">
        <f>IFERROR(__xludf.DUMMYFUNCTION("""COMPUTED_VALUE"""),"Не знаю ")</f>
        <v>Не знаю </v>
      </c>
      <c r="M938" s="6" t="str">
        <f>IFERROR(__xludf.DUMMYFUNCTION("""COMPUTED_VALUE"""),"Нет ")</f>
        <v>Нет </v>
      </c>
      <c r="N938" s="6" t="str">
        <f>IFERROR(__xludf.DUMMYFUNCTION("""COMPUTED_VALUE"""),"Порядок, ценны, люди, ")</f>
        <v>Порядок, ценны, люди, </v>
      </c>
      <c r="O938" s="6" t="str">
        <f>IFERROR(__xludf.DUMMYFUNCTION("""COMPUTED_VALUE"""),"Дороги, навести чистоту, привести порядок город ")</f>
        <v>Дороги, навести чистоту, привести порядок город </v>
      </c>
      <c r="P938" s="6" t="str">
        <f>IFERROR(__xludf.DUMMYFUNCTION("""COMPUTED_VALUE"""),"Интернет ")</f>
        <v>Интернет </v>
      </c>
      <c r="Q938" s="6" t="str">
        <f>IFERROR(__xludf.DUMMYFUNCTION("""COMPUTED_VALUE"""),"куда пойти в свободное время, где вкусно поесть/открытие новых кафе/ресторанов,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исследован"&amp;"ий (рейтинги/аналитика/тенденции)")</f>
        <v>куда пойти в свободное время, где вкусно поесть/открытие новых кафе/ресторанов,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938" s="6" t="str">
        <f>IFERROR(__xludf.DUMMYFUNCTION("""COMPUTED_VALUE"""),"День города ")</f>
        <v>День города </v>
      </c>
      <c r="S938" s="6" t="str">
        <f>IFERROR(__xludf.DUMMYFUNCTION("""COMPUTED_VALUE"""),"Нет, не приходилось")</f>
        <v>Нет, не приходилось</v>
      </c>
      <c r="T938" s="6" t="str">
        <f>IFERROR(__xludf.DUMMYFUNCTION("""COMPUTED_VALUE"""),"Не знаю ")</f>
        <v>Не знаю </v>
      </c>
      <c r="U938" s="6" t="str">
        <f>IFERROR(__xludf.DUMMYFUNCTION("""COMPUTED_VALUE"""),"Набережная ")</f>
        <v>Набережная </v>
      </c>
      <c r="V938" s="6" t="str">
        <f>IFERROR(__xludf.DUMMYFUNCTION("""COMPUTED_VALUE"""),"Не знаю ")</f>
        <v>Не знаю </v>
      </c>
      <c r="W938" s="6" t="str">
        <f>IFERROR(__xludf.DUMMYFUNCTION("""COMPUTED_VALUE"""),"Злые ")</f>
        <v>Злые </v>
      </c>
      <c r="X938" s="6" t="str">
        <f>IFERROR(__xludf.DUMMYFUNCTION("""COMPUTED_VALUE"""),"40")</f>
        <v>40</v>
      </c>
      <c r="Y938" s="6" t="str">
        <f>IFERROR(__xludf.DUMMYFUNCTION("""COMPUTED_VALUE"""),"9 мая ")</f>
        <v>9 мая </v>
      </c>
      <c r="Z938" s="6" t="str">
        <f>IFERROR(__xludf.DUMMYFUNCTION("""COMPUTED_VALUE"""),"Салют ")</f>
        <v>Салют </v>
      </c>
      <c r="AA938" s="6" t="str">
        <f>IFERROR(__xludf.DUMMYFUNCTION("""COMPUTED_VALUE"""),"Алкаши наркоманы ")</f>
        <v>Алкаши наркоманы </v>
      </c>
      <c r="AB938" s="6" t="str">
        <f>IFERROR(__xludf.DUMMYFUNCTION("""COMPUTED_VALUE"""),"Нету ")</f>
        <v>Нету </v>
      </c>
      <c r="AC938" s="6" t="str">
        <f>IFERROR(__xludf.DUMMYFUNCTION("""COMPUTED_VALUE"""),"Любые ")</f>
        <v>Любые </v>
      </c>
      <c r="AD938"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938" s="6" t="str">
        <f>IFERROR(__xludf.DUMMYFUNCTION("""COMPUTED_VALUE"""),"Женский")</f>
        <v>Женский</v>
      </c>
      <c r="AF938" s="6" t="str">
        <f>IFERROR(__xludf.DUMMYFUNCTION("""COMPUTED_VALUE"""),"18-29")</f>
        <v>18-29</v>
      </c>
      <c r="AG938" s="6"/>
      <c r="AH938" s="6"/>
      <c r="AI938" s="6"/>
      <c r="AJ938" s="6"/>
      <c r="AK938" s="6"/>
      <c r="AL938" s="6"/>
      <c r="AM938" s="6"/>
    </row>
    <row r="939">
      <c r="A939" s="6">
        <v>938.0</v>
      </c>
      <c r="B939" s="6" t="str">
        <f>IFERROR(__xludf.DUMMYFUNCTION("""COMPUTED_VALUE"""),"Преподаватель")</f>
        <v>Преподаватель</v>
      </c>
      <c r="C939" s="6" t="str">
        <f>IFERROR(__xludf.DUMMYFUNCTION("""COMPUTED_VALUE"""),"Охота")</f>
        <v>Охота</v>
      </c>
      <c r="D939" s="6" t="str">
        <f>IFERROR(__xludf.DUMMYFUNCTION("""COMPUTED_VALUE"""),"Рудничный. Радуга")</f>
        <v>Рудничный. Радуга</v>
      </c>
      <c r="E939" s="6" t="str">
        <f>IFERROR(__xludf.DUMMYFUNCTION("""COMPUTED_VALUE"""),"Памятник шахтёра, красная горка")</f>
        <v>Памятник шахтёра, красная горка</v>
      </c>
      <c r="F939" s="6" t="str">
        <f>IFERROR(__xludf.DUMMYFUNCTION("""COMPUTED_VALUE"""),"Переехал сюда из другого места (откуда? укажите в графе другое), Комсомольск(тисульский район). Переехал учиться")</f>
        <v>Переехал сюда из другого места (откуда? укажите в графе другое), Комсомольск(тисульский район). Переехал учиться</v>
      </c>
      <c r="G939" s="6" t="str">
        <f>IFERROR(__xludf.DUMMYFUNCTION("""COMPUTED_VALUE"""),"Никуда")</f>
        <v>Никуда</v>
      </c>
      <c r="H939" s="6" t="str">
        <f>IFERROR(__xludf.DUMMYFUNCTION("""COMPUTED_VALUE"""),"Уголь, политех, смог")</f>
        <v>Уголь, политех, смог</v>
      </c>
      <c r="I939" s="6" t="str">
        <f>IFERROR(__xludf.DUMMYFUNCTION("""COMPUTED_VALUE"""),"Волков, Горбачев")</f>
        <v>Волков, Горбачев</v>
      </c>
      <c r="J939" s="6" t="str">
        <f>IFERROR(__xludf.DUMMYFUNCTION("""COMPUTED_VALUE"""),"Не щнаю")</f>
        <v>Не щнаю</v>
      </c>
      <c r="K939" s="6" t="str">
        <f>IFERROR(__xludf.DUMMYFUNCTION("""COMPUTED_VALUE"""),"Парк ангелов, горсад, парк победы")</f>
        <v>Парк ангелов, горсад, парк победы</v>
      </c>
      <c r="L939" s="6" t="str">
        <f>IFERROR(__xludf.DUMMYFUNCTION("""COMPUTED_VALUE"""),"Нету")</f>
        <v>Нету</v>
      </c>
      <c r="M939" s="6" t="str">
        <f>IFERROR(__xludf.DUMMYFUNCTION("""COMPUTED_VALUE"""),"Нет")</f>
        <v>Нет</v>
      </c>
      <c r="N939" s="6" t="str">
        <f>IFERROR(__xludf.DUMMYFUNCTION("""COMPUTED_VALUE"""),"Чистота, высокий уровень зарплат, доступное жилье, низкие цены")</f>
        <v>Чистота, высокий уровень зарплат, доступное жилье, низкие цены</v>
      </c>
      <c r="O939" s="6" t="str">
        <f>IFERROR(__xludf.DUMMYFUNCTION("""COMPUTED_VALUE"""),"Экологию")</f>
        <v>Экологию</v>
      </c>
      <c r="P939" s="6" t="str">
        <f>IFERROR(__xludf.DUMMYFUNCTION("""COMPUTED_VALUE"""),"Все42, а42")</f>
        <v>Все42, а42</v>
      </c>
      <c r="Q939" s="6" t="str">
        <f>IFERROR(__xludf.DUMMYFUNCTION("""COMPUTED_VALUE"""),"интервью с экспертами на разные темы (напишите в разделе Другое свои предложения)")</f>
        <v>интервью с экспертами на разные темы (напишите в разделе Другое свои предложения)</v>
      </c>
      <c r="R939" s="6" t="str">
        <f>IFERROR(__xludf.DUMMYFUNCTION("""COMPUTED_VALUE"""),"Нет")</f>
        <v>Нет</v>
      </c>
      <c r="S939" s="6" t="str">
        <f>IFERROR(__xludf.DUMMYFUNCTION("""COMPUTED_VALUE"""),"Нет")</f>
        <v>Нет</v>
      </c>
      <c r="T939" s="6" t="str">
        <f>IFERROR(__xludf.DUMMYFUNCTION("""COMPUTED_VALUE"""),"Сердце угольной России, зимняя вишня")</f>
        <v>Сердце угольной России, зимняя вишня</v>
      </c>
      <c r="U939" s="6" t="str">
        <f>IFERROR(__xludf.DUMMYFUNCTION("""COMPUTED_VALUE"""),"Кузгту, кемгу")</f>
        <v>Кузгту, кемгу</v>
      </c>
      <c r="V939" s="6" t="str">
        <f>IFERROR(__xludf.DUMMYFUNCTION("""COMPUTED_VALUE"""),"Не знаю")</f>
        <v>Не знаю</v>
      </c>
      <c r="W939" s="6" t="str">
        <f>IFERROR(__xludf.DUMMYFUNCTION("""COMPUTED_VALUE"""),"Добрые, отзывчивые")</f>
        <v>Добрые, отзывчивые</v>
      </c>
      <c r="X939" s="6" t="str">
        <f>IFERROR(__xludf.DUMMYFUNCTION("""COMPUTED_VALUE"""),"Площадь советов - набережная ")</f>
        <v>Площадь советов - набережная </v>
      </c>
      <c r="Y939" s="6" t="str">
        <f>IFERROR(__xludf.DUMMYFUNCTION("""COMPUTED_VALUE"""),"Зимняя вишня")</f>
        <v>Зимняя вишня</v>
      </c>
      <c r="Z939" s="6" t="str">
        <f>IFERROR(__xludf.DUMMYFUNCTION("""COMPUTED_VALUE"""),"Ремонт дорог стали делать")</f>
        <v>Ремонт дорог стали делать</v>
      </c>
      <c r="AA939" s="6" t="str">
        <f>IFERROR(__xludf.DUMMYFUNCTION("""COMPUTED_VALUE"""),"Зимняя вишня")</f>
        <v>Зимняя вишня</v>
      </c>
      <c r="AB939" s="6" t="str">
        <f>IFERROR(__xludf.DUMMYFUNCTION("""COMPUTED_VALUE"""),"Всего хватает")</f>
        <v>Всего хватает</v>
      </c>
      <c r="AC939" s="6" t="str">
        <f>IFERROR(__xludf.DUMMYFUNCTION("""COMPUTED_VALUE"""),"Нет")</f>
        <v>Нет</v>
      </c>
      <c r="AD939"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939" s="6" t="str">
        <f>IFERROR(__xludf.DUMMYFUNCTION("""COMPUTED_VALUE"""),"Мужской")</f>
        <v>Мужской</v>
      </c>
      <c r="AF939" s="6" t="str">
        <f>IFERROR(__xludf.DUMMYFUNCTION("""COMPUTED_VALUE"""),"18-29")</f>
        <v>18-29</v>
      </c>
      <c r="AG939" s="6"/>
      <c r="AH939" s="6"/>
      <c r="AI939" s="6"/>
      <c r="AJ939" s="6"/>
      <c r="AK939" s="6"/>
      <c r="AL939" s="6"/>
      <c r="AM939" s="6"/>
    </row>
    <row r="940">
      <c r="A940" s="6">
        <v>939.0</v>
      </c>
      <c r="B940" s="6" t="str">
        <f>IFERROR(__xludf.DUMMYFUNCTION("""COMPUTED_VALUE"""),"Директор")</f>
        <v>Директор</v>
      </c>
      <c r="C940" s="6" t="str">
        <f>IFERROR(__xludf.DUMMYFUNCTION("""COMPUTED_VALUE"""),"Много разных")</f>
        <v>Много разных</v>
      </c>
      <c r="D940" s="6" t="str">
        <f>IFERROR(__xludf.DUMMYFUNCTION("""COMPUTED_VALUE"""),"Заводский. ФПК.")</f>
        <v>Заводский. ФПК.</v>
      </c>
      <c r="E940" s="6" t="str">
        <f>IFERROR(__xludf.DUMMYFUNCTION("""COMPUTED_VALUE"""),"Парк новорожденных")</f>
        <v>Парк новорожденных</v>
      </c>
      <c r="F940" s="6" t="str">
        <f>IFERROR(__xludf.DUMMYFUNCTION("""COMPUTED_VALUE"""),"Живу здесь с рождения")</f>
        <v>Живу здесь с рождения</v>
      </c>
      <c r="G940" s="6" t="str">
        <f>IFERROR(__xludf.DUMMYFUNCTION("""COMPUTED_VALUE"""),"Бульвар Строителей, Центральная набережная, Сосновый бор")</f>
        <v>Бульвар Строителей, Центральная набережная, Сосновый бор</v>
      </c>
      <c r="H940" s="6" t="str">
        <f>IFERROR(__xludf.DUMMYFUNCTION("""COMPUTED_VALUE"""),"Красная горка, Томь, промышленность, ВК и ХК Кузбасс, труд")</f>
        <v>Красная горка, Томь, промышленность, ВК и ХК Кузбасс, труд</v>
      </c>
      <c r="I940" s="6" t="str">
        <f>IFERROR(__xludf.DUMMYFUNCTION("""COMPUTED_VALUE"""),"Мартемьянов, Леонов")</f>
        <v>Мартемьянов, Леонов</v>
      </c>
      <c r="J940" s="6" t="str">
        <f>IFERROR(__xludf.DUMMYFUNCTION("""COMPUTED_VALUE"""),"Гришковец, Машков, Михайлов (бывший мэр)")</f>
        <v>Гришковец, Машков, Михайлов (бывший мэр)</v>
      </c>
      <c r="K940" s="6" t="str">
        <f>IFERROR(__xludf.DUMMYFUNCTION("""COMPUTED_VALUE"""),"Красная горка, Сосновый бор")</f>
        <v>Красная горка, Сосновый бор</v>
      </c>
      <c r="L940" s="6" t="str">
        <f>IFERROR(__xludf.DUMMYFUNCTION("""COMPUTED_VALUE"""),"Вера Волошина и Юрий Двужильный")</f>
        <v>Вера Волошина и Юрий Двужильный</v>
      </c>
      <c r="M940" s="6" t="str">
        <f>IFERROR(__xludf.DUMMYFUNCTION("""COMPUTED_VALUE"""),"Нет")</f>
        <v>Нет</v>
      </c>
      <c r="N940" s="6" t="str">
        <f>IFERROR(__xludf.DUMMYFUNCTION("""COMPUTED_VALUE"""),"Незначительные траты времени на логистику; достаточность и разнообразие в сфере индустрии развлечений; чистый воздух и вода, в частности в Томи; безопасность; дружелюбие людей")</f>
        <v>Незначительные траты времени на логистику; достаточность и разнообразие в сфере индустрии развлечений; чистый воздух и вода, в частности в Томи; безопасность; дружелюбие людей</v>
      </c>
      <c r="O940" s="6" t="str">
        <f>IFERROR(__xludf.DUMMYFUNCTION("""COMPUTED_VALUE"""),"1. Замена всего частного сектора в центральном и заводском районах на современное жилье, что позволит улучшить экологическую обстановку в городе.
2. Разгрузка дорог на правом берегу и, возможно, строительство третьего моста.
3. Внесение разнообразия в арх"&amp;"итектурный облик новых микрорайонов - русским языком делать новостройки внешне более оригинальными/интересными/красивыми.")</f>
        <v>1. Замена всего частного сектора в центральном и заводском районах на современное жилье, что позволит улучшить экологическую обстановку в городе.
2. Разгрузка дорог на правом берегу и, возможно, строительство третьего моста.
3. Внесение разнообразия в архитектурный облик новых микрорайонов - русским языком делать новостройки внешне более оригинальными/интересными/красивыми.</v>
      </c>
      <c r="P940" s="6" t="str">
        <f>IFERROR(__xludf.DUMMYFUNCTION("""COMPUTED_VALUE"""),"Сибдепо, Все42, страницы в инсте И.Середюка и С.Цивилева.")</f>
        <v>Сибдепо, Все42, страницы в инсте И.Середюка и С.Цивилева.</v>
      </c>
      <c r="Q940" s="6" t="str">
        <f>IFERROR(__xludf.DUMMYFUNCTION("""COMPUTED_VALUE"""),"куда пойти в свободное время, городская афиша (кино/театр/концерты), интервью с местными предпринимателями, бизнес-новости (средний чек/рекламные акции/запуск новых предприятий)")</f>
        <v>куда пойти в свободное время, городская афиша (кино/театр/концерты), интервью с местными предпринимателями, бизнес-новости (средний чек/рекламные акции/запуск новых предприятий)</v>
      </c>
      <c r="R940" s="6" t="str">
        <f>IFERROR(__xludf.DUMMYFUNCTION("""COMPUTED_VALUE"""),"День Победы")</f>
        <v>День Победы</v>
      </c>
      <c r="S940" s="6" t="str">
        <f>IFERROR(__xludf.DUMMYFUNCTION("""COMPUTED_VALUE"""),"Нет, не приходилось")</f>
        <v>Нет, не приходилось</v>
      </c>
      <c r="T940" s="6" t="str">
        <f>IFERROR(__xludf.DUMMYFUNCTION("""COMPUTED_VALUE"""),"1. Единственный город в мире с реликтовым лесом внутри города.
2. Уникальная история АИК Кузбасс.")</f>
        <v>1. Единственный город в мире с реликтовым лесом внутри города.
2. Уникальная история АИК Кузбасс.</v>
      </c>
      <c r="U940" s="6" t="str">
        <f>IFERROR(__xludf.DUMMYFUNCTION("""COMPUTED_VALUE"""),"Фонтан на драмтеатре, набережная.")</f>
        <v>Фонтан на драмтеатре, набережная.</v>
      </c>
      <c r="V940" s="6" t="str">
        <f>IFERROR(__xludf.DUMMYFUNCTION("""COMPUTED_VALUE"""),"Трудились")</f>
        <v>Трудились</v>
      </c>
      <c r="W940" s="6" t="str">
        <f>IFERROR(__xludf.DUMMYFUNCTION("""COMPUTED_VALUE"""),"Совершенно разные")</f>
        <v>Совершенно разные</v>
      </c>
      <c r="X940" s="6" t="str">
        <f>IFERROR(__xludf.DUMMYFUNCTION("""COMPUTED_VALUE"""),"Весенняя, набережная, Красная горка.")</f>
        <v>Весенняя, набережная, Красная горка.</v>
      </c>
      <c r="Y940" s="6" t="str">
        <f>IFERROR(__xludf.DUMMYFUNCTION("""COMPUTED_VALUE"""),"Создание АИК Кузбасс.")</f>
        <v>Создание АИК Кузбасс.</v>
      </c>
      <c r="Z940" s="6" t="str">
        <f>IFERROR(__xludf.DUMMYFUNCTION("""COMPUTED_VALUE"""),"1. Чемпионство ВК Кузбасс.
2. Масштабное строительство по всему город и прежде всего на набережной.")</f>
        <v>1. Чемпионство ВК Кузбасс.
2. Масштабное строительство по всему город и прежде всего на набережной.</v>
      </c>
      <c r="AA940" s="6" t="str">
        <f>IFERROR(__xludf.DUMMYFUNCTION("""COMPUTED_VALUE"""),"Зимняя вишня и поведение экс-губернатора")</f>
        <v>Зимняя вишня и поведение экс-губернатора</v>
      </c>
      <c r="AB940" s="6" t="str">
        <f>IFERROR(__xludf.DUMMYFUNCTION("""COMPUTED_VALUE"""),"Профессиональных футбольной и хоккейной команды")</f>
        <v>Профессиональных футбольной и хоккейной команды</v>
      </c>
      <c r="AC940" s="6" t="str">
        <f>IFERROR(__xludf.DUMMYFUNCTION("""COMPUTED_VALUE"""),"Парад физкультурника")</f>
        <v>Парад физкультурника</v>
      </c>
      <c r="AD940"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пот"&amp;"енциально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940" s="6" t="str">
        <f>IFERROR(__xludf.DUMMYFUNCTION("""COMPUTED_VALUE"""),"Мужской")</f>
        <v>Мужской</v>
      </c>
      <c r="AF940" s="6" t="str">
        <f>IFERROR(__xludf.DUMMYFUNCTION("""COMPUTED_VALUE"""),"30-44")</f>
        <v>30-44</v>
      </c>
      <c r="AG940" s="6"/>
      <c r="AH940" s="6"/>
      <c r="AI940" s="6"/>
      <c r="AJ940" s="6"/>
      <c r="AK940" s="6"/>
      <c r="AL940" s="6"/>
      <c r="AM940" s="6"/>
    </row>
    <row r="941">
      <c r="A941" s="6">
        <v>940.0</v>
      </c>
      <c r="B941" s="6" t="str">
        <f>IFERROR(__xludf.DUMMYFUNCTION("""COMPUTED_VALUE"""),"Домохозяйка ")</f>
        <v>Домохозяйка </v>
      </c>
      <c r="C941" s="6" t="str">
        <f>IFERROR(__xludf.DUMMYFUNCTION("""COMPUTED_VALUE"""),"Вязание ")</f>
        <v>Вязание </v>
      </c>
      <c r="D941" s="6" t="str">
        <f>IFERROR(__xludf.DUMMYFUNCTION("""COMPUTED_VALUE"""),"Рудничном районе ")</f>
        <v>Рудничном районе </v>
      </c>
      <c r="E941" s="6" t="str">
        <f>IFERROR(__xludf.DUMMYFUNCTION("""COMPUTED_VALUE"""),"Сосновый бор")</f>
        <v>Сосновый бор</v>
      </c>
      <c r="F941" s="6" t="str">
        <f>IFERROR(__xludf.DUMMYFUNCTION("""COMPUTED_VALUE"""),"Живу здесь с рождения")</f>
        <v>Живу здесь с рождения</v>
      </c>
      <c r="G941" s="6" t="str">
        <f>IFERROR(__xludf.DUMMYFUNCTION("""COMPUTED_VALUE"""),"Бор и озеро ")</f>
        <v>Бор и озеро </v>
      </c>
      <c r="H941" s="6" t="str">
        <f>IFERROR(__xludf.DUMMYFUNCTION("""COMPUTED_VALUE"""),"Дом,развитие,надежда,будущее,семья. ")</f>
        <v>Дом,развитие,надежда,будущее,семья. </v>
      </c>
      <c r="I941" s="6" t="str">
        <f>IFERROR(__xludf.DUMMYFUNCTION("""COMPUTED_VALUE"""),"Затрудняюсь ")</f>
        <v>Затрудняюсь </v>
      </c>
      <c r="J941" s="6" t="str">
        <f>IFERROR(__xludf.DUMMYFUNCTION("""COMPUTED_VALUE"""),"Цивилёв,Середюк")</f>
        <v>Цивилёв,Середюк</v>
      </c>
      <c r="K941" s="6" t="str">
        <f>IFERROR(__xludf.DUMMYFUNCTION("""COMPUTED_VALUE"""),"Бор,парк Ангелов,")</f>
        <v>Бор,парк Ангелов,</v>
      </c>
      <c r="L941" s="6" t="str">
        <f>IFERROR(__xludf.DUMMYFUNCTION("""COMPUTED_VALUE"""),"Затрудняюсь ")</f>
        <v>Затрудняюсь </v>
      </c>
      <c r="M941" s="6" t="str">
        <f>IFERROR(__xludf.DUMMYFUNCTION("""COMPUTED_VALUE"""),"Нет")</f>
        <v>Нет</v>
      </c>
      <c r="N941" s="6" t="str">
        <f>IFERROR(__xludf.DUMMYFUNCTION("""COMPUTED_VALUE"""),"Транспорт общественный. Магазины доступные.зона отдыха.ЭКОЛОГИЯ.безопасность.")</f>
        <v>Транспорт общественный. Магазины доступные.зона отдыха.ЭКОЛОГИЯ.безопасность.</v>
      </c>
      <c r="O941" s="6" t="str">
        <f>IFERROR(__xludf.DUMMYFUNCTION("""COMPUTED_VALUE"""),"Эккология и ул ролл учшить передвижение транспорта.")</f>
        <v>Эккология и ул ролл учшить передвижение транспорта.</v>
      </c>
      <c r="P941" s="6" t="str">
        <f>IFERROR(__xludf.DUMMYFUNCTION("""COMPUTED_VALUE"""),"ВКонтакте,42RUS.")</f>
        <v>ВКонтакте,42RUS.</v>
      </c>
      <c r="Q941" s="6" t="str">
        <f>IFERROR(__xludf.DUMMYFUNCTION("""COMPUTED_VALUE"""),"криминальные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941" s="6" t="str">
        <f>IFERROR(__xludf.DUMMYFUNCTION("""COMPUTED_VALUE"""),"9 мая..деннь города.день шахтеров")</f>
        <v>9 мая..деннь города.день шахтеров</v>
      </c>
      <c r="S941" s="6" t="str">
        <f>IFERROR(__xludf.DUMMYFUNCTION("""COMPUTED_VALUE"""),"Нет, не приходилось")</f>
        <v>Нет, не приходилось</v>
      </c>
      <c r="T941" s="6" t="str">
        <f>IFERROR(__xludf.DUMMYFUNCTION("""COMPUTED_VALUE"""),"Мы")</f>
        <v>Мы</v>
      </c>
      <c r="U941" s="6" t="str">
        <f>IFERROR(__xludf.DUMMYFUNCTION("""COMPUTED_VALUE"""),"Площадь Советов")</f>
        <v>Площадь Советов</v>
      </c>
      <c r="V941" s="6" t="str">
        <f>IFERROR(__xludf.DUMMYFUNCTION("""COMPUTED_VALUE"""),"Затрудняюсь ")</f>
        <v>Затрудняюсь </v>
      </c>
      <c r="W941" s="6" t="str">
        <f>IFERROR(__xludf.DUMMYFUNCTION("""COMPUTED_VALUE"""),"Хорошие")</f>
        <v>Хорошие</v>
      </c>
      <c r="X941" s="6" t="str">
        <f>IFERROR(__xludf.DUMMYFUNCTION("""COMPUTED_VALUE"""),"40Т.")</f>
        <v>40Т.</v>
      </c>
      <c r="Y941" s="6" t="str">
        <f>IFERROR(__xludf.DUMMYFUNCTION("""COMPUTED_VALUE"""),"Хоккей мировой чемпионат")</f>
        <v>Хоккей мировой чемпионат</v>
      </c>
      <c r="Z941" s="6" t="str">
        <f>IFERROR(__xludf.DUMMYFUNCTION("""COMPUTED_VALUE"""),"Затрудняюсь ")</f>
        <v>Затрудняюсь </v>
      </c>
      <c r="AA941" s="6" t="str">
        <f>IFERROR(__xludf.DUMMYFUNCTION("""COMPUTED_VALUE"""),"Пожар в Зимней вишне")</f>
        <v>Пожар в Зимней вишне</v>
      </c>
      <c r="AB941" s="6" t="str">
        <f>IFERROR(__xludf.DUMMYFUNCTION("""COMPUTED_VALUE"""),"Затрудняюсь ")</f>
        <v>Затрудняюсь </v>
      </c>
      <c r="AC941" s="6" t="str">
        <f>IFERROR(__xludf.DUMMYFUNCTION("""COMPUTED_VALUE"""),"Аква парк")</f>
        <v>Аква парк</v>
      </c>
      <c r="AD941"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941" s="6" t="str">
        <f>IFERROR(__xludf.DUMMYFUNCTION("""COMPUTED_VALUE"""),"Женский")</f>
        <v>Женский</v>
      </c>
      <c r="AF941" s="6" t="str">
        <f>IFERROR(__xludf.DUMMYFUNCTION("""COMPUTED_VALUE"""),"30-44")</f>
        <v>30-44</v>
      </c>
      <c r="AG941" s="6"/>
      <c r="AH941" s="6"/>
      <c r="AI941" s="6"/>
      <c r="AJ941" s="6"/>
      <c r="AK941" s="6"/>
      <c r="AL941" s="6"/>
      <c r="AM941" s="6"/>
    </row>
    <row r="942">
      <c r="A942" s="6">
        <v>941.0</v>
      </c>
      <c r="B942" s="6" t="str">
        <f>IFERROR(__xludf.DUMMYFUNCTION("""COMPUTED_VALUE"""),"Производство")</f>
        <v>Производство</v>
      </c>
      <c r="C942" s="6" t="str">
        <f>IFERROR(__xludf.DUMMYFUNCTION("""COMPUTED_VALUE"""),"Транспорт")</f>
        <v>Транспорт</v>
      </c>
      <c r="D942" s="6" t="str">
        <f>IFERROR(__xludf.DUMMYFUNCTION("""COMPUTED_VALUE"""),"Ленинский")</f>
        <v>Ленинский</v>
      </c>
      <c r="E942" s="6" t="str">
        <f>IFERROR(__xludf.DUMMYFUNCTION("""COMPUTED_VALUE"""),"Парк тулеева")</f>
        <v>Парк тулеева</v>
      </c>
      <c r="F942" s="6" t="str">
        <f>IFERROR(__xludf.DUMMYFUNCTION("""COMPUTED_VALUE"""),"Живу здесь с рождения")</f>
        <v>Живу здесь с рождения</v>
      </c>
      <c r="G942" s="6" t="str">
        <f>IFERROR(__xludf.DUMMYFUNCTION("""COMPUTED_VALUE"""),"Бульвар Строителей")</f>
        <v>Бульвар Строителей</v>
      </c>
      <c r="H942" s="6" t="str">
        <f>IFERROR(__xludf.DUMMYFUNCTION("""COMPUTED_VALUE"""),"Шахтёр, химик, энергетик, уголь, азот, ГРЭС")</f>
        <v>Шахтёр, химик, энергетик, уголь, азот, ГРЭС</v>
      </c>
      <c r="I942" s="6" t="str">
        <f>IFERROR(__xludf.DUMMYFUNCTION("""COMPUTED_VALUE"""),"Бабанский, Волошина, Финкельштейн... ")</f>
        <v>Бабанский, Волошина, Финкельштейн... </v>
      </c>
      <c r="J942" s="6" t="str">
        <f>IFERROR(__xludf.DUMMYFUNCTION("""COMPUTED_VALUE"""),"Михайлович, Горшков, Ракитянский, Петерс, Бенедиктов, Булгаков, Раздаев...... ")</f>
        <v>Михайлович, Горшков, Ракитянский, Петерс, Бенедиктов, Булгаков, Раздаев...... </v>
      </c>
      <c r="K942" s="6" t="str">
        <f>IFERROR(__xludf.DUMMYFUNCTION("""COMPUTED_VALUE"""),"Красная горка, набережная")</f>
        <v>Красная горка, набережная</v>
      </c>
      <c r="L942" s="6" t="str">
        <f>IFERROR(__xludf.DUMMYFUNCTION("""COMPUTED_VALUE"""),"Человек из Кемерово Гребенщиков Б")</f>
        <v>Человек из Кемерово Гребенщиков Б</v>
      </c>
      <c r="M942" s="6" t="str">
        <f>IFERROR(__xludf.DUMMYFUNCTION("""COMPUTED_VALUE"""),"Уголь")</f>
        <v>Уголь</v>
      </c>
      <c r="N942" s="6" t="str">
        <f>IFERROR(__xludf.DUMMYFUNCTION("""COMPUTED_VALUE"""),"Чистота, доступность, порядочность, транспорт, дороги")</f>
        <v>Чистота, доступность, порядочность, транспорт, дороги</v>
      </c>
      <c r="O942" s="6" t="str">
        <f>IFERROR(__xludf.DUMMYFUNCTION("""COMPUTED_VALUE"""),"Дворовые территории")</f>
        <v>Дворовые территории</v>
      </c>
      <c r="P942" s="6" t="str">
        <f>IFERROR(__xludf.DUMMYFUNCTION("""COMPUTED_VALUE"""),"Все 42, мой город")</f>
        <v>Все 42, мой город</v>
      </c>
      <c r="Q94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новости про новые профессии/куда поступать/вакансии, результа"&amp;"ты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942" s="6" t="str">
        <f>IFERROR(__xludf.DUMMYFUNCTION("""COMPUTED_VALUE"""),"День города, день шахтера")</f>
        <v>День города, день шахтера</v>
      </c>
      <c r="S942" s="6" t="str">
        <f>IFERROR(__xludf.DUMMYFUNCTION("""COMPUTED_VALUE"""),"Делал рассылку по электронной почте, Обращался в редакции электронных городских СМИ")</f>
        <v>Делал рассылку по электронной почте, Обращался в редакции электронных городских СМИ</v>
      </c>
      <c r="T942" s="6" t="str">
        <f>IFERROR(__xludf.DUMMYFUNCTION("""COMPUTED_VALUE"""),"Углем, химия")</f>
        <v>Углем, химия</v>
      </c>
      <c r="U942" s="6" t="str">
        <f>IFERROR(__xludf.DUMMYFUNCTION("""COMPUTED_VALUE"""),"Рудник, Кирова, универмаг, химик стадион")</f>
        <v>Рудник, Кирова, универмаг, химик стадион</v>
      </c>
      <c r="V942" s="6" t="str">
        <f>IFERROR(__xludf.DUMMYFUNCTION("""COMPUTED_VALUE"""),"Работали на благо народа и для него")</f>
        <v>Работали на благо народа и для него</v>
      </c>
      <c r="W942" s="6" t="str">
        <f>IFERROR(__xludf.DUMMYFUNCTION("""COMPUTED_VALUE"""),"Разные, но последнее время злые принимающие все в штыки..... ")</f>
        <v>Разные, но последнее время злые принимающие все в штыки..... </v>
      </c>
      <c r="X942" s="6" t="str">
        <f>IFERROR(__xludf.DUMMYFUNCTION("""COMPUTED_VALUE"""),"Бульвар Строителей")</f>
        <v>Бульвар Строителей</v>
      </c>
      <c r="Y942" s="6" t="str">
        <f>IFERROR(__xludf.DUMMYFUNCTION("""COMPUTED_VALUE"""),"Чемпионат мира по хоккею с мячем")</f>
        <v>Чемпионат мира по хоккею с мячем</v>
      </c>
      <c r="Z942" s="6" t="str">
        <f>IFERROR(__xludf.DUMMYFUNCTION("""COMPUTED_VALUE"""),"День города")</f>
        <v>День города</v>
      </c>
      <c r="AA942" s="6" t="str">
        <f>IFERROR(__xludf.DUMMYFUNCTION("""COMPUTED_VALUE"""),"Отношение властей к протесным акциям")</f>
        <v>Отношение властей к протесным акциям</v>
      </c>
      <c r="AB942" s="6" t="str">
        <f>IFERROR(__xludf.DUMMYFUNCTION("""COMPUTED_VALUE"""),"Всего достаточно")</f>
        <v>Всего достаточно</v>
      </c>
      <c r="AC942" s="6" t="str">
        <f>IFERROR(__xludf.DUMMYFUNCTION("""COMPUTED_VALUE"""),"Побольше живого общения с властями")</f>
        <v>Побольше живого общения с властями</v>
      </c>
      <c r="AD94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42" s="6" t="str">
        <f>IFERROR(__xludf.DUMMYFUNCTION("""COMPUTED_VALUE"""),"Мужской")</f>
        <v>Мужской</v>
      </c>
      <c r="AF942" s="6" t="str">
        <f>IFERROR(__xludf.DUMMYFUNCTION("""COMPUTED_VALUE"""),"45-55")</f>
        <v>45-55</v>
      </c>
      <c r="AG942" s="6"/>
      <c r="AH942" s="6"/>
      <c r="AI942" s="6"/>
      <c r="AJ942" s="6"/>
      <c r="AK942" s="6"/>
      <c r="AL942" s="6"/>
      <c r="AM942" s="6"/>
    </row>
    <row r="943">
      <c r="A943" s="6">
        <v>942.0</v>
      </c>
      <c r="B943" s="6" t="str">
        <f>IFERROR(__xludf.DUMMYFUNCTION("""COMPUTED_VALUE"""),"Тренинг-менеджер в It - компании")</f>
        <v>Тренинг-менеджер в It - компании</v>
      </c>
      <c r="C943" s="6" t="str">
        <f>IFERROR(__xludf.DUMMYFUNCTION("""COMPUTED_VALUE"""),"Спорт, вокал")</f>
        <v>Спорт, вокал</v>
      </c>
      <c r="D943" s="6" t="str">
        <f>IFERROR(__xludf.DUMMYFUNCTION("""COMPUTED_VALUE"""),"Ленинский, район Притомского")</f>
        <v>Ленинский, район Притомского</v>
      </c>
      <c r="E943" s="6" t="str">
        <f>IFERROR(__xludf.DUMMYFUNCTION("""COMPUTED_VALUE"""),"Кадетское училище, бульвар Строителей, Красное озеро")</f>
        <v>Кадетское училище, бульвар Строителей, Красное озеро</v>
      </c>
      <c r="F943" s="6" t="str">
        <f>IFERROR(__xludf.DUMMYFUNCTION("""COMPUTED_VALUE"""),"Переехал сюда из другого места (откуда? укажите в графе другое), переехала из Ленинска- Кузнецкого")</f>
        <v>Переехал сюда из другого места (откуда? укажите в графе другое), переехала из Ленинска- Кузнецкого</v>
      </c>
      <c r="G943" s="6" t="str">
        <f>IFERROR(__xludf.DUMMYFUNCTION("""COMPUTED_VALUE"""),"Рудничный бор, Набережная центрального района, бульвар Строителей. Спортзал, караоке")</f>
        <v>Рудничный бор, Набережная центрального района, бульвар Строителей. Спортзал, караоке</v>
      </c>
      <c r="H943" s="6" t="str">
        <f>IFERROR(__xludf.DUMMYFUNCTION("""COMPUTED_VALUE"""),"Шахтерский, Удобный, Столица, Зарождение Кузбасса, Молодежный")</f>
        <v>Шахтерский, Удобный, Столица, Зарождение Кузбасса, Молодежный</v>
      </c>
      <c r="I943" s="6" t="str">
        <f>IFERROR(__xludf.DUMMYFUNCTION("""COMPUTED_VALUE"""),"Михайло Волков, Вера Волошина, Алексей Леонов, Юрий Двужильный")</f>
        <v>Михайло Волков, Вера Волошина, Алексей Леонов, Юрий Двужильный</v>
      </c>
      <c r="J943" s="6" t="str">
        <f>IFERROR(__xludf.DUMMYFUNCTION("""COMPUTED_VALUE"""),"Вячеслав Шуклин, Роман Жаворонков")</f>
        <v>Вячеслав Шуклин, Роман Жаворонков</v>
      </c>
      <c r="K943" s="6" t="str">
        <f>IFERROR(__xludf.DUMMYFUNCTION("""COMPUTED_VALUE"""),"Красная горка, Набережная, Реликтовый бор( Рудничный), Парк Чудес, Стелла ""Кузбасс"" ")</f>
        <v>Красная горка, Набережная, Реликтовый бор( Рудничный), Парк Чудес, Стелла "Кузбасс" </v>
      </c>
      <c r="L943" s="6" t="str">
        <f>IFERROR(__xludf.DUMMYFUNCTION("""COMPUTED_VALUE"""),"Ко последний уедет из Кемерово - не забудьте выключить свет")</f>
        <v>Ко последний уедет из Кемерово - не забудьте выключить свет</v>
      </c>
      <c r="M943" s="6" t="str">
        <f>IFERROR(__xludf.DUMMYFUNCTION("""COMPUTED_VALUE"""),"Нет")</f>
        <v>Нет</v>
      </c>
      <c r="N943" s="6" t="str">
        <f>IFERROR(__xludf.DUMMYFUNCTION("""COMPUTED_VALUE"""),"Транспортная доступность, много нового жилья и жилищных комплексов,  наличие профильных специалистов - врачей, высшие учебные заведения, большой выбор товаров и услуг, хорошие дороги")</f>
        <v>Транспортная доступность, много нового жилья и жилищных комплексов,  наличие профильных специалистов - врачей, высшие учебные заведения, большой выбор товаров и услуг, хорошие дороги</v>
      </c>
      <c r="O943" s="6" t="str">
        <f>IFERROR(__xludf.DUMMYFUNCTION("""COMPUTED_VALUE"""),"Загрезняемость воздуха заводами, отсутсвие крупного ТЦ с всемирными брендами")</f>
        <v>Загрезняемость воздуха заводами, отсутсвие крупного ТЦ с всемирными брендами</v>
      </c>
      <c r="P943" s="6" t="str">
        <f>IFERROR(__xludf.DUMMYFUNCTION("""COMPUTED_VALUE"""),"Афиша Кемерово, приложение Кавер, инстаграмм")</f>
        <v>Афиша Кемерово, приложение Кавер, инстаграмм</v>
      </c>
      <c r="Q943" s="6" t="str">
        <f>IFERROR(__xludf.DUMMYFUNCTION("""COMPUTED_VALUE"""),"куда пойти в свободное время, интервью с местными творческими личностями, результаты местных исследований (рейтинги/аналитика/тенденции)")</f>
        <v>куда пойти в свободное время, интервью с местными творческими личностями, результаты местных исследований (рейтинги/аналитика/тенденции)</v>
      </c>
      <c r="R943" s="6" t="str">
        <f>IFERROR(__xludf.DUMMYFUNCTION("""COMPUTED_VALUE"""),"День города, 9 мая,")</f>
        <v>День города, 9 мая,</v>
      </c>
      <c r="S943" s="6" t="str">
        <f>IFERROR(__xludf.DUMMYFUNCTION("""COMPUTED_VALUE"""),"Нет, не приходилось")</f>
        <v>Нет, не приходилось</v>
      </c>
      <c r="T943" s="6" t="str">
        <f>IFERROR(__xludf.DUMMYFUNCTION("""COMPUTED_VALUE"""),"Угледобывающей промышленностью, стремительным развитием города в Сибири")</f>
        <v>Угледобывающей промышленностью, стремительным развитием города в Сибири</v>
      </c>
      <c r="U943" s="6" t="str">
        <f>IFERROR(__xludf.DUMMYFUNCTION("""COMPUTED_VALUE"""),"Главпочтамт")</f>
        <v>Главпочтамт</v>
      </c>
      <c r="V943" s="6" t="str">
        <f>IFERROR(__xludf.DUMMYFUNCTION("""COMPUTED_VALUE"""),"Построили хорошую архитектуру города, открыли заводы и производства")</f>
        <v>Построили хорошую архитектуру города, открыли заводы и производства</v>
      </c>
      <c r="W943" s="6" t="str">
        <f>IFERROR(__xludf.DUMMYFUNCTION("""COMPUTED_VALUE"""),"Они такие же продвинутые и перспективные как в Москве, но еще не в гонке и пробках")</f>
        <v>Они такие же продвинутые и перспективные как в Москве, но еще не в гонке и пробках</v>
      </c>
      <c r="X943" s="6" t="str">
        <f>IFERROR(__xludf.DUMMYFUNCTION("""COMPUTED_VALUE"""),"от входа в рудничный бор до креста на самой высокой точке бора, откуда открывается восхитительный вид на город")</f>
        <v>от входа в рудничный бор до креста на самой высокой точке бора, откуда открывается восхитительный вид на город</v>
      </c>
      <c r="Y943" s="6" t="str">
        <f>IFERROR(__xludf.DUMMYFUNCTION("""COMPUTED_VALUE"""),"открытие залежей угля")</f>
        <v>открытие залежей угля</v>
      </c>
      <c r="Z943" s="6" t="str">
        <f>IFERROR(__xludf.DUMMYFUNCTION("""COMPUTED_VALUE"""),"Мне нравится процесс стройки новых культурных обьектов. Из событий выделяю 9 мая, масленица, кинопоказы от Goodline, GLO")</f>
        <v>Мне нравится процесс стройки новых культурных обьектов. Из событий выделяю 9 мая, масленица, кинопоказы от Goodline, GLO</v>
      </c>
      <c r="AA943" s="6" t="str">
        <f>IFERROR(__xludf.DUMMYFUNCTION("""COMPUTED_VALUE"""),"за последние 3 - пожар в Зимней вишне, протесты и митинги")</f>
        <v>за последние 3 - пожар в Зимней вишне, протесты и митинги</v>
      </c>
      <c r="AB943" s="6" t="str">
        <f>IFERROR(__xludf.DUMMYFUNCTION("""COMPUTED_VALUE"""),"Все, что меня интересует (HR, спорт) я знаю и участвую")</f>
        <v>Все, что меня интересует (HR, спорт) я знаю и участвую</v>
      </c>
      <c r="AC943" s="6" t="str">
        <f>IFERROR(__xludf.DUMMYFUNCTION("""COMPUTED_VALUE"""),"Кинопоказы, живая музыка, танцы на открытом воздухе и спортивные мероприятия")</f>
        <v>Кинопоказы, живая музыка, танцы на открытом воздухе и спортивные мероприятия</v>
      </c>
      <c r="AD943"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943" s="6" t="str">
        <f>IFERROR(__xludf.DUMMYFUNCTION("""COMPUTED_VALUE"""),"Женский")</f>
        <v>Женский</v>
      </c>
      <c r="AF943" s="6" t="str">
        <f>IFERROR(__xludf.DUMMYFUNCTION("""COMPUTED_VALUE"""),"18-29")</f>
        <v>18-29</v>
      </c>
      <c r="AG943" s="6"/>
      <c r="AH943" s="6"/>
      <c r="AI943" s="6"/>
      <c r="AJ943" s="6"/>
      <c r="AK943" s="6"/>
      <c r="AL943" s="6"/>
      <c r="AM943" s="6"/>
    </row>
    <row r="944">
      <c r="A944" s="6">
        <v>943.0</v>
      </c>
      <c r="B944" s="6" t="str">
        <f>IFERROR(__xludf.DUMMYFUNCTION("""COMPUTED_VALUE"""),"Риэлторская деятельность")</f>
        <v>Риэлторская деятельность</v>
      </c>
      <c r="C944" s="6" t="str">
        <f>IFERROR(__xludf.DUMMYFUNCTION("""COMPUTED_VALUE"""),"Что? Где? Когда? Интеллектуальные игры")</f>
        <v>Что? Где? Когда? Интеллектуальные игры</v>
      </c>
      <c r="D944" s="6" t="str">
        <f>IFERROR(__xludf.DUMMYFUNCTION("""COMPUTED_VALUE"""),"Ленинский, Шалготарьян, Шалго")</f>
        <v>Ленинский, Шалготарьян, Шалго</v>
      </c>
      <c r="E944" s="6" t="str">
        <f>IFERROR(__xludf.DUMMYFUNCTION("""COMPUTED_VALUE"""),"Сосновый бор, парк Жукова, Красная Горка, Комсомольский парк, Набережная")</f>
        <v>Сосновый бор, парк Жукова, Красная Горка, Комсомольский парк, Набережная</v>
      </c>
      <c r="F944" s="6" t="str">
        <f>IFERROR(__xludf.DUMMYFUNCTION("""COMPUTED_VALUE"""),"Живу здесь с рождения")</f>
        <v>Живу здесь с рождения</v>
      </c>
      <c r="G944" s="6" t="str">
        <f>IFERROR(__xludf.DUMMYFUNCTION("""COMPUTED_VALUE"""),"Набережная, Бульвар строителей, Озеро Красное")</f>
        <v>Набережная, Бульвар строителей, Озеро Красное</v>
      </c>
      <c r="H944" s="6" t="str">
        <f>IFERROR(__xludf.DUMMYFUNCTION("""COMPUTED_VALUE"""),"Уголь, пыль, столица, дороги, Тулеев")</f>
        <v>Уголь, пыль, столица, дороги, Тулеев</v>
      </c>
      <c r="I944" s="6" t="str">
        <f>IFERROR(__xludf.DUMMYFUNCTION("""COMPUTED_VALUE"""),"Михайлов, Тулеев, Подгорбунский, В.Волошина, Раздаев В.А.")</f>
        <v>Михайлов, Тулеев, Подгорбунский, В.Волошина, Раздаев В.А.</v>
      </c>
      <c r="J944" s="6" t="str">
        <f>IFERROR(__xludf.DUMMYFUNCTION("""COMPUTED_VALUE"""),"Михайлов В.М., Раздаев В.А., Горьковский Эрнст")</f>
        <v>Михайлов В.М., Раздаев В.А., Горьковский Эрнст</v>
      </c>
      <c r="K944" s="6" t="str">
        <f>IFERROR(__xludf.DUMMYFUNCTION("""COMPUTED_VALUE"""),"Вид на город с правого берега (Ресторан Арарат), Красная горка")</f>
        <v>Вид на город с правого берега (Ресторан Арарат), Красная горка</v>
      </c>
      <c r="L944" s="6" t="str">
        <f>IFERROR(__xludf.DUMMYFUNCTION("""COMPUTED_VALUE"""),"Ходило много баек про таксистов, которые пьяных вместо аэропорта к Антошке возили")</f>
        <v>Ходило много баек про таксистов, которые пьяных вместо аэропорта к Антошке возили</v>
      </c>
      <c r="M944" s="6" t="str">
        <f>IFERROR(__xludf.DUMMYFUNCTION("""COMPUTED_VALUE"""),"Нет.")</f>
        <v>Нет.</v>
      </c>
      <c r="N944" s="6" t="str">
        <f>IFERROR(__xludf.DUMMYFUNCTION("""COMPUTED_VALUE"""),"Чистый воздух, много зелени: парки и лесные насаждения, качественные дороги, чистота на улицах и во дворах, город для пешеходов, а не автомобилей.")</f>
        <v>Чистый воздух, много зелени: парки и лесные насаждения, качественные дороги, чистота на улицах и во дворах, город для пешеходов, а не автомобилей.</v>
      </c>
      <c r="O944" s="6" t="str">
        <f>IFERROR(__xludf.DUMMYFUNCTION("""COMPUTED_VALUE"""),"Сделать город чистым, установка урн, начать с газонов, тротуаров, парковок во дворах, чтобы грязь не разносилась по дорогам, программа по внедрению экологичного поведения граждан")</f>
        <v>Сделать город чистым, установка урн, начать с газонов, тротуаров, парковок во дворах, чтобы грязь не разносилась по дорогам, программа по внедрению экологичного поведения граждан</v>
      </c>
      <c r="P944" s="6" t="str">
        <f>IFERROR(__xludf.DUMMYFUNCTION("""COMPUTED_VALUE"""),"Фейсбук, друзья")</f>
        <v>Фейсбук, друзья</v>
      </c>
      <c r="Q944" s="6" t="str">
        <f>IFERROR(__xludf.DUMMYFUNCTION("""COMPUTED_VALUE"""),"городская афиша (кино/театр/концерты),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f>
        <v>городская афиша (кино/театр/концерты),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944" s="6" t="str">
        <f>IFERROR(__xludf.DUMMYFUNCTION("""COMPUTED_VALUE"""),"День города, День Шахтера")</f>
        <v>День города, День Шахтера</v>
      </c>
      <c r="S944" s="6" t="str">
        <f>IFERROR(__xludf.DUMMYFUNCTION("""COMPUTED_VALUE"""),"Через социальные сети (Какие? Укажите в графе другое)")</f>
        <v>Через социальные сети (Какие? Укажите в графе другое)</v>
      </c>
      <c r="T944" s="6" t="str">
        <f>IFERROR(__xludf.DUMMYFUNCTION("""COMPUTED_VALUE"""),"Красивый современный город, прямые улицы")</f>
        <v>Красивый современный город, прямые улицы</v>
      </c>
      <c r="U944" s="6" t="str">
        <f>IFERROR(__xludf.DUMMYFUNCTION("""COMPUTED_VALUE"""),"Цирк")</f>
        <v>Цирк</v>
      </c>
      <c r="V944" s="6" t="str">
        <f>IFERROR(__xludf.DUMMYFUNCTION("""COMPUTED_VALUE"""),"Планировка города")</f>
        <v>Планировка города</v>
      </c>
      <c r="W944" s="6" t="str">
        <f>IFERROR(__xludf.DUMMYFUNCTION("""COMPUTED_VALUE"""),"Душевные, человечные, отзывчивые, активные")</f>
        <v>Душевные, человечные, отзывчивые, активные</v>
      </c>
      <c r="X944" s="6" t="str">
        <f>IFERROR(__xludf.DUMMYFUNCTION("""COMPUTED_VALUE"""),"Центр, Красная горка, Бор")</f>
        <v>Центр, Красная горка, Бор</v>
      </c>
      <c r="Y944" s="6" t="str">
        <f>IFERROR(__xludf.DUMMYFUNCTION("""COMPUTED_VALUE"""),"Чемпионат мира по Хоккею с мячом. Из трагичных - Зимняя вишня")</f>
        <v>Чемпионат мира по Хоккею с мячом. Из трагичных - Зимняя вишня</v>
      </c>
      <c r="Z944" s="6" t="str">
        <f>IFERROR(__xludf.DUMMYFUNCTION("""COMPUTED_VALUE"""),"строительство новых социальных объектов, фестиваль Детализация, народный проект ""Лучший"" ")</f>
        <v>строительство новых социальных объектов, фестиваль Детализация, народный проект "Лучший" </v>
      </c>
      <c r="AA944" s="6" t="str">
        <f>IFERROR(__xludf.DUMMYFUNCTION("""COMPUTED_VALUE"""),"Зимняя вишня")</f>
        <v>Зимняя вишня</v>
      </c>
      <c r="AB944" s="6" t="str">
        <f>IFERROR(__xludf.DUMMYFUNCTION("""COMPUTED_VALUE"""),"Есть практически все сообщества, только о них мало знают")</f>
        <v>Есть практически все сообщества, только о них мало знают</v>
      </c>
      <c r="AC944" s="6" t="str">
        <f>IFERROR(__xludf.DUMMYFUNCTION("""COMPUTED_VALUE"""),"Создание культурной среды в городе")</f>
        <v>Создание культурной среды в городе</v>
      </c>
      <c r="AD94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944" s="6" t="str">
        <f>IFERROR(__xludf.DUMMYFUNCTION("""COMPUTED_VALUE"""),"Мужской")</f>
        <v>Мужской</v>
      </c>
      <c r="AF944" s="6" t="str">
        <f>IFERROR(__xludf.DUMMYFUNCTION("""COMPUTED_VALUE"""),"30-44")</f>
        <v>30-44</v>
      </c>
      <c r="AG944" s="6"/>
      <c r="AH944" s="6"/>
      <c r="AI944" s="6"/>
      <c r="AJ944" s="6"/>
      <c r="AK944" s="6"/>
      <c r="AL944" s="6"/>
      <c r="AM944" s="6"/>
    </row>
    <row r="945">
      <c r="A945" s="6">
        <v>944.0</v>
      </c>
      <c r="B945" s="6" t="str">
        <f>IFERROR(__xludf.DUMMYFUNCTION("""COMPUTED_VALUE"""),"Строительство")</f>
        <v>Строительство</v>
      </c>
      <c r="C945" s="6" t="str">
        <f>IFERROR(__xludf.DUMMYFUNCTION("""COMPUTED_VALUE"""),"Сделать Кемерово растущим и крупным мегаполисом.")</f>
        <v>Сделать Кемерово растущим и крупным мегаполисом.</v>
      </c>
      <c r="D945" s="6" t="str">
        <f>IFERROR(__xludf.DUMMYFUNCTION("""COMPUTED_VALUE"""),"Рудничный. Красновка.")</f>
        <v>Рудничный. Красновка.</v>
      </c>
      <c r="E945" s="6" t="str">
        <f>IFERROR(__xludf.DUMMYFUNCTION("""COMPUTED_VALUE"""),"Бор. Река Томь.")</f>
        <v>Бор. Река Томь.</v>
      </c>
      <c r="F945" s="6" t="str">
        <f>IFERROR(__xludf.DUMMYFUNCTION("""COMPUTED_VALUE"""),"Живу здесь с рождения")</f>
        <v>Живу здесь с рождения</v>
      </c>
      <c r="G945" s="6" t="str">
        <f>IFERROR(__xludf.DUMMYFUNCTION("""COMPUTED_VALUE"""),"Бор. Центр.")</f>
        <v>Бор. Центр.</v>
      </c>
      <c r="H945" s="6" t="str">
        <f>IFERROR(__xludf.DUMMYFUNCTION("""COMPUTED_VALUE"""),"Молодой. Город- Сад. Развивающийся. Растущий. Индустриальный.")</f>
        <v>Молодой. Город- Сад. Развивающийся. Растущий. Индустриальный.</v>
      </c>
      <c r="I945" s="6" t="str">
        <f>IFERROR(__xludf.DUMMYFUNCTION("""COMPUTED_VALUE"""),"Михайлов Владимир Васильевич")</f>
        <v>Михайлов Владимир Васильевич</v>
      </c>
      <c r="J945" s="6" t="str">
        <f>IFERROR(__xludf.DUMMYFUNCTION("""COMPUTED_VALUE"""),"Михайлов Владимир Васильевич. Цивилев Сергей Евгеньевич")</f>
        <v>Михайлов Владимир Васильевич. Цивилев Сергей Евгеньевич</v>
      </c>
      <c r="K945" s="6" t="str">
        <f>IFERROR(__xludf.DUMMYFUNCTION("""COMPUTED_VALUE"""),"гостиницу ""Томь""")</f>
        <v>гостиницу "Томь"</v>
      </c>
      <c r="L945" s="6" t="str">
        <f>IFERROR(__xludf.DUMMYFUNCTION("""COMPUTED_VALUE"""),"У меня были проблемы
Я зашел чересчур далеко
Нижнее днище нижнего ада
Мне казалось не так глубоко
Я позвонил своей маме
И мама была права
Она сказала: ""Немедля звони
Человеку из Кемерова""
Он скуп на слова, как Де Ниро
С ним спорит только больной
Его не "&amp;"проведешь на мякине
Он знает ходы под землей
Небо рухнет на землю
Перестанет расти трава
Он придёт и молча поправит все
Человек из Кемерова
Адам стал беженцем
Авель попал на мобильную связь
Ной не достроил того, что он строил
Нажрался и упал лицом в грязь"&amp;"
История человечества
Была бы не так крива
Если б они догадались связаться
С человеком из Кемерова
Мне звонили из Киева
Звонили из Катманду
Звонили с открытия пленума
Я сказал им, что я не приду
Нужно будет выпить на ночь два литра воды
Чтоб с утра была ц"&amp;"ела голова
Ведь сегодня я собираюсь пить
С человеком из Кемерова")</f>
        <v>У меня были проблемы
Я зашел чересчур далеко
Нижнее днище нижнего ада
Мне казалось не так глубоко
Я позвонил своей маме
И мама была права
Она сказала: "Немедля звони
Человеку из Кемерова"
Он скуп на слова, как Де Ниро
С ним спорит только больной
Его не проведешь на мякине
Он знает ходы под землей
Небо рухнет на землю
Перестанет расти трава
Он придёт и молча поправит все
Человек из Кемерова
Адам стал беженцем
Авель попал на мобильную связь
Ной не достроил того, что он строил
Нажрался и упал лицом в грязь
История человечества
Была бы не так крива
Если б они догадались связаться
С человеком из Кемерова
Мне звонили из Киева
Звонили из Катманду
Звонили с открытия пленума
Я сказал им, что я не приду
Нужно будет выпить на ночь два литра воды
Чтоб с утра была цела голова
Ведь сегодня я собираюсь пить
С человеком из Кемерова</v>
      </c>
      <c r="M945" s="6" t="str">
        <f>IFERROR(__xludf.DUMMYFUNCTION("""COMPUTED_VALUE"""),"нет")</f>
        <v>нет</v>
      </c>
      <c r="N945" s="6" t="str">
        <f>IFERROR(__xludf.DUMMYFUNCTION("""COMPUTED_VALUE"""),"Свременный. Растущий.Развивающийся.Чистота.Высокий уровень дохода.")</f>
        <v>Свременный. Растущий.Развивающийся.Чистота.Высокий уровень дохода.</v>
      </c>
      <c r="O945" s="6" t="str">
        <f>IFERROR(__xludf.DUMMYFUNCTION("""COMPUTED_VALUE"""),"Стратегию развития города.")</f>
        <v>Стратегию развития города.</v>
      </c>
      <c r="P945" s="6" t="str">
        <f>IFERROR(__xludf.DUMMYFUNCTION("""COMPUTED_VALUE"""),"В контакте, Instagram")</f>
        <v>В контакте, Instagram</v>
      </c>
      <c r="Q945" s="6" t="str">
        <f>IFERROR(__xludf.DUMMYFUNCTION("""COMPUTED_VALUE"""),"интервью с местными политиками, криминальные новости (происшествия/преступления), Как развивают регион")</f>
        <v>интервью с местными политиками, криминальные новости (происшествия/преступления), Как развивают регион</v>
      </c>
      <c r="R945" s="6" t="str">
        <f>IFERROR(__xludf.DUMMYFUNCTION("""COMPUTED_VALUE"""),"День города 12 июня")</f>
        <v>День города 12 июня</v>
      </c>
      <c r="S945" s="6" t="str">
        <f>IFERROR(__xludf.DUMMYFUNCTION("""COMPUTED_VALUE"""),"Нет, не приходилось")</f>
        <v>Нет, не приходилось</v>
      </c>
      <c r="T945" s="6" t="str">
        <f>IFERROR(__xludf.DUMMYFUNCTION("""COMPUTED_VALUE"""),"Печальными событиями в ТЦ "" Зимняя вишня"".")</f>
        <v>Печальными событиями в ТЦ " Зимняя вишня".</v>
      </c>
      <c r="U945" s="6" t="str">
        <f>IFERROR(__xludf.DUMMYFUNCTION("""COMPUTED_VALUE"""),"Центральный район. Район деревни Красной.")</f>
        <v>Центральный район. Район деревни Красной.</v>
      </c>
      <c r="V945" s="6" t="str">
        <f>IFERROR(__xludf.DUMMYFUNCTION("""COMPUTED_VALUE"""),"Основали и построили красивый город.")</f>
        <v>Основали и построили красивый город.</v>
      </c>
      <c r="W945" s="6" t="str">
        <f>IFERROR(__xludf.DUMMYFUNCTION("""COMPUTED_VALUE"""),"Добрые. Отзывчивые. Справедливые.")</f>
        <v>Добрые. Отзывчивые. Справедливые.</v>
      </c>
      <c r="X945" s="6" t="str">
        <f>IFERROR(__xludf.DUMMYFUNCTION("""COMPUTED_VALUE"""),"Центр. Филармония. Городской сад.")</f>
        <v>Центр. Филармония. Городской сад.</v>
      </c>
      <c r="Y945" s="6" t="str">
        <f>IFERROR(__xludf.DUMMYFUNCTION("""COMPUTED_VALUE"""),"нет ответа")</f>
        <v>нет ответа</v>
      </c>
      <c r="Z945" s="6" t="str">
        <f>IFERROR(__xludf.DUMMYFUNCTION("""COMPUTED_VALUE"""),"Строительство культурного кластера, начало развития города.")</f>
        <v>Строительство культурного кластера, начало развития города.</v>
      </c>
      <c r="AA945" s="6" t="str">
        <f>IFERROR(__xludf.DUMMYFUNCTION("""COMPUTED_VALUE"""),"нет ответа")</f>
        <v>нет ответа</v>
      </c>
      <c r="AB945" s="6" t="str">
        <f>IFERROR(__xludf.DUMMYFUNCTION("""COMPUTED_VALUE"""),"объединяющих жителей")</f>
        <v>объединяющих жителей</v>
      </c>
      <c r="AC945" s="6" t="str">
        <f>IFERROR(__xludf.DUMMYFUNCTION("""COMPUTED_VALUE"""),"Развитие города. Строительство крупного, современного мегаполиса.")</f>
        <v>Развитие города. Строительство крупного, современного мегаполиса.</v>
      </c>
      <c r="AD94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 Запустить свой предпринимат"&amp;"ельский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945" s="6" t="str">
        <f>IFERROR(__xludf.DUMMYFUNCTION("""COMPUTED_VALUE"""),"Мужской")</f>
        <v>Мужской</v>
      </c>
      <c r="AF945" s="6" t="str">
        <f>IFERROR(__xludf.DUMMYFUNCTION("""COMPUTED_VALUE"""),"30-44")</f>
        <v>30-44</v>
      </c>
      <c r="AG945" s="6"/>
      <c r="AH945" s="6"/>
      <c r="AI945" s="6"/>
      <c r="AJ945" s="6"/>
      <c r="AK945" s="6"/>
      <c r="AL945" s="6"/>
      <c r="AM945" s="6"/>
    </row>
    <row r="946">
      <c r="A946" s="6">
        <v>945.0</v>
      </c>
      <c r="B946" s="6" t="str">
        <f>IFERROR(__xludf.DUMMYFUNCTION("""COMPUTED_VALUE"""),"Строительство коммуникаций")</f>
        <v>Строительство коммуникаций</v>
      </c>
      <c r="C946" s="6" t="str">
        <f>IFERROR(__xludf.DUMMYFUNCTION("""COMPUTED_VALUE"""),"Вышивание крестиком, пазлы")</f>
        <v>Вышивание крестиком, пазлы</v>
      </c>
      <c r="D946" s="6" t="str">
        <f>IFERROR(__xludf.DUMMYFUNCTION("""COMPUTED_VALUE"""),"Лесная поляна, Полянка")</f>
        <v>Лесная поляна, Полянка</v>
      </c>
      <c r="E946" s="6" t="str">
        <f>IFERROR(__xludf.DUMMYFUNCTION("""COMPUTED_VALUE"""),"Набережная, Красная горка, парки на Искитимке, парк Ангелов, бульвар Строителей")</f>
        <v>Набережная, Красная горка, парки на Искитимке, парк Ангелов, бульвар Строителей</v>
      </c>
      <c r="F946" s="6" t="str">
        <f>IFERROR(__xludf.DUMMYFUNCTION("""COMPUTED_VALUE"""),"Переехал сюда из другого места (откуда? укажите в графе другое), Новосибирск")</f>
        <v>Переехал сюда из другого места (откуда? укажите в графе другое), Новосибирск</v>
      </c>
      <c r="G946" s="6" t="str">
        <f>IFERROR(__xludf.DUMMYFUNCTION("""COMPUTED_VALUE"""),"Парк Жукова, бульвар Строителей")</f>
        <v>Парк Жукова, бульвар Строителей</v>
      </c>
      <c r="H946" s="6" t="str">
        <f>IFERROR(__xludf.DUMMYFUNCTION("""COMPUTED_VALUE"""),"Чёрный снег, шахтерская столица, хорошие дороги, современная деревня, скромная архитектура")</f>
        <v>Чёрный снег, шахтерская столица, хорошие дороги, современная деревня, скромная архитектура</v>
      </c>
      <c r="I946" s="6" t="str">
        <f>IFERROR(__xludf.DUMMYFUNCTION("""COMPUTED_VALUE"""),"Михайлов, Тулеев")</f>
        <v>Михайлов, Тулеев</v>
      </c>
      <c r="J946" s="6" t="str">
        <f>IFERROR(__xludf.DUMMYFUNCTION("""COMPUTED_VALUE"""),"Михайлов, Юров, Сычев, Раздаев")</f>
        <v>Михайлов, Юров, Сычев, Раздаев</v>
      </c>
      <c r="K946" s="6" t="str">
        <f>IFERROR(__xludf.DUMMYFUNCTION("""COMPUTED_VALUE"""),"Красная горка, парк Ангелов, бульвар строителей, парк Жукова и Победы, парк чудес, набережная, парк возле КПКУ")</f>
        <v>Красная горка, парк Ангелов, бульвар строителей, парк Жукова и Победы, парк чудес, набережная, парк возле КПКУ</v>
      </c>
      <c r="L946" s="6" t="str">
        <f>IFERROR(__xludf.DUMMYFUNCTION("""COMPUTED_VALUE"""),"Не знаю таких")</f>
        <v>Не знаю таких</v>
      </c>
      <c r="M946" s="6" t="str">
        <f>IFERROR(__xludf.DUMMYFUNCTION("""COMPUTED_VALUE"""),"Кузбасс, щегловчане")</f>
        <v>Кузбасс, щегловчане</v>
      </c>
      <c r="N946" s="6" t="str">
        <f>IFERROR(__xludf.DUMMYFUNCTION("""COMPUTED_VALUE"""),"Чистые и зелёные улицы, простая и комфортная инфраструктура, разнообразная и насыщенная сфера услуг для отдыха и релакса, благоустроенные дворовые территории, бесперебойная работа муниципалитета")</f>
        <v>Чистые и зелёные улицы, простая и комфортная инфраструктура, разнообразная и насыщенная сфера услуг для отдыха и релакса, благоустроенные дворовые территории, бесперебойная работа муниципалитета</v>
      </c>
      <c r="O946" s="6" t="str">
        <f>IFERROR(__xludf.DUMMYFUNCTION("""COMPUTED_VALUE"""),"Убрать из города все загрязняющие воздух заводы и производства")</f>
        <v>Убрать из города все загрязняющие воздух заводы и производства</v>
      </c>
      <c r="P946" s="6" t="str">
        <f>IFERROR(__xludf.DUMMYFUNCTION("""COMPUTED_VALUE"""),"Яндекс новости, VK, Гудлайн")</f>
        <v>Яндекс новости, VK, Гудлайн</v>
      </c>
      <c r="Q946" s="6" t="str">
        <f>IFERROR(__xludf.DUMMYFUNCTION("""COMPUTED_VALUE"""),"куда пойти в свободное время, где вкусно поесть/открытие новых кафе/ресторанов, культурные новинки (что почитать/что послушать), бизнес-новости (средний чек/рекламные акции/запуск новых предприятий), интервью с экспертами на разные темы (напишите в раздел"&amp;"е Другое свои предложения)")</f>
        <v>куда пойти в свободное время, где вкусно поесть/открытие новых кафе/ресторанов, культурные новинки (что почитать/что послушать),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946" s="6" t="str">
        <f>IFERROR(__xludf.DUMMYFUNCTION("""COMPUTED_VALUE"""),"День Победы, день Шахтера")</f>
        <v>День Победы, день Шахтера</v>
      </c>
      <c r="S946" s="6" t="str">
        <f>IFERROR(__xludf.DUMMYFUNCTION("""COMPUTED_VALUE"""),"Нет, не приходилось")</f>
        <v>Нет, не приходилось</v>
      </c>
      <c r="T946" s="6" t="str">
        <f>IFERROR(__xludf.DUMMYFUNCTION("""COMPUTED_VALUE"""),"Самая дорогая елка на площади")</f>
        <v>Самая дорогая елка на площади</v>
      </c>
      <c r="U946" s="6" t="str">
        <f>IFERROR(__xludf.DUMMYFUNCTION("""COMPUTED_VALUE"""),"Бульвар Строителей, Ленина-Ноградская-Мичурина")</f>
        <v>Бульвар Строителей, Ленина-Ноградская-Мичурина</v>
      </c>
      <c r="V946" s="6" t="str">
        <f>IFERROR(__xludf.DUMMYFUNCTION("""COMPUTED_VALUE"""),"Не знаю")</f>
        <v>Не знаю</v>
      </c>
      <c r="W946" s="6" t="str">
        <f>IFERROR(__xludf.DUMMYFUNCTION("""COMPUTED_VALUE"""),"Рабочий класс, который ходит на работу, с работы домой, на выходных семьей в парк или на дачу.")</f>
        <v>Рабочий класс, который ходит на работу, с работы домой, на выходных семьей в парк или на дачу.</v>
      </c>
      <c r="X946" s="6" t="str">
        <f>IFERROR(__xludf.DUMMYFUNCTION("""COMPUTED_VALUE"""),"Набережная, Площадь Советов, Филармония, парки вдоль Искитимки")</f>
        <v>Набережная, Площадь Советов, Филармония, парки вдоль Искитимки</v>
      </c>
      <c r="Y946" s="6" t="str">
        <f>IFERROR(__xludf.DUMMYFUNCTION("""COMPUTED_VALUE"""),"Освоено коксохимическое производство")</f>
        <v>Освоено коксохимическое производство</v>
      </c>
      <c r="Z946" s="6" t="str">
        <f>IFERROR(__xludf.DUMMYFUNCTION("""COMPUTED_VALUE"""),"Позитивных и ярких не было")</f>
        <v>Позитивных и ярких не было</v>
      </c>
      <c r="AA946" s="6" t="str">
        <f>IFERROR(__xludf.DUMMYFUNCTION("""COMPUTED_VALUE"""),"Коррупционные скандалы во власти")</f>
        <v>Коррупционные скандалы во власти</v>
      </c>
      <c r="AB946" s="6" t="str">
        <f>IFERROR(__xludf.DUMMYFUNCTION("""COMPUTED_VALUE"""),"Никогда не задумывался об этом, может уличных музыкантов")</f>
        <v>Никогда не задумывался об этом, может уличных музыкантов</v>
      </c>
      <c r="AC946" s="6" t="str">
        <f>IFERROR(__xludf.DUMMYFUNCTION("""COMPUTED_VALUE"""),"Марафоны, велопробеги, выставки народных умельцев, ярмарки")</f>
        <v>Марафоны, велопробеги, выставки народных умельцев, ярмарки</v>
      </c>
      <c r="AD94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46" s="6" t="str">
        <f>IFERROR(__xludf.DUMMYFUNCTION("""COMPUTED_VALUE"""),"Мужской")</f>
        <v>Мужской</v>
      </c>
      <c r="AF946" s="6" t="str">
        <f>IFERROR(__xludf.DUMMYFUNCTION("""COMPUTED_VALUE"""),"30-44")</f>
        <v>30-44</v>
      </c>
      <c r="AG946" s="6"/>
      <c r="AH946" s="6"/>
      <c r="AI946" s="6"/>
      <c r="AJ946" s="6"/>
      <c r="AK946" s="6"/>
      <c r="AL946" s="6"/>
      <c r="AM946" s="6"/>
    </row>
    <row r="947">
      <c r="A947" s="6">
        <v>946.0</v>
      </c>
      <c r="B947" s="6" t="str">
        <f>IFERROR(__xludf.DUMMYFUNCTION("""COMPUTED_VALUE""")," Юрист")</f>
        <v> Юрист</v>
      </c>
      <c r="C947" s="6" t="str">
        <f>IFERROR(__xludf.DUMMYFUNCTION("""COMPUTED_VALUE"""),"Творчество ")</f>
        <v>Творчество </v>
      </c>
      <c r="D947" s="6" t="str">
        <f>IFERROR(__xludf.DUMMYFUNCTION("""COMPUTED_VALUE"""),"Центральный")</f>
        <v>Центральный</v>
      </c>
      <c r="E947" s="6" t="str">
        <f>IFERROR(__xludf.DUMMYFUNCTION("""COMPUTED_VALUE"""),"Сквер Резника")</f>
        <v>Сквер Резника</v>
      </c>
      <c r="F947" s="6" t="str">
        <f>IFERROR(__xludf.DUMMYFUNCTION("""COMPUTED_VALUE"""),"Переехал сюда из другого места (откуда? укажите в графе другое), Белово")</f>
        <v>Переехал сюда из другого места (откуда? укажите в графе другое), Белово</v>
      </c>
      <c r="G947" s="6" t="str">
        <f>IFERROR(__xludf.DUMMYFUNCTION("""COMPUTED_VALUE"""),"На Весеннюю, набережную ")</f>
        <v>На Весеннюю, набережную </v>
      </c>
      <c r="H947" s="6" t="str">
        <f>IFERROR(__xludf.DUMMYFUNCTION("""COMPUTED_VALUE"""),"Стройка, смог, беспорядок, Елка, Зимняя вишня ")</f>
        <v>Стройка, смог, беспорядок, Елка, Зимняя вишня </v>
      </c>
      <c r="I947" s="6" t="str">
        <f>IFERROR(__xludf.DUMMYFUNCTION("""COMPUTED_VALUE"""),"Михайлов")</f>
        <v>Михайлов</v>
      </c>
      <c r="J947" s="6" t="str">
        <f>IFERROR(__xludf.DUMMYFUNCTION("""COMPUTED_VALUE"""),"Михайлов ")</f>
        <v>Михайлов </v>
      </c>
      <c r="K947" s="6" t="str">
        <f>IFERROR(__xludf.DUMMYFUNCTION("""COMPUTED_VALUE"""),"Городской сад, Лесная поляна")</f>
        <v>Городской сад, Лесная поляна</v>
      </c>
      <c r="L947" s="6" t="str">
        <f>IFERROR(__xludf.DUMMYFUNCTION("""COMPUTED_VALUE"""),"У семи нянек дитя без присмотра ")</f>
        <v>У семи нянек дитя без присмотра </v>
      </c>
      <c r="M947" s="6" t="str">
        <f>IFERROR(__xludf.DUMMYFUNCTION("""COMPUTED_VALUE"""),"Нет")</f>
        <v>Нет</v>
      </c>
      <c r="N947" s="6" t="str">
        <f>IFERROR(__xludf.DUMMYFUNCTION("""COMPUTED_VALUE"""),"Чистота (весной город превращается в кучу мусора, повсюду собачий помет, кучи мусора под балконами). Уют ( зелёные зоны, доступность транспорта, отсутствие пробок). ")</f>
        <v>Чистота (весной город превращается в кучу мусора, повсюду собачий помет, кучи мусора под балконами). Уют ( зелёные зоны, доступность транспорта, отсутствие пробок). </v>
      </c>
      <c r="O947" s="6" t="str">
        <f>IFERROR(__xludf.DUMMYFUNCTION("""COMPUTED_VALUE"""),"Навести порядок- ужасная грязь, неочищенные тротуары, переполненные урны на остановках. ")</f>
        <v>Навести порядок- ужасная грязь, неочищенные тротуары, переполненные урны на остановках. </v>
      </c>
      <c r="P947" s="6" t="str">
        <f>IFERROR(__xludf.DUMMYFUNCTION("""COMPUTED_VALUE"""),"Инстаграм ")</f>
        <v>Инстаграм </v>
      </c>
      <c r="Q947" s="6" t="str">
        <f>IFERROR(__xludf.DUMMYFUNCTION("""COMPUTED_VALUE"""),"городская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v>
      </c>
      <c r="R947" s="6" t="str">
        <f>IFERROR(__xludf.DUMMYFUNCTION("""COMPUTED_VALUE"""),"День Победы ")</f>
        <v>День Победы </v>
      </c>
      <c r="S947" s="6" t="str">
        <f>IFERROR(__xludf.DUMMYFUNCTION("""COMPUTED_VALUE"""),"Нет, не приходилось")</f>
        <v>Нет, не приходилось</v>
      </c>
      <c r="T947" s="6" t="str">
        <f>IFERROR(__xludf.DUMMYFUNCTION("""COMPUTED_VALUE"""),"Зимняя вишня ")</f>
        <v>Зимняя вишня </v>
      </c>
      <c r="U947" s="6" t="str">
        <f>IFERROR(__xludf.DUMMYFUNCTION("""COMPUTED_VALUE"""),"Весенняя ")</f>
        <v>Весенняя </v>
      </c>
      <c r="V947" s="6" t="str">
        <f>IFERROR(__xludf.DUMMYFUNCTION("""COMPUTED_VALUE"""),"Затрудняюсь ответить ")</f>
        <v>Затрудняюсь ответить </v>
      </c>
      <c r="W947" s="6" t="str">
        <f>IFERROR(__xludf.DUMMYFUNCTION("""COMPUTED_VALUE"""),"Хмурые, неприветливые, порой равнодушные ")</f>
        <v>Хмурые, неприветливые, порой равнодушные </v>
      </c>
      <c r="X947" s="6" t="str">
        <f>IFERROR(__xludf.DUMMYFUNCTION("""COMPUTED_VALUE"""),"Набережная и улица Весенняя ")</f>
        <v>Набережная и улица Весенняя </v>
      </c>
      <c r="Y947" s="6" t="str">
        <f>IFERROR(__xludf.DUMMYFUNCTION("""COMPUTED_VALUE"""),"Чемпионат по хоккею с мячом ")</f>
        <v>Чемпионат по хоккею с мячом </v>
      </c>
      <c r="Z947" s="6" t="str">
        <f>IFERROR(__xludf.DUMMYFUNCTION("""COMPUTED_VALUE"""),"Рок концерт")</f>
        <v>Рок концерт</v>
      </c>
      <c r="AA947" s="6" t="str">
        <f>IFERROR(__xludf.DUMMYFUNCTION("""COMPUTED_VALUE"""),"Равнодушие и халатность правоохранительных органов")</f>
        <v>Равнодушие и халатность правоохранительных органов</v>
      </c>
      <c r="AB947" s="6" t="str">
        <f>IFERROR(__xludf.DUMMYFUNCTION("""COMPUTED_VALUE"""),"Творческих")</f>
        <v>Творческих</v>
      </c>
      <c r="AC947" s="6" t="str">
        <f>IFERROR(__xludf.DUMMYFUNCTION("""COMPUTED_VALUE"""),"Культурных (массовых)")</f>
        <v>Культурных (массовых)</v>
      </c>
      <c r="AD947"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947" s="6" t="str">
        <f>IFERROR(__xludf.DUMMYFUNCTION("""COMPUTED_VALUE"""),"Женский")</f>
        <v>Женский</v>
      </c>
      <c r="AF947" s="6" t="str">
        <f>IFERROR(__xludf.DUMMYFUNCTION("""COMPUTED_VALUE"""),"30-44")</f>
        <v>30-44</v>
      </c>
      <c r="AG947" s="6"/>
      <c r="AH947" s="6"/>
      <c r="AI947" s="6"/>
      <c r="AJ947" s="6"/>
      <c r="AK947" s="6"/>
      <c r="AL947" s="6"/>
      <c r="AM947" s="6"/>
    </row>
    <row r="948">
      <c r="A948" s="6">
        <v>947.0</v>
      </c>
      <c r="B948" s="6" t="str">
        <f>IFERROR(__xludf.DUMMYFUNCTION("""COMPUTED_VALUE"""),"Обследование промышленных объектов")</f>
        <v>Обследование промышленных объектов</v>
      </c>
      <c r="C948" s="6" t="str">
        <f>IFERROR(__xludf.DUMMYFUNCTION("""COMPUTED_VALUE"""),"Катание на сноуборде")</f>
        <v>Катание на сноуборде</v>
      </c>
      <c r="D948" s="6" t="str">
        <f>IFERROR(__xludf.DUMMYFUNCTION("""COMPUTED_VALUE"""),"Южный. Южный")</f>
        <v>Южный. Южный</v>
      </c>
      <c r="E948" s="6" t="str">
        <f>IFERROR(__xludf.DUMMYFUNCTION("""COMPUTED_VALUE"""),"Думаю их нет, хотя есть памятник на районе")</f>
        <v>Думаю их нет, хотя есть памятник на районе</v>
      </c>
      <c r="F948" s="6" t="str">
        <f>IFERROR(__xludf.DUMMYFUNCTION("""COMPUTED_VALUE"""),"Переехал сюда из другого места (откуда? укажите в графе другое), Приехал на учебу и остался здесь. Живу с 2008 г.")</f>
        <v>Переехал сюда из другого места (откуда? укажите в графе другое), Приехал на учебу и остался здесь. Живу с 2008 г.</v>
      </c>
      <c r="G948" s="6" t="str">
        <f>IFERROR(__xludf.DUMMYFUNCTION("""COMPUTED_VALUE"""),"Развлекательные заведения; центр города (весенняя, набережная, парки); другие парки в черте города")</f>
        <v>Развлекательные заведения; центр города (весенняя, набережная, парки); другие парки в черте города</v>
      </c>
      <c r="H948" s="6" t="str">
        <f>IFERROR(__xludf.DUMMYFUNCTION("""COMPUTED_VALUE"""),"Родной, спокойный, но серый, иногда скучный, компактный")</f>
        <v>Родной, спокойный, но серый, иногда скучный, компактный</v>
      </c>
      <c r="I948" s="6" t="str">
        <f>IFERROR(__xludf.DUMMYFUNCTION("""COMPUTED_VALUE"""),"Волков, Тулеев. ")</f>
        <v>Волков, Тулеев. </v>
      </c>
      <c r="J948" s="6" t="str">
        <f>IFERROR(__xludf.DUMMYFUNCTION("""COMPUTED_VALUE"""),"Затрудняюсь ответить.")</f>
        <v>Затрудняюсь ответить.</v>
      </c>
      <c r="K948" s="6" t="str">
        <f>IFERROR(__xludf.DUMMYFUNCTION("""COMPUTED_VALUE"""),"Памятник шахтерам; набережная; подобие смотровой площадки на лысой горе ( над шашлычками)")</f>
        <v>Памятник шахтерам; набережная; подобие смотровой площадки на лысой горе ( над шашлычками)</v>
      </c>
      <c r="L948" s="6" t="str">
        <f>IFERROR(__xludf.DUMMYFUNCTION("""COMPUTED_VALUE"""),"Не знаю их")</f>
        <v>Не знаю их</v>
      </c>
      <c r="M948" s="6" t="str">
        <f>IFERROR(__xludf.DUMMYFUNCTION("""COMPUTED_VALUE"""),"Не знаю")</f>
        <v>Не знаю</v>
      </c>
      <c r="N948" s="6" t="str">
        <f>IFERROR(__xludf.DUMMYFUNCTION("""COMPUTED_VALUE"""),"Удобные транспортные развязки (особенно в часы пик); озеленение города и украшение фасадов; чистота; наличие современных магазинов; доступное жилье.")</f>
        <v>Удобные транспортные развязки (особенно в часы пик); озеленение города и украшение фасадов; чистота; наличие современных магазинов; доступное жилье.</v>
      </c>
      <c r="O948" s="6" t="str">
        <f>IFERROR(__xludf.DUMMYFUNCTION("""COMPUTED_VALUE"""),"Добавить места для пеших прогулок; в зимнее время улучшить ситуацию с загазованностью/задымленностью; обновить фасады; поднять уровень зп.")</f>
        <v>Добавить места для пеших прогулок; в зимнее время улучшить ситуацию с загазованностью/задымленностью; обновить фасады; поднять уровень зп.</v>
      </c>
      <c r="P948" s="6" t="str">
        <f>IFERROR(__xludf.DUMMYFUNCTION("""COMPUTED_VALUE"""),"В интернете ресурсы с афишами; рекомендации друзей.")</f>
        <v>В интернете ресурсы с афишами; рекомендации друзей.</v>
      </c>
      <c r="Q948" s="6" t="str">
        <f>IFERROR(__xludf.DUMMYFUNCTION("""COMPUTED_VALUE"""),"где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v>
      </c>
      <c r="R948" s="6" t="str">
        <f>IFERROR(__xludf.DUMMYFUNCTION("""COMPUTED_VALUE"""),"Новый год")</f>
        <v>Новый год</v>
      </c>
      <c r="S948" s="6" t="str">
        <f>IFERROR(__xludf.DUMMYFUNCTION("""COMPUTED_VALUE"""),"Писал и расклеивал объявления/афиши")</f>
        <v>Писал и расклеивал объявления/афиши</v>
      </c>
      <c r="T948" s="6" t="str">
        <f>IFERROR(__xludf.DUMMYFUNCTION("""COMPUTED_VALUE"""),"Известен как угольная столица. Насчёт уникальности затрудняюсь ответить.")</f>
        <v>Известен как угольная столица. Насчёт уникальности затрудняюсь ответить.</v>
      </c>
      <c r="U948" s="6" t="str">
        <f>IFERROR(__xludf.DUMMYFUNCTION("""COMPUTED_VALUE"""),"Набережная")</f>
        <v>Набережная</v>
      </c>
      <c r="V948" s="6" t="str">
        <f>IFERROR(__xludf.DUMMYFUNCTION("""COMPUTED_VALUE"""),"Пытались бороться за свои права и улучшение качества жизни")</f>
        <v>Пытались бороться за свои права и улучшение качества жизни</v>
      </c>
      <c r="W948" s="6" t="str">
        <f>IFERROR(__xludf.DUMMYFUNCTION("""COMPUTED_VALUE"""),"Добрые, открытые к своим людям, но при этом в меру закрытые к чужим, целеустремленные, ищущие пути для личностного и карьерного роста. ")</f>
        <v>Добрые, открытые к своим людям, но при этом в меру закрытые к чужим, целеустремленные, ищущие пути для личностного и карьерного роста. </v>
      </c>
      <c r="X948" s="6" t="str">
        <f>IFERROR(__xludf.DUMMYFUNCTION("""COMPUTED_VALUE"""),"Весенняя, набережная, лесная поляна")</f>
        <v>Весенняя, набережная, лесная поляна</v>
      </c>
      <c r="Y948" s="6" t="str">
        <f>IFERROR(__xludf.DUMMYFUNCTION("""COMPUTED_VALUE"""),"К сожалению, зимняя вишня")</f>
        <v>К сожалению, зимняя вишня</v>
      </c>
      <c r="Z948" s="6" t="str">
        <f>IFERROR(__xludf.DUMMYFUNCTION("""COMPUTED_VALUE"""),"Развитие новых районов, строительство арены")</f>
        <v>Развитие новых районов, строительство арены</v>
      </c>
      <c r="AA948" s="6" t="str">
        <f>IFERROR(__xludf.DUMMYFUNCTION("""COMPUTED_VALUE"""),"Экология, качество дорог, уровень зп, подорожание продуктов, бензина, отсутствие новых развлекательных мест, мест отдыха")</f>
        <v>Экология, качество дорог, уровень зп, подорожание продуктов, бензина, отсутствие новых развлекательных мест, мест отдыха</v>
      </c>
      <c r="AB948" s="6" t="str">
        <f>IFERROR(__xludf.DUMMYFUNCTION("""COMPUTED_VALUE"""),"Затрудняюсь ответить")</f>
        <v>Затрудняюсь ответить</v>
      </c>
      <c r="AC948" s="6" t="str">
        <f>IFERROR(__xludf.DUMMYFUNCTION("""COMPUTED_VALUE"""),"Затрудняюсь ответить, но возможно уличных представлений/артистов (например как в Питере)")</f>
        <v>Затрудняюсь ответить, но возможно уличных представлений/артистов (например как в Питере)</v>
      </c>
      <c r="AD948" s="6" t="str">
        <f>IFERROR(__xludf.DUMMYFUNCTION("""COMPUTED_VALUE"""),"Коммуникатора: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948" s="6" t="str">
        <f>IFERROR(__xludf.DUMMYFUNCTION("""COMPUTED_VALUE"""),"Мужской")</f>
        <v>Мужской</v>
      </c>
      <c r="AF948" s="6" t="str">
        <f>IFERROR(__xludf.DUMMYFUNCTION("""COMPUTED_VALUE"""),"30-44")</f>
        <v>30-44</v>
      </c>
      <c r="AG948" s="6"/>
      <c r="AH948" s="6"/>
      <c r="AI948" s="6"/>
      <c r="AJ948" s="6"/>
      <c r="AK948" s="6"/>
      <c r="AL948" s="6"/>
      <c r="AM948" s="6"/>
    </row>
    <row r="949">
      <c r="A949" s="6">
        <v>948.0</v>
      </c>
      <c r="B949" s="6" t="str">
        <f>IFERROR(__xludf.DUMMYFUNCTION("""COMPUTED_VALUE"""),"госслужащий")</f>
        <v>госслужащий</v>
      </c>
      <c r="C949" s="6" t="str">
        <f>IFERROR(__xludf.DUMMYFUNCTION("""COMPUTED_VALUE"""),"туризм")</f>
        <v>туризм</v>
      </c>
      <c r="D949" s="6" t="str">
        <f>IFERROR(__xludf.DUMMYFUNCTION("""COMPUTED_VALUE"""),"центральный")</f>
        <v>центральный</v>
      </c>
      <c r="E949" s="6" t="str">
        <f>IFERROR(__xludf.DUMMYFUNCTION("""COMPUTED_VALUE"""),"набережная реки Томь, ул. Весенняя, Арочная")</f>
        <v>набережная реки Томь, ул. Весенняя, Арочная</v>
      </c>
      <c r="F949" s="6" t="str">
        <f>IFERROR(__xludf.DUMMYFUNCTION("""COMPUTED_VALUE"""),"Живу здесь с рождения")</f>
        <v>Живу здесь с рождения</v>
      </c>
      <c r="G949" s="6" t="str">
        <f>IFERROR(__xludf.DUMMYFUNCTION("""COMPUTED_VALUE"""),"Рудничный бор, Красная горка, тайга за Лесной поляной")</f>
        <v>Рудничный бор, Красная горка, тайга за Лесной поляной</v>
      </c>
      <c r="H949" s="6" t="str">
        <f>IFERROR(__xludf.DUMMYFUNCTION("""COMPUTED_VALUE"""),"Щегловск, Копикуз, ")</f>
        <v>Щегловск, Копикуз, </v>
      </c>
      <c r="I949" s="6" t="str">
        <f>IFERROR(__xludf.DUMMYFUNCTION("""COMPUTED_VALUE"""),"Михайло Волков,  Трепов В.Ф., Хрулев  С.С, Федорович И.И., Лутугин Л.И.")</f>
        <v>Михайло Волков,  Трепов В.Ф., Хрулев  С.С, Федорович И.И., Лутугин Л.И.</v>
      </c>
      <c r="J949" s="6" t="str">
        <f>IFERROR(__xludf.DUMMYFUNCTION("""COMPUTED_VALUE"""),"Леонов А.А., Юров Г.Е., ")</f>
        <v>Леонов А.А., Юров Г.Е., </v>
      </c>
      <c r="K949" s="6" t="str">
        <f>IFERROR(__xludf.DUMMYFUNCTION("""COMPUTED_VALUE"""),"Набережная, Ул. Весенняя, Красная горка, контора Копикуза, памятник шахтерам Э. Неизвестного, Рудничный бор с видовой площадкой.")</f>
        <v>Набережная, Ул. Весенняя, Красная горка, контора Копикуза, памятник шахтерам Э. Неизвестного, Рудничный бор с видовой площадкой.</v>
      </c>
      <c r="L949" s="6" t="str">
        <f>IFERROR(__xludf.DUMMYFUNCTION("""COMPUTED_VALUE"""),"нет")</f>
        <v>нет</v>
      </c>
      <c r="M949" s="6" t="str">
        <f>IFERROR(__xludf.DUMMYFUNCTION("""COMPUTED_VALUE"""),"нет")</f>
        <v>нет</v>
      </c>
      <c r="N949" s="6" t="str">
        <f>IFERROR(__xludf.DUMMYFUNCTION("""COMPUTED_VALUE"""),"чистота, наличие зеленых зон, историческая преемственность, удобная транспортная сеть, ")</f>
        <v>чистота, наличие зеленых зон, историческая преемственность, удобная транспортная сеть, </v>
      </c>
      <c r="O949" s="6" t="str">
        <f>IFERROR(__xludf.DUMMYFUNCTION("""COMPUTED_VALUE"""),"Отношение к историческим и природным объектам, паркам и ландшафтам")</f>
        <v>Отношение к историческим и природным объектам, паркам и ландшафтам</v>
      </c>
      <c r="P949" s="6" t="str">
        <f>IFERROR(__xludf.DUMMYFUNCTION("""COMPUTED_VALUE"""),"а42, все42, сибдепо и т.д.")</f>
        <v>а42, все42, сибдепо и т.д.</v>
      </c>
      <c r="Q949" s="6" t="str">
        <f>IFERROR(__xludf.DUMMYFUNCTION("""COMPUTED_VALUE"""),"интервью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949" s="6" t="str">
        <f>IFERROR(__xludf.DUMMYFUNCTION("""COMPUTED_VALUE"""),"День шахтера")</f>
        <v>День шахтера</v>
      </c>
      <c r="S949" s="6" t="str">
        <f>IFERROR(__xludf.DUMMYFUNCTION("""COMPUTED_VALUE"""),"Нет, не приходилось")</f>
        <v>Нет, не приходилось</v>
      </c>
      <c r="T949" s="6" t="str">
        <f>IFERROR(__xludf.DUMMYFUNCTION("""COMPUTED_VALUE"""),"угольная промышленность")</f>
        <v>угольная промышленность</v>
      </c>
      <c r="U949" s="6" t="str">
        <f>IFERROR(__xludf.DUMMYFUNCTION("""COMPUTED_VALUE"""),"улицы Притомская набережная, ул. Весенняя, пр. Советский, Красная горка")</f>
        <v>улицы Притомская набережная, ул. Весенняя, пр. Советский, Красная горка</v>
      </c>
      <c r="V949" s="6" t="str">
        <f>IFERROR(__xludf.DUMMYFUNCTION("""COMPUTED_VALUE"""),"построили удобный город")</f>
        <v>построили удобный город</v>
      </c>
      <c r="W949" s="6" t="str">
        <f>IFERROR(__xludf.DUMMYFUNCTION("""COMPUTED_VALUE"""),"трудолюбивые и немногословные")</f>
        <v>трудолюбивые и немногословные</v>
      </c>
      <c r="X949" s="6" t="str">
        <f>IFERROR(__xludf.DUMMYFUNCTION("""COMPUTED_VALUE"""),"Драмтеатр, ул. Весенняя, Набережная, филармония")</f>
        <v>Драмтеатр, ул. Весенняя, Набережная, филармония</v>
      </c>
      <c r="Y949" s="6" t="str">
        <f>IFERROR(__xludf.DUMMYFUNCTION("""COMPUTED_VALUE"""),"Основание Верхотомского острога")</f>
        <v>Основание Верхотомского острога</v>
      </c>
      <c r="Z949" s="6" t="str">
        <f>IFERROR(__xludf.DUMMYFUNCTION("""COMPUTED_VALUE"""),"Стройка Московской площади и ледового дворца")</f>
        <v>Стройка Московской площади и ледового дворца</v>
      </c>
      <c r="AA949" s="6" t="str">
        <f>IFERROR(__xludf.DUMMYFUNCTION("""COMPUTED_VALUE"""),"Попытки застроить Рудничный бор и другие природные зоны (например Журавлевский бор )")</f>
        <v>Попытки застроить Рудничный бор и другие природные зоны (например Журавлевский бор )</v>
      </c>
      <c r="AB949" s="6" t="str">
        <f>IFERROR(__xludf.DUMMYFUNCTION("""COMPUTED_VALUE"""),"культурно-исторических")</f>
        <v>культурно-исторических</v>
      </c>
      <c r="AC949" s="6" t="str">
        <f>IFERROR(__xludf.DUMMYFUNCTION("""COMPUTED_VALUE"""),"возродить футбольный клуб ""Кузбасс""")</f>
        <v>возродить футбольный клуб "Кузбасс"</v>
      </c>
      <c r="AD94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49" s="6" t="str">
        <f>IFERROR(__xludf.DUMMYFUNCTION("""COMPUTED_VALUE"""),"Мужской")</f>
        <v>Мужской</v>
      </c>
      <c r="AF949" s="6" t="str">
        <f>IFERROR(__xludf.DUMMYFUNCTION("""COMPUTED_VALUE"""),"30-44")</f>
        <v>30-44</v>
      </c>
      <c r="AG949" s="6"/>
      <c r="AH949" s="6"/>
      <c r="AI949" s="6"/>
      <c r="AJ949" s="6"/>
      <c r="AK949" s="6"/>
      <c r="AL949" s="6"/>
      <c r="AM949" s="6"/>
    </row>
    <row r="950">
      <c r="A950" s="6">
        <v>949.0</v>
      </c>
      <c r="B950" s="6" t="str">
        <f>IFERROR(__xludf.DUMMYFUNCTION("""COMPUTED_VALUE"""),"преподаватель")</f>
        <v>преподаватель</v>
      </c>
      <c r="C950" s="6" t="str">
        <f>IFERROR(__xludf.DUMMYFUNCTION("""COMPUTED_VALUE"""),"театр")</f>
        <v>театр</v>
      </c>
      <c r="D950" s="6" t="str">
        <f>IFERROR(__xludf.DUMMYFUNCTION("""COMPUTED_VALUE"""),"Лесная поляна (Поляна)")</f>
        <v>Лесная поляна (Поляна)</v>
      </c>
      <c r="E950" s="6" t="str">
        <f>IFERROR(__xludf.DUMMYFUNCTION("""COMPUTED_VALUE"""),"Парк Лесная сказка, бульвар Осенний")</f>
        <v>Парк Лесная сказка, бульвар Осенний</v>
      </c>
      <c r="F950" s="6" t="str">
        <f>IFERROR(__xludf.DUMMYFUNCTION("""COMPUTED_VALUE"""),"Живу здесь с рождения")</f>
        <v>Живу здесь с рождения</v>
      </c>
      <c r="G950" s="6" t="str">
        <f>IFERROR(__xludf.DUMMYFUNCTION("""COMPUTED_VALUE"""),"Набережная, Парк при кадетском")</f>
        <v>Набережная, Парк при кадетском</v>
      </c>
      <c r="H950" s="6" t="str">
        <f>IFERROR(__xludf.DUMMYFUNCTION("""COMPUTED_VALUE"""),"химическая промышленность, томь, красная горка, зимняя вишня, ")</f>
        <v>химическая промышленность, томь, красная горка, зимняя вишня, </v>
      </c>
      <c r="I950" s="6" t="str">
        <f>IFERROR(__xludf.DUMMYFUNCTION("""COMPUTED_VALUE"""),"Леонов , Гришковец, Мартемьянов")</f>
        <v>Леонов , Гришковец, Мартемьянов</v>
      </c>
      <c r="J950" s="6" t="str">
        <f>IFERROR(__xludf.DUMMYFUNCTION("""COMPUTED_VALUE"""),"-")</f>
        <v>-</v>
      </c>
      <c r="K950" s="6" t="str">
        <f>IFERROR(__xludf.DUMMYFUNCTION("""COMPUTED_VALUE"""),"Красная горка, Шахтер с сердцем, Парк ангелов, Набережная, ")</f>
        <v>Красная горка, Шахтер с сердцем, Парк ангелов, Набережная, </v>
      </c>
      <c r="L950" s="6" t="str">
        <f>IFERROR(__xludf.DUMMYFUNCTION("""COMPUTED_VALUE"""),"Песня Человек из Кемерова")</f>
        <v>Песня Человек из Кемерова</v>
      </c>
      <c r="M950" s="6" t="str">
        <f>IFERROR(__xludf.DUMMYFUNCTION("""COMPUTED_VALUE"""),"нет")</f>
        <v>нет</v>
      </c>
      <c r="N950" s="6" t="str">
        <f>IFERROR(__xludf.DUMMYFUNCTION("""COMPUTED_VALUE"""),"хорошая экология, качественные дороги, наличие парковок в городе, компактность и удобство расположения")</f>
        <v>хорошая экология, качественные дороги, наличие парковок в городе, компактность и удобство расположения</v>
      </c>
      <c r="O950" s="6" t="str">
        <f>IFERROR(__xludf.DUMMYFUNCTION("""COMPUTED_VALUE"""),"экологию")</f>
        <v>экологию</v>
      </c>
      <c r="P950" s="6" t="str">
        <f>IFERROR(__xludf.DUMMYFUNCTION("""COMPUTED_VALUE"""),"-")</f>
        <v>-</v>
      </c>
      <c r="Q950" s="6" t="str">
        <f>IFERROR(__xludf.DUMMYFUNCTION("""COMPUTED_VALUE"""),"куда пойти в свободное время, интервью с местными творческими личностями, интервью с местными предпринимателями")</f>
        <v>куда пойти в свободное время, интервью с местными творческими личностями, интервью с местными предпринимателями</v>
      </c>
      <c r="R950" s="6" t="str">
        <f>IFERROR(__xludf.DUMMYFUNCTION("""COMPUTED_VALUE"""),"9 мая")</f>
        <v>9 мая</v>
      </c>
      <c r="S950" s="6" t="str">
        <f>IFERROR(__xludf.DUMMYFUNCTION("""COMPUTED_VALUE"""),"Писал и расклеивал объявления/афиши")</f>
        <v>Писал и расклеивал объявления/афиши</v>
      </c>
      <c r="T950" s="6" t="str">
        <f>IFERROR(__xludf.DUMMYFUNCTION("""COMPUTED_VALUE"""),"пожаром в Зимней вишне. ")</f>
        <v>пожаром в Зимней вишне. </v>
      </c>
      <c r="U950" s="6" t="str">
        <f>IFERROR(__xludf.DUMMYFUNCTION("""COMPUTED_VALUE"""),"набережная")</f>
        <v>набережная</v>
      </c>
      <c r="V950" s="6" t="str">
        <f>IFERROR(__xludf.DUMMYFUNCTION("""COMPUTED_VALUE"""),"много трудились")</f>
        <v>много трудились</v>
      </c>
      <c r="W950" s="6" t="str">
        <f>IFERROR(__xludf.DUMMYFUNCTION("""COMPUTED_VALUE"""),"Суровые,  серьезные, большей частью хмурые")</f>
        <v>Суровые,  серьезные, большей частью хмурые</v>
      </c>
      <c r="X950" s="6" t="str">
        <f>IFERROR(__xludf.DUMMYFUNCTION("""COMPUTED_VALUE"""),"Весенняя, Драмтеатр, Набережная")</f>
        <v>Весенняя, Драмтеатр, Набережная</v>
      </c>
      <c r="Y950" s="6" t="str">
        <f>IFERROR(__xludf.DUMMYFUNCTION("""COMPUTED_VALUE"""),"открытие угля")</f>
        <v>открытие угля</v>
      </c>
      <c r="Z950" s="6" t="str">
        <f>IFERROR(__xludf.DUMMYFUNCTION("""COMPUTED_VALUE"""),"идет большая стройка новых культурных объектов")</f>
        <v>идет большая стройка новых культурных объектов</v>
      </c>
      <c r="AA950" s="6" t="str">
        <f>IFERROR(__xludf.DUMMYFUNCTION("""COMPUTED_VALUE"""),"грязный воздух")</f>
        <v>грязный воздух</v>
      </c>
      <c r="AB950" s="6" t="str">
        <f>IFERROR(__xludf.DUMMYFUNCTION("""COMPUTED_VALUE"""),"-")</f>
        <v>-</v>
      </c>
      <c r="AC950" s="6" t="str">
        <f>IFERROR(__xludf.DUMMYFUNCTION("""COMPUTED_VALUE"""),"-")</f>
        <v>-</v>
      </c>
      <c r="AD95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950" s="6" t="str">
        <f>IFERROR(__xludf.DUMMYFUNCTION("""COMPUTED_VALUE"""),"Женский")</f>
        <v>Женский</v>
      </c>
      <c r="AF950" s="6" t="str">
        <f>IFERROR(__xludf.DUMMYFUNCTION("""COMPUTED_VALUE"""),"30-44")</f>
        <v>30-44</v>
      </c>
      <c r="AG950" s="6"/>
      <c r="AH950" s="6"/>
      <c r="AI950" s="6"/>
      <c r="AJ950" s="6"/>
      <c r="AK950" s="6"/>
      <c r="AL950" s="6"/>
      <c r="AM950" s="6"/>
    </row>
    <row r="951">
      <c r="A951" s="6">
        <v>950.0</v>
      </c>
      <c r="B951" s="6" t="str">
        <f>IFERROR(__xludf.DUMMYFUNCTION("""COMPUTED_VALUE"""),"Работаю в офисе")</f>
        <v>Работаю в офисе</v>
      </c>
      <c r="C951" s="6" t="str">
        <f>IFERROR(__xludf.DUMMYFUNCTION("""COMPUTED_VALUE"""),"Лыжные прогулки")</f>
        <v>Лыжные прогулки</v>
      </c>
      <c r="D951" s="6" t="str">
        <f>IFERROR(__xludf.DUMMYFUNCTION("""COMPUTED_VALUE"""),"Ленинский район")</f>
        <v>Ленинский район</v>
      </c>
      <c r="E951" s="6" t="str">
        <f>IFERROR(__xludf.DUMMYFUNCTION("""COMPUTED_VALUE"""),"Бульвар строителей, кадетское училище, детская железная дорога, красное озеро")</f>
        <v>Бульвар строителей, кадетское училище, детская железная дорога, красное озеро</v>
      </c>
      <c r="F951" s="6" t="str">
        <f>IFERROR(__xludf.DUMMYFUNCTION("""COMPUTED_VALUE"""),"Переехал сюда из другого места (откуда? укажите в графе другое), Из маленького города Кемеровской области")</f>
        <v>Переехал сюда из другого места (откуда? укажите в графе другое), Из маленького города Кемеровской области</v>
      </c>
      <c r="G951" s="6" t="str">
        <f>IFERROR(__xludf.DUMMYFUNCTION("""COMPUTED_VALUE"""),"Обскурантизмы, берег реки Томь, Томская писаница")</f>
        <v>Обскурантизмы, берег реки Томь, Томская писаница</v>
      </c>
      <c r="H951" s="6" t="str">
        <f>IFERROR(__xludf.DUMMYFUNCTION("""COMPUTED_VALUE"""),"Чистый, зелёный, плохая экология, нет работы, нужно уезжать")</f>
        <v>Чистый, зелёный, плохая экология, нет работы, нужно уезжать</v>
      </c>
      <c r="I951" s="6" t="str">
        <f>IFERROR(__xludf.DUMMYFUNCTION("""COMPUTED_VALUE"""),"Леонов")</f>
        <v>Леонов</v>
      </c>
      <c r="J951" s="6" t="str">
        <f>IFERROR(__xludf.DUMMYFUNCTION("""COMPUTED_VALUE"""),"Местные бизнесмены")</f>
        <v>Местные бизнесмены</v>
      </c>
      <c r="K951" s="6" t="str">
        <f>IFERROR(__xludf.DUMMYFUNCTION("""COMPUTED_VALUE"""),"Набережная, ул весенняя, бульвар строителей, кадетское училище")</f>
        <v>Набережная, ул весенняя, бульвар строителей, кадетское училище</v>
      </c>
      <c r="L951" s="6" t="str">
        <f>IFERROR(__xludf.DUMMYFUNCTION("""COMPUTED_VALUE"""),"Нет")</f>
        <v>Нет</v>
      </c>
      <c r="M951" s="6" t="str">
        <f>IFERROR(__xludf.DUMMYFUNCTION("""COMPUTED_VALUE"""),"Нет")</f>
        <v>Нет</v>
      </c>
      <c r="N951" s="6" t="str">
        <f>IFERROR(__xludf.DUMMYFUNCTION("""COMPUTED_VALUE"""),"Чистота, хорошая экология, возможность устроиться на соответствующую работу, достойные учебные заведения")</f>
        <v>Чистота, хорошая экология, возможность устроиться на соответствующую работу, достойные учебные заведения</v>
      </c>
      <c r="O951" s="6" t="str">
        <f>IFERROR(__xludf.DUMMYFUNCTION("""COMPUTED_VALUE"""),"Заняться экологией, развивать промышленность ( не химическую) дать людям работу.")</f>
        <v>Заняться экологией, развивать промышленность ( не химическую) дать людям работу.</v>
      </c>
      <c r="P951" s="6" t="str">
        <f>IFERROR(__xludf.DUMMYFUNCTION("""COMPUTED_VALUE"""),"Инстаграмм")</f>
        <v>Инстаграмм</v>
      </c>
      <c r="Q951" s="6" t="str">
        <f>IFERROR(__xludf.DUMMYFUNCTION("""COMPUTED_VALUE"""),"куда пойти в свободное время, бизнес-новости (средний чек/рекламные акции/запуск новых предприятий), интервью с экспертами на разные темы (напишите в разделе Другое свои предложения)")</f>
        <v>куда пойти в свободное время,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951" s="6" t="str">
        <f>IFERROR(__xludf.DUMMYFUNCTION("""COMPUTED_VALUE"""),"День города")</f>
        <v>День города</v>
      </c>
      <c r="S951" s="6" t="str">
        <f>IFERROR(__xludf.DUMMYFUNCTION("""COMPUTED_VALUE"""),"Нет, не приходилось")</f>
        <v>Нет, не приходилось</v>
      </c>
      <c r="T951" s="6" t="str">
        <f>IFERROR(__xludf.DUMMYFUNCTION("""COMPUTED_VALUE"""),"Известен негативными событиями")</f>
        <v>Известен негативными событиями</v>
      </c>
      <c r="U951" s="6" t="str">
        <f>IFERROR(__xludf.DUMMYFUNCTION("""COMPUTED_VALUE"""),"Ул весенняя и бульвар строителей")</f>
        <v>Ул весенняя и бульвар строителей</v>
      </c>
      <c r="V951" s="6" t="str">
        <f>IFERROR(__xludf.DUMMYFUNCTION("""COMPUTED_VALUE"""),"—")</f>
        <v>—</v>
      </c>
      <c r="W951" s="6" t="str">
        <f>IFERROR(__xludf.DUMMYFUNCTION("""COMPUTED_VALUE"""),"Замученные люди в серых одеждах")</f>
        <v>Замученные люди в серых одеждах</v>
      </c>
      <c r="X951" s="6" t="str">
        <f>IFERROR(__xludf.DUMMYFUNCTION("""COMPUTED_VALUE"""),"По весенней улице до набережной и обратно по Кирова ")</f>
        <v>По весенней улице до набережной и обратно по Кирова </v>
      </c>
      <c r="Y951" s="6" t="str">
        <f>IFERROR(__xludf.DUMMYFUNCTION("""COMPUTED_VALUE"""),"Рок концерт легенды мирового рокм")</f>
        <v>Рок концерт легенды мирового рокм</v>
      </c>
      <c r="Z951" s="6" t="str">
        <f>IFERROR(__xludf.DUMMYFUNCTION("""COMPUTED_VALUE"""),"Рок концерт")</f>
        <v>Рок концерт</v>
      </c>
      <c r="AA951" s="6" t="str">
        <f>IFERROR(__xludf.DUMMYFUNCTION("""COMPUTED_VALUE"""),"Очень много обещают но результатов пока нет")</f>
        <v>Очень много обещают но результатов пока нет</v>
      </c>
      <c r="AB951" s="6" t="str">
        <f>IFERROR(__xludf.DUMMYFUNCTION("""COMPUTED_VALUE"""),"-")</f>
        <v>-</v>
      </c>
      <c r="AC951" s="6" t="str">
        <f>IFERROR(__xludf.DUMMYFUNCTION("""COMPUTED_VALUE"""),"-")</f>
        <v>-</v>
      </c>
      <c r="AD951"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951" s="6" t="str">
        <f>IFERROR(__xludf.DUMMYFUNCTION("""COMPUTED_VALUE"""),"Женский")</f>
        <v>Женский</v>
      </c>
      <c r="AF951" s="6" t="str">
        <f>IFERROR(__xludf.DUMMYFUNCTION("""COMPUTED_VALUE"""),"45-55")</f>
        <v>45-55</v>
      </c>
      <c r="AG951" s="6"/>
      <c r="AH951" s="6"/>
      <c r="AI951" s="6"/>
      <c r="AJ951" s="6"/>
      <c r="AK951" s="6"/>
      <c r="AL951" s="6"/>
      <c r="AM951" s="6"/>
    </row>
    <row r="952">
      <c r="A952" s="6">
        <v>951.0</v>
      </c>
      <c r="B952" s="6" t="str">
        <f>IFERROR(__xludf.DUMMYFUNCTION("""COMPUTED_VALUE"""),"Поддержка МСП")</f>
        <v>Поддержка МСП</v>
      </c>
      <c r="C952" s="6" t="str">
        <f>IFERROR(__xludf.DUMMYFUNCTION("""COMPUTED_VALUE"""),"Йога")</f>
        <v>Йога</v>
      </c>
      <c r="D952" s="6" t="str">
        <f>IFERROR(__xludf.DUMMYFUNCTION("""COMPUTED_VALUE"""),"Ленинский")</f>
        <v>Ленинский</v>
      </c>
      <c r="E952" s="6" t="str">
        <f>IFERROR(__xludf.DUMMYFUNCTION("""COMPUTED_VALUE"""),"Парк на Химиков у церкви")</f>
        <v>Парк на Химиков у церкви</v>
      </c>
      <c r="F952" s="6" t="str">
        <f>IFERROR(__xludf.DUMMYFUNCTION("""COMPUTED_VALUE"""),"Живу здесь с рождения")</f>
        <v>Живу здесь с рождения</v>
      </c>
      <c r="G952" s="6" t="str">
        <f>IFERROR(__xludf.DUMMYFUNCTION("""COMPUTED_VALUE"""),"Театр, кино, прогулки, кафе, бассейн")</f>
        <v>Театр, кино, прогулки, кафе, бассейн</v>
      </c>
      <c r="H952" s="6" t="str">
        <f>IFERROR(__xludf.DUMMYFUNCTION("""COMPUTED_VALUE"""),"Мрачно, ограниченно, выбросы в атмосферу очень много, развитие, благоустройство, перезагрузка")</f>
        <v>Мрачно, ограниченно, выбросы в атмосферу очень много, развитие, благоустройство, перезагрузка</v>
      </c>
      <c r="I952" s="6" t="str">
        <f>IFERROR(__xludf.DUMMYFUNCTION("""COMPUTED_VALUE"""),"Леонов, Гришковец, Машков")</f>
        <v>Леонов, Гришковец, Машков</v>
      </c>
      <c r="J952" s="6" t="str">
        <f>IFERROR(__xludf.DUMMYFUNCTION("""COMPUTED_VALUE"""),"Не знаю")</f>
        <v>Не знаю</v>
      </c>
      <c r="K952" s="6" t="str">
        <f>IFERROR(__xludf.DUMMYFUNCTION("""COMPUTED_VALUE"""),"Парки, скверы, набережная")</f>
        <v>Парки, скверы, набережная</v>
      </c>
      <c r="L952" s="6" t="str">
        <f>IFERROR(__xludf.DUMMYFUNCTION("""COMPUTED_VALUE"""),"Не знаю")</f>
        <v>Не знаю</v>
      </c>
      <c r="M952" s="6" t="str">
        <f>IFERROR(__xludf.DUMMYFUNCTION("""COMPUTED_VALUE"""),"Песня - человек из Кемерова")</f>
        <v>Песня - человек из Кемерова</v>
      </c>
      <c r="N952" s="6" t="str">
        <f>IFERROR(__xludf.DUMMYFUNCTION("""COMPUTED_VALUE"""),"Чистый воздух, меньше выбросов, культурно массовые мероприятия для городаж")</f>
        <v>Чистый воздух, меньше выбросов, культурно массовые мероприятия для городаж</v>
      </c>
      <c r="O952" s="6" t="str">
        <f>IFERROR(__xludf.DUMMYFUNCTION("""COMPUTED_VALUE"""),"Создать условия для интересного комфортного проживания в Кемерово. Спортивные площадки, театры, зоны отдыха на природе, желание жить именно в Кемерово")</f>
        <v>Создать условия для интересного комфортного проживания в Кемерово. Спортивные площадки, театры, зоны отдыха на природе, желание жить именно в Кемерово</v>
      </c>
      <c r="P952" s="6" t="str">
        <f>IFERROR(__xludf.DUMMYFUNCTION("""COMPUTED_VALUE"""),"Афиша, А42")</f>
        <v>Афиша, А42</v>
      </c>
      <c r="Q95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(рейтинги/аналитика/те"&amp;"нденции),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952" s="6" t="str">
        <f>IFERROR(__xludf.DUMMYFUNCTION("""COMPUTED_VALUE"""),"Нет таких")</f>
        <v>Нет таких</v>
      </c>
      <c r="S952" s="6" t="str">
        <f>IFERROR(__xludf.DUMMYFUNCTION("""COMPUTED_VALUE"""),"Нет, не приходилось")</f>
        <v>Нет, не приходилось</v>
      </c>
      <c r="T952" s="6" t="str">
        <f>IFERROR(__xludf.DUMMYFUNCTION("""COMPUTED_VALUE"""),"Кроме угля, ни чего")</f>
        <v>Кроме угля, ни чего</v>
      </c>
      <c r="U952" s="6" t="str">
        <f>IFERROR(__xludf.DUMMYFUNCTION("""COMPUTED_VALUE"""),"Волков Михайло")</f>
        <v>Волков Михайло</v>
      </c>
      <c r="V952" s="6" t="str">
        <f>IFERROR(__xludf.DUMMYFUNCTION("""COMPUTED_VALUE"""),"Уголь(")</f>
        <v>Уголь(</v>
      </c>
      <c r="W952" s="6" t="str">
        <f>IFERROR(__xludf.DUMMYFUNCTION("""COMPUTED_VALUE"""),"Грустные, закрытые, тревожные, любители выпить. Чаще так(")</f>
        <v>Грустные, закрытые, тревожные, любители выпить. Чаще так(</v>
      </c>
      <c r="X952" s="6" t="str">
        <f>IFERROR(__xludf.DUMMYFUNCTION("""COMPUTED_VALUE"""),"Не знаю")</f>
        <v>Не знаю</v>
      </c>
      <c r="Y952" s="6" t="str">
        <f>IFERROR(__xludf.DUMMYFUNCTION("""COMPUTED_VALUE"""),"Открытие каменного угля")</f>
        <v>Открытие каменного угля</v>
      </c>
      <c r="Z952" s="6" t="str">
        <f>IFERROR(__xludf.DUMMYFUNCTION("""COMPUTED_VALUE"""),"Концерт Би2, игра в волейбол нашей команды, творческий вечер Гришковца")</f>
        <v>Концерт Би2, игра в волейбол нашей команды, творческий вечер Гришковца</v>
      </c>
      <c r="AA952" s="6" t="str">
        <f>IFERROR(__xludf.DUMMYFUNCTION("""COMPUTED_VALUE"""),"Пожар зимняя вишня")</f>
        <v>Пожар зимняя вишня</v>
      </c>
      <c r="AB952" s="6" t="str">
        <f>IFERROR(__xludf.DUMMYFUNCTION("""COMPUTED_VALUE"""),"Познавательных, оздоровительных, просветительных ")</f>
        <v>Познавательных, оздоровительных, просветительных </v>
      </c>
      <c r="AC952" s="6" t="str">
        <f>IFERROR(__xludf.DUMMYFUNCTION("""COMPUTED_VALUE"""),"Мероприятия которые вдохновляют, с желанием изменится и стать лучше для себя и окружающих его людей")</f>
        <v>Мероприятия которые вдохновляют, с желанием изменится и стать лучше для себя и окружающих его людей</v>
      </c>
      <c r="AD952"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52" s="6" t="str">
        <f>IFERROR(__xludf.DUMMYFUNCTION("""COMPUTED_VALUE"""),"Женский")</f>
        <v>Женский</v>
      </c>
      <c r="AF952" s="6" t="str">
        <f>IFERROR(__xludf.DUMMYFUNCTION("""COMPUTED_VALUE"""),"45-55")</f>
        <v>45-55</v>
      </c>
      <c r="AG952" s="6"/>
      <c r="AH952" s="6"/>
      <c r="AI952" s="6"/>
      <c r="AJ952" s="6"/>
      <c r="AK952" s="6"/>
      <c r="AL952" s="6"/>
      <c r="AM952" s="6"/>
    </row>
    <row r="953">
      <c r="A953" s="6">
        <v>952.0</v>
      </c>
      <c r="B953" s="6" t="str">
        <f>IFERROR(__xludf.DUMMYFUNCTION("""COMPUTED_VALUE"""),"Оказание гос. поддержки МСП")</f>
        <v>Оказание гос. поддержки МСП</v>
      </c>
      <c r="C953" s="6" t="str">
        <f>IFERROR(__xludf.DUMMYFUNCTION("""COMPUTED_VALUE"""),"Рукоделие, творчество, фото")</f>
        <v>Рукоделие, творчество, фото</v>
      </c>
      <c r="D953" s="6" t="str">
        <f>IFERROR(__xludf.DUMMYFUNCTION("""COMPUTED_VALUE"""),"Радуга")</f>
        <v>Радуга</v>
      </c>
      <c r="E953" s="6" t="str">
        <f>IFERROR(__xludf.DUMMYFUNCTION("""COMPUTED_VALUE"""),"Убогий и неуютный сквер дружбы народов, больше ничего ")</f>
        <v>Убогий и неуютный сквер дружбы народов, больше ничего </v>
      </c>
      <c r="F953" s="6" t="str">
        <f>IFERROR(__xludf.DUMMYFUNCTION("""COMPUTED_VALUE"""),"Переехал сюда из другого места (откуда? укажите в графе другое), Живу здесь 11 лет, приехала из г.Осинники")</f>
        <v>Переехал сюда из другого места (откуда? укажите в графе другое), Живу здесь 11 лет, приехала из г.Осинники</v>
      </c>
      <c r="G953" s="6" t="str">
        <f>IFERROR(__xludf.DUMMYFUNCTION("""COMPUTED_VALUE"""),"Театр Ложа, Кинотеатры, Пикники на близлежащих озерах, Музей Тюльберский городок, Елыкаевская слобода,  Сосновый бор")</f>
        <v>Театр Ложа, Кинотеатры, Пикники на близлежащих озерах, Музей Тюльберский городок, Елыкаевская слобода,  Сосновый бор</v>
      </c>
      <c r="H953" s="6" t="str">
        <f>IFERROR(__xludf.DUMMYFUNCTION("""COMPUTED_VALUE"""),"Уголь, Пыль, Томь, Набережная, Серость")</f>
        <v>Уголь, Пыль, Томь, Набережная, Серость</v>
      </c>
      <c r="I953" s="6" t="str">
        <f>IFERROR(__xludf.DUMMYFUNCTION("""COMPUTED_VALUE"""),"Леонов, Волков Михайло, Рутгерс")</f>
        <v>Леонов, Волков Михайло, Рутгерс</v>
      </c>
      <c r="J953" s="6" t="str">
        <f>IFERROR(__xludf.DUMMYFUNCTION("""COMPUTED_VALUE"""),"Гришковец, Сухацкий. Больше, к сожалению, никто в голову не приходит 🤷‍♀️")</f>
        <v>Гришковец, Сухацкий. Больше, к сожалению, никто в голову не приходит 🤷‍♀️</v>
      </c>
      <c r="K953" s="6" t="str">
        <f>IFERROR(__xludf.DUMMYFUNCTION("""COMPUTED_VALUE"""),"Елыкаевская слобода, Набережная, Сосновый бор, Старая пристань под горелой горой, Музей Красная горка, прогулка по Лесной поляне, летом ""Клумба"" и кинотеатр под открытым небом в Кузбасскино, пожалуй все 🤔")</f>
        <v>Елыкаевская слобода, Набережная, Сосновый бор, Старая пристань под горелой горой, Музей Красная горка, прогулка по Лесной поляне, летом "Клумба" и кинотеатр под открытым небом в Кузбасскино, пожалуй все 🤔</v>
      </c>
      <c r="L953" s="6" t="str">
        <f>IFERROR(__xludf.DUMMYFUNCTION("""COMPUTED_VALUE"""),"Мал золотник, да дорог")</f>
        <v>Мал золотник, да дорог</v>
      </c>
      <c r="M953" s="6" t="str">
        <f>IFERROR(__xludf.DUMMYFUNCTION("""COMPUTED_VALUE"""),"Не знаю")</f>
        <v>Не знаю</v>
      </c>
      <c r="N953" s="6" t="str">
        <f>IFERROR(__xludf.DUMMYFUNCTION("""COMPUTED_VALUE"""),"1.Чистота (городских улиц, и особенно воздуха в нем)
2. Развитая инфраструктура( культурные развлечения, кружки, интересные мероприятия)
3. Приятная архитектура и отсутствие безвкусных баннеров и вывесок (единый дизайн-код в оформлении улиц!)
4. Доступнос"&amp;"ть транспорта, хорошие дороги
5. Возможность получить в городе хорошее образование, доступность хорошей мидицины и наличие мест  для работы
")</f>
        <v>1.Чистота (городских улиц, и особенно воздуха в нем)
2. Развитая инфраструктура( культурные развлечения, кружки, интересные мероприятия)
3. Приятная архитектура и отсутствие безвкусных баннеров и вывесок (единый дизайн-код в оформлении улиц!)
4. Доступность транспорта, хорошие дороги
5. Возможность получить в городе хорошее образование, доступность хорошей мидицины и наличие мест  для работы
</v>
      </c>
      <c r="O953" s="6" t="str">
        <f>IFERROR(__xludf.DUMMYFUNCTION("""COMPUTED_VALUE"""),"Руководство")</f>
        <v>Руководство</v>
      </c>
      <c r="P953" s="6" t="str">
        <f>IFERROR(__xludf.DUMMYFUNCTION("""COMPUTED_VALUE"""),"Инстаграм")</f>
        <v>Инстаграм</v>
      </c>
      <c r="Q953"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953" s="6" t="str">
        <f>IFERROR(__xludf.DUMMYFUNCTION("""COMPUTED_VALUE"""),"Здесь все праздники похожи как один- празднуются как всегда уныло, однообразно и неинтересно, все без толку ходят толпой по городу, на площади поет и танцует кто-то, в жукова неинтересные площадки с какими-то активностями, продают пиво и шашлык, нуу и все"&amp;" 😕😆 Празднуй, народ😆")</f>
        <v>Здесь все праздники похожи как один- празднуются как всегда уныло, однообразно и неинтересно, все без толку ходят толпой по городу, на площади поет и танцует кто-то, в жукова неинтересные площадки с какими-то активностями, продают пиво и шашлык, нуу и все 😕😆 Празднуй, народ😆</v>
      </c>
      <c r="S953" s="6" t="str">
        <f>IFERROR(__xludf.DUMMYFUNCTION("""COMPUTED_VALUE"""),"Нет, не приходилось, Организовывать нет, участвовать да")</f>
        <v>Нет, не приходилось, Организовывать нет, участвовать да</v>
      </c>
      <c r="T953" s="6" t="str">
        <f>IFERROR(__xludf.DUMMYFUNCTION("""COMPUTED_VALUE"""),"Историей АИК ""Кузбасс"", например. В целом, хочется, чтобы город славился творческими и трудовыми успехами, интересными местами, но пока знамениты только грязным воздухом, разгильдяйством и зимней вишней 🤷‍♀️🤦‍♀️")</f>
        <v>Историей АИК "Кузбасс", например. В целом, хочется, чтобы город славился творческими и трудовыми успехами, интересными местами, но пока знамениты только грязным воздухом, разгильдяйством и зимней вишней 🤷‍♀️🤦‍♀️</v>
      </c>
      <c r="U953" s="6" t="str">
        <f>IFERROR(__xludf.DUMMYFUNCTION("""COMPUTED_VALUE"""),"Площадь Советов, Весенняя")</f>
        <v>Площадь Советов, Весенняя</v>
      </c>
      <c r="V953" s="6" t="str">
        <f>IFERROR(__xludf.DUMMYFUNCTION("""COMPUTED_VALUE"""),"Строили город, чтили и не забывали городскую историю")</f>
        <v>Строили город, чтили и не забывали городскую историю</v>
      </c>
      <c r="W953" s="6" t="str">
        <f>IFERROR(__xludf.DUMMYFUNCTION("""COMPUTED_VALUE"""),"Живучие, потому что дышать таким воздухом и жить здесь это надо суметь 🤣")</f>
        <v>Живучие, потому что дышать таким воздухом и жить здесь это надо суметь 🤣</v>
      </c>
      <c r="X953" s="6" t="str">
        <f>IFERROR(__xludf.DUMMYFUNCTION("""COMPUTED_VALUE"""),"Весенняя-Набережная-Красная горка-Сосновый бор, потом желательно уехать за город)")</f>
        <v>Весенняя-Набережная-Красная горка-Сосновый бор, потом желательно уехать за город)</v>
      </c>
      <c r="Y953" s="6" t="str">
        <f>IFERROR(__xludf.DUMMYFUNCTION("""COMPUTED_VALUE"""),"Чемпионат мира по хоккею с мячом в 2007 это культурное, историческое-пожар с Зимней вишне")</f>
        <v>Чемпионат мира по хоккею с мячом в 2007 это культурное, историческое-пожар с Зимней вишне</v>
      </c>
      <c r="Z953" s="6" t="str">
        <f>IFERROR(__xludf.DUMMYFUNCTION("""COMPUTED_VALUE"""),"Концерт ""Герои мирового Рока"" вроде бы, не фанат, но событие было масштабное)")</f>
        <v>Концерт "Герои мирового Рока" вроде бы, не фанат, но событие было масштабное)</v>
      </c>
      <c r="AA953" s="6" t="str">
        <f>IFERROR(__xludf.DUMMYFUNCTION("""COMPUTED_VALUE"""),"Пожар в 2018, разгон митинга в 2021")</f>
        <v>Пожар в 2018, разгон митинга в 2021</v>
      </c>
      <c r="AB953" s="6" t="str">
        <f>IFERROR(__xludf.DUMMYFUNCTION("""COMPUTED_VALUE"""),"Сообществ полно, дел полезных не хватает от них")</f>
        <v>Сообществ полно, дел полезных не хватает от них</v>
      </c>
      <c r="AC953" s="6" t="str">
        <f>IFERROR(__xludf.DUMMYFUNCTION("""COMPUTED_VALUE"""),"Привлечение творческих людей в город, Концерты, открытые арт площадки, создание какого-нибудь интересного традиционного местного фестиваля с местным колоритом ")</f>
        <v>Привлечение творческих людей в город, Концерты, открытые арт площадки, создание какого-нибудь интересного традиционного местного фестиваля с местным колоритом </v>
      </c>
      <c r="AD95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53" s="6" t="str">
        <f>IFERROR(__xludf.DUMMYFUNCTION("""COMPUTED_VALUE"""),"Женский")</f>
        <v>Женский</v>
      </c>
      <c r="AF953" s="6" t="str">
        <f>IFERROR(__xludf.DUMMYFUNCTION("""COMPUTED_VALUE"""),"18-29")</f>
        <v>18-29</v>
      </c>
      <c r="AG953" s="6"/>
      <c r="AH953" s="6"/>
      <c r="AI953" s="6"/>
      <c r="AJ953" s="6"/>
      <c r="AK953" s="6"/>
      <c r="AL953" s="6"/>
      <c r="AM953" s="6"/>
    </row>
    <row r="954">
      <c r="A954" s="6">
        <v>953.0</v>
      </c>
      <c r="B954" s="6" t="str">
        <f>IFERROR(__xludf.DUMMYFUNCTION("""COMPUTED_VALUE"""),"Руководитель отдела")</f>
        <v>Руководитель отдела</v>
      </c>
      <c r="C954" s="6" t="str">
        <f>IFERROR(__xludf.DUMMYFUNCTION("""COMPUTED_VALUE"""),"Футбол , сноуборд, путешествие")</f>
        <v>Футбол , сноуборд, путешествие</v>
      </c>
      <c r="D954" s="6" t="str">
        <f>IFERROR(__xludf.DUMMYFUNCTION("""COMPUTED_VALUE"""),"Заводский, ФПК")</f>
        <v>Заводский, ФПК</v>
      </c>
      <c r="E954" s="6" t="str">
        <f>IFERROR(__xludf.DUMMYFUNCTION("""COMPUTED_VALUE"""),"Как таковых нет. ")</f>
        <v>Как таковых нет. </v>
      </c>
      <c r="F954" s="6" t="str">
        <f>IFERROR(__xludf.DUMMYFUNCTION("""COMPUTED_VALUE"""),"Живу здесь с рождения")</f>
        <v>Живу здесь с рождения</v>
      </c>
      <c r="G954" s="6" t="str">
        <f>IFERROR(__xludf.DUMMYFUNCTION("""COMPUTED_VALUE"""),"Центр, бульвар строителей ")</f>
        <v>Центр, бульвар строителей </v>
      </c>
      <c r="H954" s="6" t="str">
        <f>IFERROR(__xludf.DUMMYFUNCTION("""COMPUTED_VALUE"""),"Столица Кузбасс")</f>
        <v>Столица Кузбасс</v>
      </c>
      <c r="I954" s="6" t="str">
        <f>IFERROR(__xludf.DUMMYFUNCTION("""COMPUTED_VALUE"""),"Леонов, Волков, Тулеев, Раздаев")</f>
        <v>Леонов, Волков, Тулеев, Раздаев</v>
      </c>
      <c r="J954" s="6" t="str">
        <f>IFERROR(__xludf.DUMMYFUNCTION("""COMPUTED_VALUE"""),"Гришковец, Тулеев")</f>
        <v>Гришковец, Тулеев</v>
      </c>
      <c r="K954" s="6" t="str">
        <f>IFERROR(__xludf.DUMMYFUNCTION("""COMPUTED_VALUE"""),"Памятник Шахтерам, Бульвар строителей (Кадетский корпус)")</f>
        <v>Памятник Шахтерам, Бульвар строителей (Кадетский корпус)</v>
      </c>
      <c r="L954" s="6" t="str">
        <f>IFERROR(__xludf.DUMMYFUNCTION("""COMPUTED_VALUE"""),"Здарова ФПК это АКА , Это Кемерово , Столица Кузнецкого бассейна ")</f>
        <v>Здарова ФПК это АКА , Это Кемерово , Столица Кузнецкого бассейна </v>
      </c>
      <c r="M954" s="6" t="str">
        <f>IFERROR(__xludf.DUMMYFUNCTION("""COMPUTED_VALUE"""),"Жара в Кузбассе")</f>
        <v>Жара в Кузбассе</v>
      </c>
      <c r="N954" s="6" t="str">
        <f>IFERROR(__xludf.DUMMYFUNCTION("""COMPUTED_VALUE"""),"Парки, скверы, больше трамваев троллейбусов, качественный Торговый центр")</f>
        <v>Парки, скверы, больше трамваев троллейбусов, качественный Торговый центр</v>
      </c>
      <c r="O954" s="6" t="str">
        <f>IFERROR(__xludf.DUMMYFUNCTION("""COMPUTED_VALUE"""),"Экологию")</f>
        <v>Экологию</v>
      </c>
      <c r="P954" s="6" t="str">
        <f>IFERROR(__xludf.DUMMYFUNCTION("""COMPUTED_VALUE"""),"Инстаграм, яндекс новости Кемерово, ")</f>
        <v>Инстаграм, яндекс новости Кемерово, </v>
      </c>
      <c r="Q95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954" s="6" t="str">
        <f>IFERROR(__xludf.DUMMYFUNCTION("""COMPUTED_VALUE"""),"День Шахтера")</f>
        <v>День Шахтера</v>
      </c>
      <c r="S954" s="6" t="str">
        <f>IFERROR(__xludf.DUMMYFUNCTION("""COMPUTED_VALUE"""),"Нет, не приходилось")</f>
        <v>Нет, не приходилось</v>
      </c>
      <c r="T954" s="6" t="str">
        <f>IFERROR(__xludf.DUMMYFUNCTION("""COMPUTED_VALUE"""),"Кембридж (КВН), Гришковец, Леонов, Тулеев. В его области находится Шерегеш")</f>
        <v>Кембридж (КВН), Гришковец, Леонов, Тулеев. В его области находится Шерегеш</v>
      </c>
      <c r="U954" s="6" t="str">
        <f>IFERROR(__xludf.DUMMYFUNCTION("""COMPUTED_VALUE"""),"Весенняя/Советский")</f>
        <v>Весенняя/Советский</v>
      </c>
      <c r="V954" s="6" t="str">
        <f>IFERROR(__xludf.DUMMYFUNCTION("""COMPUTED_VALUE"""),"Забастовка Шахтеров, Работа Тулеева")</f>
        <v>Забастовка Шахтеров, Работа Тулеева</v>
      </c>
      <c r="W954" s="6" t="str">
        <f>IFERROR(__xludf.DUMMYFUNCTION("""COMPUTED_VALUE"""),"Строгие, с Юмором люди")</f>
        <v>Строгие, с Юмором люди</v>
      </c>
      <c r="X954" s="6" t="str">
        <f>IFERROR(__xludf.DUMMYFUNCTION("""COMPUTED_VALUE"""),"От загса (октябрьский) через филармонию в строну набережной")</f>
        <v>От загса (октябрьский) через филармонию в строну набережной</v>
      </c>
      <c r="Y954" s="6" t="str">
        <f>IFERROR(__xludf.DUMMYFUNCTION("""COMPUTED_VALUE"""),"Чемпионат Мира по хоккею с мячом ")</f>
        <v>Чемпионат Мира по хоккею с мячом </v>
      </c>
      <c r="Z954" s="6" t="str">
        <f>IFERROR(__xludf.DUMMYFUNCTION("""COMPUTED_VALUE"""),"нет такого")</f>
        <v>нет такого</v>
      </c>
      <c r="AA954" s="6" t="str">
        <f>IFERROR(__xludf.DUMMYFUNCTION("""COMPUTED_VALUE"""),"Зимняя Вишня, Отставка Тулеева")</f>
        <v>Зимняя Вишня, Отставка Тулеева</v>
      </c>
      <c r="AB954" s="6" t="str">
        <f>IFERROR(__xludf.DUMMYFUNCTION("""COMPUTED_VALUE"""),"не могу ответить")</f>
        <v>не могу ответить</v>
      </c>
      <c r="AC954" s="6" t="str">
        <f>IFERROR(__xludf.DUMMYFUNCTION("""COMPUTED_VALUE"""),"Фестивали крупные ")</f>
        <v>Фестивали крупные </v>
      </c>
      <c r="AD954"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954" s="6" t="str">
        <f>IFERROR(__xludf.DUMMYFUNCTION("""COMPUTED_VALUE"""),"Мужской")</f>
        <v>Мужской</v>
      </c>
      <c r="AF954" s="6" t="str">
        <f>IFERROR(__xludf.DUMMYFUNCTION("""COMPUTED_VALUE"""),"18-29")</f>
        <v>18-29</v>
      </c>
      <c r="AG954" s="6"/>
      <c r="AH954" s="6"/>
      <c r="AI954" s="6"/>
      <c r="AJ954" s="6"/>
      <c r="AK954" s="6"/>
      <c r="AL954" s="6"/>
      <c r="AM954" s="6"/>
    </row>
    <row r="955">
      <c r="A955" s="6">
        <v>954.0</v>
      </c>
      <c r="B955" s="6" t="str">
        <f>IFERROR(__xludf.DUMMYFUNCTION("""COMPUTED_VALUE"""),"Искусствовед")</f>
        <v>Искусствовед</v>
      </c>
      <c r="C955" s="6" t="str">
        <f>IFERROR(__xludf.DUMMYFUNCTION("""COMPUTED_VALUE"""),"Велосипед, сноуборд, рукоделие")</f>
        <v>Велосипед, сноуборд, рукоделие</v>
      </c>
      <c r="D955" s="6" t="str">
        <f>IFERROR(__xludf.DUMMYFUNCTION("""COMPUTED_VALUE"""),"Окраина центрального района")</f>
        <v>Окраина центрального района</v>
      </c>
      <c r="E955" s="6" t="str">
        <f>IFERROR(__xludf.DUMMYFUNCTION("""COMPUTED_VALUE"""),"Парк Веры Волошиной")</f>
        <v>Парк Веры Волошиной</v>
      </c>
      <c r="F955" s="6" t="str">
        <f>IFERROR(__xludf.DUMMYFUNCTION("""COMPUTED_VALUE"""),"Переехал сюда из другого места (откуда? укажите в графе другое), Из Анжеро-Судженска")</f>
        <v>Переехал сюда из другого места (откуда? укажите в графе другое), Из Анжеро-Судженска</v>
      </c>
      <c r="G955" s="6" t="str">
        <f>IFERROR(__xludf.DUMMYFUNCTION("""COMPUTED_VALUE"""),"Театры, музей изо, КЦИ, краеведческий, бор, парк Волошиной, набережная")</f>
        <v>Театры, музей изо, КЦИ, краеведческий, бор, парк Волошиной, набережная</v>
      </c>
      <c r="H955" s="6" t="str">
        <f>IFERROR(__xludf.DUMMYFUNCTION("""COMPUTED_VALUE"""),"Оранжевые светофоры, бор, красная горка, дым и пар из труб заводов и ГРЭС, шахтёр")</f>
        <v>Оранжевые светофоры, бор, красная горка, дым и пар из труб заводов и ГРЭС, шахтёр</v>
      </c>
      <c r="I955" s="6" t="str">
        <f>IFERROR(__xludf.DUMMYFUNCTION("""COMPUTED_VALUE"""),"Волков, Волошина, Гришковец, Мартынов")</f>
        <v>Волков, Волошина, Гришковец, Мартынов</v>
      </c>
      <c r="J955" s="6" t="str">
        <f>IFERROR(__xludf.DUMMYFUNCTION("""COMPUTED_VALUE"""),"Митрофанова Елена, Ольга Васильева")</f>
        <v>Митрофанова Елена, Ольга Васильева</v>
      </c>
      <c r="K955" s="6" t="str">
        <f>IFERROR(__xludf.DUMMYFUNCTION("""COMPUTED_VALUE"""),"Красная горка, бор, колесо обозрения")</f>
        <v>Красная горка, бор, колесо обозрения</v>
      </c>
      <c r="L955" s="6" t="str">
        <f>IFERROR(__xludf.DUMMYFUNCTION("""COMPUTED_VALUE"""),"Не помню")</f>
        <v>Не помню</v>
      </c>
      <c r="M955" s="6" t="str">
        <f>IFERROR(__xludf.DUMMYFUNCTION("""COMPUTED_VALUE"""),"Нет")</f>
        <v>Нет</v>
      </c>
      <c r="N955" s="6" t="str">
        <f>IFERROR(__xludf.DUMMYFUNCTION("""COMPUTED_VALUE"""),"Комфортный и регулярный общественный транспорт, удобные пешеходные и велосипедные зоны, чистые парки и зоны отдыха, воздух, которым можно дышать")</f>
        <v>Комфортный и регулярный общественный транспорт, удобные пешеходные и велосипедные зоны, чистые парки и зоны отдыха, воздух, которым можно дышать</v>
      </c>
      <c r="O955" s="6" t="str">
        <f>IFERROR(__xludf.DUMMYFUNCTION("""COMPUTED_VALUE"""),"Воздух")</f>
        <v>Воздух</v>
      </c>
      <c r="P955" s="6" t="str">
        <f>IFERROR(__xludf.DUMMYFUNCTION("""COMPUTED_VALUE"""),"А42")</f>
        <v>А42</v>
      </c>
      <c r="Q955" s="6" t="str">
        <f>IFERROR(__xludf.DUMMYFUNCTION("""COMPUTED_VALUE"""),"городская афиша (кино/театр/концерты),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"&amp;"предложения)")</f>
        <v>городская афиша (кино/театр/концерты),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955" s="6" t="str">
        <f>IFERROR(__xludf.DUMMYFUNCTION("""COMPUTED_VALUE"""),"Нет таких")</f>
        <v>Нет таких</v>
      </c>
      <c r="S955" s="6" t="str">
        <f>IFERROR(__xludf.DUMMYFUNCTION("""COMPUTED_VALUE"""),"Через социальные сети (Какие? Укажите в графе другое)")</f>
        <v>Через социальные сети (Какие? Укажите в графе другое)</v>
      </c>
      <c r="T955" s="6" t="str">
        <f>IFERROR(__xludf.DUMMYFUNCTION("""COMPUTED_VALUE"""),"Бор")</f>
        <v>Бор</v>
      </c>
      <c r="U955" s="6" t="str">
        <f>IFERROR(__xludf.DUMMYFUNCTION("""COMPUTED_VALUE"""),"Красная горка")</f>
        <v>Красная горка</v>
      </c>
      <c r="V955" s="6" t="str">
        <f>IFERROR(__xludf.DUMMYFUNCTION("""COMPUTED_VALUE"""),"Сохранили бор")</f>
        <v>Сохранили бор</v>
      </c>
      <c r="W955" s="6" t="str">
        <f>IFERROR(__xludf.DUMMYFUNCTION("""COMPUTED_VALUE"""),"Апатия, осторожность, пессимизм")</f>
        <v>Апатия, осторожность, пессимизм</v>
      </c>
      <c r="X955" s="6" t="str">
        <f>IFERROR(__xludf.DUMMYFUNCTION("""COMPUTED_VALUE"""),"Набережная, красная горка, старая пристань")</f>
        <v>Набережная, красная горка, старая пристань</v>
      </c>
      <c r="Y955" s="6" t="str">
        <f>IFERROR(__xludf.DUMMYFUNCTION("""COMPUTED_VALUE"""),"Не могу ответить")</f>
        <v>Не могу ответить</v>
      </c>
      <c r="Z955" s="6" t="str">
        <f>IFERROR(__xludf.DUMMYFUNCTION("""COMPUTED_VALUE"""),"Не могу ответить")</f>
        <v>Не могу ответить</v>
      </c>
      <c r="AA955" s="6" t="str">
        <f>IFERROR(__xludf.DUMMYFUNCTION("""COMPUTED_VALUE"""),"Зимняя вишня")</f>
        <v>Зимняя вишня</v>
      </c>
      <c r="AB955" s="6" t="str">
        <f>IFERROR(__xludf.DUMMYFUNCTION("""COMPUTED_VALUE"""),"Творческих")</f>
        <v>Творческих</v>
      </c>
      <c r="AC955" s="6" t="str">
        <f>IFERROR(__xludf.DUMMYFUNCTION("""COMPUTED_VALUE"""),"Не могу найти ответ")</f>
        <v>Не могу найти ответ</v>
      </c>
      <c r="AD955"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55" s="6" t="str">
        <f>IFERROR(__xludf.DUMMYFUNCTION("""COMPUTED_VALUE"""),"Женский")</f>
        <v>Женский</v>
      </c>
      <c r="AF955" s="6" t="str">
        <f>IFERROR(__xludf.DUMMYFUNCTION("""COMPUTED_VALUE"""),"30-44")</f>
        <v>30-44</v>
      </c>
      <c r="AG955" s="6"/>
      <c r="AH955" s="6"/>
      <c r="AI955" s="6"/>
      <c r="AJ955" s="6"/>
      <c r="AK955" s="6"/>
      <c r="AL955" s="6"/>
      <c r="AM955" s="6"/>
    </row>
    <row r="956">
      <c r="A956" s="6">
        <v>955.0</v>
      </c>
      <c r="B956" s="6" t="str">
        <f>IFERROR(__xludf.DUMMYFUNCTION("""COMPUTED_VALUE"""),"Работаю")</f>
        <v>Работаю</v>
      </c>
      <c r="C956" s="6" t="str">
        <f>IFERROR(__xludf.DUMMYFUNCTION("""COMPUTED_VALUE"""),"Люблю проводить время с семьей и готовить")</f>
        <v>Люблю проводить время с семьей и готовить</v>
      </c>
      <c r="D956" s="6" t="str">
        <f>IFERROR(__xludf.DUMMYFUNCTION("""COMPUTED_VALUE"""),"Заводский (Южный)")</f>
        <v>Заводский (Южный)</v>
      </c>
      <c r="E956" s="6" t="str">
        <f>IFERROR(__xludf.DUMMYFUNCTION("""COMPUTED_VALUE"""),"Набережная, Красная горка")</f>
        <v>Набережная, Красная горка</v>
      </c>
      <c r="F956" s="6" t="str">
        <f>IFERROR(__xludf.DUMMYFUNCTION("""COMPUTED_VALUE"""),"Переехал сюда из другого места (откуда? укажите в графе другое), переехали с родителями в 1998г из Прокопьевска")</f>
        <v>Переехал сюда из другого места (откуда? укажите в графе другое), переехали с родителями в 1998г из Прокопьевска</v>
      </c>
      <c r="G956" s="6" t="str">
        <f>IFERROR(__xludf.DUMMYFUNCTION("""COMPUTED_VALUE"""),"Бульвар строителей, Набережная")</f>
        <v>Бульвар строителей, Набережная</v>
      </c>
      <c r="H956" s="6" t="str">
        <f>IFERROR(__xludf.DUMMYFUNCTION("""COMPUTED_VALUE"""),"уютный, расстраивающийся, растущий, зеленый, прогрессивный")</f>
        <v>уютный, расстраивающийся, растущий, зеленый, прогрессивный</v>
      </c>
      <c r="I956" s="6" t="str">
        <f>IFERROR(__xludf.DUMMYFUNCTION("""COMPUTED_VALUE"""),"Гришковец, Тулеев")</f>
        <v>Гришковец, Тулеев</v>
      </c>
      <c r="J956" s="6" t="str">
        <f>IFERROR(__xludf.DUMMYFUNCTION("""COMPUTED_VALUE"""),"не могу ответить")</f>
        <v>не могу ответить</v>
      </c>
      <c r="K956" s="6" t="str">
        <f>IFERROR(__xludf.DUMMYFUNCTION("""COMPUTED_VALUE"""),"красная горка, томская писанница")</f>
        <v>красная горка, томская писанница</v>
      </c>
      <c r="L956" s="6" t="str">
        <f>IFERROR(__xludf.DUMMYFUNCTION("""COMPUTED_VALUE"""),"-")</f>
        <v>-</v>
      </c>
      <c r="M956" s="6" t="str">
        <f>IFERROR(__xludf.DUMMYFUNCTION("""COMPUTED_VALUE"""),"мультифора")</f>
        <v>мультифора</v>
      </c>
      <c r="N956" s="6" t="str">
        <f>IFERROR(__xludf.DUMMYFUNCTION("""COMPUTED_VALUE"""),"когда всё рядом - магазины, больницы, школы, сады, когда транспорт ездит периодически, есть где погулять с детьми и подросткам, взрослым и пенсионерам")</f>
        <v>когда всё рядом - магазины, больницы, школы, сады, когда транспорт ездит периодически, есть где погулять с детьми и подросткам, взрослым и пенсионерам</v>
      </c>
      <c r="O956" s="6" t="str">
        <f>IFERROR(__xludf.DUMMYFUNCTION("""COMPUTED_VALUE"""),"транспорт городской")</f>
        <v>транспорт городской</v>
      </c>
      <c r="P956" s="6" t="str">
        <f>IFERROR(__xludf.DUMMYFUNCTION("""COMPUTED_VALUE"""),"инстаграм ")</f>
        <v>инстаграм </v>
      </c>
      <c r="Q95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956" s="6" t="str">
        <f>IFERROR(__xludf.DUMMYFUNCTION("""COMPUTED_VALUE"""),"День города, Новый Год")</f>
        <v>День города, Новый Год</v>
      </c>
      <c r="S956" s="6" t="str">
        <f>IFERROR(__xludf.DUMMYFUNCTION("""COMPUTED_VALUE"""),"Нет, не приходилось")</f>
        <v>Нет, не приходилось</v>
      </c>
      <c r="T956" s="6" t="str">
        <f>IFERROR(__xludf.DUMMYFUNCTION("""COMPUTED_VALUE"""),"Знаменит углем и нашим бывшем губернатором - Тулеевым Аманом.")</f>
        <v>Знаменит углем и нашим бывшем губернатором - Тулеевым Аманом.</v>
      </c>
      <c r="U956" s="6" t="str">
        <f>IFERROR(__xludf.DUMMYFUNCTION("""COMPUTED_VALUE"""),"Филармония и часовня")</f>
        <v>Филармония и часовня</v>
      </c>
      <c r="V956" s="6" t="str">
        <f>IFERROR(__xludf.DUMMYFUNCTION("""COMPUTED_VALUE"""),"-")</f>
        <v>-</v>
      </c>
      <c r="W956" s="6" t="str">
        <f>IFERROR(__xludf.DUMMYFUNCTION("""COMPUTED_VALUE"""),"Порой закрытые и суровые - спасибо климату")</f>
        <v>Порой закрытые и суровые - спасибо климату</v>
      </c>
      <c r="X956" s="6" t="str">
        <f>IFERROR(__xludf.DUMMYFUNCTION("""COMPUTED_VALUE"""),"проехаться по загородным ранчо и достопримечательностям, центровым местам")</f>
        <v>проехаться по загородным ранчо и достопримечательностям, центровым местам</v>
      </c>
      <c r="Y956" s="6" t="str">
        <f>IFERROR(__xludf.DUMMYFUNCTION("""COMPUTED_VALUE"""),"-")</f>
        <v>-</v>
      </c>
      <c r="Z956" s="6" t="str">
        <f>IFERROR(__xludf.DUMMYFUNCTION("""COMPUTED_VALUE"""),"-")</f>
        <v>-</v>
      </c>
      <c r="AA956" s="6" t="str">
        <f>IFERROR(__xludf.DUMMYFUNCTION("""COMPUTED_VALUE"""),"едка за 18млн)))")</f>
        <v>едка за 18млн)))</v>
      </c>
      <c r="AB956" s="6" t="str">
        <f>IFERROR(__xludf.DUMMYFUNCTION("""COMPUTED_VALUE"""),"-")</f>
        <v>-</v>
      </c>
      <c r="AC956" s="6" t="str">
        <f>IFERROR(__xludf.DUMMYFUNCTION("""COMPUTED_VALUE"""),"-")</f>
        <v>-</v>
      </c>
      <c r="AD95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956" s="6" t="str">
        <f>IFERROR(__xludf.DUMMYFUNCTION("""COMPUTED_VALUE"""),"Женский")</f>
        <v>Женский</v>
      </c>
      <c r="AF956" s="6" t="str">
        <f>IFERROR(__xludf.DUMMYFUNCTION("""COMPUTED_VALUE"""),"30-44")</f>
        <v>30-44</v>
      </c>
      <c r="AG956" s="6"/>
      <c r="AH956" s="6"/>
      <c r="AI956" s="6"/>
      <c r="AJ956" s="6"/>
      <c r="AK956" s="6"/>
      <c r="AL956" s="6"/>
      <c r="AM956" s="6"/>
    </row>
    <row r="957">
      <c r="A957" s="6">
        <v>956.0</v>
      </c>
      <c r="B957" s="6" t="str">
        <f>IFERROR(__xludf.DUMMYFUNCTION("""COMPUTED_VALUE"""),"Менеджер отдела")</f>
        <v>Менеджер отдела</v>
      </c>
      <c r="C957" s="6" t="str">
        <f>IFERROR(__xludf.DUMMYFUNCTION("""COMPUTED_VALUE"""),"Нет")</f>
        <v>Нет</v>
      </c>
      <c r="D957" s="6" t="str">
        <f>IFERROR(__xludf.DUMMYFUNCTION("""COMPUTED_VALUE"""),"Ленинский ")</f>
        <v>Ленинский </v>
      </c>
      <c r="E957" s="6" t="str">
        <f>IFERROR(__xludf.DUMMYFUNCTION("""COMPUTED_VALUE"""),"Тулеивский парк. Бульвар строителей. ")</f>
        <v>Тулеивский парк. Бульвар строителей. </v>
      </c>
      <c r="F957" s="6" t="str">
        <f>IFERROR(__xludf.DUMMYFUNCTION("""COMPUTED_VALUE"""),"Живу здесь с рождения")</f>
        <v>Живу здесь с рождения</v>
      </c>
      <c r="G957" s="6" t="str">
        <f>IFERROR(__xludf.DUMMYFUNCTION("""COMPUTED_VALUE"""),"Парк металлплощадка. Антошка")</f>
        <v>Парк металлплощадка. Антошка</v>
      </c>
      <c r="H957" s="6" t="str">
        <f>IFERROR(__xludf.DUMMYFUNCTION("""COMPUTED_VALUE"""),"Дорогостоящий. Разбитый. Маленький. Тихий. Малоперспективный. Загрязнённый. ")</f>
        <v>Дорогостоящий. Разбитый. Маленький. Тихий. Малоперспективный. Загрязнённый. </v>
      </c>
      <c r="I957" s="6" t="str">
        <f>IFERROR(__xludf.DUMMYFUNCTION("""COMPUTED_VALUE"""),"Тулеев. ")</f>
        <v>Тулеев. </v>
      </c>
      <c r="J957" s="6" t="str">
        <f>IFERROR(__xludf.DUMMYFUNCTION("""COMPUTED_VALUE"""),"-")</f>
        <v>-</v>
      </c>
      <c r="K957" s="6" t="str">
        <f>IFERROR(__xludf.DUMMYFUNCTION("""COMPUTED_VALUE"""),"Парк ангелов. Антошка. Набережная. ")</f>
        <v>Парк ангелов. Антошка. Набережная. </v>
      </c>
      <c r="L957" s="6" t="str">
        <f>IFERROR(__xludf.DUMMYFUNCTION("""COMPUTED_VALUE"""),"Не подработаешь - не поешь ")</f>
        <v>Не подработаешь - не поешь </v>
      </c>
      <c r="M957" s="6" t="str">
        <f>IFERROR(__xludf.DUMMYFUNCTION("""COMPUTED_VALUE"""),"-")</f>
        <v>-</v>
      </c>
      <c r="N957" s="6" t="str">
        <f>IFERROR(__xludf.DUMMYFUNCTION("""COMPUTED_VALUE"""),"Ровные хорошие дороги. Чистый воздух. Доступные цены. Достойные зарплаты. Уютные и прибранные улицы. Возможность развития. ")</f>
        <v>Ровные хорошие дороги. Чистый воздух. Доступные цены. Достойные зарплаты. Уютные и прибранные улицы. Возможность развития. </v>
      </c>
      <c r="O957" s="6" t="str">
        <f>IFERROR(__xludf.DUMMYFUNCTION("""COMPUTED_VALUE"""),"Экология. Дороги. Цены на продукты. Уровень зарплаты. ")</f>
        <v>Экология. Дороги. Цены на продукты. Уровень зарплаты. </v>
      </c>
      <c r="P957" s="6" t="str">
        <f>IFERROR(__xludf.DUMMYFUNCTION("""COMPUTED_VALUE"""),"Инстаграмм, ВКонтакте, А42")</f>
        <v>Инстаграмм, ВКонтакте, А42</v>
      </c>
      <c r="Q957" s="6" t="str">
        <f>IFERROR(__xludf.DUMMYFUNCTION("""COMPUTED_VALUE"""),"интервью с местными политиками,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результаты"&amp;" местных исследований (рейтинги/аналитика/тенденции)")</f>
        <v>интервью с местными политиками,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957" s="6" t="str">
        <f>IFERROR(__xludf.DUMMYFUNCTION("""COMPUTED_VALUE"""),"9 мая. День города. ")</f>
        <v>9 мая. День города. </v>
      </c>
      <c r="S957" s="6" t="str">
        <f>IFERROR(__xludf.DUMMYFUNCTION("""COMPUTED_VALUE"""),"Нет, не приходилось")</f>
        <v>Нет, не приходилось</v>
      </c>
      <c r="T957" s="6" t="str">
        <f>IFERROR(__xludf.DUMMYFUNCTION("""COMPUTED_VALUE"""),"Промышленностью и добычей угля. ")</f>
        <v>Промышленностью и добычей угля. </v>
      </c>
      <c r="U957" s="6" t="str">
        <f>IFERROR(__xludf.DUMMYFUNCTION("""COMPUTED_VALUE"""),"Парк ангелов. Памятник победы (костёр победы). Набережная. ")</f>
        <v>Парк ангелов. Памятник победы (костёр победы). Набережная. </v>
      </c>
      <c r="V957" s="6" t="str">
        <f>IFERROR(__xludf.DUMMYFUNCTION("""COMPUTED_VALUE"""),"Архитектура. ")</f>
        <v>Архитектура. </v>
      </c>
      <c r="W957" s="6" t="str">
        <f>IFERROR(__xludf.DUMMYFUNCTION("""COMPUTED_VALUE"""),"Агрессивность. Не гостеприимство. Конфликтность. ")</f>
        <v>Агрессивность. Не гостеприимство. Конфликтность. </v>
      </c>
      <c r="X957" s="6" t="str">
        <f>IFERROR(__xludf.DUMMYFUNCTION("""COMPUTED_VALUE"""),"Парк ангелов, антошка, парк победы, набережная, весенний проспект. ")</f>
        <v>Парк ангелов, антошка, парк победы, набережная, весенний проспект. </v>
      </c>
      <c r="Y957" s="6" t="str">
        <f>IFERROR(__xludf.DUMMYFUNCTION("""COMPUTED_VALUE"""),"Герои мирового рока 2020 год")</f>
        <v>Герои мирового рока 2020 год</v>
      </c>
      <c r="Z957" s="6" t="str">
        <f>IFERROR(__xludf.DUMMYFUNCTION("""COMPUTED_VALUE"""),"Герои мирового рока 2020. ")</f>
        <v>Герои мирового рока 2020. </v>
      </c>
      <c r="AA957" s="6" t="str">
        <f>IFERROR(__xludf.DUMMYFUNCTION("""COMPUTED_VALUE"""),"Рост цен на продукты. Режим чёрного неба. ")</f>
        <v>Рост цен на продукты. Режим чёрного неба. </v>
      </c>
      <c r="AB957" s="6" t="str">
        <f>IFERROR(__xludf.DUMMYFUNCTION("""COMPUTED_VALUE"""),"-")</f>
        <v>-</v>
      </c>
      <c r="AC957" s="6" t="str">
        <f>IFERROR(__xludf.DUMMYFUNCTION("""COMPUTED_VALUE"""),"-")</f>
        <v>-</v>
      </c>
      <c r="AD95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57" s="6" t="str">
        <f>IFERROR(__xludf.DUMMYFUNCTION("""COMPUTED_VALUE"""),"Женский")</f>
        <v>Женский</v>
      </c>
      <c r="AF957" s="6" t="str">
        <f>IFERROR(__xludf.DUMMYFUNCTION("""COMPUTED_VALUE"""),"18-29")</f>
        <v>18-29</v>
      </c>
      <c r="AG957" s="6"/>
      <c r="AH957" s="6"/>
      <c r="AI957" s="6"/>
      <c r="AJ957" s="6"/>
      <c r="AK957" s="6"/>
      <c r="AL957" s="6"/>
      <c r="AM957" s="6"/>
    </row>
    <row r="958">
      <c r="A958" s="6">
        <v>957.0</v>
      </c>
      <c r="B958" s="6" t="str">
        <f>IFERROR(__xludf.DUMMYFUNCTION("""COMPUTED_VALUE"""),"Продажи услуг")</f>
        <v>Продажи услуг</v>
      </c>
      <c r="C958" s="6" t="str">
        <f>IFERROR(__xludf.DUMMYFUNCTION("""COMPUTED_VALUE"""),"вышивка")</f>
        <v>вышивка</v>
      </c>
      <c r="D958" s="6" t="str">
        <f>IFERROR(__xludf.DUMMYFUNCTION("""COMPUTED_VALUE"""),"центральный, район телецентра")</f>
        <v>центральный, район телецентра</v>
      </c>
      <c r="E958" s="6" t="str">
        <f>IFERROR(__xludf.DUMMYFUNCTION("""COMPUTED_VALUE"""),"кадетское училище, дом творчества детей и молодежи, храм, ")</f>
        <v>кадетское училище, дом творчества детей и молодежи, храм, </v>
      </c>
      <c r="F958" s="6" t="str">
        <f>IFERROR(__xludf.DUMMYFUNCTION("""COMPUTED_VALUE"""),"Переехал сюда из другого места (откуда? укажите в графе другое), УрФО")</f>
        <v>Переехал сюда из другого места (откуда? укажите в графе другое), УрФО</v>
      </c>
      <c r="G958" s="6" t="str">
        <f>IFERROR(__xludf.DUMMYFUNCTION("""COMPUTED_VALUE"""),"Музеи, театры, парки, набережная, бульвар, ботанический сад")</f>
        <v>Музеи, театры, парки, набережная, бульвар, ботанический сад</v>
      </c>
      <c r="H958" s="6" t="str">
        <f>IFERROR(__xludf.DUMMYFUNCTION("""COMPUTED_VALUE"""),"Деревья, ели, порядок, добрые люди, Леонов")</f>
        <v>Деревья, ели, порядок, добрые люди, Леонов</v>
      </c>
      <c r="I958" s="6" t="str">
        <f>IFERROR(__xludf.DUMMYFUNCTION("""COMPUTED_VALUE"""),"Леонов, Двужильный, ")</f>
        <v>Леонов, Двужильный, </v>
      </c>
      <c r="J958" s="7" t="str">
        <f>IFERROR(__xludf.DUMMYFUNCTION("""COMPUTED_VALUE"""),"https://kuzbass-300.ru/300people")</f>
        <v>https://kuzbass-300.ru/300people</v>
      </c>
      <c r="K958" s="6" t="str">
        <f>IFERROR(__xludf.DUMMYFUNCTION("""COMPUTED_VALUE"""),"Памятник Шахтеру, Парк Жукова с монументами и воен.техникой, Аллея славы, Красная горка, Краеведческий музей, Музей военной славы, Музыкальный театр им. Боброва, Памятник воину-победителю")</f>
        <v>Памятник Шахтеру, Парк Жукова с монументами и воен.техникой, Аллея славы, Красная горка, Краеведческий музей, Музей военной славы, Музыкальный театр им. Боброва, Памятник воину-победителю</v>
      </c>
      <c r="L958" s="6" t="str">
        <f>IFERROR(__xludf.DUMMYFUNCTION("""COMPUTED_VALUE"""),"Легенда о Кемире ")</f>
        <v>Легенда о Кемире </v>
      </c>
      <c r="M958" s="6" t="str">
        <f>IFERROR(__xludf.DUMMYFUNCTION("""COMPUTED_VALUE"""),"только сокращения городов и малых городов области")</f>
        <v>только сокращения городов и малых городов области</v>
      </c>
      <c r="N958" s="6" t="str">
        <f>IFERROR(__xludf.DUMMYFUNCTION("""COMPUTED_VALUE"""),"развитая инфраструктура, высокий трафик общественного транспорта, благоустройство улиц и помещений, высокий уровень образования, наличие работодателей высокого уровня")</f>
        <v>развитая инфраструктура, высокий трафик общественного транспорта, благоустройство улиц и помещений, высокий уровень образования, наличие работодателей высокого уровня</v>
      </c>
      <c r="O958" s="6" t="str">
        <f>IFERROR(__xludf.DUMMYFUNCTION("""COMPUTED_VALUE"""),"внедрять современные тенденции в сферу образования и бизнеса. новые здания, жилье, организация досуга подростков и молодежи")</f>
        <v>внедрять современные тенденции в сферу образования и бизнеса. новые здания, жилье, организация досуга подростков и молодежи</v>
      </c>
      <c r="P958" s="6" t="str">
        <f>IFERROR(__xludf.DUMMYFUNCTION("""COMPUTED_VALUE"""),"https://t.me/tsivilev_live, друзья, знакомые, коллеги, региональные новости (ТВ), радио")</f>
        <v>https://t.me/tsivilev_live, друзья, знакомые, коллеги, региональные новости (ТВ), радио</v>
      </c>
      <c r="Q95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ново"&amp;"сти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пр"&amp;"едложения)")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958" s="6" t="str">
        <f>IFERROR(__xludf.DUMMYFUNCTION("""COMPUTED_VALUE"""),"день победы,  день шахтера")</f>
        <v>день победы,  день шахтера</v>
      </c>
      <c r="S958" s="6" t="str">
        <f>IFERROR(__xludf.DUMMYFUNCTION("""COMPUTED_VALUE"""),"да, но не в этом городе")</f>
        <v>да, но не в этом городе</v>
      </c>
      <c r="T958" s="6" t="str">
        <f>IFERROR(__xludf.DUMMYFUNCTION("""COMPUTED_VALUE"""),"исторические личности, космонавт, кадетское училище, исторические музеи, художники, природа")</f>
        <v>исторические личности, космонавт, кадетское училище, исторические музеи, художники, природа</v>
      </c>
      <c r="U958" s="6" t="str">
        <f>IFERROR(__xludf.DUMMYFUNCTION("""COMPUTED_VALUE"""),"Набережная, Красная горка, Культурный центр, где сосредоточены театры")</f>
        <v>Набережная, Красная горка, Культурный центр, где сосредоточены театры</v>
      </c>
      <c r="V958" s="6" t="str">
        <f>IFERROR(__xludf.DUMMYFUNCTION("""COMPUTED_VALUE"""),"благоустройство города, сохранение деревьев, поддержание чистоты, поддержка исторической памяти")</f>
        <v>благоустройство города, сохранение деревьев, поддержание чистоты, поддержка исторической памяти</v>
      </c>
      <c r="W958" s="6" t="str">
        <f>IFERROR(__xludf.DUMMYFUNCTION("""COMPUTED_VALUE"""),"добрые, готовые помочь, закрытые внутри, скромные, требовательные, честные")</f>
        <v>добрые, готовые помочь, закрытые внутри, скромные, требовательные, честные</v>
      </c>
      <c r="X958" s="6" t="str">
        <f>IFERROR(__xludf.DUMMYFUNCTION("""COMPUTED_VALUE"""),"Красная горка, Памятник шахтеру, Аллея Славы, Парк им. Жукова, Набережная, Ботанический сад, Лесная поляна")</f>
        <v>Красная горка, Памятник шахтеру, Аллея Славы, Парк им. Жукова, Набережная, Ботанический сад, Лесная поляна</v>
      </c>
      <c r="Y958" s="6" t="str">
        <f>IFERROR(__xludf.DUMMYFUNCTION("""COMPUTED_VALUE"""),"-")</f>
        <v>-</v>
      </c>
      <c r="Z958" s="6" t="str">
        <f>IFERROR(__xludf.DUMMYFUNCTION("""COMPUTED_VALUE"""),"День Победы, День шахтера, ")</f>
        <v>День Победы, День шахтера, </v>
      </c>
      <c r="AA958" s="6" t="str">
        <f>IFERROR(__xludf.DUMMYFUNCTION("""COMPUTED_VALUE"""),"обновить парк отдыха")</f>
        <v>обновить парк отдыха</v>
      </c>
      <c r="AB958" s="6" t="str">
        <f>IFERROR(__xludf.DUMMYFUNCTION("""COMPUTED_VALUE"""),"затр.отв.")</f>
        <v>затр.отв.</v>
      </c>
      <c r="AC958" s="6" t="str">
        <f>IFERROR(__xludf.DUMMYFUNCTION("""COMPUTED_VALUE"""),"мероприятия для подростков и молодежи, открытые площадки (рок-концерты)")</f>
        <v>мероприятия для подростков и молодежи, открытые площадки (рок-концерты)</v>
      </c>
      <c r="AD958"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958" s="6" t="str">
        <f>IFERROR(__xludf.DUMMYFUNCTION("""COMPUTED_VALUE"""),"Женский")</f>
        <v>Женский</v>
      </c>
      <c r="AF958" s="6" t="str">
        <f>IFERROR(__xludf.DUMMYFUNCTION("""COMPUTED_VALUE"""),"30-44")</f>
        <v>30-44</v>
      </c>
      <c r="AG958" s="6"/>
      <c r="AH958" s="6"/>
      <c r="AI958" s="6"/>
      <c r="AJ958" s="6"/>
      <c r="AK958" s="6"/>
      <c r="AL958" s="6"/>
      <c r="AM958" s="6"/>
    </row>
    <row r="959">
      <c r="A959" s="6">
        <v>958.0</v>
      </c>
      <c r="B959" s="6" t="str">
        <f>IFERROR(__xludf.DUMMYFUNCTION("""COMPUTED_VALUE"""),"Работаю в компании «Сибирские блины»")</f>
        <v>Работаю в компании «Сибирские блины»</v>
      </c>
      <c r="C959" s="6" t="str">
        <f>IFERROR(__xludf.DUMMYFUNCTION("""COMPUTED_VALUE"""),"Сад, огород ")</f>
        <v>Сад, огород </v>
      </c>
      <c r="D959" s="6" t="str">
        <f>IFERROR(__xludf.DUMMYFUNCTION("""COMPUTED_VALUE"""),"Ленинский")</f>
        <v>Ленинский</v>
      </c>
      <c r="E959" s="6" t="str">
        <f>IFERROR(__xludf.DUMMYFUNCTION("""COMPUTED_VALUE"""),"Набережная Томи")</f>
        <v>Набережная Томи</v>
      </c>
      <c r="F959" s="6" t="str">
        <f>IFERROR(__xludf.DUMMYFUNCTION("""COMPUTED_VALUE"""),"Живу здесь с рождения")</f>
        <v>Живу здесь с рождения</v>
      </c>
      <c r="G959" s="6" t="str">
        <f>IFERROR(__xludf.DUMMYFUNCTION("""COMPUTED_VALUE"""),"По магазинам ")</f>
        <v>По магазинам </v>
      </c>
      <c r="H959" s="6" t="str">
        <f>IFERROR(__xludf.DUMMYFUNCTION("""COMPUTED_VALUE"""),"Кузбасс, уголь, шахтёр, Азот, Томь")</f>
        <v>Кузбасс, уголь, шахтёр, Азот, Томь</v>
      </c>
      <c r="I959" s="6" t="str">
        <f>IFERROR(__xludf.DUMMYFUNCTION("""COMPUTED_VALUE"""),"Леонов, Подгорбунский")</f>
        <v>Леонов, Подгорбунский</v>
      </c>
      <c r="J959" s="6" t="str">
        <f>IFERROR(__xludf.DUMMYFUNCTION("""COMPUTED_VALUE"""),"Тулеев, Михайлов ")</f>
        <v>Тулеев, Михайлов </v>
      </c>
      <c r="K959" s="6" t="str">
        <f>IFERROR(__xludf.DUMMYFUNCTION("""COMPUTED_VALUE"""),"Сосновый Бор ")</f>
        <v>Сосновый Бор </v>
      </c>
      <c r="L959" s="6" t="str">
        <f>IFERROR(__xludf.DUMMYFUNCTION("""COMPUTED_VALUE"""),"Не знаю ")</f>
        <v>Не знаю </v>
      </c>
      <c r="M959" s="6" t="str">
        <f>IFERROR(__xludf.DUMMYFUNCTION("""COMPUTED_VALUE"""),"Не знаю ")</f>
        <v>Не знаю </v>
      </c>
      <c r="N959" s="6" t="str">
        <f>IFERROR(__xludf.DUMMYFUNCTION("""COMPUTED_VALUE"""),"Качественные дороги, красивые дома, детские и спортивные площадки, оборудованные места отдыха на природе (парки, скверы, набережные), много культурных и спортивных объектов ")</f>
        <v>Качественные дороги, красивые дома, детские и спортивные площадки, оборудованные места отдыха на природе (парки, скверы, набережные), много культурных и спортивных объектов </v>
      </c>
      <c r="O959" s="6" t="str">
        <f>IFERROR(__xludf.DUMMYFUNCTION("""COMPUTED_VALUE"""),"Третий мост через Томь")</f>
        <v>Третий мост через Томь</v>
      </c>
      <c r="P959" s="6" t="str">
        <f>IFERROR(__xludf.DUMMYFUNCTION("""COMPUTED_VALUE"""),"Соцсети, ВГТРК Кузбасс ")</f>
        <v>Соцсети, ВГТРК Кузбасс </v>
      </c>
      <c r="Q959" s="6" t="str">
        <f>IFERROR(__xludf.DUMMYFUNCTION("""COMPUTED_VALUE"""),"куда пойти в свободное время, криминальные новости (происшествия/преступления), Все новости про строящиеся новые объекты ")</f>
        <v>куда пойти в свободное время, криминальные новости (происшествия/преступления), Все новости про строящиеся новые объекты </v>
      </c>
      <c r="R959" s="6" t="str">
        <f>IFERROR(__xludf.DUMMYFUNCTION("""COMPUTED_VALUE"""),"День Города, День Шахтёра")</f>
        <v>День Города, День Шахтёра</v>
      </c>
      <c r="S959" s="6" t="str">
        <f>IFERROR(__xludf.DUMMYFUNCTION("""COMPUTED_VALUE"""),"Через социальные сети (Какие? Укажите в графе другое), Обращался к мэру города по благоустройству ")</f>
        <v>Через социальные сети (Какие? Укажите в графе другое), Обращался к мэру города по благоустройству </v>
      </c>
      <c r="T959" s="6" t="str">
        <f>IFERROR(__xludf.DUMMYFUNCTION("""COMPUTED_VALUE"""),"Люди")</f>
        <v>Люди</v>
      </c>
      <c r="U959" s="6" t="str">
        <f>IFERROR(__xludf.DUMMYFUNCTION("""COMPUTED_VALUE"""),"Набережная Томи")</f>
        <v>Набережная Томи</v>
      </c>
      <c r="V959" s="6" t="str">
        <f>IFERROR(__xludf.DUMMYFUNCTION("""COMPUTED_VALUE"""),"Заводы и шахты")</f>
        <v>Заводы и шахты</v>
      </c>
      <c r="W959" s="6" t="str">
        <f>IFERROR(__xludf.DUMMYFUNCTION("""COMPUTED_VALUE"""),"Добрые")</f>
        <v>Добрые</v>
      </c>
      <c r="X959" s="6" t="str">
        <f>IFERROR(__xludf.DUMMYFUNCTION("""COMPUTED_VALUE"""),"Сосновый бор, красная горка")</f>
        <v>Сосновый бор, красная горка</v>
      </c>
      <c r="Y959" s="6" t="str">
        <f>IFERROR(__xludf.DUMMYFUNCTION("""COMPUTED_VALUE"""),"Не знаю ")</f>
        <v>Не знаю </v>
      </c>
      <c r="Z959" s="6" t="str">
        <f>IFERROR(__xludf.DUMMYFUNCTION("""COMPUTED_VALUE"""),"Строительство на притомском проспекте, новые дороги и развязки ")</f>
        <v>Строительство на притомском проспекте, новые дороги и развязки </v>
      </c>
      <c r="AA959" s="6" t="str">
        <f>IFERROR(__xludf.DUMMYFUNCTION("""COMPUTED_VALUE"""),"Не знаю ")</f>
        <v>Не знаю </v>
      </c>
      <c r="AB959" s="6" t="str">
        <f>IFERROR(__xludf.DUMMYFUNCTION("""COMPUTED_VALUE"""),"Аквапарк нужен ")</f>
        <v>Аквапарк нужен </v>
      </c>
      <c r="AC959" s="6" t="str">
        <f>IFERROR(__xludf.DUMMYFUNCTION("""COMPUTED_VALUE"""),"Чемпионаты мира по различным видам спорта")</f>
        <v>Чемпионаты мира по различным видам спорта</v>
      </c>
      <c r="AD95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59" s="6" t="str">
        <f>IFERROR(__xludf.DUMMYFUNCTION("""COMPUTED_VALUE"""),"Мужской")</f>
        <v>Мужской</v>
      </c>
      <c r="AF959" s="6" t="str">
        <f>IFERROR(__xludf.DUMMYFUNCTION("""COMPUTED_VALUE"""),"45-55")</f>
        <v>45-55</v>
      </c>
      <c r="AG959" s="6"/>
      <c r="AH959" s="6"/>
      <c r="AI959" s="6"/>
      <c r="AJ959" s="6"/>
      <c r="AK959" s="6"/>
      <c r="AL959" s="6"/>
      <c r="AM959" s="6"/>
    </row>
    <row r="960">
      <c r="A960" s="6">
        <v>959.0</v>
      </c>
      <c r="B960" s="6" t="str">
        <f>IFERROR(__xludf.DUMMYFUNCTION("""COMPUTED_VALUE"""),"Продажи")</f>
        <v>Продажи</v>
      </c>
      <c r="C960" s="6" t="str">
        <f>IFERROR(__xludf.DUMMYFUNCTION("""COMPUTED_VALUE"""),"Сноуборд")</f>
        <v>Сноуборд</v>
      </c>
      <c r="D960" s="6" t="str">
        <f>IFERROR(__xludf.DUMMYFUNCTION("""COMPUTED_VALUE"""),"Рудничный. Называю - Радуга")</f>
        <v>Рудничный. Называю - Радуга</v>
      </c>
      <c r="E960" s="6" t="str">
        <f>IFERROR(__xludf.DUMMYFUNCTION("""COMPUTED_VALUE"""),"Офис GoodLine, торговые центры, сосновый бор")</f>
        <v>Офис GoodLine, торговые центры, сосновый бор</v>
      </c>
      <c r="F960" s="6" t="str">
        <f>IFERROR(__xludf.DUMMYFUNCTION("""COMPUTED_VALUE"""),"Живу здесь с рождения")</f>
        <v>Живу здесь с рождения</v>
      </c>
      <c r="G960" s="6" t="str">
        <f>IFERROR(__xludf.DUMMYFUNCTION("""COMPUTED_VALUE"""),"Если речь идет про прогулку, то набережная")</f>
        <v>Если речь идет про прогулку, то набережная</v>
      </c>
      <c r="H960" s="6" t="str">
        <f>IFERROR(__xludf.DUMMYFUNCTION("""COMPUTED_VALUE"""),"Маленький. Уютный. Загазованный (воздух). Чистый (дороги, дворы). ")</f>
        <v>Маленький. Уютный. Загазованный (воздух). Чистый (дороги, дворы). </v>
      </c>
      <c r="I960" s="6" t="str">
        <f>IFERROR(__xludf.DUMMYFUNCTION("""COMPUTED_VALUE"""),"Леонов")</f>
        <v>Леонов</v>
      </c>
      <c r="J960" s="6" t="str">
        <f>IFERROR(__xludf.DUMMYFUNCTION("""COMPUTED_VALUE"""),"не готов сказать")</f>
        <v>не готов сказать</v>
      </c>
      <c r="K960" s="6" t="str">
        <f>IFERROR(__xludf.DUMMYFUNCTION("""COMPUTED_VALUE"""),"Лесная поляна. Парк ангелов. Сосновый бор. ")</f>
        <v>Лесная поляна. Парк ангелов. Сосновый бор. </v>
      </c>
      <c r="L960" s="6" t="str">
        <f>IFERROR(__xludf.DUMMYFUNCTION("""COMPUTED_VALUE"""),"не готов сказать")</f>
        <v>не готов сказать</v>
      </c>
      <c r="M960" s="6" t="str">
        <f>IFERROR(__xludf.DUMMYFUNCTION("""COMPUTED_VALUE"""),"Радуга. МЖК. ФПК. ""На тот берег"". Яшка (ТЦ). ")</f>
        <v>Радуга. МЖК. ФПК. "На тот берег". Яшка (ТЦ). </v>
      </c>
      <c r="N960" s="6" t="str">
        <f>IFERROR(__xludf.DUMMYFUNCTION("""COMPUTED_VALUE"""),"Небольшая площадь (удобство быстро доехать в любую точку города). Наличие аэропорта. Наличие красивых территорий для прогулок. ")</f>
        <v>Небольшая площадь (удобство быстро доехать в любую точку города). Наличие аэропорта. Наличие красивых территорий для прогулок. </v>
      </c>
      <c r="O960" s="6" t="str">
        <f>IFERROR(__xludf.DUMMYFUNCTION("""COMPUTED_VALUE"""),"не готов сказать")</f>
        <v>не готов сказать</v>
      </c>
      <c r="P960" s="6" t="str">
        <f>IFERROR(__xludf.DUMMYFUNCTION("""COMPUTED_VALUE"""),"различные паблики в instagram")</f>
        <v>различные паблики в instagram</v>
      </c>
      <c r="Q960" s="6" t="str">
        <f>IFERROR(__xludf.DUMMYFUNCTION("""COMPUTED_VALUE"""),"интервью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f>
        <v>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v>
      </c>
      <c r="R960" s="6" t="str">
        <f>IFERROR(__xludf.DUMMYFUNCTION("""COMPUTED_VALUE"""),"день шахтера")</f>
        <v>день шахтера</v>
      </c>
      <c r="S960" s="6" t="str">
        <f>IFERROR(__xludf.DUMMYFUNCTION("""COMPUTED_VALUE"""),"Нет, не приходилось")</f>
        <v>Нет, не приходилось</v>
      </c>
      <c r="T960" s="6" t="str">
        <f>IFERROR(__xludf.DUMMYFUNCTION("""COMPUTED_VALUE"""),"Уголь. Тайгой. Тем, что рядом находится Шерегеш.")</f>
        <v>Уголь. Тайгой. Тем, что рядом находится Шерегеш.</v>
      </c>
      <c r="U960" s="6" t="str">
        <f>IFERROR(__xludf.DUMMYFUNCTION("""COMPUTED_VALUE"""),"набережная")</f>
        <v>набережная</v>
      </c>
      <c r="V960" s="6" t="str">
        <f>IFERROR(__xludf.DUMMYFUNCTION("""COMPUTED_VALUE"""),"не готов сказать")</f>
        <v>не готов сказать</v>
      </c>
      <c r="W960" s="6" t="str">
        <f>IFERROR(__xludf.DUMMYFUNCTION("""COMPUTED_VALUE"""),"не готов сказать")</f>
        <v>не готов сказать</v>
      </c>
      <c r="X960" s="6" t="str">
        <f>IFERROR(__xludf.DUMMYFUNCTION("""COMPUTED_VALUE"""),"лесная поляна - парк ангелов - набережная")</f>
        <v>лесная поляна - парк ангелов - набережная</v>
      </c>
      <c r="Y960" s="6" t="str">
        <f>IFERROR(__xludf.DUMMYFUNCTION("""COMPUTED_VALUE"""),"Чемпионат мира по Bandy. ")</f>
        <v>Чемпионат мира по Bandy. </v>
      </c>
      <c r="Z960" s="6" t="str">
        <f>IFERROR(__xludf.DUMMYFUNCTION("""COMPUTED_VALUE"""),"не готов сказать")</f>
        <v>не готов сказать</v>
      </c>
      <c r="AA960" s="6" t="str">
        <f>IFERROR(__xludf.DUMMYFUNCTION("""COMPUTED_VALUE"""),"не готов сказать")</f>
        <v>не готов сказать</v>
      </c>
      <c r="AB960" s="6" t="str">
        <f>IFERROR(__xludf.DUMMYFUNCTION("""COMPUTED_VALUE"""),"не готов сказать")</f>
        <v>не готов сказать</v>
      </c>
      <c r="AC960" s="6" t="str">
        <f>IFERROR(__xludf.DUMMYFUNCTION("""COMPUTED_VALUE"""),"больше международных спортивных мероприятий. Концерты известных исполнителей")</f>
        <v>больше международных спортивных мероприятий. Концерты известных исполнителей</v>
      </c>
      <c r="AD96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60" s="6" t="str">
        <f>IFERROR(__xludf.DUMMYFUNCTION("""COMPUTED_VALUE"""),"Мужской")</f>
        <v>Мужской</v>
      </c>
      <c r="AF960" s="6" t="str">
        <f>IFERROR(__xludf.DUMMYFUNCTION("""COMPUTED_VALUE"""),"18-29")</f>
        <v>18-29</v>
      </c>
      <c r="AG960" s="6"/>
      <c r="AH960" s="6"/>
      <c r="AI960" s="6"/>
      <c r="AJ960" s="6"/>
      <c r="AK960" s="6"/>
      <c r="AL960" s="6"/>
      <c r="AM960" s="6"/>
    </row>
    <row r="961">
      <c r="A961" s="6">
        <v>960.0</v>
      </c>
      <c r="B961" s="6" t="str">
        <f>IFERROR(__xludf.DUMMYFUNCTION("""COMPUTED_VALUE"""),"Обслуживание физ лиц")</f>
        <v>Обслуживание физ лиц</v>
      </c>
      <c r="C961" s="6" t="str">
        <f>IFERROR(__xludf.DUMMYFUNCTION("""COMPUTED_VALUE"""),"Вязание")</f>
        <v>Вязание</v>
      </c>
      <c r="D961" s="6" t="str">
        <f>IFERROR(__xludf.DUMMYFUNCTION("""COMPUTED_VALUE"""),"Рудничный район, Радуга")</f>
        <v>Рудничный район, Радуга</v>
      </c>
      <c r="E961" s="6" t="str">
        <f>IFERROR(__xludf.DUMMYFUNCTION("""COMPUTED_VALUE"""),"Бор, красная горка")</f>
        <v>Бор, красная горка</v>
      </c>
      <c r="F961" s="6" t="str">
        <f>IFERROR(__xludf.DUMMYFUNCTION("""COMPUTED_VALUE"""),"Живу здесь с рождения")</f>
        <v>Живу здесь с рождения</v>
      </c>
      <c r="G961" s="6" t="str">
        <f>IFERROR(__xludf.DUMMYFUNCTION("""COMPUTED_VALUE"""),"Набережная, бульвар строитлей")</f>
        <v>Набережная, бульвар строитлей</v>
      </c>
      <c r="H961" s="6" t="str">
        <f>IFERROR(__xludf.DUMMYFUNCTION("""COMPUTED_VALUE"""),"Спокойствие, чистата, прозрачность, правильность, провинция")</f>
        <v>Спокойствие, чистата, прозрачность, правильность, провинция</v>
      </c>
      <c r="I961" s="6" t="str">
        <f>IFERROR(__xludf.DUMMYFUNCTION("""COMPUTED_VALUE"""),"на ум приходят только Волков и Леонов")</f>
        <v>на ум приходят только Волков и Леонов</v>
      </c>
      <c r="J961" s="6" t="str">
        <f>IFERROR(__xludf.DUMMYFUNCTION("""COMPUTED_VALUE"""),"-")</f>
        <v>-</v>
      </c>
      <c r="K961" s="6" t="str">
        <f>IFERROR(__xludf.DUMMYFUNCTION("""COMPUTED_VALUE"""),"Вид с Люскуса на ночной город")</f>
        <v>Вид с Люскуса на ночной город</v>
      </c>
      <c r="L961" s="6" t="str">
        <f>IFERROR(__xludf.DUMMYFUNCTION("""COMPUTED_VALUE"""),"-")</f>
        <v>-</v>
      </c>
      <c r="M961" s="6" t="str">
        <f>IFERROR(__xludf.DUMMYFUNCTION("""COMPUTED_VALUE"""),"-")</f>
        <v>-</v>
      </c>
      <c r="N961" s="6" t="str">
        <f>IFERROR(__xludf.DUMMYFUNCTION("""COMPUTED_VALUE"""),"Удовлетворение , зелень (деревья, кустарники, газоны, не путать с самодельными клумбами из камней и шин), вид из окна, близость магазинов, аптек, парк рядом с домом")</f>
        <v>Удовлетворение , зелень (деревья, кустарники, газоны, не путать с самодельными клумбами из камней и шин), вид из окна, близость магазинов, аптек, парк рядом с домом</v>
      </c>
      <c r="O961" s="6" t="str">
        <f>IFERROR(__xludf.DUMMYFUNCTION("""COMPUTED_VALUE"""),"решить вопрос с пробками на Радуге , ужасно когда дорога которая обычно занимает 20 минут, тянется 1,5 часа")</f>
        <v>решить вопрос с пробками на Радуге , ужасно когда дорога которая обычно занимает 20 минут, тянется 1,5 часа</v>
      </c>
      <c r="P961" s="6" t="str">
        <f>IFERROR(__xludf.DUMMYFUNCTION("""COMPUTED_VALUE"""),"а42 + местные блогеры")</f>
        <v>а42 + местные блогеры</v>
      </c>
      <c r="Q961"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961" s="6" t="str">
        <f>IFERROR(__xludf.DUMMYFUNCTION("""COMPUTED_VALUE"""),"День победы")</f>
        <v>День победы</v>
      </c>
      <c r="S961" s="6" t="str">
        <f>IFERROR(__xludf.DUMMYFUNCTION("""COMPUTED_VALUE"""),"Нет, не приходилось")</f>
        <v>Нет, не приходилось</v>
      </c>
      <c r="T961" s="6" t="str">
        <f>IFERROR(__xludf.DUMMYFUNCTION("""COMPUTED_VALUE"""),"Поставщик угля, печально знаменит пожаром в Зимней")</f>
        <v>Поставщик угля, печально знаменит пожаром в Зимней</v>
      </c>
      <c r="U961" s="6" t="str">
        <f>IFERROR(__xludf.DUMMYFUNCTION("""COMPUTED_VALUE"""),"видс набережной на трубы завода")</f>
        <v>видс набережной на трубы завода</v>
      </c>
      <c r="V961" s="6" t="str">
        <f>IFERROR(__xludf.DUMMYFUNCTION("""COMPUTED_VALUE"""),"-")</f>
        <v>-</v>
      </c>
      <c r="W961" s="6" t="str">
        <f>IFERROR(__xludf.DUMMYFUNCTION("""COMPUTED_VALUE"""),"всех под одну гребенку не получится")</f>
        <v>всех под одну гребенку не получится</v>
      </c>
      <c r="X961" s="6" t="str">
        <f>IFERROR(__xludf.DUMMYFUNCTION("""COMPUTED_VALUE"""),"центр, площадь советов, фонтан, набережная, гор сад +колесо обозрения")</f>
        <v>центр, площадь советов, фонтан, набережная, гор сад +колесо обозрения</v>
      </c>
      <c r="Y961" s="6" t="str">
        <f>IFERROR(__xludf.DUMMYFUNCTION("""COMPUTED_VALUE"""),"-")</f>
        <v>-</v>
      </c>
      <c r="Z961" s="6" t="str">
        <f>IFERROR(__xludf.DUMMYFUNCTION("""COMPUTED_VALUE"""),"-")</f>
        <v>-</v>
      </c>
      <c r="AA961" s="6" t="str">
        <f>IFERROR(__xludf.DUMMYFUNCTION("""COMPUTED_VALUE"""),"-")</f>
        <v>-</v>
      </c>
      <c r="AB961" s="6" t="str">
        <f>IFERROR(__xludf.DUMMYFUNCTION("""COMPUTED_VALUE"""),"-")</f>
        <v>-</v>
      </c>
      <c r="AC961" s="6" t="str">
        <f>IFERROR(__xludf.DUMMYFUNCTION("""COMPUTED_VALUE"""),"-")</f>
        <v>-</v>
      </c>
      <c r="AD96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961" s="6" t="str">
        <f>IFERROR(__xludf.DUMMYFUNCTION("""COMPUTED_VALUE"""),"Женский")</f>
        <v>Женский</v>
      </c>
      <c r="AF961" s="6" t="str">
        <f>IFERROR(__xludf.DUMMYFUNCTION("""COMPUTED_VALUE"""),"30-44")</f>
        <v>30-44</v>
      </c>
      <c r="AG961" s="6"/>
      <c r="AH961" s="6"/>
      <c r="AI961" s="6"/>
      <c r="AJ961" s="6"/>
      <c r="AK961" s="6"/>
      <c r="AL961" s="6"/>
      <c r="AM961" s="6"/>
    </row>
    <row r="962">
      <c r="A962" s="6">
        <v>961.0</v>
      </c>
      <c r="B962" s="6" t="str">
        <f>IFERROR(__xludf.DUMMYFUNCTION("""COMPUTED_VALUE"""),"Торговля через торговые автоматы (вендинг)")</f>
        <v>Торговля через торговые автоматы (вендинг)</v>
      </c>
      <c r="C962" s="6" t="str">
        <f>IFERROR(__xludf.DUMMYFUNCTION("""COMPUTED_VALUE"""),"Да. Путешествия")</f>
        <v>Да. Путешествия</v>
      </c>
      <c r="D962" s="6" t="str">
        <f>IFERROR(__xludf.DUMMYFUNCTION("""COMPUTED_VALUE"""),"Радуга. Радуга.")</f>
        <v>Радуга. Радуга.</v>
      </c>
      <c r="E962" s="6" t="str">
        <f>IFERROR(__xludf.DUMMYFUNCTION("""COMPUTED_VALUE"""),"Серебряный бор")</f>
        <v>Серебряный бор</v>
      </c>
      <c r="F962" s="6" t="str">
        <f>IFERROR(__xludf.DUMMYFUNCTION("""COMPUTED_VALUE"""),"Живу здесь с рождения")</f>
        <v>Живу здесь с рождения</v>
      </c>
      <c r="G962" s="6" t="str">
        <f>IFERROR(__xludf.DUMMYFUNCTION("""COMPUTED_VALUE"""),"Набережная, улица весенняя, музей красная горка, сосновый бор, серебрянный бор.")</f>
        <v>Набережная, улица весенняя, музей красная горка, сосновый бор, серебрянный бор.</v>
      </c>
      <c r="H962" s="6" t="str">
        <f>IFERROR(__xludf.DUMMYFUNCTION("""COMPUTED_VALUE"""),"Завод, трубы, дым, пыль на дорогах, притомский проспект.")</f>
        <v>Завод, трубы, дым, пыль на дорогах, притомский проспект.</v>
      </c>
      <c r="I962" s="6" t="str">
        <f>IFERROR(__xludf.DUMMYFUNCTION("""COMPUTED_VALUE"""),"Леонов А.А.
Копылов И.М.")</f>
        <v>Леонов А.А.
Копылов И.М.</v>
      </c>
      <c r="J962" s="6" t="str">
        <f>IFERROR(__xludf.DUMMYFUNCTION("""COMPUTED_VALUE"""),"Затрудняюсь")</f>
        <v>Затрудняюсь</v>
      </c>
      <c r="K962" s="6" t="str">
        <f>IFERROR(__xludf.DUMMYFUNCTION("""COMPUTED_VALUE"""),"Коммунальный мост ")</f>
        <v>Коммунальный мост </v>
      </c>
      <c r="L962" s="6" t="str">
        <f>IFERROR(__xludf.DUMMYFUNCTION("""COMPUTED_VALUE"""),"Михайло Волков и уголь")</f>
        <v>Михайло Волков и уголь</v>
      </c>
      <c r="M962" s="6" t="str">
        <f>IFERROR(__xludf.DUMMYFUNCTION("""COMPUTED_VALUE"""),"Не знаю")</f>
        <v>Не знаю</v>
      </c>
      <c r="N962" s="6" t="str">
        <f>IFERROR(__xludf.DUMMYFUNCTION("""COMPUTED_VALUE"""),"Экологичность
Современность
Скорость
Безопасность
Доступность")</f>
        <v>Экологичность
Современность
Скорость
Безопасность
Доступность</v>
      </c>
      <c r="O962" s="6" t="str">
        <f>IFERROR(__xludf.DUMMYFUNCTION("""COMPUTED_VALUE"""),"1. Организовать разграничения проезжей части и газонов (бордюрами, тротуарами, организацией доп. Парковок), особенно в дворовых территориях.
Большое количество грязи на дороги переносится из-за этого.
2. Увеличить количество техники по удалению грязи и пы"&amp;"ли с дорог.
")</f>
        <v>1. Организовать разграничения проезжей части и газонов (бордюрами, тротуарами, организацией доп. Парковок), особенно в дворовых территориях.
Большое количество грязи на дороги переносится из-за этого.
2. Увеличить количество техники по удалению грязи и пыли с дорог.
</v>
      </c>
      <c r="P962" s="6" t="str">
        <f>IFERROR(__xludf.DUMMYFUNCTION("""COMPUTED_VALUE"""),"Друзья")</f>
        <v>Друзья</v>
      </c>
      <c r="Q962" s="6" t="str">
        <f>IFERROR(__xludf.DUMMYFUNCTION("""COMPUTED_VALUE"""),"куда пойти в свободное время, интервью с местными творческими личностями, интервью с экспертами на разные темы (напишите в разделе Другое свои предложения)")</f>
        <v>куда пойти в свободное время, интервью с местными творческими личностями, интервью с экспертами на разные темы (напишите в разделе Другое свои предложения)</v>
      </c>
      <c r="R962" s="6" t="str">
        <f>IFERROR(__xludf.DUMMYFUNCTION("""COMPUTED_VALUE"""),"9 мая")</f>
        <v>9 мая</v>
      </c>
      <c r="S962" s="6" t="str">
        <f>IFERROR(__xludf.DUMMYFUNCTION("""COMPUTED_VALUE"""),"Нет, не приходилось")</f>
        <v>Нет, не приходилось</v>
      </c>
      <c r="T962" s="6" t="str">
        <f>IFERROR(__xludf.DUMMYFUNCTION("""COMPUTED_VALUE"""),"Пас")</f>
        <v>Пас</v>
      </c>
      <c r="U962" s="6" t="str">
        <f>IFERROR(__xludf.DUMMYFUNCTION("""COMPUTED_VALUE"""),"Пересечение ул. Кирово и пр. Советского")</f>
        <v>Пересечение ул. Кирово и пр. Советского</v>
      </c>
      <c r="V962" s="6" t="str">
        <f>IFERROR(__xludf.DUMMYFUNCTION("""COMPUTED_VALUE"""),"Пас")</f>
        <v>Пас</v>
      </c>
      <c r="W962" s="6" t="str">
        <f>IFERROR(__xludf.DUMMYFUNCTION("""COMPUTED_VALUE"""),"Отзывчивые")</f>
        <v>Отзывчивые</v>
      </c>
      <c r="X962" s="6" t="str">
        <f>IFERROR(__xludf.DUMMYFUNCTION("""COMPUTED_VALUE"""),"Весенняя, набережная, комунальный мост, бор, красная горка")</f>
        <v>Весенняя, набережная, комунальный мост, бор, красная горка</v>
      </c>
      <c r="Y962" s="6" t="str">
        <f>IFERROR(__xludf.DUMMYFUNCTION("""COMPUTED_VALUE"""),"Пас")</f>
        <v>Пас</v>
      </c>
      <c r="Z962" s="6" t="str">
        <f>IFERROR(__xludf.DUMMYFUNCTION("""COMPUTED_VALUE"""),"Строительство на притомской набережной")</f>
        <v>Строительство на притомской набережной</v>
      </c>
      <c r="AA962" s="6" t="str">
        <f>IFERROR(__xludf.DUMMYFUNCTION("""COMPUTED_VALUE"""),"Регулярный режим черного неба")</f>
        <v>Регулярный режим черного неба</v>
      </c>
      <c r="AB962" s="6" t="str">
        <f>IFERROR(__xludf.DUMMYFUNCTION("""COMPUTED_VALUE"""),"Пас")</f>
        <v>Пас</v>
      </c>
      <c r="AC962" s="6" t="str">
        <f>IFERROR(__xludf.DUMMYFUNCTION("""COMPUTED_VALUE"""),"Организация интересных, красивых локаций")</f>
        <v>Организация интересных, красивых локаций</v>
      </c>
      <c r="AD962"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62" s="6" t="str">
        <f>IFERROR(__xludf.DUMMYFUNCTION("""COMPUTED_VALUE"""),"Мужской")</f>
        <v>Мужской</v>
      </c>
      <c r="AF962" s="6" t="str">
        <f>IFERROR(__xludf.DUMMYFUNCTION("""COMPUTED_VALUE"""),"30-44")</f>
        <v>30-44</v>
      </c>
      <c r="AG962" s="6"/>
      <c r="AH962" s="6"/>
      <c r="AI962" s="6"/>
      <c r="AJ962" s="6"/>
      <c r="AK962" s="6"/>
      <c r="AL962" s="6"/>
      <c r="AM962" s="6"/>
    </row>
    <row r="963">
      <c r="A963" s="6">
        <v>962.0</v>
      </c>
      <c r="B963" s="6" t="str">
        <f>IFERROR(__xludf.DUMMYFUNCTION("""COMPUTED_VALUE"""),"Руководитель подразделения   ")</f>
        <v>Руководитель подразделения   </v>
      </c>
      <c r="C963" s="6" t="str">
        <f>IFERROR(__xludf.DUMMYFUNCTION("""COMPUTED_VALUE"""),"Реставрация страх автомобилей    ")</f>
        <v>Реставрация страх автомобилей    </v>
      </c>
      <c r="D963" s="6" t="str">
        <f>IFERROR(__xludf.DUMMYFUNCTION("""COMPUTED_VALUE"""),"В Кемеровском, п.Металлплощадка   ")</f>
        <v>В Кемеровском, п.Металлплощадка   </v>
      </c>
      <c r="E963" s="6" t="str">
        <f>IFERROR(__xludf.DUMMYFUNCTION("""COMPUTED_VALUE"""),"Теплицы  Суховские ")</f>
        <v>Теплицы  Суховские </v>
      </c>
      <c r="F963" s="6" t="str">
        <f>IFERROR(__xludf.DUMMYFUNCTION("""COMPUTED_VALUE"""),"Живу здесь с рождения")</f>
        <v>Живу здесь с рождения</v>
      </c>
      <c r="G963" s="6" t="str">
        <f>IFERROR(__xludf.DUMMYFUNCTION("""COMPUTED_VALUE"""),"Парк Чудес, Бор, Бульвар Строителей.   ")</f>
        <v>Парк Чудес, Бор, Бульвар Строителей.   </v>
      </c>
      <c r="H963" s="6" t="str">
        <f>IFERROR(__xludf.DUMMYFUNCTION("""COMPUTED_VALUE"""),"Химия,  уголь, шахтер, бенди,  дом, зимняя вишня   ")</f>
        <v>Химия,  уголь, шахтер, бенди,  дом, зимняя вишня   </v>
      </c>
      <c r="I963" s="6" t="str">
        <f>IFERROR(__xludf.DUMMYFUNCTION("""COMPUTED_VALUE"""),"Михайло Волков, Вера Волошина")</f>
        <v>Михайло Волков, Вера Волошина</v>
      </c>
      <c r="J963" s="6" t="str">
        <f>IFERROR(__xludf.DUMMYFUNCTION("""COMPUTED_VALUE"""),"Горобцов С.Б, Барбараш Л.С. Михайлов В.В ")</f>
        <v>Горобцов С.Б, Барбараш Л.С. Михайлов В.В </v>
      </c>
      <c r="K963" s="6" t="str">
        <f>IFERROR(__xludf.DUMMYFUNCTION("""COMPUTED_VALUE"""),"Красная горка, Томская писаница ")</f>
        <v>Красная горка, Томская писаница </v>
      </c>
      <c r="L963" s="6" t="str">
        <f>IFERROR(__xludf.DUMMYFUNCTION("""COMPUTED_VALUE"""),"Не знаю ")</f>
        <v>Не знаю </v>
      </c>
      <c r="M963" s="6" t="str">
        <f>IFERROR(__xludf.DUMMYFUNCTION("""COMPUTED_VALUE"""),"Не знаю ")</f>
        <v>Не знаю </v>
      </c>
      <c r="N963" s="6" t="str">
        <f>IFERROR(__xludf.DUMMYFUNCTION("""COMPUTED_VALUE"""),"Чистота улиц, удобная транспортная развязки,  наличие социально значимых объектов, хорошие дороги без колеи,   экология. ")</f>
        <v>Чистота улиц, удобная транспортная развязки,  наличие социально значимых объектов, хорошие дороги без колеи,   экология. </v>
      </c>
      <c r="O963" s="6" t="str">
        <f>IFERROR(__xludf.DUMMYFUNCTION("""COMPUTED_VALUE"""),"Убрать из города транзитный транспорт, отремонтировать дороги.   ")</f>
        <v>Убрать из города транзитный транспорт, отремонтировать дороги.   </v>
      </c>
      <c r="P963" s="6" t="str">
        <f>IFERROR(__xludf.DUMMYFUNCTION("""COMPUTED_VALUE"""),"ТВ ")</f>
        <v>ТВ </v>
      </c>
      <c r="Q963" s="6" t="str">
        <f>IFERROR(__xludf.DUMMYFUNCTION("""COMPUTED_VALUE"""),"Никакими из перечисленных    ")</f>
        <v>Никакими из перечисленных    </v>
      </c>
      <c r="R963" s="6" t="str">
        <f>IFERROR(__xludf.DUMMYFUNCTION("""COMPUTED_VALUE"""),"День города     ")</f>
        <v>День города     </v>
      </c>
      <c r="S963" s="6" t="str">
        <f>IFERROR(__xludf.DUMMYFUNCTION("""COMPUTED_VALUE"""),"Нет, не приходилось")</f>
        <v>Нет, не приходилось</v>
      </c>
      <c r="T963" s="6" t="str">
        <f>IFERROR(__xludf.DUMMYFUNCTION("""COMPUTED_VALUE"""),"У нас не уникальный город ")</f>
        <v>У нас не уникальный город </v>
      </c>
      <c r="U963" s="6" t="str">
        <f>IFERROR(__xludf.DUMMYFUNCTION("""COMPUTED_VALUE"""),"Площадь советов ")</f>
        <v>Площадь советов </v>
      </c>
      <c r="V963" s="6" t="str">
        <f>IFERROR(__xludf.DUMMYFUNCTION("""COMPUTED_VALUE"""),"Работали   ")</f>
        <v>Работали   </v>
      </c>
      <c r="W963" s="6" t="str">
        <f>IFERROR(__xludf.DUMMYFUNCTION("""COMPUTED_VALUE"""),"Все люди разные, объективно нельзя  охарактеризовать  Кемеровчанена     ")</f>
        <v>Все люди разные, объективно нельзя  охарактеризовать  Кемеровчанена     </v>
      </c>
      <c r="X963" s="6" t="str">
        <f>IFERROR(__xludf.DUMMYFUNCTION("""COMPUTED_VALUE"""),"от пр. Советского по ул. Весенней к памятнику  Воинам-Кузбассовцам ")</f>
        <v>от пр. Советского по ул. Весенней к памятнику  Воинам-Кузбассовцам </v>
      </c>
      <c r="Y963" s="6" t="str">
        <f>IFERROR(__xludf.DUMMYFUNCTION("""COMPUTED_VALUE"""),"Не могу вспомнить      ")</f>
        <v>Не могу вспомнить      </v>
      </c>
      <c r="Z963" s="6" t="str">
        <f>IFERROR(__xludf.DUMMYFUNCTION("""COMPUTED_VALUE"""),"Позитивных  событий нет, а вот негативных все больше и больше  ")</f>
        <v>Позитивных  событий нет, а вот негативных все больше и больше  </v>
      </c>
      <c r="AA963" s="6" t="str">
        <f>IFERROR(__xludf.DUMMYFUNCTION("""COMPUTED_VALUE"""),"В связи с глобальными стройками, о насущных проблемах забыли.  Строим новую набережную, а старая разваливается, и так повсеместно.     ")</f>
        <v>В связи с глобальными стройками, о насущных проблемах забыли.  Строим новую набережную, а старая разваливается, и так повсеместно.     </v>
      </c>
      <c r="AB963" s="6" t="str">
        <f>IFERROR(__xludf.DUMMYFUNCTION("""COMPUTED_VALUE"""),"Не могу ответить ")</f>
        <v>Не могу ответить </v>
      </c>
      <c r="AC963" s="6" t="str">
        <f>IFERROR(__xludf.DUMMYFUNCTION("""COMPUTED_VALUE"""),"А разве нужны мероприятия или события что бы стало интересней жить в города?   ")</f>
        <v>А разве нужны мероприятия или события что бы стало интересней жить в города?   </v>
      </c>
      <c r="AD96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63" s="6" t="str">
        <f>IFERROR(__xludf.DUMMYFUNCTION("""COMPUTED_VALUE"""),"Мужской")</f>
        <v>Мужской</v>
      </c>
      <c r="AF963" s="6" t="str">
        <f>IFERROR(__xludf.DUMMYFUNCTION("""COMPUTED_VALUE"""),"30-44")</f>
        <v>30-44</v>
      </c>
      <c r="AG963" s="6"/>
      <c r="AH963" s="6"/>
      <c r="AI963" s="6"/>
      <c r="AJ963" s="6"/>
      <c r="AK963" s="6"/>
      <c r="AL963" s="6"/>
      <c r="AM963" s="6"/>
    </row>
    <row r="964">
      <c r="A964" s="6">
        <v>963.0</v>
      </c>
      <c r="B964" s="6" t="str">
        <f>IFERROR(__xludf.DUMMYFUNCTION("""COMPUTED_VALUE"""),"Бариста")</f>
        <v>Бариста</v>
      </c>
      <c r="C964" s="6" t="str">
        <f>IFERROR(__xludf.DUMMYFUNCTION("""COMPUTED_VALUE"""),"Музыка")</f>
        <v>Музыка</v>
      </c>
      <c r="D964" s="6" t="str">
        <f>IFERROR(__xludf.DUMMYFUNCTION("""COMPUTED_VALUE"""),"Кедровка")</f>
        <v>Кедровка</v>
      </c>
      <c r="E964" s="6" t="str">
        <f>IFERROR(__xludf.DUMMYFUNCTION("""COMPUTED_VALUE"""),"Дом Культуры, Аллея, Стадион, Фонтан, Греческая Деревня, Парк Победы")</f>
        <v>Дом Культуры, Аллея, Стадион, Фонтан, Греческая Деревня, Парк Победы</v>
      </c>
      <c r="F964" s="6" t="str">
        <f>IFERROR(__xludf.DUMMYFUNCTION("""COMPUTED_VALUE"""),"Живу здесь с рождения")</f>
        <v>Живу здесь с рождения</v>
      </c>
      <c r="G964" s="6" t="str">
        <f>IFERROR(__xludf.DUMMYFUNCTION("""COMPUTED_VALUE"""),"Площадь Волкова, Центр (Драм Театр), Весенняя, Рудничный Бор")</f>
        <v>Площадь Волкова, Центр (Драм Театр), Весенняя, Рудничный Бор</v>
      </c>
      <c r="H964" s="6" t="str">
        <f>IFERROR(__xludf.DUMMYFUNCTION("""COMPUTED_VALUE"""),"Уголь, Дым, Шахтеры, Заводы, Суровость")</f>
        <v>Уголь, Дым, Шахтеры, Заводы, Суровость</v>
      </c>
      <c r="I964" s="6" t="str">
        <f>IFERROR(__xludf.DUMMYFUNCTION("""COMPUTED_VALUE"""),"Волков, Леонов")</f>
        <v>Волков, Леонов</v>
      </c>
      <c r="J964" s="6" t="str">
        <f>IFERROR(__xludf.DUMMYFUNCTION("""COMPUTED_VALUE"""),"Бобровский")</f>
        <v>Бобровский</v>
      </c>
      <c r="K964" s="6" t="str">
        <f>IFERROR(__xludf.DUMMYFUNCTION("""COMPUTED_VALUE"""),"Клумба Space")</f>
        <v>Клумба Space</v>
      </c>
      <c r="L964" s="6" t="str">
        <f>IFERROR(__xludf.DUMMYFUNCTION("""COMPUTED_VALUE"""),"-")</f>
        <v>-</v>
      </c>
      <c r="M964" s="6" t="str">
        <f>IFERROR(__xludf.DUMMYFUNCTION("""COMPUTED_VALUE"""),"-")</f>
        <v>-</v>
      </c>
      <c r="N964" s="6" t="str">
        <f>IFERROR(__xludf.DUMMYFUNCTION("""COMPUTED_VALUE"""),"Экологическая чистота, низкий уровень криминала, культурная жизнь, современность ")</f>
        <v>Экологическая чистота, низкий уровень криминала, культурная жизнь, современность </v>
      </c>
      <c r="O964" s="6" t="str">
        <f>IFERROR(__xludf.DUMMYFUNCTION("""COMPUTED_VALUE"""),"Экологию ")</f>
        <v>Экологию </v>
      </c>
      <c r="P964" s="6" t="str">
        <f>IFERROR(__xludf.DUMMYFUNCTION("""COMPUTED_VALUE"""),"А42, incedentkemerovo")</f>
        <v>А42, incedentkemerovo</v>
      </c>
      <c r="Q964" s="6" t="str">
        <f>IFERROR(__xludf.DUMMYFUNCTION("""COMPUTED_VALUE"""),"городская афиша (кино/театр/концерты), криминальные новости (происшествия/преступления), новости про новые профессии/куда поступать/вакансии")</f>
        <v>городская афиша (кино/театр/концерты), криминальные новости (происшествия/преступления), новости про новые профессии/куда поступать/вакансии</v>
      </c>
      <c r="R964" s="6" t="str">
        <f>IFERROR(__xludf.DUMMYFUNCTION("""COMPUTED_VALUE"""),"День города, день Шахтера")</f>
        <v>День города, день Шахтера</v>
      </c>
      <c r="S964" s="6" t="str">
        <f>IFERROR(__xludf.DUMMYFUNCTION("""COMPUTED_VALUE"""),"Нет, не приходилось")</f>
        <v>Нет, не приходилось</v>
      </c>
      <c r="T964" s="6" t="str">
        <f>IFERROR(__xludf.DUMMYFUNCTION("""COMPUTED_VALUE"""),"Уголь, Дороги")</f>
        <v>Уголь, Дороги</v>
      </c>
      <c r="U964" s="6" t="str">
        <f>IFERROR(__xludf.DUMMYFUNCTION("""COMPUTED_VALUE"""),"Драм Театр, Площадь Советов")</f>
        <v>Драм Театр, Площадь Советов</v>
      </c>
      <c r="V964" s="6" t="str">
        <f>IFERROR(__xludf.DUMMYFUNCTION("""COMPUTED_VALUE"""),"Уголь, Космос")</f>
        <v>Уголь, Космос</v>
      </c>
      <c r="W964" s="6" t="str">
        <f>IFERROR(__xludf.DUMMYFUNCTION("""COMPUTED_VALUE"""),"Суровые на первый взгляд, отзывчивые и гостеприимные внутри.")</f>
        <v>Суровые на первый взгляд, отзывчивые и гостеприимные внутри.</v>
      </c>
      <c r="X964" s="6" t="str">
        <f>IFERROR(__xludf.DUMMYFUNCTION("""COMPUTED_VALUE"""),"Городской сад, Набережная, Парк Антошка, КемГУ, Площадь Волкова")</f>
        <v>Городской сад, Набережная, Парк Антошка, КемГУ, Площадь Волкова</v>
      </c>
      <c r="Y964" s="6" t="str">
        <f>IFERROR(__xludf.DUMMYFUNCTION("""COMPUTED_VALUE"""),"Обнаружение пласта угля")</f>
        <v>Обнаружение пласта угля</v>
      </c>
      <c r="Z964" s="6" t="str">
        <f>IFERROR(__xludf.DUMMYFUNCTION("""COMPUTED_VALUE"""),"Новые автобусы")</f>
        <v>Новые автобусы</v>
      </c>
      <c r="AA964" s="6" t="str">
        <f>IFERROR(__xludf.DUMMYFUNCTION("""COMPUTED_VALUE"""),"Повышенная загрязненность воздуха, Режим чёрного неба")</f>
        <v>Повышенная загрязненность воздуха, Режим чёрного неба</v>
      </c>
      <c r="AB964" s="6" t="str">
        <f>IFERROR(__xludf.DUMMYFUNCTION("""COMPUTED_VALUE"""),"-")</f>
        <v>-</v>
      </c>
      <c r="AC964" s="6" t="str">
        <f>IFERROR(__xludf.DUMMYFUNCTION("""COMPUTED_VALUE"""),"Открытый кинотеатр")</f>
        <v>Открытый кинотеатр</v>
      </c>
      <c r="AD964" s="6" t="str">
        <f>IFERROR(__xludf.DUMMYFUNCTION("""COMPUTED_VALUE"""),"Профессионала.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v>
      </c>
      <c r="AE964" s="6" t="str">
        <f>IFERROR(__xludf.DUMMYFUNCTION("""COMPUTED_VALUE"""),"Мужской")</f>
        <v>Мужской</v>
      </c>
      <c r="AF964" s="6" t="str">
        <f>IFERROR(__xludf.DUMMYFUNCTION("""COMPUTED_VALUE"""),"18-29")</f>
        <v>18-29</v>
      </c>
      <c r="AG964" s="6"/>
      <c r="AH964" s="6"/>
      <c r="AI964" s="6"/>
      <c r="AJ964" s="6"/>
      <c r="AK964" s="6"/>
      <c r="AL964" s="6"/>
      <c r="AM964" s="6"/>
    </row>
    <row r="965">
      <c r="A965" s="6">
        <v>964.0</v>
      </c>
      <c r="B965" s="6" t="str">
        <f>IFERROR(__xludf.DUMMYFUNCTION("""COMPUTED_VALUE"""),"Работаю в IT-компании")</f>
        <v>Работаю в IT-компании</v>
      </c>
      <c r="C965" s="6" t="str">
        <f>IFERROR(__xludf.DUMMYFUNCTION("""COMPUTED_VALUE"""),"Да, пою")</f>
        <v>Да, пою</v>
      </c>
      <c r="D965" s="6" t="str">
        <f>IFERROR(__xludf.DUMMYFUNCTION("""COMPUTED_VALUE"""),"Пересечение Ленинского и Центрального районов")</f>
        <v>Пересечение Ленинского и Центрального районов</v>
      </c>
      <c r="E965" s="6" t="str">
        <f>IFERROR(__xludf.DUMMYFUNCTION("""COMPUTED_VALUE"""),"Бульвар Строителей, парк Веры Волошиной, Кадетский корпус, бывший КемТИПП")</f>
        <v>Бульвар Строителей, парк Веры Волошиной, Кадетский корпус, бывший КемТИПП</v>
      </c>
      <c r="F965" s="6" t="str">
        <f>IFERROR(__xludf.DUMMYFUNCTION("""COMPUTED_VALUE"""),"Переехал сюда из другого места (откуда? укажите в графе другое), до 18 лет жила в г. Березовский")</f>
        <v>Переехал сюда из другого места (откуда? укажите в графе другое), до 18 лет жила в г. Березовский</v>
      </c>
      <c r="G965" s="6" t="str">
        <f>IFERROR(__xludf.DUMMYFUNCTION("""COMPUTED_VALUE"""),"На набережную, просто обожаю ее, ул. Весенняя, пар Веры Волошиной, ул. Весенняя, магазины")</f>
        <v>На набережную, просто обожаю ее, ул. Весенняя, пар Веры Волошиной, ул. Весенняя, магазины</v>
      </c>
      <c r="H965" s="6" t="str">
        <f>IFERROR(__xludf.DUMMYFUNCTION("""COMPUTED_VALUE"""),"Чистый центр, уют, спокойствие, дом")</f>
        <v>Чистый центр, уют, спокойствие, дом</v>
      </c>
      <c r="I965" s="6" t="str">
        <f>IFERROR(__xludf.DUMMYFUNCTION("""COMPUTED_VALUE"""),"Алексей Лионов")</f>
        <v>Алексей Лионов</v>
      </c>
      <c r="J965" s="6" t="str">
        <f>IFERROR(__xludf.DUMMYFUNCTION("""COMPUTED_VALUE"""),"Просеков А.Ю.")</f>
        <v>Просеков А.Ю.</v>
      </c>
      <c r="K965" s="6" t="str">
        <f>IFERROR(__xludf.DUMMYFUNCTION("""COMPUTED_VALUE"""),"Ул. Советскуя, ул. Весенняя, набережную р. Томь, парк Ангелов, Кадетский корпус, Красное озеро, Лесную поляну.")</f>
        <v>Ул. Советскуя, ул. Весенняя, набережную р. Томь, парк Ангелов, Кадетский корпус, Красное озеро, Лесную поляну.</v>
      </c>
      <c r="L965" s="6" t="str">
        <f>IFERROR(__xludf.DUMMYFUNCTION("""COMPUTED_VALUE"""),"-")</f>
        <v>-</v>
      </c>
      <c r="M965" s="6" t="str">
        <f>IFERROR(__xludf.DUMMYFUNCTION("""COMPUTED_VALUE"""),"-")</f>
        <v>-</v>
      </c>
      <c r="N965" s="6" t="str">
        <f>IFERROR(__xludf.DUMMYFUNCTION("""COMPUTED_VALUE"""),"Адекватная власть, чистота, широкий рынок труда, доступность, развитая инфраструктура")</f>
        <v>Адекватная власть, чистота, широкий рынок труда, доступность, развитая инфраструктура</v>
      </c>
      <c r="O965" s="6" t="str">
        <f>IFERROR(__xludf.DUMMYFUNCTION("""COMPUTED_VALUE"""),"Придумать как уменьшить отток людей, для этого нужно развивать рынок труда; можно построить один большой толковый ТЦ, чтобы не приходилось ехать в другие город и области:) ")</f>
        <v>Придумать как уменьшить отток людей, для этого нужно развивать рынок труда; можно построить один большой толковый ТЦ, чтобы не приходилось ехать в другие город и области:) </v>
      </c>
      <c r="P965" s="6" t="str">
        <f>IFERROR(__xludf.DUMMYFUNCTION("""COMPUTED_VALUE"""),"А42")</f>
        <v>А42</v>
      </c>
      <c r="Q965" s="6" t="str">
        <f>IFERROR(__xludf.DUMMYFUNCTION("""COMPUTED_VALUE"""),"куда пойти в свободное время, где вкусно поесть/открытие новых кафе/ресторанов, интервью с местными политиками, интервью с местными творческими личностями, криминальные новости (происшествия/преступления), бизнес-новости (средний чек/рекламные акции/запус"&amp;"к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интервью с местными политиками, 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965" s="6" t="str">
        <f>IFERROR(__xludf.DUMMYFUNCTION("""COMPUTED_VALUE"""),"9 мая, День Шахтера, Новый год")</f>
        <v>9 мая, День Шахтера, Новый год</v>
      </c>
      <c r="S965" s="6" t="str">
        <f>IFERROR(__xludf.DUMMYFUNCTION("""COMPUTED_VALUE"""),"Нет, не приходилось")</f>
        <v>Нет, не приходилось</v>
      </c>
      <c r="T965" s="6" t="str">
        <f>IFERROR(__xludf.DUMMYFUNCTION("""COMPUTED_VALUE"""),"Много шахтовых предприятий; красивая природа, леса; много талантливых людей")</f>
        <v>Много шахтовых предприятий; красивая природа, леса; много талантливых людей</v>
      </c>
      <c r="U965" s="6" t="str">
        <f>IFERROR(__xludf.DUMMYFUNCTION("""COMPUTED_VALUE"""),"Ул. Советская, ул. Весенняя, Притомская набережная")</f>
        <v>Ул. Советская, ул. Весенняя, Притомская набережная</v>
      </c>
      <c r="V965" s="6" t="str">
        <f>IFERROR(__xludf.DUMMYFUNCTION("""COMPUTED_VALUE"""),"-")</f>
        <v>-</v>
      </c>
      <c r="W965" s="6" t="str">
        <f>IFERROR(__xludf.DUMMYFUNCTION("""COMPUTED_VALUE"""),"Немного суровый вид, но добряк внутри; любит свою семью, веселой натуры, душа компании. Любит свой город, не равнодушен к событиям, ответственный, поддержит в любой ситуации")</f>
        <v>Немного суровый вид, но добряк внутри; любит свою семью, веселой натуры, душа компании. Любит свой город, не равнодушен к событиям, ответственный, поддержит в любой ситуации</v>
      </c>
      <c r="X965" s="6" t="str">
        <f>IFERROR(__xludf.DUMMYFUNCTION("""COMPUTED_VALUE"""),"ул. Советская (от центра Я), мимо Площади советов, Университетский мост, пр-т Притомский, кадетский корпус, бульвар Строителей.")</f>
        <v>ул. Советская (от центра Я), мимо Площади советов, Университетский мост, пр-т Притомский, кадетский корпус, бульвар Строителей.</v>
      </c>
      <c r="Y965" s="6" t="str">
        <f>IFERROR(__xludf.DUMMYFUNCTION("""COMPUTED_VALUE"""),"-")</f>
        <v>-</v>
      </c>
      <c r="Z965" s="6" t="str">
        <f>IFERROR(__xludf.DUMMYFUNCTION("""COMPUTED_VALUE"""),"Празднования 9 мая, День Шахтеров, День города")</f>
        <v>Празднования 9 мая, День Шахтеров, День города</v>
      </c>
      <c r="AA965" s="6" t="str">
        <f>IFERROR(__xludf.DUMMYFUNCTION("""COMPUTED_VALUE"""),"Пожар в Зимней Вишне")</f>
        <v>Пожар в Зимней Вишне</v>
      </c>
      <c r="AB965" s="6" t="str">
        <f>IFERROR(__xludf.DUMMYFUNCTION("""COMPUTED_VALUE"""),"-")</f>
        <v>-</v>
      </c>
      <c r="AC965" s="6" t="str">
        <f>IFERROR(__xludf.DUMMYFUNCTION("""COMPUTED_VALUE"""),"-")</f>
        <v>-</v>
      </c>
      <c r="AD965" s="6" t="str">
        <f>IFERROR(__xludf.DUMMYFUNCTION("""COMPUTED_VALUE"""),"-")</f>
        <v>-</v>
      </c>
      <c r="AE965" s="6" t="str">
        <f>IFERROR(__xludf.DUMMYFUNCTION("""COMPUTED_VALUE"""),"Женский")</f>
        <v>Женский</v>
      </c>
      <c r="AF965" s="6" t="str">
        <f>IFERROR(__xludf.DUMMYFUNCTION("""COMPUTED_VALUE"""),"18-29")</f>
        <v>18-29</v>
      </c>
      <c r="AG965" s="6"/>
      <c r="AH965" s="6"/>
      <c r="AI965" s="6"/>
      <c r="AJ965" s="6"/>
      <c r="AK965" s="6"/>
      <c r="AL965" s="6"/>
      <c r="AM965" s="6"/>
    </row>
    <row r="966">
      <c r="A966" s="6">
        <v>965.0</v>
      </c>
      <c r="B966" s="6" t="str">
        <f>IFERROR(__xludf.DUMMYFUNCTION("""COMPUTED_VALUE"""),"риэлтор")</f>
        <v>риэлтор</v>
      </c>
      <c r="C966" s="6" t="str">
        <f>IFERROR(__xludf.DUMMYFUNCTION("""COMPUTED_VALUE"""),"автотуризм")</f>
        <v>автотуризм</v>
      </c>
      <c r="D966" s="6" t="str">
        <f>IFERROR(__xludf.DUMMYFUNCTION("""COMPUTED_VALUE"""),"центральный Центр")</f>
        <v>центральный Центр</v>
      </c>
      <c r="E966" s="6" t="str">
        <f>IFERROR(__xludf.DUMMYFUNCTION("""COMPUTED_VALUE"""),"Весенняя, Орбита, памятник ВОВ, театры, парк Жукова")</f>
        <v>Весенняя, Орбита, памятник ВОВ, театры, парк Жукова</v>
      </c>
      <c r="F966" s="6" t="str">
        <f>IFERROR(__xludf.DUMMYFUNCTION("""COMPUTED_VALUE"""),"Живу здесь с рождения")</f>
        <v>Живу здесь с рождения</v>
      </c>
      <c r="G966" s="6" t="str">
        <f>IFERROR(__xludf.DUMMYFUNCTION("""COMPUTED_VALUE"""),"нет свободного времени... Если появляется - уезжаю за город")</f>
        <v>нет свободного времени... Если появляется - уезжаю за город</v>
      </c>
      <c r="H966" s="6" t="str">
        <f>IFERROR(__xludf.DUMMYFUNCTION("""COMPUTED_VALUE"""),"местами отвратительные дороги, дымный, загазованный, пасмурный, развивающийся, зеленый, чистый")</f>
        <v>местами отвратительные дороги, дымный, загазованный, пасмурный, развивающийся, зеленый, чистый</v>
      </c>
      <c r="I966" s="6" t="str">
        <f>IFERROR(__xludf.DUMMYFUNCTION("""COMPUTED_VALUE"""),"Волков, Нахимов, ")</f>
        <v>Волков, Нахимов, </v>
      </c>
      <c r="J966" s="6" t="str">
        <f>IFERROR(__xludf.DUMMYFUNCTION("""COMPUTED_VALUE"""),"Панин Андрей, Гришковец, Леонов, Тулеев")</f>
        <v>Панин Андрей, Гришковец, Леонов, Тулеев</v>
      </c>
      <c r="K966" s="6" t="str">
        <f>IFERROR(__xludf.DUMMYFUNCTION("""COMPUTED_VALUE"""),"памятник шахтеру, лесную поляну, весеннюю, памятник вов, музеи, ")</f>
        <v>памятник шахтеру, лесную поляну, весеннюю, памятник вов, музеи, </v>
      </c>
      <c r="L966" s="6" t="str">
        <f>IFERROR(__xludf.DUMMYFUNCTION("""COMPUTED_VALUE"""),"затрудняюсь")</f>
        <v>затрудняюсь</v>
      </c>
      <c r="M966" s="6" t="str">
        <f>IFERROR(__xludf.DUMMYFUNCTION("""COMPUTED_VALUE"""),"затрудняюсь")</f>
        <v>затрудняюсь</v>
      </c>
      <c r="N966" s="6" t="str">
        <f>IFERROR(__xludf.DUMMYFUNCTION("""COMPUTED_VALUE"""),"чистый, с хорошими дорогами, зеленый, строящиеся объекты, объекты досуга, ")</f>
        <v>чистый, с хорошими дорогами, зеленый, строящиеся объекты, объекты досуга, </v>
      </c>
      <c r="O966" s="6" t="str">
        <f>IFERROR(__xludf.DUMMYFUNCTION("""COMPUTED_VALUE"""),"решить экологические вопросы!!! Организовать рабочие места, производства, но экологичные")</f>
        <v>решить экологические вопросы!!! Организовать рабочие места, производства, но экологичные</v>
      </c>
      <c r="P966" s="6" t="str">
        <f>IFERROR(__xludf.DUMMYFUNCTION("""COMPUTED_VALUE"""),"слухами")</f>
        <v>слухами</v>
      </c>
      <c r="Q966"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(рейтинги/а"&amp;"налитика/тенденции)")</f>
        <v>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966" s="6" t="str">
        <f>IFERROR(__xludf.DUMMYFUNCTION("""COMPUTED_VALUE"""),"9 мая, день города")</f>
        <v>9 мая, день города</v>
      </c>
      <c r="S966" s="6" t="str">
        <f>IFERROR(__xludf.DUMMYFUNCTION("""COMPUTED_VALUE"""),"через подрядную организацию")</f>
        <v>через подрядную организацию</v>
      </c>
      <c r="T966" s="6" t="str">
        <f>IFERROR(__xludf.DUMMYFUNCTION("""COMPUTED_VALUE"""),"столица Кузбасса")</f>
        <v>столица Кузбасса</v>
      </c>
      <c r="U966" s="6" t="str">
        <f>IFERROR(__xludf.DUMMYFUNCTION("""COMPUTED_VALUE"""),"исторический центр города")</f>
        <v>исторический центр города</v>
      </c>
      <c r="V966" s="6" t="str">
        <f>IFERROR(__xludf.DUMMYFUNCTION("""COMPUTED_VALUE"""),"затрудняюсь")</f>
        <v>затрудняюсь</v>
      </c>
      <c r="W966" s="6" t="str">
        <f>IFERROR(__xludf.DUMMYFUNCTION("""COMPUTED_VALUE"""),"50/50 довольные и недовольные, пизитивные - депрессивные, агрессивные - многие все начинания и работу принимают негативно")</f>
        <v>50/50 довольные и недовольные, пизитивные - депрессивные, агрессивные - многие все начинания и работу принимают негативно</v>
      </c>
      <c r="X966" s="6" t="str">
        <f>IFERROR(__xludf.DUMMYFUNCTION("""COMPUTED_VALUE"""),"памятник шахтеру, весенняя, красная горка, лесная поляна, сосновый бор")</f>
        <v>памятник шахтеру, весенняя, красная горка, лесная поляна, сосновый бор</v>
      </c>
      <c r="Y966" s="6" t="str">
        <f>IFERROR(__xludf.DUMMYFUNCTION("""COMPUTED_VALUE"""),"затрудняюсь")</f>
        <v>затрудняюсь</v>
      </c>
      <c r="Z966" s="6" t="str">
        <f>IFERROR(__xludf.DUMMYFUNCTION("""COMPUTED_VALUE"""),"затрудняюсь")</f>
        <v>затрудняюсь</v>
      </c>
      <c r="AA966" s="6" t="str">
        <f>IFERROR(__xludf.DUMMYFUNCTION("""COMPUTED_VALUE"""),"зимняя вишня")</f>
        <v>зимняя вишня</v>
      </c>
      <c r="AB966" s="6" t="str">
        <f>IFERROR(__xludf.DUMMYFUNCTION("""COMPUTED_VALUE"""),"мне всего хватает")</f>
        <v>мне всего хватает</v>
      </c>
      <c r="AC966" s="6" t="str">
        <f>IFERROR(__xludf.DUMMYFUNCTION("""COMPUTED_VALUE"""),"мне всего хватает")</f>
        <v>мне всего хватает</v>
      </c>
      <c r="AD966" s="6" t="str">
        <f>IFERROR(__xludf.DUMMYFUNCTION("""COMPUTED_VALUE"""),"Не готов принимать личное участие (укажите, пожалуйста, причину в поле «Другое»), нет свободного времени...")</f>
        <v>Не готов принимать личное участие (укажите, пожалуйста, причину в поле «Другое»), нет свободного времени...</v>
      </c>
      <c r="AE966" s="6" t="str">
        <f>IFERROR(__xludf.DUMMYFUNCTION("""COMPUTED_VALUE"""),"Женский")</f>
        <v>Женский</v>
      </c>
      <c r="AF966" s="6" t="str">
        <f>IFERROR(__xludf.DUMMYFUNCTION("""COMPUTED_VALUE"""),"45-55")</f>
        <v>45-55</v>
      </c>
      <c r="AG966" s="6"/>
      <c r="AH966" s="6"/>
      <c r="AI966" s="6"/>
      <c r="AJ966" s="6"/>
      <c r="AK966" s="6"/>
      <c r="AL966" s="6"/>
      <c r="AM966" s="6"/>
    </row>
    <row r="967">
      <c r="A967" s="6">
        <v>966.0</v>
      </c>
      <c r="B967" s="6" t="str">
        <f>IFERROR(__xludf.DUMMYFUNCTION("""COMPUTED_VALUE"""),"Работаю в компании Гудлайн")</f>
        <v>Работаю в компании Гудлайн</v>
      </c>
      <c r="C967" s="6" t="str">
        <f>IFERROR(__xludf.DUMMYFUNCTION("""COMPUTED_VALUE"""),"Сноуборд")</f>
        <v>Сноуборд</v>
      </c>
      <c r="D967" s="6" t="str">
        <f>IFERROR(__xludf.DUMMYFUNCTION("""COMPUTED_VALUE"""),"Заводский")</f>
        <v>Заводский</v>
      </c>
      <c r="E967" s="6" t="str">
        <f>IFERROR(__xludf.DUMMYFUNCTION("""COMPUTED_VALUE"""),"Парк Ангелов")</f>
        <v>Парк Ангелов</v>
      </c>
      <c r="F967" s="6" t="str">
        <f>IFERROR(__xludf.DUMMYFUNCTION("""COMPUTED_VALUE"""),"Переехал сюда из другого места (откуда? укажите в графе другое), Переехала в этот район пол года назад, ранее жила в Ленинском районе")</f>
        <v>Переехал сюда из другого места (откуда? укажите в графе другое), Переехала в этот район пол года назад, ранее жила в Ленинском районе</v>
      </c>
      <c r="G967" s="6" t="str">
        <f>IFERROR(__xludf.DUMMYFUNCTION("""COMPUTED_VALUE"""),"Набережная , парк ангелов , парк чудес ")</f>
        <v>Набережная , парк ангелов , парк чудес </v>
      </c>
      <c r="H967" s="6" t="str">
        <f>IFERROR(__xludf.DUMMYFUNCTION("""COMPUTED_VALUE"""),"Красивый , загазованный,  пробки , уютный, чистый")</f>
        <v>Красивый , загазованный,  пробки , уютный, чистый</v>
      </c>
      <c r="I967" s="6" t="str">
        <f>IFERROR(__xludf.DUMMYFUNCTION("""COMPUTED_VALUE"""),"Тулеев")</f>
        <v>Тулеев</v>
      </c>
      <c r="J967" s="6" t="str">
        <f>IFERROR(__xludf.DUMMYFUNCTION("""COMPUTED_VALUE"""),"МЧСники")</f>
        <v>МЧСники</v>
      </c>
      <c r="K967" s="6" t="str">
        <f>IFERROR(__xludf.DUMMYFUNCTION("""COMPUTED_VALUE"""),"Памятник Шахтерам ")</f>
        <v>Памятник Шахтерам </v>
      </c>
      <c r="L967" s="6" t="str">
        <f>IFERROR(__xludf.DUMMYFUNCTION("""COMPUTED_VALUE"""),"Для людей сделали-люди сломали ")</f>
        <v>Для людей сделали-люди сломали </v>
      </c>
      <c r="M967" s="6" t="str">
        <f>IFERROR(__xludf.DUMMYFUNCTION("""COMPUTED_VALUE"""),"Нет ")</f>
        <v>Нет </v>
      </c>
      <c r="N967" s="6" t="str">
        <f>IFERROR(__xludf.DUMMYFUNCTION("""COMPUTED_VALUE"""),"Транспортная развязка, чистота , экология ")</f>
        <v>Транспортная развязка, чистота , экология </v>
      </c>
      <c r="O967" s="6" t="str">
        <f>IFERROR(__xludf.DUMMYFUNCTION("""COMPUTED_VALUE"""),"-")</f>
        <v>-</v>
      </c>
      <c r="P967" s="6" t="str">
        <f>IFERROR(__xludf.DUMMYFUNCTION("""COMPUTED_VALUE"""),"Инстаграм ")</f>
        <v>Инстаграм </v>
      </c>
      <c r="Q967"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967" s="6" t="str">
        <f>IFERROR(__xludf.DUMMYFUNCTION("""COMPUTED_VALUE"""),"Масленица , Новый год ")</f>
        <v>Масленица , Новый год </v>
      </c>
      <c r="S967" s="6" t="str">
        <f>IFERROR(__xludf.DUMMYFUNCTION("""COMPUTED_VALUE"""),"Нет, не приходилось")</f>
        <v>Нет, не приходилось</v>
      </c>
      <c r="T967" s="6" t="str">
        <f>IFERROR(__xludf.DUMMYFUNCTION("""COMPUTED_VALUE"""),"Уголь")</f>
        <v>Уголь</v>
      </c>
      <c r="U967" s="6" t="str">
        <f>IFERROR(__xludf.DUMMYFUNCTION("""COMPUTED_VALUE"""),"Главпочтамт ")</f>
        <v>Главпочтамт </v>
      </c>
      <c r="V967" s="6" t="str">
        <f>IFERROR(__xludf.DUMMYFUNCTION("""COMPUTED_VALUE"""),"Да ничего ")</f>
        <v>Да ничего </v>
      </c>
      <c r="W967" s="6" t="str">
        <f>IFERROR(__xludf.DUMMYFUNCTION("""COMPUTED_VALUE"""),"Злые , вечно куда-то торопятся ")</f>
        <v>Злые , вечно куда-то торопятся </v>
      </c>
      <c r="X967" s="6" t="str">
        <f>IFERROR(__xludf.DUMMYFUNCTION("""COMPUTED_VALUE"""),"Набережная ")</f>
        <v>Набережная </v>
      </c>
      <c r="Y967" s="6" t="str">
        <f>IFERROR(__xludf.DUMMYFUNCTION("""COMPUTED_VALUE"""),"Пожар в зимней вишне")</f>
        <v>Пожар в зимней вишне</v>
      </c>
      <c r="Z967" s="6" t="str">
        <f>IFERROR(__xludf.DUMMYFUNCTION("""COMPUTED_VALUE"""),"Концерт герои рока")</f>
        <v>Концерт герои рока</v>
      </c>
      <c r="AA967" s="6" t="str">
        <f>IFERROR(__xludf.DUMMYFUNCTION("""COMPUTED_VALUE"""),"-")</f>
        <v>-</v>
      </c>
      <c r="AB967" s="6" t="str">
        <f>IFERROR(__xludf.DUMMYFUNCTION("""COMPUTED_VALUE"""),"Всего хватает ")</f>
        <v>Всего хватает </v>
      </c>
      <c r="AC967" s="6" t="str">
        <f>IFERROR(__xludf.DUMMYFUNCTION("""COMPUTED_VALUE"""),"Концертов ")</f>
        <v>Концертов </v>
      </c>
      <c r="AD96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67" s="6" t="str">
        <f>IFERROR(__xludf.DUMMYFUNCTION("""COMPUTED_VALUE"""),"Женский")</f>
        <v>Женский</v>
      </c>
      <c r="AF967" s="6" t="str">
        <f>IFERROR(__xludf.DUMMYFUNCTION("""COMPUTED_VALUE"""),"18-29")</f>
        <v>18-29</v>
      </c>
      <c r="AG967" s="6"/>
      <c r="AH967" s="6"/>
      <c r="AI967" s="6"/>
      <c r="AJ967" s="6"/>
      <c r="AK967" s="6"/>
      <c r="AL967" s="6"/>
      <c r="AM967" s="6"/>
    </row>
    <row r="968">
      <c r="A968" s="6">
        <v>967.0</v>
      </c>
      <c r="B968" s="6" t="str">
        <f>IFERROR(__xludf.DUMMYFUNCTION("""COMPUTED_VALUE"""),"Банк")</f>
        <v>Банк</v>
      </c>
      <c r="C968" s="6" t="str">
        <f>IFERROR(__xludf.DUMMYFUNCTION("""COMPUTED_VALUE"""),"Прогулки")</f>
        <v>Прогулки</v>
      </c>
      <c r="D968" s="6" t="str">
        <f>IFERROR(__xludf.DUMMYFUNCTION("""COMPUTED_VALUE"""),"Южный")</f>
        <v>Южный</v>
      </c>
      <c r="E968" s="6" t="str">
        <f>IFERROR(__xludf.DUMMYFUNCTION("""COMPUTED_VALUE"""),"Аллея патриотов")</f>
        <v>Аллея патриотов</v>
      </c>
      <c r="F968" s="6" t="str">
        <f>IFERROR(__xludf.DUMMYFUNCTION("""COMPUTED_VALUE"""),"Переехал сюда из другого места (откуда? укажите в графе другое), Приехала в институт из Гурьевска, осталась ")</f>
        <v>Переехал сюда из другого места (откуда? укажите в графе другое), Приехала в институт из Гурьевска, осталась </v>
      </c>
      <c r="G968" s="6" t="str">
        <f>IFERROR(__xludf.DUMMYFUNCTION("""COMPUTED_VALUE"""),"Парк жукова, набережная ")</f>
        <v>Парк жукова, набережная </v>
      </c>
      <c r="H968" s="6" t="str">
        <f>IFERROR(__xludf.DUMMYFUNCTION("""COMPUTED_VALUE"""),"Уголь, Леонов, красная горка, лесная поляна, кузгту")</f>
        <v>Уголь, Леонов, красная горка, лесная поляна, кузгту</v>
      </c>
      <c r="I968" s="6" t="str">
        <f>IFERROR(__xludf.DUMMYFUNCTION("""COMPUTED_VALUE"""),"Леонов, тулеев, машков, малышева")</f>
        <v>Леонов, тулеев, машков, малышева</v>
      </c>
      <c r="J968" s="6" t="str">
        <f>IFERROR(__xludf.DUMMYFUNCTION("""COMPUTED_VALUE"""),"Михайлов")</f>
        <v>Михайлов</v>
      </c>
      <c r="K968" s="6" t="str">
        <f>IFERROR(__xludf.DUMMYFUNCTION("""COMPUTED_VALUE"""),"Красная горка, набережная, парк жукова")</f>
        <v>Красная горка, набережная, парк жукова</v>
      </c>
      <c r="L968" s="6" t="str">
        <f>IFERROR(__xludf.DUMMYFUNCTION("""COMPUTED_VALUE"""),"Не знаю")</f>
        <v>Не знаю</v>
      </c>
      <c r="M968" s="6" t="str">
        <f>IFERROR(__xludf.DUMMYFUNCTION("""COMPUTED_VALUE"""),"Не знаю")</f>
        <v>Не знаю</v>
      </c>
      <c r="N968" s="6" t="str">
        <f>IFERROR(__xludf.DUMMYFUNCTION("""COMPUTED_VALUE"""),"Места отдыха, детские площадки, зелёные насаждения, молодёжь, экология")</f>
        <v>Места отдыха, детские площадки, зелёные насаждения, молодёжь, экология</v>
      </c>
      <c r="O968" s="6" t="str">
        <f>IFERROR(__xludf.DUMMYFUNCTION("""COMPUTED_VALUE"""),"Экология")</f>
        <v>Экология</v>
      </c>
      <c r="P968" s="6" t="str">
        <f>IFERROR(__xludf.DUMMYFUNCTION("""COMPUTED_VALUE"""),"Инстаграм, вконтакте")</f>
        <v>Инстаграм, вконтакте</v>
      </c>
      <c r="Q968" s="6" t="str">
        <f>IFERROR(__xludf.DUMMYFUNCTION("""COMPUTED_VALUE"""),"куда пойти в свободное время, 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интервью с экспертами на р"&amp;"азные темы (напишите в разделе Другое свои предложения)")</f>
        <v>куда пойти в свободное время, 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968" s="6" t="str">
        <f>IFERROR(__xludf.DUMMYFUNCTION("""COMPUTED_VALUE"""),"День города, 9 мая")</f>
        <v>День города, 9 мая</v>
      </c>
      <c r="S968" s="6" t="str">
        <f>IFERROR(__xludf.DUMMYFUNCTION("""COMPUTED_VALUE"""),"Нет, не приходилось")</f>
        <v>Нет, не приходилось</v>
      </c>
      <c r="T968" s="6" t="str">
        <f>IFERROR(__xludf.DUMMYFUNCTION("""COMPUTED_VALUE"""),"Зимней вишней стал знаменит ")</f>
        <v>Зимней вишней стал знаменит </v>
      </c>
      <c r="U968" s="6" t="str">
        <f>IFERROR(__xludf.DUMMYFUNCTION("""COMPUTED_VALUE"""),"Парк жукова")</f>
        <v>Парк жукова</v>
      </c>
      <c r="V968" s="6" t="str">
        <f>IFERROR(__xludf.DUMMYFUNCTION("""COMPUTED_VALUE"""),"Михайлов, тулеев делали много, середюк тоже молодец")</f>
        <v>Михайлов, тулеев делали много, середюк тоже молодец</v>
      </c>
      <c r="W968" s="6" t="str">
        <f>IFERROR(__xludf.DUMMYFUNCTION("""COMPUTED_VALUE"""),"-")</f>
        <v>-</v>
      </c>
      <c r="X968" s="6" t="str">
        <f>IFERROR(__xludf.DUMMYFUNCTION("""COMPUTED_VALUE"""),"-")</f>
        <v>-</v>
      </c>
      <c r="Y968" s="6" t="str">
        <f>IFERROR(__xludf.DUMMYFUNCTION("""COMPUTED_VALUE"""),"Зимняя вишня стала самым значимым историческим событием ")</f>
        <v>Зимняя вишня стала самым значимым историческим событием </v>
      </c>
      <c r="Z968" s="6" t="str">
        <f>IFERROR(__xludf.DUMMYFUNCTION("""COMPUTED_VALUE"""),"Благоустройство парка жукова, реки, мост")</f>
        <v>Благоустройство парка жукова, реки, мост</v>
      </c>
      <c r="AA968" s="6" t="str">
        <f>IFERROR(__xludf.DUMMYFUNCTION("""COMPUTED_VALUE"""),"Постоянный режим чёрного неба")</f>
        <v>Постоянный режим чёрного неба</v>
      </c>
      <c r="AB968" s="6" t="str">
        <f>IFERROR(__xludf.DUMMYFUNCTION("""COMPUTED_VALUE"""),"Для детей и молодежи")</f>
        <v>Для детей и молодежи</v>
      </c>
      <c r="AC968" s="6" t="str">
        <f>IFERROR(__xludf.DUMMYFUNCTION("""COMPUTED_VALUE"""),"Не знаю")</f>
        <v>Не знаю</v>
      </c>
      <c r="AD96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непосредств"&amp;"енно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68" s="6" t="str">
        <f>IFERROR(__xludf.DUMMYFUNCTION("""COMPUTED_VALUE"""),"Женский")</f>
        <v>Женский</v>
      </c>
      <c r="AF968" s="6" t="str">
        <f>IFERROR(__xludf.DUMMYFUNCTION("""COMPUTED_VALUE"""),"30-44")</f>
        <v>30-44</v>
      </c>
      <c r="AG968" s="6"/>
      <c r="AH968" s="6"/>
      <c r="AI968" s="6"/>
      <c r="AJ968" s="6"/>
      <c r="AK968" s="6"/>
      <c r="AL968" s="6"/>
      <c r="AM968" s="6"/>
    </row>
    <row r="969">
      <c r="A969" s="6">
        <v>968.0</v>
      </c>
      <c r="B969" s="6" t="str">
        <f>IFERROR(__xludf.DUMMYFUNCTION("""COMPUTED_VALUE"""),"Маркетинг")</f>
        <v>Маркетинг</v>
      </c>
      <c r="C969" s="6" t="str">
        <f>IFERROR(__xludf.DUMMYFUNCTION("""COMPUTED_VALUE"""),"Нет")</f>
        <v>Нет</v>
      </c>
      <c r="D969" s="6" t="str">
        <f>IFERROR(__xludf.DUMMYFUNCTION("""COMPUTED_VALUE"""),"Радуга")</f>
        <v>Радуга</v>
      </c>
      <c r="E969" s="6" t="str">
        <f>IFERROR(__xludf.DUMMYFUNCTION("""COMPUTED_VALUE"""),"Тц радуга")</f>
        <v>Тц радуга</v>
      </c>
      <c r="F969" s="6" t="str">
        <f>IFERROR(__xludf.DUMMYFUNCTION("""COMPUTED_VALUE"""),"Живу здесь с рождения")</f>
        <v>Живу здесь с рождения</v>
      </c>
      <c r="G969" s="6" t="str">
        <f>IFERROR(__xludf.DUMMYFUNCTION("""COMPUTED_VALUE"""),"Гуляю в центре")</f>
        <v>Гуляю в центре</v>
      </c>
      <c r="H969" s="6" t="str">
        <f>IFERROR(__xludf.DUMMYFUNCTION("""COMPUTED_VALUE"""),"Фантан, уголь, цирк, вокзал, грязный воздух")</f>
        <v>Фантан, уголь, цирк, вокзал, грязный воздух</v>
      </c>
      <c r="I969" s="6" t="str">
        <f>IFERROR(__xludf.DUMMYFUNCTION("""COMPUTED_VALUE"""),"Михайло Волков, Тулеев")</f>
        <v>Михайло Волков, Тулеев</v>
      </c>
      <c r="J969" s="6" t="str">
        <f>IFERROR(__xludf.DUMMYFUNCTION("""COMPUTED_VALUE"""),"Не знаю таких")</f>
        <v>Не знаю таких</v>
      </c>
      <c r="K969" s="6" t="str">
        <f>IFERROR(__xludf.DUMMYFUNCTION("""COMPUTED_VALUE"""),"Азот")</f>
        <v>Азот</v>
      </c>
      <c r="L969" s="6" t="str">
        <f>IFERROR(__xludf.DUMMYFUNCTION("""COMPUTED_VALUE"""),"Умер от рака в 20 лет")</f>
        <v>Умер от рака в 20 лет</v>
      </c>
      <c r="M969" s="6" t="str">
        <f>IFERROR(__xludf.DUMMYFUNCTION("""COMPUTED_VALUE"""),"Подрик")</f>
        <v>Подрик</v>
      </c>
      <c r="N969" s="6" t="str">
        <f>IFERROR(__xludf.DUMMYFUNCTION("""COMPUTED_VALUE"""),"Чистота, много мест для отдыха, специально выделенные зоны для отдыха")</f>
        <v>Чистота, много мест для отдыха, специально выделенные зоны для отдыха</v>
      </c>
      <c r="O969" s="6" t="str">
        <f>IFERROR(__xludf.DUMMYFUNCTION("""COMPUTED_VALUE"""),"Очистить воздух и перестать воровать государственный бюджет, повысить зп")</f>
        <v>Очистить воздух и перестать воровать государственный бюджет, повысить зп</v>
      </c>
      <c r="P969" s="6" t="str">
        <f>IFERROR(__xludf.DUMMYFUNCTION("""COMPUTED_VALUE"""),"Инста. Афиши. Нет нормального портала с анонсами")</f>
        <v>Инста. Афиши. Нет нормального портала с анонсами</v>
      </c>
      <c r="Q969" s="6" t="str">
        <f>IFERROR(__xludf.DUMMYFUNCTION("""COMPUTED_VALUE"""),"куда пойти в свободное время, интервью с местными творческими личностями")</f>
        <v>куда пойти в свободное время, интервью с местными творческими личностями</v>
      </c>
      <c r="R969" s="6" t="str">
        <f>IFERROR(__xludf.DUMMYFUNCTION("""COMPUTED_VALUE"""),"Уровень дохода населения")</f>
        <v>Уровень дохода населения</v>
      </c>
      <c r="S969" s="6" t="str">
        <f>IFERROR(__xludf.DUMMYFUNCTION("""COMPUTED_VALUE"""),"Делал рассылку по электронной почте, Обращался в редакции электронных городских СМИ")</f>
        <v>Делал рассылку по электронной почте, Обращался в редакции электронных городских СМИ</v>
      </c>
      <c r="T969" s="6" t="str">
        <f>IFERROR(__xludf.DUMMYFUNCTION("""COMPUTED_VALUE"""),"Ничего")</f>
        <v>Ничего</v>
      </c>
      <c r="U969" s="6" t="str">
        <f>IFERROR(__xludf.DUMMYFUNCTION("""COMPUTED_VALUE"""),"Драмтеатр")</f>
        <v>Драмтеатр</v>
      </c>
      <c r="V969" s="6" t="str">
        <f>IFERROR(__xludf.DUMMYFUNCTION("""COMPUTED_VALUE"""),"Вкалывали")</f>
        <v>Вкалывали</v>
      </c>
      <c r="W969" s="6" t="str">
        <f>IFERROR(__xludf.DUMMYFUNCTION("""COMPUTED_VALUE"""),"Озлобленные экономической обстановкой")</f>
        <v>Озлобленные экономической обстановкой</v>
      </c>
      <c r="X969" s="6" t="str">
        <f>IFERROR(__xludf.DUMMYFUNCTION("""COMPUTED_VALUE"""),"По Ленина прогуляться")</f>
        <v>По Ленина прогуляться</v>
      </c>
      <c r="Y969" s="6" t="str">
        <f>IFERROR(__xludf.DUMMYFUNCTION("""COMPUTED_VALUE"""),"Карантин")</f>
        <v>Карантин</v>
      </c>
      <c r="Z969" s="6" t="str">
        <f>IFERROR(__xludf.DUMMYFUNCTION("""COMPUTED_VALUE"""),"Рокфэст")</f>
        <v>Рокфэст</v>
      </c>
      <c r="AA969" s="6" t="str">
        <f>IFERROR(__xludf.DUMMYFUNCTION("""COMPUTED_VALUE"""),"Зимняя вишня")</f>
        <v>Зимняя вишня</v>
      </c>
      <c r="AB969" s="6" t="str">
        <f>IFERROR(__xludf.DUMMYFUNCTION("""COMPUTED_VALUE"""),"Бесплатных")</f>
        <v>Бесплатных</v>
      </c>
      <c r="AC969" s="6" t="str">
        <f>IFERROR(__xludf.DUMMYFUNCTION("""COMPUTED_VALUE"""),"Мастер-классы, обучающие мероприятия, развлекательные")</f>
        <v>Мастер-классы, обучающие мероприятия, развлекательные</v>
      </c>
      <c r="AD96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969" s="6" t="str">
        <f>IFERROR(__xludf.DUMMYFUNCTION("""COMPUTED_VALUE"""),"Женский")</f>
        <v>Женский</v>
      </c>
      <c r="AF969" s="6" t="str">
        <f>IFERROR(__xludf.DUMMYFUNCTION("""COMPUTED_VALUE"""),"18-29")</f>
        <v>18-29</v>
      </c>
      <c r="AG969" s="6"/>
      <c r="AH969" s="6"/>
      <c r="AI969" s="6"/>
      <c r="AJ969" s="6"/>
      <c r="AK969" s="6"/>
      <c r="AL969" s="6"/>
      <c r="AM969" s="6"/>
    </row>
    <row r="970">
      <c r="A970" s="6">
        <v>969.0</v>
      </c>
      <c r="B970" s="6" t="str">
        <f>IFERROR(__xludf.DUMMYFUNCTION("""COMPUTED_VALUE"""),"Финансы")</f>
        <v>Финансы</v>
      </c>
      <c r="C970" s="6" t="str">
        <f>IFERROR(__xludf.DUMMYFUNCTION("""COMPUTED_VALUE"""),"Интерьер")</f>
        <v>Интерьер</v>
      </c>
      <c r="D970" s="6" t="str">
        <f>IFERROR(__xludf.DUMMYFUNCTION("""COMPUTED_VALUE"""),"Ленинский")</f>
        <v>Ленинский</v>
      </c>
      <c r="E970" s="6" t="str">
        <f>IFERROR(__xludf.DUMMYFUNCTION("""COMPUTED_VALUE"""),"Набережная р.Томь, бульвар и кольцо в районе Президентского Кадетского Корпуса, Лесная Поляна ")</f>
        <v>Набережная р.Томь, бульвар и кольцо в районе Президентского Кадетского Корпуса, Лесная Поляна </v>
      </c>
      <c r="F970" s="6" t="str">
        <f>IFERROR(__xludf.DUMMYFUNCTION("""COMPUTED_VALUE"""),"Живу здесь с рождения")</f>
        <v>Живу здесь с рождения</v>
      </c>
      <c r="G970" s="6" t="str">
        <f>IFERROR(__xludf.DUMMYFUNCTION("""COMPUTED_VALUE"""),"Лесная Поляна")</f>
        <v>Лесная Поляна</v>
      </c>
      <c r="H970" s="6" t="str">
        <f>IFERROR(__xludf.DUMMYFUNCTION("""COMPUTED_VALUE"""),"Уютный, зеленый, комфортный, маленькая деревня, газ")</f>
        <v>Уютный, зеленый, комфортный, маленькая деревня, газ</v>
      </c>
      <c r="I970" s="6" t="str">
        <f>IFERROR(__xludf.DUMMYFUNCTION("""COMPUTED_VALUE"""),"Леонов")</f>
        <v>Леонов</v>
      </c>
      <c r="J970" s="6" t="str">
        <f>IFERROR(__xludf.DUMMYFUNCTION("""COMPUTED_VALUE"""),"Гришковец")</f>
        <v>Гришковец</v>
      </c>
      <c r="K970" s="6" t="str">
        <f>IFERROR(__xludf.DUMMYFUNCTION("""COMPUTED_VALUE"""),"Лесная поляна, кольцо в районе Кадетского корпуса, б-р Строителей, Сердце шахтера и вид от туда")</f>
        <v>Лесная поляна, кольцо в районе Кадетского корпуса, б-р Строителей, Сердце шахтера и вид от туда</v>
      </c>
      <c r="L970" s="6" t="str">
        <f>IFERROR(__xludf.DUMMYFUNCTION("""COMPUTED_VALUE"""),"-")</f>
        <v>-</v>
      </c>
      <c r="M970" s="6" t="str">
        <f>IFERROR(__xludf.DUMMYFUNCTION("""COMPUTED_VALUE"""),"-")</f>
        <v>-</v>
      </c>
      <c r="N970" s="6" t="str">
        <f>IFERROR(__xludf.DUMMYFUNCTION("""COMPUTED_VALUE"""),"Ровные и чистые дороги, без газа, много деревьев и зелени")</f>
        <v>Ровные и чистые дороги, без газа, много деревьев и зелени</v>
      </c>
      <c r="O970" s="6" t="str">
        <f>IFERROR(__xludf.DUMMYFUNCTION("""COMPUTED_VALUE"""),"облагородить дворы, сделать асфальт во дворах, детские площадки")</f>
        <v>облагородить дворы, сделать асфальт во дворах, детские площадки</v>
      </c>
      <c r="P970" s="6" t="str">
        <f>IFERROR(__xludf.DUMMYFUNCTION("""COMPUTED_VALUE"""),"Чаты ""мамочек""")</f>
        <v>Чаты "мамочек"</v>
      </c>
      <c r="Q970"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970" s="6" t="str">
        <f>IFERROR(__xludf.DUMMYFUNCTION("""COMPUTED_VALUE"""),"9 Мая (Бессмертный полк)")</f>
        <v>9 Мая (Бессмертный полк)</v>
      </c>
      <c r="S970" s="6" t="str">
        <f>IFERROR(__xludf.DUMMYFUNCTION("""COMPUTED_VALUE"""),"Нет, не приходилось")</f>
        <v>Нет, не приходилось</v>
      </c>
      <c r="T970" s="6" t="str">
        <f>IFERROR(__xludf.DUMMYFUNCTION("""COMPUTED_VALUE"""),"Лесная Поляна, Сосновый бор")</f>
        <v>Лесная Поляна, Сосновый бор</v>
      </c>
      <c r="U970" s="6" t="str">
        <f>IFERROR(__xludf.DUMMYFUNCTION("""COMPUTED_VALUE"""),"ул.Весенняя от Драмы до Вечного огня")</f>
        <v>ул.Весенняя от Драмы до Вечного огня</v>
      </c>
      <c r="V970" s="6" t="str">
        <f>IFERROR(__xludf.DUMMYFUNCTION("""COMPUTED_VALUE"""),"-")</f>
        <v>-</v>
      </c>
      <c r="W970" s="6" t="str">
        <f>IFERROR(__xludf.DUMMYFUNCTION("""COMPUTED_VALUE"""),"-")</f>
        <v>-</v>
      </c>
      <c r="X970" s="6" t="str">
        <f>IFERROR(__xludf.DUMMYFUNCTION("""COMPUTED_VALUE"""),"Красная Горка и памятник ""Сердце шахтера"", вид на город")</f>
        <v>Красная Горка и памятник "Сердце шахтера", вид на город</v>
      </c>
      <c r="Y970" s="6" t="str">
        <f>IFERROR(__xludf.DUMMYFUNCTION("""COMPUTED_VALUE"""),"-")</f>
        <v>-</v>
      </c>
      <c r="Z970" s="6" t="str">
        <f>IFERROR(__xludf.DUMMYFUNCTION("""COMPUTED_VALUE"""),"-")</f>
        <v>-</v>
      </c>
      <c r="AA970" s="6" t="str">
        <f>IFERROR(__xludf.DUMMYFUNCTION("""COMPUTED_VALUE"""),"-")</f>
        <v>-</v>
      </c>
      <c r="AB970" s="6" t="str">
        <f>IFERROR(__xludf.DUMMYFUNCTION("""COMPUTED_VALUE"""),"-")</f>
        <v>-</v>
      </c>
      <c r="AC970" s="6" t="str">
        <f>IFERROR(__xludf.DUMMYFUNCTION("""COMPUTED_VALUE"""),"-")</f>
        <v>-</v>
      </c>
      <c r="AD970" s="6" t="str">
        <f>IFERROR(__xludf.DUMMYFUNCTION("""COMPUTED_VALUE"""),"Не готов принимать личное участие (укажите, пожалуйста, причину в поле «Другое»), Нет времени")</f>
        <v>Не готов принимать личное участие (укажите, пожалуйста, причину в поле «Другое»), Нет времени</v>
      </c>
      <c r="AE970" s="6" t="str">
        <f>IFERROR(__xludf.DUMMYFUNCTION("""COMPUTED_VALUE"""),"Женский")</f>
        <v>Женский</v>
      </c>
      <c r="AF970" s="6" t="str">
        <f>IFERROR(__xludf.DUMMYFUNCTION("""COMPUTED_VALUE"""),"30-44")</f>
        <v>30-44</v>
      </c>
      <c r="AG970" s="6"/>
      <c r="AH970" s="6"/>
      <c r="AI970" s="6"/>
      <c r="AJ970" s="6"/>
      <c r="AK970" s="6"/>
      <c r="AL970" s="6"/>
      <c r="AM970" s="6"/>
    </row>
    <row r="971">
      <c r="A971" s="6">
        <v>970.0</v>
      </c>
      <c r="B971" s="6" t="str">
        <f>IFERROR(__xludf.DUMMYFUNCTION("""COMPUTED_VALUE"""),"Работа с персоналом")</f>
        <v>Работа с персоналом</v>
      </c>
      <c r="C971" s="6" t="str">
        <f>IFERROR(__xludf.DUMMYFUNCTION("""COMPUTED_VALUE"""),"йога")</f>
        <v>йога</v>
      </c>
      <c r="D971" s="6" t="str">
        <f>IFERROR(__xludf.DUMMYFUNCTION("""COMPUTED_VALUE"""),"Центральный")</f>
        <v>Центральный</v>
      </c>
      <c r="E971" s="6" t="str">
        <f>IFERROR(__xludf.DUMMYFUNCTION("""COMPUTED_VALUE"""),"Парк Победы, Парк Ангелов, Набережная, Памятник Ленину")</f>
        <v>Парк Победы, Парк Ангелов, Набережная, Памятник Ленину</v>
      </c>
      <c r="F971" s="6" t="str">
        <f>IFERROR(__xludf.DUMMYFUNCTION("""COMPUTED_VALUE"""),"Живу здесь с рождения")</f>
        <v>Живу здесь с рождения</v>
      </c>
      <c r="G971" s="6" t="str">
        <f>IFERROR(__xludf.DUMMYFUNCTION("""COMPUTED_VALUE"""),"Сосновый Бор, Набережная ")</f>
        <v>Сосновый Бор, Набережная </v>
      </c>
      <c r="H971" s="6" t="str">
        <f>IFERROR(__xludf.DUMMYFUNCTION("""COMPUTED_VALUE"""),"Уютный, маленький, грязный, дружелюбный, все в шаговой доступности")</f>
        <v>Уютный, маленький, грязный, дружелюбный, все в шаговой доступности</v>
      </c>
      <c r="I971" s="6" t="str">
        <f>IFERROR(__xludf.DUMMYFUNCTION("""COMPUTED_VALUE"""),"Михайло Волков, Мартемьянов")</f>
        <v>Михайло Волков, Мартемьянов</v>
      </c>
      <c r="J971" s="6" t="str">
        <f>IFERROR(__xludf.DUMMYFUNCTION("""COMPUTED_VALUE"""),"Аман Тулеев")</f>
        <v>Аман Тулеев</v>
      </c>
      <c r="K971" s="6" t="str">
        <f>IFERROR(__xludf.DUMMYFUNCTION("""COMPUTED_VALUE"""),"Красная Горка, Кедровй Бор")</f>
        <v>Красная Горка, Кедровй Бор</v>
      </c>
      <c r="L971" s="6" t="str">
        <f>IFERROR(__xludf.DUMMYFUNCTION("""COMPUTED_VALUE"""),"не знаю")</f>
        <v>не знаю</v>
      </c>
      <c r="M971" s="6" t="str">
        <f>IFERROR(__xludf.DUMMYFUNCTION("""COMPUTED_VALUE"""),"мультифора")</f>
        <v>мультифора</v>
      </c>
      <c r="N971" s="6" t="str">
        <f>IFERROR(__xludf.DUMMYFUNCTION("""COMPUTED_VALUE"""),"Уютный, современный, перспективный, чистый,небольшой")</f>
        <v>Уютный, современный, перспективный, чистый,небольшой</v>
      </c>
      <c r="O971" s="6" t="str">
        <f>IFERROR(__xludf.DUMMYFUNCTION("""COMPUTED_VALUE"""),"экологию")</f>
        <v>экологию</v>
      </c>
      <c r="P971" s="6" t="str">
        <f>IFERROR(__xludf.DUMMYFUNCTION("""COMPUTED_VALUE"""),"А42.RU , Афиша Кемерово, vkemerovo ")</f>
        <v>А42.RU , Афиша Кемерово, vkemerovo </v>
      </c>
      <c r="Q97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н"&amp;"а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971" s="6" t="str">
        <f>IFERROR(__xludf.DUMMYFUNCTION("""COMPUTED_VALUE"""),"День Победы, День города, День Шахтера")</f>
        <v>День Победы, День города, День Шахтера</v>
      </c>
      <c r="S971" s="6" t="str">
        <f>IFERROR(__xludf.DUMMYFUNCTION("""COMPUTED_VALUE"""),"Нет, не приходилось")</f>
        <v>Нет, не приходилось</v>
      </c>
      <c r="T971" s="6" t="str">
        <f>IFERROR(__xludf.DUMMYFUNCTION("""COMPUTED_VALUE"""),"Добыча угля")</f>
        <v>Добыча угля</v>
      </c>
      <c r="U971" s="6" t="str">
        <f>IFERROR(__xludf.DUMMYFUNCTION("""COMPUTED_VALUE"""),"Площадь Ленина")</f>
        <v>Площадь Ленина</v>
      </c>
      <c r="V971" s="6" t="str">
        <f>IFERROR(__xludf.DUMMYFUNCTION("""COMPUTED_VALUE"""),"не могу вспомнить")</f>
        <v>не могу вспомнить</v>
      </c>
      <c r="W971" s="6" t="str">
        <f>IFERROR(__xludf.DUMMYFUNCTION("""COMPUTED_VALUE"""),"Угрюмые, бегут по своим делам. Но при этом всегда могут помочь.")</f>
        <v>Угрюмые, бегут по своим делам. Но при этом всегда могут помочь.</v>
      </c>
      <c r="X971" s="6" t="str">
        <f>IFERROR(__xludf.DUMMYFUNCTION("""COMPUTED_VALUE"""),"Площадь Ленина-Набережная-Горсад-Красная Горка-Парк Ангелов-Парк Победы-Парк Антошка")</f>
        <v>Площадь Ленина-Набережная-Горсад-Красная Горка-Парк Ангелов-Парк Победы-Парк Антошка</v>
      </c>
      <c r="Y971" s="6" t="str">
        <f>IFERROR(__xludf.DUMMYFUNCTION("""COMPUTED_VALUE"""),"не помню")</f>
        <v>не помню</v>
      </c>
      <c r="Z971" s="6" t="str">
        <f>IFERROR(__xludf.DUMMYFUNCTION("""COMPUTED_VALUE"""),"Тотальный диктант, Парад на 9 мая, Концерт БИ-2")</f>
        <v>Тотальный диктант, Парад на 9 мая, Концерт БИ-2</v>
      </c>
      <c r="AA971" s="6" t="str">
        <f>IFERROR(__xludf.DUMMYFUNCTION("""COMPUTED_VALUE"""),"Пожар в Зимней вишне, Митинги в центре")</f>
        <v>Пожар в Зимней вишне, Митинги в центре</v>
      </c>
      <c r="AB971" s="6" t="str">
        <f>IFERROR(__xludf.DUMMYFUNCTION("""COMPUTED_VALUE"""),"хватает")</f>
        <v>хватает</v>
      </c>
      <c r="AC971" s="6" t="str">
        <f>IFERROR(__xludf.DUMMYFUNCTION("""COMPUTED_VALUE"""),"Музыкальные фестивали ,спортивные мероприятия")</f>
        <v>Музыкальные фестивали ,спортивные мероприятия</v>
      </c>
      <c r="AD971"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971" s="6" t="str">
        <f>IFERROR(__xludf.DUMMYFUNCTION("""COMPUTED_VALUE"""),"Женский")</f>
        <v>Женский</v>
      </c>
      <c r="AF971" s="6" t="str">
        <f>IFERROR(__xludf.DUMMYFUNCTION("""COMPUTED_VALUE"""),"30-44")</f>
        <v>30-44</v>
      </c>
      <c r="AG971" s="6"/>
      <c r="AH971" s="6"/>
      <c r="AI971" s="6"/>
      <c r="AJ971" s="6"/>
      <c r="AK971" s="6"/>
      <c r="AL971" s="6"/>
      <c r="AM971" s="6"/>
    </row>
    <row r="972">
      <c r="A972" s="6">
        <v>971.0</v>
      </c>
      <c r="B972" s="6" t="str">
        <f>IFERROR(__xludf.DUMMYFUNCTION("""COMPUTED_VALUE"""),"Пенсионер. Воспитываю дочь.")</f>
        <v>Пенсионер. Воспитываю дочь.</v>
      </c>
      <c r="C972" s="6" t="str">
        <f>IFERROR(__xludf.DUMMYFUNCTION("""COMPUTED_VALUE"""),"Отдых на природе")</f>
        <v>Отдых на природе</v>
      </c>
      <c r="D972" s="6" t="str">
        <f>IFERROR(__xludf.DUMMYFUNCTION("""COMPUTED_VALUE"""),"Кировский район")</f>
        <v>Кировский район</v>
      </c>
      <c r="E972" s="6" t="str">
        <f>IFERROR(__xludf.DUMMYFUNCTION("""COMPUTED_VALUE"""),"Набережная")</f>
        <v>Набережная</v>
      </c>
      <c r="F972" s="6" t="str">
        <f>IFERROR(__xludf.DUMMYFUNCTION("""COMPUTED_VALUE"""),"Живу здесь с рождения")</f>
        <v>Живу здесь с рождения</v>
      </c>
      <c r="G972" s="6" t="str">
        <f>IFERROR(__xludf.DUMMYFUNCTION("""COMPUTED_VALUE"""),"Набережные Кировского района и Парка Чудес, в зимнее время стадион ""Химик"", берег реки Томь в районе д. Верхотомка, пос. Известковый, Кедровый бор")</f>
        <v>Набережные Кировского района и Парка Чудес, в зимнее время стадион "Химик", берег реки Томь в районе д. Верхотомка, пос. Известковый, Кедровый бор</v>
      </c>
      <c r="H972" s="6" t="str">
        <f>IFERROR(__xludf.DUMMYFUNCTION("""COMPUTED_VALUE"""),"М. Волков, Кузбасс, Горсад (Парк Чудес), ст. Кемерово (пассажирская), парк Березовая роща")</f>
        <v>М. Волков, Кузбасс, Горсад (Парк Чудес), ст. Кемерово (пассажирская), парк Березовая роща</v>
      </c>
      <c r="I972" s="6" t="str">
        <f>IFERROR(__xludf.DUMMYFUNCTION("""COMPUTED_VALUE"""),"М. Волков, Подгорбунский, Михайлов, Алексей Леонов, Василий Федоров")</f>
        <v>М. Волков, Подгорбунский, Михайлов, Алексей Леонов, Василий Федоров</v>
      </c>
      <c r="J972" s="6" t="str">
        <f>IFERROR(__xludf.DUMMYFUNCTION("""COMPUTED_VALUE"""),"Гришковец Евгений, Алена Бабенко, Пономарев Андрей Анаатольевич, Лобанов Константин Геннадьевич, Садоха Алексей Юрьевич")</f>
        <v>Гришковец Евгений, Алена Бабенко, Пономарев Андрей Анаатольевич, Лобанов Константин Геннадьевич, Садоха Алексей Юрьевич</v>
      </c>
      <c r="K972" s="6" t="str">
        <f>IFERROR(__xludf.DUMMYFUNCTION("""COMPUTED_VALUE"""),"Пристань на ""Красной горке"", ул. Весеннюю и фонтан у драматического театра, парк Ангелов")</f>
        <v>Пристань на "Красной горке", ул. Весеннюю и фонтан у драматического театра, парк Ангелов</v>
      </c>
      <c r="L972" s="6" t="str">
        <f>IFERROR(__xludf.DUMMYFUNCTION("""COMPUTED_VALUE"""),"Песня Б. Гребенщикова ""Человек из Кемерово""")</f>
        <v>Песня Б. Гребенщикова "Человек из Кемерово"</v>
      </c>
      <c r="M972" s="6" t="str">
        <f>IFERROR(__xludf.DUMMYFUNCTION("""COMPUTED_VALUE"""),"Мультифора, а ещё кузбассовцы произносят слово есть, как исть")</f>
        <v>Мультифора, а ещё кузбассовцы произносят слово есть, как исть</v>
      </c>
      <c r="N972" s="6" t="str">
        <f>IFERROR(__xludf.DUMMYFUNCTION("""COMPUTED_VALUE"""),"чистота, состояние дорог, постриженные зеленые насаждения, отремонтированные и окрашенные здания, наличие мест отдыха и проведения культурно-массовых мероприятий")</f>
        <v>чистота, состояние дорог, постриженные зеленые насаждения, отремонтированные и окрашенные здания, наличие мест отдыха и проведения культурно-массовых мероприятий</v>
      </c>
      <c r="O972" s="6" t="str">
        <f>IFERROR(__xludf.DUMMYFUNCTION("""COMPUTED_VALUE"""),"Качество работы ЖКХ и дорожных служб, деятельность ГИБДД в отношении организаций отвечающих за ремонт и обслуживание дорог города.")</f>
        <v>Качество работы ЖКХ и дорожных служб, деятельность ГИБДД в отношении организаций отвечающих за ремонт и обслуживание дорог города.</v>
      </c>
      <c r="P972" s="6" t="str">
        <f>IFERROR(__xludf.DUMMYFUNCTION("""COMPUTED_VALUE"""),"VSE42, afisha.a42.ru, Цифроарбат")</f>
        <v>VSE42, afisha.a42.ru, Цифроарбат</v>
      </c>
      <c r="Q972" s="6" t="str">
        <f>IFERROR(__xludf.DUMMYFUNCTION("""COMPUTED_VALUE"""),"куда пойти в свободное время, интервью с местными предпринимателями, криминальные новости (происшествия/преступления)")</f>
        <v>куда пойти в свободное время, интервью с местными предпринимателями, криминальные новости (происшествия/преступления)</v>
      </c>
      <c r="R972" s="6" t="str">
        <f>IFERROR(__xludf.DUMMYFUNCTION("""COMPUTED_VALUE"""),"День города, день шахтера, проводы зимы (масленица), фестивали музыкальных коллективов")</f>
        <v>День города, день шахтера, проводы зимы (масленица), фестивали музыкальных коллективов</v>
      </c>
      <c r="S972" s="6" t="str">
        <f>IFERROR(__xludf.DUMMYFUNCTION("""COMPUTED_VALUE"""),"В 1995 году организовал охрану фестиваля ""Рокмайдан""")</f>
        <v>В 1995 году организовал охрану фестиваля "Рокмайдан"</v>
      </c>
      <c r="T972" s="6" t="str">
        <f>IFERROR(__xludf.DUMMYFUNCTION("""COMPUTED_VALUE"""),"Сами жители города Кемерово делают его известным и знаменитым. Широкие проспекты восхищают некоторых гостей города, прибывших из других регионов.")</f>
        <v>Сами жители города Кемерово делают его известным и знаменитым. Широкие проспекты восхищают некоторых гостей города, прибывших из других регионов.</v>
      </c>
      <c r="U972" s="6" t="str">
        <f>IFERROR(__xludf.DUMMYFUNCTION("""COMPUTED_VALUE"""),"Музей ""Красная горка"", площадь М. Волкова, площадь А. Пушкина, Драматический театр, филармония, парк Ангелов")</f>
        <v>Музей "Красная горка", площадь М. Волкова, площадь А. Пушкина, Драматический театр, филармония, парк Ангелов</v>
      </c>
      <c r="V972" s="6" t="str">
        <f>IFERROR(__xludf.DUMMYFUNCTION("""COMPUTED_VALUE"""),"Жили открыто и по совести, совершали поступки не взирая на ограничения правилами и указаниями")</f>
        <v>Жили открыто и по совести, совершали поступки не взирая на ограничения правилами и указаниями</v>
      </c>
      <c r="W972" s="6" t="str">
        <f>IFERROR(__xludf.DUMMYFUNCTION("""COMPUTED_VALUE"""),"Приветливые, добрые, сильные, терпеливые, настойчивые")</f>
        <v>Приветливые, добрые, сильные, терпеливые, настойчивые</v>
      </c>
      <c r="X972" s="6" t="str">
        <f>IFERROR(__xludf.DUMMYFUNCTION("""COMPUTED_VALUE"""),"пл. М. Волкова, Парк Чудес, пл. Пушкина, филармония, парк Жукова, парк Ангелов, пл. М. Волкова")</f>
        <v>пл. М. Волкова, Парк Чудес, пл. Пушкина, филармония, парк Жукова, парк Ангелов, пл. М. Волкова</v>
      </c>
      <c r="Y972" s="6" t="str">
        <f>IFERROR(__xludf.DUMMYFUNCTION("""COMPUTED_VALUE"""),"Сообщение о победе в Великой Отечественной Войне")</f>
        <v>Сообщение о победе в Великой Отечественной Войне</v>
      </c>
      <c r="Z972" s="6" t="str">
        <f>IFERROR(__xludf.DUMMYFUNCTION("""COMPUTED_VALUE"""),"Концерт Герои мирового рока с участием группы ""Акцепт""")</f>
        <v>Концерт Герои мирового рока с участием группы "Акцепт"</v>
      </c>
      <c r="AA972" s="6" t="str">
        <f>IFERROR(__xludf.DUMMYFUNCTION("""COMPUTED_VALUE"""),"Действия начальника управления образования Кемерово Дашковской Н.Ю., полностью дестабилизировалаа деятельность образовательных учреждений города, а также покровительствует МАУ ""Школьное питание"". качество работы которого настолько плохое, что дети отказ"&amp;"ываются от обедов в школе.")</f>
        <v>Действия начальника управления образования Кемерово Дашковской Н.Ю., полностью дестабилизировалаа деятельность образовательных учреждений города, а также покровительствует МАУ "Школьное питание". качество работы которого настолько плохое, что дети отказываются от обедов в школе.</v>
      </c>
      <c r="AB972" s="6" t="str">
        <f>IFERROR(__xludf.DUMMYFUNCTION("""COMPUTED_VALUE"""),"Правовых и социальных, которые могут на безвозмездной основе обеспечивать защиту прав и свобод граждан, обучение и социализацию лиц, как подросткового, так и пожилого возрастов")</f>
        <v>Правовых и социальных, которые могут на безвозмездной основе обеспечивать защиту прав и свобод граждан, обучение и социализацию лиц, как подросткового, так и пожилого возрастов</v>
      </c>
      <c r="AC972" s="6" t="str">
        <f>IFERROR(__xludf.DUMMYFUNCTION("""COMPUTED_VALUE"""),"Культурно-массовые, связанные с историей города и биографией его выдающихся жителей. Открытие новых мест проведения культурно-массовых, спортивных мероприятий, зон отдыха.")</f>
        <v>Культурно-массовые, связанные с историей города и биографией его выдающихся жителей. Открытие новых мест проведения культурно-массовых, спортивных мероприятий, зон отдыха.</v>
      </c>
      <c r="AD97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72" s="6" t="str">
        <f>IFERROR(__xludf.DUMMYFUNCTION("""COMPUTED_VALUE"""),"Мужской")</f>
        <v>Мужской</v>
      </c>
      <c r="AF972" s="6" t="str">
        <f>IFERROR(__xludf.DUMMYFUNCTION("""COMPUTED_VALUE"""),"45-55")</f>
        <v>45-55</v>
      </c>
      <c r="AG972" s="6"/>
      <c r="AH972" s="6"/>
      <c r="AI972" s="6"/>
      <c r="AJ972" s="6"/>
      <c r="AK972" s="6"/>
      <c r="AL972" s="6"/>
      <c r="AM972" s="6"/>
    </row>
    <row r="973">
      <c r="A973" s="6">
        <v>972.0</v>
      </c>
      <c r="B973" s="6" t="str">
        <f>IFERROR(__xludf.DUMMYFUNCTION("""COMPUTED_VALUE"""),"Пенсионер. Внуки, дача. ")</f>
        <v>Пенсионер. Внуки, дача. </v>
      </c>
      <c r="C973" s="6" t="str">
        <f>IFERROR(__xludf.DUMMYFUNCTION("""COMPUTED_VALUE"""),"Отдых на природе родного края. Рыбалка, сплав по таежным речкам. ")</f>
        <v>Отдых на природе родного края. Рыбалка, сплав по таежным речкам. </v>
      </c>
      <c r="D973" s="6" t="str">
        <f>IFERROR(__xludf.DUMMYFUNCTION("""COMPUTED_VALUE"""),"Ленинский район. Так и называю. ")</f>
        <v>Ленинский район. Так и называю. </v>
      </c>
      <c r="E973" s="6" t="str">
        <f>IFERROR(__xludf.DUMMYFUNCTION("""COMPUTED_VALUE"""),"Бор. Красная горка. Улица Весенняя. ")</f>
        <v>Бор. Красная горка. Улица Весенняя. </v>
      </c>
      <c r="F973" s="6" t="str">
        <f>IFERROR(__xludf.DUMMYFUNCTION("""COMPUTED_VALUE"""),"Живу здесь с рождения")</f>
        <v>Живу здесь с рождения</v>
      </c>
      <c r="G973" s="6" t="str">
        <f>IFERROR(__xludf.DUMMYFUNCTION("""COMPUTED_VALUE"""),"В основном летом на даче. Зимой прогулка по бору и в лесу за Осиновкой. ")</f>
        <v>В основном летом на даче. Зимой прогулка по бору и в лесу за Осиновкой. </v>
      </c>
      <c r="H973" s="6" t="str">
        <f>IFERROR(__xludf.DUMMYFUNCTION("""COMPUTED_VALUE"""),"Моя родина. ")</f>
        <v>Моя родина. </v>
      </c>
      <c r="I973" s="6" t="str">
        <f>IFERROR(__xludf.DUMMYFUNCTION("""COMPUTED_VALUE"""),"Подгорбунский, Мартемьянов. ")</f>
        <v>Подгорбунский, Мартемьянов. </v>
      </c>
      <c r="J973" s="6" t="str">
        <f>IFERROR(__xludf.DUMMYFUNCTION("""COMPUTED_VALUE"""),"Михайлов")</f>
        <v>Михайлов</v>
      </c>
      <c r="K973" s="6" t="str">
        <f>IFERROR(__xludf.DUMMYFUNCTION("""COMPUTED_VALUE"""),"Красная горка, ул. Весенняя, набережная. ")</f>
        <v>Красная горка, ул. Весенняя, набережная. </v>
      </c>
      <c r="L973" s="6" t="str">
        <f>IFERROR(__xludf.DUMMYFUNCTION("""COMPUTED_VALUE"""),"Как друзья вы не садитесь, а... толку мало. ")</f>
        <v>Как друзья вы не садитесь, а... толку мало. </v>
      </c>
      <c r="M973" s="6" t="str">
        <f>IFERROR(__xludf.DUMMYFUNCTION("""COMPUTED_VALUE"""),"Нет ")</f>
        <v>Нет </v>
      </c>
      <c r="N973" s="6" t="str">
        <f>IFERROR(__xludf.DUMMYFUNCTION("""COMPUTED_VALUE"""),"Чистота, транспорт, дорожная разметка, шаговая доступность магазинов, детские площадки. ")</f>
        <v>Чистота, транспорт, дорожная разметка, шаговая доступность магазинов, детские площадки. </v>
      </c>
      <c r="O973" s="6" t="str">
        <f>IFERROR(__xludf.DUMMYFUNCTION("""COMPUTED_VALUE"""),"Убрать детскую железную дорогу. ")</f>
        <v>Убрать детскую железную дорогу. </v>
      </c>
      <c r="P973" s="6" t="str">
        <f>IFERROR(__xludf.DUMMYFUNCTION("""COMPUTED_VALUE"""),"Интернет, лента новостей Яндекса, мой город")</f>
        <v>Интернет, лента новостей Яндекса, мой город</v>
      </c>
      <c r="Q973" s="6" t="str">
        <f>IFERROR(__xludf.DUMMYFUNCTION("""COMPUTED_VALUE"""),"городская афиша (кино/театр/концерты), культурные новинки (что почитать/что послушать), криминальные новости (происшествия/преступления)")</f>
        <v>городская афиша (кино/театр/концерты), культурные новинки (что почитать/что послушать), криминальные новости (происшествия/преступления)</v>
      </c>
      <c r="R973" s="6" t="str">
        <f>IFERROR(__xludf.DUMMYFUNCTION("""COMPUTED_VALUE"""),"9 мая. ")</f>
        <v>9 мая. </v>
      </c>
      <c r="S973" s="6" t="str">
        <f>IFERROR(__xludf.DUMMYFUNCTION("""COMPUTED_VALUE"""),"Нет, не приходилось")</f>
        <v>Нет, не приходилось</v>
      </c>
      <c r="T973" s="6" t="str">
        <f>IFERROR(__xludf.DUMMYFUNCTION("""COMPUTED_VALUE"""),"Раньше был известен своей продукцией основных предприятий. Сейчас нет. ")</f>
        <v>Раньше был известен своей продукцией основных предприятий. Сейчас нет. </v>
      </c>
      <c r="U973" s="6" t="str">
        <f>IFERROR(__xludf.DUMMYFUNCTION("""COMPUTED_VALUE"""),"Площадь советов, памятник воинам на Весенней с вечным огнём. ")</f>
        <v>Площадь советов, памятник воинам на Весенней с вечным огнём. </v>
      </c>
      <c r="V973" s="6" t="str">
        <f>IFERROR(__xludf.DUMMYFUNCTION("""COMPUTED_VALUE"""),"Люди жили, работали и не думали о какой-то гордости. Просто любили свой город. Кому было не комфортно - уезжали. ")</f>
        <v>Люди жили, работали и не думали о какой-то гордости. Просто любили свой город. Кому было не комфортно - уезжали. </v>
      </c>
      <c r="W973" s="6" t="str">
        <f>IFERROR(__xludf.DUMMYFUNCTION("""COMPUTED_VALUE"""),"Обычные люди. ")</f>
        <v>Обычные люди. </v>
      </c>
      <c r="X973" s="6" t="str">
        <f>IFERROR(__xludf.DUMMYFUNCTION("""COMPUTED_VALUE"""),"Улица Весенняя, набережная. ")</f>
        <v>Улица Весенняя, набережная. </v>
      </c>
      <c r="Y973" s="6" t="str">
        <f>IFERROR(__xludf.DUMMYFUNCTION("""COMPUTED_VALUE"""),"Когда из Щегловска стал Кемеровым. ")</f>
        <v>Когда из Щегловска стал Кемеровым. </v>
      </c>
      <c r="Z973" s="6" t="str">
        <f>IFERROR(__xludf.DUMMYFUNCTION("""COMPUTED_VALUE"""),"Нет")</f>
        <v>Нет</v>
      </c>
      <c r="AA973" s="6" t="str">
        <f>IFERROR(__xludf.DUMMYFUNCTION("""COMPUTED_VALUE"""),"Пожар в ТЦ Зимняя вишня. И реакция властей. ")</f>
        <v>Пожар в ТЦ Зимняя вишня. И реакция властей. </v>
      </c>
      <c r="AB973" s="6" t="str">
        <f>IFERROR(__xludf.DUMMYFUNCTION("""COMPUTED_VALUE"""),"_")</f>
        <v>_</v>
      </c>
      <c r="AC973" s="6" t="str">
        <f>IFERROR(__xludf.DUMMYFUNCTION("""COMPUTED_VALUE"""),"Больше массовых детских и юношеских мероприятий. ")</f>
        <v>Больше массовых детских и юношеских мероприятий. </v>
      </c>
      <c r="AD973"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973" s="6" t="str">
        <f>IFERROR(__xludf.DUMMYFUNCTION("""COMPUTED_VALUE"""),"Мужской")</f>
        <v>Мужской</v>
      </c>
      <c r="AF973" s="6" t="str">
        <f>IFERROR(__xludf.DUMMYFUNCTION("""COMPUTED_VALUE"""),"старше 55")</f>
        <v>старше 55</v>
      </c>
      <c r="AG973" s="6"/>
      <c r="AH973" s="6"/>
      <c r="AI973" s="6"/>
      <c r="AJ973" s="6"/>
      <c r="AK973" s="6"/>
      <c r="AL973" s="6"/>
      <c r="AM973" s="6"/>
    </row>
    <row r="974">
      <c r="A974" s="6">
        <v>973.0</v>
      </c>
      <c r="B974" s="6" t="str">
        <f>IFERROR(__xludf.DUMMYFUNCTION("""COMPUTED_VALUE"""),"Татуировками. ")</f>
        <v>Татуировками. </v>
      </c>
      <c r="C974" s="6" t="str">
        <f>IFERROR(__xludf.DUMMYFUNCTION("""COMPUTED_VALUE"""),"Искусство")</f>
        <v>Искусство</v>
      </c>
      <c r="D974" s="6" t="str">
        <f>IFERROR(__xludf.DUMMYFUNCTION("""COMPUTED_VALUE"""),"Радуга")</f>
        <v>Радуга</v>
      </c>
      <c r="E974" s="6" t="str">
        <f>IFERROR(__xludf.DUMMYFUNCTION("""COMPUTED_VALUE"""),"Бор ")</f>
        <v>Бор </v>
      </c>
      <c r="F974" s="6" t="str">
        <f>IFERROR(__xludf.DUMMYFUNCTION("""COMPUTED_VALUE"""),"Живу здесь с рождения")</f>
        <v>Живу здесь с рождения</v>
      </c>
      <c r="G974" s="6" t="str">
        <f>IFERROR(__xludf.DUMMYFUNCTION("""COMPUTED_VALUE"""),"Центр, бор ")</f>
        <v>Центр, бор </v>
      </c>
      <c r="H974" s="6" t="str">
        <f>IFERROR(__xludf.DUMMYFUNCTION("""COMPUTED_VALUE"""),"Кофе, трамвай, весенняя улица, Журавли,  драмтеатр. ")</f>
        <v>Кофе, трамвай, весенняя улица, Журавли,  драмтеатр. </v>
      </c>
      <c r="I974" s="6" t="str">
        <f>IFERROR(__xludf.DUMMYFUNCTION("""COMPUTED_VALUE""")," Волков, Леонов, Волошина")</f>
        <v> Волков, Леонов, Волошина</v>
      </c>
      <c r="J974" s="6" t="str">
        <f>IFERROR(__xludf.DUMMYFUNCTION("""COMPUTED_VALUE"""),"-")</f>
        <v>-</v>
      </c>
      <c r="K974" s="6" t="str">
        <f>IFERROR(__xludf.DUMMYFUNCTION("""COMPUTED_VALUE"""),"Бор, набережная.")</f>
        <v>Бор, набережная.</v>
      </c>
      <c r="L974" s="6" t="str">
        <f>IFERROR(__xludf.DUMMYFUNCTION("""COMPUTED_VALUE"""),"-")</f>
        <v>-</v>
      </c>
      <c r="M974" s="6" t="str">
        <f>IFERROR(__xludf.DUMMYFUNCTION("""COMPUTED_VALUE""")," -")</f>
        <v> -</v>
      </c>
      <c r="N974" s="6" t="str">
        <f>IFERROR(__xludf.DUMMYFUNCTION("""COMPUTED_VALUE"""),"Возможность свободно уехать поздним вечером на общественном транспорте,  культурные мероприятия,  доступная медицина, хорошие дороги,  благоустроенные улицы. ")</f>
        <v>Возможность свободно уехать поздним вечером на общественном транспорте,  культурные мероприятия,  доступная медицина, хорошие дороги,  благоустроенные улицы. </v>
      </c>
      <c r="O974" s="6" t="str">
        <f>IFERROR(__xludf.DUMMYFUNCTION("""COMPUTED_VALUE"""),"Больше локаций для прогулок, фотографий. ")</f>
        <v>Больше локаций для прогулок, фотографий. </v>
      </c>
      <c r="P974" s="6" t="str">
        <f>IFERROR(__xludf.DUMMYFUNCTION("""COMPUTED_VALUE"""),"В основном, ""сарафанное радио"".")</f>
        <v>В основном, "сарафанное радио".</v>
      </c>
      <c r="Q974"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974" s="6" t="str">
        <f>IFERROR(__xludf.DUMMYFUNCTION("""COMPUTED_VALUE"""),"День города")</f>
        <v>День города</v>
      </c>
      <c r="S974" s="6" t="str">
        <f>IFERROR(__xludf.DUMMYFUNCTION("""COMPUTED_VALUE"""),"Нет, не приходилось")</f>
        <v>Нет, не приходилось</v>
      </c>
      <c r="T974" s="6" t="str">
        <f>IFERROR(__xludf.DUMMYFUNCTION("""COMPUTED_VALUE"""),"Разумеется,  первая ассоциация - уголь. Хотелось бы сделать Кемерово куда интереснее. Считаю, что ресурс в виде людей, способных на это, нам доступен. ")</f>
        <v>Разумеется,  первая ассоциация - уголь. Хотелось бы сделать Кемерово куда интереснее. Считаю, что ресурс в виде людей, способных на это, нам доступен. </v>
      </c>
      <c r="U974" s="6" t="str">
        <f>IFERROR(__xludf.DUMMYFUNCTION("""COMPUTED_VALUE"""),"Из нового - Парк Ангелов. ")</f>
        <v>Из нового - Парк Ангелов. </v>
      </c>
      <c r="V974" s="6" t="str">
        <f>IFERROR(__xludf.DUMMYFUNCTION("""COMPUTED_VALUE"""),"-")</f>
        <v>-</v>
      </c>
      <c r="W974" s="6" t="str">
        <f>IFERROR(__xludf.DUMMYFUNCTION("""COMPUTED_VALUE""")," У нас много умных людей! Даже в сравнении с большими городами. ")</f>
        <v> У нас много умных людей! Даже в сравнении с большими городами. </v>
      </c>
      <c r="X974" s="6" t="str">
        <f>IFERROR(__xludf.DUMMYFUNCTION("""COMPUTED_VALUE"""),"Бор, крест, мост(Кузнецкий), набережная, Филармония, весенняя")</f>
        <v>Бор, крест, мост(Кузнецкий), набережная, Филармония, весенняя</v>
      </c>
      <c r="Y974" s="6" t="str">
        <f>IFERROR(__xludf.DUMMYFUNCTION("""COMPUTED_VALUE"""),"-")</f>
        <v>-</v>
      </c>
      <c r="Z974" s="6" t="str">
        <f>IFERROR(__xludf.DUMMYFUNCTION("""COMPUTED_VALUE"""),"-")</f>
        <v>-</v>
      </c>
      <c r="AA974" s="6" t="str">
        <f>IFERROR(__xludf.DUMMYFUNCTION("""COMPUTED_VALUE"""),"-")</f>
        <v>-</v>
      </c>
      <c r="AB974" s="6" t="str">
        <f>IFERROR(__xludf.DUMMYFUNCTION("""COMPUTED_VALUE"""),"Всего, что связано с искусством, изучением языков. Лекториев.")</f>
        <v>Всего, что связано с искусством, изучением языков. Лекториев.</v>
      </c>
      <c r="AC974" s="6" t="str">
        <f>IFERROR(__xludf.DUMMYFUNCTION("""COMPUTED_VALUE"""),"Выставки, перфомансы,  реди-мейды, лекции,  музыкальные концерты, Мастер-классы")</f>
        <v>Выставки, перфомансы,  реди-мейды, лекции,  музыкальные концерты, Мастер-классы</v>
      </c>
      <c r="AD974" s="6" t="str">
        <f>IFERROR(__xludf.DUMMYFUNCTION("""COMPUTED_VALUE"""),"Профессионала. Обучать, проводить занятия, мастер-классы, лекции, тренинги, оказать консультацию (укажите тему в поле ""Другое""), Художника, фотографа")</f>
        <v>Профессионала. Обучать, проводить занятия, мастер-классы, лекции, тренинги, оказать консультацию (укажите тему в поле "Другое"), Художника, фотографа</v>
      </c>
      <c r="AE974" s="6" t="str">
        <f>IFERROR(__xludf.DUMMYFUNCTION("""COMPUTED_VALUE"""),"Женский")</f>
        <v>Женский</v>
      </c>
      <c r="AF974" s="6" t="str">
        <f>IFERROR(__xludf.DUMMYFUNCTION("""COMPUTED_VALUE"""),"18-29")</f>
        <v>18-29</v>
      </c>
      <c r="AG974" s="6"/>
      <c r="AH974" s="6"/>
      <c r="AI974" s="6"/>
      <c r="AJ974" s="6"/>
      <c r="AK974" s="6"/>
      <c r="AL974" s="6"/>
      <c r="AM974" s="6"/>
    </row>
    <row r="975">
      <c r="A975" s="6">
        <v>974.0</v>
      </c>
      <c r="B975" s="6" t="str">
        <f>IFERROR(__xludf.DUMMYFUNCTION("""COMPUTED_VALUE"""),"Закупки")</f>
        <v>Закупки</v>
      </c>
      <c r="C975" s="6" t="str">
        <f>IFERROR(__xludf.DUMMYFUNCTION("""COMPUTED_VALUE"""),"Чтение")</f>
        <v>Чтение</v>
      </c>
      <c r="D975" s="6" t="str">
        <f>IFERROR(__xludf.DUMMYFUNCTION("""COMPUTED_VALUE"""),"Заводской")</f>
        <v>Заводской</v>
      </c>
      <c r="E975" s="6" t="str">
        <f>IFERROR(__xludf.DUMMYFUNCTION("""COMPUTED_VALUE"""),"Парк Антошка, торговый центр Лапландия, променад 3")</f>
        <v>Парк Антошка, торговый центр Лапландия, променад 3</v>
      </c>
      <c r="F975" s="6" t="str">
        <f>IFERROR(__xludf.DUMMYFUNCTION("""COMPUTED_VALUE"""),"Переехал сюда из другого места (откуда? укажите в графе другое), Юрга")</f>
        <v>Переехал сюда из другого места (откуда? укажите в графе другое), Юрга</v>
      </c>
      <c r="G975" s="6" t="str">
        <f>IFERROR(__xludf.DUMMYFUNCTION("""COMPUTED_VALUE"""),"Гуляю в парке у Губернского рынка, жаль он в плохом состоянии")</f>
        <v>Гуляю в парке у Губернского рынка, жаль он в плохом состоянии</v>
      </c>
      <c r="H975" s="6" t="str">
        <f>IFERROR(__xludf.DUMMYFUNCTION("""COMPUTED_VALUE"""),"Плохая экология, ужасная грязь, пыль, СССР, непонятно почему дорогое жилье")</f>
        <v>Плохая экология, ужасная грязь, пыль, СССР, непонятно почему дорогое жилье</v>
      </c>
      <c r="I975" s="6" t="str">
        <f>IFERROR(__xludf.DUMMYFUNCTION("""COMPUTED_VALUE"""),"Леонов, Машков")</f>
        <v>Леонов, Машков</v>
      </c>
      <c r="J975" s="6" t="str">
        <f>IFERROR(__xludf.DUMMYFUNCTION("""COMPUTED_VALUE"""),"Не знаю")</f>
        <v>Не знаю</v>
      </c>
      <c r="K975" s="6" t="str">
        <f>IFERROR(__xludf.DUMMYFUNCTION("""COMPUTED_VALUE"""),"Красная горка")</f>
        <v>Красная горка</v>
      </c>
      <c r="L975" s="6" t="str">
        <f>IFERROR(__xludf.DUMMYFUNCTION("""COMPUTED_VALUE"""),"Столица шахтеров  Кузбасс")</f>
        <v>Столица шахтеров  Кузбасс</v>
      </c>
      <c r="M975" s="6" t="str">
        <f>IFERROR(__xludf.DUMMYFUNCTION("""COMPUTED_VALUE"""),"Сибирский характер")</f>
        <v>Сибирский характер</v>
      </c>
      <c r="N975" s="6" t="str">
        <f>IFERROR(__xludf.DUMMYFUNCTION("""COMPUTED_VALUE"""),"Хорошие парки, много новых высаж енных деревьев, современные светофоры, урны с раздельным сбором отходов")</f>
        <v>Хорошие парки, много новых высаж енных деревьев, современные светофоры, урны с раздельным сбором отходов</v>
      </c>
      <c r="O975" s="6" t="str">
        <f>IFERROR(__xludf.DUMMYFUNCTION("""COMPUTED_VALUE"""),"Озеленить, сделать раздельный сбор мусора, много мест отдыха благоустроить")</f>
        <v>Озеленить, сделать раздельный сбор мусора, много мест отдыха благоустроить</v>
      </c>
      <c r="P975" s="6" t="str">
        <f>IFERROR(__xludf.DUMMYFUNCTION("""COMPUTED_VALUE"""),"Яндекс новости в Кемерово")</f>
        <v>Яндекс новости в Кемерово</v>
      </c>
      <c r="Q975" s="6" t="str">
        <f>IFERROR(__xludf.DUMMYFUNCTION("""COMPUTED_VALUE"""),"городская афиша (кино/театр/концерты), результаты местных исследований (рейтинги/аналитика/тенденции)")</f>
        <v>городская афиша (кино/театр/концерты), результаты местных исследований (рейтинги/аналитика/тенденции)</v>
      </c>
      <c r="R975" s="6" t="str">
        <f>IFERROR(__xludf.DUMMYFUNCTION("""COMPUTED_VALUE"""),"День молодежи, день шахтера")</f>
        <v>День молодежи, день шахтера</v>
      </c>
      <c r="S975" s="6" t="str">
        <f>IFERROR(__xludf.DUMMYFUNCTION("""COMPUTED_VALUE"""),"Через социальные сети (Какие? Укажите в графе другое), Индедент")</f>
        <v>Через социальные сети (Какие? Укажите в графе другое), Индедент</v>
      </c>
      <c r="T975" s="6" t="str">
        <f>IFERROR(__xludf.DUMMYFUNCTION("""COMPUTED_VALUE"""),"Столица шахтеров")</f>
        <v>Столица шахтеров</v>
      </c>
      <c r="U975" s="6" t="str">
        <f>IFERROR(__xludf.DUMMYFUNCTION("""COMPUTED_VALUE"""),"Надпись Кузбасс над рекой")</f>
        <v>Надпись Кузбасс над рекой</v>
      </c>
      <c r="V975" s="6" t="str">
        <f>IFERROR(__xludf.DUMMYFUNCTION("""COMPUTED_VALUE"""),"Не знаю")</f>
        <v>Не знаю</v>
      </c>
      <c r="W975" s="6" t="str">
        <f>IFERROR(__xludf.DUMMYFUNCTION("""COMPUTED_VALUE"""),"Жёсткие, злые, жадные")</f>
        <v>Жёсткие, злые, жадные</v>
      </c>
      <c r="X975" s="6" t="str">
        <f>IFERROR(__xludf.DUMMYFUNCTION("""COMPUTED_VALUE"""),"Пр. Советский")</f>
        <v>Пр. Советский</v>
      </c>
      <c r="Y975" s="6" t="str">
        <f>IFERROR(__xludf.DUMMYFUNCTION("""COMPUTED_VALUE"""),"300 лет Кузбассу")</f>
        <v>300 лет Кузбассу</v>
      </c>
      <c r="Z975" s="6" t="str">
        <f>IFERROR(__xludf.DUMMYFUNCTION("""COMPUTED_VALUE"""),"День шахтера")</f>
        <v>День шахтера</v>
      </c>
      <c r="AA975" s="6" t="str">
        <f>IFERROR(__xludf.DUMMYFUNCTION("""COMPUTED_VALUE"""),"Зимняя вишня")</f>
        <v>Зимняя вишня</v>
      </c>
      <c r="AB975" s="6" t="str">
        <f>IFERROR(__xludf.DUMMYFUNCTION("""COMPUTED_VALUE"""),"Никаких")</f>
        <v>Никаких</v>
      </c>
      <c r="AC975" s="6" t="str">
        <f>IFERROR(__xludf.DUMMYFUNCTION("""COMPUTED_VALUE"""),"Бесплатная возможность заниматься спортом хобби")</f>
        <v>Бесплатная возможность заниматься спортом хобби</v>
      </c>
      <c r="AD97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75" s="6" t="str">
        <f>IFERROR(__xludf.DUMMYFUNCTION("""COMPUTED_VALUE"""),"Женский")</f>
        <v>Женский</v>
      </c>
      <c r="AF975" s="6" t="str">
        <f>IFERROR(__xludf.DUMMYFUNCTION("""COMPUTED_VALUE"""),"30-44")</f>
        <v>30-44</v>
      </c>
      <c r="AG975" s="6"/>
      <c r="AH975" s="6"/>
      <c r="AI975" s="6"/>
      <c r="AJ975" s="6"/>
      <c r="AK975" s="6"/>
      <c r="AL975" s="6"/>
      <c r="AM975" s="6"/>
    </row>
    <row r="976">
      <c r="A976" s="6">
        <v>975.0</v>
      </c>
      <c r="B976" s="6" t="str">
        <f>IFERROR(__xludf.DUMMYFUNCTION("""COMPUTED_VALUE"""),"Работаю в IT-компании, занимаюсь бизнес-процессами")</f>
        <v>Работаю в IT-компании, занимаюсь бизнес-процессами</v>
      </c>
      <c r="C976" s="6" t="str">
        <f>IFERROR(__xludf.DUMMYFUNCTION("""COMPUTED_VALUE"""),"Да, спорт и дизайн")</f>
        <v>Да, спорт и дизайн</v>
      </c>
      <c r="D976" s="6" t="str">
        <f>IFERROR(__xludf.DUMMYFUNCTION("""COMPUTED_VALUE"""),"Центральный, район Юбилейного")</f>
        <v>Центральный, район Юбилейного</v>
      </c>
      <c r="E976" s="6" t="str">
        <f>IFERROR(__xludf.DUMMYFUNCTION("""COMPUTED_VALUE"""),"Парк")</f>
        <v>Парк</v>
      </c>
      <c r="F976"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976" s="6" t="str">
        <f>IFERROR(__xludf.DUMMYFUNCTION("""COMPUTED_VALUE"""),"Кафе, рестораны, театр")</f>
        <v>Кафе, рестораны, театр</v>
      </c>
      <c r="H976" s="6" t="str">
        <f>IFERROR(__xludf.DUMMYFUNCTION("""COMPUTED_VALUE"""),"Уголь, грязь, рост")</f>
        <v>Уголь, грязь, рост</v>
      </c>
      <c r="I976" s="6" t="str">
        <f>IFERROR(__xludf.DUMMYFUNCTION("""COMPUTED_VALUE"""),"Вера Волошина")</f>
        <v>Вера Волошина</v>
      </c>
      <c r="J976" s="6" t="str">
        <f>IFERROR(__xludf.DUMMYFUNCTION("""COMPUTED_VALUE"""),"Машков, Панин, Леонов")</f>
        <v>Машков, Панин, Леонов</v>
      </c>
      <c r="K976" s="6" t="str">
        <f>IFERROR(__xludf.DUMMYFUNCTION("""COMPUTED_VALUE"""),"Площадь Советов, Лесная Поляна, Ботанический сад, Бульвар")</f>
        <v>Площадь Советов, Лесная Поляна, Ботанический сад, Бульвар</v>
      </c>
      <c r="L976" s="6" t="str">
        <f>IFERROR(__xludf.DUMMYFUNCTION("""COMPUTED_VALUE"""),"-")</f>
        <v>-</v>
      </c>
      <c r="M976" s="6" t="str">
        <f>IFERROR(__xludf.DUMMYFUNCTION("""COMPUTED_VALUE"""),"Говорят в кировском круглый год жара")</f>
        <v>Говорят в кировском круглый год жара</v>
      </c>
      <c r="N976" s="6" t="str">
        <f>IFERROR(__xludf.DUMMYFUNCTION("""COMPUTED_VALUE"""),"Безопасность, экология, инфраструктура, сервис, доступность")</f>
        <v>Безопасность, экология, инфраструктура, сервис, доступность</v>
      </c>
      <c r="O976" s="6" t="str">
        <f>IFERROR(__xludf.DUMMYFUNCTION("""COMPUTED_VALUE"""),"Экологию")</f>
        <v>Экологию</v>
      </c>
      <c r="P976" s="6" t="str">
        <f>IFERROR(__xludf.DUMMYFUNCTION("""COMPUTED_VALUE"""),"Инстаграм, ВК")</f>
        <v>Инстаграм, ВК</v>
      </c>
      <c r="Q976" s="6" t="str">
        <f>IFERROR(__xludf.DUMMYFUNCTION("""COMPUTED_VALUE"""),"где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(рейтинги/"&amp;"аналитика/тенденции)")</f>
        <v>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976" s="6" t="str">
        <f>IFERROR(__xludf.DUMMYFUNCTION("""COMPUTED_VALUE"""),"День города")</f>
        <v>День города</v>
      </c>
      <c r="S976" s="6" t="str">
        <f>IFERROR(__xludf.DUMMYFUNCTION("""COMPUTED_VALUE"""),"Нет, не приходилось")</f>
        <v>Нет, не приходилось</v>
      </c>
      <c r="T976" s="6" t="str">
        <f>IFERROR(__xludf.DUMMYFUNCTION("""COMPUTED_VALUE"""),"Знаменит добычей угля")</f>
        <v>Знаменит добычей угля</v>
      </c>
      <c r="U976" s="6" t="str">
        <f>IFERROR(__xludf.DUMMYFUNCTION("""COMPUTED_VALUE"""),"Площадь Советов")</f>
        <v>Площадь Советов</v>
      </c>
      <c r="V976" s="6" t="str">
        <f>IFERROR(__xludf.DUMMYFUNCTION("""COMPUTED_VALUE"""),"Расширяли город")</f>
        <v>Расширяли город</v>
      </c>
      <c r="W976" s="6" t="str">
        <f>IFERROR(__xludf.DUMMYFUNCTION("""COMPUTED_VALUE"""),"Торопливые, творческие, грустные")</f>
        <v>Торопливые, творческие, грустные</v>
      </c>
      <c r="X976" s="6" t="str">
        <f>IFERROR(__xludf.DUMMYFUNCTION("""COMPUTED_VALUE"""),"От вокзала до бульвара")</f>
        <v>От вокзала до бульвара</v>
      </c>
      <c r="Y976" s="6" t="str">
        <f>IFERROR(__xludf.DUMMYFUNCTION("""COMPUTED_VALUE"""),"-")</f>
        <v>-</v>
      </c>
      <c r="Z976" s="6" t="str">
        <f>IFERROR(__xludf.DUMMYFUNCTION("""COMPUTED_VALUE"""),"День молодежи ")</f>
        <v>День молодежи </v>
      </c>
      <c r="AA976" s="6" t="str">
        <f>IFERROR(__xludf.DUMMYFUNCTION("""COMPUTED_VALUE"""),"Контингент на улицах крайне опасен, особенно вечерами")</f>
        <v>Контингент на улицах крайне опасен, особенно вечерами</v>
      </c>
      <c r="AB976" s="6" t="str">
        <f>IFERROR(__xludf.DUMMYFUNCTION("""COMPUTED_VALUE"""),"Творческо-развивающих, там где можно познакомиться за общим делом")</f>
        <v>Творческо-развивающих, там где можно познакомиться за общим делом</v>
      </c>
      <c r="AC976" s="6" t="str">
        <f>IFERROR(__xludf.DUMMYFUNCTION("""COMPUTED_VALUE"""),"Совместные")</f>
        <v>Совместные</v>
      </c>
      <c r="AD976"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Запустить свой предпринимательский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976" s="6" t="str">
        <f>IFERROR(__xludf.DUMMYFUNCTION("""COMPUTED_VALUE"""),"Женский")</f>
        <v>Женский</v>
      </c>
      <c r="AF976" s="6" t="str">
        <f>IFERROR(__xludf.DUMMYFUNCTION("""COMPUTED_VALUE"""),"18-29")</f>
        <v>18-29</v>
      </c>
      <c r="AG976" s="6"/>
      <c r="AH976" s="6"/>
      <c r="AI976" s="6"/>
      <c r="AJ976" s="6"/>
      <c r="AK976" s="6"/>
      <c r="AL976" s="6"/>
      <c r="AM976" s="6"/>
    </row>
    <row r="977">
      <c r="A977" s="6">
        <v>976.0</v>
      </c>
      <c r="B977" s="6" t="str">
        <f>IFERROR(__xludf.DUMMYFUNCTION("""COMPUTED_VALUE"""),"IT")</f>
        <v>IT</v>
      </c>
      <c r="C977" s="6" t="str">
        <f>IFERROR(__xludf.DUMMYFUNCTION("""COMPUTED_VALUE"""),"книги")</f>
        <v>книги</v>
      </c>
      <c r="D977" s="6" t="str">
        <f>IFERROR(__xludf.DUMMYFUNCTION("""COMPUTED_VALUE"""),"Заводский")</f>
        <v>Заводский</v>
      </c>
      <c r="E977" s="6" t="str">
        <f>IFERROR(__xludf.DUMMYFUNCTION("""COMPUTED_VALUE"""),"Памятник")</f>
        <v>Памятник</v>
      </c>
      <c r="F977" s="6" t="str">
        <f>IFERROR(__xludf.DUMMYFUNCTION("""COMPUTED_VALUE"""),"Живу здесь с рождения")</f>
        <v>Живу здесь с рождения</v>
      </c>
      <c r="G977" s="6" t="str">
        <f>IFERROR(__xludf.DUMMYFUNCTION("""COMPUTED_VALUE"""),"Домой")</f>
        <v>Домой</v>
      </c>
      <c r="H977" s="6" t="str">
        <f>IFERROR(__xludf.DUMMYFUNCTION("""COMPUTED_VALUE"""),"Работа - дом, работа - дом, работа...")</f>
        <v>Работа - дом, работа - дом, работа...</v>
      </c>
      <c r="I977" s="6" t="str">
        <f>IFERROR(__xludf.DUMMYFUNCTION("""COMPUTED_VALUE"""),"Ленин")</f>
        <v>Ленин</v>
      </c>
      <c r="J977" s="6" t="str">
        <f>IFERROR(__xludf.DUMMYFUNCTION("""COMPUTED_VALUE"""),"Врачи, пожарные")</f>
        <v>Врачи, пожарные</v>
      </c>
      <c r="K977" s="6" t="str">
        <f>IFERROR(__xludf.DUMMYFUNCTION("""COMPUTED_VALUE"""),"Выезд из города")</f>
        <v>Выезд из города</v>
      </c>
      <c r="L977" s="6" t="str">
        <f>IFERROR(__xludf.DUMMYFUNCTION("""COMPUTED_VALUE"""),"Начинаем реабилитацию наркозависимых наркологов:
""Программа по реабилитации наркозависимых наркологов Кемерово стала лучшей в РФ""")</f>
        <v>Начинаем реабилитацию наркозависимых наркологов:
"Программа по реабилитации наркозависимых наркологов Кемерово стала лучшей в РФ"</v>
      </c>
      <c r="M977" s="6" t="str">
        <f>IFERROR(__xludf.DUMMYFUNCTION("""COMPUTED_VALUE"""),"""в город поехали""")</f>
        <v>"в город поехали"</v>
      </c>
      <c r="N977" s="6" t="str">
        <f>IFERROR(__xludf.DUMMYFUNCTION("""COMPUTED_VALUE"""),"Хорошие дороги, доступное жилье, высокие зарплаты, возможность обучения, доступные вакансии")</f>
        <v>Хорошие дороги, доступное жилье, высокие зарплаты, возможность обучения, доступные вакансии</v>
      </c>
      <c r="O977" s="6" t="str">
        <f>IFERROR(__xludf.DUMMYFUNCTION("""COMPUTED_VALUE"""),"Название")</f>
        <v>Название</v>
      </c>
      <c r="P977" s="6" t="str">
        <f>IFERROR(__xludf.DUMMYFUNCTION("""COMPUTED_VALUE"""),"Телеграм")</f>
        <v>Телеграм</v>
      </c>
      <c r="Q977" s="6" t="str">
        <f>IFERROR(__xludf.DUMMYFUNCTION("""COMPUTED_VALUE"""),"где вкусно поесть/открытие новых кафе/ресторанов, результаты местных исследований (рейтинги/аналитика/тенденции), интервью с экспертами на разные темы (напишите в разделе Другое свои предложения)")</f>
        <v>где вкусно поесть/открытие новых кафе/ресторанов, результаты местных исследований (рейтинги/аналитика/тенденции), интервью с экспертами на разные темы (напишите в разделе Другое свои предложения)</v>
      </c>
      <c r="R977" s="6" t="str">
        <f>IFERROR(__xludf.DUMMYFUNCTION("""COMPUTED_VALUE"""),"Новый год")</f>
        <v>Новый год</v>
      </c>
      <c r="S977" s="6" t="str">
        <f>IFERROR(__xludf.DUMMYFUNCTION("""COMPUTED_VALUE"""),"Нет, не приходилось")</f>
        <v>Нет, не приходилось</v>
      </c>
      <c r="T977" s="6" t="str">
        <f>IFERROR(__xludf.DUMMYFUNCTION("""COMPUTED_VALUE"""),"Столица Кузбасса")</f>
        <v>Столица Кузбасса</v>
      </c>
      <c r="U977" s="6" t="str">
        <f>IFERROR(__xludf.DUMMYFUNCTION("""COMPUTED_VALUE"""),"Место где стабильно ходит транспорт")</f>
        <v>Место где стабильно ходит транспорт</v>
      </c>
      <c r="V977" s="6" t="str">
        <f>IFERROR(__xludf.DUMMYFUNCTION("""COMPUTED_VALUE"""),"Жили не тужили")</f>
        <v>Жили не тужили</v>
      </c>
      <c r="W977" s="6" t="str">
        <f>IFERROR(__xludf.DUMMYFUNCTION("""COMPUTED_VALUE"""),"Недоверие, кумовство")</f>
        <v>Недоверие, кумовство</v>
      </c>
      <c r="X977" s="6" t="str">
        <f>IFERROR(__xludf.DUMMYFUNCTION("""COMPUTED_VALUE"""),"40т")</f>
        <v>40т</v>
      </c>
      <c r="Y977" s="6" t="str">
        <f>IFERROR(__xludf.DUMMYFUNCTION("""COMPUTED_VALUE"""),"Сгорел ТЦ - показал что это может быть рядом, а не в новостях где то далеко")</f>
        <v>Сгорел ТЦ - показал что это может быть рядом, а не в новостях где то далеко</v>
      </c>
      <c r="Z977" s="6" t="str">
        <f>IFERROR(__xludf.DUMMYFUNCTION("""COMPUTED_VALUE"""),"Нет")</f>
        <v>Нет</v>
      </c>
      <c r="AA977" s="6" t="str">
        <f>IFERROR(__xludf.DUMMYFUNCTION("""COMPUTED_VALUE"""),"Нет ")</f>
        <v>Нет </v>
      </c>
      <c r="AB977" s="6" t="str">
        <f>IFERROR(__xludf.DUMMYFUNCTION("""COMPUTED_VALUE"""),"Никаких")</f>
        <v>Никаких</v>
      </c>
      <c r="AC977" s="6" t="str">
        <f>IFERROR(__xludf.DUMMYFUNCTION("""COMPUTED_VALUE"""),"Продолжать ремонт и развитие")</f>
        <v>Продолжать ремонт и развитие</v>
      </c>
      <c r="AD977"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977" s="6" t="str">
        <f>IFERROR(__xludf.DUMMYFUNCTION("""COMPUTED_VALUE"""),"Мужской")</f>
        <v>Мужской</v>
      </c>
      <c r="AF977" s="6" t="str">
        <f>IFERROR(__xludf.DUMMYFUNCTION("""COMPUTED_VALUE"""),"30-44")</f>
        <v>30-44</v>
      </c>
      <c r="AG977" s="6"/>
      <c r="AH977" s="6"/>
      <c r="AI977" s="6"/>
      <c r="AJ977" s="6"/>
      <c r="AK977" s="6"/>
      <c r="AL977" s="6"/>
      <c r="AM977" s="6"/>
    </row>
    <row r="978">
      <c r="A978" s="6">
        <v>977.0</v>
      </c>
      <c r="B978" s="6" t="str">
        <f>IFERROR(__xludf.DUMMYFUNCTION("""COMPUTED_VALUE"""),"Человек-рабочий")</f>
        <v>Человек-рабочий</v>
      </c>
      <c r="C978" s="6" t="str">
        <f>IFERROR(__xludf.DUMMYFUNCTION("""COMPUTED_VALUE"""),"Музыка, вокал")</f>
        <v>Музыка, вокал</v>
      </c>
      <c r="D978" s="6" t="str">
        <f>IFERROR(__xludf.DUMMYFUNCTION("""COMPUTED_VALUE"""),"Центральный район, «Центр»")</f>
        <v>Центральный район, «Центр»</v>
      </c>
      <c r="E978" s="6" t="str">
        <f>IFERROR(__xludf.DUMMYFUNCTION("""COMPUTED_VALUE"""),"Улица Весенняя, Набережная, Драмтеатр")</f>
        <v>Улица Весенняя, Набережная, Драмтеатр</v>
      </c>
      <c r="F978"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978" s="6" t="str">
        <f>IFERROR(__xludf.DUMMYFUNCTION("""COMPUTED_VALUE"""),"Кино, общепит, тц, улица")</f>
        <v>Кино, общепит, тц, улица</v>
      </c>
      <c r="H978" s="6" t="str">
        <f>IFERROR(__xludf.DUMMYFUNCTION("""COMPUTED_VALUE"""),"Молодежный, активный, пыльный, культурный, промышленный ")</f>
        <v>Молодежный, активный, пыльный, культурный, промышленный </v>
      </c>
      <c r="I978" s="6" t="str">
        <f>IFERROR(__xludf.DUMMYFUNCTION("""COMPUTED_VALUE"""),"Михайло Волков, Рутгерс ")</f>
        <v>Михайло Волков, Рутгерс </v>
      </c>
      <c r="J978" s="6" t="str">
        <f>IFERROR(__xludf.DUMMYFUNCTION("""COMPUTED_VALUE"""),"Илья Владимирович Середюк ")</f>
        <v>Илья Владимирович Середюк </v>
      </c>
      <c r="K978" s="6" t="str">
        <f>IFERROR(__xludf.DUMMYFUNCTION("""COMPUTED_VALUE"""),"Арт-пространство «Клумба». Там атмосферно!")</f>
        <v>Арт-пространство «Клумба». Там атмосферно!</v>
      </c>
      <c r="L978" s="6" t="str">
        <f>IFERROR(__xludf.DUMMYFUNCTION("""COMPUTED_VALUE"""),"Извините, но это сложно... ")</f>
        <v>Извините, но это сложно... </v>
      </c>
      <c r="M978" s="6" t="str">
        <f>IFERROR(__xludf.DUMMYFUNCTION("""COMPUTED_VALUE"""),"Нет. А такие есть? ")</f>
        <v>Нет. А такие есть? </v>
      </c>
      <c r="N978" s="6" t="str">
        <f>IFERROR(__xludf.DUMMYFUNCTION("""COMPUTED_VALUE"""),"Экология, образование, развлечения, доступность жилья, торговля. ")</f>
        <v>Экология, образование, развлечения, доступность жилья, торговля. </v>
      </c>
      <c r="O978" s="6" t="str">
        <f>IFERROR(__xludf.DUMMYFUNCTION("""COMPUTED_VALUE"""),"Образовательные учреждения, промышленность (рабочие места)")</f>
        <v>Образовательные учреждения, промышленность (рабочие места)</v>
      </c>
      <c r="P978" s="6" t="str">
        <f>IFERROR(__xludf.DUMMYFUNCTION("""COMPUTED_VALUE"""),"Инстаграм")</f>
        <v>Инстаграм</v>
      </c>
      <c r="Q978" s="6" t="str">
        <f>IFERROR(__xludf.DUMMYFUNCTION("""COMPUTED_VALUE"""),"где вкусно поесть/открытие новых кафе/ресторанов, городская афиша (кино/театр/концерты), новости про новые профессии/куда поступать/вакансии")</f>
        <v>где вкусно поесть/открытие новых кафе/ресторанов, городская афиша (кино/театр/концерты), новости про новые профессии/куда поступать/вакансии</v>
      </c>
      <c r="R978" s="6" t="str">
        <f>IFERROR(__xludf.DUMMYFUNCTION("""COMPUTED_VALUE"""),"9 мая")</f>
        <v>9 мая</v>
      </c>
      <c r="S978" s="6" t="str">
        <f>IFERROR(__xludf.DUMMYFUNCTION("""COMPUTED_VALUE"""),"Нет, не приходилось")</f>
        <v>Нет, не приходилось</v>
      </c>
      <c r="T978" s="6" t="str">
        <f>IFERROR(__xludf.DUMMYFUNCTION("""COMPUTED_VALUE"""),"Сложно зацепиться за что-то одно... просто уютный город для жизни и не более...")</f>
        <v>Сложно зацепиться за что-то одно... просто уютный город для жизни и не более...</v>
      </c>
      <c r="U978" s="6" t="str">
        <f>IFERROR(__xludf.DUMMYFUNCTION("""COMPUTED_VALUE"""),"Набережная, Бульвар Строителей, Драмтеатр")</f>
        <v>Набережная, Бульвар Строителей, Драмтеатр</v>
      </c>
      <c r="V978" s="6" t="str">
        <f>IFERROR(__xludf.DUMMYFUNCTION("""COMPUTED_VALUE"""),"Развивали его ")</f>
        <v>Развивали его </v>
      </c>
      <c r="W978" s="6" t="str">
        <f>IFERROR(__xludf.DUMMYFUNCTION("""COMPUTED_VALUE"""),"Трудолюбивые, стойкие, гостеприимные, творческие, культурные")</f>
        <v>Трудолюбивые, стойкие, гостеприимные, творческие, культурные</v>
      </c>
      <c r="X978" s="6" t="str">
        <f>IFERROR(__xludf.DUMMYFUNCTION("""COMPUTED_VALUE"""),"Что значит «крутой»?")</f>
        <v>Что значит «крутой»?</v>
      </c>
      <c r="Y978" s="6" t="str">
        <f>IFERROR(__xludf.DUMMYFUNCTION("""COMPUTED_VALUE"""),"Трагедия в ТЦ «Зимняя вишня» ")</f>
        <v>Трагедия в ТЦ «Зимняя вишня» </v>
      </c>
      <c r="Z978" s="6" t="str">
        <f>IFERROR(__xludf.DUMMYFUNCTION("""COMPUTED_VALUE"""),"100 летие - масштабный праздник. ")</f>
        <v>100 летие - масштабный праздник. </v>
      </c>
      <c r="AA978" s="6" t="str">
        <f>IFERROR(__xludf.DUMMYFUNCTION("""COMPUTED_VALUE"""),"Трагедия в ТЦ «Зимняя Вишня» ")</f>
        <v>Трагедия в ТЦ «Зимняя Вишня» </v>
      </c>
      <c r="AB978" s="6" t="str">
        <f>IFERROR(__xludf.DUMMYFUNCTION("""COMPUTED_VALUE"""),"По мне всего хватает.")</f>
        <v>По мне всего хватает.</v>
      </c>
      <c r="AC978" s="6" t="str">
        <f>IFERROR(__xludf.DUMMYFUNCTION("""COMPUTED_VALUE"""),"Молодежных форумов, слетов! ")</f>
        <v>Молодежных форумов, слетов! </v>
      </c>
      <c r="AD978"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978" s="6" t="str">
        <f>IFERROR(__xludf.DUMMYFUNCTION("""COMPUTED_VALUE"""),"Женский")</f>
        <v>Женский</v>
      </c>
      <c r="AF978" s="6" t="str">
        <f>IFERROR(__xludf.DUMMYFUNCTION("""COMPUTED_VALUE"""),"18-29")</f>
        <v>18-29</v>
      </c>
      <c r="AG978" s="6"/>
      <c r="AH978" s="6"/>
      <c r="AI978" s="6"/>
      <c r="AJ978" s="6"/>
      <c r="AK978" s="6"/>
      <c r="AL978" s="6"/>
      <c r="AM978" s="6"/>
    </row>
    <row r="979">
      <c r="A979" s="6">
        <v>978.0</v>
      </c>
      <c r="B979" s="6" t="str">
        <f>IFERROR(__xludf.DUMMYFUNCTION("""COMPUTED_VALUE"""),"Инженер связи")</f>
        <v>Инженер связи</v>
      </c>
      <c r="C979" s="6" t="str">
        <f>IFERROR(__xludf.DUMMYFUNCTION("""COMPUTED_VALUE"""),"Футбол")</f>
        <v>Футбол</v>
      </c>
      <c r="D979" s="6" t="str">
        <f>IFERROR(__xludf.DUMMYFUNCTION("""COMPUTED_VALUE"""),"Радуга")</f>
        <v>Радуга</v>
      </c>
      <c r="E979" s="6" t="str">
        <f>IFERROR(__xludf.DUMMYFUNCTION("""COMPUTED_VALUE"""),"Бор")</f>
        <v>Бор</v>
      </c>
      <c r="F979" s="6" t="str">
        <f>IFERROR(__xludf.DUMMYFUNCTION("""COMPUTED_VALUE"""),"Живу здесь с рождения")</f>
        <v>Живу здесь с рождения</v>
      </c>
      <c r="G979" s="6" t="str">
        <f>IFERROR(__xludf.DUMMYFUNCTION("""COMPUTED_VALUE"""),"За пивом")</f>
        <v>За пивом</v>
      </c>
      <c r="H979" s="6" t="str">
        <f>IFERROR(__xludf.DUMMYFUNCTION("""COMPUTED_VALUE"""),"Родина, Химия, Природа, Томь, Уголь")</f>
        <v>Родина, Химия, Природа, Томь, Уголь</v>
      </c>
      <c r="I979" s="6" t="str">
        <f>IFERROR(__xludf.DUMMYFUNCTION("""COMPUTED_VALUE"""),"Раздаев, Тулеев, Малышева, Рутгерс")</f>
        <v>Раздаев, Тулеев, Малышева, Рутгерс</v>
      </c>
      <c r="J979" s="6" t="str">
        <f>IFERROR(__xludf.DUMMYFUNCTION("""COMPUTED_VALUE"""),"Тулеев, Мяус, Ворона, Федяев")</f>
        <v>Тулеев, Мяус, Ворона, Федяев</v>
      </c>
      <c r="K979" s="6" t="str">
        <f>IFERROR(__xludf.DUMMYFUNCTION("""COMPUTED_VALUE"""),"Красная горка")</f>
        <v>Красная горка</v>
      </c>
      <c r="L979" s="6" t="str">
        <f>IFERROR(__xludf.DUMMYFUNCTION("""COMPUTED_VALUE"""),"Много наркоманов, туберкулезников и вич инфицированных")</f>
        <v>Много наркоманов, туберкулезников и вич инфицированных</v>
      </c>
      <c r="M979" s="6" t="str">
        <f>IFERROR(__xludf.DUMMYFUNCTION("""COMPUTED_VALUE"""),"Кемерово не склоняется")</f>
        <v>Кемерово не склоняется</v>
      </c>
      <c r="N979" s="6" t="str">
        <f>IFERROR(__xludf.DUMMYFUNCTION("""COMPUTED_VALUE"""),"Дороги, Много знакомых, Компактность, Чистота на улице")</f>
        <v>Дороги, Много знакомых, Компактность, Чистота на улице</v>
      </c>
      <c r="O979" s="6" t="str">
        <f>IFERROR(__xludf.DUMMYFUNCTION("""COMPUTED_VALUE"""),"Заставить лучше работать УК")</f>
        <v>Заставить лучше работать УК</v>
      </c>
      <c r="P979" s="6" t="str">
        <f>IFERROR(__xludf.DUMMYFUNCTION("""COMPUTED_VALUE"""),"Инцидент Кемерово в контакте и А42")</f>
        <v>Инцидент Кемерово в контакте и А42</v>
      </c>
      <c r="Q979" s="6" t="str">
        <f>IFERROR(__xludf.DUMMYFUNCTION("""COMPUTED_VALUE"""),"интервью с местными политиками, интервью с местными предпринимателями, криминальные новости (происшествия/преступления)")</f>
        <v>интервью с местными политиками, интервью с местными предпринимателями, криминальные новости (происшествия/преступления)</v>
      </c>
      <c r="R979" s="6" t="str">
        <f>IFERROR(__xludf.DUMMYFUNCTION("""COMPUTED_VALUE"""),"9 мая")</f>
        <v>9 мая</v>
      </c>
      <c r="S979" s="6" t="str">
        <f>IFERROR(__xludf.DUMMYFUNCTION("""COMPUTED_VALUE"""),"Через социальные сети (Какие? Укажите в графе другое), фотографировал, комментировал")</f>
        <v>Через социальные сети (Какие? Укажите в графе другое), фотографировал, комментировал</v>
      </c>
      <c r="T979" s="6" t="str">
        <f>IFERROR(__xludf.DUMMYFUNCTION("""COMPUTED_VALUE"""),"Рядом тайга")</f>
        <v>Рядом тайга</v>
      </c>
      <c r="U979" s="6" t="str">
        <f>IFERROR(__xludf.DUMMYFUNCTION("""COMPUTED_VALUE"""),"Фонтан и набережная")</f>
        <v>Фонтан и набережная</v>
      </c>
      <c r="V979" s="6" t="str">
        <f>IFERROR(__xludf.DUMMYFUNCTION("""COMPUTED_VALUE"""),"Открыли месторождения угля")</f>
        <v>Открыли месторождения угля</v>
      </c>
      <c r="W979" s="6" t="str">
        <f>IFERROR(__xludf.DUMMYFUNCTION("""COMPUTED_VALUE"""),"Люди везде одинаковые, в то же время нет одинаковых людей")</f>
        <v>Люди везде одинаковые, в то же время нет одинаковых людей</v>
      </c>
      <c r="X979" s="6" t="str">
        <f>IFERROR(__xludf.DUMMYFUNCTION("""COMPUTED_VALUE"""),"Набережная, сходить в бор")</f>
        <v>Набережная, сходить в бор</v>
      </c>
      <c r="Y979" s="6" t="str">
        <f>IFERROR(__xludf.DUMMYFUNCTION("""COMPUTED_VALUE"""),"Чемпионат мира по хоккею с мячом")</f>
        <v>Чемпионат мира по хоккею с мячом</v>
      </c>
      <c r="Z979" s="6" t="str">
        <f>IFERROR(__xludf.DUMMYFUNCTION("""COMPUTED_VALUE"""),"Начали строить новую набережную и  спроткомплекс")</f>
        <v>Начали строить новую набережную и  спроткомплекс</v>
      </c>
      <c r="AA979" s="6" t="str">
        <f>IFERROR(__xludf.DUMMYFUNCTION("""COMPUTED_VALUE"""),"Зимняя вишня, полиция бездействует")</f>
        <v>Зимняя вишня, полиция бездействует</v>
      </c>
      <c r="AB979" s="6" t="str">
        <f>IFERROR(__xludf.DUMMYFUNCTION("""COMPUTED_VALUE"""),"Клубы по месту жительства: шахматы, домино")</f>
        <v>Клубы по месту жительства: шахматы, домино</v>
      </c>
      <c r="AC979" s="6" t="str">
        <f>IFERROR(__xludf.DUMMYFUNCTION("""COMPUTED_VALUE"""),"Спортивные международные соревнования")</f>
        <v>Спортивные международные соревнования</v>
      </c>
      <c r="AD979"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979" s="6" t="str">
        <f>IFERROR(__xludf.DUMMYFUNCTION("""COMPUTED_VALUE"""),"Мужской")</f>
        <v>Мужской</v>
      </c>
      <c r="AF979" s="6" t="str">
        <f>IFERROR(__xludf.DUMMYFUNCTION("""COMPUTED_VALUE"""),"30-44")</f>
        <v>30-44</v>
      </c>
      <c r="AG979" s="6"/>
      <c r="AH979" s="6"/>
      <c r="AI979" s="6"/>
      <c r="AJ979" s="6"/>
      <c r="AK979" s="6"/>
      <c r="AL979" s="6"/>
      <c r="AM979" s="6"/>
    </row>
    <row r="980">
      <c r="A980" s="6">
        <v>979.0</v>
      </c>
      <c r="B980" s="6" t="str">
        <f>IFERROR(__xludf.DUMMYFUNCTION("""COMPUTED_VALUE"""),"историк и фотограф")</f>
        <v>историк и фотограф</v>
      </c>
      <c r="C980" s="6" t="str">
        <f>IFERROR(__xludf.DUMMYFUNCTION("""COMPUTED_VALUE"""),"пешком с фотоаппаратом по Кемерово")</f>
        <v>пешком с фотоаппаратом по Кемерово</v>
      </c>
      <c r="D980" s="6" t="str">
        <f>IFERROR(__xludf.DUMMYFUNCTION("""COMPUTED_VALUE"""),"живу в Берёзовском , работаю в Кемерово")</f>
        <v>живу в Берёзовском , работаю в Кемерово</v>
      </c>
      <c r="E980" s="6" t="str">
        <f>IFERROR(__xludf.DUMMYFUNCTION("""COMPUTED_VALUE"""),"Мне по душе не отдельный район, а город. ")</f>
        <v>Мне по душе не отдельный район, а город. </v>
      </c>
      <c r="F980" s="6" t="str">
        <f>IFERROR(__xludf.DUMMYFUNCTION("""COMPUTED_VALUE"""),"В городе с 1974 . Жили у цирка . Семья уехала жить в Березовский 1996 г")</f>
        <v>В городе с 1974 . Жили у цирка . Семья уехала жить в Березовский 1996 г</v>
      </c>
      <c r="G980" s="6" t="str">
        <f>IFERROR(__xludf.DUMMYFUNCTION("""COMPUTED_VALUE"""),"Ленинский район. Центр. Набережная и улица БАХ ( а ) , по которой вели на расстрел в 1937 году. ")</f>
        <v>Ленинский район. Центр. Набережная и улица БАХ ( а ) , по которой вели на расстрел в 1937 году. </v>
      </c>
      <c r="H980" s="6" t="str">
        <f>IFERROR(__xludf.DUMMYFUNCTION("""COMPUTED_VALUE"""),"У города есть - характер, лицо, история, язык и желание расти")</f>
        <v>У города есть - характер, лицо, история, язык и желание расти</v>
      </c>
      <c r="I980" s="6" t="str">
        <f>IFERROR(__xludf.DUMMYFUNCTION("""COMPUTED_VALUE"""),"И.Балибалов. А.Волошин, В.Поташов, Е.Буравлев, Герман Захаров, А.Ештокин, М.Якушин, Лаврентий Донбай, В.Михайлов, Г.Юров и т.д. ")</f>
        <v>И.Балибалов. А.Волошин, В.Поташов, Е.Буравлев, Герман Захаров, А.Ештокин, М.Якушин, Лаврентий Донбай, В.Михайлов, Г.Юров и т.д. </v>
      </c>
      <c r="J980" s="6" t="str">
        <f>IFERROR(__xludf.DUMMYFUNCTION("""COMPUTED_VALUE"""),"Раиса Сергеевна Гурышева, Наталья Фёдоровна Донская, Ирина Фёдоровна Фёдорова")</f>
        <v>Раиса Сергеевна Гурышева, Наталья Фёдоровна Донская, Ирина Фёдоровна Фёдорова</v>
      </c>
      <c r="K980" s="6" t="str">
        <f>IFERROR(__xludf.DUMMYFUNCTION("""COMPUTED_VALUE"""),"Музыкальный театр, Бульвар Строителей, Рудничный бор")</f>
        <v>Музыкальный театр, Бульвар Строителей, Рудничный бор</v>
      </c>
      <c r="L980" s="6" t="str">
        <f>IFERROR(__xludf.DUMMYFUNCTION("""COMPUTED_VALUE"""),"Люди из Кемерово могут уехать в Краснодар, Москву и Петербург, а душа рвется на Весеннюю...")</f>
        <v>Люди из Кемерово могут уехать в Краснодар, Москву и Петербург, а душа рвется на Весеннюю...</v>
      </c>
      <c r="M980" s="6" t="str">
        <f>IFERROR(__xludf.DUMMYFUNCTION("""COMPUTED_VALUE"""),"К великому сожалению язык города испытывает ""жёсткий прессинг"" блатного жаргона !!! Давайте не будем забывать, что тюрем и лагерей вокруг города были десятки. Люди, после срока не уезжали. Они пополняли социальный состав мегаполиса. Это незаметная ""дег"&amp;"радация"" и это не видно из окна иномарки. И потому город в ""черном списке"" по ряду показателей на федеральном уровне. Я остался в душе учителем и у меня своя позиция - как это изменить или как это менять всем нам. Идеализировать не надо - выход есть вс"&amp;"егда !   ")</f>
        <v>К великому сожалению язык города испытывает "жёсткий прессинг" блатного жаргона !!! Давайте не будем забывать, что тюрем и лагерей вокруг города были десятки. Люди, после срока не уезжали. Они пополняли социальный состав мегаполиса. Это незаметная "деградация" и это не видно из окна иномарки. И потому город в "черном списке" по ряду показателей на федеральном уровне. Я остался в душе учителем и у меня своя позиция - как это изменить или как это менять всем нам. Идеализировать не надо - выход есть всегда !   </v>
      </c>
      <c r="N980" s="6" t="str">
        <f>IFERROR(__xludf.DUMMYFUNCTION("""COMPUTED_VALUE"""),"Город пока остается удобным для прогулок и жизни. Хотя экология исторически слабое место мегаполиса.   ")</f>
        <v>Город пока остается удобным для прогулок и жизни. Хотя экология исторически слабое место мегаполиса.   </v>
      </c>
      <c r="O980" s="6" t="str">
        <f>IFERROR(__xludf.DUMMYFUNCTION("""COMPUTED_VALUE"""),"Озеленение и городу нужен муниципальный закон о более серьёзной защите малого и среднего бизнеса. Тема не моя, но бросается в глаза - бизнес уходит ! Это страшно ! ")</f>
        <v>Озеленение и городу нужен муниципальный закон о более серьёзной защите малого и среднего бизнеса. Тема не моя, но бросается в глаза - бизнес уходит ! Это страшно ! </v>
      </c>
      <c r="P980" s="6" t="str">
        <f>IFERROR(__xludf.DUMMYFUNCTION("""COMPUTED_VALUE"""),"Личное общение")</f>
        <v>Личное общение</v>
      </c>
      <c r="Q980" s="6" t="str">
        <f>IFERROR(__xludf.DUMMYFUNCTION("""COMPUTED_VALUE"""),"культурные новинки (что почитать/что послушать), интервью с экспертами на разные темы (напишите в разделе Другое свои предложения), Надо вернуть интеллигентную и мудрую газету ""Край"" . Люди, которые её выпускали - не все ушли в мир иной. ")</f>
        <v>культурные новинки (что почитать/что послушать), интервью с экспертами на разные темы (напишите в разделе Другое свои предложения), Надо вернуть интеллигентную и мудрую газету "Край" . Люди, которые её выпускали - не все ушли в мир иной. </v>
      </c>
      <c r="R980" s="6" t="str">
        <f>IFERROR(__xludf.DUMMYFUNCTION("""COMPUTED_VALUE"""),"День города, Новый год и Рождество")</f>
        <v>День города, Новый год и Рождество</v>
      </c>
      <c r="S980" s="6" t="str">
        <f>IFERROR(__xludf.DUMMYFUNCTION("""COMPUTED_VALUE"""),"Сотрудничал в газетах ""Земляки"", ""Край"", Томь"" ")</f>
        <v>Сотрудничал в газетах "Земляки", "Край", Томь" </v>
      </c>
      <c r="T980" s="6" t="str">
        <f>IFERROR(__xludf.DUMMYFUNCTION("""COMPUTED_VALUE"""),"У города богатая история и эту историю делают люди, приехавшие из разных уголков СССР. ")</f>
        <v>У города богатая история и эту историю делают люди, приехавшие из разных уголков СССР. </v>
      </c>
      <c r="U980" s="6" t="str">
        <f>IFERROR(__xludf.DUMMYFUNCTION("""COMPUTED_VALUE"""),"Дом Волошина, где по иронии сейчас кафе ""Малевич"". Готов с нуля построить, сформировать, создать для города и области Литературно - художественный музей. За десять лет собран богатейший краеведческий материал, пока не востребован.  ")</f>
        <v>Дом Волошина, где по иронии сейчас кафе "Малевич". Готов с нуля построить, сформировать, создать для города и области Литературно - художественный музей. За десять лет собран богатейший краеведческий материал, пока не востребован.  </v>
      </c>
      <c r="V980" s="6" t="str">
        <f>IFERROR(__xludf.DUMMYFUNCTION("""COMPUTED_VALUE"""),"Старшее поколение убеждает молодёжь не уезжать - изменить город вместе и измениться самим !")</f>
        <v>Старшее поколение убеждает молодёжь не уезжать - изменить город вместе и измениться самим !</v>
      </c>
      <c r="W980" s="6" t="str">
        <f>IFERROR(__xludf.DUMMYFUNCTION("""COMPUTED_VALUE"""),"Город пока, к сожалению, разобщён - гражданское общество отсутствует. Энергия уходит в социальные сети.  ")</f>
        <v>Город пока, к сожалению, разобщён - гражданское общество отсутствует. Энергия уходит в социальные сети.  </v>
      </c>
      <c r="X980" s="6" t="str">
        <f>IFERROR(__xludf.DUMMYFUNCTION("""COMPUTED_VALUE"""),"Пешком от Сухово по Октябрьскому до дома Ештокина.")</f>
        <v>Пешком от Сухово по Октябрьскому до дома Ештокина.</v>
      </c>
      <c r="Y980" s="6" t="str">
        <f>IFERROR(__xludf.DUMMYFUNCTION("""COMPUTED_VALUE"""),"Время Владимира Михайлова и его команды - настоящие профессионалы. ")</f>
        <v>Время Владимира Михайлова и его команды - настоящие профессионалы. </v>
      </c>
      <c r="Z980" s="6" t="str">
        <f>IFERROR(__xludf.DUMMYFUNCTION("""COMPUTED_VALUE"""),"Тенденция - оживлять центральные улицы и двигаться в сторону понятия ""АРБАТ"" - это зримо и значимо !!!")</f>
        <v>Тенденция - оживлять центральные улицы и двигаться в сторону понятия "АРБАТ" - это зримо и значимо !!!</v>
      </c>
      <c r="AA980" s="6" t="str">
        <f>IFERROR(__xludf.DUMMYFUNCTION("""COMPUTED_VALUE"""),"Конфликт и негодование по поводу ""покушений"" на Рудничный Бор - это серьёзно, люди отстояли !!! Это позитивно. ")</f>
        <v>Конфликт и негодование по поводу "покушений" на Рудничный Бор - это серьёзно, люди отстояли !!! Это позитивно. </v>
      </c>
      <c r="AB980" s="6" t="str">
        <f>IFERROR(__xludf.DUMMYFUNCTION("""COMPUTED_VALUE"""),"Уникальный конно - спортивный клуб ""Амазонки"" надо перестать прессовать - он нужен городу и детям на этом зеленом островке вольготно и душевно !!!  ")</f>
        <v>Уникальный конно - спортивный клуб "Амазонки" надо перестать прессовать - он нужен городу и детям на этом зеленом островке вольготно и душевно !!!  </v>
      </c>
      <c r="AC980" s="6" t="str">
        <f>IFERROR(__xludf.DUMMYFUNCTION("""COMPUTED_VALUE"""),"Я прожил большую часть жизни в Кемерово и рядом с городом, чувствую его и готов помочь, насколько это возможно. У меня есть проект и об этом выше сказано !")</f>
        <v>Я прожил большую часть жизни в Кемерово и рядом с городом, чувствую его и готов помочь, насколько это возможно. У меня есть проект и об этом выше сказано !</v>
      </c>
      <c r="AD980" s="6" t="str">
        <f>IFERROR(__xludf.DUMMYFUNCTION("""COMPUTED_VALUE"""),"Коммуникатора: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980" s="6" t="str">
        <f>IFERROR(__xludf.DUMMYFUNCTION("""COMPUTED_VALUE"""),"Мужской")</f>
        <v>Мужской</v>
      </c>
      <c r="AF980" s="6" t="str">
        <f>IFERROR(__xludf.DUMMYFUNCTION("""COMPUTED_VALUE"""),"старше 55")</f>
        <v>старше 55</v>
      </c>
      <c r="AG980" s="6"/>
      <c r="AH980" s="6"/>
      <c r="AI980" s="6"/>
      <c r="AJ980" s="6"/>
      <c r="AK980" s="6"/>
      <c r="AL980" s="6"/>
      <c r="AM980" s="6"/>
    </row>
    <row r="981">
      <c r="A981" s="6">
        <v>980.0</v>
      </c>
      <c r="B981" s="6" t="str">
        <f>IFERROR(__xludf.DUMMYFUNCTION("""COMPUTED_VALUE"""),"Разработка компьютерного программного обеспечения")</f>
        <v>Разработка компьютерного программного обеспечения</v>
      </c>
      <c r="C981" s="6" t="str">
        <f>IFERROR(__xludf.DUMMYFUNCTION("""COMPUTED_VALUE"""),"Мотоциклы, бег")</f>
        <v>Мотоциклы, бег</v>
      </c>
      <c r="D981" s="6" t="str">
        <f>IFERROR(__xludf.DUMMYFUNCTION("""COMPUTED_VALUE"""),"Рудничный")</f>
        <v>Рудничный</v>
      </c>
      <c r="E981" s="6" t="str">
        <f>IFERROR(__xludf.DUMMYFUNCTION("""COMPUTED_VALUE"""),"Сосновый бор, Красная горка, Это_Офис")</f>
        <v>Сосновый бор, Красная горка, Это_Офис</v>
      </c>
      <c r="F981" s="6" t="str">
        <f>IFERROR(__xludf.DUMMYFUNCTION("""COMPUTED_VALUE"""),"С 1994 года")</f>
        <v>С 1994 года</v>
      </c>
      <c r="G981" s="6" t="str">
        <f>IFERROR(__xludf.DUMMYFUNCTION("""COMPUTED_VALUE"""),"Набережная, торговые центры, каток, бассейн")</f>
        <v>Набережная, торговые центры, каток, бассейн</v>
      </c>
      <c r="H981" s="6" t="str">
        <f>IFERROR(__xludf.DUMMYFUNCTION("""COMPUTED_VALUE"""),"Маленький, удобный, тихий, сибирский, шахтерский")</f>
        <v>Маленький, удобный, тихий, сибирский, шахтерский</v>
      </c>
      <c r="I981" s="6" t="str">
        <f>IFERROR(__xludf.DUMMYFUNCTION("""COMPUTED_VALUE"""),"Рудгерс, Леонов")</f>
        <v>Рудгерс, Леонов</v>
      </c>
      <c r="J981" s="6" t="str">
        <f>IFERROR(__xludf.DUMMYFUNCTION("""COMPUTED_VALUE"""),"Гришковец, Федяев, Приставка, Михайлов")</f>
        <v>Гришковец, Федяев, Приставка, Михайлов</v>
      </c>
      <c r="K981" s="6" t="str">
        <f>IFERROR(__xludf.DUMMYFUNCTION("""COMPUTED_VALUE"""),"Промышленные объекты: шахты, разрезы")</f>
        <v>Промышленные объекты: шахты, разрезы</v>
      </c>
      <c r="L981" s="6" t="str">
        <f>IFERROR(__xludf.DUMMYFUNCTION("""COMPUTED_VALUE"""),"Он придёт и молча поправит все
Человек из Кемерова (Борис Гребенщиков - Человек из Кемерово)")</f>
        <v>Он придёт и молча поправит все
Человек из Кемерова (Борис Гребенщиков - Человек из Кемерово)</v>
      </c>
      <c r="M981" s="6" t="str">
        <f>IFERROR(__xludf.DUMMYFUNCTION("""COMPUTED_VALUE"""),"ФПК (очень кемеровское название района города)")</f>
        <v>ФПК (очень кемеровское название района города)</v>
      </c>
      <c r="N981" s="6" t="str">
        <f>IFERROR(__xludf.DUMMYFUNCTION("""COMPUTED_VALUE"""),"Личная безопасность, чистота на улицах, транспортная доступность, архитектурная красота, культура общения.")</f>
        <v>Личная безопасность, чистота на улицах, транспортная доступность, архитектурная красота, культура общения.</v>
      </c>
      <c r="O981" s="6" t="str">
        <f>IFERROR(__xludf.DUMMYFUNCTION("""COMPUTED_VALUE"""),"Прибраться, город грязный и запущенный.")</f>
        <v>Прибраться, город грязный и запущенный.</v>
      </c>
      <c r="P981" s="6" t="str">
        <f>IFERROR(__xludf.DUMMYFUNCTION("""COMPUTED_VALUE"""),"A42, VSE42 и просто поиск в Google")</f>
        <v>A42, VSE42 и просто поиск в Google</v>
      </c>
      <c r="Q981" s="6" t="str">
        <f>IFERROR(__xludf.DUMMYFUNCTION("""COMPUTED_VALUE"""),"куда пойти в свободное время, где вкусно поесть/открытие новых кафе/ресторанов, бизнес-новости (средний чек/рекламные акции/запуск новых предприятий)")</f>
        <v>куда пойти в свободное время, где вкусно поесть/открытие новых кафе/ресторанов, бизнес-новости (средний чек/рекламные акции/запуск новых предприятий)</v>
      </c>
      <c r="R981" s="6" t="str">
        <f>IFERROR(__xludf.DUMMYFUNCTION("""COMPUTED_VALUE"""),"День города, день шахтера")</f>
        <v>День города, день шахтера</v>
      </c>
      <c r="S981" s="6" t="str">
        <f>IFERROR(__xludf.DUMMYFUNCTION("""COMPUTED_VALUE"""),"Нет, не приходилось")</f>
        <v>Нет, не приходилось</v>
      </c>
      <c r="T981" s="6" t="str">
        <f>IFERROR(__xludf.DUMMYFUNCTION("""COMPUTED_VALUE"""),"К сожалению, ничем")</f>
        <v>К сожалению, ничем</v>
      </c>
      <c r="U981" s="6" t="str">
        <f>IFERROR(__xludf.DUMMYFUNCTION("""COMPUTED_VALUE"""),"Площадь Ленина, Вечный огонь")</f>
        <v>Площадь Ленина, Вечный огонь</v>
      </c>
      <c r="V981" s="6" t="str">
        <f>IFERROR(__xludf.DUMMYFUNCTION("""COMPUTED_VALUE"""),"Строили заводы и добывали уголь")</f>
        <v>Строили заводы и добывали уголь</v>
      </c>
      <c r="W981" s="6" t="str">
        <f>IFERROR(__xludf.DUMMYFUNCTION("""COMPUTED_VALUE"""),"Крепкие, суровые, уставшие")</f>
        <v>Крепкие, суровые, уставшие</v>
      </c>
      <c r="X981" s="6" t="str">
        <f>IFERROR(__xludf.DUMMYFUNCTION("""COMPUTED_VALUE"""),"Площадь советов, набережная, улица Весенняя, Драматический театр")</f>
        <v>Площадь советов, набережная, улица Весенняя, Драматический театр</v>
      </c>
      <c r="Y981" s="6" t="str">
        <f>IFERROR(__xludf.DUMMYFUNCTION("""COMPUTED_VALUE"""),"в 1721 году сибирский рудознатец Михайло Волков обнаружил на берегу Томи «горелую гору»")</f>
        <v>в 1721 году сибирский рудознатец Михайло Волков обнаружил на берегу Томи «горелую гору»</v>
      </c>
      <c r="Z981" s="6" t="str">
        <f>IFERROR(__xludf.DUMMYFUNCTION("""COMPUTED_VALUE"""),"Победа волейбольного клуба Кузбасс на Чемпионате России")</f>
        <v>Победа волейбольного клуба Кузбасс на Чемпионате России</v>
      </c>
      <c r="AA981" s="6" t="str">
        <f>IFERROR(__xludf.DUMMYFUNCTION("""COMPUTED_VALUE"""),"Зимняя Вишня")</f>
        <v>Зимняя Вишня</v>
      </c>
      <c r="AB981" s="6" t="str">
        <f>IFERROR(__xludf.DUMMYFUNCTION("""COMPUTED_VALUE"""),"Профессиональных, мало осталось в Кемерово опытных людей, не у кого поучиться.")</f>
        <v>Профессиональных, мало осталось в Кемерово опытных людей, не у кого поучиться.</v>
      </c>
      <c r="AC981" s="6" t="str">
        <f>IFERROR(__xludf.DUMMYFUNCTION("""COMPUTED_VALUE"""),"Массовых спортивных мероприятий и концертов знаменитостей.")</f>
        <v>Массовых спортивных мероприятий и концертов знаменитостей.</v>
      </c>
      <c r="AD98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81" s="6" t="str">
        <f>IFERROR(__xludf.DUMMYFUNCTION("""COMPUTED_VALUE"""),"Мужской")</f>
        <v>Мужской</v>
      </c>
      <c r="AF981" s="6" t="str">
        <f>IFERROR(__xludf.DUMMYFUNCTION("""COMPUTED_VALUE"""),"30-44")</f>
        <v>30-44</v>
      </c>
      <c r="AG981" s="6"/>
      <c r="AH981" s="6"/>
      <c r="AI981" s="6"/>
      <c r="AJ981" s="6"/>
      <c r="AK981" s="6"/>
      <c r="AL981" s="6"/>
      <c r="AM981" s="6"/>
    </row>
    <row r="982">
      <c r="A982" s="6">
        <v>981.0</v>
      </c>
      <c r="B982" s="6" t="str">
        <f>IFERROR(__xludf.DUMMYFUNCTION("""COMPUTED_VALUE"""),"бизнес")</f>
        <v>бизнес</v>
      </c>
      <c r="C982" s="6" t="str">
        <f>IFERROR(__xludf.DUMMYFUNCTION("""COMPUTED_VALUE"""),"интеллектуальные игры, фитнесс")</f>
        <v>интеллектуальные игры, фитнесс</v>
      </c>
      <c r="D982" s="6" t="str">
        <f>IFERROR(__xludf.DUMMYFUNCTION("""COMPUTED_VALUE"""),"центральный, у цирка")</f>
        <v>центральный, у цирка</v>
      </c>
      <c r="E982" s="6" t="str">
        <f>IFERROR(__xludf.DUMMYFUNCTION("""COMPUTED_VALUE"""),"пионерский бульвар")</f>
        <v>пионерский бульвар</v>
      </c>
      <c r="F982" s="6" t="str">
        <f>IFERROR(__xludf.DUMMYFUNCTION("""COMPUTED_VALUE"""),"Живу здесь с рождения")</f>
        <v>Живу здесь с рождения</v>
      </c>
      <c r="G982" s="6" t="str">
        <f>IFERROR(__xludf.DUMMYFUNCTION("""COMPUTED_VALUE"""),"театры, рестораны")</f>
        <v>театры, рестораны</v>
      </c>
      <c r="H982" s="6" t="str">
        <f>IFERROR(__xludf.DUMMYFUNCTION("""COMPUTED_VALUE"""),"чистота, удобство, томь, бор, парк")</f>
        <v>чистота, удобство, томь, бор, парк</v>
      </c>
      <c r="I982" s="6" t="str">
        <f>IFERROR(__xludf.DUMMYFUNCTION("""COMPUTED_VALUE"""),"леонов, михайлов, красильников, волошина, подгорбунский")</f>
        <v>леонов, михайлов, красильников, волошина, подгорбунский</v>
      </c>
      <c r="J982" s="6" t="str">
        <f>IFERROR(__xludf.DUMMYFUNCTION("""COMPUTED_VALUE"""),"тулеев")</f>
        <v>тулеев</v>
      </c>
      <c r="K982" s="6" t="str">
        <f>IFERROR(__xludf.DUMMYFUNCTION("""COMPUTED_VALUE"""),"томская писаница, красная горка")</f>
        <v>томская писаница, красная горка</v>
      </c>
      <c r="L982" s="6" t="str">
        <f>IFERROR(__xludf.DUMMYFUNCTION("""COMPUTED_VALUE"""),"человек из кемерово (гребенщиков)")</f>
        <v>человек из кемерово (гребенщиков)</v>
      </c>
      <c r="M982" s="6" t="str">
        <f>IFERROR(__xludf.DUMMYFUNCTION("""COMPUTED_VALUE"""),"нет")</f>
        <v>нет</v>
      </c>
      <c r="N982" s="6" t="str">
        <f>IFERROR(__xludf.DUMMYFUNCTION("""COMPUTED_VALUE"""),"отсутствие пробок, наличие работы, разнообразие культурных и спортивных мероприятий, широта торговой сети, доступность медицины, в том числе высоких иехнологий")</f>
        <v>отсутствие пробок, наличие работы, разнообразие культурных и спортивных мероприятий, широта торговой сети, доступность медицины, в том числе высоких иехнологий</v>
      </c>
      <c r="O982" s="6" t="str">
        <f>IFERROR(__xludf.DUMMYFUNCTION("""COMPUTED_VALUE"""),"экологию")</f>
        <v>экологию</v>
      </c>
      <c r="P982" s="6" t="str">
        <f>IFERROR(__xludf.DUMMYFUNCTION("""COMPUTED_VALUE"""),"сибдепо, фейсбук")</f>
        <v>сибдепо, фейсбук</v>
      </c>
      <c r="Q982" s="6" t="str">
        <f>IFERROR(__xludf.DUMMYFUNCTION("""COMPUTED_VALUE"""),"где вкусно поесть/открытие новых кафе/ресторанов, городская афиша (кино/театр/концерты), бизнес-новости (средний чек/рекламные акции/запуск новых предприятий)")</f>
        <v>где вкусно поесть/открытие новых кафе/ресторанов, городская афиша (кино/театр/концерты), бизнес-новости (средний чек/рекламные акции/запуск новых предприятий)</v>
      </c>
      <c r="R982" s="6" t="str">
        <f>IFERROR(__xludf.DUMMYFUNCTION("""COMPUTED_VALUE"""),"день города")</f>
        <v>день города</v>
      </c>
      <c r="S982" s="6" t="str">
        <f>IFERROR(__xludf.DUMMYFUNCTION("""COMPUTED_VALUE"""),"Нет, не приходилось")</f>
        <v>Нет, не приходилось</v>
      </c>
      <c r="T982" s="6" t="str">
        <f>IFERROR(__xludf.DUMMYFUNCTION("""COMPUTED_VALUE"""),"бор")</f>
        <v>бор</v>
      </c>
      <c r="U982" s="6" t="str">
        <f>IFERROR(__xludf.DUMMYFUNCTION("""COMPUTED_VALUE"""),"реальный центр города")</f>
        <v>реальный центр города</v>
      </c>
      <c r="V982" s="6" t="str">
        <f>IFERROR(__xludf.DUMMYFUNCTION("""COMPUTED_VALUE"""),"построили красивые здания и улицы")</f>
        <v>построили красивые здания и улицы</v>
      </c>
      <c r="W982" s="6" t="str">
        <f>IFERROR(__xludf.DUMMYFUNCTION("""COMPUTED_VALUE"""),"добрые, дружелюбные")</f>
        <v>добрые, дружелюбные</v>
      </c>
      <c r="X982" s="6" t="str">
        <f>IFERROR(__xludf.DUMMYFUNCTION("""COMPUTED_VALUE"""),"Весенняя-набережная")</f>
        <v>Весенняя-набережная</v>
      </c>
      <c r="Y982" s="6" t="str">
        <f>IFERROR(__xludf.DUMMYFUNCTION("""COMPUTED_VALUE"""),"Образование Кемеровской области со столицей в Кемерово")</f>
        <v>Образование Кемеровской области со столицей в Кемерово</v>
      </c>
      <c r="Z982" s="6" t="str">
        <f>IFERROR(__xludf.DUMMYFUNCTION("""COMPUTED_VALUE"""),"Рок-фестиваль, строительство новых объектов")</f>
        <v>Рок-фестиваль, строительство новых объектов</v>
      </c>
      <c r="AA982" s="6" t="str">
        <f>IFERROR(__xludf.DUMMYFUNCTION("""COMPUTED_VALUE"""),"не помню")</f>
        <v>не помню</v>
      </c>
      <c r="AB982" s="6" t="str">
        <f>IFERROR(__xludf.DUMMYFUNCTION("""COMPUTED_VALUE"""),"Футбольного клуба высокого уровня и соответственно фан-клуба")</f>
        <v>Футбольного клуба высокого уровня и соответственно фан-клуба</v>
      </c>
      <c r="AC982" s="6" t="str">
        <f>IFERROR(__xludf.DUMMYFUNCTION("""COMPUTED_VALUE"""),"Проведение международных турниров, выставок, фестивалей")</f>
        <v>Проведение международных турниров, выставок, фестивалей</v>
      </c>
      <c r="AD98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82" s="6" t="str">
        <f>IFERROR(__xludf.DUMMYFUNCTION("""COMPUTED_VALUE"""),"Мужской")</f>
        <v>Мужской</v>
      </c>
      <c r="AF982" s="6" t="str">
        <f>IFERROR(__xludf.DUMMYFUNCTION("""COMPUTED_VALUE"""),"45-55")</f>
        <v>45-55</v>
      </c>
      <c r="AG982" s="6"/>
      <c r="AH982" s="6"/>
      <c r="AI982" s="6"/>
      <c r="AJ982" s="6"/>
      <c r="AK982" s="6"/>
      <c r="AL982" s="6"/>
      <c r="AM982" s="6"/>
    </row>
    <row r="983">
      <c r="A983" s="6">
        <v>982.0</v>
      </c>
      <c r="B983" s="6" t="str">
        <f>IFERROR(__xludf.DUMMYFUNCTION("""COMPUTED_VALUE"""),"В данный момент безработный")</f>
        <v>В данный момент безработный</v>
      </c>
      <c r="C983" s="6" t="str">
        <f>IFERROR(__xludf.DUMMYFUNCTION("""COMPUTED_VALUE"""),"Фитнес, спорт (горные лыжи и проч.)")</f>
        <v>Фитнес, спорт (горные лыжи и проч.)</v>
      </c>
      <c r="D983" s="6" t="str">
        <f>IFERROR(__xludf.DUMMYFUNCTION("""COMPUTED_VALUE"""),"ФПК")</f>
        <v>ФПК</v>
      </c>
      <c r="E983" s="6" t="str">
        <f>IFERROR(__xludf.DUMMYFUNCTION("""COMPUTED_VALUE"""),"ТЦ Гринвич")</f>
        <v>ТЦ Гринвич</v>
      </c>
      <c r="F983" s="6" t="str">
        <f>IFERROR(__xludf.DUMMYFUNCTION("""COMPUTED_VALUE"""),"Живу здесь с рождения")</f>
        <v>Живу здесь с рождения</v>
      </c>
      <c r="G983" s="6" t="str">
        <f>IFERROR(__xludf.DUMMYFUNCTION("""COMPUTED_VALUE"""),"Ездим с младшей дочерью гулять в Центр")</f>
        <v>Ездим с младшей дочерью гулять в Центр</v>
      </c>
      <c r="H983" s="6" t="str">
        <f>IFERROR(__xludf.DUMMYFUNCTION("""COMPUTED_VALUE"""),"Дом, друзья, семья, пикник, речка")</f>
        <v>Дом, друзья, семья, пикник, речка</v>
      </c>
      <c r="I983" s="6" t="str">
        <f>IFERROR(__xludf.DUMMYFUNCTION("""COMPUTED_VALUE"""),"Прям выдающихся? Не помню")</f>
        <v>Прям выдающихся? Не помню</v>
      </c>
      <c r="J983" s="6" t="str">
        <f>IFERROR(__xludf.DUMMYFUNCTION("""COMPUTED_VALUE"""),"Михайлов В.В.. Судя по началу, есть шанс у Цивилева С.Е. - хорошо начал, мне есть с чем сравнивать")</f>
        <v>Михайлов В.В.. Судя по началу, есть шанс у Цивилева С.Е. - хорошо начал, мне есть с чем сравнивать</v>
      </c>
      <c r="K983" s="6" t="str">
        <f>IFERROR(__xludf.DUMMYFUNCTION("""COMPUTED_VALUE"""),"Прогулялся бы по Центру. Особо показывать нечего - Кемерово, увы не Прага и не Рим...")</f>
        <v>Прогулялся бы по Центру. Особо показывать нечего - Кемерово, увы не Прага и не Рим...</v>
      </c>
      <c r="L983" s="6" t="str">
        <f>IFERROR(__xludf.DUMMYFUNCTION("""COMPUTED_VALUE"""),"Мал золотник, да мне дорог")</f>
        <v>Мал золотник, да мне дорог</v>
      </c>
      <c r="M983" s="6" t="str">
        <f>IFERROR(__xludf.DUMMYFUNCTION("""COMPUTED_VALUE"""),"нет")</f>
        <v>нет</v>
      </c>
      <c r="N983" s="6" t="str">
        <f>IFERROR(__xludf.DUMMYFUNCTION("""COMPUTED_VALUE"""),"Наличие работы, архитектура, зелень, дороги, погода")</f>
        <v>Наличие работы, архитектура, зелень, дороги, погода</v>
      </c>
      <c r="O983" s="6" t="str">
        <f>IFERROR(__xludf.DUMMYFUNCTION("""COMPUTED_VALUE"""),"Развивать экономику, малый бизнес, добавить зелени, скверов...")</f>
        <v>Развивать экономику, малый бизнес, добавить зелени, скверов...</v>
      </c>
      <c r="P983" s="6" t="str">
        <f>IFERROR(__xludf.DUMMYFUNCTION("""COMPUTED_VALUE"""),"Интернет - а42, дружеский чат в WhatsApp")</f>
        <v>Интернет - а42, дружеский чат в WhatsApp</v>
      </c>
      <c r="Q983"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результаты местных исследований (рейтинги/аналитика/тенденции)</v>
      </c>
      <c r="R983" s="6" t="str">
        <f>IFERROR(__xludf.DUMMYFUNCTION("""COMPUTED_VALUE"""),"Новый год это общегородской праздник?")</f>
        <v>Новый год это общегородской праздник?</v>
      </c>
      <c r="S983" s="6" t="str">
        <f>IFERROR(__xludf.DUMMYFUNCTION("""COMPUTED_VALUE"""),"городского масштаба нет, но я работал директором ТЦ, так что события были")</f>
        <v>городского масштаба нет, но я работал директором ТЦ, так что события были</v>
      </c>
      <c r="T983" s="6" t="str">
        <f>IFERROR(__xludf.DUMMYFUNCTION("""COMPUTED_VALUE"""),"Уголь, Зимняя вишня. Современный город. Типовая архитектура. Ничего уникального.")</f>
        <v>Уголь, Зимняя вишня. Современный город. Типовая архитектура. Ничего уникального.</v>
      </c>
      <c r="U983" s="6" t="str">
        <f>IFERROR(__xludf.DUMMYFUNCTION("""COMPUTED_VALUE"""),"площадь Советов")</f>
        <v>площадь Советов</v>
      </c>
      <c r="V983" s="6" t="str">
        <f>IFERROR(__xludf.DUMMYFUNCTION("""COMPUTED_VALUE"""),"Вырастили детей, построили дом, вырастили сад")</f>
        <v>Вырастили детей, построили дом, вырастили сад</v>
      </c>
      <c r="W983" s="6" t="str">
        <f>IFERROR(__xludf.DUMMYFUNCTION("""COMPUTED_VALUE"""),"Сибиряки советские обыкновенные. Качества - хмурость")</f>
        <v>Сибиряки советские обыкновенные. Качества - хмурость</v>
      </c>
      <c r="X983" s="6" t="str">
        <f>IFERROR(__xludf.DUMMYFUNCTION("""COMPUTED_VALUE"""),"Самый крутой? В лимузине с шампанским в хорошей компании. И можно ездить по кругу. Прогулки по реке еще хорошо заходят. А вообще, важно откуда вы приехали - если из Москвы или Токио - одно, если из Кислодрищенска - другое...")</f>
        <v>Самый крутой? В лимузине с шампанским в хорошей компании. И можно ездить по кругу. Прогулки по реке еще хорошо заходят. А вообще, важно откуда вы приехали - если из Москвы или Токио - одно, если из Кислодрищенска - другое...</v>
      </c>
      <c r="Y983" s="6" t="str">
        <f>IFERROR(__xludf.DUMMYFUNCTION("""COMPUTED_VALUE"""),"На данный момент, к сожалению, Зимняя вишня. В других регионах сейчас это первая ассоциация с Кемерово")</f>
        <v>На данный момент, к сожалению, Зимняя вишня. В других регионах сейчас это первая ассоциация с Кемерово</v>
      </c>
      <c r="Z983" s="6" t="str">
        <f>IFERROR(__xludf.DUMMYFUNCTION("""COMPUTED_VALUE"""),"Прогулки с семьей по городу, зимой горки и елка на площади Советов")</f>
        <v>Прогулки с семьей по городу, зимой горки и елка на площади Советов</v>
      </c>
      <c r="AA983" s="6" t="str">
        <f>IFERROR(__xludf.DUMMYFUNCTION("""COMPUTED_VALUE"""),"Меня уволили")</f>
        <v>Меня уволили</v>
      </c>
      <c r="AB983" s="6" t="str">
        <f>IFERROR(__xludf.DUMMYFUNCTION("""COMPUTED_VALUE"""),"Мне всего хватает")</f>
        <v>Мне всего хватает</v>
      </c>
      <c r="AC983" s="6" t="str">
        <f>IFERROR(__xludf.DUMMYFUNCTION("""COMPUTED_VALUE"""),"Достаточно отмечания праздников - Новый год, 8 марта и т.д. Меньше формализма, больше свободы для инициативных и творческих граждан. В местах досуга граждан больше свободы для малого бизнеса.")</f>
        <v>Достаточно отмечания праздников - Новый год, 8 марта и т.д. Меньше формализма, больше свободы для инициативных и творческих граждан. В местах досуга граждан больше свободы для малого бизнеса.</v>
      </c>
      <c r="AD983" s="6" t="str">
        <f>IFERROR(__xludf.DUMMYFUNCTION("""COMPUTED_VALUE"""),"Коммуникатора: Готов задействовать свои знакомства для приглашения потенциально заинтересованных участников, В роли эксперта или критика")</f>
        <v>Коммуникатора: Готов задействовать свои знакомства для приглашения потенциально заинтересованных участников, В роли эксперта или критика</v>
      </c>
      <c r="AE983" s="6" t="str">
        <f>IFERROR(__xludf.DUMMYFUNCTION("""COMPUTED_VALUE"""),"Мужской")</f>
        <v>Мужской</v>
      </c>
      <c r="AF983" s="6" t="str">
        <f>IFERROR(__xludf.DUMMYFUNCTION("""COMPUTED_VALUE"""),"45-55")</f>
        <v>45-55</v>
      </c>
      <c r="AG983" s="6"/>
      <c r="AH983" s="6"/>
      <c r="AI983" s="6"/>
      <c r="AJ983" s="6"/>
      <c r="AK983" s="6"/>
      <c r="AL983" s="6"/>
      <c r="AM983" s="6"/>
    </row>
    <row r="984">
      <c r="A984" s="6">
        <v>983.0</v>
      </c>
      <c r="B984" s="6" t="str">
        <f>IFERROR(__xludf.DUMMYFUNCTION("""COMPUTED_VALUE"""),"пенсионер")</f>
        <v>пенсионер</v>
      </c>
      <c r="C984" s="6" t="str">
        <f>IFERROR(__xludf.DUMMYFUNCTION("""COMPUTED_VALUE"""),"сад и огород")</f>
        <v>сад и огород</v>
      </c>
      <c r="D984" s="6" t="str">
        <f>IFERROR(__xludf.DUMMYFUNCTION("""COMPUTED_VALUE"""),"Шалготарьян")</f>
        <v>Шалготарьян</v>
      </c>
      <c r="E984" s="6" t="str">
        <f>IFERROR(__xludf.DUMMYFUNCTION("""COMPUTED_VALUE"""),"Фонтан возле Нограда")</f>
        <v>Фонтан возле Нограда</v>
      </c>
      <c r="F984" s="6" t="str">
        <f>IFERROR(__xludf.DUMMYFUNCTION("""COMPUTED_VALUE"""),"Переехал сюда из другого места (откуда? укажите в графе другое), из Белоруссии с 1982 г.- к месту службы мужа")</f>
        <v>Переехал сюда из другого места (откуда? укажите в графе другое), из Белоруссии с 1982 г.- к месту службы мужа</v>
      </c>
      <c r="G984" s="6" t="str">
        <f>IFERROR(__xludf.DUMMYFUNCTION("""COMPUTED_VALUE"""),"б-р Строителей")</f>
        <v>б-р Строителей</v>
      </c>
      <c r="H984" s="6" t="str">
        <f>IFERROR(__xludf.DUMMYFUNCTION("""COMPUTED_VALUE"""),"Похорошевший, убранный, застраивающийся. окультуренный, зеленый")</f>
        <v>Похорошевший, убранный, застраивающийся. окультуренный, зеленый</v>
      </c>
      <c r="I984" s="6" t="str">
        <f>IFERROR(__xludf.DUMMYFUNCTION("""COMPUTED_VALUE"""),"В.Волошина, С.Рутгерс")</f>
        <v>В.Волошина, С.Рутгерс</v>
      </c>
      <c r="J984" s="6" t="str">
        <f>IFERROR(__xludf.DUMMYFUNCTION("""COMPUTED_VALUE"""),"В.Михайлов")</f>
        <v>В.Михайлов</v>
      </c>
      <c r="K984" s="6" t="str">
        <f>IFERROR(__xludf.DUMMYFUNCTION("""COMPUTED_VALUE"""),"ул.Весенняя. набережная р.Томи, б-р Строителей, Лесная Поляна")</f>
        <v>ул.Весенняя. набережная р.Томи, б-р Строителей, Лесная Поляна</v>
      </c>
      <c r="L984" s="6" t="str">
        <f>IFERROR(__xludf.DUMMYFUNCTION("""COMPUTED_VALUE"""),"- ")</f>
        <v>- </v>
      </c>
      <c r="M984" s="6" t="str">
        <f>IFERROR(__xludf.DUMMYFUNCTION("""COMPUTED_VALUE"""),"-")</f>
        <v>-</v>
      </c>
      <c r="N984" s="6" t="str">
        <f>IFERROR(__xludf.DUMMYFUNCTION("""COMPUTED_VALUE"""),"Чистота, работа гор.транспорта, хорошие дороги, ухоженные придомовые территории, уборка снега")</f>
        <v>Чистота, работа гор.транспорта, хорошие дороги, ухоженные придомовые территории, уборка снега</v>
      </c>
      <c r="O984" s="6" t="str">
        <f>IFERROR(__xludf.DUMMYFUNCTION("""COMPUTED_VALUE"""),"Постройка нового моста через р.Томь")</f>
        <v>Постройка нового моста через р.Томь</v>
      </c>
      <c r="P984" s="6" t="str">
        <f>IFERROR(__xludf.DUMMYFUNCTION("""COMPUTED_VALUE"""),"новости радио, новости ТВ")</f>
        <v>новости радио, новости ТВ</v>
      </c>
      <c r="Q984" s="6" t="str">
        <f>IFERROR(__xludf.DUMMYFUNCTION("""COMPUTED_VALUE"""),"городская афиша (кино/театр/концерты), передачи про сад и огород")</f>
        <v>городская афиша (кино/театр/концерты), передачи про сад и огород</v>
      </c>
      <c r="R984" s="6" t="str">
        <f>IFERROR(__xludf.DUMMYFUNCTION("""COMPUTED_VALUE"""),"День города")</f>
        <v>День города</v>
      </c>
      <c r="S984" s="6" t="str">
        <f>IFERROR(__xludf.DUMMYFUNCTION("""COMPUTED_VALUE"""),"Нет, не приходилось")</f>
        <v>Нет, не приходилось</v>
      </c>
      <c r="T984" s="6" t="str">
        <f>IFERROR(__xludf.DUMMYFUNCTION("""COMPUTED_VALUE"""),"Город-столица угольного региона. Известность пришла вместе с шахтерскими забастовками. ")</f>
        <v>Город-столица угольного региона. Известность пришла вместе с шахтерскими забастовками. </v>
      </c>
      <c r="U984" s="6" t="str">
        <f>IFERROR(__xludf.DUMMYFUNCTION("""COMPUTED_VALUE"""),"пл.Советов")</f>
        <v>пл.Советов</v>
      </c>
      <c r="V984" s="6" t="str">
        <f>IFERROR(__xludf.DUMMYFUNCTION("""COMPUTED_VALUE"""),"работали, строили город")</f>
        <v>работали, строили город</v>
      </c>
      <c r="W984" s="6" t="str">
        <f>IFERROR(__xludf.DUMMYFUNCTION("""COMPUTED_VALUE"""),"труженики")</f>
        <v>труженики</v>
      </c>
      <c r="X984" s="6" t="str">
        <f>IFERROR(__xludf.DUMMYFUNCTION("""COMPUTED_VALUE"""),"пр.Советский - ул.Весенняя - пл.Советов - б-р Строителей - Лесная Поляна")</f>
        <v>пр.Советский - ул.Весенняя - пл.Советов - б-р Строителей - Лесная Поляна</v>
      </c>
      <c r="Y984" s="6" t="str">
        <f>IFERROR(__xludf.DUMMYFUNCTION("""COMPUTED_VALUE"""),"шахтерские забастовки явились началом распада Советского Союза")</f>
        <v>шахтерские забастовки явились началом распада Советского Союза</v>
      </c>
      <c r="Z984" s="6" t="str">
        <f>IFERROR(__xludf.DUMMYFUNCTION("""COMPUTED_VALUE"""),"создание парка Ангелов, строительство Московской площади")</f>
        <v>создание парка Ангелов, строительство Московской площади</v>
      </c>
      <c r="AA984" s="6" t="str">
        <f>IFERROR(__xludf.DUMMYFUNCTION("""COMPUTED_VALUE"""),"пожар в ""Зимней вишне""")</f>
        <v>пожар в "Зимней вишне"</v>
      </c>
      <c r="AB984" s="6" t="str">
        <f>IFERROR(__xludf.DUMMYFUNCTION("""COMPUTED_VALUE"""),"-")</f>
        <v>-</v>
      </c>
      <c r="AC984" s="6" t="str">
        <f>IFERROR(__xludf.DUMMYFUNCTION("""COMPUTED_VALUE"""),"-")</f>
        <v>-</v>
      </c>
      <c r="AD984" s="6" t="str">
        <f>IFERROR(__xludf.DUMMYFUNCTION("""COMPUTED_VALUE"""),"Не готов принимать личное участие (укажите, пожалуйста, причину в поле «Другое»), здоровье")</f>
        <v>Не готов принимать личное участие (укажите, пожалуйста, причину в поле «Другое»), здоровье</v>
      </c>
      <c r="AE984" s="6" t="str">
        <f>IFERROR(__xludf.DUMMYFUNCTION("""COMPUTED_VALUE"""),"Женский")</f>
        <v>Женский</v>
      </c>
      <c r="AF984" s="6" t="str">
        <f>IFERROR(__xludf.DUMMYFUNCTION("""COMPUTED_VALUE"""),"старше 55")</f>
        <v>старше 55</v>
      </c>
      <c r="AG984" s="6"/>
      <c r="AH984" s="6"/>
      <c r="AI984" s="6"/>
      <c r="AJ984" s="6"/>
      <c r="AK984" s="6"/>
      <c r="AL984" s="6"/>
      <c r="AM984" s="6"/>
    </row>
    <row r="985">
      <c r="A985" s="6">
        <v>984.0</v>
      </c>
      <c r="B985" s="6" t="str">
        <f>IFERROR(__xludf.DUMMYFUNCTION("""COMPUTED_VALUE"""),"Работаю")</f>
        <v>Работаю</v>
      </c>
      <c r="C985" s="6" t="str">
        <f>IFERROR(__xludf.DUMMYFUNCTION("""COMPUTED_VALUE""")," Предпринимательство ")</f>
        <v> Предпринимательство </v>
      </c>
      <c r="D985" s="6" t="str">
        <f>IFERROR(__xludf.DUMMYFUNCTION("""COMPUTED_VALUE"""),"Сердце Кемерово ")</f>
        <v>Сердце Кемерово </v>
      </c>
      <c r="E985" s="6" t="str">
        <f>IFERROR(__xludf.DUMMYFUNCTION("""COMPUTED_VALUE"""),"Пару ангелов ")</f>
        <v>Пару ангелов </v>
      </c>
      <c r="F985"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985" s="6" t="str">
        <f>IFERROR(__xludf.DUMMYFUNCTION("""COMPUTED_VALUE"""),"В центр города ")</f>
        <v>В центр города </v>
      </c>
      <c r="H985" s="6" t="str">
        <f>IFERROR(__xludf.DUMMYFUNCTION("""COMPUTED_VALUE"""),"Уголь")</f>
        <v>Уголь</v>
      </c>
      <c r="I985" s="6" t="str">
        <f>IFERROR(__xludf.DUMMYFUNCTION("""COMPUTED_VALUE"""),"Сталин")</f>
        <v>Сталин</v>
      </c>
      <c r="J985" s="6" t="str">
        <f>IFERROR(__xludf.DUMMYFUNCTION("""COMPUTED_VALUE"""),"Сталин")</f>
        <v>Сталин</v>
      </c>
      <c r="K985" s="6" t="str">
        <f>IFERROR(__xludf.DUMMYFUNCTION("""COMPUTED_VALUE"""),"Парк ангелов ")</f>
        <v>Парк ангелов </v>
      </c>
      <c r="L985" s="6" t="str">
        <f>IFERROR(__xludf.DUMMYFUNCTION("""COMPUTED_VALUE"""),"Напитки покрепче, слова покороче ")</f>
        <v>Напитки покрепче, слова покороче </v>
      </c>
      <c r="M985" s="6" t="str">
        <f>IFERROR(__xludf.DUMMYFUNCTION("""COMPUTED_VALUE"""),"Нет")</f>
        <v>Нет</v>
      </c>
      <c r="N985" s="6" t="str">
        <f>IFERROR(__xludf.DUMMYFUNCTION("""COMPUTED_VALUE"""),"Тишина, возможности ")</f>
        <v>Тишина, возможности </v>
      </c>
      <c r="O985" s="6" t="str">
        <f>IFERROR(__xludf.DUMMYFUNCTION("""COMPUTED_VALUE"""),"Закончить строительство ")</f>
        <v>Закончить строительство </v>
      </c>
      <c r="P985" s="6" t="str">
        <f>IFERROR(__xludf.DUMMYFUNCTION("""COMPUTED_VALUE"""),"Не знаю ")</f>
        <v>Не знаю </v>
      </c>
      <c r="Q985" s="6" t="str">
        <f>IFERROR(__xludf.DUMMYFUNCTION("""COMPUTED_VALUE"""),"культурные новинки (что почитать/что послушать), интервью с местными предпринимателями, криминальные новости (происшествия/преступления)")</f>
        <v>культурные новинки (что почитать/что послушать), интервью с местными предпринимателями, криминальные новости (происшествия/преступления)</v>
      </c>
      <c r="R985" s="6" t="str">
        <f>IFERROR(__xludf.DUMMYFUNCTION("""COMPUTED_VALUE"""),"9 мая ")</f>
        <v>9 мая </v>
      </c>
      <c r="S985"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v>
      </c>
      <c r="T985" s="6" t="str">
        <f>IFERROR(__xludf.DUMMYFUNCTION("""COMPUTED_VALUE"""),"Кфс")</f>
        <v>Кфс</v>
      </c>
      <c r="U985" s="6" t="str">
        <f>IFERROR(__xludf.DUMMYFUNCTION("""COMPUTED_VALUE"""),"Музей ")</f>
        <v>Музей </v>
      </c>
      <c r="V985" s="6" t="str">
        <f>IFERROR(__xludf.DUMMYFUNCTION("""COMPUTED_VALUE"""),"Слова")</f>
        <v>Слова</v>
      </c>
      <c r="W985" s="6" t="str">
        <f>IFERROR(__xludf.DUMMYFUNCTION("""COMPUTED_VALUE"""),"Лучшие ")</f>
        <v>Лучшие </v>
      </c>
      <c r="X985" s="6" t="str">
        <f>IFERROR(__xludf.DUMMYFUNCTION("""COMPUTED_VALUE"""),"Вокруг центра")</f>
        <v>Вокруг центра</v>
      </c>
      <c r="Y985" s="6" t="str">
        <f>IFERROR(__xludf.DUMMYFUNCTION("""COMPUTED_VALUE"""),"Не знаю ")</f>
        <v>Не знаю </v>
      </c>
      <c r="Z985" s="6" t="str">
        <f>IFERROR(__xludf.DUMMYFUNCTION("""COMPUTED_VALUE"""),"Не знаю ")</f>
        <v>Не знаю </v>
      </c>
      <c r="AA985" s="6" t="str">
        <f>IFERROR(__xludf.DUMMYFUNCTION("""COMPUTED_VALUE"""),"Не знаю ")</f>
        <v>Не знаю </v>
      </c>
      <c r="AB985" s="6" t="str">
        <f>IFERROR(__xludf.DUMMYFUNCTION("""COMPUTED_VALUE"""),"Гоп стопа ")</f>
        <v>Гоп стопа </v>
      </c>
      <c r="AC985" s="6" t="str">
        <f>IFERROR(__xludf.DUMMYFUNCTION("""COMPUTED_VALUE"""),"Слова")</f>
        <v>Слова</v>
      </c>
      <c r="AD98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985" s="6" t="str">
        <f>IFERROR(__xludf.DUMMYFUNCTION("""COMPUTED_VALUE"""),"Мужской")</f>
        <v>Мужской</v>
      </c>
      <c r="AF985" s="6" t="str">
        <f>IFERROR(__xludf.DUMMYFUNCTION("""COMPUTED_VALUE"""),"18-29")</f>
        <v>18-29</v>
      </c>
      <c r="AG985" s="6"/>
      <c r="AH985" s="6"/>
      <c r="AI985" s="6"/>
      <c r="AJ985" s="6"/>
      <c r="AK985" s="6"/>
      <c r="AL985" s="6"/>
      <c r="AM985" s="6"/>
    </row>
    <row r="986">
      <c r="A986" s="6">
        <v>985.0</v>
      </c>
      <c r="B986" s="6" t="str">
        <f>IFERROR(__xludf.DUMMYFUNCTION("""COMPUTED_VALUE"""),"Работаю")</f>
        <v>Работаю</v>
      </c>
      <c r="C986" s="6" t="str">
        <f>IFERROR(__xludf.DUMMYFUNCTION("""COMPUTED_VALUE""")," Предпринимательство ")</f>
        <v> Предпринимательство </v>
      </c>
      <c r="D986" s="6" t="str">
        <f>IFERROR(__xludf.DUMMYFUNCTION("""COMPUTED_VALUE"""),"Сердце Кемерово ")</f>
        <v>Сердце Кемерово </v>
      </c>
      <c r="E986" s="6" t="str">
        <f>IFERROR(__xludf.DUMMYFUNCTION("""COMPUTED_VALUE"""),"Пару ангелов ")</f>
        <v>Пару ангелов </v>
      </c>
      <c r="F986"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986" s="6" t="str">
        <f>IFERROR(__xludf.DUMMYFUNCTION("""COMPUTED_VALUE"""),"В центр города ")</f>
        <v>В центр города </v>
      </c>
      <c r="H986" s="6" t="str">
        <f>IFERROR(__xludf.DUMMYFUNCTION("""COMPUTED_VALUE"""),"Уголь")</f>
        <v>Уголь</v>
      </c>
      <c r="I986" s="6" t="str">
        <f>IFERROR(__xludf.DUMMYFUNCTION("""COMPUTED_VALUE"""),"Сталин")</f>
        <v>Сталин</v>
      </c>
      <c r="J986" s="6" t="str">
        <f>IFERROR(__xludf.DUMMYFUNCTION("""COMPUTED_VALUE"""),"Сталин")</f>
        <v>Сталин</v>
      </c>
      <c r="K986" s="6" t="str">
        <f>IFERROR(__xludf.DUMMYFUNCTION("""COMPUTED_VALUE"""),"Парк ангелов ")</f>
        <v>Парк ангелов </v>
      </c>
      <c r="L986" s="6" t="str">
        <f>IFERROR(__xludf.DUMMYFUNCTION("""COMPUTED_VALUE"""),"Напитки покрепче, слова покороче ")</f>
        <v>Напитки покрепче, слова покороче </v>
      </c>
      <c r="M986" s="6" t="str">
        <f>IFERROR(__xludf.DUMMYFUNCTION("""COMPUTED_VALUE"""),"Нет")</f>
        <v>Нет</v>
      </c>
      <c r="N986" s="6" t="str">
        <f>IFERROR(__xludf.DUMMYFUNCTION("""COMPUTED_VALUE"""),"Тишина, возможности ")</f>
        <v>Тишина, возможности </v>
      </c>
      <c r="O986" s="6" t="str">
        <f>IFERROR(__xludf.DUMMYFUNCTION("""COMPUTED_VALUE"""),"Закончить строительство ")</f>
        <v>Закончить строительство </v>
      </c>
      <c r="P986" s="6" t="str">
        <f>IFERROR(__xludf.DUMMYFUNCTION("""COMPUTED_VALUE"""),"Не знаю ")</f>
        <v>Не знаю </v>
      </c>
      <c r="Q986" s="6" t="str">
        <f>IFERROR(__xludf.DUMMYFUNCTION("""COMPUTED_VALUE"""),"культурные новинки (что почитать/что послушать), интервью с местными предпринимателями, криминальные новости (происшествия/преступления)")</f>
        <v>культурные новинки (что почитать/что послушать), интервью с местными предпринимателями, криминальные новости (происшествия/преступления)</v>
      </c>
      <c r="R986" s="6" t="str">
        <f>IFERROR(__xludf.DUMMYFUNCTION("""COMPUTED_VALUE"""),"9 мая ")</f>
        <v>9 мая </v>
      </c>
      <c r="S986"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v>
      </c>
      <c r="T986" s="6" t="str">
        <f>IFERROR(__xludf.DUMMYFUNCTION("""COMPUTED_VALUE"""),"Кфс")</f>
        <v>Кфс</v>
      </c>
      <c r="U986" s="6" t="str">
        <f>IFERROR(__xludf.DUMMYFUNCTION("""COMPUTED_VALUE"""),"Музей ")</f>
        <v>Музей </v>
      </c>
      <c r="V986" s="6" t="str">
        <f>IFERROR(__xludf.DUMMYFUNCTION("""COMPUTED_VALUE"""),"Слова")</f>
        <v>Слова</v>
      </c>
      <c r="W986" s="6" t="str">
        <f>IFERROR(__xludf.DUMMYFUNCTION("""COMPUTED_VALUE"""),"Лучшие ")</f>
        <v>Лучшие </v>
      </c>
      <c r="X986" s="6" t="str">
        <f>IFERROR(__xludf.DUMMYFUNCTION("""COMPUTED_VALUE"""),"Вокруг центра")</f>
        <v>Вокруг центра</v>
      </c>
      <c r="Y986" s="6" t="str">
        <f>IFERROR(__xludf.DUMMYFUNCTION("""COMPUTED_VALUE"""),"Не знаю ")</f>
        <v>Не знаю </v>
      </c>
      <c r="Z986" s="6" t="str">
        <f>IFERROR(__xludf.DUMMYFUNCTION("""COMPUTED_VALUE"""),"Не знаю ")</f>
        <v>Не знаю </v>
      </c>
      <c r="AA986" s="6" t="str">
        <f>IFERROR(__xludf.DUMMYFUNCTION("""COMPUTED_VALUE"""),"Не знаю ")</f>
        <v>Не знаю </v>
      </c>
      <c r="AB986" s="6" t="str">
        <f>IFERROR(__xludf.DUMMYFUNCTION("""COMPUTED_VALUE"""),"Гоп стопа ")</f>
        <v>Гоп стопа </v>
      </c>
      <c r="AC986" s="6" t="str">
        <f>IFERROR(__xludf.DUMMYFUNCTION("""COMPUTED_VALUE"""),"Слова")</f>
        <v>Слова</v>
      </c>
      <c r="AD98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986" s="6" t="str">
        <f>IFERROR(__xludf.DUMMYFUNCTION("""COMPUTED_VALUE"""),"Мужской")</f>
        <v>Мужской</v>
      </c>
      <c r="AF986" s="6" t="str">
        <f>IFERROR(__xludf.DUMMYFUNCTION("""COMPUTED_VALUE"""),"18-29")</f>
        <v>18-29</v>
      </c>
      <c r="AG986" s="6"/>
      <c r="AH986" s="6"/>
      <c r="AI986" s="6"/>
      <c r="AJ986" s="6"/>
      <c r="AK986" s="6"/>
      <c r="AL986" s="6"/>
      <c r="AM986" s="6"/>
    </row>
    <row r="987">
      <c r="A987" s="6">
        <v>986.0</v>
      </c>
      <c r="B987" s="6" t="str">
        <f>IFERROR(__xludf.DUMMYFUNCTION("""COMPUTED_VALUE"""),"Студент")</f>
        <v>Студент</v>
      </c>
      <c r="C987" s="6" t="str">
        <f>IFERROR(__xludf.DUMMYFUNCTION("""COMPUTED_VALUE"""),"Воркаут")</f>
        <v>Воркаут</v>
      </c>
      <c r="D987" s="6" t="str">
        <f>IFERROR(__xludf.DUMMYFUNCTION("""COMPUTED_VALUE"""),"Рудничный называем радуга")</f>
        <v>Рудничный называем радуга</v>
      </c>
      <c r="E987" s="6" t="str">
        <f>IFERROR(__xludf.DUMMYFUNCTION("""COMPUTED_VALUE"""),"Администрация Турр")</f>
        <v>Администрация Турр</v>
      </c>
      <c r="F987" s="6" t="str">
        <f>IFERROR(__xludf.DUMMYFUNCTION("""COMPUTED_VALUE"""),"Живу здесь с рождения")</f>
        <v>Живу здесь с рождения</v>
      </c>
      <c r="G987" s="6" t="str">
        <f>IFERROR(__xludf.DUMMYFUNCTION("""COMPUTED_VALUE"""),"Проспект шахтеров")</f>
        <v>Проспект шахтеров</v>
      </c>
      <c r="H987" s="6" t="str">
        <f>IFERROR(__xludf.DUMMYFUNCTION("""COMPUTED_VALUE"""),"Уголь, завод, Томь, столица, Кузбасс ")</f>
        <v>Уголь, завод, Томь, столица, Кузбасс </v>
      </c>
      <c r="I987" s="6" t="str">
        <f>IFERROR(__xludf.DUMMYFUNCTION("""COMPUTED_VALUE"""),"Не знаю ")</f>
        <v>Не знаю </v>
      </c>
      <c r="J987" s="6" t="str">
        <f>IFERROR(__xludf.DUMMYFUNCTION("""COMPUTED_VALUE"""),"Не знаю ")</f>
        <v>Не знаю </v>
      </c>
      <c r="K987" s="6" t="str">
        <f>IFERROR(__xludf.DUMMYFUNCTION("""COMPUTED_VALUE"""),"Сердце шахтёра, парк ангелов")</f>
        <v>Сердце шахтёра, парк ангелов</v>
      </c>
      <c r="L987" s="6" t="str">
        <f>IFERROR(__xludf.DUMMYFUNCTION("""COMPUTED_VALUE"""),"Не знаю ")</f>
        <v>Не знаю </v>
      </c>
      <c r="M987" s="6" t="str">
        <f>IFERROR(__xludf.DUMMYFUNCTION("""COMPUTED_VALUE"""),"Радуга, лапа, металлка, швейка.")</f>
        <v>Радуга, лапа, металлка, швейка.</v>
      </c>
      <c r="N987" s="6" t="str">
        <f>IFERROR(__xludf.DUMMYFUNCTION("""COMPUTED_VALUE"""),"Чистота, просторность, чтобы было куда сходить, красота, доброта людей ")</f>
        <v>Чистота, просторность, чтобы было куда сходить, красота, доброта людей </v>
      </c>
      <c r="O987" s="6" t="str">
        <f>IFERROR(__xludf.DUMMYFUNCTION("""COMPUTED_VALUE"""),"Зарплату")</f>
        <v>Зарплату</v>
      </c>
      <c r="P987" s="6" t="str">
        <f>IFERROR(__xludf.DUMMYFUNCTION("""COMPUTED_VALUE"""),"Подслушано Кемерово")</f>
        <v>Подслушано Кемерово</v>
      </c>
      <c r="Q987"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987" s="6" t="str">
        <f>IFERROR(__xludf.DUMMYFUNCTION("""COMPUTED_VALUE"""),"Не знаю")</f>
        <v>Не знаю</v>
      </c>
      <c r="S987" s="6" t="str">
        <f>IFERROR(__xludf.DUMMYFUNCTION("""COMPUTED_VALUE"""),"Нет, не приходилось")</f>
        <v>Нет, не приходилось</v>
      </c>
      <c r="T987" s="6" t="str">
        <f>IFERROR(__xludf.DUMMYFUNCTION("""COMPUTED_VALUE"""),"Родина угля")</f>
        <v>Родина угля</v>
      </c>
      <c r="U987" s="6" t="str">
        <f>IFERROR(__xludf.DUMMYFUNCTION("""COMPUTED_VALUE"""),"Центральный район, площадь советов")</f>
        <v>Центральный район, площадь советов</v>
      </c>
      <c r="V987" s="6" t="str">
        <f>IFERROR(__xludf.DUMMYFUNCTION("""COMPUTED_VALUE"""),"Индустриализовали город")</f>
        <v>Индустриализовали город</v>
      </c>
      <c r="W987" s="6" t="str">
        <f>IFERROR(__xludf.DUMMYFUNCTION("""COMPUTED_VALUE"""),"Скучные, нудные, уставшие.")</f>
        <v>Скучные, нудные, уставшие.</v>
      </c>
      <c r="X987" s="6" t="str">
        <f>IFERROR(__xludf.DUMMYFUNCTION("""COMPUTED_VALUE"""),"Площадь советов-лапландия ")</f>
        <v>Площадь советов-лапландия </v>
      </c>
      <c r="Y987" s="6" t="str">
        <f>IFERROR(__xludf.DUMMYFUNCTION("""COMPUTED_VALUE"""),"Не знаю ")</f>
        <v>Не знаю </v>
      </c>
      <c r="Z987" s="6" t="str">
        <f>IFERROR(__xludf.DUMMYFUNCTION("""COMPUTED_VALUE"""),"Не знаю ")</f>
        <v>Не знаю </v>
      </c>
      <c r="AA987" s="6" t="str">
        <f>IFERROR(__xludf.DUMMYFUNCTION("""COMPUTED_VALUE"""),"Зимняя вишня")</f>
        <v>Зимняя вишня</v>
      </c>
      <c r="AB987" s="6" t="str">
        <f>IFERROR(__xludf.DUMMYFUNCTION("""COMPUTED_VALUE"""),"Не знаю ")</f>
        <v>Не знаю </v>
      </c>
      <c r="AC987" s="6" t="str">
        <f>IFERROR(__xludf.DUMMYFUNCTION("""COMPUTED_VALUE"""),"Не знаю ")</f>
        <v>Не знаю </v>
      </c>
      <c r="AD987"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987" s="6" t="str">
        <f>IFERROR(__xludf.DUMMYFUNCTION("""COMPUTED_VALUE"""),"Мужской")</f>
        <v>Мужской</v>
      </c>
      <c r="AF987" s="6" t="str">
        <f>IFERROR(__xludf.DUMMYFUNCTION("""COMPUTED_VALUE"""),"18-29")</f>
        <v>18-29</v>
      </c>
      <c r="AG987" s="6"/>
      <c r="AH987" s="6"/>
      <c r="AI987" s="6"/>
      <c r="AJ987" s="6"/>
      <c r="AK987" s="6"/>
      <c r="AL987" s="6"/>
      <c r="AM987" s="6"/>
    </row>
    <row r="988">
      <c r="A988" s="6">
        <v>987.0</v>
      </c>
      <c r="B988" s="6" t="str">
        <f>IFERROR(__xludf.DUMMYFUNCTION("""COMPUTED_VALUE"""),"менеджмент")</f>
        <v>менеджмент</v>
      </c>
      <c r="C988" s="6" t="str">
        <f>IFERROR(__xludf.DUMMYFUNCTION("""COMPUTED_VALUE"""),"путешествия")</f>
        <v>путешествия</v>
      </c>
      <c r="D988" s="6" t="str">
        <f>IFERROR(__xludf.DUMMYFUNCTION("""COMPUTED_VALUE"""),"рудничный. радуга")</f>
        <v>рудничный. радуга</v>
      </c>
      <c r="E988" s="6" t="str">
        <f>IFERROR(__xludf.DUMMYFUNCTION("""COMPUTED_VALUE"""),"Сосновый бор")</f>
        <v>Сосновый бор</v>
      </c>
      <c r="F988" s="6" t="str">
        <f>IFERROR(__xludf.DUMMYFUNCTION("""COMPUTED_VALUE"""),"Переехал сюда из другого места (откуда? укажите в графе другое), Белово-Краснодар-Кемерово")</f>
        <v>Переехал сюда из другого места (откуда? укажите в графе другое), Белово-Краснодар-Кемерово</v>
      </c>
      <c r="G988" s="6" t="str">
        <f>IFERROR(__xludf.DUMMYFUNCTION("""COMPUTED_VALUE"""),"Бор, набережная центральная")</f>
        <v>Бор, набережная центральная</v>
      </c>
      <c r="H988" s="6" t="str">
        <f>IFERROR(__xludf.DUMMYFUNCTION("""COMPUTED_VALUE"""),"уголь, смог, снег, сила, друзья")</f>
        <v>уголь, смог, снег, сила, друзья</v>
      </c>
      <c r="I988" s="6" t="str">
        <f>IFERROR(__xludf.DUMMYFUNCTION("""COMPUTED_VALUE"""),"Волков")</f>
        <v>Волков</v>
      </c>
      <c r="J988" s="6" t="str">
        <f>IFERROR(__xludf.DUMMYFUNCTION("""COMPUTED_VALUE"""),"Гришковец")</f>
        <v>Гришковец</v>
      </c>
      <c r="K988" s="6" t="str">
        <f>IFERROR(__xludf.DUMMYFUNCTION("""COMPUTED_VALUE"""),"смотровая площадка Крест")</f>
        <v>смотровая площадка Крест</v>
      </c>
      <c r="L988" s="6" t="str">
        <f>IFERROR(__xludf.DUMMYFUNCTION("""COMPUTED_VALUE"""),"Не знаю")</f>
        <v>Не знаю</v>
      </c>
      <c r="M988" s="6" t="str">
        <f>IFERROR(__xludf.DUMMYFUNCTION("""COMPUTED_VALUE"""),"Нет")</f>
        <v>Нет</v>
      </c>
      <c r="N988" s="6" t="str">
        <f>IFERROR(__xludf.DUMMYFUNCTION("""COMPUTED_VALUE"""),"1.Социальная структура: школы/больницы
2. Разгруженность движения на дорогах
3. Экология
4. Заработная плата
5. Культурные мероприятия")</f>
        <v>1.Социальная структура: школы/больницы
2. Разгруженность движения на дорогах
3. Экология
4. Заработная плата
5. Культурные мероприятия</v>
      </c>
      <c r="O988" s="6" t="str">
        <f>IFERROR(__xludf.DUMMYFUNCTION("""COMPUTED_VALUE"""),"Экология")</f>
        <v>Экология</v>
      </c>
      <c r="P988" s="6" t="str">
        <f>IFERROR(__xludf.DUMMYFUNCTION("""COMPUTED_VALUE"""),"При желании гуглю, узнаю у знакомых")</f>
        <v>При желании гуглю, узнаю у знакомых</v>
      </c>
      <c r="Q988" s="6" t="str">
        <f>IFERROR(__xludf.DUMMYFUNCTION("""COMPUTED_VALUE"""),"куда пойти в свободное время, городская афиша (кино/театр/концерты), криминальные новости (происшествия/преступления), результаты местных исследований (рейтинги/аналитика/тенденции)")</f>
        <v>куда пойти в свободное время, городская афиша (кино/театр/концерты), криминальные новости (происшествия/преступления), результаты местных исследований (рейтинги/аналитика/тенденции)</v>
      </c>
      <c r="R988" s="6" t="str">
        <f>IFERROR(__xludf.DUMMYFUNCTION("""COMPUTED_VALUE"""),"День защиты детей, 9 мая, День города")</f>
        <v>День защиты детей, 9 мая, День города</v>
      </c>
      <c r="S988" s="6" t="str">
        <f>IFERROR(__xludf.DUMMYFUNCTION("""COMPUTED_VALUE"""),"Нет, не приходилось")</f>
        <v>Нет, не приходилось</v>
      </c>
      <c r="T988" s="6" t="str">
        <f>IFERROR(__xludf.DUMMYFUNCTION("""COMPUTED_VALUE"""),"Не вижу такого")</f>
        <v>Не вижу такого</v>
      </c>
      <c r="U988" s="6" t="str">
        <f>IFERROR(__xludf.DUMMYFUNCTION("""COMPUTED_VALUE"""),"Набережная")</f>
        <v>Набережная</v>
      </c>
      <c r="V988" s="6" t="str">
        <f>IFERROR(__xludf.DUMMYFUNCTION("""COMPUTED_VALUE"""),"не знаю")</f>
        <v>не знаю</v>
      </c>
      <c r="W988" s="6" t="str">
        <f>IFERROR(__xludf.DUMMYFUNCTION("""COMPUTED_VALUE"""),"Прямые, честные, трудолюбивые, исполнительные")</f>
        <v>Прямые, честные, трудолюбивые, исполнительные</v>
      </c>
      <c r="X988" s="6" t="str">
        <f>IFERROR(__xludf.DUMMYFUNCTION("""COMPUTED_VALUE"""),"Сосновый бор-надпись Кузбасс")</f>
        <v>Сосновый бор-надпись Кузбасс</v>
      </c>
      <c r="Y988" s="6" t="str">
        <f>IFERROR(__xludf.DUMMYFUNCTION("""COMPUTED_VALUE"""),"Смена власти")</f>
        <v>Смена власти</v>
      </c>
      <c r="Z988" s="6" t="str">
        <f>IFERROR(__xludf.DUMMYFUNCTION("""COMPUTED_VALUE"""),"Масленица")</f>
        <v>Масленица</v>
      </c>
      <c r="AA988" s="6" t="str">
        <f>IFERROR(__xludf.DUMMYFUNCTION("""COMPUTED_VALUE"""),"нерешенный процесс по Зимней вишне")</f>
        <v>нерешенный процесс по Зимней вишне</v>
      </c>
      <c r="AB988" s="6" t="str">
        <f>IFERROR(__xludf.DUMMYFUNCTION("""COMPUTED_VALUE"""),"нет потребности")</f>
        <v>нет потребности</v>
      </c>
      <c r="AC988" s="6" t="str">
        <f>IFERROR(__xludf.DUMMYFUNCTION("""COMPUTED_VALUE"""),"спортивные и детские мероприятия")</f>
        <v>спортивные и детские мероприятия</v>
      </c>
      <c r="AD98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88" s="6" t="str">
        <f>IFERROR(__xludf.DUMMYFUNCTION("""COMPUTED_VALUE"""),"Женский")</f>
        <v>Женский</v>
      </c>
      <c r="AF988" s="6" t="str">
        <f>IFERROR(__xludf.DUMMYFUNCTION("""COMPUTED_VALUE"""),"30-44")</f>
        <v>30-44</v>
      </c>
      <c r="AG988" s="6"/>
      <c r="AH988" s="6"/>
      <c r="AI988" s="6"/>
      <c r="AJ988" s="6"/>
      <c r="AK988" s="6"/>
      <c r="AL988" s="6"/>
      <c r="AM988" s="6"/>
    </row>
    <row r="989">
      <c r="A989" s="6">
        <v>988.0</v>
      </c>
      <c r="B989" s="6" t="str">
        <f>IFERROR(__xludf.DUMMYFUNCTION("""COMPUTED_VALUE"""),"Студент ")</f>
        <v>Студент </v>
      </c>
      <c r="C989" s="6" t="str">
        <f>IFERROR(__xludf.DUMMYFUNCTION("""COMPUTED_VALUE"""),"Хореографии ")</f>
        <v>Хореографии </v>
      </c>
      <c r="D989" s="6" t="str">
        <f>IFERROR(__xludf.DUMMYFUNCTION("""COMPUTED_VALUE"""),"Ленинский ")</f>
        <v>Ленинский </v>
      </c>
      <c r="E989" s="6" t="str">
        <f>IFERROR(__xludf.DUMMYFUNCTION("""COMPUTED_VALUE"""),"Парк ")</f>
        <v>Парк </v>
      </c>
      <c r="F989" s="6" t="str">
        <f>IFERROR(__xludf.DUMMYFUNCTION("""COMPUTED_VALUE"""),"Переехал сюда из другого места (откуда? укажите в графе другое), Село Зарубино ")</f>
        <v>Переехал сюда из другого места (откуда? укажите в графе другое), Село Зарубино </v>
      </c>
      <c r="G989" s="6" t="str">
        <f>IFERROR(__xludf.DUMMYFUNCTION("""COMPUTED_VALUE"""),"В Комсомольский парк ")</f>
        <v>В Комсомольский парк </v>
      </c>
      <c r="H989" s="6" t="str">
        <f>IFERROR(__xludf.DUMMYFUNCTION("""COMPUTED_VALUE"""),"Светлый ,большой ,грязный ,доступный ")</f>
        <v>Светлый ,большой ,грязный ,доступный </v>
      </c>
      <c r="I989" s="6" t="str">
        <f>IFERROR(__xludf.DUMMYFUNCTION("""COMPUTED_VALUE"""),"Волков ")</f>
        <v>Волков </v>
      </c>
      <c r="J989" s="6" t="str">
        <f>IFERROR(__xludf.DUMMYFUNCTION("""COMPUTED_VALUE"""),"Нет таких ")</f>
        <v>Нет таких </v>
      </c>
      <c r="K989" s="6" t="str">
        <f>IFERROR(__xludf.DUMMYFUNCTION("""COMPUTED_VALUE"""),"Памятник Волкова ")</f>
        <v>Памятник Волкова </v>
      </c>
      <c r="L989" s="6" t="str">
        <f>IFERROR(__xludf.DUMMYFUNCTION("""COMPUTED_VALUE"""),"Плохие поступки плохие люди ")</f>
        <v>Плохие поступки плохие люди </v>
      </c>
      <c r="M989" s="6" t="str">
        <f>IFERROR(__xludf.DUMMYFUNCTION("""COMPUTED_VALUE"""),"Нет ")</f>
        <v>Нет </v>
      </c>
      <c r="N989" s="6" t="str">
        <f>IFERROR(__xludf.DUMMYFUNCTION("""COMPUTED_VALUE"""),"Удобно добираться ")</f>
        <v>Удобно добираться </v>
      </c>
      <c r="O989" s="6" t="str">
        <f>IFERROR(__xludf.DUMMYFUNCTION("""COMPUTED_VALUE"""),"Загрязнение ")</f>
        <v>Загрязнение </v>
      </c>
      <c r="P989" s="6" t="str">
        <f>IFERROR(__xludf.DUMMYFUNCTION("""COMPUTED_VALUE"""),"Инстаграмм ")</f>
        <v>Инстаграмм </v>
      </c>
      <c r="Q989" s="6" t="str">
        <f>IFERROR(__xludf.DUMMYFUNCTION("""COMPUTED_VALUE"""),"куда пойти в свободное время, где вкусно поесть/открытие новых кафе/ресторанов, культурные новинки (что почитать/что послушать)")</f>
        <v>куда пойти в свободное время, где вкусно поесть/открытие новых кафе/ресторанов, культурные новинки (что почитать/что послушать)</v>
      </c>
      <c r="R989" s="6" t="str">
        <f>IFERROR(__xludf.DUMMYFUNCTION("""COMPUTED_VALUE"""),"День города ")</f>
        <v>День города </v>
      </c>
      <c r="S989" s="6" t="str">
        <f>IFERROR(__xludf.DUMMYFUNCTION("""COMPUTED_VALUE"""),"Нет, не приходилось")</f>
        <v>Нет, не приходилось</v>
      </c>
      <c r="T989" s="6" t="str">
        <f>IFERROR(__xludf.DUMMYFUNCTION("""COMPUTED_VALUE"""),"Парк ангелов ")</f>
        <v>Парк ангелов </v>
      </c>
      <c r="U989" s="6" t="str">
        <f>IFERROR(__xludf.DUMMYFUNCTION("""COMPUTED_VALUE"""),"Парк чудес ")</f>
        <v>Парк чудес </v>
      </c>
      <c r="V989" s="6" t="str">
        <f>IFERROR(__xludf.DUMMYFUNCTION("""COMPUTED_VALUE"""),"Находили чистоту ")</f>
        <v>Находили чистоту </v>
      </c>
      <c r="W989" s="6" t="str">
        <f>IFERROR(__xludf.DUMMYFUNCTION("""COMPUTED_VALUE"""),"Доброжелательные ")</f>
        <v>Доброжелательные </v>
      </c>
      <c r="X989" s="6" t="str">
        <f>IFERROR(__xludf.DUMMYFUNCTION("""COMPUTED_VALUE"""),"Нет ")</f>
        <v>Нет </v>
      </c>
      <c r="Y989" s="6" t="str">
        <f>IFERROR(__xludf.DUMMYFUNCTION("""COMPUTED_VALUE"""),"Открытие угля ")</f>
        <v>Открытие угля </v>
      </c>
      <c r="Z989" s="6" t="str">
        <f>IFERROR(__xludf.DUMMYFUNCTION("""COMPUTED_VALUE"""),"Не знаю ")</f>
        <v>Не знаю </v>
      </c>
      <c r="AA989" s="6" t="str">
        <f>IFERROR(__xludf.DUMMYFUNCTION("""COMPUTED_VALUE"""),"Никаких ")</f>
        <v>Никаких </v>
      </c>
      <c r="AB989" s="6" t="str">
        <f>IFERROR(__xludf.DUMMYFUNCTION("""COMPUTED_VALUE"""),"Лгбт ")</f>
        <v>Лгбт </v>
      </c>
      <c r="AC989" s="6" t="str">
        <f>IFERROR(__xludf.DUMMYFUNCTION("""COMPUTED_VALUE"""),"Построить новый тц ")</f>
        <v>Построить новый тц </v>
      </c>
      <c r="AD989"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989" s="6" t="str">
        <f>IFERROR(__xludf.DUMMYFUNCTION("""COMPUTED_VALUE"""),"Женский")</f>
        <v>Женский</v>
      </c>
      <c r="AF989" s="6" t="str">
        <f>IFERROR(__xludf.DUMMYFUNCTION("""COMPUTED_VALUE"""),"18-29")</f>
        <v>18-29</v>
      </c>
      <c r="AG989" s="6"/>
      <c r="AH989" s="6"/>
      <c r="AI989" s="6"/>
      <c r="AJ989" s="6"/>
      <c r="AK989" s="6"/>
      <c r="AL989" s="6"/>
      <c r="AM989" s="6"/>
    </row>
    <row r="990">
      <c r="A990" s="6">
        <v>989.0</v>
      </c>
      <c r="B990" s="6" t="str">
        <f>IFERROR(__xludf.DUMMYFUNCTION("""COMPUTED_VALUE"""),"Студент ")</f>
        <v>Студент </v>
      </c>
      <c r="C990" s="6" t="str">
        <f>IFERROR(__xludf.DUMMYFUNCTION("""COMPUTED_VALUE"""),"Нет")</f>
        <v>Нет</v>
      </c>
      <c r="D990" s="6" t="str">
        <f>IFERROR(__xludf.DUMMYFUNCTION("""COMPUTED_VALUE"""),"Заводской, аул")</f>
        <v>Заводской, аул</v>
      </c>
      <c r="E990" s="6" t="str">
        <f>IFERROR(__xludf.DUMMYFUNCTION("""COMPUTED_VALUE"""),"Коробка")</f>
        <v>Коробка</v>
      </c>
      <c r="F990" s="6" t="str">
        <f>IFERROR(__xludf.DUMMYFUNCTION("""COMPUTED_VALUE"""),"Живу здесь с рождения")</f>
        <v>Живу здесь с рождения</v>
      </c>
      <c r="G990" s="6" t="str">
        <f>IFERROR(__xludf.DUMMYFUNCTION("""COMPUTED_VALUE"""),"На футбольное поле")</f>
        <v>На футбольное поле</v>
      </c>
      <c r="H990" s="6" t="str">
        <f>IFERROR(__xludf.DUMMYFUNCTION("""COMPUTED_VALUE"""),"Мрачно, местами красиво")</f>
        <v>Мрачно, местами красиво</v>
      </c>
      <c r="I990" s="6" t="str">
        <f>IFERROR(__xludf.DUMMYFUNCTION("""COMPUTED_VALUE"""),"Волков")</f>
        <v>Волков</v>
      </c>
      <c r="J990" s="6" t="str">
        <f>IFERROR(__xludf.DUMMYFUNCTION("""COMPUTED_VALUE"""),"Нет таких")</f>
        <v>Нет таких</v>
      </c>
      <c r="K990" s="6" t="str">
        <f>IFERROR(__xludf.DUMMYFUNCTION("""COMPUTED_VALUE"""),"Площадь советов, парк ангелов ")</f>
        <v>Площадь советов, парк ангелов </v>
      </c>
      <c r="L990" s="6" t="str">
        <f>IFERROR(__xludf.DUMMYFUNCTION("""COMPUTED_VALUE"""),"Чем богаты, тому и радуемся")</f>
        <v>Чем богаты, тому и радуемся</v>
      </c>
      <c r="M990" s="6" t="str">
        <f>IFERROR(__xludf.DUMMYFUNCTION("""COMPUTED_VALUE"""),"Да")</f>
        <v>Да</v>
      </c>
      <c r="N990" s="6" t="str">
        <f>IFERROR(__xludf.DUMMYFUNCTION("""COMPUTED_VALUE"""),"Нормальная погода, места, где можно гулять")</f>
        <v>Нормальная погода, места, где можно гулять</v>
      </c>
      <c r="O990" s="6" t="str">
        <f>IFERROR(__xludf.DUMMYFUNCTION("""COMPUTED_VALUE"""),"Погоду")</f>
        <v>Погоду</v>
      </c>
      <c r="P990" s="6" t="str">
        <f>IFERROR(__xludf.DUMMYFUNCTION("""COMPUTED_VALUE"""),"Вконтакте, инсаграмм")</f>
        <v>Вконтакте, инсаграмм</v>
      </c>
      <c r="Q990" s="6" t="str">
        <f>IFERROR(__xludf.DUMMYFUNCTION("""COMPUTED_VALUE"""),"куда пойти в свободное время, криминальные новости (происшествия/преступления), результаты местных исследований (рейтинги/аналитика/тенденции)")</f>
        <v>куда пойти в свободное время, криминальные новости (происшествия/преступления), результаты местных исследований (рейтинги/аналитика/тенденции)</v>
      </c>
      <c r="R990" s="6" t="str">
        <f>IFERROR(__xludf.DUMMYFUNCTION("""COMPUTED_VALUE"""),"День города ")</f>
        <v>День города </v>
      </c>
      <c r="S990" s="6" t="str">
        <f>IFERROR(__xludf.DUMMYFUNCTION("""COMPUTED_VALUE"""),"Нет, не приходилось")</f>
        <v>Нет, не приходилось</v>
      </c>
      <c r="T990" s="6" t="str">
        <f>IFERROR(__xludf.DUMMYFUNCTION("""COMPUTED_VALUE"""),"Зимняя вишня")</f>
        <v>Зимняя вишня</v>
      </c>
      <c r="U990" s="6" t="str">
        <f>IFERROR(__xludf.DUMMYFUNCTION("""COMPUTED_VALUE"""),"Парк чудес")</f>
        <v>Парк чудес</v>
      </c>
      <c r="V990" s="6" t="str">
        <f>IFERROR(__xludf.DUMMYFUNCTION("""COMPUTED_VALUE"""),"Наводили порядок, частота")</f>
        <v>Наводили порядок, частота</v>
      </c>
      <c r="W990" s="6" t="str">
        <f>IFERROR(__xludf.DUMMYFUNCTION("""COMPUTED_VALUE"""),"Нормальные ")</f>
        <v>Нормальные </v>
      </c>
      <c r="X990" s="6" t="str">
        <f>IFERROR(__xludf.DUMMYFUNCTION("""COMPUTED_VALUE"""),"По набережной ")</f>
        <v>По набережной </v>
      </c>
      <c r="Y990" s="6" t="str">
        <f>IFERROR(__xludf.DUMMYFUNCTION("""COMPUTED_VALUE"""),"Открытие угольных шахт")</f>
        <v>Открытие угольных шахт</v>
      </c>
      <c r="Z990" s="6" t="str">
        <f>IFERROR(__xludf.DUMMYFUNCTION("""COMPUTED_VALUE"""),"Ничего")</f>
        <v>Ничего</v>
      </c>
      <c r="AA990" s="6" t="str">
        <f>IFERROR(__xludf.DUMMYFUNCTION("""COMPUTED_VALUE"""),"Никаких")</f>
        <v>Никаких</v>
      </c>
      <c r="AB990" s="6" t="str">
        <f>IFERROR(__xludf.DUMMYFUNCTION("""COMPUTED_VALUE"""),"Лгбт")</f>
        <v>Лгбт</v>
      </c>
      <c r="AC990" s="6" t="str">
        <f>IFERROR(__xludf.DUMMYFUNCTION("""COMPUTED_VALUE"""),"Построить новый тц")</f>
        <v>Построить новый тц</v>
      </c>
      <c r="AD99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990" s="6" t="str">
        <f>IFERROR(__xludf.DUMMYFUNCTION("""COMPUTED_VALUE"""),"Женский")</f>
        <v>Женский</v>
      </c>
      <c r="AF990" s="6" t="str">
        <f>IFERROR(__xludf.DUMMYFUNCTION("""COMPUTED_VALUE"""),"18-29")</f>
        <v>18-29</v>
      </c>
      <c r="AG990" s="6"/>
      <c r="AH990" s="6"/>
      <c r="AI990" s="6"/>
      <c r="AJ990" s="6"/>
      <c r="AK990" s="6"/>
      <c r="AL990" s="6"/>
      <c r="AM990" s="6"/>
    </row>
    <row r="991">
      <c r="A991" s="6">
        <v>990.0</v>
      </c>
      <c r="B991" s="6" t="str">
        <f>IFERROR(__xludf.DUMMYFUNCTION("""COMPUTED_VALUE"""),"Студент")</f>
        <v>Студент</v>
      </c>
      <c r="C991" s="6" t="str">
        <f>IFERROR(__xludf.DUMMYFUNCTION("""COMPUTED_VALUE"""),"Коллекция футбольных карточек ")</f>
        <v>Коллекция футбольных карточек </v>
      </c>
      <c r="D991" s="6" t="str">
        <f>IFERROR(__xludf.DUMMYFUNCTION("""COMPUTED_VALUE"""),"ФПК Моё родное место ")</f>
        <v>ФПК Моё родное место </v>
      </c>
      <c r="E991" s="6" t="str">
        <f>IFERROR(__xludf.DUMMYFUNCTION("""COMPUTED_VALUE"""),"Гринвич")</f>
        <v>Гринвич</v>
      </c>
      <c r="F991" s="6" t="str">
        <f>IFERROR(__xludf.DUMMYFUNCTION("""COMPUTED_VALUE"""),"Живу здесь с рождения")</f>
        <v>Живу здесь с рождения</v>
      </c>
      <c r="G991" s="6" t="str">
        <f>IFERROR(__xludf.DUMMYFUNCTION("""COMPUTED_VALUE"""),"В тц Лен")</f>
        <v>В тц Лен</v>
      </c>
      <c r="H991" s="6" t="str">
        <f>IFERROR(__xludf.DUMMYFUNCTION("""COMPUTED_VALUE"""),"Родной дом, где я родился, Родина моя, моя семья, уголь.")</f>
        <v>Родной дом, где я родился, Родина моя, моя семья, уголь.</v>
      </c>
      <c r="I991" s="6" t="str">
        <f>IFERROR(__xludf.DUMMYFUNCTION("""COMPUTED_VALUE"""),"Головин ")</f>
        <v>Головин </v>
      </c>
      <c r="J991" s="6" t="str">
        <f>IFERROR(__xludf.DUMMYFUNCTION("""COMPUTED_VALUE"""),"Волков")</f>
        <v>Волков</v>
      </c>
      <c r="K991" s="6" t="str">
        <f>IFERROR(__xludf.DUMMYFUNCTION("""COMPUTED_VALUE"""),"Волкова")</f>
        <v>Волкова</v>
      </c>
      <c r="L991" s="6" t="str">
        <f>IFERROR(__xludf.DUMMYFUNCTION("""COMPUTED_VALUE"""),"Уголек, как золото: и блестит и ценится.")</f>
        <v>Уголек, как золото: и блестит и ценится.</v>
      </c>
      <c r="M991" s="6" t="str">
        <f>IFERROR(__xludf.DUMMYFUNCTION("""COMPUTED_VALUE"""),"Швейка ")</f>
        <v>Швейка </v>
      </c>
      <c r="N991" s="6" t="str">
        <f>IFERROR(__xludf.DUMMYFUNCTION("""COMPUTED_VALUE"""),"Мало людей, тут живут мои родные, все друзья мой. ")</f>
        <v>Мало людей, тут живут мои родные, все друзья мой. </v>
      </c>
      <c r="O991" s="6" t="str">
        <f>IFERROR(__xludf.DUMMYFUNCTION("""COMPUTED_VALUE"""),"Экологию и поднять зарплату ")</f>
        <v>Экологию и поднять зарплату </v>
      </c>
      <c r="P991" s="6" t="str">
        <f>IFERROR(__xludf.DUMMYFUNCTION("""COMPUTED_VALUE"""),"Чере вк ")</f>
        <v>Чере вк </v>
      </c>
      <c r="Q991" s="6" t="str">
        <f>IFERROR(__xludf.DUMMYFUNCTION("""COMPUTED_VALUE"""),"куда пойти в свободное время,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куда пойти в свободное время,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991" s="6" t="str">
        <f>IFERROR(__xludf.DUMMYFUNCTION("""COMPUTED_VALUE"""),"Новый год ")</f>
        <v>Новый год </v>
      </c>
      <c r="S991" s="6" t="str">
        <f>IFERROR(__xludf.DUMMYFUNCTION("""COMPUTED_VALUE"""),"Нет, не приходилось")</f>
        <v>Нет, не приходилось</v>
      </c>
      <c r="T991" s="6" t="str">
        <f>IFERROR(__xludf.DUMMYFUNCTION("""COMPUTED_VALUE"""),"Чемпионат мира по хоккей с мячем 2007")</f>
        <v>Чемпионат мира по хоккей с мячем 2007</v>
      </c>
      <c r="U991" s="6" t="str">
        <f>IFERROR(__xludf.DUMMYFUNCTION("""COMPUTED_VALUE"""),"Не знаю ")</f>
        <v>Не знаю </v>
      </c>
      <c r="V991" s="6" t="str">
        <f>IFERROR(__xludf.DUMMYFUNCTION("""COMPUTED_VALUE"""),"Не знаю ")</f>
        <v>Не знаю </v>
      </c>
      <c r="W991" s="6" t="str">
        <f>IFERROR(__xludf.DUMMYFUNCTION("""COMPUTED_VALUE"""),"Грубые, жёсткие. ")</f>
        <v>Грубые, жёсткие. </v>
      </c>
      <c r="X991" s="6" t="str">
        <f>IFERROR(__xludf.DUMMYFUNCTION("""COMPUTED_VALUE"""),"Парк антошка")</f>
        <v>Парк антошка</v>
      </c>
      <c r="Y991" s="6" t="str">
        <f>IFERROR(__xludf.DUMMYFUNCTION("""COMPUTED_VALUE"""),"Открытия место рождения угля")</f>
        <v>Открытия место рождения угля</v>
      </c>
      <c r="Z991" s="6" t="str">
        <f>IFERROR(__xludf.DUMMYFUNCTION("""COMPUTED_VALUE"""),"Победа волебойлной команды Кузбасс в чемпионате Россий ")</f>
        <v>Победа волебойлной команды Кузбасс в чемпионате Россий </v>
      </c>
      <c r="AA991" s="6" t="str">
        <f>IFERROR(__xludf.DUMMYFUNCTION("""COMPUTED_VALUE"""),"Загорела Зимняя Вишня ")</f>
        <v>Загорела Зимняя Вишня </v>
      </c>
      <c r="AB991" s="6" t="str">
        <f>IFERROR(__xludf.DUMMYFUNCTION("""COMPUTED_VALUE"""),"Не какое ")</f>
        <v>Не какое </v>
      </c>
      <c r="AC991" s="6" t="str">
        <f>IFERROR(__xludf.DUMMYFUNCTION("""COMPUTED_VALUE"""),"Субботник ")</f>
        <v>Субботник </v>
      </c>
      <c r="AD991" s="6" t="str">
        <f>IFERROR(__xludf.DUMMYFUNCTION("""COMPUTED_VALUE"""),"Участника: Поучаствовать в обсуждении улучшений, собраниях горожан;, Не готов принимать личное участие (укажите, пожалуйста, причину в поле «Другое»)")</f>
        <v>Участника: Поучаствовать в обсуждении улучшений, собраниях горожан;, Не готов принимать личное участие (укажите, пожалуйста, причину в поле «Другое»)</v>
      </c>
      <c r="AE991" s="6" t="str">
        <f>IFERROR(__xludf.DUMMYFUNCTION("""COMPUTED_VALUE"""),"Мужской")</f>
        <v>Мужской</v>
      </c>
      <c r="AF991" s="6" t="str">
        <f>IFERROR(__xludf.DUMMYFUNCTION("""COMPUTED_VALUE"""),"18-29")</f>
        <v>18-29</v>
      </c>
      <c r="AG991" s="6"/>
      <c r="AH991" s="6"/>
      <c r="AI991" s="6"/>
      <c r="AJ991" s="6"/>
      <c r="AK991" s="6"/>
      <c r="AL991" s="6"/>
      <c r="AM991" s="6"/>
    </row>
    <row r="992">
      <c r="A992" s="6">
        <v>991.0</v>
      </c>
      <c r="B992" s="6" t="str">
        <f>IFERROR(__xludf.DUMMYFUNCTION("""COMPUTED_VALUE"""),"Учусь ")</f>
        <v>Учусь </v>
      </c>
      <c r="C992" s="6" t="str">
        <f>IFERROR(__xludf.DUMMYFUNCTION("""COMPUTED_VALUE"""),"Смотрю сериалы, увлекаюсь волейболом ")</f>
        <v>Смотрю сериалы, увлекаюсь волейболом </v>
      </c>
      <c r="D992" s="6" t="str">
        <f>IFERROR(__xludf.DUMMYFUNCTION("""COMPUTED_VALUE"""),"Ленинский ")</f>
        <v>Ленинский </v>
      </c>
      <c r="E992" s="6" t="str">
        <f>IFERROR(__xludf.DUMMYFUNCTION("""COMPUTED_VALUE"""),"Бульвар строителей ")</f>
        <v>Бульвар строителей </v>
      </c>
      <c r="F992" s="6" t="str">
        <f>IFERROR(__xludf.DUMMYFUNCTION("""COMPUTED_VALUE"""),"Переехал сюда из другого места (откуда? укажите в графе другое), ПГТ Зеленогорский")</f>
        <v>Переехал сюда из другого места (откуда? укажите в графе другое), ПГТ Зеленогорский</v>
      </c>
      <c r="G992" s="6" t="str">
        <f>IFERROR(__xludf.DUMMYFUNCTION("""COMPUTED_VALUE"""),"Бульвар строителей ")</f>
        <v>Бульвар строителей </v>
      </c>
      <c r="H992" s="6" t="str">
        <f>IFERROR(__xludf.DUMMYFUNCTION("""COMPUTED_VALUE"""),"Грязь, загрезненый воздух, плохие дороги, красивые леса, хорошие парки")</f>
        <v>Грязь, загрезненый воздух, плохие дороги, красивые леса, хорошие парки</v>
      </c>
      <c r="I992" s="6" t="str">
        <f>IFERROR(__xludf.DUMMYFUNCTION("""COMPUTED_VALUE"""),"Не знаю ")</f>
        <v>Не знаю </v>
      </c>
      <c r="J992" s="6" t="str">
        <f>IFERROR(__xludf.DUMMYFUNCTION("""COMPUTED_VALUE"""),"Не знаю ")</f>
        <v>Не знаю </v>
      </c>
      <c r="K992" s="6" t="str">
        <f>IFERROR(__xludf.DUMMYFUNCTION("""COMPUTED_VALUE"""),"Парк Ангелов ")</f>
        <v>Парк Ангелов </v>
      </c>
      <c r="L992" s="6" t="str">
        <f>IFERROR(__xludf.DUMMYFUNCTION("""COMPUTED_VALUE"""),"Не знаю ")</f>
        <v>Не знаю </v>
      </c>
      <c r="M992" s="6" t="str">
        <f>IFERROR(__xludf.DUMMYFUNCTION("""COMPUTED_VALUE"""),"Швейка, Яшка")</f>
        <v>Швейка, Яшка</v>
      </c>
      <c r="N992" s="6" t="str">
        <f>IFERROR(__xludf.DUMMYFUNCTION("""COMPUTED_VALUE"""),"Не знаю ")</f>
        <v>Не знаю </v>
      </c>
      <c r="O992" s="6" t="str">
        <f>IFERROR(__xludf.DUMMYFUNCTION("""COMPUTED_VALUE"""),"Экологию ")</f>
        <v>Экологию </v>
      </c>
      <c r="P992" s="6" t="str">
        <f>IFERROR(__xludf.DUMMYFUNCTION("""COMPUTED_VALUE"""),"Группы в вк")</f>
        <v>Группы в вк</v>
      </c>
      <c r="Q992" s="6" t="str">
        <f>IFERROR(__xludf.DUMMYFUNCTION("""COMPUTED_VALUE"""),"где вкусно поесть/открытие новых кафе/ресторанов")</f>
        <v>где вкусно поесть/открытие новых кафе/ресторанов</v>
      </c>
      <c r="R992" s="6" t="str">
        <f>IFERROR(__xludf.DUMMYFUNCTION("""COMPUTED_VALUE"""),"День Шахтёров ")</f>
        <v>День Шахтёров </v>
      </c>
      <c r="S992" s="6" t="str">
        <f>IFERROR(__xludf.DUMMYFUNCTION("""COMPUTED_VALUE"""),"Нет, не приходилось")</f>
        <v>Нет, не приходилось</v>
      </c>
      <c r="T992" s="6" t="str">
        <f>IFERROR(__xludf.DUMMYFUNCTION("""COMPUTED_VALUE"""),"Многие знают о Зимней Вишни и часто мне об этом говорят ")</f>
        <v>Многие знают о Зимней Вишни и часто мне об этом говорят </v>
      </c>
      <c r="U992" s="6" t="str">
        <f>IFERROR(__xludf.DUMMYFUNCTION("""COMPUTED_VALUE"""),"Площадь Советов ")</f>
        <v>Площадь Советов </v>
      </c>
      <c r="V992" s="6" t="str">
        <f>IFERROR(__xludf.DUMMYFUNCTION("""COMPUTED_VALUE"""),"Не знаю ")</f>
        <v>Не знаю </v>
      </c>
      <c r="W992" s="6" t="str">
        <f>IFERROR(__xludf.DUMMYFUNCTION("""COMPUTED_VALUE"""),"Злые люди")</f>
        <v>Злые люди</v>
      </c>
      <c r="X992" s="6" t="str">
        <f>IFERROR(__xludf.DUMMYFUNCTION("""COMPUTED_VALUE"""),"До цирка")</f>
        <v>До цирка</v>
      </c>
      <c r="Y992" s="6" t="str">
        <f>IFERROR(__xludf.DUMMYFUNCTION("""COMPUTED_VALUE"""),"Сгорела Зимняя Вишня")</f>
        <v>Сгорела Зимняя Вишня</v>
      </c>
      <c r="Z992" s="6" t="str">
        <f>IFERROR(__xludf.DUMMYFUNCTION("""COMPUTED_VALUE"""),"Никаких")</f>
        <v>Никаких</v>
      </c>
      <c r="AA992" s="6" t="str">
        <f>IFERROR(__xludf.DUMMYFUNCTION("""COMPUTED_VALUE"""),"Никаких ")</f>
        <v>Никаких </v>
      </c>
      <c r="AB992" s="6" t="str">
        <f>IFERROR(__xludf.DUMMYFUNCTION("""COMPUTED_VALUE"""),"-")</f>
        <v>-</v>
      </c>
      <c r="AC992" s="6" t="str">
        <f>IFERROR(__xludf.DUMMYFUNCTION("""COMPUTED_VALUE"""),"Больше концертов ")</f>
        <v>Больше концертов </v>
      </c>
      <c r="AD99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992" s="6" t="str">
        <f>IFERROR(__xludf.DUMMYFUNCTION("""COMPUTED_VALUE"""),"Женский")</f>
        <v>Женский</v>
      </c>
      <c r="AF992" s="6" t="str">
        <f>IFERROR(__xludf.DUMMYFUNCTION("""COMPUTED_VALUE"""),"18-29")</f>
        <v>18-29</v>
      </c>
      <c r="AG992" s="6"/>
      <c r="AH992" s="6"/>
      <c r="AI992" s="6"/>
      <c r="AJ992" s="6"/>
      <c r="AK992" s="6"/>
      <c r="AL992" s="6"/>
      <c r="AM992" s="6"/>
    </row>
    <row r="993">
      <c r="A993" s="6">
        <v>992.0</v>
      </c>
      <c r="B993" s="6" t="str">
        <f>IFERROR(__xludf.DUMMYFUNCTION("""COMPUTED_VALUE"""),"УЧУСЬ")</f>
        <v>УЧУСЬ</v>
      </c>
      <c r="C993" s="6" t="str">
        <f>IFERROR(__xludf.DUMMYFUNCTION("""COMPUTED_VALUE"""),"танцы")</f>
        <v>танцы</v>
      </c>
      <c r="D993" s="6" t="str">
        <f>IFERROR(__xludf.DUMMYFUNCTION("""COMPUTED_VALUE"""),"Кировский")</f>
        <v>Кировский</v>
      </c>
      <c r="E993" s="6" t="str">
        <f>IFERROR(__xludf.DUMMYFUNCTION("""COMPUTED_VALUE"""),"ДК КИРОВСКОГО РАЙОНА")</f>
        <v>ДК КИРОВСКОГО РАЙОНА</v>
      </c>
      <c r="F993" s="6" t="str">
        <f>IFERROR(__xludf.DUMMYFUNCTION("""COMPUTED_VALUE"""),"Живу здесь с рождения")</f>
        <v>Живу здесь с рождения</v>
      </c>
      <c r="G993" s="6" t="str">
        <f>IFERROR(__xludf.DUMMYFUNCTION("""COMPUTED_VALUE"""),"БЕЗОВАЯ РОЩА")</f>
        <v>БЕЗОВАЯ РОЩА</v>
      </c>
      <c r="H993" s="6" t="str">
        <f>IFERROR(__xludf.DUMMYFUNCTION("""COMPUTED_VALUE"""),"КРАСОТА,БОЛЬШОЙ ,")</f>
        <v>КРАСОТА,БОЛЬШОЙ ,</v>
      </c>
      <c r="I993" s="6" t="str">
        <f>IFERROR(__xludf.DUMMYFUNCTION("""COMPUTED_VALUE"""),"ВОЛКОВ ")</f>
        <v>ВОЛКОВ </v>
      </c>
      <c r="J993" s="6" t="str">
        <f>IFERROR(__xludf.DUMMYFUNCTION("""COMPUTED_VALUE"""),"ВОЛКОВ")</f>
        <v>ВОЛКОВ</v>
      </c>
      <c r="K993" s="6" t="str">
        <f>IFERROR(__xludf.DUMMYFUNCTION("""COMPUTED_VALUE"""),"ПАСЯТНМК ВОЛКОВА")</f>
        <v>ПАСЯТНМК ВОЛКОВА</v>
      </c>
      <c r="L993" s="6" t="str">
        <f>IFERROR(__xludf.DUMMYFUNCTION("""COMPUTED_VALUE"""),"НЕ ЗНАЮ")</f>
        <v>НЕ ЗНАЮ</v>
      </c>
      <c r="M993" s="6" t="str">
        <f>IFERROR(__xludf.DUMMYFUNCTION("""COMPUTED_VALUE"""),"НЕ ЗНАЮ")</f>
        <v>НЕ ЗНАЮ</v>
      </c>
      <c r="N993" s="6" t="str">
        <f>IFERROR(__xludf.DUMMYFUNCTION("""COMPUTED_VALUE"""),"ЗНАНИЯ О ГОРОЛЕ")</f>
        <v>ЗНАНИЯ О ГОРОЛЕ</v>
      </c>
      <c r="O993" s="6" t="str">
        <f>IFERROR(__xludf.DUMMYFUNCTION("""COMPUTED_VALUE"""),"КУЛЬТУРУ И МАНЕРЫ ЛЮДЕЙ")</f>
        <v>КУЛЬТУРУ И МАНЕРЫ ЛЮДЕЙ</v>
      </c>
      <c r="P993" s="6" t="str">
        <f>IFERROR(__xludf.DUMMYFUNCTION("""COMPUTED_VALUE"""),"ЯНДЕКС")</f>
        <v>ЯНДЕКС</v>
      </c>
      <c r="Q993"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v>
      </c>
      <c r="R993" s="6" t="str">
        <f>IFERROR(__xludf.DUMMYFUNCTION("""COMPUTED_VALUE"""),"ДЕНЬ ГОРОДА ")</f>
        <v>ДЕНЬ ГОРОДА </v>
      </c>
      <c r="S993" s="6" t="str">
        <f>IFERROR(__xludf.DUMMYFUNCTION("""COMPUTED_VALUE"""),"Нет, не приходилось")</f>
        <v>Нет, не приходилось</v>
      </c>
      <c r="T993" s="6" t="str">
        <f>IFERROR(__xludf.DUMMYFUNCTION("""COMPUTED_VALUE"""),"УГОЛЬ ,ШАХТАМИ")</f>
        <v>УГОЛЬ ,ШАХТАМИ</v>
      </c>
      <c r="U993" s="6" t="str">
        <f>IFERROR(__xludf.DUMMYFUNCTION("""COMPUTED_VALUE"""),"ПАРК АНГЕЛОВ")</f>
        <v>ПАРК АНГЕЛОВ</v>
      </c>
      <c r="V993" s="6" t="str">
        <f>IFERROR(__xludf.DUMMYFUNCTION("""COMPUTED_VALUE"""),"НЕ ЗНАЮ")</f>
        <v>НЕ ЗНАЮ</v>
      </c>
      <c r="W993" s="6" t="str">
        <f>IFERROR(__xludf.DUMMYFUNCTION("""COMPUTED_VALUE"""),"УЖАСНЫЕ МАНЕРЫ")</f>
        <v>УЖАСНЫЕ МАНЕРЫ</v>
      </c>
      <c r="X993" s="6" t="str">
        <f>IFERROR(__xludf.DUMMYFUNCTION("""COMPUTED_VALUE"""),"НЕ ЗНАЮ")</f>
        <v>НЕ ЗНАЮ</v>
      </c>
      <c r="Y993" s="6" t="str">
        <f>IFERROR(__xludf.DUMMYFUNCTION("""COMPUTED_VALUE"""),"НЕ ЗНАЮ")</f>
        <v>НЕ ЗНАЮ</v>
      </c>
      <c r="Z993" s="6" t="str">
        <f>IFERROR(__xludf.DUMMYFUNCTION("""COMPUTED_VALUE"""),"НЕ ЗНАЮ")</f>
        <v>НЕ ЗНАЮ</v>
      </c>
      <c r="AA993" s="6" t="str">
        <f>IFERROR(__xludf.DUMMYFUNCTION("""COMPUTED_VALUE"""),"РУГАТЕЛЬСВА ,НЕТ УВАЖЕНИЯ")</f>
        <v>РУГАТЕЛЬСВА ,НЕТ УВАЖЕНИЯ</v>
      </c>
      <c r="AB993" s="6" t="str">
        <f>IFERROR(__xludf.DUMMYFUNCTION("""COMPUTED_VALUE"""),"НЕ ЗНАЮ")</f>
        <v>НЕ ЗНАЮ</v>
      </c>
      <c r="AC993" s="6" t="str">
        <f>IFERROR(__xludf.DUMMYFUNCTION("""COMPUTED_VALUE"""),"ХОРЕОГРАФИЯ ")</f>
        <v>ХОРЕОГРАФИЯ </v>
      </c>
      <c r="AD993"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993" s="6" t="str">
        <f>IFERROR(__xludf.DUMMYFUNCTION("""COMPUTED_VALUE"""),"Женский")</f>
        <v>Женский</v>
      </c>
      <c r="AF993" s="6" t="str">
        <f>IFERROR(__xludf.DUMMYFUNCTION("""COMPUTED_VALUE"""),"18-29")</f>
        <v>18-29</v>
      </c>
      <c r="AG993" s="6"/>
      <c r="AH993" s="6"/>
      <c r="AI993" s="6"/>
      <c r="AJ993" s="6"/>
      <c r="AK993" s="6"/>
      <c r="AL993" s="6"/>
      <c r="AM993" s="6"/>
    </row>
    <row r="994">
      <c r="A994" s="6">
        <v>993.0</v>
      </c>
      <c r="B994" s="6" t="str">
        <f>IFERROR(__xludf.DUMMYFUNCTION("""COMPUTED_VALUE"""),"Студент ")</f>
        <v>Студент </v>
      </c>
      <c r="C994" s="6" t="str">
        <f>IFERROR(__xludf.DUMMYFUNCTION("""COMPUTED_VALUE"""),"Люблю готовить ")</f>
        <v>Люблю готовить </v>
      </c>
      <c r="D994" s="6" t="str">
        <f>IFERROR(__xludf.DUMMYFUNCTION("""COMPUTED_VALUE"""),"Ленинградский ")</f>
        <v>Ленинградский </v>
      </c>
      <c r="E994" s="6" t="str">
        <f>IFERROR(__xludf.DUMMYFUNCTION("""COMPUTED_VALUE"""),"Храм святой троицы, парк ")</f>
        <v>Храм святой троицы, парк </v>
      </c>
      <c r="F994" s="6" t="str">
        <f>IFERROR(__xludf.DUMMYFUNCTION("""COMPUTED_VALUE"""),"Живу здесь с рождения")</f>
        <v>Живу здесь с рождения</v>
      </c>
      <c r="G994" s="6" t="str">
        <f>IFERROR(__xludf.DUMMYFUNCTION("""COMPUTED_VALUE"""),"Кинотеатры, парки")</f>
        <v>Кинотеатры, парки</v>
      </c>
      <c r="H994" s="6" t="str">
        <f>IFERROR(__xludf.DUMMYFUNCTION("""COMPUTED_VALUE"""),"Процветащий, красивый")</f>
        <v>Процветащий, красивый</v>
      </c>
      <c r="I994" s="6" t="str">
        <f>IFERROR(__xludf.DUMMYFUNCTION("""COMPUTED_VALUE"""),"Михаил Волков, Василий Фодоров ")</f>
        <v>Михаил Волков, Василий Фодоров </v>
      </c>
      <c r="J994" s="6" t="str">
        <f>IFERROR(__xludf.DUMMYFUNCTION("""COMPUTED_VALUE"""),"Не знаю")</f>
        <v>Не знаю</v>
      </c>
      <c r="K994" s="6" t="str">
        <f>IFERROR(__xludf.DUMMYFUNCTION("""COMPUTED_VALUE"""),"Ленин, Волков, памятник Шахтерам, памятник собачки, библиотека Васия Фёдоровна, вечный огонь")</f>
        <v>Ленин, Волков, памятник Шахтерам, памятник собачки, библиотека Васия Фёдоровна, вечный огонь</v>
      </c>
      <c r="L994" s="6" t="str">
        <f>IFERROR(__xludf.DUMMYFUNCTION("""COMPUTED_VALUE"""),"Не знаю ")</f>
        <v>Не знаю </v>
      </c>
      <c r="M994" s="6" t="str">
        <f>IFERROR(__xludf.DUMMYFUNCTION("""COMPUTED_VALUE"""),"Швейка, Яшка, Лапа, Пром")</f>
        <v>Швейка, Яшка, Лапа, Пром</v>
      </c>
      <c r="N994" s="6" t="str">
        <f>IFERROR(__xludf.DUMMYFUNCTION("""COMPUTED_VALUE"""),"Нет критерий")</f>
        <v>Нет критерий</v>
      </c>
      <c r="O994" s="6" t="str">
        <f>IFERROR(__xludf.DUMMYFUNCTION("""COMPUTED_VALUE"""),"Образование, чтоб город чистый был")</f>
        <v>Образование, чтоб город чистый был</v>
      </c>
      <c r="P994" s="6" t="str">
        <f>IFERROR(__xludf.DUMMYFUNCTION("""COMPUTED_VALUE"""),"Газета, публикация, новости")</f>
        <v>Газета, публикация, новости</v>
      </c>
      <c r="Q994"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994" s="6" t="str">
        <f>IFERROR(__xludf.DUMMYFUNCTION("""COMPUTED_VALUE"""),"День города, Новый год, 9 мая, день России, День шахтёра, ")</f>
        <v>День города, Новый год, 9 мая, день России, День шахтёра, </v>
      </c>
      <c r="S994" s="6" t="str">
        <f>IFERROR(__xludf.DUMMYFUNCTION("""COMPUTED_VALUE"""),"Нет, не приходилось")</f>
        <v>Нет, не приходилось</v>
      </c>
      <c r="T994" s="6" t="str">
        <f>IFERROR(__xludf.DUMMYFUNCTION("""COMPUTED_VALUE"""),"Зимней вишней ")</f>
        <v>Зимней вишней </v>
      </c>
      <c r="U994" s="6" t="str">
        <f>IFERROR(__xludf.DUMMYFUNCTION("""COMPUTED_VALUE"""),"Площадь советов ")</f>
        <v>Площадь советов </v>
      </c>
      <c r="V994" s="6" t="str">
        <f>IFERROR(__xludf.DUMMYFUNCTION("""COMPUTED_VALUE"""),"Не знаю ")</f>
        <v>Не знаю </v>
      </c>
      <c r="W994" s="6" t="str">
        <f>IFERROR(__xludf.DUMMYFUNCTION("""COMPUTED_VALUE"""),"Скучные, злые")</f>
        <v>Скучные, злые</v>
      </c>
      <c r="X994" s="6" t="str">
        <f>IFERROR(__xludf.DUMMYFUNCTION("""COMPUTED_VALUE"""),"Парки, памятники ")</f>
        <v>Парки, памятники </v>
      </c>
      <c r="Y994" s="6" t="str">
        <f>IFERROR(__xludf.DUMMYFUNCTION("""COMPUTED_VALUE"""),"Не знаю ")</f>
        <v>Не знаю </v>
      </c>
      <c r="Z994" s="6" t="str">
        <f>IFERROR(__xludf.DUMMYFUNCTION("""COMPUTED_VALUE"""),"9 мая")</f>
        <v>9 мая</v>
      </c>
      <c r="AA994" s="6" t="str">
        <f>IFERROR(__xludf.DUMMYFUNCTION("""COMPUTED_VALUE"""),"Ничего ")</f>
        <v>Ничего </v>
      </c>
      <c r="AB994" s="6" t="str">
        <f>IFERROR(__xludf.DUMMYFUNCTION("""COMPUTED_VALUE"""),"-")</f>
        <v>-</v>
      </c>
      <c r="AC994" s="6" t="str">
        <f>IFERROR(__xludf.DUMMYFUNCTION("""COMPUTED_VALUE"""),"-")</f>
        <v>-</v>
      </c>
      <c r="AD99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994" s="6" t="str">
        <f>IFERROR(__xludf.DUMMYFUNCTION("""COMPUTED_VALUE"""),"Женский")</f>
        <v>Женский</v>
      </c>
      <c r="AF994" s="6" t="str">
        <f>IFERROR(__xludf.DUMMYFUNCTION("""COMPUTED_VALUE"""),"18-29")</f>
        <v>18-29</v>
      </c>
      <c r="AG994" s="6"/>
      <c r="AH994" s="6"/>
      <c r="AI994" s="6"/>
      <c r="AJ994" s="6"/>
      <c r="AK994" s="6"/>
      <c r="AL994" s="6"/>
      <c r="AM994" s="6"/>
    </row>
    <row r="995">
      <c r="A995" s="6">
        <v>994.0</v>
      </c>
      <c r="B995" s="6" t="str">
        <f>IFERROR(__xludf.DUMMYFUNCTION("""COMPUTED_VALUE"""),"Студент ")</f>
        <v>Студент </v>
      </c>
      <c r="C995" s="6" t="str">
        <f>IFERROR(__xludf.DUMMYFUNCTION("""COMPUTED_VALUE"""),"Танцы ")</f>
        <v>Танцы </v>
      </c>
      <c r="D995" s="6" t="str">
        <f>IFERROR(__xludf.DUMMYFUNCTION("""COMPUTED_VALUE"""),"Металлплощадка ")</f>
        <v>Металлплощадка </v>
      </c>
      <c r="E995" s="6" t="str">
        <f>IFERROR(__xludf.DUMMYFUNCTION("""COMPUTED_VALUE"""),"Парк и стадион ")</f>
        <v>Парк и стадион </v>
      </c>
      <c r="F995" s="6" t="str">
        <f>IFERROR(__xludf.DUMMYFUNCTION("""COMPUTED_VALUE"""),"Живу здесь с рождения")</f>
        <v>Живу здесь с рождения</v>
      </c>
      <c r="G995" s="6" t="str">
        <f>IFERROR(__xludf.DUMMYFUNCTION("""COMPUTED_VALUE"""),"Променад 2")</f>
        <v>Променад 2</v>
      </c>
      <c r="H995" s="6" t="str">
        <f>IFERROR(__xludf.DUMMYFUNCTION("""COMPUTED_VALUE"""),"Большой, красивый местами грязный ")</f>
        <v>Большой, красивый местами грязный </v>
      </c>
      <c r="I995" s="6" t="str">
        <f>IFERROR(__xludf.DUMMYFUNCTION("""COMPUTED_VALUE"""),"Волков Михаил ")</f>
        <v>Волков Михаил </v>
      </c>
      <c r="J995" s="6" t="str">
        <f>IFERROR(__xludf.DUMMYFUNCTION("""COMPUTED_VALUE"""),"Не знаю")</f>
        <v>Не знаю</v>
      </c>
      <c r="K995" s="6" t="str">
        <f>IFERROR(__xludf.DUMMYFUNCTION("""COMPUTED_VALUE"""),"Вечный огонь")</f>
        <v>Вечный огонь</v>
      </c>
      <c r="L995" s="6" t="str">
        <f>IFERROR(__xludf.DUMMYFUNCTION("""COMPUTED_VALUE"""),"Чем богаты, тем и рады")</f>
        <v>Чем богаты, тем и рады</v>
      </c>
      <c r="M995" s="6" t="str">
        <f>IFERROR(__xludf.DUMMYFUNCTION("""COMPUTED_VALUE"""),"Швейка, радуга, яшка, лапа, пром1, 2,3")</f>
        <v>Швейка, радуга, яшка, лапа, пром1, 2,3</v>
      </c>
      <c r="N995" s="6" t="str">
        <f>IFERROR(__xludf.DUMMYFUNCTION("""COMPUTED_VALUE"""),"Нет критериев ")</f>
        <v>Нет критериев </v>
      </c>
      <c r="O995" s="6" t="str">
        <f>IFERROR(__xludf.DUMMYFUNCTION("""COMPUTED_VALUE"""),"Чтобы в городе более чисто ")</f>
        <v>Чтобы в городе более чисто </v>
      </c>
      <c r="P995" s="6" t="str">
        <f>IFERROR(__xludf.DUMMYFUNCTION("""COMPUTED_VALUE"""),"Газета, новости, соц. сети")</f>
        <v>Газета, новости, соц. сети</v>
      </c>
      <c r="Q995" s="6" t="str">
        <f>IFERROR(__xludf.DUMMYFUNCTION("""COMPUTED_VALUE"""),"интервью с местными творческими личностями, криминальные новости (происшествия/преступления), новости про новые профессии/куда поступать/вакансии")</f>
        <v>интервью с местными творческими личностями, криминальные новости (происшествия/преступления), новости про новые профессии/куда поступать/вакансии</v>
      </c>
      <c r="R995" s="6" t="str">
        <f>IFERROR(__xludf.DUMMYFUNCTION("""COMPUTED_VALUE"""),"День города, день шахтера ")</f>
        <v>День города, день шахтера </v>
      </c>
      <c r="S995" s="6" t="str">
        <f>IFERROR(__xludf.DUMMYFUNCTION("""COMPUTED_VALUE"""),"Нет, не приходилось")</f>
        <v>Нет, не приходилось</v>
      </c>
      <c r="T995" s="6" t="str">
        <f>IFERROR(__xludf.DUMMYFUNCTION("""COMPUTED_VALUE"""),"Пожар в зимней вишне ")</f>
        <v>Пожар в зимней вишне </v>
      </c>
      <c r="U995" s="6" t="str">
        <f>IFERROR(__xludf.DUMMYFUNCTION("""COMPUTED_VALUE"""),"Парк чудес ")</f>
        <v>Парк чудес </v>
      </c>
      <c r="V995" s="6" t="str">
        <f>IFERROR(__xludf.DUMMYFUNCTION("""COMPUTED_VALUE"""),"Ничего")</f>
        <v>Ничего</v>
      </c>
      <c r="W995" s="6" t="str">
        <f>IFERROR(__xludf.DUMMYFUNCTION("""COMPUTED_VALUE"""),"Скучные, злые")</f>
        <v>Скучные, злые</v>
      </c>
      <c r="X995" s="6" t="str">
        <f>IFERROR(__xludf.DUMMYFUNCTION("""COMPUTED_VALUE"""),"Прогулка по центральному району ")</f>
        <v>Прогулка по центральному району </v>
      </c>
      <c r="Y995" s="6" t="str">
        <f>IFERROR(__xludf.DUMMYFUNCTION("""COMPUTED_VALUE"""),"Митинг")</f>
        <v>Митинг</v>
      </c>
      <c r="Z995" s="6" t="str">
        <f>IFERROR(__xludf.DUMMYFUNCTION("""COMPUTED_VALUE"""),"9 мая ")</f>
        <v>9 мая </v>
      </c>
      <c r="AA995" s="6" t="str">
        <f>IFERROR(__xludf.DUMMYFUNCTION("""COMPUTED_VALUE"""),"Митинг ")</f>
        <v>Митинг </v>
      </c>
      <c r="AB995" s="6" t="str">
        <f>IFERROR(__xludf.DUMMYFUNCTION("""COMPUTED_VALUE"""),"Никаких ")</f>
        <v>Никаких </v>
      </c>
      <c r="AC995" s="6" t="str">
        <f>IFERROR(__xludf.DUMMYFUNCTION("""COMPUTED_VALUE"""),"Помощь животным и прочим нуждающимся ")</f>
        <v>Помощь животным и прочим нуждающимся </v>
      </c>
      <c r="AD99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995" s="6" t="str">
        <f>IFERROR(__xludf.DUMMYFUNCTION("""COMPUTED_VALUE"""),"Женский")</f>
        <v>Женский</v>
      </c>
      <c r="AF995" s="6" t="str">
        <f>IFERROR(__xludf.DUMMYFUNCTION("""COMPUTED_VALUE"""),"18-29")</f>
        <v>18-29</v>
      </c>
      <c r="AG995" s="6"/>
      <c r="AH995" s="6"/>
      <c r="AI995" s="6"/>
      <c r="AJ995" s="6"/>
      <c r="AK995" s="6"/>
      <c r="AL995" s="6"/>
      <c r="AM995" s="6"/>
    </row>
    <row r="996">
      <c r="A996" s="6">
        <v>995.0</v>
      </c>
      <c r="B996" s="6" t="str">
        <f>IFERROR(__xludf.DUMMYFUNCTION("""COMPUTED_VALUE"""),"Студент ")</f>
        <v>Студент </v>
      </c>
      <c r="C996" s="6" t="str">
        <f>IFERROR(__xludf.DUMMYFUNCTION("""COMPUTED_VALUE"""),"Чтение книг ")</f>
        <v>Чтение книг </v>
      </c>
      <c r="D996" s="6" t="str">
        <f>IFERROR(__xludf.DUMMYFUNCTION("""COMPUTED_VALUE"""),"Ленинский ")</f>
        <v>Ленинский </v>
      </c>
      <c r="E996" s="6" t="str">
        <f>IFERROR(__xludf.DUMMYFUNCTION("""COMPUTED_VALUE"""),"Библиотека им. Н.В. Гоголя ")</f>
        <v>Библиотека им. Н.В. Гоголя </v>
      </c>
      <c r="F996" s="6" t="str">
        <f>IFERROR(__xludf.DUMMYFUNCTION("""COMPUTED_VALUE"""),"Переехал сюда из другого места (откуда? укажите в графе другое), Из Ленинск-Кузнецкого ")</f>
        <v>Переехал сюда из другого места (откуда? укажите в графе другое), Из Ленинск-Кузнецкого </v>
      </c>
      <c r="G996" s="6" t="str">
        <f>IFERROR(__xludf.DUMMYFUNCTION("""COMPUTED_VALUE"""),"Парк Ангелов, парк Чудес, Набережная ")</f>
        <v>Парк Ангелов, парк Чудес, Набережная </v>
      </c>
      <c r="H996" s="6" t="str">
        <f>IFERROR(__xludf.DUMMYFUNCTION("""COMPUTED_VALUE"""),"Пробки, ТЦ, Томь, музеи, парки ")</f>
        <v>Пробки, ТЦ, Томь, музеи, парки </v>
      </c>
      <c r="I996" s="6" t="str">
        <f>IFERROR(__xludf.DUMMYFUNCTION("""COMPUTED_VALUE"""),"Шахтёр Булгаков Анатолий Иванович ")</f>
        <v>Шахтёр Булгаков Анатолий Иванович </v>
      </c>
      <c r="J996" s="6" t="str">
        <f>IFERROR(__xludf.DUMMYFUNCTION("""COMPUTED_VALUE"""),"Космонавт А.А. Леонов ")</f>
        <v>Космонавт А.А. Леонов </v>
      </c>
      <c r="K996" s="6" t="str">
        <f>IFERROR(__xludf.DUMMYFUNCTION("""COMPUTED_VALUE"""),"Музей-заповедник «Красная горка» ")</f>
        <v>Музей-заповедник «Красная горка» </v>
      </c>
      <c r="L996" s="6" t="str">
        <f>IFERROR(__xludf.DUMMYFUNCTION("""COMPUTED_VALUE"""),"Уголь-заводам корм:дадим по пять норм ")</f>
        <v>Уголь-заводам корм:дадим по пять норм </v>
      </c>
      <c r="M996" s="6" t="str">
        <f>IFERROR(__xludf.DUMMYFUNCTION("""COMPUTED_VALUE"""),"Не знаю ")</f>
        <v>Не знаю </v>
      </c>
      <c r="N996" s="6" t="str">
        <f>IFERROR(__xludf.DUMMYFUNCTION("""COMPUTED_VALUE"""),"Отопление, климат, освещение, шум, окружающая среда ")</f>
        <v>Отопление, климат, освещение, шум, окружающая среда </v>
      </c>
      <c r="O996" s="6" t="str">
        <f>IFERROR(__xludf.DUMMYFUNCTION("""COMPUTED_VALUE"""),"Детские площадки ")</f>
        <v>Детские площадки </v>
      </c>
      <c r="P996" s="6" t="str">
        <f>IFERROR(__xludf.DUMMYFUNCTION("""COMPUTED_VALUE"""),"ВКонтакте, Инстаграмм ")</f>
        <v>ВКонтакте, Инстаграмм </v>
      </c>
      <c r="Q996" s="6" t="str">
        <f>IFERROR(__xludf.DUMMYFUNCTION("""COMPUTED_VALUE"""),"куда пойти в свободное время, культурные новинки (что почитать/что послушать), криминальные новости (происшествия/преступления)")</f>
        <v>куда пойти в свободное время, культурные новинки (что почитать/что послушать), криминальные новости (происшествия/преступления)</v>
      </c>
      <c r="R996" s="6" t="str">
        <f>IFERROR(__xludf.DUMMYFUNCTION("""COMPUTED_VALUE"""),"Не знаю ")</f>
        <v>Не знаю </v>
      </c>
      <c r="S996" s="6" t="str">
        <f>IFERROR(__xludf.DUMMYFUNCTION("""COMPUTED_VALUE"""),"Нет, не приходилось")</f>
        <v>Нет, не приходилось</v>
      </c>
      <c r="T996" s="6" t="str">
        <f>IFERROR(__xludf.DUMMYFUNCTION("""COMPUTED_VALUE"""),"Угледобычей ")</f>
        <v>Угледобычей </v>
      </c>
      <c r="U996" s="6" t="str">
        <f>IFERROR(__xludf.DUMMYFUNCTION("""COMPUTED_VALUE"""),"Знак Кузбасс ")</f>
        <v>Знак Кузбасс </v>
      </c>
      <c r="V996" s="6" t="str">
        <f>IFERROR(__xludf.DUMMYFUNCTION("""COMPUTED_VALUE"""),"Культура и спорт ")</f>
        <v>Культура и спорт </v>
      </c>
      <c r="W996" s="6" t="str">
        <f>IFERROR(__xludf.DUMMYFUNCTION("""COMPUTED_VALUE"""),"Грубость, усталость, жизнерадостные  ")</f>
        <v>Грубость, усталость, жизнерадостные  </v>
      </c>
      <c r="X996" s="6" t="str">
        <f>IFERROR(__xludf.DUMMYFUNCTION("""COMPUTED_VALUE"""),"Парк Ангелов ")</f>
        <v>Парк Ангелов </v>
      </c>
      <c r="Y996" s="6" t="str">
        <f>IFERROR(__xludf.DUMMYFUNCTION("""COMPUTED_VALUE"""),"Приезжал Тимати ")</f>
        <v>Приезжал Тимати </v>
      </c>
      <c r="Z996" s="6" t="str">
        <f>IFERROR(__xludf.DUMMYFUNCTION("""COMPUTED_VALUE"""),"Больше ТЦ ")</f>
        <v>Больше ТЦ </v>
      </c>
      <c r="AA996" s="6" t="str">
        <f>IFERROR(__xludf.DUMMYFUNCTION("""COMPUTED_VALUE"""),"Пожар в Зимней Вишне ")</f>
        <v>Пожар в Зимней Вишне </v>
      </c>
      <c r="AB996" s="6" t="str">
        <f>IFERROR(__xludf.DUMMYFUNCTION("""COMPUTED_VALUE"""),"Живой город ")</f>
        <v>Живой город </v>
      </c>
      <c r="AC996" s="6" t="str">
        <f>IFERROR(__xludf.DUMMYFUNCTION("""COMPUTED_VALUE"""),"Концерты ")</f>
        <v>Концерты </v>
      </c>
      <c r="AD99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996" s="6" t="str">
        <f>IFERROR(__xludf.DUMMYFUNCTION("""COMPUTED_VALUE"""),"Женский")</f>
        <v>Женский</v>
      </c>
      <c r="AF996" s="6" t="str">
        <f>IFERROR(__xludf.DUMMYFUNCTION("""COMPUTED_VALUE"""),"18-29")</f>
        <v>18-29</v>
      </c>
      <c r="AG996" s="6"/>
      <c r="AH996" s="6"/>
      <c r="AI996" s="6"/>
      <c r="AJ996" s="6"/>
      <c r="AK996" s="6"/>
      <c r="AL996" s="6"/>
      <c r="AM996" s="6"/>
    </row>
    <row r="997">
      <c r="A997" s="6">
        <v>996.0</v>
      </c>
      <c r="B997" s="6" t="str">
        <f>IFERROR(__xludf.DUMMYFUNCTION("""COMPUTED_VALUE"""),"Студент ")</f>
        <v>Студент </v>
      </c>
      <c r="C997" s="6" t="str">
        <f>IFERROR(__xludf.DUMMYFUNCTION("""COMPUTED_VALUE"""),"Хорошее умение рисовать")</f>
        <v>Хорошее умение рисовать</v>
      </c>
      <c r="D997" s="6" t="str">
        <f>IFERROR(__xludf.DUMMYFUNCTION("""COMPUTED_VALUE"""),"Центральный район, так и называю")</f>
        <v>Центральный район, так и называю</v>
      </c>
      <c r="E997" s="6" t="str">
        <f>IFERROR(__xludf.DUMMYFUNCTION("""COMPUTED_VALUE"""),"Парк Ангелов ")</f>
        <v>Парк Ангелов </v>
      </c>
      <c r="F997" s="6" t="str">
        <f>IFERROR(__xludf.DUMMYFUNCTION("""COMPUTED_VALUE"""),"Живу здесь с рождения")</f>
        <v>Живу здесь с рождения</v>
      </c>
      <c r="G997" s="6" t="str">
        <f>IFERROR(__xludf.DUMMYFUNCTION("""COMPUTED_VALUE"""),"ТЦ Лапландия, Радуга")</f>
        <v>ТЦ Лапландия, Радуга</v>
      </c>
      <c r="H997" s="6" t="str">
        <f>IFERROR(__xludf.DUMMYFUNCTION("""COMPUTED_VALUE"""),"Мусор, Красивые парки, Томь, Завод, Хорошая погода ")</f>
        <v>Мусор, Красивые парки, Томь, Завод, Хорошая погода </v>
      </c>
      <c r="I997" s="6" t="str">
        <f>IFERROR(__xludf.DUMMYFUNCTION("""COMPUTED_VALUE"""),"Василий Фёдоров ")</f>
        <v>Василий Фёдоров </v>
      </c>
      <c r="J997" s="6" t="str">
        <f>IFERROR(__xludf.DUMMYFUNCTION("""COMPUTED_VALUE"""),"Нет таких ")</f>
        <v>Нет таких </v>
      </c>
      <c r="K997" s="6" t="str">
        <f>IFERROR(__xludf.DUMMYFUNCTION("""COMPUTED_VALUE"""),"Парк Ангелов, Центр")</f>
        <v>Парк Ангелов, Центр</v>
      </c>
      <c r="L997" s="6" t="str">
        <f>IFERROR(__xludf.DUMMYFUNCTION("""COMPUTED_VALUE"""),"Плохие поступки — плохие люди.")</f>
        <v>Плохие поступки — плохие люди.</v>
      </c>
      <c r="M997" s="6" t="str">
        <f>IFERROR(__xludf.DUMMYFUNCTION("""COMPUTED_VALUE"""),"Радуга, Лапа, Яшка")</f>
        <v>Радуга, Лапа, Яшка</v>
      </c>
      <c r="N997" s="6" t="str">
        <f>IFERROR(__xludf.DUMMYFUNCTION("""COMPUTED_VALUE"""),"Не знаю ")</f>
        <v>Не знаю </v>
      </c>
      <c r="O997" s="6" t="str">
        <f>IFERROR(__xludf.DUMMYFUNCTION("""COMPUTED_VALUE"""),"Очистить город от мусора ")</f>
        <v>Очистить город от мусора </v>
      </c>
      <c r="P997" s="6" t="str">
        <f>IFERROR(__xludf.DUMMYFUNCTION("""COMPUTED_VALUE"""),"Группа Типичное Кемерово ")</f>
        <v>Группа Типичное Кемерово </v>
      </c>
      <c r="Q997" s="6" t="str">
        <f>IFERROR(__xludf.DUMMYFUNCTION("""COMPUTED_VALUE"""),"городская афиша (кино/театр/концерты), интервью с экспертами на разные темы (напишите в разделе Другое свои предложения)")</f>
        <v>городская афиша (кино/театр/концерты), интервью с экспертами на разные темы (напишите в разделе Другое свои предложения)</v>
      </c>
      <c r="R997" s="6" t="str">
        <f>IFERROR(__xludf.DUMMYFUNCTION("""COMPUTED_VALUE"""),"День города, 9 мая")</f>
        <v>День города, 9 мая</v>
      </c>
      <c r="S997" s="6" t="str">
        <f>IFERROR(__xludf.DUMMYFUNCTION("""COMPUTED_VALUE"""),"Нет, не приходилось")</f>
        <v>Нет, не приходилось</v>
      </c>
      <c r="T997" s="6" t="str">
        <f>IFERROR(__xludf.DUMMYFUNCTION("""COMPUTED_VALUE"""),"Известен Зимней Вишней")</f>
        <v>Известен Зимней Вишней</v>
      </c>
      <c r="U997" s="6" t="str">
        <f>IFERROR(__xludf.DUMMYFUNCTION("""COMPUTED_VALUE"""),"Площадь советов ")</f>
        <v>Площадь советов </v>
      </c>
      <c r="V997" s="6" t="str">
        <f>IFERROR(__xludf.DUMMYFUNCTION("""COMPUTED_VALUE"""),"Не знаю ")</f>
        <v>Не знаю </v>
      </c>
      <c r="W997" s="6" t="str">
        <f>IFERROR(__xludf.DUMMYFUNCTION("""COMPUTED_VALUE"""),"Грубость, усталость, невежливость, реже жизнерадостной ")</f>
        <v>Грубость, усталость, невежливость, реже жизнерадостной </v>
      </c>
      <c r="X997" s="6" t="str">
        <f>IFERROR(__xludf.DUMMYFUNCTION("""COMPUTED_VALUE"""),"Центр")</f>
        <v>Центр</v>
      </c>
      <c r="Y997" s="6" t="str">
        <f>IFERROR(__xludf.DUMMYFUNCTION("""COMPUTED_VALUE"""),"Не знаю")</f>
        <v>Не знаю</v>
      </c>
      <c r="Z997" s="6" t="str">
        <f>IFERROR(__xludf.DUMMYFUNCTION("""COMPUTED_VALUE"""),"Приезд популярных людей на праздники ")</f>
        <v>Приезд популярных людей на праздники </v>
      </c>
      <c r="AA997" s="6" t="str">
        <f>IFERROR(__xludf.DUMMYFUNCTION("""COMPUTED_VALUE"""),"Бессмысленные митинги")</f>
        <v>Бессмысленные митинги</v>
      </c>
      <c r="AB997" s="6" t="str">
        <f>IFERROR(__xludf.DUMMYFUNCTION("""COMPUTED_VALUE"""),"Все хватает ")</f>
        <v>Все хватает </v>
      </c>
      <c r="AC997" s="6" t="str">
        <f>IFERROR(__xludf.DUMMYFUNCTION("""COMPUTED_VALUE"""),"Празднования Хэллоуина и Пасхи по всему городу ")</f>
        <v>Празднования Хэллоуина и Пасхи по всему городу </v>
      </c>
      <c r="AD99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997" s="6" t="str">
        <f>IFERROR(__xludf.DUMMYFUNCTION("""COMPUTED_VALUE"""),"Женский")</f>
        <v>Женский</v>
      </c>
      <c r="AF997" s="6" t="str">
        <f>IFERROR(__xludf.DUMMYFUNCTION("""COMPUTED_VALUE"""),"18-29")</f>
        <v>18-29</v>
      </c>
      <c r="AG997" s="6"/>
      <c r="AH997" s="6"/>
      <c r="AI997" s="6"/>
      <c r="AJ997" s="6"/>
      <c r="AK997" s="6"/>
      <c r="AL997" s="6"/>
      <c r="AM997" s="6"/>
    </row>
    <row r="998">
      <c r="A998" s="6">
        <v>997.0</v>
      </c>
      <c r="B998" s="6" t="str">
        <f>IFERROR(__xludf.DUMMYFUNCTION("""COMPUTED_VALUE"""),"Студент")</f>
        <v>Студент</v>
      </c>
      <c r="C998" s="6" t="str">
        <f>IFERROR(__xludf.DUMMYFUNCTION("""COMPUTED_VALUE"""),"Катание на велосипеде")</f>
        <v>Катание на велосипеде</v>
      </c>
      <c r="D998" s="6" t="str">
        <f>IFERROR(__xludf.DUMMYFUNCTION("""COMPUTED_VALUE"""),"Кировский район ")</f>
        <v>Кировский район </v>
      </c>
      <c r="E998" s="6" t="str">
        <f>IFERROR(__xludf.DUMMYFUNCTION("""COMPUTED_VALUE"""),"Берёзовая роща ")</f>
        <v>Берёзовая роща </v>
      </c>
      <c r="F998" s="6" t="str">
        <f>IFERROR(__xludf.DUMMYFUNCTION("""COMPUTED_VALUE"""),"Живу здесь с рождения")</f>
        <v>Живу здесь с рождения</v>
      </c>
      <c r="G998" s="6" t="str">
        <f>IFERROR(__xludf.DUMMYFUNCTION("""COMPUTED_VALUE"""),"Просто гуляю по городу")</f>
        <v>Просто гуляю по городу</v>
      </c>
      <c r="H998" s="6" t="str">
        <f>IFERROR(__xludf.DUMMYFUNCTION("""COMPUTED_VALUE"""),"Помойка
")</f>
        <v>Помойка
</v>
      </c>
      <c r="I998" s="6" t="str">
        <f>IFERROR(__xludf.DUMMYFUNCTION("""COMPUTED_VALUE"""),"Михайло Волков")</f>
        <v>Михайло Волков</v>
      </c>
      <c r="J998" s="6" t="str">
        <f>IFERROR(__xludf.DUMMYFUNCTION("""COMPUTED_VALUE"""),"Таких нет")</f>
        <v>Таких нет</v>
      </c>
      <c r="K998" s="6" t="str">
        <f>IFERROR(__xludf.DUMMYFUNCTION("""COMPUTED_VALUE"""),"Памятник шахтёрам, вечный огонь. ")</f>
        <v>Памятник шахтёрам, вечный огонь. </v>
      </c>
      <c r="L998" s="6" t="str">
        <f>IFERROR(__xludf.DUMMYFUNCTION("""COMPUTED_VALUE"""),"Чем богаты, тем и рады")</f>
        <v>Чем богаты, тем и рады</v>
      </c>
      <c r="M998" s="6" t="str">
        <f>IFERROR(__xludf.DUMMYFUNCTION("""COMPUTED_VALUE"""),"Нет, не знаю")</f>
        <v>Нет, не знаю</v>
      </c>
      <c r="N998" s="6" t="str">
        <f>IFERROR(__xludf.DUMMYFUNCTION("""COMPUTED_VALUE"""),"В кемерово нету ни комфорта, ни уюта")</f>
        <v>В кемерово нету ни комфорта, ни уюта</v>
      </c>
      <c r="O998" s="6" t="str">
        <f>IFERROR(__xludf.DUMMYFUNCTION("""COMPUTED_VALUE"""),"Весь город полностью. Чтобы с Кемерово можно было уехать в любую точку России,например как в Новосибирске. ")</f>
        <v>Весь город полностью. Чтобы с Кемерово можно было уехать в любую точку России,например как в Новосибирске. </v>
      </c>
      <c r="P998" s="6" t="str">
        <f>IFERROR(__xludf.DUMMYFUNCTION("""COMPUTED_VALUE"""),"Вк")</f>
        <v>Вк</v>
      </c>
      <c r="Q998"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998" s="6" t="str">
        <f>IFERROR(__xludf.DUMMYFUNCTION("""COMPUTED_VALUE"""),"9 мая")</f>
        <v>9 мая</v>
      </c>
      <c r="S998" s="6" t="str">
        <f>IFERROR(__xludf.DUMMYFUNCTION("""COMPUTED_VALUE"""),"Нет, не приходилось")</f>
        <v>Нет, не приходилось</v>
      </c>
      <c r="T998" s="6" t="str">
        <f>IFERROR(__xludf.DUMMYFUNCTION("""COMPUTED_VALUE"""),"Кемерово известен всем пожаром в Зимней вишне. ")</f>
        <v>Кемерово известен всем пожаром в Зимней вишне. </v>
      </c>
      <c r="U998" s="6" t="str">
        <f>IFERROR(__xludf.DUMMYFUNCTION("""COMPUTED_VALUE"""),"Парк Чудес")</f>
        <v>Парк Чудес</v>
      </c>
      <c r="V998" s="6" t="str">
        <f>IFERROR(__xludf.DUMMYFUNCTION("""COMPUTED_VALUE"""),"Ничего, этим городом нельзя гордится ")</f>
        <v>Ничего, этим городом нельзя гордится </v>
      </c>
      <c r="W998" s="6" t="str">
        <f>IFERROR(__xludf.DUMMYFUNCTION("""COMPUTED_VALUE"""),"Грубые, недовольные, бедные, вечно обиженные, агрессивные. ")</f>
        <v>Грубые, недовольные, бедные, вечно обиженные, агрессивные. </v>
      </c>
      <c r="X998" s="6" t="str">
        <f>IFERROR(__xludf.DUMMYFUNCTION("""COMPUTED_VALUE"""),"Лапландия- площадь советов-парк чудес")</f>
        <v>Лапландия- площадь советов-парк чудес</v>
      </c>
      <c r="Y998" s="6" t="str">
        <f>IFERROR(__xludf.DUMMYFUNCTION("""COMPUTED_VALUE"""),"Пожар Зимней вишни ")</f>
        <v>Пожар Зимней вишни </v>
      </c>
      <c r="Z998" s="6" t="str">
        <f>IFERROR(__xludf.DUMMYFUNCTION("""COMPUTED_VALUE"""),"Таких не было")</f>
        <v>Таких не было</v>
      </c>
      <c r="AA998" s="6" t="str">
        <f>IFERROR(__xludf.DUMMYFUNCTION("""COMPUTED_VALUE"""),"Бесполезные митинги")</f>
        <v>Бесполезные митинги</v>
      </c>
      <c r="AB998" s="6" t="str">
        <f>IFERROR(__xludf.DUMMYFUNCTION("""COMPUTED_VALUE"""),"Не знаю ")</f>
        <v>Не знаю </v>
      </c>
      <c r="AC998" s="6" t="str">
        <f>IFERROR(__xludf.DUMMYFUNCTION("""COMPUTED_VALUE"""),"Этому городу ничего не поможет, чтобы он стал интереснее")</f>
        <v>Этому городу ничего не поможет, чтобы он стал интереснее</v>
      </c>
      <c r="AD998" s="6" t="str">
        <f>IFERROR(__xludf.DUMMYFUNCTION("""COMPUTED_VALUE"""),"Не готов принимать личное участие (укажите, пожалуйста, причину в поле «Другое»), Ни в какой роли я бы не хотел участвовать. ")</f>
        <v>Не готов принимать личное участие (укажите, пожалуйста, причину в поле «Другое»), Ни в какой роли я бы не хотел участвовать. </v>
      </c>
      <c r="AE998" s="6" t="str">
        <f>IFERROR(__xludf.DUMMYFUNCTION("""COMPUTED_VALUE"""),"Мужской")</f>
        <v>Мужской</v>
      </c>
      <c r="AF998" s="6" t="str">
        <f>IFERROR(__xludf.DUMMYFUNCTION("""COMPUTED_VALUE"""),"18-29")</f>
        <v>18-29</v>
      </c>
      <c r="AG998" s="6"/>
      <c r="AH998" s="6"/>
      <c r="AI998" s="6"/>
      <c r="AJ998" s="6"/>
      <c r="AK998" s="6"/>
      <c r="AL998" s="6"/>
      <c r="AM998" s="6"/>
    </row>
    <row r="999">
      <c r="A999" s="6">
        <v>998.0</v>
      </c>
      <c r="B999" s="6" t="str">
        <f>IFERROR(__xludf.DUMMYFUNCTION("""COMPUTED_VALUE"""),"Учусь в колледже")</f>
        <v>Учусь в колледже</v>
      </c>
      <c r="C999" s="6" t="str">
        <f>IFERROR(__xludf.DUMMYFUNCTION("""COMPUTED_VALUE"""),"Иногда гуляю на улице")</f>
        <v>Иногда гуляю на улице</v>
      </c>
      <c r="D999" s="6" t="str">
        <f>IFERROR(__xludf.DUMMYFUNCTION("""COMPUTED_VALUE"""),"Цетральный район, цетр")</f>
        <v>Цетральный район, цетр</v>
      </c>
      <c r="E999" s="6" t="str">
        <f>IFERROR(__xludf.DUMMYFUNCTION("""COMPUTED_VALUE"""),"Парк им. Веры Волошиной")</f>
        <v>Парк им. Веры Волошиной</v>
      </c>
      <c r="F999" s="6" t="str">
        <f>IFERROR(__xludf.DUMMYFUNCTION("""COMPUTED_VALUE"""),"Переехал сюда из другого места (откуда? укажите в графе другое), Приехал из Анжеро-Судженска")</f>
        <v>Переехал сюда из другого места (откуда? укажите в графе другое), Приехал из Анжеро-Судженска</v>
      </c>
      <c r="G999" s="6" t="str">
        <f>IFERROR(__xludf.DUMMYFUNCTION("""COMPUTED_VALUE"""),"Никуда")</f>
        <v>Никуда</v>
      </c>
      <c r="H999" s="6" t="str">
        <f>IFERROR(__xludf.DUMMYFUNCTION("""COMPUTED_VALUE"""),"Уголь, музей, ")</f>
        <v>Уголь, музей, </v>
      </c>
      <c r="I999" s="6" t="str">
        <f>IFERROR(__xludf.DUMMYFUNCTION("""COMPUTED_VALUE"""),"Волошина Вера Данилова, Волков Михайло")</f>
        <v>Волошина Вера Данилова, Волков Михайло</v>
      </c>
      <c r="J999" s="6" t="str">
        <f>IFERROR(__xludf.DUMMYFUNCTION("""COMPUTED_VALUE"""),"Космонавт А.А. Леонов")</f>
        <v>Космонавт А.А. Леонов</v>
      </c>
      <c r="K999" s="6" t="str">
        <f>IFERROR(__xludf.DUMMYFUNCTION("""COMPUTED_VALUE"""),"Михайло Волков, парк Ангелов")</f>
        <v>Михайло Волков, парк Ангелов</v>
      </c>
      <c r="L999" s="6" t="str">
        <f>IFERROR(__xludf.DUMMYFUNCTION("""COMPUTED_VALUE"""),"Не знаю")</f>
        <v>Не знаю</v>
      </c>
      <c r="M999" s="6" t="str">
        <f>IFERROR(__xludf.DUMMYFUNCTION("""COMPUTED_VALUE"""),"Не знаю")</f>
        <v>Не знаю</v>
      </c>
      <c r="N999" s="6" t="str">
        <f>IFERROR(__xludf.DUMMYFUNCTION("""COMPUTED_VALUE"""),"Не знаю")</f>
        <v>Не знаю</v>
      </c>
      <c r="O999" s="6" t="str">
        <f>IFERROR(__xludf.DUMMYFUNCTION("""COMPUTED_VALUE"""),"Не знаю")</f>
        <v>Не знаю</v>
      </c>
      <c r="P999" s="6" t="str">
        <f>IFERROR(__xludf.DUMMYFUNCTION("""COMPUTED_VALUE"""),"Вк. Инстаграмм. ")</f>
        <v>Вк. Инстаграмм. </v>
      </c>
      <c r="Q999" s="6" t="str">
        <f>IFERROR(__xludf.DUMMYFUNCTION("""COMPUTED_VALUE"""),"криминальные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999" s="6" t="str">
        <f>IFERROR(__xludf.DUMMYFUNCTION("""COMPUTED_VALUE"""),"День города, день победы")</f>
        <v>День города, день победы</v>
      </c>
      <c r="S999" s="6" t="str">
        <f>IFERROR(__xludf.DUMMYFUNCTION("""COMPUTED_VALUE"""),"Нет, не приходилось")</f>
        <v>Нет, не приходилось</v>
      </c>
      <c r="T999" s="6" t="str">
        <f>IFERROR(__xludf.DUMMYFUNCTION("""COMPUTED_VALUE"""),"Достопримечательностями")</f>
        <v>Достопримечательностями</v>
      </c>
      <c r="U999" s="6" t="str">
        <f>IFERROR(__xludf.DUMMYFUNCTION("""COMPUTED_VALUE"""),"Не знаю")</f>
        <v>Не знаю</v>
      </c>
      <c r="V999" s="6" t="str">
        <f>IFERROR(__xludf.DUMMYFUNCTION("""COMPUTED_VALUE"""),"Открыли шахты, музеи, парки, улицы в их честь")</f>
        <v>Открыли шахты, музеи, парки, улицы в их честь</v>
      </c>
      <c r="W999" s="6" t="str">
        <f>IFERROR(__xludf.DUMMYFUNCTION("""COMPUTED_VALUE"""),"Не знаю")</f>
        <v>Не знаю</v>
      </c>
      <c r="X999" s="6" t="str">
        <f>IFERROR(__xludf.DUMMYFUNCTION("""COMPUTED_VALUE"""),"Пр. Ленина")</f>
        <v>Пр. Ленина</v>
      </c>
      <c r="Y999" s="6" t="str">
        <f>IFERROR(__xludf.DUMMYFUNCTION("""COMPUTED_VALUE"""),"Открытие Кузнецкого каменного угольного бассейна")</f>
        <v>Открытие Кузнецкого каменного угольного бассейна</v>
      </c>
      <c r="Z999" s="6" t="str">
        <f>IFERROR(__xludf.DUMMYFUNCTION("""COMPUTED_VALUE"""),"Не знаю")</f>
        <v>Не знаю</v>
      </c>
      <c r="AA999" s="6" t="str">
        <f>IFERROR(__xludf.DUMMYFUNCTION("""COMPUTED_VALUE"""),"Не знаю")</f>
        <v>Не знаю</v>
      </c>
      <c r="AB999" s="6" t="str">
        <f>IFERROR(__xludf.DUMMYFUNCTION("""COMPUTED_VALUE"""),"Не знаю")</f>
        <v>Не знаю</v>
      </c>
      <c r="AC999" s="6" t="str">
        <f>IFERROR(__xludf.DUMMYFUNCTION("""COMPUTED_VALUE"""),"Не знаю")</f>
        <v>Не знаю</v>
      </c>
      <c r="AD999"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999" s="6" t="str">
        <f>IFERROR(__xludf.DUMMYFUNCTION("""COMPUTED_VALUE"""),"Мужской")</f>
        <v>Мужской</v>
      </c>
      <c r="AF999" s="6" t="str">
        <f>IFERROR(__xludf.DUMMYFUNCTION("""COMPUTED_VALUE"""),"18-29")</f>
        <v>18-29</v>
      </c>
      <c r="AG999" s="6"/>
      <c r="AH999" s="6"/>
      <c r="AI999" s="6"/>
      <c r="AJ999" s="6"/>
      <c r="AK999" s="6"/>
      <c r="AL999" s="6"/>
      <c r="AM999" s="6"/>
    </row>
    <row r="1000">
      <c r="A1000" s="6">
        <v>999.0</v>
      </c>
      <c r="B1000" s="6" t="str">
        <f>IFERROR(__xludf.DUMMYFUNCTION("""COMPUTED_VALUE"""),"Учусь в колледже")</f>
        <v>Учусь в колледже</v>
      </c>
      <c r="C1000" s="6" t="str">
        <f>IFERROR(__xludf.DUMMYFUNCTION("""COMPUTED_VALUE"""),"Иногда гуляю на улице")</f>
        <v>Иногда гуляю на улице</v>
      </c>
      <c r="D1000" s="6" t="str">
        <f>IFERROR(__xludf.DUMMYFUNCTION("""COMPUTED_VALUE"""),"Цетральный район, цетр")</f>
        <v>Цетральный район, цетр</v>
      </c>
      <c r="E1000" s="6" t="str">
        <f>IFERROR(__xludf.DUMMYFUNCTION("""COMPUTED_VALUE"""),"Парк им. Веры Волошиной")</f>
        <v>Парк им. Веры Волошиной</v>
      </c>
      <c r="F1000" s="6" t="str">
        <f>IFERROR(__xludf.DUMMYFUNCTION("""COMPUTED_VALUE"""),"Переехал сюда из другого места (откуда? укажите в графе другое), Приехал из Анжеро-Судженска")</f>
        <v>Переехал сюда из другого места (откуда? укажите в графе другое), Приехал из Анжеро-Судженска</v>
      </c>
      <c r="G1000" s="6" t="str">
        <f>IFERROR(__xludf.DUMMYFUNCTION("""COMPUTED_VALUE"""),"Никуда")</f>
        <v>Никуда</v>
      </c>
      <c r="H1000" s="6" t="str">
        <f>IFERROR(__xludf.DUMMYFUNCTION("""COMPUTED_VALUE"""),"Уголь, музей, ")</f>
        <v>Уголь, музей, </v>
      </c>
      <c r="I1000" s="6" t="str">
        <f>IFERROR(__xludf.DUMMYFUNCTION("""COMPUTED_VALUE"""),"Волошина Вера Данилова, Волков Михайло")</f>
        <v>Волошина Вера Данилова, Волков Михайло</v>
      </c>
      <c r="J1000" s="6" t="str">
        <f>IFERROR(__xludf.DUMMYFUNCTION("""COMPUTED_VALUE"""),"Космонавт А.А. Леонов")</f>
        <v>Космонавт А.А. Леонов</v>
      </c>
      <c r="K1000" s="6" t="str">
        <f>IFERROR(__xludf.DUMMYFUNCTION("""COMPUTED_VALUE"""),"Михайло Волков, парк Ангелов")</f>
        <v>Михайло Волков, парк Ангелов</v>
      </c>
      <c r="L1000" s="6" t="str">
        <f>IFERROR(__xludf.DUMMYFUNCTION("""COMPUTED_VALUE"""),"Не знаю")</f>
        <v>Не знаю</v>
      </c>
      <c r="M1000" s="6" t="str">
        <f>IFERROR(__xludf.DUMMYFUNCTION("""COMPUTED_VALUE"""),"Не знаю")</f>
        <v>Не знаю</v>
      </c>
      <c r="N1000" s="6" t="str">
        <f>IFERROR(__xludf.DUMMYFUNCTION("""COMPUTED_VALUE"""),"Не знаю")</f>
        <v>Не знаю</v>
      </c>
      <c r="O1000" s="6" t="str">
        <f>IFERROR(__xludf.DUMMYFUNCTION("""COMPUTED_VALUE"""),"Не знаю")</f>
        <v>Не знаю</v>
      </c>
      <c r="P1000" s="6" t="str">
        <f>IFERROR(__xludf.DUMMYFUNCTION("""COMPUTED_VALUE"""),"Вк. Инстаграмм. ")</f>
        <v>Вк. Инстаграмм. </v>
      </c>
      <c r="Q1000" s="6" t="str">
        <f>IFERROR(__xludf.DUMMYFUNCTION("""COMPUTED_VALUE"""),"криминальные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000" s="6" t="str">
        <f>IFERROR(__xludf.DUMMYFUNCTION("""COMPUTED_VALUE"""),"День города, день победы")</f>
        <v>День города, день победы</v>
      </c>
      <c r="S1000" s="6" t="str">
        <f>IFERROR(__xludf.DUMMYFUNCTION("""COMPUTED_VALUE"""),"Нет, не приходилось")</f>
        <v>Нет, не приходилось</v>
      </c>
      <c r="T1000" s="6" t="str">
        <f>IFERROR(__xludf.DUMMYFUNCTION("""COMPUTED_VALUE"""),"Достопримечательностями")</f>
        <v>Достопримечательностями</v>
      </c>
      <c r="U1000" s="6" t="str">
        <f>IFERROR(__xludf.DUMMYFUNCTION("""COMPUTED_VALUE"""),"Не знаю")</f>
        <v>Не знаю</v>
      </c>
      <c r="V1000" s="6" t="str">
        <f>IFERROR(__xludf.DUMMYFUNCTION("""COMPUTED_VALUE"""),"Открыли шахты, музеи, парки, улицы в их честь")</f>
        <v>Открыли шахты, музеи, парки, улицы в их честь</v>
      </c>
      <c r="W1000" s="6" t="str">
        <f>IFERROR(__xludf.DUMMYFUNCTION("""COMPUTED_VALUE"""),"Не знаю")</f>
        <v>Не знаю</v>
      </c>
      <c r="X1000" s="6" t="str">
        <f>IFERROR(__xludf.DUMMYFUNCTION("""COMPUTED_VALUE"""),"Пр. Ленина")</f>
        <v>Пр. Ленина</v>
      </c>
      <c r="Y1000" s="6" t="str">
        <f>IFERROR(__xludf.DUMMYFUNCTION("""COMPUTED_VALUE"""),"Открытие Кузнецкого каменного угольного бассейна")</f>
        <v>Открытие Кузнецкого каменного угольного бассейна</v>
      </c>
      <c r="Z1000" s="6" t="str">
        <f>IFERROR(__xludf.DUMMYFUNCTION("""COMPUTED_VALUE"""),"Не знаю")</f>
        <v>Не знаю</v>
      </c>
      <c r="AA1000" s="6" t="str">
        <f>IFERROR(__xludf.DUMMYFUNCTION("""COMPUTED_VALUE"""),"Не знаю")</f>
        <v>Не знаю</v>
      </c>
      <c r="AB1000" s="6" t="str">
        <f>IFERROR(__xludf.DUMMYFUNCTION("""COMPUTED_VALUE"""),"Не знаю")</f>
        <v>Не знаю</v>
      </c>
      <c r="AC1000" s="6" t="str">
        <f>IFERROR(__xludf.DUMMYFUNCTION("""COMPUTED_VALUE"""),"Не знаю")</f>
        <v>Не знаю</v>
      </c>
      <c r="AD1000"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000" s="6" t="str">
        <f>IFERROR(__xludf.DUMMYFUNCTION("""COMPUTED_VALUE"""),"Мужской")</f>
        <v>Мужской</v>
      </c>
      <c r="AF1000" s="6" t="str">
        <f>IFERROR(__xludf.DUMMYFUNCTION("""COMPUTED_VALUE"""),"18-29")</f>
        <v>18-29</v>
      </c>
      <c r="AG1000" s="6"/>
      <c r="AH1000" s="6"/>
      <c r="AI1000" s="6"/>
      <c r="AJ1000" s="6"/>
      <c r="AK1000" s="6"/>
      <c r="AL1000" s="6"/>
      <c r="AM1000" s="6"/>
    </row>
    <row r="1001">
      <c r="A1001" s="6">
        <v>1000.0</v>
      </c>
      <c r="B1001" s="6" t="str">
        <f>IFERROR(__xludf.DUMMYFUNCTION("""COMPUTED_VALUE"""),"Студент")</f>
        <v>Студент</v>
      </c>
      <c r="C1001" s="6" t="str">
        <f>IFERROR(__xludf.DUMMYFUNCTION("""COMPUTED_VALUE"""),"Смотреть сериалы")</f>
        <v>Смотреть сериалы</v>
      </c>
      <c r="D1001" s="6" t="str">
        <f>IFERROR(__xludf.DUMMYFUNCTION("""COMPUTED_VALUE"""),"Рудничный")</f>
        <v>Рудничный</v>
      </c>
      <c r="E1001" s="6" t="str">
        <f>IFERROR(__xludf.DUMMYFUNCTION("""COMPUTED_VALUE"""),"Дк шахтеров")</f>
        <v>Дк шахтеров</v>
      </c>
      <c r="F1001" s="6" t="str">
        <f>IFERROR(__xludf.DUMMYFUNCTION("""COMPUTED_VALUE"""),"Живу здесь с рождения")</f>
        <v>Живу здесь с рождения</v>
      </c>
      <c r="G1001" s="6" t="str">
        <f>IFERROR(__xludf.DUMMYFUNCTION("""COMPUTED_VALUE"""),"Радуга")</f>
        <v>Радуга</v>
      </c>
      <c r="H1001" s="6" t="str">
        <f>IFERROR(__xludf.DUMMYFUNCTION("""COMPUTED_VALUE"""),"Грязь, быдло, горящая помойка, пробки")</f>
        <v>Грязь, быдло, горящая помойка, пробки</v>
      </c>
      <c r="I1001" s="6" t="str">
        <f>IFERROR(__xludf.DUMMYFUNCTION("""COMPUTED_VALUE"""),"Юрий Долгорукий")</f>
        <v>Юрий Долгорукий</v>
      </c>
      <c r="J1001" s="6" t="str">
        <f>IFERROR(__xludf.DUMMYFUNCTION("""COMPUTED_VALUE"""),"Елена Малышева, Владислав Рамм, Тулеев")</f>
        <v>Елена Малышева, Владислав Рамм, Тулеев</v>
      </c>
      <c r="K1001" s="6" t="str">
        <f>IFERROR(__xludf.DUMMYFUNCTION("""COMPUTED_VALUE"""),"Парк Ангелов")</f>
        <v>Парк Ангелов</v>
      </c>
      <c r="L1001" s="6" t="str">
        <f>IFERROR(__xludf.DUMMYFUNCTION("""COMPUTED_VALUE"""),"Никаких")</f>
        <v>Никаких</v>
      </c>
      <c r="M1001" s="6" t="str">
        <f>IFERROR(__xludf.DUMMYFUNCTION("""COMPUTED_VALUE"""),"Нет")</f>
        <v>Нет</v>
      </c>
      <c r="N1001" s="6" t="str">
        <f>IFERROR(__xludf.DUMMYFUNCTION("""COMPUTED_VALUE"""),"Чистый воздух")</f>
        <v>Чистый воздух</v>
      </c>
      <c r="O1001" s="6" t="str">
        <f>IFERROR(__xludf.DUMMYFUNCTION("""COMPUTED_VALUE"""),"Добавить больше транспорта")</f>
        <v>Добавить больше транспорта</v>
      </c>
      <c r="P1001" s="6" t="str">
        <f>IFERROR(__xludf.DUMMYFUNCTION("""COMPUTED_VALUE"""),"Вк")</f>
        <v>Вк</v>
      </c>
      <c r="Q1001" s="6" t="str">
        <f>IFERROR(__xludf.DUMMYFUNCTION("""COMPUTED_VALUE"""),"интервью с местными политиками, криминальные новости (происшествия/преступления), результаты местных исследований (рейтинги/аналитика/тенденции)")</f>
        <v>интервью с местными политиками, криминальные новости (происшествия/преступления), результаты местных исследований (рейтинги/аналитика/тенденции)</v>
      </c>
      <c r="R1001" s="6" t="str">
        <f>IFERROR(__xludf.DUMMYFUNCTION("""COMPUTED_VALUE"""),"Пасха, 7 октября")</f>
        <v>Пасха, 7 октября</v>
      </c>
      <c r="S1001" s="6" t="str">
        <f>IFERROR(__xludf.DUMMYFUNCTION("""COMPUTED_VALUE"""),"Нет, не приходилось")</f>
        <v>Нет, не приходилось</v>
      </c>
      <c r="T1001" s="6" t="str">
        <f>IFERROR(__xludf.DUMMYFUNCTION("""COMPUTED_VALUE"""),"25.03.2018   ")</f>
        <v>25.03.2018   </v>
      </c>
      <c r="U1001" s="6" t="str">
        <f>IFERROR(__xludf.DUMMYFUNCTION("""COMPUTED_VALUE"""),"Центр")</f>
        <v>Центр</v>
      </c>
      <c r="V1001" s="6" t="str">
        <f>IFERROR(__xludf.DUMMYFUNCTION("""COMPUTED_VALUE"""),"Ничего ")</f>
        <v>Ничего </v>
      </c>
      <c r="W1001" s="6" t="str">
        <f>IFERROR(__xludf.DUMMYFUNCTION("""COMPUTED_VALUE"""),"Никакие")</f>
        <v>Никакие</v>
      </c>
      <c r="X1001" s="6" t="str">
        <f>IFERROR(__xludf.DUMMYFUNCTION("""COMPUTED_VALUE"""),"Парк ангелов")</f>
        <v>Парк ангелов</v>
      </c>
      <c r="Y1001" s="6" t="str">
        <f>IFERROR(__xludf.DUMMYFUNCTION("""COMPUTED_VALUE"""),"Основание города")</f>
        <v>Основание города</v>
      </c>
      <c r="Z1001" s="6" t="str">
        <f>IFERROR(__xludf.DUMMYFUNCTION("""COMPUTED_VALUE"""),"Поставили самую богатую елку во всей России")</f>
        <v>Поставили самую богатую елку во всей России</v>
      </c>
      <c r="AA1001" s="6" t="str">
        <f>IFERROR(__xludf.DUMMYFUNCTION("""COMPUTED_VALUE"""),"Игнорирование полицией убийство девушки ")</f>
        <v>Игнорирование полицией убийство девушки </v>
      </c>
      <c r="AB1001" s="6" t="str">
        <f>IFERROR(__xludf.DUMMYFUNCTION("""COMPUTED_VALUE"""),"Никаких")</f>
        <v>Никаких</v>
      </c>
      <c r="AC1001" s="6" t="str">
        <f>IFERROR(__xludf.DUMMYFUNCTION("""COMPUTED_VALUE"""),"Судная ночь")</f>
        <v>Судная ночь</v>
      </c>
      <c r="AD100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001" s="6" t="str">
        <f>IFERROR(__xludf.DUMMYFUNCTION("""COMPUTED_VALUE"""),"Мужской")</f>
        <v>Мужской</v>
      </c>
      <c r="AF1001" s="6" t="str">
        <f>IFERROR(__xludf.DUMMYFUNCTION("""COMPUTED_VALUE"""),"30-44")</f>
        <v>30-44</v>
      </c>
      <c r="AG1001" s="6"/>
      <c r="AH1001" s="6"/>
      <c r="AI1001" s="6"/>
      <c r="AJ1001" s="6"/>
      <c r="AK1001" s="6"/>
      <c r="AL1001" s="6"/>
      <c r="AM1001" s="6"/>
    </row>
    <row r="1002">
      <c r="A1002" s="6">
        <v>1001.0</v>
      </c>
      <c r="B1002" s="6" t="str">
        <f>IFERROR(__xludf.DUMMYFUNCTION("""COMPUTED_VALUE"""),"Студент ")</f>
        <v>Студент </v>
      </c>
      <c r="C1002" s="6" t="str">
        <f>IFERROR(__xludf.DUMMYFUNCTION("""COMPUTED_VALUE"""),"Смотреть сериалы ")</f>
        <v>Смотреть сериалы </v>
      </c>
      <c r="D1002" s="6" t="str">
        <f>IFERROR(__xludf.DUMMYFUNCTION("""COMPUTED_VALUE"""),"Центральный район ")</f>
        <v>Центральный район </v>
      </c>
      <c r="E1002" s="6" t="str">
        <f>IFERROR(__xludf.DUMMYFUNCTION("""COMPUTED_VALUE"""),"Кинотеатр Юбилейный ")</f>
        <v>Кинотеатр Юбилейный </v>
      </c>
      <c r="F1002" s="6" t="str">
        <f>IFERROR(__xludf.DUMMYFUNCTION("""COMPUTED_VALUE"""),"Живу здесь с рождения")</f>
        <v>Живу здесь с рождения</v>
      </c>
      <c r="G1002" s="6" t="str">
        <f>IFERROR(__xludf.DUMMYFUNCTION("""COMPUTED_VALUE"""),"Юбилейный ")</f>
        <v>Юбилейный </v>
      </c>
      <c r="H1002" s="6" t="str">
        <f>IFERROR(__xludf.DUMMYFUNCTION("""COMPUTED_VALUE"""),"Грязь, пожар, плохие дороги, наркоманы, елка за 18 лямов. ")</f>
        <v>Грязь, пожар, плохие дороги, наркоманы, елка за 18 лямов. </v>
      </c>
      <c r="I1002" s="6" t="str">
        <f>IFERROR(__xludf.DUMMYFUNCTION("""COMPUTED_VALUE"""),"Юрий Долгорукий")</f>
        <v>Юрий Долгорукий</v>
      </c>
      <c r="J1002" s="6" t="str">
        <f>IFERROR(__xludf.DUMMYFUNCTION("""COMPUTED_VALUE"""),"Елена Малышева, Владислав Рамм, Тулеев")</f>
        <v>Елена Малышева, Владислав Рамм, Тулеев</v>
      </c>
      <c r="K1002" s="6" t="str">
        <f>IFERROR(__xludf.DUMMYFUNCTION("""COMPUTED_VALUE"""),"Парк Ангелов ")</f>
        <v>Парк Ангелов </v>
      </c>
      <c r="L1002" s="6" t="str">
        <f>IFERROR(__xludf.DUMMYFUNCTION("""COMPUTED_VALUE"""),"Никаких ")</f>
        <v>Никаких </v>
      </c>
      <c r="M1002" s="6" t="str">
        <f>IFERROR(__xludf.DUMMYFUNCTION("""COMPUTED_VALUE"""),"Нет")</f>
        <v>Нет</v>
      </c>
      <c r="N1002" s="6" t="str">
        <f>IFERROR(__xludf.DUMMYFUNCTION("""COMPUTED_VALUE"""),"Чистый воздух, чистый подъезд, ")</f>
        <v>Чистый воздух, чистый подъезд, </v>
      </c>
      <c r="O1002" s="6" t="str">
        <f>IFERROR(__xludf.DUMMYFUNCTION("""COMPUTED_VALUE"""),"Губернатора, больше общественного транспорта ")</f>
        <v>Губернатора, больше общественного транспорта </v>
      </c>
      <c r="P1002" s="6" t="str">
        <f>IFERROR(__xludf.DUMMYFUNCTION("""COMPUTED_VALUE"""),"Tik Tok, VK")</f>
        <v>Tik Tok, VK</v>
      </c>
      <c r="Q1002"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002" s="6" t="str">
        <f>IFERROR(__xludf.DUMMYFUNCTION("""COMPUTED_VALUE"""),"Пасха")</f>
        <v>Пасха</v>
      </c>
      <c r="S1002" s="6" t="str">
        <f>IFERROR(__xludf.DUMMYFUNCTION("""COMPUTED_VALUE"""),"Нет, не приходилось")</f>
        <v>Нет, не приходилось</v>
      </c>
      <c r="T1002" s="6" t="str">
        <f>IFERROR(__xludf.DUMMYFUNCTION("""COMPUTED_VALUE"""),"25.03.2018г. Елка за 18 лямов. ")</f>
        <v>25.03.2018г. Елка за 18 лямов. </v>
      </c>
      <c r="U1002" s="6" t="str">
        <f>IFERROR(__xludf.DUMMYFUNCTION("""COMPUTED_VALUE"""),"Центр")</f>
        <v>Центр</v>
      </c>
      <c r="V1002" s="6" t="str">
        <f>IFERROR(__xludf.DUMMYFUNCTION("""COMPUTED_VALUE"""),"Ничего ")</f>
        <v>Ничего </v>
      </c>
      <c r="W1002" s="6" t="str">
        <f>IFERROR(__xludf.DUMMYFUNCTION("""COMPUTED_VALUE"""),"Грустные")</f>
        <v>Грустные</v>
      </c>
      <c r="X1002" s="6" t="str">
        <f>IFERROR(__xludf.DUMMYFUNCTION("""COMPUTED_VALUE"""),"Центральное кладбище ")</f>
        <v>Центральное кладбище </v>
      </c>
      <c r="Y1002" s="6" t="str">
        <f>IFERROR(__xludf.DUMMYFUNCTION("""COMPUTED_VALUE"""),"Основание города ")</f>
        <v>Основание города </v>
      </c>
      <c r="Z1002" s="6" t="str">
        <f>IFERROR(__xludf.DUMMYFUNCTION("""COMPUTED_VALUE"""),"Поставили самую богатую ёлку во всей России ")</f>
        <v>Поставили самую богатую ёлку во всей России </v>
      </c>
      <c r="AA1002" s="6" t="str">
        <f>IFERROR(__xludf.DUMMYFUNCTION("""COMPUTED_VALUE"""),"Игнорирование и бездействие полиции убийства девушки")</f>
        <v>Игнорирование и бездействие полиции убийства девушки</v>
      </c>
      <c r="AB1002" s="6" t="str">
        <f>IFERROR(__xludf.DUMMYFUNCTION("""COMPUTED_VALUE"""),"Никаких ")</f>
        <v>Никаких </v>
      </c>
      <c r="AC1002" s="6" t="str">
        <f>IFERROR(__xludf.DUMMYFUNCTION("""COMPUTED_VALUE"""),"Судная ночь")</f>
        <v>Судная ночь</v>
      </c>
      <c r="AD100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002" s="6" t="str">
        <f>IFERROR(__xludf.DUMMYFUNCTION("""COMPUTED_VALUE"""),"Мужской")</f>
        <v>Мужской</v>
      </c>
      <c r="AF1002" s="6" t="str">
        <f>IFERROR(__xludf.DUMMYFUNCTION("""COMPUTED_VALUE"""),"18-29")</f>
        <v>18-29</v>
      </c>
      <c r="AG1002" s="6"/>
      <c r="AH1002" s="6"/>
      <c r="AI1002" s="6"/>
      <c r="AJ1002" s="6"/>
      <c r="AK1002" s="6"/>
      <c r="AL1002" s="6"/>
      <c r="AM1002" s="6"/>
    </row>
    <row r="1003">
      <c r="A1003" s="6">
        <v>1002.0</v>
      </c>
      <c r="B1003" s="6" t="str">
        <f>IFERROR(__xludf.DUMMYFUNCTION("""COMPUTED_VALUE"""),"Консультант")</f>
        <v>Консультант</v>
      </c>
      <c r="C1003" s="6" t="str">
        <f>IFERROR(__xludf.DUMMYFUNCTION("""COMPUTED_VALUE"""),"Путешествия")</f>
        <v>Путешествия</v>
      </c>
      <c r="D1003" s="6" t="str">
        <f>IFERROR(__xludf.DUMMYFUNCTION("""COMPUTED_VALUE"""),"Заводский, шахта Ягуновская, Ягуновка")</f>
        <v>Заводский, шахта Ягуновская, Ягуновка</v>
      </c>
      <c r="E1003" s="6" t="str">
        <f>IFERROR(__xludf.DUMMYFUNCTION("""COMPUTED_VALUE"""),"Жд вокзал")</f>
        <v>Жд вокзал</v>
      </c>
      <c r="F1003" s="6" t="str">
        <f>IFERROR(__xludf.DUMMYFUNCTION("""COMPUTED_VALUE"""),"Переехал сюда из другого места (откуда? укажите в графе другое), Берёзовский")</f>
        <v>Переехал сюда из другого места (откуда? укажите в графе другое), Берёзовский</v>
      </c>
      <c r="G1003" s="6" t="str">
        <f>IFERROR(__xludf.DUMMYFUNCTION("""COMPUTED_VALUE"""),"Никуда")</f>
        <v>Никуда</v>
      </c>
      <c r="H1003" s="6" t="str">
        <f>IFERROR(__xludf.DUMMYFUNCTION("""COMPUTED_VALUE"""),"Дым, грязь, ямы, мусор, серость")</f>
        <v>Дым, грязь, ямы, мусор, серость</v>
      </c>
      <c r="I1003" s="6" t="str">
        <f>IFERROR(__xludf.DUMMYFUNCTION("""COMPUTED_VALUE"""),"Нет")</f>
        <v>Нет</v>
      </c>
      <c r="J1003" s="6" t="str">
        <f>IFERROR(__xludf.DUMMYFUNCTION("""COMPUTED_VALUE"""),"Таких нет")</f>
        <v>Таких нет</v>
      </c>
      <c r="K1003" s="6" t="str">
        <f>IFERROR(__xludf.DUMMYFUNCTION("""COMPUTED_VALUE"""),"Площадь Советов, набережная, Памятник шахтёру, бульвар строителей, парк ангелов")</f>
        <v>Площадь Советов, набережная, Памятник шахтёру, бульвар строителей, парк ангелов</v>
      </c>
      <c r="L1003" s="6" t="str">
        <f>IFERROR(__xludf.DUMMYFUNCTION("""COMPUTED_VALUE"""),"В России две проблемы...")</f>
        <v>В России две проблемы...</v>
      </c>
      <c r="M1003" s="6" t="str">
        <f>IFERROR(__xludf.DUMMYFUNCTION("""COMPUTED_VALUE"""),"Мультифора")</f>
        <v>Мультифора</v>
      </c>
      <c r="N1003" s="6" t="str">
        <f>IFERROR(__xludf.DUMMYFUNCTION("""COMPUTED_VALUE"""),"Экология, чистота, профессионально сделанная инфраструктура, наличие зон отдыха, эффективность работы органов местного самоуправления")</f>
        <v>Экология, чистота, профессионально сделанная инфраструктура, наличие зон отдыха, эффективность работы органов местного самоуправления</v>
      </c>
      <c r="O1003" s="6" t="str">
        <f>IFERROR(__xludf.DUMMYFUNCTION("""COMPUTED_VALUE"""),"Людей. Заставить их работать, а не заниматься имитацией бурной деятельности")</f>
        <v>Людей. Заставить их работать, а не заниматься имитацией бурной деятельности</v>
      </c>
      <c r="P1003" s="6" t="str">
        <f>IFERROR(__xludf.DUMMYFUNCTION("""COMPUTED_VALUE"""),"В основном Яндекс. ")</f>
        <v>В основном Яндекс. </v>
      </c>
      <c r="Q1003"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Работа органов местного самоуправления и госвласти")</f>
        <v>бизнес-новости (средний чек/рекламные акции/запуск новых предприятий), результаты местных исследований (рейтинги/аналитика/тенденции), Работа органов местного самоуправления и госвласти</v>
      </c>
      <c r="R1003" s="6" t="str">
        <f>IFERROR(__xludf.DUMMYFUNCTION("""COMPUTED_VALUE"""),"Нет ответа")</f>
        <v>Нет ответа</v>
      </c>
      <c r="S1003" s="6" t="str">
        <f>IFERROR(__xludf.DUMMYFUNCTION("""COMPUTED_VALUE"""),"Нет, не приходилось")</f>
        <v>Нет, не приходилось</v>
      </c>
      <c r="T1003" s="6" t="str">
        <f>IFERROR(__xludf.DUMMYFUNCTION("""COMPUTED_VALUE"""),"Про Кемерово мало кто знает")</f>
        <v>Про Кемерово мало кто знает</v>
      </c>
      <c r="U1003" s="6" t="str">
        <f>IFERROR(__xludf.DUMMYFUNCTION("""COMPUTED_VALUE"""),"Площадь Советов")</f>
        <v>Площадь Советов</v>
      </c>
      <c r="V1003" s="6" t="str">
        <f>IFERROR(__xludf.DUMMYFUNCTION("""COMPUTED_VALUE"""),"Практически ничего")</f>
        <v>Практически ничего</v>
      </c>
      <c r="W1003" s="6" t="str">
        <f>IFERROR(__xludf.DUMMYFUNCTION("""COMPUTED_VALUE"""),"Разные. Обычные сибиряки")</f>
        <v>Разные. Обычные сибиряки</v>
      </c>
      <c r="X1003" s="6" t="str">
        <f>IFERROR(__xludf.DUMMYFUNCTION("""COMPUTED_VALUE"""),"Советский и набережная")</f>
        <v>Советский и набережная</v>
      </c>
      <c r="Y1003" s="6" t="str">
        <f>IFERROR(__xludf.DUMMYFUNCTION("""COMPUTED_VALUE"""),"Никакого")</f>
        <v>Никакого</v>
      </c>
      <c r="Z1003" s="6" t="str">
        <f>IFERROR(__xludf.DUMMYFUNCTION("""COMPUTED_VALUE"""),"Строительство кадетского корпуса")</f>
        <v>Строительство кадетского корпуса</v>
      </c>
      <c r="AA1003" s="6" t="str">
        <f>IFERROR(__xludf.DUMMYFUNCTION("""COMPUTED_VALUE"""),"Снижающаяся компетенция органов местного самоуправления. Тотальный непрофессионализм и неспособность решить простые вопросы.")</f>
        <v>Снижающаяся компетенция органов местного самоуправления. Тотальный непрофессионализм и неспособность решить простые вопросы.</v>
      </c>
      <c r="AB1003" s="6" t="str">
        <f>IFERROR(__xludf.DUMMYFUNCTION("""COMPUTED_VALUE"""),"Нет ответа")</f>
        <v>Нет ответа</v>
      </c>
      <c r="AC1003" s="6" t="str">
        <f>IFERROR(__xludf.DUMMYFUNCTION("""COMPUTED_VALUE"""),"Дать возможность (и площадку) людям, которые могут создавать группы по интересам и пусть сами решают")</f>
        <v>Дать возможность (и площадку) людям, которые могут создавать группы по интересам и пусть сами решают</v>
      </c>
      <c r="AD100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Запустить сво"&amp;"й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003" s="6" t="str">
        <f>IFERROR(__xludf.DUMMYFUNCTION("""COMPUTED_VALUE"""),"Мужской")</f>
        <v>Мужской</v>
      </c>
      <c r="AF1003" s="6" t="str">
        <f>IFERROR(__xludf.DUMMYFUNCTION("""COMPUTED_VALUE"""),"30-44")</f>
        <v>30-44</v>
      </c>
      <c r="AG1003" s="6"/>
      <c r="AH1003" s="6"/>
      <c r="AI1003" s="6"/>
      <c r="AJ1003" s="6"/>
      <c r="AK1003" s="6"/>
      <c r="AL1003" s="6"/>
      <c r="AM1003" s="6"/>
    </row>
    <row r="1004">
      <c r="A1004" s="6">
        <v>1003.0</v>
      </c>
      <c r="B1004" s="6" t="str">
        <f>IFERROR(__xludf.DUMMYFUNCTION("""COMPUTED_VALUE"""),"Сфера ИТ")</f>
        <v>Сфера ИТ</v>
      </c>
      <c r="C1004" s="6" t="str">
        <f>IFERROR(__xludf.DUMMYFUNCTION("""COMPUTED_VALUE"""),"Фотография")</f>
        <v>Фотография</v>
      </c>
      <c r="D1004" s="6" t="str">
        <f>IFERROR(__xludf.DUMMYFUNCTION("""COMPUTED_VALUE"""),"Ленинский")</f>
        <v>Ленинский</v>
      </c>
      <c r="E1004" s="6" t="str">
        <f>IFERROR(__xludf.DUMMYFUNCTION("""COMPUTED_VALUE"""),"Бульвар строителей")</f>
        <v>Бульвар строителей</v>
      </c>
      <c r="F1004" s="6" t="str">
        <f>IFERROR(__xludf.DUMMYFUNCTION("""COMPUTED_VALUE"""),"Живу здесь с рождения")</f>
        <v>Живу здесь с рождения</v>
      </c>
      <c r="G1004" s="6" t="str">
        <f>IFERROR(__xludf.DUMMYFUNCTION("""COMPUTED_VALUE"""),"Набережная, Бульвар строителей, Сосновый бор.")</f>
        <v>Набережная, Бульвар строителей, Сосновый бор.</v>
      </c>
      <c r="H1004" s="6" t="str">
        <f>IFERROR(__xludf.DUMMYFUNCTION("""COMPUTED_VALUE"""),"кузбасс, уголь, улица весенняя, красная горка, бор")</f>
        <v>кузбасс, уголь, улица весенняя, красная горка, бор</v>
      </c>
      <c r="I1004" s="6" t="str">
        <f>IFERROR(__xludf.DUMMYFUNCTION("""COMPUTED_VALUE"""),"Волков")</f>
        <v>Волков</v>
      </c>
      <c r="J1004" s="6" t="str">
        <f>IFERROR(__xludf.DUMMYFUNCTION("""COMPUTED_VALUE"""),"Михайлов")</f>
        <v>Михайлов</v>
      </c>
      <c r="K1004" s="6" t="str">
        <f>IFERROR(__xludf.DUMMYFUNCTION("""COMPUTED_VALUE"""),"Бульвар строителей, набережная, сосновый бор")</f>
        <v>Бульвар строителей, набережная, сосновый бор</v>
      </c>
      <c r="L1004" s="6" t="str">
        <f>IFERROR(__xludf.DUMMYFUNCTION("""COMPUTED_VALUE"""),"Не знаю")</f>
        <v>Не знаю</v>
      </c>
      <c r="M1004" s="6" t="str">
        <f>IFERROR(__xludf.DUMMYFUNCTION("""COMPUTED_VALUE"""),"Нет")</f>
        <v>Нет</v>
      </c>
      <c r="N1004" s="6" t="str">
        <f>IFERROR(__xludf.DUMMYFUNCTION("""COMPUTED_VALUE"""),"хорошие широкие тротуары, на перекрестках спуск для велосипеда или коляски. Из дворов выход не по дороге,  нормальные велодорожки.")</f>
        <v>хорошие широкие тротуары, на перекрестках спуск для велосипеда или коляски. Из дворов выход не по дороге,  нормальные велодорожки.</v>
      </c>
      <c r="O1004" s="6" t="str">
        <f>IFERROR(__xludf.DUMMYFUNCTION("""COMPUTED_VALUE"""),"Тротуары в дворовой территории, приходится  выходить с детьми по дороге с машинами либо по грязи.")</f>
        <v>Тротуары в дворовой территории, приходится  выходить с детьми по дороге с машинами либо по грязи.</v>
      </c>
      <c r="P1004" s="6" t="str">
        <f>IFERROR(__xludf.DUMMYFUNCTION("""COMPUTED_VALUE"""),"VK типичный Кемерово, приложение Кузбасс Онлайн")</f>
        <v>VK типичный Кемерово, приложение Кузбасс Онлайн</v>
      </c>
      <c r="Q1004"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новости про новые профессии/куда поступать/вакансии, бизнес-новос"&amp;"ти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004" s="6" t="str">
        <f>IFERROR(__xludf.DUMMYFUNCTION("""COMPUTED_VALUE"""),"День города")</f>
        <v>День города</v>
      </c>
      <c r="S1004" s="6" t="str">
        <f>IFERROR(__xludf.DUMMYFUNCTION("""COMPUTED_VALUE"""),"Нет, не приходилось")</f>
        <v>Нет, не приходилось</v>
      </c>
      <c r="T1004" s="6" t="str">
        <f>IFERROR(__xludf.DUMMYFUNCTION("""COMPUTED_VALUE"""),"Сосновый бор")</f>
        <v>Сосновый бор</v>
      </c>
      <c r="U1004" s="6" t="str">
        <f>IFERROR(__xludf.DUMMYFUNCTION("""COMPUTED_VALUE"""),"Набережная")</f>
        <v>Набережная</v>
      </c>
      <c r="V1004" s="6" t="str">
        <f>IFERROR(__xludf.DUMMYFUNCTION("""COMPUTED_VALUE"""),"Не знаю")</f>
        <v>Не знаю</v>
      </c>
      <c r="W1004" s="6" t="str">
        <f>IFERROR(__xludf.DUMMYFUNCTION("""COMPUTED_VALUE"""),"Обычные люди")</f>
        <v>Обычные люди</v>
      </c>
      <c r="X1004" s="6" t="str">
        <f>IFERROR(__xludf.DUMMYFUNCTION("""COMPUTED_VALUE"""),"Набережная - филармония - администрация - советский - весенняя")</f>
        <v>Набережная - филармония - администрация - советский - весенняя</v>
      </c>
      <c r="Y1004" s="6" t="str">
        <f>IFERROR(__xludf.DUMMYFUNCTION("""COMPUTED_VALUE"""),"Нет")</f>
        <v>Нет</v>
      </c>
      <c r="Z1004" s="6" t="str">
        <f>IFERROR(__xludf.DUMMYFUNCTION("""COMPUTED_VALUE"""),"Реконструкция Бульвара строителей, появилось много спусков на тратуарах в центре города для велосипедистов.")</f>
        <v>Реконструкция Бульвара строителей, появилось много спусков на тратуарах в центре города для велосипедистов.</v>
      </c>
      <c r="AA1004" s="6" t="str">
        <f>IFERROR(__xludf.DUMMYFUNCTION("""COMPUTED_VALUE"""),"Зимняя вишня, не понятное с Лазурным, запрет на строительство Аквапарка.")</f>
        <v>Зимняя вишня, не понятное с Лазурным, запрет на строительство Аквапарка.</v>
      </c>
      <c r="AB1004" s="6" t="str">
        <f>IFERROR(__xludf.DUMMYFUNCTION("""COMPUTED_VALUE"""),"Не знаю")</f>
        <v>Не знаю</v>
      </c>
      <c r="AC1004" s="6" t="str">
        <f>IFERROR(__xludf.DUMMYFUNCTION("""COMPUTED_VALUE"""),"Нужны нормальные дороги к местам отдыха на реке хорошие.")</f>
        <v>Нужны нормальные дороги к местам отдыха на реке хорошие.</v>
      </c>
      <c r="AD1004"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04" s="6" t="str">
        <f>IFERROR(__xludf.DUMMYFUNCTION("""COMPUTED_VALUE"""),"Мужской")</f>
        <v>Мужской</v>
      </c>
      <c r="AF1004" s="6" t="str">
        <f>IFERROR(__xludf.DUMMYFUNCTION("""COMPUTED_VALUE"""),"30-44")</f>
        <v>30-44</v>
      </c>
      <c r="AG1004" s="6"/>
      <c r="AH1004" s="6"/>
      <c r="AI1004" s="6"/>
      <c r="AJ1004" s="6"/>
      <c r="AK1004" s="6"/>
      <c r="AL1004" s="6"/>
      <c r="AM1004" s="6"/>
    </row>
    <row r="1005">
      <c r="A1005" s="6">
        <v>1004.0</v>
      </c>
      <c r="B1005" s="6" t="str">
        <f>IFERROR(__xludf.DUMMYFUNCTION("""COMPUTED_VALUE"""),"Видеомейкер")</f>
        <v>Видеомейкер</v>
      </c>
      <c r="C1005" s="6" t="str">
        <f>IFERROR(__xludf.DUMMYFUNCTION("""COMPUTED_VALUE"""),"Съёмка и монтаж видео")</f>
        <v>Съёмка и монтаж видео</v>
      </c>
      <c r="D1005" s="6" t="str">
        <f>IFERROR(__xludf.DUMMYFUNCTION("""COMPUTED_VALUE"""),"Рудничный")</f>
        <v>Рудничный</v>
      </c>
      <c r="E1005" s="6" t="str">
        <f>IFERROR(__xludf.DUMMYFUNCTION("""COMPUTED_VALUE"""),"Пустырь за паркингом (за шахтёров, 76) и классный лес за ул. Серебряный бор.")</f>
        <v>Пустырь за паркингом (за шахтёров, 76) и классный лес за ул. Серебряный бор.</v>
      </c>
      <c r="F1005" s="6" t="str">
        <f>IFERROR(__xludf.DUMMYFUNCTION("""COMPUTED_VALUE"""),"Живу здесь с рождения")</f>
        <v>Живу здесь с рождения</v>
      </c>
      <c r="G1005" s="6" t="str">
        <f>IFERROR(__xludf.DUMMYFUNCTION("""COMPUTED_VALUE"""),"Пустырь за паркингом (за шахтёров, 76) и классный лес за ул. Серебряный бор.")</f>
        <v>Пустырь за паркингом (за шахтёров, 76) и классный лес за ул. Серебряный бор.</v>
      </c>
      <c r="H1005" s="6" t="str">
        <f>IFERROR(__xludf.DUMMYFUNCTION("""COMPUTED_VALUE"""),"Грязные тротуары, пыль, но хорошие дороги для авто. ")</f>
        <v>Грязные тротуары, пыль, но хорошие дороги для авто. </v>
      </c>
      <c r="I1005" s="6" t="str">
        <f>IFERROR(__xludf.DUMMYFUNCTION("""COMPUTED_VALUE"""),"Михайло Волков")</f>
        <v>Михайло Волков</v>
      </c>
      <c r="J1005" s="6" t="str">
        <f>IFERROR(__xludf.DUMMYFUNCTION("""COMPUTED_VALUE"""),"Не знаю, по-моему  здесь каждый сам для себя.")</f>
        <v>Не знаю, по-моему  здесь каждый сам для себя.</v>
      </c>
      <c r="K1005" s="6" t="str">
        <f>IFERROR(__xludf.DUMMYFUNCTION("""COMPUTED_VALUE"""),"Гостей из других городов мы возим гулять только в Лесную Поляну. ")</f>
        <v>Гостей из других городов мы возим гулять только в Лесную Поляну. </v>
      </c>
      <c r="L1005" s="6" t="str">
        <f>IFERROR(__xludf.DUMMYFUNCTION("""COMPUTED_VALUE"""),"Не знаю таких")</f>
        <v>Не знаю таких</v>
      </c>
      <c r="M1005" s="6" t="str">
        <f>IFERROR(__xludf.DUMMYFUNCTION("""COMPUTED_VALUE"""),"""Чо к чему"" - не говорят нигде,  кроме как в Кузбассе")</f>
        <v>"Чо к чему" - не говорят нигде,  кроме как в Кузбассе</v>
      </c>
      <c r="N1005" s="6" t="str">
        <f>IFERROR(__xludf.DUMMYFUNCTION("""COMPUTED_VALUE"""),"Освободить тротуары от грязи и пыли, особенно после зимы. И согласовать их между собой,  т.е. от одного дома к другому.  Чтобы людям, особенно пожилым,  особенно с детьми, не скакать по земле или дороге, а идти прямо. Это больная тема для всего Рудничного"&amp;" района, где каждый дом проектировал свой тротуар, не согласовывая его с соседними.")</f>
        <v>Освободить тротуары от грязи и пыли, особенно после зимы. И согласовать их между собой,  т.е. от одного дома к другому.  Чтобы людям, особенно пожилым,  особенно с детьми, не скакать по земле или дороге, а идти прямо. Это больная тема для всего Рудничного района, где каждый дом проектировал свой тротуар, не согласовывая его с соседними.</v>
      </c>
      <c r="O1005" s="6" t="str">
        <f>IFERROR(__xludf.DUMMYFUNCTION("""COMPUTED_VALUE"""),"Изменить отношение властей города к пыли и грязи. Это первое, что заставляет задуматься о переезде.")</f>
        <v>Изменить отношение властей города к пыли и грязи. Это первое, что заставляет задуматься о переезде.</v>
      </c>
      <c r="P1005" s="6" t="str">
        <f>IFERROR(__xludf.DUMMYFUNCTION("""COMPUTED_VALUE"""),"Инстаграм, ВК")</f>
        <v>Инстаграм, ВК</v>
      </c>
      <c r="Q1005" s="6" t="str">
        <f>IFERROR(__xludf.DUMMYFUNCTION("""COMPUTED_VALUE"""),"городская афиша (кино/театр/концерты)")</f>
        <v>городская афиша (кино/театр/концерты)</v>
      </c>
      <c r="R1005" s="6" t="str">
        <f>IFERROR(__xludf.DUMMYFUNCTION("""COMPUTED_VALUE"""),"День города и день шахтёра")</f>
        <v>День города и день шахтёра</v>
      </c>
      <c r="S1005" s="6" t="str">
        <f>IFERROR(__xludf.DUMMYFUNCTION("""COMPUTED_VALUE"""),"Нет, не приходилось")</f>
        <v>Нет, не приходилось</v>
      </c>
      <c r="T1005" s="6" t="str">
        <f>IFERROR(__xludf.DUMMYFUNCTION("""COMPUTED_VALUE"""),"Уникально наличие лесных массивов в городе на правом берегу. ")</f>
        <v>Уникально наличие лесных массивов в городе на правом берегу. </v>
      </c>
      <c r="U1005" s="6" t="str">
        <f>IFERROR(__xludf.DUMMYFUNCTION("""COMPUTED_VALUE"""),"Набережная реки Томь ")</f>
        <v>Набережная реки Томь </v>
      </c>
      <c r="V1005" s="6" t="str">
        <f>IFERROR(__xludf.DUMMYFUNCTION("""COMPUTED_VALUE"""),"Думаю, ничего. Не знаю никого, кто бы гордился Кемерово ")</f>
        <v>Думаю, ничего. Не знаю никого, кто бы гордился Кемерово </v>
      </c>
      <c r="W1005" s="6" t="str">
        <f>IFERROR(__xludf.DUMMYFUNCTION("""COMPUTED_VALUE"""),"Я не могу написать ничего позитивного.")</f>
        <v>Я не могу написать ничего позитивного.</v>
      </c>
      <c r="X1005" s="6" t="str">
        <f>IFERROR(__xludf.DUMMYFUNCTION("""COMPUTED_VALUE"""),"В Лесную Поляну. Там грязь с тротуаров и проезжей части убирают до того, как люди ею надышатся.")</f>
        <v>В Лесную Поляну. Там грязь с тротуаров и проезжей части убирают до того, как люди ею надышатся.</v>
      </c>
      <c r="Y1005" s="6" t="str">
        <f>IFERROR(__xludf.DUMMYFUNCTION("""COMPUTED_VALUE"""),"Ну если бы к нам привезли спектакли театра Современник, то это было бы оно, значимое культурное событие.")</f>
        <v>Ну если бы к нам привезли спектакли театра Современник, то это было бы оно, значимое культурное событие.</v>
      </c>
      <c r="Z1005" s="6" t="str">
        <f>IFERROR(__xludf.DUMMYFUNCTION("""COMPUTED_VALUE"""),"Никаких ")</f>
        <v>Никаких </v>
      </c>
      <c r="AA1005" s="6" t="str">
        <f>IFERROR(__xludf.DUMMYFUNCTION("""COMPUTED_VALUE"""),"Бесят митинги в честь Навального.")</f>
        <v>Бесят митинги в честь Навального.</v>
      </c>
      <c r="AB1005" s="6" t="str">
        <f>IFERROR(__xludf.DUMMYFUNCTION("""COMPUTED_VALUE"""),"Сообщества собаководов. В городе килотонны собачьих экскрементов. Люди где живут, там и гадят.")</f>
        <v>Сообщества собаководов. В городе килотонны собачьих экскрементов. Люди где живут, там и гадят.</v>
      </c>
      <c r="AC1005" s="6" t="str">
        <f>IFERROR(__xludf.DUMMYFUNCTION("""COMPUTED_VALUE"""),"События по уборке города от снега, мусора и грязи. ")</f>
        <v>События по уборке города от снега, мусора и грязи. </v>
      </c>
      <c r="AD1005" s="6" t="str">
        <f>IFERROR(__xludf.DUMMYFUNCTION("""COMPUTED_VALUE"""),"У меня тихая мечта работать проектировщиком тротуаров. Потому что в нашем городе они сделаны не для людей, особенно в Рудничном районе. От дома к дому они не стыкуются. Людям приходится идти либо по земле, либо по дороге.")</f>
        <v>У меня тихая мечта работать проектировщиком тротуаров. Потому что в нашем городе они сделаны не для людей, особенно в Рудничном районе. От дома к дому они не стыкуются. Людям приходится идти либо по земле, либо по дороге.</v>
      </c>
      <c r="AE1005" s="6" t="str">
        <f>IFERROR(__xludf.DUMMYFUNCTION("""COMPUTED_VALUE"""),"Женский")</f>
        <v>Женский</v>
      </c>
      <c r="AF1005" s="6" t="str">
        <f>IFERROR(__xludf.DUMMYFUNCTION("""COMPUTED_VALUE"""),"30-44")</f>
        <v>30-44</v>
      </c>
      <c r="AG1005" s="6"/>
      <c r="AH1005" s="6"/>
      <c r="AI1005" s="6"/>
      <c r="AJ1005" s="6"/>
      <c r="AK1005" s="6"/>
      <c r="AL1005" s="6"/>
      <c r="AM1005" s="6"/>
    </row>
    <row r="1006">
      <c r="A1006" s="6">
        <v>1005.0</v>
      </c>
      <c r="B1006" s="6" t="str">
        <f>IFERROR(__xludf.DUMMYFUNCTION("""COMPUTED_VALUE"""),"Работаю в АйТи компании")</f>
        <v>Работаю в АйТи компании</v>
      </c>
      <c r="C1006" s="6" t="str">
        <f>IFERROR(__xludf.DUMMYFUNCTION("""COMPUTED_VALUE"""),"Лыжные Гонки, Трэйлраннинг")</f>
        <v>Лыжные Гонки, Трэйлраннинг</v>
      </c>
      <c r="D1006" s="6" t="str">
        <f>IFERROR(__xludf.DUMMYFUNCTION("""COMPUTED_VALUE"""),"Заводском. Район Ночных Бабочек")</f>
        <v>Заводском. Район Ночных Бабочек</v>
      </c>
      <c r="E1006" s="6" t="str">
        <f>IFERROR(__xludf.DUMMYFUNCTION("""COMPUTED_VALUE"""),"Старый Аэропорт. Парк Ангелов. Автотрэк Росто.")</f>
        <v>Старый Аэропорт. Парк Ангелов. Автотрэк Росто.</v>
      </c>
      <c r="F1006" s="6" t="str">
        <f>IFERROR(__xludf.DUMMYFUNCTION("""COMPUTED_VALUE"""),"Живу здесь с рождения")</f>
        <v>Живу здесь с рождения</v>
      </c>
      <c r="G1006" s="6" t="str">
        <f>IFERROR(__xludf.DUMMYFUNCTION("""COMPUTED_VALUE"""),"Сосновый бор. Набережная. Комсомольский парк. ТЦ")</f>
        <v>Сосновый бор. Набережная. Комсомольский парк. ТЦ</v>
      </c>
      <c r="H1006" s="6" t="str">
        <f>IFERROR(__xludf.DUMMYFUNCTION("""COMPUTED_VALUE"""),"Экология. Тупик. Догоровизна. Мэрия. Тулееев")</f>
        <v>Экология. Тупик. Догоровизна. Мэрия. Тулееев</v>
      </c>
      <c r="I1006" s="6" t="str">
        <f>IFERROR(__xludf.DUMMYFUNCTION("""COMPUTED_VALUE"""),"Вера Волошина, Михаил Волков")</f>
        <v>Вера Волошина, Михаил Волков</v>
      </c>
      <c r="J1006" s="6" t="str">
        <f>IFERROR(__xludf.DUMMYFUNCTION("""COMPUTED_VALUE"""),"Гришковец, Арбачаков")</f>
        <v>Гришковец, Арбачаков</v>
      </c>
      <c r="K1006" s="6" t="str">
        <f>IFERROR(__xludf.DUMMYFUNCTION("""COMPUTED_VALUE"""),"Никуда")</f>
        <v>Никуда</v>
      </c>
      <c r="L1006" s="6" t="str">
        <f>IFERROR(__xludf.DUMMYFUNCTION("""COMPUTED_VALUE"""),"не знаю таких")</f>
        <v>не знаю таких</v>
      </c>
      <c r="M1006" s="6" t="str">
        <f>IFERROR(__xludf.DUMMYFUNCTION("""COMPUTED_VALUE"""),"Деньги есть, а если найду?)) (для кировского района акутально по сей день)")</f>
        <v>Деньги есть, а если найду?)) (для кировского района акутально по сей день)</v>
      </c>
      <c r="N1006" s="6" t="str">
        <f>IFERROR(__xludf.DUMMYFUNCTION("""COMPUTED_VALUE"""),"Экология. Доступные цены на жилье. Развитая инфраструктура (парки, ТЦ, кинотеатры, спортплощадки тд). Индексация ЗП. Заинтересованная администрация в развитие города")</f>
        <v>Экология. Доступные цены на жилье. Развитая инфраструктура (парки, ТЦ, кинотеатры, спортплощадки тд). Индексация ЗП. Заинтересованная администрация в развитие города</v>
      </c>
      <c r="O1006" s="6" t="str">
        <f>IFERROR(__xludf.DUMMYFUNCTION("""COMPUTED_VALUE"""),"Главу области")</f>
        <v>Главу области</v>
      </c>
      <c r="P1006" s="6" t="str">
        <f>IFERROR(__xludf.DUMMYFUNCTION("""COMPUTED_VALUE"""),"А-42. Регион-42. Различные другие СМИ как телевезионные так и интернет ресурс")</f>
        <v>А-42. Регион-42. Различные другие СМИ как телевезионные так и интернет ресурс</v>
      </c>
      <c r="Q1006" s="6" t="str">
        <f>IFERROR(__xludf.DUMMYFUNCTION("""COMPUTED_VALUE"""),"куда пойти в свободное время, культурные новинки (что почитать/что послушать), бизнес-новости (средний чек/рекламные акции/запуск новых предприятий)")</f>
        <v>куда пойти в свободное время, культурные новинки (что почитать/что послушать), бизнес-новости (средний чек/рекламные акции/запуск новых предприятий)</v>
      </c>
      <c r="R1006" s="6" t="str">
        <f>IFERROR(__xludf.DUMMYFUNCTION("""COMPUTED_VALUE"""),"День города. День молодежи")</f>
        <v>День города. День молодежи</v>
      </c>
      <c r="S1006" s="6" t="str">
        <f>IFERROR(__xludf.DUMMYFUNCTION("""COMPUTED_VALUE"""),"Нет, не приходилось")</f>
        <v>Нет, не приходилось</v>
      </c>
      <c r="T1006" s="6" t="str">
        <f>IFERROR(__xludf.DUMMYFUNCTION("""COMPUTED_VALUE"""),"Своими дорогими ценами. Отвратной экологией. ")</f>
        <v>Своими дорогими ценами. Отвратной экологией. </v>
      </c>
      <c r="U1006" s="6" t="str">
        <f>IFERROR(__xludf.DUMMYFUNCTION("""COMPUTED_VALUE"""),"Парк Ангелов. Красная Горка")</f>
        <v>Парк Ангелов. Красная Горка</v>
      </c>
      <c r="V1006" s="6" t="str">
        <f>IFERROR(__xludf.DUMMYFUNCTION("""COMPUTED_VALUE"""),"Михайлов Владимир Васильевич единственный Мэр с которого началось строительство и поддержание дорог. Чистка города от мусора. Развите города в целом")</f>
        <v>Михайлов Владимир Васильевич единственный Мэр с которого началось строительство и поддержание дорог. Чистка города от мусора. Развите города в целом</v>
      </c>
      <c r="W1006" s="6" t="str">
        <f>IFERROR(__xludf.DUMMYFUNCTION("""COMPUTED_VALUE"""),"Терпилы.")</f>
        <v>Терпилы.</v>
      </c>
      <c r="X1006" s="6" t="str">
        <f>IFERROR(__xludf.DUMMYFUNCTION("""COMPUTED_VALUE"""),"Центр-Набережная")</f>
        <v>Центр-Набережная</v>
      </c>
      <c r="Y1006" s="6" t="str">
        <f>IFERROR(__xludf.DUMMYFUNCTION("""COMPUTED_VALUE"""),"не знаю")</f>
        <v>не знаю</v>
      </c>
      <c r="Z1006" s="6" t="str">
        <f>IFERROR(__xludf.DUMMYFUNCTION("""COMPUTED_VALUE"""),"не было таких")</f>
        <v>не было таких</v>
      </c>
      <c r="AA1006" s="6" t="str">
        <f>IFERROR(__xludf.DUMMYFUNCTION("""COMPUTED_VALUE"""),"Закрытие городского бассейна. Строительство на мой взгляд не тех сооружений в которых жители города нуждались (ются) в данное вермя. Полная дискриминация спорта (закрылся корт большого тенниса, лыжные гонки в упадке), нет ни площадок ни самого спорта. Рос"&amp;"т цен на жилье, продукты, комуналку в какойто геометрической прогрессии")</f>
        <v>Закрытие городского бассейна. Строительство на мой взгляд не тех сооружений в которых жители города нуждались (ются) в данное вермя. Полная дискриминация спорта (закрылся корт большого тенниса, лыжные гонки в упадке), нет ни площадок ни самого спорта. Рост цен на жилье, продукты, комуналку в какойто геометрической прогрессии</v>
      </c>
      <c r="AB1006" s="6" t="str">
        <f>IFERROR(__xludf.DUMMYFUNCTION("""COMPUTED_VALUE"""),"спортивных")</f>
        <v>спортивных</v>
      </c>
      <c r="AC1006" s="6" t="str">
        <f>IFERROR(__xludf.DUMMYFUNCTION("""COMPUTED_VALUE"""),"Развите молодежных клубов. проведения концертов")</f>
        <v>Развите молодежных клубов. проведения концертов</v>
      </c>
      <c r="AD100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006" s="6" t="str">
        <f>IFERROR(__xludf.DUMMYFUNCTION("""COMPUTED_VALUE"""),"Мужской")</f>
        <v>Мужской</v>
      </c>
      <c r="AF1006" s="6" t="str">
        <f>IFERROR(__xludf.DUMMYFUNCTION("""COMPUTED_VALUE"""),"30-44")</f>
        <v>30-44</v>
      </c>
      <c r="AG1006" s="6"/>
      <c r="AH1006" s="6"/>
      <c r="AI1006" s="6"/>
      <c r="AJ1006" s="6"/>
      <c r="AK1006" s="6"/>
      <c r="AL1006" s="6"/>
      <c r="AM1006" s="6"/>
    </row>
    <row r="1007">
      <c r="A1007" s="6">
        <v>1006.0</v>
      </c>
      <c r="B1007" s="6" t="str">
        <f>IFERROR(__xludf.DUMMYFUNCTION("""COMPUTED_VALUE"""),"Врач")</f>
        <v>Врач</v>
      </c>
      <c r="C1007" s="6" t="str">
        <f>IFERROR(__xludf.DUMMYFUNCTION("""COMPUTED_VALUE"""),"Да! Наука, Немного рисую. Ландшафтные скульптуры из металлической сетки. ")</f>
        <v>Да! Наука, Немного рисую. Ландшафтные скульптуры из металлической сетки. </v>
      </c>
      <c r="D1007" s="6" t="str">
        <f>IFERROR(__xludf.DUMMYFUNCTION("""COMPUTED_VALUE"""),"Лесная поляна")</f>
        <v>Лесная поляна</v>
      </c>
      <c r="E1007" s="6" t="str">
        <f>IFERROR(__xludf.DUMMYFUNCTION("""COMPUTED_VALUE"""),"В центре Лесной поляны")</f>
        <v>В центре Лесной поляны</v>
      </c>
      <c r="F1007" s="6" t="str">
        <f>IFERROR(__xludf.DUMMYFUNCTION("""COMPUTED_VALUE"""),"Живу здесь с рождения")</f>
        <v>Живу здесь с рождения</v>
      </c>
      <c r="G1007" s="6" t="str">
        <f>IFERROR(__xludf.DUMMYFUNCTION("""COMPUTED_VALUE"""),"Зимой - лыжи, филармония, театр. Летом - природа, водоем, пр.")</f>
        <v>Зимой - лыжи, филармония, театр. Летом - природа, водоем, пр.</v>
      </c>
      <c r="H1007" s="6" t="str">
        <f>IFERROR(__xludf.DUMMYFUNCTION("""COMPUTED_VALUE"""),"Томь, Писаница, Сосны, ""Сталинки"", ""Хрущевки"" ")</f>
        <v>Томь, Писаница, Сосны, "Сталинки", "Хрущевки" </v>
      </c>
      <c r="I1007" s="6" t="str">
        <f>IFERROR(__xludf.DUMMYFUNCTION("""COMPUTED_VALUE"""),"Михайло Волков,  Рутгерс С.Ю., Леонов А.А., Подгорбунский М.А.,")</f>
        <v>Михайло Волков,  Рутгерс С.Ю., Леонов А.А., Подгорбунский М.А.,</v>
      </c>
      <c r="J1007" s="6" t="str">
        <f>IFERROR(__xludf.DUMMYFUNCTION("""COMPUTED_VALUE"""),"Михайлов В.В., Тулеев А.Г. Гришковец Е.В.")</f>
        <v>Михайлов В.В., Тулеев А.Г. Гришковец Е.В.</v>
      </c>
      <c r="K1007" s="6" t="str">
        <f>IFERROR(__xludf.DUMMYFUNCTION("""COMPUTED_VALUE"""),"""Красная горка"", ""Томская писаница"", Сосновый бор, Набережная Кемерово, ресторан ""Забой""")</f>
        <v>"Красная горка", "Томская писаница", Сосновый бор, Набережная Кемерово, ресторан "Забой"</v>
      </c>
      <c r="L1007" s="6" t="str">
        <f>IFERROR(__xludf.DUMMYFUNCTION("""COMPUTED_VALUE"""),"Это знают только двое - я, да Кировский район. ""Желание-тысяча возможностей, нежелание - тысяча причин"".")</f>
        <v>Это знают только двое - я, да Кировский район. "Желание-тысяча возможностей, нежелание - тысяча причин".</v>
      </c>
      <c r="M1007" s="6" t="str">
        <f>IFERROR(__xludf.DUMMYFUNCTION("""COMPUTED_VALUE"""),"Поехал на ""Левый"", поехал на ""Правый"", Евоный аналог ""его""),  Еслив (если), пр.")</f>
        <v>Поехал на "Левый", поехал на "Правый", Евоный аналог "его"),  Еслив (если), пр.</v>
      </c>
      <c r="N1007" s="6" t="str">
        <f>IFERROR(__xludf.DUMMYFUNCTION("""COMPUTED_VALUE"""),"Компактность, зелёный, наличие вокзала, аэропорта, торговых центров, река, пр.")</f>
        <v>Компактность, зелёный, наличие вокзала, аэропорта, торговых центров, река, пр.</v>
      </c>
      <c r="O1007" s="6" t="str">
        <f>IFERROR(__xludf.DUMMYFUNCTION("""COMPUTED_VALUE"""),"Реанимировать фабрики и заводы для создания рабочих мест, хорошие условия для бизнеса. Ремонт Медицинского Университета, фасады зданий в городе, в т.ч. ремонт больниц.")</f>
        <v>Реанимировать фабрики и заводы для создания рабочих мест, хорошие условия для бизнеса. Ремонт Медицинского Университета, фасады зданий в городе, в т.ч. ремонт больниц.</v>
      </c>
      <c r="P1007" s="6" t="str">
        <f>IFERROR(__xludf.DUMMYFUNCTION("""COMPUTED_VALUE"""),"Интернет, телевидение, ""сарафанное радио""")</f>
        <v>Интернет, телевидение, "сарафанное радио"</v>
      </c>
      <c r="Q1007" s="6" t="str">
        <f>IFERROR(__xludf.DUMMYFUNCTION("""COMPUTED_VALUE"""),"интервью с местными политиками, новости про новые профессии/куда поступать/вакансии, интервью с экспертами на разные темы (напишите в разделе Другое свои предложения)")</f>
        <v>интервью с местными политиками, новости про новые профессии/куда поступать/вакансии, интервью с экспертами на разные темы (напишите в разделе Другое свои предложения)</v>
      </c>
      <c r="R1007" s="6" t="str">
        <f>IFERROR(__xludf.DUMMYFUNCTION("""COMPUTED_VALUE"""),"?????")</f>
        <v>?????</v>
      </c>
      <c r="S1007" s="6" t="str">
        <f>IFERROR(__xludf.DUMMYFUNCTION("""COMPUTED_VALUE"""),"Нет, не приходилось")</f>
        <v>Нет, не приходилось</v>
      </c>
      <c r="T1007" s="6" t="str">
        <f>IFERROR(__xludf.DUMMYFUNCTION("""COMPUTED_VALUE"""),"Угольный бассейн. Тайга, Тяжёлая промышленность. Уникального ничего нет.")</f>
        <v>Угольный бассейн. Тайга, Тяжёлая промышленность. Уникального ничего нет.</v>
      </c>
      <c r="U1007" s="6" t="str">
        <f>IFERROR(__xludf.DUMMYFUNCTION("""COMPUTED_VALUE"""),"Сосновый бор в центре города.")</f>
        <v>Сосновый бор в центре города.</v>
      </c>
      <c r="V1007" s="6" t="str">
        <f>IFERROR(__xludf.DUMMYFUNCTION("""COMPUTED_VALUE"""),"Работали, особенно в годы ВОВ.")</f>
        <v>Работали, особенно в годы ВОВ.</v>
      </c>
      <c r="W1007" s="6" t="str">
        <f>IFERROR(__xludf.DUMMYFUNCTION("""COMPUTED_VALUE"""),"Достаточно добрые, отзывчивые, плохо одеты, много корпулентных людей, много бескультурных и малограмотных.")</f>
        <v>Достаточно добрые, отзывчивые, плохо одеты, много корпулентных людей, много бескультурных и малограмотных.</v>
      </c>
      <c r="X1007" s="6" t="str">
        <f>IFERROR(__xludf.DUMMYFUNCTION("""COMPUTED_VALUE"""),"Крутого маршрута нет, но кое-что можно посмотреть в центре. Симбиоз высоких современных зданий и деревянных лачуг.")</f>
        <v>Крутого маршрута нет, но кое-что можно посмотреть в центре. Симбиоз высоких современных зданий и деревянных лачуг.</v>
      </c>
      <c r="Y1007" s="6" t="str">
        <f>IFERROR(__xludf.DUMMYFUNCTION("""COMPUTED_VALUE"""),"Наш регион и город скатились на ""последние места""  по уровню жизни. ")</f>
        <v>Наш регион и город скатились на "последние места"  по уровню жизни. </v>
      </c>
      <c r="Z1007" s="6" t="str">
        <f>IFERROR(__xludf.DUMMYFUNCTION("""COMPUTED_VALUE"""),"Новый год, День Победы.")</f>
        <v>Новый год, День Победы.</v>
      </c>
      <c r="AA1007" s="6" t="str">
        <f>IFERROR(__xludf.DUMMYFUNCTION("""COMPUTED_VALUE"""),"Отток наших горожан в другие регионы. Закрытие бассейна ""Лазурный""")</f>
        <v>Отток наших горожан в другие регионы. Закрытие бассейна "Лазурный"</v>
      </c>
      <c r="AB1007" s="6" t="str">
        <f>IFERROR(__xludf.DUMMYFUNCTION("""COMPUTED_VALUE"""),"Умных, творческих, красивых, спортивных, пр.")</f>
        <v>Умных, творческих, красивых, спортивных, пр.</v>
      </c>
      <c r="AC1007" s="6" t="str">
        <f>IFERROR(__xludf.DUMMYFUNCTION("""COMPUTED_VALUE"""),"""Бытие определяет сознание"" - создать комфорт, обеспечить работать, и, события и мероприятия появятся сами.. ")</f>
        <v>"Бытие определяет сознание" - создать комфорт, обеспечить работать, и, события и мероприятия появятся сами.. </v>
      </c>
      <c r="AD1007"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007" s="6" t="str">
        <f>IFERROR(__xludf.DUMMYFUNCTION("""COMPUTED_VALUE"""),"Мужской")</f>
        <v>Мужской</v>
      </c>
      <c r="AF1007" s="6" t="str">
        <f>IFERROR(__xludf.DUMMYFUNCTION("""COMPUTED_VALUE"""),"старше 55")</f>
        <v>старше 55</v>
      </c>
      <c r="AG1007" s="6"/>
      <c r="AH1007" s="6"/>
      <c r="AI1007" s="6"/>
      <c r="AJ1007" s="6"/>
      <c r="AK1007" s="6"/>
      <c r="AL1007" s="6"/>
      <c r="AM1007" s="6"/>
    </row>
    <row r="1008">
      <c r="A1008" s="6">
        <v>1007.0</v>
      </c>
      <c r="B1008" s="6" t="str">
        <f>IFERROR(__xludf.DUMMYFUNCTION("""COMPUTED_VALUE"""),"Образрвание")</f>
        <v>Образрвание</v>
      </c>
      <c r="C1008" s="6" t="str">
        <f>IFERROR(__xludf.DUMMYFUNCTION("""COMPUTED_VALUE"""),"бисероплетение, спидккбинг, оригами")</f>
        <v>бисероплетение, спидккбинг, оригами</v>
      </c>
      <c r="D1008" s="6" t="str">
        <f>IFERROR(__xludf.DUMMYFUNCTION("""COMPUTED_VALUE"""),"Кировский район")</f>
        <v>Кировский район</v>
      </c>
      <c r="E1008" s="6" t="str">
        <f>IFERROR(__xludf.DUMMYFUNCTION("""COMPUTED_VALUE"""),"набережная Кировского района")</f>
        <v>набережная Кировского района</v>
      </c>
      <c r="F1008" s="6" t="str">
        <f>IFERROR(__xludf.DUMMYFUNCTION("""COMPUTED_VALUE"""),"Живу здесь с рождения")</f>
        <v>Живу здесь с рождения</v>
      </c>
      <c r="G1008" s="6" t="str">
        <f>IFERROR(__xludf.DUMMYFUNCTION("""COMPUTED_VALUE"""),"Набережная реки Томи, горсад")</f>
        <v>Набережная реки Томи, горсад</v>
      </c>
      <c r="H1008" s="6" t="str">
        <f>IFERROR(__xludf.DUMMYFUNCTION("""COMPUTED_VALUE"""),"уголь, шахтер, волков, природа, зимняя вишня")</f>
        <v>уголь, шахтер, волков, природа, зимняя вишня</v>
      </c>
      <c r="I1008" s="6" t="str">
        <f>IFERROR(__xludf.DUMMYFUNCTION("""COMPUTED_VALUE"""),"Алексей Леонов, Елена Малышева")</f>
        <v>Алексей Леонов, Елена Малышева</v>
      </c>
      <c r="J1008" s="6" t="str">
        <f>IFERROR(__xludf.DUMMYFUNCTION("""COMPUTED_VALUE"""),"Алексей Леонов")</f>
        <v>Алексей Леонов</v>
      </c>
      <c r="K1008" s="6" t="str">
        <f>IFERROR(__xludf.DUMMYFUNCTION("""COMPUTED_VALUE"""),"""Вечная слава""")</f>
        <v>"Вечная слава"</v>
      </c>
      <c r="L1008" s="6" t="str">
        <f>IFERROR(__xludf.DUMMYFUNCTION("""COMPUTED_VALUE"""),"Не знаю")</f>
        <v>Не знаю</v>
      </c>
      <c r="M1008" s="6" t="str">
        <f>IFERROR(__xludf.DUMMYFUNCTION("""COMPUTED_VALUE"""),"кирдык")</f>
        <v>кирдык</v>
      </c>
      <c r="N1008" s="6" t="str">
        <f>IFERROR(__xludf.DUMMYFUNCTION("""COMPUTED_VALUE"""),"транспорт, свежий воздух, чистота улиц, ")</f>
        <v>транспорт, свежий воздух, чистота улиц, </v>
      </c>
      <c r="O1008" s="6" t="str">
        <f>IFERROR(__xludf.DUMMYFUNCTION("""COMPUTED_VALUE"""),"Воздух без запаха фикалий")</f>
        <v>Воздух без запаха фикалий</v>
      </c>
      <c r="P1008" s="6" t="str">
        <f>IFERROR(__xludf.DUMMYFUNCTION("""COMPUTED_VALUE"""),"Соцсети вк: типичный кемерово, инцидент кемерово, вести-кузбасс")</f>
        <v>Соцсети вк: типичный кемерово, инцидент кемерово, вести-кузбасс</v>
      </c>
      <c r="Q1008"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1008" s="6" t="str">
        <f>IFERROR(__xludf.DUMMYFUNCTION("""COMPUTED_VALUE"""),"День города, день шахтера")</f>
        <v>День города, день шахтера</v>
      </c>
      <c r="S1008" s="6" t="str">
        <f>IFERROR(__xludf.DUMMYFUNCTION("""COMPUTED_VALUE"""),"Делал рассылку по электронной почте")</f>
        <v>Делал рассылку по электронной почте</v>
      </c>
      <c r="T1008" s="6" t="str">
        <f>IFERROR(__xludf.DUMMYFUNCTION("""COMPUTED_VALUE"""),"Красная горка")</f>
        <v>Красная горка</v>
      </c>
      <c r="U1008" s="6" t="str">
        <f>IFERROR(__xludf.DUMMYFUNCTION("""COMPUTED_VALUE"""),"Набережная реки Томи")</f>
        <v>Набережная реки Томи</v>
      </c>
      <c r="V1008" s="6" t="str">
        <f>IFERROR(__xludf.DUMMYFUNCTION("""COMPUTED_VALUE"""),"Помогали в тылу в ВОВ")</f>
        <v>Помогали в тылу в ВОВ</v>
      </c>
      <c r="W1008" s="6" t="str">
        <f>IFERROR(__xludf.DUMMYFUNCTION("""COMPUTED_VALUE"""),"сильные, волевые, строгие, дружелюбные")</f>
        <v>сильные, волевые, строгие, дружелюбные</v>
      </c>
      <c r="X1008" s="6" t="str">
        <f>IFERROR(__xludf.DUMMYFUNCTION("""COMPUTED_VALUE"""),"аллея славы")</f>
        <v>аллея славы</v>
      </c>
      <c r="Y1008" s="6" t="str">
        <f>IFERROR(__xludf.DUMMYFUNCTION("""COMPUTED_VALUE"""),"Концерт Дмитрий Хворостовского на площади советов ")</f>
        <v>Концерт Дмитрий Хворостовского на площади советов </v>
      </c>
      <c r="Z1008" s="6" t="str">
        <f>IFERROR(__xludf.DUMMYFUNCTION("""COMPUTED_VALUE"""),"концерт Олега Газманова на площади ")</f>
        <v>концерт Олега Газманова на площади </v>
      </c>
      <c r="AA1008" s="6" t="str">
        <f>IFERROR(__xludf.DUMMYFUNCTION("""COMPUTED_VALUE"""),"Пожар в тц Зимняя вишня"" и все что с ним свяано")</f>
        <v>Пожар в тц Зимняя вишня" и все что с ним свяано</v>
      </c>
      <c r="AB1008" s="6" t="str">
        <f>IFERROR(__xludf.DUMMYFUNCTION("""COMPUTED_VALUE"""),"Сообществ по рукоделию ")</f>
        <v>Сообществ по рукоделию </v>
      </c>
      <c r="AC1008" s="6" t="str">
        <f>IFERROR(__xludf.DUMMYFUNCTION("""COMPUTED_VALUE"""),"Больше культурных мероприятий развлекательного характера по приемлемой цене.")</f>
        <v>Больше культурных мероприятий развлекательного характера по приемлемой цене.</v>
      </c>
      <c r="AD100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008" s="6" t="str">
        <f>IFERROR(__xludf.DUMMYFUNCTION("""COMPUTED_VALUE"""),"Женский")</f>
        <v>Женский</v>
      </c>
      <c r="AF1008" s="6" t="str">
        <f>IFERROR(__xludf.DUMMYFUNCTION("""COMPUTED_VALUE"""),"30-44")</f>
        <v>30-44</v>
      </c>
      <c r="AG1008" s="6"/>
      <c r="AH1008" s="6"/>
      <c r="AI1008" s="6"/>
      <c r="AJ1008" s="6"/>
      <c r="AK1008" s="6"/>
      <c r="AL1008" s="6"/>
      <c r="AM1008" s="6"/>
    </row>
    <row r="1009">
      <c r="A1009" s="6">
        <v>1008.0</v>
      </c>
      <c r="B1009" s="6" t="str">
        <f>IFERROR(__xludf.DUMMYFUNCTION("""COMPUTED_VALUE"""),"И.П.")</f>
        <v>И.П.</v>
      </c>
      <c r="C1009" s="6" t="str">
        <f>IFERROR(__xludf.DUMMYFUNCTION("""COMPUTED_VALUE"""),"Раньше было ")</f>
        <v>Раньше было </v>
      </c>
      <c r="D1009" s="6" t="str">
        <f>IFERROR(__xludf.DUMMYFUNCTION("""COMPUTED_VALUE"""),"Радуга ")</f>
        <v>Радуга </v>
      </c>
      <c r="E1009" s="6" t="str">
        <f>IFERROR(__xludf.DUMMYFUNCTION("""COMPUTED_VALUE"""),"Нет ответа потому что тут новостройки и бор 🤷🏼‍♂️ ")</f>
        <v>Нет ответа потому что тут новостройки и бор 🤷🏼‍♂️ </v>
      </c>
      <c r="F1009" s="6" t="str">
        <f>IFERROR(__xludf.DUMMYFUNCTION("""COMPUTED_VALUE"""),"Живу здесь с рождения")</f>
        <v>Живу здесь с рождения</v>
      </c>
      <c r="G1009" s="6" t="str">
        <f>IFERROR(__xludf.DUMMYFUNCTION("""COMPUTED_VALUE"""),"Катаюсь по центру у молодёжи маршрут к сожалению всего один пл.Волкова Весенняя Притомская набережная. ")</f>
        <v>Катаюсь по центру у молодёжи маршрут к сожалению всего один пл.Волкова Весенняя Притомская набережная. </v>
      </c>
      <c r="H1009" s="6" t="str">
        <f>IFERROR(__xludf.DUMMYFUNCTION("""COMPUTED_VALUE"""),"Уголь, 🤷🏼‍♂️")</f>
        <v>Уголь, 🤷🏼‍♂️</v>
      </c>
      <c r="I1009" s="6" t="str">
        <f>IFERROR(__xludf.DUMMYFUNCTION("""COMPUTED_VALUE"""),"Михайло Волков, Леонов, ")</f>
        <v>Михайло Волков, Леонов, </v>
      </c>
      <c r="J1009" s="6" t="str">
        <f>IFERROR(__xludf.DUMMYFUNCTION("""COMPUTED_VALUE"""),"Да хз🤷🏼‍♂️")</f>
        <v>Да хз🤷🏼‍♂️</v>
      </c>
      <c r="K1009" s="6" t="str">
        <f>IFERROR(__xludf.DUMMYFUNCTION("""COMPUTED_VALUE"""),"Не могу ответить ")</f>
        <v>Не могу ответить </v>
      </c>
      <c r="L1009" s="6" t="str">
        <f>IFERROR(__xludf.DUMMYFUNCTION("""COMPUTED_VALUE"""),"Че прям матом писать?😂")</f>
        <v>Че прям матом писать?😂</v>
      </c>
      <c r="M1009" s="6" t="str">
        <f>IFERROR(__xludf.DUMMYFUNCTION("""COMPUTED_VALUE"""),"Ну не буду я материться!🤷🏼‍♂️😂")</f>
        <v>Ну не буду я материться!🤷🏼‍♂️😂</v>
      </c>
      <c r="N1009" s="6" t="str">
        <f>IFERROR(__xludf.DUMMYFUNCTION("""COMPUTED_VALUE"""),"Высокий уровень ввп,новейшие разработки и технологии применяемые в инфраструктуре города, процветание малого и среднего бизнеса (что бы так не душили налогами для начала было бы не плохо) программа по снижению оттока населения из города (очень беспокоит м"&amp;"еня этот вопрос я устал терять близких людей потому что тут жить невозможно) ")</f>
        <v>Высокий уровень ввп,новейшие разработки и технологии применяемые в инфраструктуре города, процветание малого и среднего бизнеса (что бы так не душили налогами для начала было бы не плохо) программа по снижению оттока населения из города (очень беспокоит меня этот вопрос я устал терять близких людей потому что тут жить невозможно) </v>
      </c>
      <c r="O1009" s="6" t="str">
        <f>IFERROR(__xludf.DUMMYFUNCTION("""COMPUTED_VALUE"""),"Многие ответили бы «власть» а я отвечу что необходимо изменить в головах жителей отношение к родному городу когда жители будут любить место где они живут тогда город и расцветет куда ярче чем сейчас а для этого город все же начать первым идти к этому (при"&amp;"мер посмотрите как Казанцы обожают свой город)")</f>
        <v>Многие ответили бы «власть» а я отвечу что необходимо изменить в головах жителей отношение к родному городу когда жители будут любить место где они живут тогда город и расцветет куда ярче чем сейчас а для этого город все же начать первым идти к этому (пример посмотрите как Казанцы обожают свой город)</v>
      </c>
      <c r="P1009" s="6" t="str">
        <f>IFERROR(__xludf.DUMMYFUNCTION("""COMPUTED_VALUE"""),"Вк инст ютуб")</f>
        <v>Вк инст ютуб</v>
      </c>
      <c r="Q1009" s="6" t="str">
        <f>IFERROR(__xludf.DUMMYFUNCTION("""COMPUTED_VALUE"""),"интервью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009" s="6" t="str">
        <f>IFERROR(__xludf.DUMMYFUNCTION("""COMPUTED_VALUE"""),"День города")</f>
        <v>День города</v>
      </c>
      <c r="S1009" s="6" t="str">
        <f>IFERROR(__xludf.DUMMYFUNCTION("""COMPUTED_VALUE"""),"Нет, не приходилось")</f>
        <v>Нет, не приходилось</v>
      </c>
      <c r="T1009" s="6" t="str">
        <f>IFERROR(__xludf.DUMMYFUNCTION("""COMPUTED_VALUE"""),"Слава у города отстой то сериал снимут и выставят так что тут одни миллиардеры и аборигены живут. Но самое страшное чем известен город это Зимняя Вишня😞 не приятно что наш город теперь только с трагедией и ассоциируют  ")</f>
        <v>Слава у города отстой то сериал снимут и выставят так что тут одни миллиардеры и аборигены живут. Но самое страшное чем известен город это Зимняя Вишня😞 не приятно что наш город теперь только с трагедией и ассоциируют  </v>
      </c>
      <c r="U1009" s="6" t="str">
        <f>IFERROR(__xludf.DUMMYFUNCTION("""COMPUTED_VALUE"""),"Цум")</f>
        <v>Цум</v>
      </c>
      <c r="V1009" s="6" t="str">
        <f>IFERROR(__xludf.DUMMYFUNCTION("""COMPUTED_VALUE"""),"Не могу ответить ")</f>
        <v>Не могу ответить </v>
      </c>
      <c r="W1009" s="6" t="str">
        <f>IFERROR(__xludf.DUMMYFUNCTION("""COMPUTED_VALUE"""),"Грустные но очень открытые, настоящие что ли🤷🏼‍♂️")</f>
        <v>Грустные но очень открытые, настоящие что ли🤷🏼‍♂️</v>
      </c>
      <c r="X1009" s="6" t="str">
        <f>IFERROR(__xludf.DUMMYFUNCTION("""COMPUTED_VALUE"""),"Весенька ")</f>
        <v>Весенька </v>
      </c>
      <c r="Y1009" s="6" t="str">
        <f>IFERROR(__xludf.DUMMYFUNCTION("""COMPUTED_VALUE"""),"Уголь нашли")</f>
        <v>Уголь нашли</v>
      </c>
      <c r="Z1009" s="6" t="str">
        <f>IFERROR(__xludf.DUMMYFUNCTION("""COMPUTED_VALUE"""),"Мне нравится что город начали отстраивать стройка живет живет город!")</f>
        <v>Мне нравится что город начали отстраивать стройка живет живет город!</v>
      </c>
      <c r="AA1009" s="6" t="str">
        <f>IFERROR(__xludf.DUMMYFUNCTION("""COMPUTED_VALUE"""),"Я уже ответил выше на этот вопрос")</f>
        <v>Я уже ответил выше на этот вопрос</v>
      </c>
      <c r="AB1009" s="6" t="str">
        <f>IFERROR(__xludf.DUMMYFUNCTION("""COMPUTED_VALUE"""),"Уличных гонок очень сильно не хватает как раньше бы эх позажигали мы в свои 20😈")</f>
        <v>Уличных гонок очень сильно не хватает как раньше бы эх позажигали мы в свои 20😈</v>
      </c>
      <c r="AC1009" s="6" t="str">
        <f>IFERROR(__xludf.DUMMYFUNCTION("""COMPUTED_VALUE"""),"Да чем больше событий мероприятий и прочей движухи тем лучше ")</f>
        <v>Да чем больше событий мероприятий и прочей движухи тем лучше </v>
      </c>
      <c r="AD100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к"&amp;"омпанию.")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009" s="6" t="str">
        <f>IFERROR(__xludf.DUMMYFUNCTION("""COMPUTED_VALUE"""),"Мужской")</f>
        <v>Мужской</v>
      </c>
      <c r="AF1009" s="6" t="str">
        <f>IFERROR(__xludf.DUMMYFUNCTION("""COMPUTED_VALUE"""),"30-44")</f>
        <v>30-44</v>
      </c>
      <c r="AG1009" s="6"/>
      <c r="AH1009" s="6"/>
      <c r="AI1009" s="6"/>
      <c r="AJ1009" s="6"/>
      <c r="AK1009" s="6"/>
      <c r="AL1009" s="6"/>
      <c r="AM1009" s="6"/>
    </row>
    <row r="1010">
      <c r="A1010" s="6">
        <v>1009.0</v>
      </c>
      <c r="B1010" s="6" t="str">
        <f>IFERROR(__xludf.DUMMYFUNCTION("""COMPUTED_VALUE"""),"Работаю")</f>
        <v>Работаю</v>
      </c>
      <c r="C1010" s="6" t="str">
        <f>IFERROR(__xludf.DUMMYFUNCTION("""COMPUTED_VALUE"""),"Чтение, компьютерные игры")</f>
        <v>Чтение, компьютерные игры</v>
      </c>
      <c r="D1010" s="6" t="str">
        <f>IFERROR(__xludf.DUMMYFUNCTION("""COMPUTED_VALUE"""),"Ленинский, так и называю")</f>
        <v>Ленинский, так и называю</v>
      </c>
      <c r="E1010" s="6" t="str">
        <f>IFERROR(__xludf.DUMMYFUNCTION("""COMPUTED_VALUE"""),"Отремонтированный бульвар Строителей, парк ""Кузбасский"", озеро ""Красное"", сквер ""Памяти защитников блокадного Ленинграда""")</f>
        <v>Отремонтированный бульвар Строителей, парк "Кузбасский", озеро "Красное", сквер "Памяти защитников блокадного Ленинграда"</v>
      </c>
      <c r="F1010" s="6" t="str">
        <f>IFERROR(__xludf.DUMMYFUNCTION("""COMPUTED_VALUE"""),"Живу здесь с рождения")</f>
        <v>Живу здесь с рождения</v>
      </c>
      <c r="G1010" s="6" t="str">
        <f>IFERROR(__xludf.DUMMYFUNCTION("""COMPUTED_VALUE"""),"Кафе ""Кампот"", кино, прогулки в разных местах")</f>
        <v>Кафе "Кампот", кино, прогулки в разных местах</v>
      </c>
      <c r="H1010" s="6" t="str">
        <f>IFERROR(__xludf.DUMMYFUNCTION("""COMPUTED_VALUE"""),"Сибирь, уголь, Томь, улица Весенняя, Зимняя вишня, неуверенность в завтрашнем дне")</f>
        <v>Сибирь, уголь, Томь, улица Весенняя, Зимняя вишня, неуверенность в завтрашнем дне</v>
      </c>
      <c r="I1010" s="6" t="str">
        <f>IFERROR(__xludf.DUMMYFUNCTION("""COMPUTED_VALUE"""),"Волков, Мартемьянов, Тулеев")</f>
        <v>Волков, Мартемьянов, Тулеев</v>
      </c>
      <c r="J1010" s="6" t="str">
        <f>IFERROR(__xludf.DUMMYFUNCTION("""COMPUTED_VALUE"""),"Не знаю")</f>
        <v>Не знаю</v>
      </c>
      <c r="K1010" s="6" t="str">
        <f>IFERROR(__xludf.DUMMYFUNCTION("""COMPUTED_VALUE"""),"Памятник шахтёрам Кузбасса, центр города, музей ""Красная горка"", бульвар Строителей")</f>
        <v>Памятник шахтёрам Кузбасса, центр города, музей "Красная горка", бульвар Строителей</v>
      </c>
      <c r="L1010" s="6" t="str">
        <f>IFERROR(__xludf.DUMMYFUNCTION("""COMPUTED_VALUE"""),"Не знаю")</f>
        <v>Не знаю</v>
      </c>
      <c r="M1010" s="6" t="str">
        <f>IFERROR(__xludf.DUMMYFUNCTION("""COMPUTED_VALUE"""),"Нет")</f>
        <v>Нет</v>
      </c>
      <c r="N1010" s="6" t="str">
        <f>IFERROR(__xludf.DUMMYFUNCTION("""COMPUTED_VALUE"""),"Наличие работы, чистота, развитый общественный транспорт, развитые места отдыха, культурные заведения")</f>
        <v>Наличие работы, чистота, развитый общественный транспорт, развитые места отдыха, культурные заведения</v>
      </c>
      <c r="O1010" s="6" t="str">
        <f>IFERROR(__xludf.DUMMYFUNCTION("""COMPUTED_VALUE"""),"Привести в порядок и перестроить газоны, чтобы каждую весну не текла грязь и потом не летала в воздухе тучами пыли")</f>
        <v>Привести в порядок и перестроить газоны, чтобы каждую весну не текла грязь и потом не летала в воздухе тучами пыли</v>
      </c>
      <c r="P1010" s="6" t="str">
        <f>IFERROR(__xludf.DUMMYFUNCTION("""COMPUTED_VALUE"""),"афиша А42, реклама в интернете, объявления на улицах/на заведениях")</f>
        <v>афиша А42, реклама в интернете, объявления на улицах/на заведениях</v>
      </c>
      <c r="Q1010"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р"&amp;"азделе Другое свои предложения)")</f>
        <v>городская афиша (кино/театр/концерты), 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1010" s="6" t="str">
        <f>IFERROR(__xludf.DUMMYFUNCTION("""COMPUTED_VALUE"""),"День Победы")</f>
        <v>День Победы</v>
      </c>
      <c r="S1010" s="6" t="str">
        <f>IFERROR(__xludf.DUMMYFUNCTION("""COMPUTED_VALUE"""),"Нет, не приходилось")</f>
        <v>Нет, не приходилось</v>
      </c>
      <c r="T1010" s="6" t="str">
        <f>IFERROR(__xludf.DUMMYFUNCTION("""COMPUTED_VALUE"""),"Столица крупнейшего угольного бассейна, оставшаяся угольная и химическая промышленность")</f>
        <v>Столица крупнейшего угольного бассейна, оставшаяся угольная и химическая промышленность</v>
      </c>
      <c r="U1010" s="6" t="str">
        <f>IFERROR(__xludf.DUMMYFUNCTION("""COMPUTED_VALUE"""),"улица Весенняя и прилегающие территории")</f>
        <v>улица Весенняя и прилегающие территории</v>
      </c>
      <c r="V1010" s="6" t="str">
        <f>IFERROR(__xludf.DUMMYFUNCTION("""COMPUTED_VALUE"""),"Работали, созидали, творили")</f>
        <v>Работали, созидали, творили</v>
      </c>
      <c r="W1010" s="6" t="str">
        <f>IFERROR(__xludf.DUMMYFUNCTION("""COMPUTED_VALUE"""),"Спокойные, доброжелательные")</f>
        <v>Спокойные, доброжелательные</v>
      </c>
      <c r="X1010" s="6" t="str">
        <f>IFERROR(__xludf.DUMMYFUNCTION("""COMPUTED_VALUE"""),"По центру города, Сосновый бор")</f>
        <v>По центру города, Сосновый бор</v>
      </c>
      <c r="Y1010" s="6" t="str">
        <f>IFERROR(__xludf.DUMMYFUNCTION("""COMPUTED_VALUE"""),"Становление промышленным центром, снабжение фронтов в Великую Отечественную войну")</f>
        <v>Становление промышленным центром, снабжение фронтов в Великую Отечественную войну</v>
      </c>
      <c r="Z1010" s="6" t="str">
        <f>IFERROR(__xludf.DUMMYFUNCTION("""COMPUTED_VALUE"""),"Не запомнились")</f>
        <v>Не запомнились</v>
      </c>
      <c r="AA1010" s="6" t="str">
        <f>IFERROR(__xludf.DUMMYFUNCTION("""COMPUTED_VALUE"""),"Зимняя вишня")</f>
        <v>Зимняя вишня</v>
      </c>
      <c r="AB1010" s="6" t="str">
        <f>IFERROR(__xludf.DUMMYFUNCTION("""COMPUTED_VALUE"""),"Таких нет")</f>
        <v>Таких нет</v>
      </c>
      <c r="AC1010" s="6" t="str">
        <f>IFERROR(__xludf.DUMMYFUNCTION("""COMPUTED_VALUE"""),"Не знаю")</f>
        <v>Не знаю</v>
      </c>
      <c r="AD101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010" s="6" t="str">
        <f>IFERROR(__xludf.DUMMYFUNCTION("""COMPUTED_VALUE"""),"Мужской")</f>
        <v>Мужской</v>
      </c>
      <c r="AF1010" s="6" t="str">
        <f>IFERROR(__xludf.DUMMYFUNCTION("""COMPUTED_VALUE"""),"30-44")</f>
        <v>30-44</v>
      </c>
      <c r="AG1010" s="6"/>
      <c r="AH1010" s="6"/>
      <c r="AI1010" s="6"/>
      <c r="AJ1010" s="6"/>
      <c r="AK1010" s="6"/>
      <c r="AL1010" s="6"/>
      <c r="AM1010" s="6"/>
    </row>
    <row r="1011">
      <c r="A1011" s="6">
        <v>1010.0</v>
      </c>
      <c r="B1011" s="6" t="str">
        <f>IFERROR(__xludf.DUMMYFUNCTION("""COMPUTED_VALUE"""),"Торговля ")</f>
        <v>Торговля </v>
      </c>
      <c r="C1011" s="6" t="str">
        <f>IFERROR(__xludf.DUMMYFUNCTION("""COMPUTED_VALUE"""),"Гулять ")</f>
        <v>Гулять </v>
      </c>
      <c r="D1011" s="6" t="str">
        <f>IFERROR(__xludf.DUMMYFUNCTION("""COMPUTED_VALUE"""),"Радуга ")</f>
        <v>Радуга </v>
      </c>
      <c r="E1011" s="6" t="str">
        <f>IFERROR(__xludf.DUMMYFUNCTION("""COMPUTED_VALUE"""),"Бор")</f>
        <v>Бор</v>
      </c>
      <c r="F1011" s="6" t="str">
        <f>IFERROR(__xludf.DUMMYFUNCTION("""COMPUTED_VALUE"""),"Переехал сюда из другого места (откуда? укажите в графе другое), С Анжеро-Судженска ")</f>
        <v>Переехал сюда из другого места (откуда? укажите в графе другое), С Анжеро-Судженска </v>
      </c>
      <c r="G1011" s="6" t="str">
        <f>IFERROR(__xludf.DUMMYFUNCTION("""COMPUTED_VALUE"""),"Сосновый Бор ")</f>
        <v>Сосновый Бор </v>
      </c>
      <c r="H1011" s="6" t="str">
        <f>IFERROR(__xludf.DUMMYFUNCTION("""COMPUTED_VALUE"""),"Ёжик в тумане
Свалка (в некоторых местах)
Дороги как после бомбежки ")</f>
        <v>Ёжик в тумане
Свалка (в некоторых местах)
Дороги как после бомбежки </v>
      </c>
      <c r="I1011" s="6" t="str">
        <f>IFERROR(__xludf.DUMMYFUNCTION("""COMPUTED_VALUE"""),"Леонов ")</f>
        <v>Леонов </v>
      </c>
      <c r="J1011" s="6" t="str">
        <f>IFERROR(__xludf.DUMMYFUNCTION("""COMPUTED_VALUE"""),"Тулеев ")</f>
        <v>Тулеев </v>
      </c>
      <c r="K1011" s="6" t="str">
        <f>IFERROR(__xludf.DUMMYFUNCTION("""COMPUTED_VALUE"""),"Сосновый Бор ")</f>
        <v>Сосновый Бор </v>
      </c>
      <c r="L1011" s="6" t="str">
        <f>IFERROR(__xludf.DUMMYFUNCTION("""COMPUTED_VALUE"""),"Не знаю ")</f>
        <v>Не знаю </v>
      </c>
      <c r="M1011" s="6" t="str">
        <f>IFERROR(__xludf.DUMMYFUNCTION("""COMPUTED_VALUE"""),"Нет ")</f>
        <v>Нет </v>
      </c>
      <c r="N1011" s="6" t="str">
        <f>IFERROR(__xludf.DUMMYFUNCTION("""COMPUTED_VALUE"""),"Таких нет ")</f>
        <v>Таких нет </v>
      </c>
      <c r="O1011" s="6" t="str">
        <f>IFERROR(__xludf.DUMMYFUNCTION("""COMPUTED_VALUE"""),"Дороги,экологию ")</f>
        <v>Дороги,экологию </v>
      </c>
      <c r="P1011" s="6" t="str">
        <f>IFERROR(__xludf.DUMMYFUNCTION("""COMPUTED_VALUE"""),"Инцидент ")</f>
        <v>Инцидент </v>
      </c>
      <c r="Q1011"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1011" s="6" t="str">
        <f>IFERROR(__xludf.DUMMYFUNCTION("""COMPUTED_VALUE"""),"9мая ")</f>
        <v>9мая </v>
      </c>
      <c r="S1011" s="6" t="str">
        <f>IFERROR(__xludf.DUMMYFUNCTION("""COMPUTED_VALUE"""),"Нет, не приходилось")</f>
        <v>Нет, не приходилось</v>
      </c>
      <c r="T1011" s="6" t="str">
        <f>IFERROR(__xludf.DUMMYFUNCTION("""COMPUTED_VALUE"""),"Экология наша ")</f>
        <v>Экология наша </v>
      </c>
      <c r="U1011" s="6" t="str">
        <f>IFERROR(__xludf.DUMMYFUNCTION("""COMPUTED_VALUE"""),"Уголь ")</f>
        <v>Уголь </v>
      </c>
      <c r="V1011" s="6" t="str">
        <f>IFERROR(__xludf.DUMMYFUNCTION("""COMPUTED_VALUE"""),"Не знаю ")</f>
        <v>Не знаю </v>
      </c>
      <c r="W1011" s="6" t="str">
        <f>IFERROR(__xludf.DUMMYFUNCTION("""COMPUTED_VALUE"""),"Затрудняюсь ")</f>
        <v>Затрудняюсь </v>
      </c>
      <c r="X1011" s="6" t="str">
        <f>IFERROR(__xludf.DUMMYFUNCTION("""COMPUTED_VALUE"""),"Красная горка ")</f>
        <v>Красная горка </v>
      </c>
      <c r="Y1011" s="6" t="str">
        <f>IFERROR(__xludf.DUMMYFUNCTION("""COMPUTED_VALUE"""),"Пожар в зимней вишни ")</f>
        <v>Пожар в зимней вишни </v>
      </c>
      <c r="Z1011" s="6" t="str">
        <f>IFERROR(__xludf.DUMMYFUNCTION("""COMPUTED_VALUE"""),"Не помню ")</f>
        <v>Не помню </v>
      </c>
      <c r="AA1011" s="6" t="str">
        <f>IFERROR(__xludf.DUMMYFUNCTION("""COMPUTED_VALUE"""),"Зимняя вишня ")</f>
        <v>Зимняя вишня </v>
      </c>
      <c r="AB1011" s="6" t="str">
        <f>IFERROR(__xludf.DUMMYFUNCTION("""COMPUTED_VALUE"""),"Не знаю ")</f>
        <v>Не знаю </v>
      </c>
      <c r="AC1011" s="6" t="str">
        <f>IFERROR(__xludf.DUMMYFUNCTION("""COMPUTED_VALUE"""),"Не знаю ")</f>
        <v>Не знаю </v>
      </c>
      <c r="AD101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11" s="6" t="str">
        <f>IFERROR(__xludf.DUMMYFUNCTION("""COMPUTED_VALUE"""),"Женский")</f>
        <v>Женский</v>
      </c>
      <c r="AF1011" s="6" t="str">
        <f>IFERROR(__xludf.DUMMYFUNCTION("""COMPUTED_VALUE"""),"30-44")</f>
        <v>30-44</v>
      </c>
      <c r="AG1011" s="6"/>
      <c r="AH1011" s="6"/>
      <c r="AI1011" s="6"/>
      <c r="AJ1011" s="6"/>
      <c r="AK1011" s="6"/>
      <c r="AL1011" s="6"/>
      <c r="AM1011" s="6"/>
    </row>
    <row r="1012">
      <c r="A1012" s="6">
        <v>1011.0</v>
      </c>
      <c r="B1012" s="6" t="str">
        <f>IFERROR(__xludf.DUMMYFUNCTION("""COMPUTED_VALUE"""),"студент")</f>
        <v>студент</v>
      </c>
      <c r="C1012" s="6" t="str">
        <f>IFERROR(__xludf.DUMMYFUNCTION("""COMPUTED_VALUE"""),"нет")</f>
        <v>нет</v>
      </c>
      <c r="D1012" s="6" t="str">
        <f>IFERROR(__xludf.DUMMYFUNCTION("""COMPUTED_VALUE"""),"Заводский, мк-рн ФПК")</f>
        <v>Заводский, мк-рн ФПК</v>
      </c>
      <c r="E1012" s="6" t="str">
        <f>IFERROR(__xludf.DUMMYFUNCTION("""COMPUTED_VALUE"""),"несмотря на то, что район самый большой, знаковых мест немного. это парк Ангелов, жд Вокзал. если говорить про мк-рн ФПК, то это небольшое озеро с утками и водяными полевками возле жилого комплекса ""Березовая роща""")</f>
        <v>несмотря на то, что район самый большой, знаковых мест немного. это парк Ангелов, жд Вокзал. если говорить про мк-рн ФПК, то это небольшое озеро с утками и водяными полевками возле жилого комплекса "Березовая роща"</v>
      </c>
      <c r="F1012" s="6" t="str">
        <f>IFERROR(__xludf.DUMMYFUNCTION("""COMPUTED_VALUE"""),"Живу здесь с рождения")</f>
        <v>Живу здесь с рождения</v>
      </c>
      <c r="G1012" s="6" t="str">
        <f>IFERROR(__xludf.DUMMYFUNCTION("""COMPUTED_VALUE"""),"Сосновый бор, парк им. В.Волошиной (Комсомольский),  бульвара Строителей, парк ""Чудес"", парк ""Антошка-Победы""")</f>
        <v>Сосновый бор, парк им. В.Волошиной (Комсомольский),  бульвара Строителей, парк "Чудес", парк "Антошка-Победы"</v>
      </c>
      <c r="H1012" s="6" t="str">
        <f>IFERROR(__xludf.DUMMYFUNCTION("""COMPUTED_VALUE"""),"грязный, развитие, безработица, стройка, нагромождение")</f>
        <v>грязный, развитие, безработица, стройка, нагромождение</v>
      </c>
      <c r="I1012" s="6" t="str">
        <f>IFERROR(__xludf.DUMMYFUNCTION("""COMPUTED_VALUE"""),"Волков (косвенно), Леонов, Волошина")</f>
        <v>Волков (косвенно), Леонов, Волошина</v>
      </c>
      <c r="J1012" s="6" t="str">
        <f>IFERROR(__xludf.DUMMYFUNCTION("""COMPUTED_VALUE"""),"-")</f>
        <v>-</v>
      </c>
      <c r="K1012" s="6" t="str">
        <f>IFERROR(__xludf.DUMMYFUNCTION("""COMPUTED_VALUE"""),"в последнее время очень много появилось красивых мест в городе, но самые красивые из них , наверное, бульвар Строителей-кадетское училище; парк Ангелов; обзорная площадка возле поклонного креста в Сосновом бору; старый район в центре города (вдоль пр-кт С"&amp;"оветский, фонтан около Драмтеатра) ")</f>
        <v>в последнее время очень много появилось красивых мест в городе, но самые красивые из них , наверное, бульвар Строителей-кадетское училище; парк Ангелов; обзорная площадка возле поклонного креста в Сосновом бору; старый район в центре города (вдоль пр-кт Советский, фонтан около Драмтеатра) </v>
      </c>
      <c r="L1012" s="6" t="str">
        <f>IFERROR(__xludf.DUMMYFUNCTION("""COMPUTED_VALUE"""),"-")</f>
        <v>-</v>
      </c>
      <c r="M1012" s="6" t="str">
        <f>IFERROR(__xludf.DUMMYFUNCTION("""COMPUTED_VALUE"""),"-")</f>
        <v>-</v>
      </c>
      <c r="N1012" s="6" t="str">
        <f>IFERROR(__xludf.DUMMYFUNCTION("""COMPUTED_VALUE"""),"чистота, экология, наличие зеленых зон, обновленные фасады значимых зданий (реконструкция парков, скверов), ")</f>
        <v>чистота, экология, наличие зеленых зон, обновленные фасады значимых зданий (реконструкция парков, скверов), </v>
      </c>
      <c r="O1012" s="6" t="str">
        <f>IFERROR(__xludf.DUMMYFUNCTION("""COMPUTED_VALUE"""),"улучшить экологию (не только решить вопрос с выбросами, но и заняться массовым озеленением)")</f>
        <v>улучшить экологию (не только решить вопрос с выбросами, но и заняться массовым озеленением)</v>
      </c>
      <c r="P1012" s="6" t="str">
        <f>IFERROR(__xludf.DUMMYFUNCTION("""COMPUTED_VALUE"""),"сообщества ВК")</f>
        <v>сообщества ВК</v>
      </c>
      <c r="Q1012" s="6" t="str">
        <f>IFERROR(__xludf.DUMMYFUNCTION("""COMPUTED_VALUE"""),"куда пойти в свободное время, городская афиша (кино/театр/концерты), рассказы о малоизвестных, значимых или уникальных местах города и области")</f>
        <v>куда пойти в свободное время, городская афиша (кино/театр/концерты), рассказы о малоизвестных, значимых или уникальных местах города и области</v>
      </c>
      <c r="R1012" s="6" t="str">
        <f>IFERROR(__xludf.DUMMYFUNCTION("""COMPUTED_VALUE"""),"День города, день Шахтера")</f>
        <v>День города, день Шахтера</v>
      </c>
      <c r="S1012" s="6" t="str">
        <f>IFERROR(__xludf.DUMMYFUNCTION("""COMPUTED_VALUE"""),"Нет, не приходилось")</f>
        <v>Нет, не приходилось</v>
      </c>
      <c r="T1012" s="6" t="str">
        <f>IFERROR(__xludf.DUMMYFUNCTION("""COMPUTED_VALUE"""),"-")</f>
        <v>-</v>
      </c>
      <c r="U1012" s="6" t="str">
        <f>IFERROR(__xludf.DUMMYFUNCTION("""COMPUTED_VALUE"""),"Сосновый бор, набережная ")</f>
        <v>Сосновый бор, набережная </v>
      </c>
      <c r="V1012" s="6" t="str">
        <f>IFERROR(__xludf.DUMMYFUNCTION("""COMPUTED_VALUE"""),"занимались развитием городских территорий, вносили вклад в медицину, науку, искусство")</f>
        <v>занимались развитием городских территорий, вносили вклад в медицину, науку, искусство</v>
      </c>
      <c r="W1012" s="6" t="str">
        <f>IFERROR(__xludf.DUMMYFUNCTION("""COMPUTED_VALUE"""),"грубые, недисциплинированные, неответственные, неактивные")</f>
        <v>грубые, недисциплинированные, неответственные, неактивные</v>
      </c>
      <c r="X1012" s="6" t="str">
        <f>IFERROR(__xludf.DUMMYFUNCTION("""COMPUTED_VALUE"""),"парк ""Чудес""- ул. Весенняя- площадь Советов-парк ""Победы-Антошка""")</f>
        <v>парк "Чудес"- ул. Весенняя- площадь Советов-парк "Победы-Антошка"</v>
      </c>
      <c r="Y1012" s="6" t="str">
        <f>IFERROR(__xludf.DUMMYFUNCTION("""COMPUTED_VALUE"""),"-")</f>
        <v>-</v>
      </c>
      <c r="Z1012" s="6" t="str">
        <f>IFERROR(__xludf.DUMMYFUNCTION("""COMPUTED_VALUE"""),"реконструкции общественных территорий; строительство новых культурных, спортивных, административных объектов; обновление автобусного, троллейбусного, трамвайного парков; приведение к единой концепции облик города в праздники")</f>
        <v>реконструкции общественных территорий; строительство новых культурных, спортивных, административных объектов; обновление автобусного, троллейбусного, трамвайного парков; приведение к единой концепции облик города в праздники</v>
      </c>
      <c r="AA1012" s="6" t="str">
        <f>IFERROR(__xludf.DUMMYFUNCTION("""COMPUTED_VALUE"""),"митинги, бездействия сотрудников МВД (различные события), стремительный рост цен на жилье, продукты питания, лекарства, отдых")</f>
        <v>митинги, бездействия сотрудников МВД (различные события), стремительный рост цен на жилье, продукты питания, лекарства, отдых</v>
      </c>
      <c r="AB1012" s="6" t="str">
        <f>IFERROR(__xludf.DUMMYFUNCTION("""COMPUTED_VALUE"""),"-")</f>
        <v>-</v>
      </c>
      <c r="AC1012" s="6" t="str">
        <f>IFERROR(__xludf.DUMMYFUNCTION("""COMPUTED_VALUE"""),"экологические акции, просвещение людей о героях города, значимых местах")</f>
        <v>экологические акции, просвещение людей о героях города, значимых местах</v>
      </c>
      <c r="AD101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012" s="6" t="str">
        <f>IFERROR(__xludf.DUMMYFUNCTION("""COMPUTED_VALUE"""),"Мужской")</f>
        <v>Мужской</v>
      </c>
      <c r="AF1012" s="6" t="str">
        <f>IFERROR(__xludf.DUMMYFUNCTION("""COMPUTED_VALUE"""),"18-29")</f>
        <v>18-29</v>
      </c>
      <c r="AG1012" s="6"/>
      <c r="AH1012" s="6"/>
      <c r="AI1012" s="6"/>
      <c r="AJ1012" s="6"/>
      <c r="AK1012" s="6"/>
      <c r="AL1012" s="6"/>
      <c r="AM1012" s="6"/>
    </row>
    <row r="1013">
      <c r="A1013" s="6">
        <v>1012.0</v>
      </c>
      <c r="B1013" s="6" t="str">
        <f>IFERROR(__xludf.DUMMYFUNCTION("""COMPUTED_VALUE"""),"Пенсионер")</f>
        <v>Пенсионер</v>
      </c>
      <c r="C1013" s="6" t="str">
        <f>IFERROR(__xludf.DUMMYFUNCTION("""COMPUTED_VALUE"""),"Нет")</f>
        <v>Нет</v>
      </c>
      <c r="D1013" s="6" t="str">
        <f>IFERROR(__xludf.DUMMYFUNCTION("""COMPUTED_VALUE"""),"Лесная поляна, поляна")</f>
        <v>Лесная поляна, поляна</v>
      </c>
      <c r="E1013" s="6" t="str">
        <f>IFERROR(__xludf.DUMMYFUNCTION("""COMPUTED_VALUE"""),"Смотровая площадка")</f>
        <v>Смотровая площадка</v>
      </c>
      <c r="F1013" s="6" t="str">
        <f>IFERROR(__xludf.DUMMYFUNCTION("""COMPUTED_VALUE"""),"Переехал сюда из другого места (откуда? укажите в графе другое), Переехали из ленинска- кузнецкого, поближе к сыну")</f>
        <v>Переехал сюда из другого места (откуда? укажите в графе другое), Переехали из ленинска- кузнецкого, поближе к сыну</v>
      </c>
      <c r="G1013" s="6" t="str">
        <f>IFERROR(__xludf.DUMMYFUNCTION("""COMPUTED_VALUE"""),"Гуляем по Лесной поляне, ходим в музей, парки, театры")</f>
        <v>Гуляем по Лесной поляне, ходим в музей, парки, театры</v>
      </c>
      <c r="H1013" s="6" t="str">
        <f>IFERROR(__xludf.DUMMYFUNCTION("""COMPUTED_VALUE"""),"Кузбасс, Томь, уголь, университет, областной центр")</f>
        <v>Кузбасс, Томь, уголь, университет, областной центр</v>
      </c>
      <c r="I1013" s="6" t="str">
        <f>IFERROR(__xludf.DUMMYFUNCTION("""COMPUTED_VALUE"""),"Михайло Волков")</f>
        <v>Михайло Волков</v>
      </c>
      <c r="J1013" s="6" t="str">
        <f>IFERROR(__xludf.DUMMYFUNCTION("""COMPUTED_VALUE"""),"Глава города Михайлов")</f>
        <v>Глава города Михайлов</v>
      </c>
      <c r="K1013" s="6" t="str">
        <f>IFERROR(__xludf.DUMMYFUNCTION("""COMPUTED_VALUE"""),"Набережную Томи, площадь Волкова, КузГТУ")</f>
        <v>Набережную Томи, площадь Волкова, КузГТУ</v>
      </c>
      <c r="L1013" s="6" t="str">
        <f>IFERROR(__xludf.DUMMYFUNCTION("""COMPUTED_VALUE"""),"Не знаю")</f>
        <v>Не знаю</v>
      </c>
      <c r="M1013" s="6" t="str">
        <f>IFERROR(__xludf.DUMMYFUNCTION("""COMPUTED_VALUE"""),"Не знаю")</f>
        <v>Не знаю</v>
      </c>
      <c r="N1013" s="6" t="str">
        <f>IFERROR(__xludf.DUMMYFUNCTION("""COMPUTED_VALUE"""),"Чистота,  уют, вежливые и внимательные горожане, доступная медицина.")</f>
        <v>Чистота,  уют, вежливые и внимательные горожане, доступная медицина.</v>
      </c>
      <c r="O1013" s="6" t="str">
        <f>IFERROR(__xludf.DUMMYFUNCTION("""COMPUTED_VALUE"""),"Улучшить систему здравоохранения")</f>
        <v>Улучшить систему здравоохранения</v>
      </c>
      <c r="P1013" s="6" t="str">
        <f>IFERROR(__xludf.DUMMYFUNCTION("""COMPUTED_VALUE"""),"Инстаграм ")</f>
        <v>Инстаграм </v>
      </c>
      <c r="Q1013"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1013" s="6" t="str">
        <f>IFERROR(__xludf.DUMMYFUNCTION("""COMPUTED_VALUE"""),"День города, 9 мая")</f>
        <v>День города, 9 мая</v>
      </c>
      <c r="S1013" s="6" t="str">
        <f>IFERROR(__xludf.DUMMYFUNCTION("""COMPUTED_VALUE"""),"Нет, не приходилось")</f>
        <v>Нет, не приходилось</v>
      </c>
      <c r="T1013" s="6" t="str">
        <f>IFERROR(__xludf.DUMMYFUNCTION("""COMPUTED_VALUE"""),"Томская писаница")</f>
        <v>Томская писаница</v>
      </c>
      <c r="U1013" s="6" t="str">
        <f>IFERROR(__xludf.DUMMYFUNCTION("""COMPUTED_VALUE"""),"Площадь советов, набережная")</f>
        <v>Площадь советов, набережная</v>
      </c>
      <c r="V1013" s="6" t="str">
        <f>IFERROR(__xludf.DUMMYFUNCTION("""COMPUTED_VALUE"""),"Затрудняюсь ответить")</f>
        <v>Затрудняюсь ответить</v>
      </c>
      <c r="W1013" s="6" t="str">
        <f>IFERROR(__xludf.DUMMYFUNCTION("""COMPUTED_VALUE"""),"Отзывчивые, весёлые ")</f>
        <v>Отзывчивые, весёлые </v>
      </c>
      <c r="X1013" s="6" t="str">
        <f>IFERROR(__xludf.DUMMYFUNCTION("""COMPUTED_VALUE"""),"Прогулка по ул Весенней и вдоль набережной до парка чудес")</f>
        <v>Прогулка по ул Весенней и вдоль набережной до парка чудес</v>
      </c>
      <c r="Y1013" s="6" t="str">
        <f>IFERROR(__xludf.DUMMYFUNCTION("""COMPUTED_VALUE"""),"Затрудняюсь ответить")</f>
        <v>Затрудняюсь ответить</v>
      </c>
      <c r="Z1013" s="6" t="str">
        <f>IFERROR(__xludf.DUMMYFUNCTION("""COMPUTED_VALUE"""),"Рок фестиваль")</f>
        <v>Рок фестиваль</v>
      </c>
      <c r="AA1013" s="6" t="str">
        <f>IFERROR(__xludf.DUMMYFUNCTION("""COMPUTED_VALUE"""),"Зимняя вишня")</f>
        <v>Зимняя вишня</v>
      </c>
      <c r="AB1013" s="6" t="str">
        <f>IFERROR(__xludf.DUMMYFUNCTION("""COMPUTED_VALUE"""),"Затрудняюсь ответить")</f>
        <v>Затрудняюсь ответить</v>
      </c>
      <c r="AC1013" s="6" t="str">
        <f>IFERROR(__xludf.DUMMYFUNCTION("""COMPUTED_VALUE"""),"Всего достаточно")</f>
        <v>Всего достаточно</v>
      </c>
      <c r="AD101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13" s="6" t="str">
        <f>IFERROR(__xludf.DUMMYFUNCTION("""COMPUTED_VALUE"""),"Женский")</f>
        <v>Женский</v>
      </c>
      <c r="AF1013" s="6" t="str">
        <f>IFERROR(__xludf.DUMMYFUNCTION("""COMPUTED_VALUE"""),"старше 55")</f>
        <v>старше 55</v>
      </c>
      <c r="AG1013" s="6"/>
      <c r="AH1013" s="6"/>
      <c r="AI1013" s="6"/>
      <c r="AJ1013" s="6"/>
      <c r="AK1013" s="6"/>
      <c r="AL1013" s="6"/>
      <c r="AM1013" s="6"/>
    </row>
    <row r="1014">
      <c r="A1014" s="6">
        <v>1013.0</v>
      </c>
      <c r="B1014" s="6" t="str">
        <f>IFERROR(__xludf.DUMMYFUNCTION("""COMPUTED_VALUE"""),"работаю контролёром в театре")</f>
        <v>работаю контролёром в театре</v>
      </c>
      <c r="C1014" s="6" t="str">
        <f>IFERROR(__xludf.DUMMYFUNCTION("""COMPUTED_VALUE"""),"вязание, вышивание, выращивание роз")</f>
        <v>вязание, вышивание, выращивание роз</v>
      </c>
      <c r="D1014" s="6" t="str">
        <f>IFERROR(__xludf.DUMMYFUNCTION("""COMPUTED_VALUE"""),"в Кировском")</f>
        <v>в Кировском</v>
      </c>
      <c r="E1014" s="6" t="str">
        <f>IFERROR(__xludf.DUMMYFUNCTION("""COMPUTED_VALUE"""),"берёзовая роща, набережная Томи")</f>
        <v>берёзовая роща, набережная Томи</v>
      </c>
      <c r="F1014" s="6" t="str">
        <f>IFERROR(__xludf.DUMMYFUNCTION("""COMPUTED_VALUE"""),"Переехал сюда из другого места (откуда? укажите в графе другое), живу более 40 лет")</f>
        <v>Переехал сюда из другого места (откуда? укажите в графе другое), живу более 40 лет</v>
      </c>
      <c r="G1014" s="6" t="str">
        <f>IFERROR(__xludf.DUMMYFUNCTION("""COMPUTED_VALUE"""),"в театры, музеи")</f>
        <v>в театры, музеи</v>
      </c>
      <c r="H1014" s="6" t="str">
        <f>IFERROR(__xludf.DUMMYFUNCTION("""COMPUTED_VALUE"""),"площадь, проспект, театр, музей, выставки")</f>
        <v>площадь, проспект, театр, музей, выставки</v>
      </c>
      <c r="I1014" s="6" t="str">
        <f>IFERROR(__xludf.DUMMYFUNCTION("""COMPUTED_VALUE"""),"Владимир Мазаев, Алексей Леонов, Василий Фёдоров, Вера Волошина, Юрий Двужильный, Аман Тулеев")</f>
        <v>Владимир Мазаев, Алексей Леонов, Василий Фёдоров, Вера Волошина, Юрий Двужильный, Аман Тулеев</v>
      </c>
      <c r="J1014" s="6" t="str">
        <f>IFERROR(__xludf.DUMMYFUNCTION("""COMPUTED_VALUE"""),"Капитолина Николаева, Татьяна Торбенко, Алексей Разуков, Анатолий Муравьёв")</f>
        <v>Капитолина Николаева, Татьяна Торбенко, Алексей Разуков, Анатолий Муравьёв</v>
      </c>
      <c r="K1014" s="6" t="str">
        <f>IFERROR(__xludf.DUMMYFUNCTION("""COMPUTED_VALUE"""),"Писаные скалы, ботанический сад и свой сад в Подъяково")</f>
        <v>Писаные скалы, ботанический сад и свой сад в Подъяково</v>
      </c>
      <c r="L1014" s="6" t="str">
        <f>IFERROR(__xludf.DUMMYFUNCTION("""COMPUTED_VALUE"""),"не знаю")</f>
        <v>не знаю</v>
      </c>
      <c r="M1014" s="6" t="str">
        <f>IFERROR(__xludf.DUMMYFUNCTION("""COMPUTED_VALUE"""),"не знаю")</f>
        <v>не знаю</v>
      </c>
      <c r="N1014" s="6" t="str">
        <f>IFERROR(__xludf.DUMMYFUNCTION("""COMPUTED_VALUE"""),"дороги, автобусы, чистота, скверы, детские площадки")</f>
        <v>дороги, автобусы, чистота, скверы, детские площадки</v>
      </c>
      <c r="O1014" s="6" t="str">
        <f>IFERROR(__xludf.DUMMYFUNCTION("""COMPUTED_VALUE"""),"в Кировском районе произвести ремонт фасадов зданий")</f>
        <v>в Кировском районе произвести ремонт фасадов зданий</v>
      </c>
      <c r="P1014" s="6" t="str">
        <f>IFERROR(__xludf.DUMMYFUNCTION("""COMPUTED_VALUE"""),"телевидение")</f>
        <v>телевидение</v>
      </c>
      <c r="Q1014"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Др"&amp;"угое свои предложения)")</f>
        <v>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014" s="6" t="str">
        <f>IFERROR(__xludf.DUMMYFUNCTION("""COMPUTED_VALUE"""),"новогодние и день города")</f>
        <v>новогодние и день города</v>
      </c>
      <c r="S1014" s="6" t="str">
        <f>IFERROR(__xludf.DUMMYFUNCTION("""COMPUTED_VALUE"""),"Нет, не приходилось")</f>
        <v>Нет, не приходилось</v>
      </c>
      <c r="T1014" s="6" t="str">
        <f>IFERROR(__xludf.DUMMYFUNCTION("""COMPUTED_VALUE"""),"театр драмы, театр кукол, краеведческий музей, картинная галерея, сосновый бор, ботанический сад, набережная в Кировском районе")</f>
        <v>театр драмы, театр кукол, краеведческий музей, картинная галерея, сосновый бор, ботанический сад, набережная в Кировском районе</v>
      </c>
      <c r="U1014" s="6" t="str">
        <f>IFERROR(__xludf.DUMMYFUNCTION("""COMPUTED_VALUE"""),"театр драмы")</f>
        <v>театр драмы</v>
      </c>
      <c r="V1014" s="6" t="str">
        <f>IFERROR(__xludf.DUMMYFUNCTION("""COMPUTED_VALUE"""),"Построили заводы: Азот, Прогресс, Коммунар, Анилинокрасочный, Кокс, Химволокно... Построили много школ, детских садов, больниц, скверов и садов...")</f>
        <v>Построили заводы: Азот, Прогресс, Коммунар, Анилинокрасочный, Кокс, Химволокно... Построили много школ, детских садов, больниц, скверов и садов...</v>
      </c>
      <c r="W1014" s="6" t="str">
        <f>IFERROR(__xludf.DUMMYFUNCTION("""COMPUTED_VALUE"""),"Отзывчивые, гордые, интересные, дружелюбные, весёлые, разные")</f>
        <v>Отзывчивые, гордые, интересные, дружелюбные, весёлые, разные</v>
      </c>
      <c r="X1014" s="6" t="str">
        <f>IFERROR(__xludf.DUMMYFUNCTION("""COMPUTED_VALUE"""),"из Кемерово в Писаные скалы")</f>
        <v>из Кемерово в Писаные скалы</v>
      </c>
      <c r="Y1014" s="6" t="str">
        <f>IFERROR(__xludf.DUMMYFUNCTION("""COMPUTED_VALUE"""),"открытие памятника павшим в боях на набережной Томи")</f>
        <v>открытие памятника павшим в боях на набережной Томи</v>
      </c>
      <c r="Z1014" s="6" t="str">
        <f>IFERROR(__xludf.DUMMYFUNCTION("""COMPUTED_VALUE"""),"в краеведческом музее ремонт и новые экспозиции, спектакли в театре кукол и театре драмы, а также в музыкальном театре")</f>
        <v>в краеведческом музее ремонт и новые экспозиции, спектакли в театре кукол и театре драмы, а также в музыкальном театре</v>
      </c>
      <c r="AA1014" s="6" t="str">
        <f>IFERROR(__xludf.DUMMYFUNCTION("""COMPUTED_VALUE"""),"ремонт дорог в Кировском районе")</f>
        <v>ремонт дорог в Кировском районе</v>
      </c>
      <c r="AB1014" s="6" t="str">
        <f>IFERROR(__xludf.DUMMYFUNCTION("""COMPUTED_VALUE"""),"в этом нет проблем")</f>
        <v>в этом нет проблем</v>
      </c>
      <c r="AC1014" s="6" t="str">
        <f>IFERROR(__xludf.DUMMYFUNCTION("""COMPUTED_VALUE"""),"больше спортивных мероприятий")</f>
        <v>больше спортивных мероприятий</v>
      </c>
      <c r="AD1014"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014" s="6" t="str">
        <f>IFERROR(__xludf.DUMMYFUNCTION("""COMPUTED_VALUE"""),"Женский")</f>
        <v>Женский</v>
      </c>
      <c r="AF1014" s="6" t="str">
        <f>IFERROR(__xludf.DUMMYFUNCTION("""COMPUTED_VALUE"""),"старше 55")</f>
        <v>старше 55</v>
      </c>
      <c r="AG1014" s="6"/>
      <c r="AH1014" s="6"/>
      <c r="AI1014" s="6"/>
      <c r="AJ1014" s="6"/>
      <c r="AK1014" s="6"/>
      <c r="AL1014" s="6"/>
      <c r="AM1014" s="6"/>
    </row>
    <row r="1015">
      <c r="A1015" s="6">
        <v>1014.0</v>
      </c>
      <c r="B1015" s="6" t="str">
        <f>IFERROR(__xludf.DUMMYFUNCTION("""COMPUTED_VALUE"""),"Юрист")</f>
        <v>Юрист</v>
      </c>
      <c r="C1015" s="6" t="str">
        <f>IFERROR(__xludf.DUMMYFUNCTION("""COMPUTED_VALUE"""),"Путешествия")</f>
        <v>Путешествия</v>
      </c>
      <c r="D1015" s="6" t="str">
        <f>IFERROR(__xludf.DUMMYFUNCTION("""COMPUTED_VALUE"""),"Кировский район")</f>
        <v>Кировский район</v>
      </c>
      <c r="E1015" s="6" t="str">
        <f>IFERROR(__xludf.DUMMYFUNCTION("""COMPUTED_VALUE"""),"Набережная Кировского района ""Берёзовая роща"". Берёзовая роща в центре Кировского района. ")</f>
        <v>Набережная Кировского района "Берёзовая роща". Берёзовая роща в центре Кировского района. </v>
      </c>
      <c r="F1015" s="6" t="str">
        <f>IFERROR(__xludf.DUMMYFUNCTION("""COMPUTED_VALUE"""),"Живу здесь с рождения")</f>
        <v>Живу здесь с рождения</v>
      </c>
      <c r="G1015" s="6" t="str">
        <f>IFERROR(__xludf.DUMMYFUNCTION("""COMPUTED_VALUE"""),"Сосновый бор, Набережная Центрального и Кировского районов, ""Парк Ангелов"", ул. Весенняя. ")</f>
        <v>Сосновый бор, Набережная Центрального и Кировского районов, "Парк Ангелов", ул. Весенняя. </v>
      </c>
      <c r="H1015" s="6" t="str">
        <f>IFERROR(__xludf.DUMMYFUNCTION("""COMPUTED_VALUE"""),"Зелёный, опрятный, аккуратный, развивающийся, спокойный.")</f>
        <v>Зелёный, опрятный, аккуратный, развивающийся, спокойный.</v>
      </c>
      <c r="I1015" s="6" t="str">
        <f>IFERROR(__xludf.DUMMYFUNCTION("""COMPUTED_VALUE"""),"Михайло Волков, Алексей Леонов, Григорий Гришковец")</f>
        <v>Михайло Волков, Алексей Леонов, Григорий Гришковец</v>
      </c>
      <c r="J1015" s="6" t="str">
        <f>IFERROR(__xludf.DUMMYFUNCTION("""COMPUTED_VALUE""")," Не знаю таких, каждый вносит свой посильный вклад.")</f>
        <v> Не знаю таких, каждый вносит свой посильный вклад.</v>
      </c>
      <c r="K1015" s="6" t="str">
        <f>IFERROR(__xludf.DUMMYFUNCTION("""COMPUTED_VALUE"""),"Архитектурный ансамбль в центральной части города: ул. Н. Островского, Парк Чудес, ул. Весенняя, Арочная, Притомская набережная, ул. Орджоникидзе, Парк Ангелов. Кафе Ребро на Ноградской, ресторан Порт42, Драмтеатр.")</f>
        <v>Архитектурный ансамбль в центральной части города: ул. Н. Островского, Парк Чудес, ул. Весенняя, Арочная, Притомская набережная, ул. Орджоникидзе, Парк Ангелов. Кафе Ребро на Ноградской, ресторан Порт42, Драмтеатр.</v>
      </c>
      <c r="L1015" s="6" t="str">
        <f>IFERROR(__xludf.DUMMYFUNCTION("""COMPUTED_VALUE"""),"Не знаю таких. ")</f>
        <v>Не знаю таких. </v>
      </c>
      <c r="M1015" s="6" t="str">
        <f>IFERROR(__xludf.DUMMYFUNCTION("""COMPUTED_VALUE"""),"""Кемерово - не склоняется!""")</f>
        <v>"Кемерово - не склоняется!"</v>
      </c>
      <c r="N1015" s="6" t="str">
        <f>IFERROR(__xludf.DUMMYFUNCTION("""COMPUTED_VALUE"""),"Не шумный, много зон отдыха, архитектурная ценность и разнообразный жилищный фонд, экономически развивающийся.")</f>
        <v>Не шумный, много зон отдыха, архитектурная ценность и разнообразный жилищный фонд, экономически развивающийся.</v>
      </c>
      <c r="O1015" s="6" t="str">
        <f>IFERROR(__xludf.DUMMYFUNCTION("""COMPUTED_VALUE"""),"Отношение людей к чистоте своего города, общественного транспорта мало, привлечение крупных торговых сетей в торговые центры города. Очистка города от центра к переферии от бараков и списанного жилфонда.")</f>
        <v>Отношение людей к чистоте своего города, общественного транспорта мало, привлечение крупных торговых сетей в торговые центры города. Очистка города от центра к переферии от бараков и списанного жилфонда.</v>
      </c>
      <c r="P1015" s="6" t="str">
        <f>IFERROR(__xludf.DUMMYFUNCTION("""COMPUTED_VALUE"""),"Вконтакте (Vse42.ru, Авокадо) Радио Кузбасс ФМ, Телеканал Кузбасс 1.")</f>
        <v>Вконтакте (Vse42.ru, Авокадо) Радио Кузбасс ФМ, Телеканал Кузбасс 1.</v>
      </c>
      <c r="Q1015"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 И многое другое...")</f>
        <v>городская афиша (кино/театр/концерты), криминальные новости (происшествия/преступления), результаты местных исследований (рейтинги/аналитика/тенденции), И многое другое...</v>
      </c>
      <c r="R1015" s="6" t="str">
        <f>IFERROR(__xludf.DUMMYFUNCTION("""COMPUTED_VALUE"""),"Иван Купала в Томской Писаннице, Рожденственские ярмарки")</f>
        <v>Иван Купала в Томской Писаннице, Рожденственские ярмарки</v>
      </c>
      <c r="S1015" s="6" t="str">
        <f>IFERROR(__xludf.DUMMYFUNCTION("""COMPUTED_VALUE"""),"Обращался в редакции электронных городских СМИ")</f>
        <v>Обращался в редакции электронных городских СМИ</v>
      </c>
      <c r="T1015" s="6" t="str">
        <f>IFERROR(__xludf.DUMMYFUNCTION("""COMPUTED_VALUE"""),"Простор проспектов и большой природный парк в центре города! Песней Боиса Гребенщикова ""Человек из Кемерово"") Огромной ГЭС в центре города и трассой федерального значения через весь город. Красивое и ухоженное жильё. ")</f>
        <v>Простор проспектов и большой природный парк в центре города! Песней Боиса Гребенщикова "Человек из Кемерово") Огромной ГЭС в центре города и трассой федерального значения через весь город. Красивое и ухоженное жильё. </v>
      </c>
      <c r="U1015" s="6" t="str">
        <f>IFERROR(__xludf.DUMMYFUNCTION("""COMPUTED_VALUE"""),"Кемеровская ТЭЦ, Площадь Советов, ЦУМ на ул. Кирова. ""Швейка"".")</f>
        <v>Кемеровская ТЭЦ, Площадь Советов, ЦУМ на ул. Кирова. "Швейка".</v>
      </c>
      <c r="V1015" s="6" t="str">
        <f>IFERROR(__xludf.DUMMYFUNCTION("""COMPUTED_VALUE"""),"Создали стройный и правильный по архитектуре город. Озеленили и облагородили заболоченные участки дикой земли.")</f>
        <v>Создали стройный и правильный по архитектуре город. Озеленили и облагородили заболоченные участки дикой земли.</v>
      </c>
      <c r="W1015" s="6" t="str">
        <f>IFERROR(__xludf.DUMMYFUNCTION("""COMPUTED_VALUE"""),"Вежливый, спокойный, гостепреимный.")</f>
        <v>Вежливый, спокойный, гостепреимный.</v>
      </c>
      <c r="X1015" s="6" t="str">
        <f>IFERROR(__xludf.DUMMYFUNCTION("""COMPUTED_VALUE"""),"Музей ""Красная горка"", Сосновыц бор, ""Горсад"", притомская набережная, ул.Пушкина, Площадь Советов, Проспект Советский, Весенняя.")</f>
        <v>Музей "Красная горка", Сосновыц бор, "Горсад", притомская набережная, ул.Пушкина, Площадь Советов, Проспект Советский, Весенняя.</v>
      </c>
      <c r="Y1015" s="6" t="str">
        <f>IFERROR(__xludf.DUMMYFUNCTION("""COMPUTED_VALUE"""),"Трагедия в Зимней вишне, одно из самых значительных событий в истории города, поалиявших в том числе на исторический и политический вектор развития города.")</f>
        <v>Трагедия в Зимней вишне, одно из самых значительных событий в истории города, поалиявших в том числе на исторический и политический вектор развития города.</v>
      </c>
      <c r="Z1015" s="6" t="str">
        <f>IFERROR(__xludf.DUMMYFUNCTION("""COMPUTED_VALUE"""),"Строительство новой инфраструктуры во дворах, программа хорошие дороги, строительство парка на месте Зимней вишни, обновление терминала аэропорта им. Леонова")</f>
        <v>Строительство новой инфраструктуры во дворах, программа хорошие дороги, строительство парка на месте Зимней вишни, обновление терминала аэропорта им. Леонова</v>
      </c>
      <c r="AA1015" s="6" t="str">
        <f>IFERROR(__xludf.DUMMYFUNCTION("""COMPUTED_VALUE"""),"В целом ничего, что потрясло бы всех горожан, кроме событий в Зимней вишне.")</f>
        <v>В целом ничего, что потрясло бы всех горожан, кроме событий в Зимней вишне.</v>
      </c>
      <c r="AB1015" s="6" t="str">
        <f>IFERROR(__xludf.DUMMYFUNCTION("""COMPUTED_VALUE"""),"Я не сторонник коллективных объединений.")</f>
        <v>Я не сторонник коллективных объединений.</v>
      </c>
      <c r="AC1015" s="6" t="str">
        <f>IFERROR(__xludf.DUMMYFUNCTION("""COMPUTED_VALUE"""),"Больше музыкальных фестивалей")</f>
        <v>Больше музыкальных фестивалей</v>
      </c>
      <c r="AD1015" s="6" t="str">
        <f>IFERROR(__xludf.DUMMYFUNCTION("""COMPUTED_VALUE"""),"Не готов принимать личное участие (укажите, пожалуйста, причину в поле «Другое»), У меня иные планы и цели, знакомств еще не наработал, а времени как такогого нет, для волонтерства. Продвижением идей должны заниматься власти в консолидации с предпринимате"&amp;"льством, тогда сочетание спроса и предложения будут двигать развитие города вперёд.")</f>
        <v>Не готов принимать личное участие (укажите, пожалуйста, причину в поле «Другое»), У меня иные планы и цели, знакомств еще не наработал, а времени как такогого нет, для волонтерства. Продвижением идей должны заниматься власти в консолидации с предпринимательством, тогда сочетание спроса и предложения будут двигать развитие города вперёд.</v>
      </c>
      <c r="AE1015" s="6" t="str">
        <f>IFERROR(__xludf.DUMMYFUNCTION("""COMPUTED_VALUE"""),"Мужской")</f>
        <v>Мужской</v>
      </c>
      <c r="AF1015" s="6" t="str">
        <f>IFERROR(__xludf.DUMMYFUNCTION("""COMPUTED_VALUE"""),"18-29")</f>
        <v>18-29</v>
      </c>
      <c r="AG1015" s="6"/>
      <c r="AH1015" s="6"/>
      <c r="AI1015" s="6"/>
      <c r="AJ1015" s="6"/>
      <c r="AK1015" s="6"/>
      <c r="AL1015" s="6"/>
      <c r="AM1015" s="6"/>
    </row>
    <row r="1016">
      <c r="A1016" s="6">
        <v>1015.0</v>
      </c>
      <c r="B1016" s="6" t="str">
        <f>IFERROR(__xludf.DUMMYFUNCTION("""COMPUTED_VALUE"""),"Строительство ")</f>
        <v>Строительство </v>
      </c>
      <c r="C1016" s="6" t="str">
        <f>IFERROR(__xludf.DUMMYFUNCTION("""COMPUTED_VALUE"""),"Фотография")</f>
        <v>Фотография</v>
      </c>
      <c r="D1016" s="6" t="str">
        <f>IFERROR(__xludf.DUMMYFUNCTION("""COMPUTED_VALUE"""),"Центральный")</f>
        <v>Центральный</v>
      </c>
      <c r="E1016" s="6" t="str">
        <f>IFERROR(__xludf.DUMMYFUNCTION("""COMPUTED_VALUE"""),"Лапландия, парк Комсомольский ")</f>
        <v>Лапландия, парк Комсомольский </v>
      </c>
      <c r="F1016" s="6" t="str">
        <f>IFERROR(__xludf.DUMMYFUNCTION("""COMPUTED_VALUE"""),"Переехал сюда из другого места (откуда? укажите в графе другое), Из Междуреченска, переехал к девушке")</f>
        <v>Переехал сюда из другого места (откуда? укажите в графе другое), Из Междуреченска, переехал к девушке</v>
      </c>
      <c r="G1016" s="6" t="str">
        <f>IFERROR(__xludf.DUMMYFUNCTION("""COMPUTED_VALUE"""),"Парки городские, Бор, красное озеро")</f>
        <v>Парки городские, Бор, красное озеро</v>
      </c>
      <c r="H1016" s="6" t="str">
        <f>IFERROR(__xludf.DUMMYFUNCTION("""COMPUTED_VALUE"""),"Красное, проспект, лапландия, заводы, смог")</f>
        <v>Красное, проспект, лапландия, заводы, смог</v>
      </c>
      <c r="I1016" s="6" t="str">
        <f>IFERROR(__xludf.DUMMYFUNCTION("""COMPUTED_VALUE"""),"Не знаю")</f>
        <v>Не знаю</v>
      </c>
      <c r="J1016" s="6" t="str">
        <f>IFERROR(__xludf.DUMMYFUNCTION("""COMPUTED_VALUE"""),"Тулеев Аман Гумирович")</f>
        <v>Тулеев Аман Гумирович</v>
      </c>
      <c r="K1016" s="6" t="str">
        <f>IFERROR(__xludf.DUMMYFUNCTION("""COMPUTED_VALUE"""),"Крест, вид или моего окна:) ")</f>
        <v>Крест, вид или моего окна:) </v>
      </c>
      <c r="L1016" s="6" t="str">
        <f>IFERROR(__xludf.DUMMYFUNCTION("""COMPUTED_VALUE"""),"Кола мен, он и анекдот и история")</f>
        <v>Кола мен, он и анекдот и история</v>
      </c>
      <c r="M1016" s="6" t="str">
        <f>IFERROR(__xludf.DUMMYFUNCTION("""COMPUTED_VALUE"""),"Кемерово-Кемерова, реально даже меня бесит произношение Кемерова")</f>
        <v>Кемерово-Кемерова, реально даже меня бесит произношение Кемерова</v>
      </c>
      <c r="N1016" s="6" t="str">
        <f>IFERROR(__xludf.DUMMYFUNCTION("""COMPUTED_VALUE"""),"ЭКОЛОГИЯ, чистые улицы, нет разбитых тратуаров, урны для мусора не только у магазинов и остановок, наличие зелёных зон, парков, скверов")</f>
        <v>ЭКОЛОГИЯ, чистые улицы, нет разбитых тратуаров, урны для мусора не только у магазинов и остановок, наличие зелёных зон, парков, скверов</v>
      </c>
      <c r="O1016" s="6" t="str">
        <f>IFERROR(__xludf.DUMMYFUNCTION("""COMPUTED_VALUE"""),"Усилить контроль за аром предприятиями в черте города.")</f>
        <v>Усилить контроль за аром предприятиями в черте города.</v>
      </c>
      <c r="P1016" s="6" t="str">
        <f>IFERROR(__xludf.DUMMYFUNCTION("""COMPUTED_VALUE"""),"Инстаграмм, вк ")</f>
        <v>Инстаграмм, вк </v>
      </c>
      <c r="Q1016"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1016" s="6" t="str">
        <f>IFERROR(__xludf.DUMMYFUNCTION("""COMPUTED_VALUE"""),"День шахтера")</f>
        <v>День шахтера</v>
      </c>
      <c r="S1016" s="6" t="str">
        <f>IFERROR(__xludf.DUMMYFUNCTION("""COMPUTED_VALUE"""),"Нет, не приходилось")</f>
        <v>Нет, не приходилось</v>
      </c>
      <c r="T1016" s="6" t="str">
        <f>IFERROR(__xludf.DUMMYFUNCTION("""COMPUTED_VALUE"""),"Не знаю")</f>
        <v>Не знаю</v>
      </c>
      <c r="U1016" s="6" t="str">
        <f>IFERROR(__xludf.DUMMYFUNCTION("""COMPUTED_VALUE"""),"Лапландия, лучший и самый удобный ориентир")</f>
        <v>Лапландия, лучший и самый удобный ориентир</v>
      </c>
      <c r="V1016" s="6" t="str">
        <f>IFERROR(__xludf.DUMMYFUNCTION("""COMPUTED_VALUE"""),"Сохранили Бор ")</f>
        <v>Сохранили Бор </v>
      </c>
      <c r="W1016" s="6" t="str">
        <f>IFERROR(__xludf.DUMMYFUNCTION("""COMPUTED_VALUE"""),"Простые, немного хмурые")</f>
        <v>Простые, немного хмурые</v>
      </c>
      <c r="X1016" s="6" t="str">
        <f>IFERROR(__xludf.DUMMYFUNCTION("""COMPUTED_VALUE"""),"Набережная")</f>
        <v>Набережная</v>
      </c>
      <c r="Y1016" s="6" t="str">
        <f>IFERROR(__xludf.DUMMYFUNCTION("""COMPUTED_VALUE"""),"Не знаю")</f>
        <v>Не знаю</v>
      </c>
      <c r="Z1016" s="6" t="str">
        <f>IFERROR(__xludf.DUMMYFUNCTION("""COMPUTED_VALUE"""),"Строика  на набережной")</f>
        <v>Строика  на набережной</v>
      </c>
      <c r="AA1016" s="6" t="str">
        <f>IFERROR(__xludf.DUMMYFUNCTION("""COMPUTED_VALUE"""),"Деятельность губернатора вызывает вопросы.")</f>
        <v>Деятельность губернатора вызывает вопросы.</v>
      </c>
      <c r="AB1016" s="6" t="str">
        <f>IFERROR(__xludf.DUMMYFUNCTION("""COMPUTED_VALUE"""),"Сообщество профессиональных строителей и отделочников")</f>
        <v>Сообщество профессиональных строителей и отделочников</v>
      </c>
      <c r="AC1016" s="6" t="str">
        <f>IFERROR(__xludf.DUMMYFUNCTION("""COMPUTED_VALUE"""),"Азурите молодежного спорта ")</f>
        <v>Азурите молодежного спорта </v>
      </c>
      <c r="AD1016"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16" s="6" t="str">
        <f>IFERROR(__xludf.DUMMYFUNCTION("""COMPUTED_VALUE"""),"Мужской")</f>
        <v>Мужской</v>
      </c>
      <c r="AF1016" s="6" t="str">
        <f>IFERROR(__xludf.DUMMYFUNCTION("""COMPUTED_VALUE"""),"30-44")</f>
        <v>30-44</v>
      </c>
      <c r="AG1016" s="6"/>
      <c r="AH1016" s="6"/>
      <c r="AI1016" s="6"/>
      <c r="AJ1016" s="6"/>
      <c r="AK1016" s="6"/>
      <c r="AL1016" s="6"/>
      <c r="AM1016" s="6"/>
    </row>
    <row r="1017">
      <c r="A1017" s="6">
        <v>1016.0</v>
      </c>
      <c r="B1017" s="6" t="str">
        <f>IFERROR(__xludf.DUMMYFUNCTION("""COMPUTED_VALUE"""),"Телеком")</f>
        <v>Телеком</v>
      </c>
      <c r="C1017" s="6" t="str">
        <f>IFERROR(__xludf.DUMMYFUNCTION("""COMPUTED_VALUE"""),"Рыбалка")</f>
        <v>Рыбалка</v>
      </c>
      <c r="D1017" s="6" t="str">
        <f>IFERROR(__xludf.DUMMYFUNCTION("""COMPUTED_VALUE"""),"Лесная поляна")</f>
        <v>Лесная поляна</v>
      </c>
      <c r="E1017" s="6" t="str">
        <f>IFERROR(__xludf.DUMMYFUNCTION("""COMPUTED_VALUE"""),"Парки")</f>
        <v>Парки</v>
      </c>
      <c r="F1017" s="6" t="str">
        <f>IFERROR(__xludf.DUMMYFUNCTION("""COMPUTED_VALUE"""),"Живу здесь с рождения")</f>
        <v>Живу здесь с рождения</v>
      </c>
      <c r="G1017" s="6" t="str">
        <f>IFERROR(__xludf.DUMMYFUNCTION("""COMPUTED_VALUE"""),"Парки, лес, набережная")</f>
        <v>Парки, лес, набережная</v>
      </c>
      <c r="H1017" s="6" t="str">
        <f>IFERROR(__xludf.DUMMYFUNCTION("""COMPUTED_VALUE"""),"Серый, холодный, неэкологичный, небольшой, скучный")</f>
        <v>Серый, холодный, неэкологичный, небольшой, скучный</v>
      </c>
      <c r="I1017" s="6" t="str">
        <f>IFERROR(__xludf.DUMMYFUNCTION("""COMPUTED_VALUE"""),"Волков, Рутгерс, Ван лохем")</f>
        <v>Волков, Рутгерс, Ван лохем</v>
      </c>
      <c r="J1017" s="6" t="str">
        <f>IFERROR(__xludf.DUMMYFUNCTION("""COMPUTED_VALUE"""),"Гришковец")</f>
        <v>Гришковец</v>
      </c>
      <c r="K1017" s="6" t="str">
        <f>IFERROR(__xludf.DUMMYFUNCTION("""COMPUTED_VALUE"""),"Красная горка, краеведческий музей")</f>
        <v>Красная горка, краеведческий музей</v>
      </c>
      <c r="L1017" s="6" t="str">
        <f>IFERROR(__xludf.DUMMYFUNCTION("""COMPUTED_VALUE"""),"-")</f>
        <v>-</v>
      </c>
      <c r="M1017" s="6" t="str">
        <f>IFERROR(__xludf.DUMMYFUNCTION("""COMPUTED_VALUE"""),"Чёрное небо")</f>
        <v>Чёрное небо</v>
      </c>
      <c r="N1017" s="6" t="str">
        <f>IFERROR(__xludf.DUMMYFUNCTION("""COMPUTED_VALUE"""),"Экология, дорожная инфраструктура, рабочие места, уровень жизни, детская инфраструктура")</f>
        <v>Экология, дорожная инфраструктура, рабочие места, уровень жизни, детская инфраструктура</v>
      </c>
      <c r="O1017" s="6" t="str">
        <f>IFERROR(__xludf.DUMMYFUNCTION("""COMPUTED_VALUE"""),"Экологию")</f>
        <v>Экологию</v>
      </c>
      <c r="P1017" s="6" t="str">
        <f>IFERROR(__xludf.DUMMYFUNCTION("""COMPUTED_VALUE"""),"сибдепо авокадо")</f>
        <v>сибдепо авокадо</v>
      </c>
      <c r="Q1017" s="6" t="str">
        <f>IFERROR(__xludf.DUMMYFUNCTION("""COMPUTED_VALUE"""),"куда пойти в свободное время, городская афиша (кино/театр/концерты), интервью с местными политиками,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предп"&amp;"риятий)")</f>
        <v>куда пойти в свободное время, городская афиша (кино/театр/концерты), интервью с местными политиками,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017" s="6" t="str">
        <f>IFERROR(__xludf.DUMMYFUNCTION("""COMPUTED_VALUE"""),"День города, 9 мая, новый год")</f>
        <v>День города, 9 мая, новый год</v>
      </c>
      <c r="S1017" s="6" t="str">
        <f>IFERROR(__xludf.DUMMYFUNCTION("""COMPUTED_VALUE"""),"Нет, не приходилось")</f>
        <v>Нет, не приходилось</v>
      </c>
      <c r="T1017" s="6" t="str">
        <f>IFERROR(__xludf.DUMMYFUNCTION("""COMPUTED_VALUE"""),"Уголь")</f>
        <v>Уголь</v>
      </c>
      <c r="U1017" s="6" t="str">
        <f>IFERROR(__xludf.DUMMYFUNCTION("""COMPUTED_VALUE"""),"Площадь советов")</f>
        <v>Площадь советов</v>
      </c>
      <c r="V1017" s="6" t="str">
        <f>IFERROR(__xludf.DUMMYFUNCTION("""COMPUTED_VALUE"""),"Развитие угольной промышленности ")</f>
        <v>Развитие угольной промышленности </v>
      </c>
      <c r="W1017" s="6" t="str">
        <f>IFERROR(__xludf.DUMMYFUNCTION("""COMPUTED_VALUE"""),"Терпеливые, спокойные")</f>
        <v>Терпеливые, спокойные</v>
      </c>
      <c r="X1017" s="6" t="str">
        <f>IFERROR(__xludf.DUMMYFUNCTION("""COMPUTED_VALUE"""),"Центр города")</f>
        <v>Центр города</v>
      </c>
      <c r="Y1017" s="6" t="str">
        <f>IFERROR(__xludf.DUMMYFUNCTION("""COMPUTED_VALUE"""),"Чемпионат мира по хоккею с мячом")</f>
        <v>Чемпионат мира по хоккею с мячом</v>
      </c>
      <c r="Z1017" s="6" t="str">
        <f>IFERROR(__xludf.DUMMYFUNCTION("""COMPUTED_VALUE"""),"Ремонт дорог и дворов")</f>
        <v>Ремонт дорог и дворов</v>
      </c>
      <c r="AA1017" s="6" t="str">
        <f>IFERROR(__xludf.DUMMYFUNCTION("""COMPUTED_VALUE"""),"Статистика по СПИДу и онкологии")</f>
        <v>Статистика по СПИДу и онкологии</v>
      </c>
      <c r="AB1017" s="6" t="str">
        <f>IFERROR(__xludf.DUMMYFUNCTION("""COMPUTED_VALUE"""),"Общественных")</f>
        <v>Общественных</v>
      </c>
      <c r="AC1017" s="6" t="str">
        <f>IFERROR(__xludf.DUMMYFUNCTION("""COMPUTED_VALUE"""),"Общественные голосования по развитию города")</f>
        <v>Общественные голосования по развитию города</v>
      </c>
      <c r="AD101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17" s="6" t="str">
        <f>IFERROR(__xludf.DUMMYFUNCTION("""COMPUTED_VALUE"""),"Мужской")</f>
        <v>Мужской</v>
      </c>
      <c r="AF1017" s="6" t="str">
        <f>IFERROR(__xludf.DUMMYFUNCTION("""COMPUTED_VALUE"""),"30-44")</f>
        <v>30-44</v>
      </c>
      <c r="AG1017" s="6"/>
      <c r="AH1017" s="6"/>
      <c r="AI1017" s="6"/>
      <c r="AJ1017" s="6"/>
      <c r="AK1017" s="6"/>
      <c r="AL1017" s="6"/>
      <c r="AM1017" s="6"/>
    </row>
    <row r="1018">
      <c r="A1018" s="6">
        <v>1017.0</v>
      </c>
      <c r="B1018" s="6" t="str">
        <f>IFERROR(__xludf.DUMMYFUNCTION("""COMPUTED_VALUE"""),"учусь")</f>
        <v>учусь</v>
      </c>
      <c r="C1018" s="6" t="str">
        <f>IFERROR(__xludf.DUMMYFUNCTION("""COMPUTED_VALUE"""),"заниматься волейболом, снимать тикток, катание на лыжах и на коньках,")</f>
        <v>заниматься волейболом, снимать тикток, катание на лыжах и на коньках,</v>
      </c>
      <c r="D1018" s="6" t="str">
        <f>IFERROR(__xludf.DUMMYFUNCTION("""COMPUTED_VALUE"""),"Центральный район, 70% знаю только")</f>
        <v>Центральный район, 70% знаю только</v>
      </c>
      <c r="E1018" s="6" t="str">
        <f>IFERROR(__xludf.DUMMYFUNCTION("""COMPUTED_VALUE"""),"спортивные комплексы, фонтаны, кинотеатры")</f>
        <v>спортивные комплексы, фонтаны, кинотеатры</v>
      </c>
      <c r="F1018" s="6" t="str">
        <f>IFERROR(__xludf.DUMMYFUNCTION("""COMPUTED_VALUE"""),"Переехал сюда из другого места (откуда? укажите в графе другое), приехала учиться из республики тывы")</f>
        <v>Переехал сюда из другого места (откуда? укажите в графе другое), приехала учиться из республики тывы</v>
      </c>
      <c r="G1018" s="6" t="str">
        <f>IFERROR(__xludf.DUMMYFUNCTION("""COMPUTED_VALUE"""),"парк ангелов, на кфс, бульвар строителей")</f>
        <v>парк ангелов, на кфс, бульвар строителей</v>
      </c>
      <c r="H1018" s="6" t="str">
        <f>IFERROR(__xludf.DUMMYFUNCTION("""COMPUTED_VALUE"""),"нет ассооцииаций")</f>
        <v>нет ассооцииаций</v>
      </c>
      <c r="I1018" s="6" t="str">
        <f>IFERROR(__xludf.DUMMYFUNCTION("""COMPUTED_VALUE"""),"не знаю")</f>
        <v>не знаю</v>
      </c>
      <c r="J1018" s="6" t="str">
        <f>IFERROR(__xludf.DUMMYFUNCTION("""COMPUTED_VALUE"""),"не знаю")</f>
        <v>не знаю</v>
      </c>
      <c r="K1018" s="6" t="str">
        <f>IFERROR(__xludf.DUMMYFUNCTION("""COMPUTED_VALUE"""),"набережная, парк ангелов, бульвар строителей,")</f>
        <v>набережная, парк ангелов, бульвар строителей,</v>
      </c>
      <c r="L1018" s="6" t="str">
        <f>IFERROR(__xludf.DUMMYFUNCTION("""COMPUTED_VALUE"""),"не знаю")</f>
        <v>не знаю</v>
      </c>
      <c r="M1018" s="6" t="str">
        <f>IFERROR(__xludf.DUMMYFUNCTION("""COMPUTED_VALUE"""),"нет")</f>
        <v>нет</v>
      </c>
      <c r="N1018" s="6" t="str">
        <f>IFERROR(__xludf.DUMMYFUNCTION("""COMPUTED_VALUE"""),"ь")</f>
        <v>ь</v>
      </c>
      <c r="O1018" s="6" t="str">
        <f>IFERROR(__xludf.DUMMYFUNCTION("""COMPUTED_VALUE"""),"дома, украшения улиц")</f>
        <v>дома, украшения улиц</v>
      </c>
      <c r="P1018" s="6" t="str">
        <f>IFERROR(__xludf.DUMMYFUNCTION("""COMPUTED_VALUE"""),"в группах, ЧП КЕМЕРОВО")</f>
        <v>в группах, ЧП КЕМЕРОВО</v>
      </c>
      <c r="Q1018" s="6" t="str">
        <f>IFERROR(__xludf.DUMMYFUNCTION("""COMPUTED_VALUE"""),"где вкусно поесть/открытие новых кафе/ресторанов, культурные новинки (что почитать/что послушать), криминальные новости (происшествия/преступления)")</f>
        <v>где вкусно поесть/открытие новых кафе/ресторанов, культурные новинки (что почитать/что послушать), криминальные новости (происшествия/преступления)</v>
      </c>
      <c r="R1018" s="6" t="str">
        <f>IFERROR(__xludf.DUMMYFUNCTION("""COMPUTED_VALUE"""),"ВСЕ ПРАЗДНИКИ")</f>
        <v>ВСЕ ПРАЗДНИКИ</v>
      </c>
      <c r="S1018" s="6" t="str">
        <f>IFERROR(__xludf.DUMMYFUNCTION("""COMPUTED_VALUE"""),"Нет, не приходилось")</f>
        <v>Нет, не приходилось</v>
      </c>
      <c r="T1018" s="6" t="str">
        <f>IFERROR(__xludf.DUMMYFUNCTION("""COMPUTED_VALUE"""),"Кемерово- административный центр Кемеровской области")</f>
        <v>Кемерово- административный центр Кемеровской области</v>
      </c>
      <c r="U1018" s="6" t="str">
        <f>IFERROR(__xludf.DUMMYFUNCTION("""COMPUTED_VALUE"""),"площадь советов")</f>
        <v>площадь советов</v>
      </c>
      <c r="V1018" s="6" t="str">
        <f>IFERROR(__xludf.DUMMYFUNCTION("""COMPUTED_VALUE"""),"ь")</f>
        <v>ь</v>
      </c>
      <c r="W1018" s="6" t="str">
        <f>IFERROR(__xludf.DUMMYFUNCTION("""COMPUTED_VALUE"""),"народ хороший и добрый ")</f>
        <v>народ хороший и добрый </v>
      </c>
      <c r="X1018" s="6" t="str">
        <f>IFERROR(__xludf.DUMMYFUNCTION("""COMPUTED_VALUE"""),"бульвар строителей")</f>
        <v>бульвар строителей</v>
      </c>
      <c r="Y1018" s="6" t="str">
        <f>IFERROR(__xludf.DUMMYFUNCTION("""COMPUTED_VALUE"""),"ь")</f>
        <v>ь</v>
      </c>
      <c r="Z1018" s="6" t="str">
        <f>IFERROR(__xludf.DUMMYFUNCTION("""COMPUTED_VALUE"""),"развлечения")</f>
        <v>развлечения</v>
      </c>
      <c r="AA1018" s="6" t="str">
        <f>IFERROR(__xludf.DUMMYFUNCTION("""COMPUTED_VALUE"""),"ь")</f>
        <v>ь</v>
      </c>
      <c r="AB1018" s="6" t="str">
        <f>IFERROR(__xludf.DUMMYFUNCTION("""COMPUTED_VALUE"""),"никаких")</f>
        <v>никаких</v>
      </c>
      <c r="AC1018" s="6" t="str">
        <f>IFERROR(__xludf.DUMMYFUNCTION("""COMPUTED_VALUE"""),"ь")</f>
        <v>ь</v>
      </c>
      <c r="AD101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v>
      </c>
      <c r="AE1018" s="6" t="str">
        <f>IFERROR(__xludf.DUMMYFUNCTION("""COMPUTED_VALUE"""),"Женский")</f>
        <v>Женский</v>
      </c>
      <c r="AF1018" s="6" t="str">
        <f>IFERROR(__xludf.DUMMYFUNCTION("""COMPUTED_VALUE"""),"18-29")</f>
        <v>18-29</v>
      </c>
      <c r="AG1018" s="6"/>
      <c r="AH1018" s="6"/>
      <c r="AI1018" s="6"/>
      <c r="AJ1018" s="6"/>
      <c r="AK1018" s="6"/>
      <c r="AL1018" s="6"/>
      <c r="AM1018" s="6"/>
    </row>
    <row r="1019">
      <c r="A1019" s="6">
        <v>1018.0</v>
      </c>
      <c r="B1019" s="6" t="str">
        <f>IFERROR(__xludf.DUMMYFUNCTION("""COMPUTED_VALUE"""),"Социальная сфера ")</f>
        <v>Социальная сфера </v>
      </c>
      <c r="C1019" s="6" t="str">
        <f>IFERROR(__xludf.DUMMYFUNCTION("""COMPUTED_VALUE"""),"Нет")</f>
        <v>Нет</v>
      </c>
      <c r="D1019" s="6" t="str">
        <f>IFERROR(__xludf.DUMMYFUNCTION("""COMPUTED_VALUE"""),"Центральный, центр")</f>
        <v>Центральный, центр</v>
      </c>
      <c r="E1019" s="6" t="str">
        <f>IFERROR(__xludf.DUMMYFUNCTION("""COMPUTED_VALUE"""),"Аллея героев, площадь Пушкина, площадь Советов")</f>
        <v>Аллея героев, площадь Пушкина, площадь Советов</v>
      </c>
      <c r="F1019" s="6" t="str">
        <f>IFERROR(__xludf.DUMMYFUNCTION("""COMPUTED_VALUE"""),"Переехал сюда из другого места (откуда? укажите в графе другое),  Из Киселевска ")</f>
        <v>Переехал сюда из другого места (откуда? укажите в графе другое),  Из Киселевска </v>
      </c>
      <c r="G1019" s="6" t="str">
        <f>IFERROR(__xludf.DUMMYFUNCTION("""COMPUTED_VALUE"""),"Ул. Весенняя")</f>
        <v>Ул. Весенняя</v>
      </c>
      <c r="H1019" s="6" t="str">
        <f>IFERROR(__xludf.DUMMYFUNCTION("""COMPUTED_VALUE"""),"История, традиция, развитие, благоустройство, обновление")</f>
        <v>История, традиция, развитие, благоустройство, обновление</v>
      </c>
      <c r="I1019" s="6" t="str">
        <f>IFERROR(__xludf.DUMMYFUNCTION("""COMPUTED_VALUE"""),"Леонов")</f>
        <v>Леонов</v>
      </c>
      <c r="J1019" s="6" t="str">
        <f>IFERROR(__xludf.DUMMYFUNCTION("""COMPUTED_VALUE"""),"Не знаю ")</f>
        <v>Не знаю </v>
      </c>
      <c r="K1019" s="6" t="str">
        <f>IFERROR(__xludf.DUMMYFUNCTION("""COMPUTED_VALUE"""),"Парк Ангелов")</f>
        <v>Парк Ангелов</v>
      </c>
      <c r="L1019" s="6" t="str">
        <f>IFERROR(__xludf.DUMMYFUNCTION("""COMPUTED_VALUE"""),"Не знаю ")</f>
        <v>Не знаю </v>
      </c>
      <c r="M1019" s="6" t="str">
        <f>IFERROR(__xludf.DUMMYFUNCTION("""COMPUTED_VALUE"""),"Не знаю ")</f>
        <v>Не знаю </v>
      </c>
      <c r="N1019" s="6" t="str">
        <f>IFERROR(__xludf.DUMMYFUNCTION("""COMPUTED_VALUE"""),"Хорошие дороги, чистота, безопасность")</f>
        <v>Хорошие дороги, чистота, безопасность</v>
      </c>
      <c r="O1019" s="6" t="str">
        <f>IFERROR(__xludf.DUMMYFUNCTION("""COMPUTED_VALUE"""),"Все")</f>
        <v>Все</v>
      </c>
      <c r="P1019" s="6" t="str">
        <f>IFERROR(__xludf.DUMMYFUNCTION("""COMPUTED_VALUE"""),"Инстаграмм ")</f>
        <v>Инстаграмм </v>
      </c>
      <c r="Q1019" s="6" t="str">
        <f>IFERROR(__xludf.DUMMYFUNCTION("""COMPUTED_VALUE"""),"городская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f>
        <v>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v>
      </c>
      <c r="R1019" s="6" t="str">
        <f>IFERROR(__xludf.DUMMYFUNCTION("""COMPUTED_VALUE"""),"День Победы ")</f>
        <v>День Победы </v>
      </c>
      <c r="S1019" s="6" t="str">
        <f>IFERROR(__xludf.DUMMYFUNCTION("""COMPUTED_VALUE"""),"Нет, не приходилось")</f>
        <v>Нет, не приходилось</v>
      </c>
      <c r="T1019" s="6" t="str">
        <f>IFERROR(__xludf.DUMMYFUNCTION("""COMPUTED_VALUE"""),"Всем")</f>
        <v>Всем</v>
      </c>
      <c r="U1019" s="6" t="str">
        <f>IFERROR(__xludf.DUMMYFUNCTION("""COMPUTED_VALUE"""),"Набережная")</f>
        <v>Набережная</v>
      </c>
      <c r="V1019" s="6" t="str">
        <f>IFERROR(__xludf.DUMMYFUNCTION("""COMPUTED_VALUE"""),"Все")</f>
        <v>Все</v>
      </c>
      <c r="W1019" s="6" t="str">
        <f>IFERROR(__xludf.DUMMYFUNCTION("""COMPUTED_VALUE"""),"Разные")</f>
        <v>Разные</v>
      </c>
      <c r="X1019" s="6" t="str">
        <f>IFERROR(__xludf.DUMMYFUNCTION("""COMPUTED_VALUE"""),"Набережная")</f>
        <v>Набережная</v>
      </c>
      <c r="Y1019" s="6" t="str">
        <f>IFERROR(__xludf.DUMMYFUNCTION("""COMPUTED_VALUE"""),"Не знаю ")</f>
        <v>Не знаю </v>
      </c>
      <c r="Z1019" s="6" t="str">
        <f>IFERROR(__xludf.DUMMYFUNCTION("""COMPUTED_VALUE"""),"Никакие")</f>
        <v>Никакие</v>
      </c>
      <c r="AA1019" s="6" t="str">
        <f>IFERROR(__xludf.DUMMYFUNCTION("""COMPUTED_VALUE"""),"Никакие")</f>
        <v>Никакие</v>
      </c>
      <c r="AB1019" s="6" t="str">
        <f>IFERROR(__xludf.DUMMYFUNCTION("""COMPUTED_VALUE"""),"Мне всего хватает")</f>
        <v>Мне всего хватает</v>
      </c>
      <c r="AC1019" s="6" t="str">
        <f>IFERROR(__xludf.DUMMYFUNCTION("""COMPUTED_VALUE"""),"Затрудняюсь ответить")</f>
        <v>Затрудняюсь ответить</v>
      </c>
      <c r="AD101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019" s="6" t="str">
        <f>IFERROR(__xludf.DUMMYFUNCTION("""COMPUTED_VALUE"""),"Женский")</f>
        <v>Женский</v>
      </c>
      <c r="AF1019" s="6" t="str">
        <f>IFERROR(__xludf.DUMMYFUNCTION("""COMPUTED_VALUE"""),"45-55")</f>
        <v>45-55</v>
      </c>
      <c r="AG1019" s="6"/>
      <c r="AH1019" s="6"/>
      <c r="AI1019" s="6"/>
      <c r="AJ1019" s="6"/>
      <c r="AK1019" s="6"/>
      <c r="AL1019" s="6"/>
      <c r="AM1019" s="6"/>
    </row>
    <row r="1020">
      <c r="A1020" s="6">
        <v>1019.0</v>
      </c>
      <c r="B1020" s="6" t="str">
        <f>IFERROR(__xludf.DUMMYFUNCTION("""COMPUTED_VALUE"""),"Работник ЖКХ")</f>
        <v>Работник ЖКХ</v>
      </c>
      <c r="C1020" s="6" t="str">
        <f>IFERROR(__xludf.DUMMYFUNCTION("""COMPUTED_VALUE"""),"Рыбалка")</f>
        <v>Рыбалка</v>
      </c>
      <c r="D1020" s="6" t="str">
        <f>IFERROR(__xludf.DUMMYFUNCTION("""COMPUTED_VALUE"""),"Село")</f>
        <v>Село</v>
      </c>
      <c r="E1020" s="6" t="str">
        <f>IFERROR(__xludf.DUMMYFUNCTION("""COMPUTED_VALUE"""),"Горсад")</f>
        <v>Горсад</v>
      </c>
      <c r="F1020" s="6" t="str">
        <f>IFERROR(__xludf.DUMMYFUNCTION("""COMPUTED_VALUE"""),"Переехал сюда из другого места (откуда? укажите в графе другое), Уфа")</f>
        <v>Переехал сюда из другого места (откуда? укажите в графе другое), Уфа</v>
      </c>
      <c r="G1020" s="6" t="str">
        <f>IFERROR(__xludf.DUMMYFUNCTION("""COMPUTED_VALUE"""),"Горсад, природа")</f>
        <v>Горсад, природа</v>
      </c>
      <c r="H1020" s="6" t="str">
        <f>IFERROR(__xludf.DUMMYFUNCTION("""COMPUTED_VALUE"""),"Родина, чистота, природа, красота, теплота")</f>
        <v>Родина, чистота, природа, красота, теплота</v>
      </c>
      <c r="I1020" s="6" t="str">
        <f>IFERROR(__xludf.DUMMYFUNCTION("""COMPUTED_VALUE"""),"Овсееко ")</f>
        <v>Овсееко </v>
      </c>
      <c r="J1020" s="6" t="str">
        <f>IFERROR(__xludf.DUMMYFUNCTION("""COMPUTED_VALUE"""),"Аман Гумирович")</f>
        <v>Аман Гумирович</v>
      </c>
      <c r="K1020" s="6" t="str">
        <f>IFERROR(__xludf.DUMMYFUNCTION("""COMPUTED_VALUE"""),"Парк Ангелов ")</f>
        <v>Парк Ангелов </v>
      </c>
      <c r="L1020" s="6" t="str">
        <f>IFERROR(__xludf.DUMMYFUNCTION("""COMPUTED_VALUE"""),"Где бы ты не был, а дома лучше!")</f>
        <v>Где бы ты не был, а дома лучше!</v>
      </c>
      <c r="M1020" s="6" t="str">
        <f>IFERROR(__xludf.DUMMYFUNCTION("""COMPUTED_VALUE"""),"Колба")</f>
        <v>Колба</v>
      </c>
      <c r="N1020" s="6" t="str">
        <f>IFERROR(__xludf.DUMMYFUNCTION("""COMPUTED_VALUE"""),"Чистота, гостеприимство, красота, природа, уют!")</f>
        <v>Чистота, гостеприимство, красота, природа, уют!</v>
      </c>
      <c r="O1020" s="6" t="str">
        <f>IFERROR(__xludf.DUMMYFUNCTION("""COMPUTED_VALUE"""),"Дороги, Села")</f>
        <v>Дороги, Села</v>
      </c>
      <c r="P1020" s="6" t="str">
        <f>IFERROR(__xludf.DUMMYFUNCTION("""COMPUTED_VALUE"""),"Гудлайн ")</f>
        <v>Гудлайн </v>
      </c>
      <c r="Q1020"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1020" s="6" t="str">
        <f>IFERROR(__xludf.DUMMYFUNCTION("""COMPUTED_VALUE"""),"День города, День победы")</f>
        <v>День города, День победы</v>
      </c>
      <c r="S1020" s="6" t="str">
        <f>IFERROR(__xludf.DUMMYFUNCTION("""COMPUTED_VALUE"""),"Нет, не приходилось")</f>
        <v>Нет, не приходилось</v>
      </c>
      <c r="T1020" s="6" t="str">
        <f>IFERROR(__xludf.DUMMYFUNCTION("""COMPUTED_VALUE"""),"Разрезы, памятники")</f>
        <v>Разрезы, памятники</v>
      </c>
      <c r="U1020" s="6" t="str">
        <f>IFERROR(__xludf.DUMMYFUNCTION("""COMPUTED_VALUE"""),"Памятник шахтерам")</f>
        <v>Памятник шахтерам</v>
      </c>
      <c r="V1020" s="6" t="str">
        <f>IFERROR(__xludf.DUMMYFUNCTION("""COMPUTED_VALUE"""),"Построили и развили город ")</f>
        <v>Построили и развили город </v>
      </c>
      <c r="W1020" s="6" t="str">
        <f>IFERROR(__xludf.DUMMYFUNCTION("""COMPUTED_VALUE"""),"Дружелюбные, ")</f>
        <v>Дружелюбные, </v>
      </c>
      <c r="X1020" s="6" t="str">
        <f>IFERROR(__xludf.DUMMYFUNCTION("""COMPUTED_VALUE"""),"Пр-т Ленина- Горсад")</f>
        <v>Пр-т Ленина- Горсад</v>
      </c>
      <c r="Y1020" s="6" t="str">
        <f>IFERROR(__xludf.DUMMYFUNCTION("""COMPUTED_VALUE"""),"Открытие Парка Ангелов")</f>
        <v>Открытие Парка Ангелов</v>
      </c>
      <c r="Z1020" s="6" t="str">
        <f>IFERROR(__xludf.DUMMYFUNCTION("""COMPUTED_VALUE"""),"Постройка и переобарудование школ и детских садов!")</f>
        <v>Постройка и переобарудование школ и детских садов!</v>
      </c>
      <c r="AA1020" s="6" t="str">
        <f>IFERROR(__xludf.DUMMYFUNCTION("""COMPUTED_VALUE"""),"Нет")</f>
        <v>Нет</v>
      </c>
      <c r="AB1020" s="6" t="str">
        <f>IFERROR(__xludf.DUMMYFUNCTION("""COMPUTED_VALUE"""),"Мест отдыха с детьми на природе ")</f>
        <v>Мест отдыха с детьми на природе </v>
      </c>
      <c r="AC1020" s="6" t="str">
        <f>IFERROR(__xludf.DUMMYFUNCTION("""COMPUTED_VALUE"""),"Детские мероприятия, помощь пенсионерам!")</f>
        <v>Детские мероприятия, помощь пенсионерам!</v>
      </c>
      <c r="AD102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020" s="6" t="str">
        <f>IFERROR(__xludf.DUMMYFUNCTION("""COMPUTED_VALUE"""),"Мужской")</f>
        <v>Мужской</v>
      </c>
      <c r="AF1020" s="6" t="str">
        <f>IFERROR(__xludf.DUMMYFUNCTION("""COMPUTED_VALUE"""),"30-44")</f>
        <v>30-44</v>
      </c>
      <c r="AG1020" s="6"/>
      <c r="AH1020" s="6"/>
      <c r="AI1020" s="6"/>
      <c r="AJ1020" s="6"/>
      <c r="AK1020" s="6"/>
      <c r="AL1020" s="6"/>
      <c r="AM1020" s="6"/>
    </row>
    <row r="1021">
      <c r="A1021" s="6">
        <v>1020.0</v>
      </c>
      <c r="B1021" s="6" t="str">
        <f>IFERROR(__xludf.DUMMYFUNCTION("""COMPUTED_VALUE"""),"преподавание и научная работа")</f>
        <v>преподавание и научная работа</v>
      </c>
      <c r="C1021" s="6" t="str">
        <f>IFERROR(__xludf.DUMMYFUNCTION("""COMPUTED_VALUE"""),"чтение и просмотр анимэ")</f>
        <v>чтение и просмотр анимэ</v>
      </c>
      <c r="D1021" s="6" t="str">
        <f>IFERROR(__xludf.DUMMYFUNCTION("""COMPUTED_VALUE"""),"Рудничный")</f>
        <v>Рудничный</v>
      </c>
      <c r="E1021" s="6" t="str">
        <f>IFERROR(__xludf.DUMMYFUNCTION("""COMPUTED_VALUE"""),"Сосновый бор, ТУРР, группа торговых центров - Радуга, Север, Рио")</f>
        <v>Сосновый бор, ТУРР, группа торговых центров - Радуга, Север, Рио</v>
      </c>
      <c r="F102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021" s="6" t="str">
        <f>IFERROR(__xludf.DUMMYFUNCTION("""COMPUTED_VALUE"""),"ТРЦ Радуга")</f>
        <v>ТРЦ Радуга</v>
      </c>
      <c r="H1021" s="6" t="str">
        <f>IFERROR(__xludf.DUMMYFUNCTION("""COMPUTED_VALUE"""),"малолюдный, ненавязчивый, компактный, тихий, стагнирующий")</f>
        <v>малолюдный, ненавязчивый, компактный, тихий, стагнирующий</v>
      </c>
      <c r="I1021" s="6" t="str">
        <f>IFERROR(__xludf.DUMMYFUNCTION("""COMPUTED_VALUE"""),"Волков, Ленин")</f>
        <v>Волков, Ленин</v>
      </c>
      <c r="J1021" s="6" t="str">
        <f>IFERROR(__xludf.DUMMYFUNCTION("""COMPUTED_VALUE"""),"Захаров Ю.А. - на протяжении многих лет ректор КемГУ")</f>
        <v>Захаров Ю.А. - на протяжении многих лет ректор КемГУ</v>
      </c>
      <c r="K1021" s="6" t="str">
        <f>IFERROR(__xludf.DUMMYFUNCTION("""COMPUTED_VALUE"""),"Обзорная площадка в Сосновом бору")</f>
        <v>Обзорная площадка в Сосновом бору</v>
      </c>
      <c r="L1021" s="6" t="str">
        <f>IFERROR(__xludf.DUMMYFUNCTION("""COMPUTED_VALUE"""),"Устаревший анекдот с окончанием ""Вчера - газовая камера, позавчера - газовая камера. Сколько ж можно ?""")</f>
        <v>Устаревший анекдот с окончанием "Вчера - газовая камера, позавчера - газовая камера. Сколько ж можно ?"</v>
      </c>
      <c r="M1021" s="6" t="str">
        <f>IFERROR(__xludf.DUMMYFUNCTION("""COMPUTED_VALUE"""),"Нет")</f>
        <v>Нет</v>
      </c>
      <c r="N1021" s="6" t="str">
        <f>IFERROR(__xludf.DUMMYFUNCTION("""COMPUTED_VALUE"""),"наличие пешеходных дорожек, разнесение движения пешеходов и транспорта, эффективный общественный транспорт, доступная система общественного питания, поддержание чистоты и порядка на улицах")</f>
        <v>наличие пешеходных дорожек, разнесение движения пешеходов и транспорта, эффективный общественный транспорт, доступная система общественного питания, поддержание чистоты и порядка на улицах</v>
      </c>
      <c r="O1021" s="6" t="str">
        <f>IFERROR(__xludf.DUMMYFUNCTION("""COMPUTED_VALUE"""),"обновить трамвайный парк")</f>
        <v>обновить трамвайный парк</v>
      </c>
      <c r="P1021" s="6" t="str">
        <f>IFERROR(__xludf.DUMMYFUNCTION("""COMPUTED_VALUE"""),"от родственников")</f>
        <v>от родственников</v>
      </c>
      <c r="Q1021" s="6" t="str">
        <f>IFERROR(__xludf.DUMMYFUNCTION("""COMPUTED_VALUE"""),"интервью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f>
        <v>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021" s="6" t="str">
        <f>IFERROR(__xludf.DUMMYFUNCTION("""COMPUTED_VALUE"""),"День Шахтера")</f>
        <v>День Шахтера</v>
      </c>
      <c r="S1021" s="6" t="str">
        <f>IFERROR(__xludf.DUMMYFUNCTION("""COMPUTED_VALUE"""),"организовывал турнир по киберспорту")</f>
        <v>организовывал турнир по киберспорту</v>
      </c>
      <c r="T1021" s="6" t="str">
        <f>IFERROR(__xludf.DUMMYFUNCTION("""COMPUTED_VALUE"""),"Развитым химическим производством (в прошлом)")</f>
        <v>Развитым химическим производством (в прошлом)</v>
      </c>
      <c r="U1021" s="6" t="str">
        <f>IFERROR(__xludf.DUMMYFUNCTION("""COMPUTED_VALUE"""),"Площадь Советов")</f>
        <v>Площадь Советов</v>
      </c>
      <c r="V1021" s="6" t="str">
        <f>IFERROR(__xludf.DUMMYFUNCTION("""COMPUTED_VALUE"""),"Построили промышленные предприятия и добротное жилье")</f>
        <v>Построили промышленные предприятия и добротное жилье</v>
      </c>
      <c r="W1021" s="6" t="str">
        <f>IFERROR(__xludf.DUMMYFUNCTION("""COMPUTED_VALUE"""),"спокойный, равнодушные")</f>
        <v>спокойный, равнодушные</v>
      </c>
      <c r="X1021" s="6" t="str">
        <f>IFERROR(__xludf.DUMMYFUNCTION("""COMPUTED_VALUE"""),"Сосновый бор")</f>
        <v>Сосновый бор</v>
      </c>
      <c r="Y1021" s="6" t="str">
        <f>IFERROR(__xludf.DUMMYFUNCTION("""COMPUTED_VALUE"""),"Чемпионат Мира по хоккею с мячом")</f>
        <v>Чемпионат Мира по хоккею с мячом</v>
      </c>
      <c r="Z1021" s="6" t="str">
        <f>IFERROR(__xludf.DUMMYFUNCTION("""COMPUTED_VALUE"""),"Проложены тротуары в местах хождению людей по газону")</f>
        <v>Проложены тротуары в местах хождению людей по газону</v>
      </c>
      <c r="AA1021" s="6" t="str">
        <f>IFERROR(__xludf.DUMMYFUNCTION("""COMPUTED_VALUE"""),"Уволены ведущие ученые КемГУ")</f>
        <v>Уволены ведущие ученые КемГУ</v>
      </c>
      <c r="AB1021" s="6" t="str">
        <f>IFERROR(__xludf.DUMMYFUNCTION("""COMPUTED_VALUE"""),"Любителей анимэ")</f>
        <v>Любителей анимэ</v>
      </c>
      <c r="AC1021" s="6" t="str">
        <f>IFERROR(__xludf.DUMMYFUNCTION("""COMPUTED_VALUE"""),"Музыкальные фестивали на открытом воздухе, Дни пешеходов")</f>
        <v>Музыкальные фестивали на открытом воздухе, Дни пешеходов</v>
      </c>
      <c r="AD1021" s="6" t="str">
        <f>IFERROR(__xludf.DUMMYFUNCTION("""COMPUTED_VALUE"""),"Профессионала. Обучать, проводить занятия, мастер-классы, лекции, тренинги, оказать консультацию (укажите тему в поле ""Другое""), Химия")</f>
        <v>Профессионала. Обучать, проводить занятия, мастер-классы, лекции, тренинги, оказать консультацию (укажите тему в поле "Другое"), Химия</v>
      </c>
      <c r="AE1021" s="6" t="str">
        <f>IFERROR(__xludf.DUMMYFUNCTION("""COMPUTED_VALUE"""),"Мужской")</f>
        <v>Мужской</v>
      </c>
      <c r="AF1021" s="6" t="str">
        <f>IFERROR(__xludf.DUMMYFUNCTION("""COMPUTED_VALUE"""),"старше 55")</f>
        <v>старше 55</v>
      </c>
      <c r="AG1021" s="6"/>
      <c r="AH1021" s="6"/>
      <c r="AI1021" s="6"/>
      <c r="AJ1021" s="6"/>
      <c r="AK1021" s="6"/>
      <c r="AL1021" s="6"/>
      <c r="AM1021" s="6"/>
    </row>
    <row r="1022">
      <c r="A1022" s="6">
        <v>1021.0</v>
      </c>
      <c r="B1022" s="6" t="str">
        <f>IFERROR(__xludf.DUMMYFUNCTION("""COMPUTED_VALUE"""),"ИТ")</f>
        <v>ИТ</v>
      </c>
      <c r="C1022" s="6" t="str">
        <f>IFERROR(__xludf.DUMMYFUNCTION("""COMPUTED_VALUE"""),"Отдых на природе. Велосипед и сноуборд.")</f>
        <v>Отдых на природе. Велосипед и сноуборд.</v>
      </c>
      <c r="D1022" s="6" t="str">
        <f>IFERROR(__xludf.DUMMYFUNCTION("""COMPUTED_VALUE"""),"Лесная Поляна. ""Поляна""")</f>
        <v>Лесная Поляна. "Поляна"</v>
      </c>
      <c r="E1022" s="6" t="str">
        <f>IFERROR(__xludf.DUMMYFUNCTION("""COMPUTED_VALUE"""),"Стадион, бульвар на 2 стороны, местный ""бигбен"".")</f>
        <v>Стадион, бульвар на 2 стороны, местный "бигбен".</v>
      </c>
      <c r="F1022" s="6" t="str">
        <f>IFERROR(__xludf.DUMMYFUNCTION("""COMPUTED_VALUE"""),"Живу здесь с рождения, из Кемерово на Поляну")</f>
        <v>Живу здесь с рождения, из Кемерово на Поляну</v>
      </c>
      <c r="G1022" s="6" t="str">
        <f>IFERROR(__xludf.DUMMYFUNCTION("""COMPUTED_VALUE"""),"Центр, набережная, весенька, бор, поля в сторону Елыкаево")</f>
        <v>Центр, набережная, весенька, бор, поля в сторону Елыкаево</v>
      </c>
      <c r="H1022" s="6" t="str">
        <f>IFERROR(__xludf.DUMMYFUNCTION("""COMPUTED_VALUE"""),"Шалго, радуга, фабричка, писаница, фонтан, драма")</f>
        <v>Шалго, радуга, фабричка, писаница, фонтан, драма</v>
      </c>
      <c r="I1022" s="6" t="str">
        <f>IFERROR(__xludf.DUMMYFUNCTION("""COMPUTED_VALUE"""),"Леонов, Волков, Тулеев")</f>
        <v>Леонов, Волков, Тулеев</v>
      </c>
      <c r="J1022" s="6" t="str">
        <f>IFERROR(__xludf.DUMMYFUNCTION("""COMPUTED_VALUE"""),"Тулеев, Цивилев, Михайлов")</f>
        <v>Тулеев, Цивилев, Михайлов</v>
      </c>
      <c r="K1022" s="6" t="str">
        <f>IFERROR(__xludf.DUMMYFUNCTION("""COMPUTED_VALUE"""),"Обзорная поездка по городу. Набережная, памятник шахтерам, центр города, поляна.")</f>
        <v>Обзорная поездка по городу. Набережная, памятник шахтерам, центр города, поляна.</v>
      </c>
      <c r="L1022" s="6" t="str">
        <f>IFERROR(__xludf.DUMMYFUNCTION("""COMPUTED_VALUE"""),"Не знаю.")</f>
        <v>Не знаю.</v>
      </c>
      <c r="M1022" s="6" t="str">
        <f>IFERROR(__xludf.DUMMYFUNCTION("""COMPUTED_VALUE"""),"Шалго, радуга, фабричка ")</f>
        <v>Шалго, радуга, фабричка </v>
      </c>
      <c r="N1022" s="6" t="str">
        <f>IFERROR(__xludf.DUMMYFUNCTION("""COMPUTED_VALUE"""),"Чистота, внешний облик, инфраструктура, зоны отдыха, если мне что-то надо я могу найти в городе")</f>
        <v>Чистота, внешний облик, инфраструктура, зоны отдыха, если мне что-то надо я могу найти в городе</v>
      </c>
      <c r="O1022" s="6" t="str">
        <f>IFERROR(__xludf.DUMMYFUNCTION("""COMPUTED_VALUE"""),"очень пыльно, разобраться с деньгами за кап. ремонты(куда они уходят)")</f>
        <v>очень пыльно, разобраться с деньгами за кап. ремонты(куда они уходят)</v>
      </c>
      <c r="P1022" s="6" t="str">
        <f>IFERROR(__xludf.DUMMYFUNCTION("""COMPUTED_VALUE"""),"а42, ""сарафанное радио""")</f>
        <v>а42, "сарафанное радио"</v>
      </c>
      <c r="Q1022" s="6" t="str">
        <f>IFERROR(__xludf.DUMMYFUNCTION("""COMPUTED_VALUE"""),"где вкусно поесть/открытие новых кафе/ресторанов, криминальные новости (происшествия/преступления), результаты местных исследований (рейтинги/аналитика/тенденции)")</f>
        <v>где вкусно поесть/открытие новых кафе/ресторанов, криминальные новости (происшествия/преступления), результаты местных исследований (рейтинги/аналитика/тенденции)</v>
      </c>
      <c r="R1022" s="6" t="str">
        <f>IFERROR(__xludf.DUMMYFUNCTION("""COMPUTED_VALUE"""),"день города, 9 мая")</f>
        <v>день города, 9 мая</v>
      </c>
      <c r="S1022" s="6" t="str">
        <f>IFERROR(__xludf.DUMMYFUNCTION("""COMPUTED_VALUE"""),"Нет, не приходилось")</f>
        <v>Нет, не приходилось</v>
      </c>
      <c r="T1022" s="6" t="str">
        <f>IFERROR(__xludf.DUMMYFUNCTION("""COMPUTED_VALUE"""),"Уголь, Кузбасские конфеты")</f>
        <v>Уголь, Кузбасские конфеты</v>
      </c>
      <c r="U1022" s="6" t="str">
        <f>IFERROR(__xludf.DUMMYFUNCTION("""COMPUTED_VALUE"""),"площадь, набережная")</f>
        <v>площадь, набережная</v>
      </c>
      <c r="V1022" s="6" t="str">
        <f>IFERROR(__xludf.DUMMYFUNCTION("""COMPUTED_VALUE"""),"не знаю")</f>
        <v>не знаю</v>
      </c>
      <c r="W1022" s="6" t="str">
        <f>IFERROR(__xludf.DUMMYFUNCTION("""COMPUTED_VALUE"""),"трудолюбивые")</f>
        <v>трудолюбивые</v>
      </c>
      <c r="X1022" s="6" t="str">
        <f>IFERROR(__xludf.DUMMYFUNCTION("""COMPUTED_VALUE"""),"набережная и по центру")</f>
        <v>набережная и по центру</v>
      </c>
      <c r="Y1022" s="6" t="str">
        <f>IFERROR(__xludf.DUMMYFUNCTION("""COMPUTED_VALUE"""),"явного ничего не приходит в голову из предложенного. а так, к сожалению, зимняя вишня")</f>
        <v>явного ничего не приходит в голову из предложенного. а так, к сожалению, зимняя вишня</v>
      </c>
      <c r="Z1022" s="6" t="str">
        <f>IFERROR(__xludf.DUMMYFUNCTION("""COMPUTED_VALUE"""),"много строеек")</f>
        <v>много строеек</v>
      </c>
      <c r="AA1022" s="6" t="str">
        <f>IFERROR(__xludf.DUMMYFUNCTION("""COMPUTED_VALUE"""),"за 2 года нет таких. больше - зимняя вишня")</f>
        <v>за 2 года нет таких. больше - зимняя вишня</v>
      </c>
      <c r="AB1022" s="6" t="str">
        <f>IFERROR(__xludf.DUMMYFUNCTION("""COMPUTED_VALUE"""),"всего хватает")</f>
        <v>всего хватает</v>
      </c>
      <c r="AC1022" s="6" t="str">
        <f>IFERROR(__xludf.DUMMYFUNCTION("""COMPUTED_VALUE"""),"больше андеграунд мест")</f>
        <v>больше андеграунд мест</v>
      </c>
      <c r="AD102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v>
      </c>
      <c r="AE1022" s="6" t="str">
        <f>IFERROR(__xludf.DUMMYFUNCTION("""COMPUTED_VALUE"""),"Мужской")</f>
        <v>Мужской</v>
      </c>
      <c r="AF1022" s="6" t="str">
        <f>IFERROR(__xludf.DUMMYFUNCTION("""COMPUTED_VALUE"""),"18-29")</f>
        <v>18-29</v>
      </c>
      <c r="AG1022" s="6"/>
      <c r="AH1022" s="6"/>
      <c r="AI1022" s="6"/>
      <c r="AJ1022" s="6"/>
      <c r="AK1022" s="6"/>
      <c r="AL1022" s="6"/>
      <c r="AM1022" s="6"/>
    </row>
    <row r="1023">
      <c r="A1023" s="6">
        <v>1022.0</v>
      </c>
      <c r="B1023" s="6" t="str">
        <f>IFERROR(__xludf.DUMMYFUNCTION("""COMPUTED_VALUE"""),"бухгалтерия")</f>
        <v>бухгалтерия</v>
      </c>
      <c r="C1023" s="6" t="str">
        <f>IFERROR(__xludf.DUMMYFUNCTION("""COMPUTED_VALUE"""),"Танцы")</f>
        <v>Танцы</v>
      </c>
      <c r="D1023" s="6" t="str">
        <f>IFERROR(__xludf.DUMMYFUNCTION("""COMPUTED_VALUE"""),"Металлплощадка")</f>
        <v>Металлплощадка</v>
      </c>
      <c r="E1023" s="6" t="str">
        <f>IFERROR(__xludf.DUMMYFUNCTION("""COMPUTED_VALUE"""),"Бор, набережная, остров")</f>
        <v>Бор, набережная, остров</v>
      </c>
      <c r="F1023" s="6" t="str">
        <f>IFERROR(__xludf.DUMMYFUNCTION("""COMPUTED_VALUE"""),"Живу здесь с рождения")</f>
        <v>Живу здесь с рождения</v>
      </c>
      <c r="G1023" s="6" t="str">
        <f>IFERROR(__xludf.DUMMYFUNCTION("""COMPUTED_VALUE"""),"Парк Кемеровского Района, Рудничный бор (Терешкова)")</f>
        <v>Парк Кемеровского Района, Рудничный бор (Терешкова)</v>
      </c>
      <c r="H1023" s="6" t="str">
        <f>IFERROR(__xludf.DUMMYFUNCTION("""COMPUTED_VALUE"""),"уголь, ")</f>
        <v>уголь, </v>
      </c>
      <c r="I1023" s="6" t="str">
        <f>IFERROR(__xludf.DUMMYFUNCTION("""COMPUTED_VALUE"""),"Рутгерс, Леонов, Сарыгин")</f>
        <v>Рутгерс, Леонов, Сарыгин</v>
      </c>
      <c r="J1023" s="6" t="str">
        <f>IFERROR(__xludf.DUMMYFUNCTION("""COMPUTED_VALUE"""),"не знаю")</f>
        <v>не знаю</v>
      </c>
      <c r="K1023" s="6" t="str">
        <f>IFERROR(__xludf.DUMMYFUNCTION("""COMPUTED_VALUE"""),"Бор, Томская писаница")</f>
        <v>Бор, Томская писаница</v>
      </c>
      <c r="L1023" s="6" t="str">
        <f>IFERROR(__xludf.DUMMYFUNCTION("""COMPUTED_VALUE"""),"не знаю")</f>
        <v>не знаю</v>
      </c>
      <c r="M1023" s="6" t="str">
        <f>IFERROR(__xludf.DUMMYFUNCTION("""COMPUTED_VALUE"""),"нет")</f>
        <v>нет</v>
      </c>
      <c r="N1023" s="6" t="str">
        <f>IFERROR(__xludf.DUMMYFUNCTION("""COMPUTED_VALUE"""),"чистота, безопасность, детские социальные объекты, воздух, вода")</f>
        <v>чистота, безопасность, детские социальные объекты, воздух, вода</v>
      </c>
      <c r="O1023" s="6" t="str">
        <f>IFERROR(__xludf.DUMMYFUNCTION("""COMPUTED_VALUE"""),"Изменить систему очистки выбросов в воздух пром.предприятий, навести чистоту на улицах.")</f>
        <v>Изменить систему очистки выбросов в воздух пром.предприятий, навести чистоту на улицах.</v>
      </c>
      <c r="P1023" s="6" t="str">
        <f>IFERROR(__xludf.DUMMYFUNCTION("""COMPUTED_VALUE"""),"инстаграм")</f>
        <v>инстаграм</v>
      </c>
      <c r="Q1023"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023" s="6" t="str">
        <f>IFERROR(__xludf.DUMMYFUNCTION("""COMPUTED_VALUE"""),"Новый год, 9 мая, День шахтера")</f>
        <v>Новый год, 9 мая, День шахтера</v>
      </c>
      <c r="S1023" s="6" t="str">
        <f>IFERROR(__xludf.DUMMYFUNCTION("""COMPUTED_VALUE"""),"Нет, не приходилось")</f>
        <v>Нет, не приходилось</v>
      </c>
      <c r="T1023" s="6" t="str">
        <f>IFERROR(__xludf.DUMMYFUNCTION("""COMPUTED_VALUE"""),"сложно сказать")</f>
        <v>сложно сказать</v>
      </c>
      <c r="U1023" s="6" t="str">
        <f>IFERROR(__xludf.DUMMYFUNCTION("""COMPUTED_VALUE"""),"набережную")</f>
        <v>набережную</v>
      </c>
      <c r="V1023" s="6" t="str">
        <f>IFERROR(__xludf.DUMMYFUNCTION("""COMPUTED_VALUE"""),"облагораживали город, стоили новые районы")</f>
        <v>облагораживали город, стоили новые районы</v>
      </c>
      <c r="W1023" s="6" t="str">
        <f>IFERROR(__xludf.DUMMYFUNCTION("""COMPUTED_VALUE"""),"Искренние, душевные")</f>
        <v>Искренние, душевные</v>
      </c>
      <c r="X1023" s="6" t="str">
        <f>IFERROR(__xludf.DUMMYFUNCTION("""COMPUTED_VALUE"""),"затрудняюсь")</f>
        <v>затрудняюсь</v>
      </c>
      <c r="Y1023" s="6" t="str">
        <f>IFERROR(__xludf.DUMMYFUNCTION("""COMPUTED_VALUE"""),"Строительство президентского кадетского училища")</f>
        <v>Строительство президентского кадетского училища</v>
      </c>
      <c r="Z1023" s="6" t="str">
        <f>IFERROR(__xludf.DUMMYFUNCTION("""COMPUTED_VALUE"""),"ремонт бульвара Строителей")</f>
        <v>ремонт бульвара Строителей</v>
      </c>
      <c r="AA1023" s="6" t="str">
        <f>IFERROR(__xludf.DUMMYFUNCTION("""COMPUTED_VALUE"""),"Пожар в Зимней вишне")</f>
        <v>Пожар в Зимней вишне</v>
      </c>
      <c r="AB1023" s="6" t="str">
        <f>IFERROR(__xludf.DUMMYFUNCTION("""COMPUTED_VALUE"""),"Аквапарк")</f>
        <v>Аквапарк</v>
      </c>
      <c r="AC1023" s="6" t="str">
        <f>IFERROR(__xludf.DUMMYFUNCTION("""COMPUTED_VALUE"""),"социально-культурного характера ")</f>
        <v>социально-культурного характера </v>
      </c>
      <c r="AD102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23" s="6" t="str">
        <f>IFERROR(__xludf.DUMMYFUNCTION("""COMPUTED_VALUE"""),"Женский")</f>
        <v>Женский</v>
      </c>
      <c r="AF1023" s="6" t="str">
        <f>IFERROR(__xludf.DUMMYFUNCTION("""COMPUTED_VALUE"""),"30-44")</f>
        <v>30-44</v>
      </c>
      <c r="AG1023" s="6"/>
      <c r="AH1023" s="6"/>
      <c r="AI1023" s="6"/>
      <c r="AJ1023" s="6"/>
      <c r="AK1023" s="6"/>
      <c r="AL1023" s="6"/>
      <c r="AM1023" s="6"/>
    </row>
    <row r="1024">
      <c r="A1024" s="6">
        <v>1023.0</v>
      </c>
      <c r="B1024" s="6" t="str">
        <f>IFERROR(__xludf.DUMMYFUNCTION("""COMPUTED_VALUE"""),"Проектное и процессное управление. IT")</f>
        <v>Проектное и процессное управление. IT</v>
      </c>
      <c r="C1024" s="6" t="str">
        <f>IFERROR(__xludf.DUMMYFUNCTION("""COMPUTED_VALUE"""),"Музыка, походы, бег, велосипед")</f>
        <v>Музыка, походы, бег, велосипед</v>
      </c>
      <c r="D1024" s="6" t="str">
        <f>IFERROR(__xludf.DUMMYFUNCTION("""COMPUTED_VALUE"""),"Швейка (граница заводского и центрального) и Кристалл (магазин в Центральном районе) ")</f>
        <v>Швейка (граница заводского и центрального) и Кристалл (магазин в Центральном районе) </v>
      </c>
      <c r="E1024" s="6" t="str">
        <f>IFERROR(__xludf.DUMMYFUNCTION("""COMPUTED_VALUE"""),"Про центр писать не буду, там всё понятно. 
Швейка. Недалеко от швейки есть атмосферный ""Соцгород"" (старые двухэтажные и трёхэтажные бараки с симпатичными двориками) и узкими улочками (Рукавишникова, Чкалова, Коммунистическая, Дзержинского и т.д.). В со"&amp;"временной урбанистике такая застройка сейчас считается самой лучшей для жилых кварталов (максимум 4 этажа). Тихо, мало машин, приятно гулять и бегать.  ")</f>
        <v>Про центр писать не буду, там всё понятно. 
Швейка. Недалеко от швейки есть атмосферный "Соцгород" (старые двухэтажные и трёхэтажные бараки с симпатичными двориками) и узкими улочками (Рукавишникова, Чкалова, Коммунистическая, Дзержинского и т.д.). В современной урбанистике такая застройка сейчас считается самой лучшей для жилых кварталов (максимум 4 этажа). Тихо, мало машин, приятно гулять и бегать.  </v>
      </c>
      <c r="F1024" s="6" t="str">
        <f>IFERROR(__xludf.DUMMYFUNCTION("""COMPUTED_VALUE"""),"Родился здесь,но сейчас живу в другом городе, Не живу,но приезжаю сюда (к родственникам/друзьям)")</f>
        <v>Родился здесь,но сейчас живу в другом городе, Не живу,но приезжаю сюда (к родственникам/друзьям)</v>
      </c>
      <c r="G1024" s="6" t="str">
        <f>IFERROR(__xludf.DUMMYFUNCTION("""COMPUTED_VALUE"""),"РУдничный Бор. Центральный район, Лесная Поляна")</f>
        <v>РУдничный Бор. Центральный район, Лесная Поляна</v>
      </c>
      <c r="H1024" s="6" t="str">
        <f>IFERROR(__xludf.DUMMYFUNCTION("""COMPUTED_VALUE"""),"Бор, Томь, Азот, Название любого района, Тулеев)")</f>
        <v>Бор, Томь, Азот, Название любого района, Тулеев)</v>
      </c>
      <c r="I1024" s="6" t="str">
        <f>IFERROR(__xludf.DUMMYFUNCTION("""COMPUTED_VALUE"""),"Себальд Рудгерс, Билл Хейвуд, Владимир Михайлов, Аман Тулеев, Евгений Леонов, Евгений Гришковец.")</f>
        <v>Себальд Рудгерс, Билл Хейвуд, Владимир Михайлов, Аман Тулеев, Евгений Леонов, Евгений Гришковец.</v>
      </c>
      <c r="J1024" s="6" t="str">
        <f>IFERROR(__xludf.DUMMYFUNCTION("""COMPUTED_VALUE"""),"Владимир Михайлов, Борис Горобцов, Владимир Сухацкий.")</f>
        <v>Владимир Михайлов, Борис Горобцов, Владимир Сухацкий.</v>
      </c>
      <c r="K1024" s="6" t="str">
        <f>IFERROR(__xludf.DUMMYFUNCTION("""COMPUTED_VALUE"""),"Кладбище военнопленных на предзаводском, Журавлинский обрыв, Остатки голландской архитектуры на рудничном, дворы набережной и весенней. ")</f>
        <v>Кладбище военнопленных на предзаводском, Журавлинский обрыв, Остатки голландской архитектуры на рудничном, дворы набережной и весенней. </v>
      </c>
      <c r="L1024" s="6" t="str">
        <f>IFERROR(__xludf.DUMMYFUNCTION("""COMPUTED_VALUE"""),"Ничего не приходит на ум")</f>
        <v>Ничего не приходит на ум</v>
      </c>
      <c r="M1024" s="6" t="str">
        <f>IFERROR(__xludf.DUMMYFUNCTION("""COMPUTED_VALUE"""),"__")</f>
        <v>__</v>
      </c>
      <c r="N1024" s="6" t="str">
        <f>IFERROR(__xludf.DUMMYFUNCTION("""COMPUTED_VALUE"""),"Воздух, чистота, пешая доступность")</f>
        <v>Воздух, чистота, пешая доступность</v>
      </c>
      <c r="O1024" s="6" t="str">
        <f>IFERROR(__xludf.DUMMYFUNCTION("""COMPUTED_VALUE"""),"Общественный транспорт, рабочие места, дворы, Объездная для федеральной трассы, Очистные сооружения для промышленных предприятий. ")</f>
        <v>Общественный транспорт, рабочие места, дворы, Объездная для федеральной трассы, Очистные сооружения для промышленных предприятий. </v>
      </c>
      <c r="P1024" s="6" t="str">
        <f>IFERROR(__xludf.DUMMYFUNCTION("""COMPUTED_VALUE"""),"Инстаграм, телеграмм")</f>
        <v>Инстаграм, телеграмм</v>
      </c>
      <c r="Q1024" s="6" t="str">
        <f>IFERROR(__xludf.DUMMYFUNCTION("""COMPUTED_VALUE"""),"_____")</f>
        <v>_____</v>
      </c>
      <c r="R1024" s="6" t="str">
        <f>IFERROR(__xludf.DUMMYFUNCTION("""COMPUTED_VALUE"""),"В праздники хочется из города сбежать")</f>
        <v>В праздники хочется из города сбежать</v>
      </c>
      <c r="S1024" s="6" t="str">
        <f>IFERROR(__xludf.DUMMYFUNCTION("""COMPUTED_VALUE"""),"Нет, не приходилось")</f>
        <v>Нет, не приходилось</v>
      </c>
      <c r="T1024" s="6" t="str">
        <f>IFERROR(__xludf.DUMMYFUNCTION("""COMPUTED_VALUE"""),"Московская речь) Уголь ")</f>
        <v>Московская речь) Уголь </v>
      </c>
      <c r="U1024" s="6" t="str">
        <f>IFERROR(__xludf.DUMMYFUNCTION("""COMPUTED_VALUE"""),"Советский/Весенняя. ""Драма""")</f>
        <v>Советский/Весенняя. "Драма"</v>
      </c>
      <c r="V1024" s="6" t="str">
        <f>IFERROR(__xludf.DUMMYFUNCTION("""COMPUTED_VALUE"""),"Сохранили бор. ""горсад"" ""Набережная"", Лесная поляна")</f>
        <v>Сохранили бор. "горсад" "Набережная", Лесная поляна</v>
      </c>
      <c r="W1024" s="6" t="str">
        <f>IFERROR(__xludf.DUMMYFUNCTION("""COMPUTED_VALUE"""),"Терпеливые и уставшие. ")</f>
        <v>Терпеливые и уставшие. </v>
      </c>
      <c r="X1024" s="6" t="str">
        <f>IFERROR(__xludf.DUMMYFUNCTION("""COMPUTED_VALUE"""),"Антошка - Жукова - Филармония - Набережная - Горсад - Кирова - Советский - Весенняя - Пл Волкова. 
")</f>
        <v>Антошка - Жукова - Филармония - Набережная - Горсад - Кирова - Советский - Весенняя - Пл Волкова. 
</v>
      </c>
      <c r="Y1024" s="6" t="str">
        <f>IFERROR(__xludf.DUMMYFUNCTION("""COMPUTED_VALUE"""),"Трагическое. 25.03.2018. Это перечеркнуло всё. 
")</f>
        <v>Трагическое. 25.03.2018. Это перечеркнуло всё. 
</v>
      </c>
      <c r="Z1024" s="6" t="str">
        <f>IFERROR(__xludf.DUMMYFUNCTION("""COMPUTED_VALUE"""),"Парк у Кадетского корпуса. ")</f>
        <v>Парк у Кадетского корпуса. </v>
      </c>
      <c r="AA1024" s="6" t="str">
        <f>IFERROR(__xludf.DUMMYFUNCTION("""COMPUTED_VALUE"""),"ЗАгрязнённый воздух.")</f>
        <v>ЗАгрязнённый воздух.</v>
      </c>
      <c r="AB1024" s="6" t="str">
        <f>IFERROR(__xludf.DUMMYFUNCTION("""COMPUTED_VALUE"""),"Музыкальных. Исторических. Спортивных ")</f>
        <v>Музыкальных. Исторических. Спортивных </v>
      </c>
      <c r="AC1024" s="6" t="str">
        <f>IFERROR(__xludf.DUMMYFUNCTION("""COMPUTED_VALUE"""),"Спортивные соревнования. Музыкальные мероприятия. Исторические реконструкции. ")</f>
        <v>Спортивные соревнования. Музыкальные мероприятия. Исторические реконструкции. </v>
      </c>
      <c r="AD1024"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"&amp;"приглашения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024" s="6" t="str">
        <f>IFERROR(__xludf.DUMMYFUNCTION("""COMPUTED_VALUE"""),"Мужской")</f>
        <v>Мужской</v>
      </c>
      <c r="AF1024" s="6" t="str">
        <f>IFERROR(__xludf.DUMMYFUNCTION("""COMPUTED_VALUE"""),"30-44")</f>
        <v>30-44</v>
      </c>
      <c r="AG1024" s="6"/>
      <c r="AH1024" s="6"/>
      <c r="AI1024" s="6"/>
      <c r="AJ1024" s="6"/>
      <c r="AK1024" s="6"/>
      <c r="AL1024" s="6"/>
      <c r="AM1024" s="6"/>
    </row>
    <row r="1025">
      <c r="A1025" s="6">
        <v>1024.0</v>
      </c>
      <c r="B1025" s="6" t="str">
        <f>IFERROR(__xludf.DUMMYFUNCTION("""COMPUTED_VALUE"""),"Индивидуальный предприниматель ")</f>
        <v>Индивидуальный предприниматель </v>
      </c>
      <c r="C1025" s="6" t="str">
        <f>IFERROR(__xludf.DUMMYFUNCTION("""COMPUTED_VALUE"""),"Пеку сладости")</f>
        <v>Пеку сладости</v>
      </c>
      <c r="D1025" s="6" t="str">
        <f>IFERROR(__xludf.DUMMYFUNCTION("""COMPUTED_VALUE"""),"Журавлевы горы ")</f>
        <v>Журавлевы горы </v>
      </c>
      <c r="E1025" s="6" t="str">
        <f>IFERROR(__xludf.DUMMYFUNCTION("""COMPUTED_VALUE"""),"Свалка мусора ")</f>
        <v>Свалка мусора </v>
      </c>
      <c r="F1025" s="6" t="str">
        <f>IFERROR(__xludf.DUMMYFUNCTION("""COMPUTED_VALUE"""),"Живу здесь с рождения")</f>
        <v>Живу здесь с рождения</v>
      </c>
      <c r="G1025" s="6" t="str">
        <f>IFERROR(__xludf.DUMMYFUNCTION("""COMPUTED_VALUE"""),"Езжу на работу в лесную поляну, гуляю там с ребёнком ")</f>
        <v>Езжу на работу в лесную поляну, гуляю там с ребёнком </v>
      </c>
      <c r="H1025" s="6" t="str">
        <f>IFERROR(__xludf.DUMMYFUNCTION("""COMPUTED_VALUE"""),"Уголь, грязь, некуда пойти, скука, ")</f>
        <v>Уголь, грязь, некуда пойти, скука, </v>
      </c>
      <c r="I1025" s="6" t="str">
        <f>IFERROR(__xludf.DUMMYFUNCTION("""COMPUTED_VALUE"""),"Волков ")</f>
        <v>Волков </v>
      </c>
      <c r="J1025" s="6" t="str">
        <f>IFERROR(__xludf.DUMMYFUNCTION("""COMPUTED_VALUE"""),"Не могу сказать ")</f>
        <v>Не могу сказать </v>
      </c>
      <c r="K1025" s="6" t="str">
        <f>IFERROR(__xludf.DUMMYFUNCTION("""COMPUTED_VALUE"""),"Набережную и вечный огонь ")</f>
        <v>Набережную и вечный огонь </v>
      </c>
      <c r="L1025" s="6" t="str">
        <f>IFERROR(__xludf.DUMMYFUNCTION("""COMPUTED_VALUE"""),"Нет")</f>
        <v>Нет</v>
      </c>
      <c r="M1025" s="6" t="str">
        <f>IFERROR(__xludf.DUMMYFUNCTION("""COMPUTED_VALUE"""),"Нет")</f>
        <v>Нет</v>
      </c>
      <c r="N1025" s="6" t="str">
        <f>IFERROR(__xludf.DUMMYFUNCTION("""COMPUTED_VALUE"""),"Наличие комфортных и современных ТЦ с современными магазинами ( колхозные променады не в счёт), наличие парковок, хорошие дороги, чистота, много кафе")</f>
        <v>Наличие комфортных и современных ТЦ с современными магазинами ( колхозные променады не в счёт), наличие парковок, хорошие дороги, чистота, много кафе</v>
      </c>
      <c r="O1025" s="6" t="str">
        <f>IFERROR(__xludf.DUMMYFUNCTION("""COMPUTED_VALUE"""),"Цены на аренду нежилой Недвижимости, чтобы могли открываться больше предпринимателей, налоговые льготы ")</f>
        <v>Цены на аренду нежилой Недвижимости, чтобы могли открываться больше предпринимателей, налоговые льготы </v>
      </c>
      <c r="P1025" s="6" t="str">
        <f>IFERROR(__xludf.DUMMYFUNCTION("""COMPUTED_VALUE"""),"Инстаграм ")</f>
        <v>Инстаграм </v>
      </c>
      <c r="Q1025" s="6" t="str">
        <f>IFERROR(__xludf.DUMMYFUNCTION("""COMPUTED_VALUE"""),"куда пойти в свободное время, где вкусно поесть/открытие новых кафе/ресторанов, интервью с местными предпринимателями")</f>
        <v>куда пойти в свободное время, где вкусно поесть/открытие новых кафе/ресторанов, интервью с местными предпринимателями</v>
      </c>
      <c r="R1025" s="6" t="str">
        <f>IFERROR(__xludf.DUMMYFUNCTION("""COMPUTED_VALUE"""),"Новый год ")</f>
        <v>Новый год </v>
      </c>
      <c r="S1025" s="6" t="str">
        <f>IFERROR(__xludf.DUMMYFUNCTION("""COMPUTED_VALUE"""),"Нет, не приходилось")</f>
        <v>Нет, не приходилось</v>
      </c>
      <c r="T1025" s="6" t="str">
        <f>IFERROR(__xludf.DUMMYFUNCTION("""COMPUTED_VALUE"""),"Углём и тем что отсюда все уезжают последнее время (")</f>
        <v>Углём и тем что отсюда все уезжают последнее время (</v>
      </c>
      <c r="U1025" s="6" t="str">
        <f>IFERROR(__xludf.DUMMYFUNCTION("""COMPUTED_VALUE"""),"Набережная ")</f>
        <v>Набережная </v>
      </c>
      <c r="V1025" s="6" t="str">
        <f>IFERROR(__xludf.DUMMYFUNCTION("""COMPUTED_VALUE"""),"Не знаю ")</f>
        <v>Не знаю </v>
      </c>
      <c r="W1025" s="6" t="str">
        <f>IFERROR(__xludf.DUMMYFUNCTION("""COMPUTED_VALUE"""),"-")</f>
        <v>-</v>
      </c>
      <c r="X1025" s="6" t="str">
        <f>IFERROR(__xludf.DUMMYFUNCTION("""COMPUTED_VALUE"""),"Да негде гулять кроме набережной, в основном ")</f>
        <v>Да негде гулять кроме набережной, в основном </v>
      </c>
      <c r="Y1025" s="6" t="str">
        <f>IFERROR(__xludf.DUMMYFUNCTION("""COMPUTED_VALUE"""),"Нет ответа ")</f>
        <v>Нет ответа </v>
      </c>
      <c r="Z1025" s="6" t="str">
        <f>IFERROR(__xludf.DUMMYFUNCTION("""COMPUTED_VALUE"""),"Нет ответа ")</f>
        <v>Нет ответа </v>
      </c>
      <c r="AA1025" s="6" t="str">
        <f>IFERROR(__xludf.DUMMYFUNCTION("""COMPUTED_VALUE"""),"Грядущее изменение всех фасадов в центре под единый стандарт ")</f>
        <v>Грядущее изменение всех фасадов в центре под единый стандарт </v>
      </c>
      <c r="AB1025" s="6" t="str">
        <f>IFERROR(__xludf.DUMMYFUNCTION("""COMPUTED_VALUE"""),"Детских ")</f>
        <v>Детских </v>
      </c>
      <c r="AC1025" s="6" t="str">
        <f>IFERROR(__xludf.DUMMYFUNCTION("""COMPUTED_VALUE"""),"Больше культурных современных событий ")</f>
        <v>Больше культурных современных событий </v>
      </c>
      <c r="AD1025"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025" s="6" t="str">
        <f>IFERROR(__xludf.DUMMYFUNCTION("""COMPUTED_VALUE"""),"Женский")</f>
        <v>Женский</v>
      </c>
      <c r="AF1025" s="6" t="str">
        <f>IFERROR(__xludf.DUMMYFUNCTION("""COMPUTED_VALUE"""),"30-44")</f>
        <v>30-44</v>
      </c>
      <c r="AG1025" s="6"/>
      <c r="AH1025" s="6"/>
      <c r="AI1025" s="6"/>
      <c r="AJ1025" s="6"/>
      <c r="AK1025" s="6"/>
      <c r="AL1025" s="6"/>
      <c r="AM1025" s="6"/>
    </row>
    <row r="1026">
      <c r="A1026" s="6">
        <v>1025.0</v>
      </c>
      <c r="B1026" s="6" t="str">
        <f>IFERROR(__xludf.DUMMYFUNCTION("""COMPUTED_VALUE"""),"Инженер")</f>
        <v>Инженер</v>
      </c>
      <c r="C1026" s="6" t="str">
        <f>IFERROR(__xludf.DUMMYFUNCTION("""COMPUTED_VALUE"""),"Горные лыжи, плавание, мотоциклы")</f>
        <v>Горные лыжи, плавание, мотоциклы</v>
      </c>
      <c r="D1026" s="6" t="str">
        <f>IFERROR(__xludf.DUMMYFUNCTION("""COMPUTED_VALUE"""),"Родные просторы")</f>
        <v>Родные просторы</v>
      </c>
      <c r="E1026" s="6" t="str">
        <f>IFERROR(__xludf.DUMMYFUNCTION("""COMPUTED_VALUE"""),"Улица Весенняя, Набережная, Сосновый бор, Кадетское училище")</f>
        <v>Улица Весенняя, Набережная, Сосновый бор, Кадетское училище</v>
      </c>
      <c r="F1026" s="6" t="str">
        <f>IFERROR(__xludf.DUMMYFUNCTION("""COMPUTED_VALUE"""),"Переехал сюда из другого места (откуда? укажите в графе другое), Из-за работы, приехал из Томска ")</f>
        <v>Переехал сюда из другого места (откуда? укажите в графе другое), Из-за работы, приехал из Томска </v>
      </c>
      <c r="G1026" s="6" t="str">
        <f>IFERROR(__xludf.DUMMYFUNCTION("""COMPUTED_VALUE"""),"Аллея на бульваре строителей, Кадетское училище ")</f>
        <v>Аллея на бульваре строителей, Кадетское училище </v>
      </c>
      <c r="H1026" s="6" t="str">
        <f>IFERROR(__xludf.DUMMYFUNCTION("""COMPUTED_VALUE"""),"Промышленность, трудолюбие, гордость, уныние, закрытость")</f>
        <v>Промышленность, трудолюбие, гордость, уныние, закрытость</v>
      </c>
      <c r="I1026" s="6" t="str">
        <f>IFERROR(__xludf.DUMMYFUNCTION("""COMPUTED_VALUE"""),"Леонов, Тулеев")</f>
        <v>Леонов, Тулеев</v>
      </c>
      <c r="J1026" s="6" t="str">
        <f>IFERROR(__xludf.DUMMYFUNCTION("""COMPUTED_VALUE"""),"Тулеев")</f>
        <v>Тулеев</v>
      </c>
      <c r="K1026" s="6" t="str">
        <f>IFERROR(__xludf.DUMMYFUNCTION("""COMPUTED_VALUE"""),"Вид на город с горы Люскус")</f>
        <v>Вид на город с горы Люскус</v>
      </c>
      <c r="L1026" s="6" t="str">
        <f>IFERROR(__xludf.DUMMYFUNCTION("""COMPUTED_VALUE"""),"Гришковец всё правильно описал Кемеровчане глазами Томичей")</f>
        <v>Гришковец всё правильно описал Кемеровчане глазами Томичей</v>
      </c>
      <c r="M1026" s="6" t="str">
        <f>IFERROR(__xludf.DUMMYFUNCTION("""COMPUTED_VALUE"""),"Нет")</f>
        <v>Нет</v>
      </c>
      <c r="N1026" s="6" t="str">
        <f>IFERROR(__xludf.DUMMYFUNCTION("""COMPUTED_VALUE"""),"Чистота, ухоженность, мобильность")</f>
        <v>Чистота, ухоженность, мобильность</v>
      </c>
      <c r="O1026" s="6" t="str">
        <f>IFERROR(__xludf.DUMMYFUNCTION("""COMPUTED_VALUE"""),"Убрать грязь с дорог и тротуаров после зимы")</f>
        <v>Убрать грязь с дорог и тротуаров после зимы</v>
      </c>
      <c r="P1026" s="6" t="str">
        <f>IFERROR(__xludf.DUMMYFUNCTION("""COMPUTED_VALUE"""),"Инстаграмм")</f>
        <v>Инстаграмм</v>
      </c>
      <c r="Q102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местн"&amp;"ых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1026" s="6" t="str">
        <f>IFERROR(__xludf.DUMMYFUNCTION("""COMPUTED_VALUE"""),"Народные гуляния, концерты в день победы")</f>
        <v>Народные гуляния, концерты в день победы</v>
      </c>
      <c r="S1026" s="6" t="str">
        <f>IFERROR(__xludf.DUMMYFUNCTION("""COMPUTED_VALUE"""),"Нет, не приходилось")</f>
        <v>Нет, не приходилось</v>
      </c>
      <c r="T1026" s="6" t="str">
        <f>IFERROR(__xludf.DUMMYFUNCTION("""COMPUTED_VALUE"""),"Затрудняюсь положительно описать мнение со стороны")</f>
        <v>Затрудняюсь положительно описать мнение со стороны</v>
      </c>
      <c r="U1026" s="6" t="str">
        <f>IFERROR(__xludf.DUMMYFUNCTION("""COMPUTED_VALUE"""),"Старый мост через Искитимку")</f>
        <v>Старый мост через Искитимку</v>
      </c>
      <c r="V1026" s="6" t="str">
        <f>IFERROR(__xludf.DUMMYFUNCTION("""COMPUTED_VALUE"""),"Работали на заводах и шахтах")</f>
        <v>Работали на заводах и шахтах</v>
      </c>
      <c r="W1026" s="6" t="str">
        <f>IFERROR(__xludf.DUMMYFUNCTION("""COMPUTED_VALUE"""),"Закрытые, гордые")</f>
        <v>Закрытые, гордые</v>
      </c>
      <c r="X1026" s="6" t="str">
        <f>IFERROR(__xludf.DUMMYFUNCTION("""COMPUTED_VALUE"""),"С набережной в музей красная горка, оттуда в сосновый бор, жаль но инфраструктура там отсутствует, поэтому придётся возвращаться в центр города для поиска подходящей точки питания")</f>
        <v>С набережной в музей красная горка, оттуда в сосновый бор, жаль но инфраструктура там отсутствует, поэтому придётся возвращаться в центр города для поиска подходящей точки питания</v>
      </c>
      <c r="Y1026" s="6" t="str">
        <f>IFERROR(__xludf.DUMMYFUNCTION("""COMPUTED_VALUE"""),"Стали приезжать музыкальные коллективы, кругозор расширяется")</f>
        <v>Стали приезжать музыкальные коллективы, кругозор расширяется</v>
      </c>
      <c r="Z1026" s="6" t="str">
        <f>IFERROR(__xludf.DUMMYFUNCTION("""COMPUTED_VALUE"""),"Открытие трассы до Лениска")</f>
        <v>Открытие трассы до Лениска</v>
      </c>
      <c r="AA1026" s="6" t="str">
        <f>IFERROR(__xludf.DUMMYFUNCTION("""COMPUTED_VALUE"""),"Выбросы с промышленных предприятий")</f>
        <v>Выбросы с промышленных предприятий</v>
      </c>
      <c r="AB1026" s="6" t="str">
        <f>IFERROR(__xludf.DUMMYFUNCTION("""COMPUTED_VALUE"""),"Досуговых, любительских спортивных")</f>
        <v>Досуговых, любительских спортивных</v>
      </c>
      <c r="AC1026" s="6" t="str">
        <f>IFERROR(__xludf.DUMMYFUNCTION("""COMPUTED_VALUE"""),"Разных, на любой возраст")</f>
        <v>Разных, на любой возраст</v>
      </c>
      <c r="AD1026"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26" s="6" t="str">
        <f>IFERROR(__xludf.DUMMYFUNCTION("""COMPUTED_VALUE"""),"Мужской")</f>
        <v>Мужской</v>
      </c>
      <c r="AF1026" s="6" t="str">
        <f>IFERROR(__xludf.DUMMYFUNCTION("""COMPUTED_VALUE"""),"30-44")</f>
        <v>30-44</v>
      </c>
      <c r="AG1026" s="6"/>
      <c r="AH1026" s="6"/>
      <c r="AI1026" s="6"/>
      <c r="AJ1026" s="6"/>
      <c r="AK1026" s="6"/>
      <c r="AL1026" s="6"/>
      <c r="AM1026" s="6"/>
    </row>
    <row r="1027">
      <c r="A1027" s="6">
        <v>1026.0</v>
      </c>
      <c r="B1027" s="6" t="str">
        <f>IFERROR(__xludf.DUMMYFUNCTION("""COMPUTED_VALUE"""),"пенсионер")</f>
        <v>пенсионер</v>
      </c>
      <c r="C1027" s="6" t="str">
        <f>IFERROR(__xludf.DUMMYFUNCTION("""COMPUTED_VALUE"""),"дача,огород")</f>
        <v>дача,огород</v>
      </c>
      <c r="D1027" s="6" t="str">
        <f>IFERROR(__xludf.DUMMYFUNCTION("""COMPUTED_VALUE"""),"центральный")</f>
        <v>центральный</v>
      </c>
      <c r="E1027" s="6" t="str">
        <f>IFERROR(__xludf.DUMMYFUNCTION("""COMPUTED_VALUE"""),"пионерский бульвар")</f>
        <v>пионерский бульвар</v>
      </c>
      <c r="F1027" s="6" t="str">
        <f>IFERROR(__xludf.DUMMYFUNCTION("""COMPUTED_VALUE"""),"Живу здесь с рождения")</f>
        <v>Живу здесь с рождения</v>
      </c>
      <c r="G1027" s="6" t="str">
        <f>IFERROR(__xludf.DUMMYFUNCTION("""COMPUTED_VALUE"""),"на дачу")</f>
        <v>на дачу</v>
      </c>
      <c r="H1027" s="6" t="str">
        <f>IFERROR(__xludf.DUMMYFUNCTION("""COMPUTED_VALUE"""),"любимый, родной, но грязный и облезлый(фасады, не в центре)")</f>
        <v>любимый, родной, но грязный и облезлый(фасады, не в центре)</v>
      </c>
      <c r="I1027" s="6" t="str">
        <f>IFERROR(__xludf.DUMMYFUNCTION("""COMPUTED_VALUE"""),"Вера Волошина, Ю.Арбачаков, А.А.Леонов, Мартемьянов")</f>
        <v>Вера Волошина, Ю.Арбачаков, А.А.Леонов, Мартемьянов</v>
      </c>
      <c r="J1027" s="6" t="str">
        <f>IFERROR(__xludf.DUMMYFUNCTION("""COMPUTED_VALUE"""),"??????")</f>
        <v>??????</v>
      </c>
      <c r="K1027" s="6" t="str">
        <f>IFERROR(__xludf.DUMMYFUNCTION("""COMPUTED_VALUE"""),"набережную")</f>
        <v>набережную</v>
      </c>
      <c r="L1027" s="6" t="str">
        <f>IFERROR(__xludf.DUMMYFUNCTION("""COMPUTED_VALUE"""),"где родился, там и пригодился")</f>
        <v>где родился, там и пригодился</v>
      </c>
      <c r="M1027" s="6" t="str">
        <f>IFERROR(__xludf.DUMMYFUNCTION("""COMPUTED_VALUE"""),"нет")</f>
        <v>нет</v>
      </c>
      <c r="N1027" s="6" t="str">
        <f>IFERROR(__xludf.DUMMYFUNCTION("""COMPUTED_VALUE"""),"доступность медицины, удобная транспортная инфраструктура, магазин шаговой доступности, отсутствие преступности и наркоманов")</f>
        <v>доступность медицины, удобная транспортная инфраструктура, магазин шаговой доступности, отсутствие преступности и наркоманов</v>
      </c>
      <c r="O1027" s="6" t="str">
        <f>IFERROR(__xludf.DUMMYFUNCTION("""COMPUTED_VALUE"""),"МЭРА")</f>
        <v>МЭРА</v>
      </c>
      <c r="P1027" s="6" t="str">
        <f>IFERROR(__xludf.DUMMYFUNCTION("""COMPUTED_VALUE"""),"Яндекс, Ваш город")</f>
        <v>Яндекс, Ваш город</v>
      </c>
      <c r="Q1027" s="6" t="str">
        <f>IFERROR(__xludf.DUMMYFUNCTION("""COMPUTED_VALUE"""),"культурные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027" s="6" t="str">
        <f>IFERROR(__xludf.DUMMYFUNCTION("""COMPUTED_VALUE"""),"9 мая")</f>
        <v>9 мая</v>
      </c>
      <c r="S1027" s="6" t="str">
        <f>IFERROR(__xludf.DUMMYFUNCTION("""COMPUTED_VALUE"""),"Нет, не приходилось")</f>
        <v>Нет, не приходилось</v>
      </c>
      <c r="T1027" s="6" t="str">
        <f>IFERROR(__xludf.DUMMYFUNCTION("""COMPUTED_VALUE"""),"Зимняя вишня")</f>
        <v>Зимняя вишня</v>
      </c>
      <c r="U1027" s="6" t="str">
        <f>IFERROR(__xludf.DUMMYFUNCTION("""COMPUTED_VALUE"""),"пл Советов")</f>
        <v>пл Советов</v>
      </c>
      <c r="V1027" s="6" t="str">
        <f>IFERROR(__xludf.DUMMYFUNCTION("""COMPUTED_VALUE"""),"многое")</f>
        <v>многое</v>
      </c>
      <c r="W1027" s="6" t="str">
        <f>IFERROR(__xludf.DUMMYFUNCTION("""COMPUTED_VALUE"""),"Разные")</f>
        <v>Разные</v>
      </c>
      <c r="X1027" s="6" t="str">
        <f>IFERROR(__xludf.DUMMYFUNCTION("""COMPUTED_VALUE"""),"весенняя")</f>
        <v>весенняя</v>
      </c>
      <c r="Y1027" s="6" t="str">
        <f>IFERROR(__xludf.DUMMYFUNCTION("""COMPUTED_VALUE"""),"Зимняя вишня")</f>
        <v>Зимняя вишня</v>
      </c>
      <c r="Z1027" s="6" t="str">
        <f>IFERROR(__xludf.DUMMYFUNCTION("""COMPUTED_VALUE"""),"бессмертный полк")</f>
        <v>бессмертный полк</v>
      </c>
      <c r="AA1027" s="6" t="str">
        <f>IFERROR(__xludf.DUMMYFUNCTION("""COMPUTED_VALUE"""),"вырубка деревьев у реки Искитимка")</f>
        <v>вырубка деревьев у реки Искитимка</v>
      </c>
      <c r="AB1027" s="6" t="str">
        <f>IFERROR(__xludf.DUMMYFUNCTION("""COMPUTED_VALUE"""),"нет")</f>
        <v>нет</v>
      </c>
      <c r="AC1027" s="6" t="str">
        <f>IFERROR(__xludf.DUMMYFUNCTION("""COMPUTED_VALUE"""),"для молодежи")</f>
        <v>для молодежи</v>
      </c>
      <c r="AD102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27" s="6" t="str">
        <f>IFERROR(__xludf.DUMMYFUNCTION("""COMPUTED_VALUE"""),"Женский")</f>
        <v>Женский</v>
      </c>
      <c r="AF1027" s="6" t="str">
        <f>IFERROR(__xludf.DUMMYFUNCTION("""COMPUTED_VALUE"""),"старше 55")</f>
        <v>старше 55</v>
      </c>
      <c r="AG1027" s="6"/>
      <c r="AH1027" s="6"/>
      <c r="AI1027" s="6"/>
      <c r="AJ1027" s="6"/>
      <c r="AK1027" s="6"/>
      <c r="AL1027" s="6"/>
      <c r="AM1027" s="6"/>
    </row>
    <row r="1028">
      <c r="A1028" s="6">
        <v>1027.0</v>
      </c>
      <c r="B1028" s="6" t="str">
        <f>IFERROR(__xludf.DUMMYFUNCTION("""COMPUTED_VALUE"""),"служба в МЧС России")</f>
        <v>служба в МЧС России</v>
      </c>
      <c r="C1028" s="6" t="str">
        <f>IFERROR(__xludf.DUMMYFUNCTION("""COMPUTED_VALUE"""),"люблю кино")</f>
        <v>люблю кино</v>
      </c>
      <c r="D1028" s="6" t="str">
        <f>IFERROR(__xludf.DUMMYFUNCTION("""COMPUTED_VALUE"""),"в пос. Пригородном и на ФПК")</f>
        <v>в пос. Пригородном и на ФПК</v>
      </c>
      <c r="E1028" s="6" t="str">
        <f>IFERROR(__xludf.DUMMYFUNCTION("""COMPUTED_VALUE"""),"к сожалению кроме Гринвича и ""скромного"" сквера новорожденных ничего там и нету")</f>
        <v>к сожалению кроме Гринвича и "скромного" сквера новорожденных ничего там и нету</v>
      </c>
      <c r="F1028" s="6" t="str">
        <f>IFERROR(__xludf.DUMMYFUNCTION("""COMPUTED_VALUE"""),"Живу здесь с рождения")</f>
        <v>Живу здесь с рождения</v>
      </c>
      <c r="G1028" s="6" t="str">
        <f>IFERROR(__xludf.DUMMYFUNCTION("""COMPUTED_VALUE"""),"горсад с ребенком, парк победы и т.д.")</f>
        <v>горсад с ребенком, парк победы и т.д.</v>
      </c>
      <c r="H1028" s="6" t="str">
        <f>IFERROR(__xludf.DUMMYFUNCTION("""COMPUTED_VALUE"""),"шахты  и  разрезы, а также угольная пыль и смог, и конечно же Зимняя Вишня. но вообще из положительного  Кемерово моим иногородним знакомым запомнился оригинальными светофорами) также нравиться дизайн новостроек от ""Промстроя"" и ""Меры"", ну и хорошие д"&amp;"ороги")</f>
        <v>шахты  и  разрезы, а также угольная пыль и смог, и конечно же Зимняя Вишня. но вообще из положительного  Кемерово моим иногородним знакомым запомнился оригинальными светофорами) также нравиться дизайн новостроек от "Промстроя" и "Меры", ну и хорошие дороги</v>
      </c>
      <c r="I1028" s="6" t="str">
        <f>IFERROR(__xludf.DUMMYFUNCTION("""COMPUTED_VALUE"""),"Леонов, Волков ")</f>
        <v>Леонов, Волков </v>
      </c>
      <c r="J1028" s="6" t="str">
        <f>IFERROR(__xludf.DUMMYFUNCTION("""COMPUTED_VALUE"""),"Андрей Панин")</f>
        <v>Андрей Панин</v>
      </c>
      <c r="K1028" s="6" t="str">
        <f>IFERROR(__xludf.DUMMYFUNCTION("""COMPUTED_VALUE"""),"Драмтеатр и фонтан, памятник шахтерам, парк ангелов, набережная")</f>
        <v>Драмтеатр и фонтан, памятник шахтерам, парк ангелов, набережная</v>
      </c>
      <c r="L1028" s="6" t="str">
        <f>IFERROR(__xludf.DUMMYFUNCTION("""COMPUTED_VALUE"""),"нет таких")</f>
        <v>нет таких</v>
      </c>
      <c r="M1028" s="6" t="str">
        <f>IFERROR(__xludf.DUMMYFUNCTION("""COMPUTED_VALUE"""),"и такого нет")</f>
        <v>и такого нет</v>
      </c>
      <c r="N1028" s="6" t="str">
        <f>IFERROR(__xludf.DUMMYFUNCTION("""COMPUTED_VALUE"""),"1) наличие рабочих мест (не только ресурсодобывающих и гос. службы, но и промышленных и информационно-технических предприятий);  2) экология и чистота улиц;  3) качество городского транспорта (качественный и ""свежий"" автопарк, его доступность, частота р"&amp;"ейсов);   4) наличие зон отдыха (аквапарк, детские площадки, парки, контактные зоопарки и т.д.)  5) хорошие дороги и их уборка ")</f>
        <v>1) наличие рабочих мест (не только ресурсодобывающих и гос. службы, но и промышленных и информационно-технических предприятий);  2) экология и чистота улиц;  3) качество городского транспорта (качественный и "свежий" автопарк, его доступность, частота рейсов);   4) наличие зон отдыха (аквапарк, детские площадки, парки, контактные зоопарки и т.д.)  5) хорошие дороги и их уборка </v>
      </c>
      <c r="O1028" s="6" t="str">
        <f>IFERROR(__xludf.DUMMYFUNCTION("""COMPUTED_VALUE"""),"Выгнать бездельников с гос. службы (при наличии возможности). 
ПОСТРОИТЬ ТРЕТИЙ МОСТ и ОБЪЕЗДНУЮ ДОРОГУ.  
НОВУЮ НАБЕРЕЖНУЮ С ПЛЯЖЕМ  (желательно в оригинальном стиле)
КРЕАТИВНЫЕ ПАРКИ И АКВАПАРК
По возможности избавляться от частного сектора в городе зас"&amp;"траивая его малоэтажными зданиями   ")</f>
        <v>Выгнать бездельников с гос. службы (при наличии возможности). 
ПОСТРОИТЬ ТРЕТИЙ МОСТ и ОБЪЕЗДНУЮ ДОРОГУ.  
НОВУЮ НАБЕРЕЖНУЮ С ПЛЯЖЕМ  (желательно в оригинальном стиле)
КРЕАТИВНЫЕ ПАРКИ И АКВАПАРК
По возможности избавляться от частного сектора в городе застраивая его малоэтажными зданиями   </v>
      </c>
      <c r="P1028" s="6" t="str">
        <f>IFERROR(__xludf.DUMMYFUNCTION("""COMPUTED_VALUE"""),"в основном из А42,  VSE42,  NGS42, Е-KUZBASS и их страниц в соц.сетях")</f>
        <v>в основном из А42,  VSE42,  NGS42, Е-KUZBASS и их страниц в соц.сетях</v>
      </c>
      <c r="Q1028" s="6" t="str">
        <f>IFERROR(__xludf.DUMMYFUNCTION("""COMPUTED_VALUE"""),"городская афиша (кино/театр/концерты), политические события региона и страны")</f>
        <v>городская афиша (кино/театр/концерты), политические события региона и страны</v>
      </c>
      <c r="R1028" s="6" t="str">
        <f>IFERROR(__xludf.DUMMYFUNCTION("""COMPUTED_VALUE"""),"Новый год, день города")</f>
        <v>Новый год, день города</v>
      </c>
      <c r="S1028"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1028" s="6" t="str">
        <f>IFERROR(__xludf.DUMMYFUNCTION("""COMPUTED_VALUE"""),"к сожалению жители остальных регионов  о городе знают только из-за событий в Зимней вишне, еще  про уголь слышали, плохую экологию и про лидирующие места по ВИЧ.  Из хорошего только о дорогах  знают, и то по наслышке и не все")</f>
        <v>к сожалению жители остальных регионов  о городе знают только из-за событий в Зимней вишне, еще  про уголь слышали, плохую экологию и про лидирующие места по ВИЧ.  Из хорошего только о дорогах  знают, и то по наслышке и не все</v>
      </c>
      <c r="U1028" s="6" t="str">
        <f>IFERROR(__xludf.DUMMYFUNCTION("""COMPUTED_VALUE"""),"Парк Ангелов, Площадь Советов с Главпочтамтом, собор, драмтеатр с фонтаном")</f>
        <v>Парк Ангелов, Площадь Советов с Главпочтамтом, собор, драмтеатр с фонтаном</v>
      </c>
      <c r="V1028" s="6" t="str">
        <f>IFERROR(__xludf.DUMMYFUNCTION("""COMPUTED_VALUE"""),"Регион относительно молодой и к сожалению не так богат историей и великими людьми, о которых знает вся страна, на ум приходят только Леонов (первым вышел в открытый космос) и Андрей Панин (прекрасный актер), ну и Тиньков (основатель одноименного банка)")</f>
        <v>Регион относительно молодой и к сожалению не так богат историей и великими людьми, о которых знает вся страна, на ум приходят только Леонов (первым вышел в открытый космос) и Андрей Панин (прекрасный актер), ну и Тиньков (основатель одноименного банка)</v>
      </c>
      <c r="W1028" s="6" t="str">
        <f>IFERROR(__xludf.DUMMYFUNCTION("""COMPUTED_VALUE"""),"Как и все люди они Разные, но характерной чертой является усталость от сурового климата и не очень экологичной среды, особенно в отсутствии достойных и доступных мест отдыха и развлекательных концертов. как и во многих отдаленных регионах основная часть н"&amp;"аселения (так называемый средний класс) проводит досуг за полуторалитровой бутылочкой пива   ")</f>
        <v>Как и все люди они Разные, но характерной чертой является усталость от сурового климата и не очень экологичной среды, особенно в отсутствии достойных и доступных мест отдыха и развлекательных концертов. как и во многих отдаленных регионах основная часть населения (так называемый средний класс) проводит досуг за полуторалитровой бутылочкой пива   </v>
      </c>
      <c r="X1028" s="6" t="str">
        <f>IFERROR(__xludf.DUMMYFUNCTION("""COMPUTED_VALUE"""),"собор-парк ангелов - парк жукова - филармония - площадь советов - площадь пушкина, набережная и горсад, драмтеатр с фонтаном - встреча заката у памятника шахтерам")</f>
        <v>собор-парк ангелов - парк жукова - филармония - площадь советов - площадь пушкина, набережная и горсад, драмтеатр с фонтаном - встреча заката у памятника шахтерам</v>
      </c>
      <c r="Y1028" s="6" t="str">
        <f>IFERROR(__xludf.DUMMYFUNCTION("""COMPUTED_VALUE"""),"на ум приходит только пожар в Зимней вишне, а других ярких событий нет, город развивается потихоньку, ""не выделяясь из толпы"" ")</f>
        <v>на ум приходит только пожар в Зимней вишне, а других ярких событий нет, город развивается потихоньку, "не выделяясь из толпы" </v>
      </c>
      <c r="Z1028" s="6" t="str">
        <f>IFERROR(__xludf.DUMMYFUNCTION("""COMPUTED_VALUE"""),"кроме празднования ""Дня Победы"", дня города и дня шахтеров нет ничего особенного, если не считать редкие концерты, которые обычному жителю ""обходятся в копеечку"" ")</f>
        <v>кроме празднования "Дня Победы", дня города и дня шахтеров нет ничего особенного, если не считать редкие концерты, которые обычному жителю "обходятся в копеечку" </v>
      </c>
      <c r="AA1028" s="6" t="str">
        <f>IFERROR(__xludf.DUMMYFUNCTION("""COMPUTED_VALUE"""),"пожар в Зимней вишне")</f>
        <v>пожар в Зимней вишне</v>
      </c>
      <c r="AB1028" s="6" t="str">
        <f>IFERROR(__xludf.DUMMYFUNCTION("""COMPUTED_VALUE"""),"да в принципе все сообщества есть, но на низком уровне качества")</f>
        <v>да в принципе все сообщества есть, но на низком уровне качества</v>
      </c>
      <c r="AC1028" s="6" t="str">
        <f>IFERROR(__xludf.DUMMYFUNCTION("""COMPUTED_VALUE"""),"хороший АКВАПАРК, новая набережная, любительских развлекательных выступлений (даже начинающих артистов) файершоу, танцоров, музыкальных групп и т.д., как в Москве или Питере ")</f>
        <v>хороший АКВАПАРК, новая набережная, любительских развлекательных выступлений (даже начинающих артистов) файершоу, танцоров, музыкальных групп и т.д., как в Москве или Питере </v>
      </c>
      <c r="AD102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28" s="6" t="str">
        <f>IFERROR(__xludf.DUMMYFUNCTION("""COMPUTED_VALUE"""),"Мужской")</f>
        <v>Мужской</v>
      </c>
      <c r="AF1028" s="6" t="str">
        <f>IFERROR(__xludf.DUMMYFUNCTION("""COMPUTED_VALUE"""),"30-44")</f>
        <v>30-44</v>
      </c>
      <c r="AG1028" s="6"/>
      <c r="AH1028" s="6"/>
      <c r="AI1028" s="6"/>
      <c r="AJ1028" s="6"/>
      <c r="AK1028" s="6"/>
      <c r="AL1028" s="6"/>
      <c r="AM1028" s="6"/>
    </row>
    <row r="1029">
      <c r="A1029" s="6">
        <v>1028.0</v>
      </c>
      <c r="B1029" s="6" t="str">
        <f>IFERROR(__xludf.DUMMYFUNCTION("""COMPUTED_VALUE"""),"Преподаватель вуза, исследователь")</f>
        <v>Преподаватель вуза, исследователь</v>
      </c>
      <c r="C1029" s="6" t="str">
        <f>IFERROR(__xludf.DUMMYFUNCTION("""COMPUTED_VALUE"""),"Горные лыжи, путешествия")</f>
        <v>Горные лыжи, путешествия</v>
      </c>
      <c r="D1029" s="6" t="str">
        <f>IFERROR(__xludf.DUMMYFUNCTION("""COMPUTED_VALUE"""),"Центр")</f>
        <v>Центр</v>
      </c>
      <c r="E1029" s="6" t="str">
        <f>IFERROR(__xludf.DUMMYFUNCTION("""COMPUTED_VALUE"""),"Набережная, площадь Пушкина, парк Ангелов")</f>
        <v>Набережная, площадь Пушкина, парк Ангелов</v>
      </c>
      <c r="F1029" s="6" t="str">
        <f>IFERROR(__xludf.DUMMYFUNCTION("""COMPUTED_VALUE"""),"Живу здесь с рождения")</f>
        <v>Живу здесь с рождения</v>
      </c>
      <c r="G1029" s="6" t="str">
        <f>IFERROR(__xludf.DUMMYFUNCTION("""COMPUTED_VALUE"""),"Бор, набережная, Весенняя")</f>
        <v>Бор, набережная, Весенняя</v>
      </c>
      <c r="H1029" s="6" t="str">
        <f>IFERROR(__xludf.DUMMYFUNCTION("""COMPUTED_VALUE"""),"Любовь, ненависть, уют, воздух, близость")</f>
        <v>Любовь, ненависть, уют, воздух, близость</v>
      </c>
      <c r="I1029" s="6" t="str">
        <f>IFERROR(__xludf.DUMMYFUNCTION("""COMPUTED_VALUE"""),"Семён Ремезов, Ван Лохем, Подгорбунский, Михайлов (мэр), Гришковец")</f>
        <v>Семён Ремезов, Ван Лохем, Подгорбунский, Михайлов (мэр), Гришковец</v>
      </c>
      <c r="J1029" s="6" t="str">
        <f>IFERROR(__xludf.DUMMYFUNCTION("""COMPUTED_VALUE"""),"Сухацкий, Васильева, Федорова")</f>
        <v>Сухацкий, Васильева, Федорова</v>
      </c>
      <c r="K1029" s="6" t="str">
        <f>IFERROR(__xludf.DUMMYFUNCTION("""COMPUTED_VALUE"""),"Набережная, Красная Горка, центр Кировского района, Лесная Поляна")</f>
        <v>Набережная, Красная Горка, центр Кировского района, Лесная Поляна</v>
      </c>
      <c r="L1029" s="6" t="str">
        <f>IFERROR(__xludf.DUMMYFUNCTION("""COMPUTED_VALUE"""),"Побег бегемота в Искитимку, песня ""Человек из Кемерово"" ")</f>
        <v>Побег бегемота в Искитимку, песня "Человек из Кемерово" </v>
      </c>
      <c r="M1029" s="6" t="str">
        <f>IFERROR(__xludf.DUMMYFUNCTION("""COMPUTED_VALUE"""),"Мультифора")</f>
        <v>Мультифора</v>
      </c>
      <c r="N1029" s="6" t="str">
        <f>IFERROR(__xludf.DUMMYFUNCTION("""COMPUTED_VALUE"""),"Чистота, озелененность, состояние фасадов и дорог, бережное отношение к истории и культуре, транспорт")</f>
        <v>Чистота, озелененность, состояние фасадов и дорог, бережное отношение к истории и культуре, транспорт</v>
      </c>
      <c r="O1029" s="6" t="str">
        <f>IFERROR(__xludf.DUMMYFUNCTION("""COMPUTED_VALUE"""),"Возродить медицину, прекратить вырубку деревьев, пылесосить город 2 раза в год!")</f>
        <v>Возродить медицину, прекратить вырубку деревьев, пылесосить город 2 раза в год!</v>
      </c>
      <c r="P1029" s="6" t="str">
        <f>IFERROR(__xludf.DUMMYFUNCTION("""COMPUTED_VALUE"""),"Фейсбук, мессенджеры")</f>
        <v>Фейсбук, мессенджеры</v>
      </c>
      <c r="Q1029" s="6" t="str">
        <f>IFERROR(__xludf.DUMMYFUNCTION("""COMPUTED_VALUE"""),"культурные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Др"&amp;"угое свои предложения)")</f>
        <v>культурные новинки (что почитать/что послушать),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1029" s="6" t="str">
        <f>IFERROR(__xludf.DUMMYFUNCTION("""COMPUTED_VALUE"""),"Фестивали искусств, науки (лектории), день города (но если это организовать не так, как сейчас) ")</f>
        <v>Фестивали искусств, науки (лектории), день города (но если это организовать не так, как сейчас) </v>
      </c>
      <c r="S1029" s="6" t="str">
        <f>IFERROR(__xludf.DUMMYFUNCTION("""COMPUTED_VALUE"""),"Через социальные сети (Какие? Укажите в графе другое), Фейсбук ")</f>
        <v>Через социальные сети (Какие? Укажите в графе другое), Фейсбук </v>
      </c>
      <c r="T1029" s="6" t="str">
        <f>IFERROR(__xludf.DUMMYFUNCTION("""COMPUTED_VALUE"""),"АИК, Сосновый бор, Лесная Поляна ")</f>
        <v>АИК, Сосновый бор, Лесная Поляна </v>
      </c>
      <c r="U1029" s="6" t="str">
        <f>IFERROR(__xludf.DUMMYFUNCTION("""COMPUTED_VALUE"""),"Площадь Пушкина, драмтеатр, Весенняя ")</f>
        <v>Площадь Пушкина, драмтеатр, Весенняя </v>
      </c>
      <c r="V1029" s="6" t="str">
        <f>IFERROR(__xludf.DUMMYFUNCTION("""COMPUTED_VALUE"""),"Не думаю, что люди делают что-то, чтобы гордиться.... ")</f>
        <v>Не думаю, что люди делают что-то, чтобы гордиться.... </v>
      </c>
      <c r="W1029" s="6" t="str">
        <f>IFERROR(__xludf.DUMMYFUNCTION("""COMPUTED_VALUE"""),"Разные. Не верю в менталитет и т.п.")</f>
        <v>Разные. Не верю в менталитет и т.п.</v>
      </c>
      <c r="X1029" s="6" t="str">
        <f>IFERROR(__xludf.DUMMYFUNCTION("""COMPUTED_VALUE"""),"Пушкина - Набережная - Мост- Красная горка - Бор ")</f>
        <v>Пушкина - Набережная - Мост- Красная горка - Бор </v>
      </c>
      <c r="Y1029" s="6" t="str">
        <f>IFERROR(__xludf.DUMMYFUNCTION("""COMPUTED_VALUE"""),"АИК Кузбасс ")</f>
        <v>АИК Кузбасс </v>
      </c>
      <c r="Z1029" s="6" t="str">
        <f>IFERROR(__xludf.DUMMYFUNCTION("""COMPUTED_VALUE"""),"Была Детализация, но раньше чем два года. Рок-фестиваль. Отстояли Сосновый бор. ")</f>
        <v>Была Детализация, но раньше чем два года. Рок-фестиваль. Отстояли Сосновый бор. </v>
      </c>
      <c r="AA1029" s="6" t="str">
        <f>IFERROR(__xludf.DUMMYFUNCTION("""COMPUTED_VALUE"""),"Наезды на Бор, проект огромной скульптуры Святой Варвары, режим Чёрного неба, общий упадок порядка в городе (грязь же!!!), убитость дворов даже в центре, развал медицины и работы полиции, неспособность муниципалов справиться со снегом")</f>
        <v>Наезды на Бор, проект огромной скульптуры Святой Варвары, режим Чёрного неба, общий упадок порядка в городе (грязь же!!!), убитость дворов даже в центре, развал медицины и работы полиции, неспособность муниципалов справиться со снегом</v>
      </c>
      <c r="AB1029" s="6" t="str">
        <f>IFERROR(__xludf.DUMMYFUNCTION("""COMPUTED_VALUE"""),"Сообществ активных адекватных граждан, которых бы СЛУШАЛИ в администрации города")</f>
        <v>Сообществ активных адекватных граждан, которых бы СЛУШАЛИ в администрации города</v>
      </c>
      <c r="AC1029" s="6" t="str">
        <f>IFERROR(__xludf.DUMMYFUNCTION("""COMPUTED_VALUE"""),"Фестивали типа Детализации. Музыкальные фестивали (не попса на площадях!!) ")</f>
        <v>Фестивали типа Детализации. Музыкальные фестивали (не попса на площадях!!) </v>
      </c>
      <c r="AD102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029" s="6" t="str">
        <f>IFERROR(__xludf.DUMMYFUNCTION("""COMPUTED_VALUE"""),"Женский")</f>
        <v>Женский</v>
      </c>
      <c r="AF1029" s="6" t="str">
        <f>IFERROR(__xludf.DUMMYFUNCTION("""COMPUTED_VALUE"""),"старше 55")</f>
        <v>старше 55</v>
      </c>
      <c r="AG1029" s="6"/>
      <c r="AH1029" s="6"/>
      <c r="AI1029" s="6"/>
      <c r="AJ1029" s="6"/>
      <c r="AK1029" s="6"/>
      <c r="AL1029" s="6"/>
      <c r="AM1029" s="6"/>
    </row>
    <row r="1030">
      <c r="A1030" s="6">
        <v>1029.0</v>
      </c>
      <c r="B1030" s="6" t="str">
        <f>IFERROR(__xludf.DUMMYFUNCTION("""COMPUTED_VALUE"""),"Строительство")</f>
        <v>Строительство</v>
      </c>
      <c r="C1030" s="6" t="str">
        <f>IFERROR(__xludf.DUMMYFUNCTION("""COMPUTED_VALUE"""),"Горные лыжи.")</f>
        <v>Горные лыжи.</v>
      </c>
      <c r="D1030" s="6" t="str">
        <f>IFERROR(__xludf.DUMMYFUNCTION("""COMPUTED_VALUE"""),"ФПК. Так и называю ФПК")</f>
        <v>ФПК. Так и называю ФПК</v>
      </c>
      <c r="E1030" s="6" t="str">
        <f>IFERROR(__xludf.DUMMYFUNCTION("""COMPUTED_VALUE"""),"На ФПК нет знаковых мест...")</f>
        <v>На ФПК нет знаковых мест...</v>
      </c>
      <c r="F1030" s="6" t="str">
        <f>IFERROR(__xludf.DUMMYFUNCTION("""COMPUTED_VALUE"""),"Переехал сюда из другого места (откуда? укажите в графе другое), Приехал из Белово-пгт Инской, учится в КузГТУ в 1999году. Остался жить.")</f>
        <v>Переехал сюда из другого места (откуда? укажите в графе другое), Приехал из Белово-пгт Инской, учится в КузГТУ в 1999году. Остался жить.</v>
      </c>
      <c r="G1030" s="6" t="str">
        <f>IFERROR(__xludf.DUMMYFUNCTION("""COMPUTED_VALUE"""),"Гулять с ребёнком по набережной и Гор сад. Парк Жукова. Парк Ангелов. В сосновый бор на другом берегу. На бульвар Столителей")</f>
        <v>Гулять с ребёнком по набережной и Гор сад. Парк Жукова. Парк Ангелов. В сосновый бор на другом берегу. На бульвар Столителей</v>
      </c>
      <c r="H1030" s="6" t="str">
        <f>IFERROR(__xludf.DUMMYFUNCTION("""COMPUTED_VALUE"""),"Уголь. Хорошие люди, Тулеев, набережная, улица Весенняя,")</f>
        <v>Уголь. Хорошие люди, Тулеев, набережная, улица Весенняя,</v>
      </c>
      <c r="I1030" s="6" t="str">
        <f>IFERROR(__xludf.DUMMYFUNCTION("""COMPUTED_VALUE"""),"Леонов.")</f>
        <v>Леонов.</v>
      </c>
      <c r="J1030" s="6" t="str">
        <f>IFERROR(__xludf.DUMMYFUNCTION("""COMPUTED_VALUE"""),"Евгений Гришковец - знают его многие, но что для города он сделал я не знаю... 
Тулеев и Мехайлов - без их усилий не было бы того что есть, это ОДНОЗНАЧНО!!!")</f>
        <v>Евгений Гришковец - знают его многие, но что для города он сделал я не знаю... 
Тулеев и Мехайлов - без их усилий не было бы того что есть, это ОДНОЗНАЧНО!!!</v>
      </c>
      <c r="K1030" s="6" t="str">
        <f>IFERROR(__xludf.DUMMYFUNCTION("""COMPUTED_VALUE"""),"Центр города, набережную, сосновый бор(посмотреть на центр Кемерово с противоположной стороны), Парк Ангелов, строительство Арены Кузбасс...")</f>
        <v>Центр города, набережную, сосновый бор(посмотреть на центр Кемерово с противоположной стороны), Парк Ангелов, строительство Арены Кузбасс...</v>
      </c>
      <c r="L1030" s="6" t="str">
        <f>IFERROR(__xludf.DUMMYFUNCTION("""COMPUTED_VALUE"""),"Не помню....")</f>
        <v>Не помню....</v>
      </c>
      <c r="M1030" s="6" t="str">
        <f>IFERROR(__xludf.DUMMYFUNCTION("""COMPUTED_VALUE"""),"Водители в других городах, которые были у нас а городе, говорят - пешеходы идут по переходу, так уверенно - как а Кемерово!!!")</f>
        <v>Водители в других городах, которые были у нас а городе, говорят - пешеходы идут по переходу, так уверенно - как а Кемерово!!!</v>
      </c>
      <c r="N1030" s="6" t="str">
        <f>IFERROR(__xludf.DUMMYFUNCTION("""COMPUTED_VALUE"""),"Удобные и красивые места для прогулок. Хорошие дороги и парковки. Чистота на улицах и во дворах. Безопасность, прежде всего для детей. Забота о пожилых.")</f>
        <v>Удобные и красивые места для прогулок. Хорошие дороги и парковки. Чистота на улицах и во дворах. Безопасность, прежде всего для детей. Забота о пожилых.</v>
      </c>
      <c r="O1030" s="6" t="str">
        <f>IFERROR(__xludf.DUMMYFUNCTION("""COMPUTED_VALUE"""),"Убирать-СМЫВАТЬ ВЕСНОЙ грязь и зимнюю посылку с дорог. И отремонтировать все дворы из которых эту грязь вытаскивают на основные дороги.")</f>
        <v>Убирать-СМЫВАТЬ ВЕСНОЙ грязь и зимнюю посылку с дорог. И отремонтировать все дворы из которых эту грязь вытаскивают на основные дороги.</v>
      </c>
      <c r="P1030" s="6" t="str">
        <f>IFERROR(__xludf.DUMMYFUNCTION("""COMPUTED_VALUE"""),"Вести 24 местное время. ")</f>
        <v>Вести 24 местное время. </v>
      </c>
      <c r="Q1030" s="6" t="str">
        <f>IFERROR(__xludf.DUMMYFUNCTION("""COMPUTED_VALUE"""),"городская афиша (кино/театр/концерты), интервью с местными политиками, результаты местных исследований (рейтинги/аналитика/тенденции)")</f>
        <v>городская афиша (кино/театр/концерты), интервью с местными политиками, результаты местных исследований (рейтинги/аналитика/тенденции)</v>
      </c>
      <c r="R1030" s="6" t="str">
        <f>IFERROR(__xludf.DUMMYFUNCTION("""COMPUTED_VALUE"""),"9 мая, новый год, день города, день шахтёра.")</f>
        <v>9 мая, новый год, день города, день шахтёра.</v>
      </c>
      <c r="S1030" s="6" t="str">
        <f>IFERROR(__xludf.DUMMYFUNCTION("""COMPUTED_VALUE"""),"Нет, не приходилось")</f>
        <v>Нет, не приходилось</v>
      </c>
      <c r="T1030" s="6" t="str">
        <f>IFERROR(__xludf.DUMMYFUNCTION("""COMPUTED_VALUE"""),"Раньше был Тулеев, его знали во всех регионах и в Европе, а сейчас не знаю.... Событий крутых-громеих культурных нет...")</f>
        <v>Раньше был Тулеев, его знали во всех регионах и в Европе, а сейчас не знаю.... Событий крутых-громеих культурных нет...</v>
      </c>
      <c r="U1030" s="6" t="str">
        <f>IFERROR(__xludf.DUMMYFUNCTION("""COMPUTED_VALUE"""),"Ул. Весенняя и набережная!")</f>
        <v>Ул. Весенняя и набережная!</v>
      </c>
      <c r="V1030" s="6" t="str">
        <f>IFERROR(__xludf.DUMMYFUNCTION("""COMPUTED_VALUE"""),"Не знаю...")</f>
        <v>Не знаю...</v>
      </c>
      <c r="W1030" s="6" t="str">
        <f>IFERROR(__xludf.DUMMYFUNCTION("""COMPUTED_VALUE"""),"Добрые, отзывчивые, готовые помочь незнакомому человеку, большинство честных! Девушки - красавицы!!!")</f>
        <v>Добрые, отзывчивые, готовые помочь незнакомому человеку, большинство честных! Девушки - красавицы!!!</v>
      </c>
      <c r="X1030" s="6" t="str">
        <f>IFERROR(__xludf.DUMMYFUNCTION("""COMPUTED_VALUE"""),"Центр-парк ангелов-набережная-бор-бульвар строителей")</f>
        <v>Центр-парк ангелов-набережная-бор-бульвар строителей</v>
      </c>
      <c r="Y1030" s="6" t="str">
        <f>IFERROR(__xludf.DUMMYFUNCTION("""COMPUTED_VALUE"""),"Не знаю...")</f>
        <v>Не знаю...</v>
      </c>
      <c r="Z1030" s="6" t="str">
        <f>IFERROR(__xludf.DUMMYFUNCTION("""COMPUTED_VALUE"""),"Рок концерт от Стройсервиса на день шахтёра.")</f>
        <v>Рок концерт от Стройсервиса на день шахтёра.</v>
      </c>
      <c r="AA1030" s="6" t="str">
        <f>IFERROR(__xludf.DUMMYFUNCTION("""COMPUTED_VALUE"""),"Пожар в Зимней вишней.")</f>
        <v>Пожар в Зимней вишней.</v>
      </c>
      <c r="AB1030" s="6" t="str">
        <f>IFERROR(__xludf.DUMMYFUNCTION("""COMPUTED_VALUE"""),"Автоспорта. Концертов звёздных.")</f>
        <v>Автоспорта. Концертов звёздных.</v>
      </c>
      <c r="AC1030" s="6" t="str">
        <f>IFERROR(__xludf.DUMMYFUNCTION("""COMPUTED_VALUE"""),"Соревнование по авто мото гонкам, концертов звезд. ")</f>
        <v>Соревнование по авто мото гонкам, концертов звезд. </v>
      </c>
      <c r="AD1030"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1030" s="6" t="str">
        <f>IFERROR(__xludf.DUMMYFUNCTION("""COMPUTED_VALUE"""),"Мужской")</f>
        <v>Мужской</v>
      </c>
      <c r="AF1030" s="6" t="str">
        <f>IFERROR(__xludf.DUMMYFUNCTION("""COMPUTED_VALUE"""),"30-44")</f>
        <v>30-44</v>
      </c>
      <c r="AG1030" s="6"/>
      <c r="AH1030" s="6"/>
      <c r="AI1030" s="6"/>
      <c r="AJ1030" s="6"/>
      <c r="AK1030" s="6"/>
      <c r="AL1030" s="6"/>
      <c r="AM1030" s="6"/>
    </row>
    <row r="1031">
      <c r="A1031" s="6">
        <v>1030.0</v>
      </c>
      <c r="B1031" s="6" t="str">
        <f>IFERROR(__xludf.DUMMYFUNCTION("""COMPUTED_VALUE"""),"научные исследования")</f>
        <v>научные исследования</v>
      </c>
      <c r="C1031" s="6" t="str">
        <f>IFERROR(__xludf.DUMMYFUNCTION("""COMPUTED_VALUE"""),"нет")</f>
        <v>нет</v>
      </c>
      <c r="D1031" s="6" t="str">
        <f>IFERROR(__xludf.DUMMYFUNCTION("""COMPUTED_VALUE"""),"В Ленинском, так и называю")</f>
        <v>В Ленинском, так и называю</v>
      </c>
      <c r="E1031" s="6" t="str">
        <f>IFERROR(__xludf.DUMMYFUNCTION("""COMPUTED_VALUE"""),"Не совсем ясно, что имеется в виду (знаковые как ориентир, как любимое место, как историческое и т.д.).")</f>
        <v>Не совсем ясно, что имеется в виду (знаковые как ориентир, как любимое место, как историческое и т.д.).</v>
      </c>
      <c r="F1031" s="6" t="str">
        <f>IFERROR(__xludf.DUMMYFUNCTION("""COMPUTED_VALUE"""),"Живу здесь с рождения")</f>
        <v>Живу здесь с рождения</v>
      </c>
      <c r="G1031" s="6" t="str">
        <f>IFERROR(__xludf.DUMMYFUNCTION("""COMPUTED_VALUE"""),"сейчас Московский проспект")</f>
        <v>сейчас Московский проспект</v>
      </c>
      <c r="H1031" s="6" t="str">
        <f>IFERROR(__xludf.DUMMYFUNCTION("""COMPUTED_VALUE"""),"родной, уютный, близкий, уверенный, русский")</f>
        <v>родной, уютный, близкий, уверенный, русский</v>
      </c>
      <c r="I1031" s="6" t="str">
        <f>IFERROR(__xludf.DUMMYFUNCTION("""COMPUTED_VALUE"""),"Волошина, Романов")</f>
        <v>Волошина, Романов</v>
      </c>
      <c r="J1031" s="6" t="str">
        <f>IFERROR(__xludf.DUMMYFUNCTION("""COMPUTED_VALUE"""),"Михайлов, Тулеев")</f>
        <v>Михайлов, Тулеев</v>
      </c>
      <c r="K1031" s="6" t="str">
        <f>IFERROR(__xludf.DUMMYFUNCTION("""COMPUTED_VALUE"""),"Красная горка, ул. Весенняя")</f>
        <v>Красная горка, ул. Весенняя</v>
      </c>
      <c r="L1031" s="6" t="str">
        <f>IFERROR(__xludf.DUMMYFUNCTION("""COMPUTED_VALUE"""),"Не припомню")</f>
        <v>Не припомню</v>
      </c>
      <c r="M1031" s="6" t="str">
        <f>IFERROR(__xludf.DUMMYFUNCTION("""COMPUTED_VALUE"""),"Тормозок")</f>
        <v>Тормозок</v>
      </c>
      <c r="N1031" s="6" t="str">
        <f>IFERROR(__xludf.DUMMYFUNCTION("""COMPUTED_VALUE"""),"Тепло- и водоснабжение, чистота, безопасность, качественные дороги (тротуары), ухоженные фасады")</f>
        <v>Тепло- и водоснабжение, чистота, безопасность, качественные дороги (тротуары), ухоженные фасады</v>
      </c>
      <c r="O1031" s="6" t="str">
        <f>IFERROR(__xludf.DUMMYFUNCTION("""COMPUTED_VALUE"""),"Придомовые территории, фасады, контроль за экологией")</f>
        <v>Придомовые территории, фасады, контроль за экологией</v>
      </c>
      <c r="P1031" s="6" t="str">
        <f>IFERROR(__xludf.DUMMYFUNCTION("""COMPUTED_VALUE"""),"gazeta.a42.ru , ako.ru , vse42.ru ")</f>
        <v>gazeta.a42.ru , ako.ru , vse42.ru </v>
      </c>
      <c r="Q1031" s="6" t="str">
        <f>IFERROR(__xludf.DUMMYFUNCTION("""COMPUTED_VALUE"""),"культурные новинки (что почитать/что послушать), интервью с местными политиками,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(н"&amp;"апишите в разделе Другое свои предложения)")</f>
        <v>культурные новинки (что почитать/что послушать), интервью с местными политиками,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031" s="6" t="str">
        <f>IFERROR(__xludf.DUMMYFUNCTION("""COMPUTED_VALUE"""),"День победы, День шахтера")</f>
        <v>День победы, День шахтера</v>
      </c>
      <c r="S1031" s="6" t="str">
        <f>IFERROR(__xludf.DUMMYFUNCTION("""COMPUTED_VALUE"""),"Нет, не приходилось")</f>
        <v>Нет, не приходилось</v>
      </c>
      <c r="T1031" s="6" t="str">
        <f>IFERROR(__xludf.DUMMYFUNCTION("""COMPUTED_VALUE"""),"Воспринимается как ""столица"" Кузбасса, загрязнением воздуха")</f>
        <v>Воспринимается как "столица" Кузбасса, загрязнением воздуха</v>
      </c>
      <c r="U1031" s="6" t="str">
        <f>IFERROR(__xludf.DUMMYFUNCTION("""COMPUTED_VALUE"""),"Район Драмтеатра")</f>
        <v>Район Драмтеатра</v>
      </c>
      <c r="V1031" s="6" t="str">
        <f>IFERROR(__xludf.DUMMYFUNCTION("""COMPUTED_VALUE"""),"Строили и защищали страну")</f>
        <v>Строили и защищали страну</v>
      </c>
      <c r="W1031" s="6" t="str">
        <f>IFERROR(__xludf.DUMMYFUNCTION("""COMPUTED_VALUE"""),"Люди, которые считают критерием правильного поведения справедливость")</f>
        <v>Люди, которые считают критерием правильного поведения справедливость</v>
      </c>
      <c r="X1031" s="6" t="str">
        <f>IFERROR(__xludf.DUMMYFUNCTION("""COMPUTED_VALUE"""),"Летом - прогулка по Весенней от КузГТУ до Томи и через пл. Пушкина на Советский")</f>
        <v>Летом - прогулка по Весенней от КузГТУ до Томи и через пл. Пушкина на Советский</v>
      </c>
      <c r="Y1031" s="6" t="str">
        <f>IFERROR(__xludf.DUMMYFUNCTION("""COMPUTED_VALUE"""),"Забастовка шахтеров как историческое")</f>
        <v>Забастовка шахтеров как историческое</v>
      </c>
      <c r="Z1031" s="6" t="str">
        <f>IFERROR(__xludf.DUMMYFUNCTION("""COMPUTED_VALUE"""),"День шахтера ")</f>
        <v>День шахтера </v>
      </c>
      <c r="AA1031" s="6" t="str">
        <f>IFERROR(__xludf.DUMMYFUNCTION("""COMPUTED_VALUE"""),"Сопротивление сохранению бассейна")</f>
        <v>Сопротивление сохранению бассейна</v>
      </c>
      <c r="AB1031" s="6" t="str">
        <f>IFERROR(__xludf.DUMMYFUNCTION("""COMPUTED_VALUE"""),"Таких нет")</f>
        <v>Таких нет</v>
      </c>
      <c r="AC1031" s="6" t="str">
        <f>IFERROR(__xludf.DUMMYFUNCTION("""COMPUTED_VALUE"""),"Молодежи патриотические мероприятия ")</f>
        <v>Молодежи патриотические мероприятия </v>
      </c>
      <c r="AD1031" s="6" t="str">
        <f>IFERROR(__xludf.DUMMYFUNCTION("""COMPUTED_VALUE"""),"Не готов принимать личное участие (укажите, пожалуйста, причину в поле «Другое»), К сожалению уже не тот возраст - за 70")</f>
        <v>Не готов принимать личное участие (укажите, пожалуйста, причину в поле «Другое»), К сожалению уже не тот возраст - за 70</v>
      </c>
      <c r="AE1031" s="6" t="str">
        <f>IFERROR(__xludf.DUMMYFUNCTION("""COMPUTED_VALUE"""),"Мужской")</f>
        <v>Мужской</v>
      </c>
      <c r="AF1031" s="6" t="str">
        <f>IFERROR(__xludf.DUMMYFUNCTION("""COMPUTED_VALUE"""),"старше 55")</f>
        <v>старше 55</v>
      </c>
      <c r="AG1031" s="6"/>
      <c r="AH1031" s="6"/>
      <c r="AI1031" s="6"/>
      <c r="AJ1031" s="6"/>
      <c r="AK1031" s="6"/>
      <c r="AL1031" s="6"/>
      <c r="AM1031" s="6"/>
    </row>
    <row r="1032">
      <c r="A1032" s="6">
        <v>1031.0</v>
      </c>
      <c r="B1032" s="6" t="str">
        <f>IFERROR(__xludf.DUMMYFUNCTION("""COMPUTED_VALUE"""),"ТП")</f>
        <v>ТП</v>
      </c>
      <c r="C1032" s="6" t="str">
        <f>IFERROR(__xludf.DUMMYFUNCTION("""COMPUTED_VALUE"""),"Гулять с детьми")</f>
        <v>Гулять с детьми</v>
      </c>
      <c r="D1032" s="6" t="str">
        <f>IFERROR(__xludf.DUMMYFUNCTION("""COMPUTED_VALUE"""),"ФПК")</f>
        <v>ФПК</v>
      </c>
      <c r="E1032" s="6" t="str">
        <f>IFERROR(__xludf.DUMMYFUNCTION("""COMPUTED_VALUE"""),"0")</f>
        <v>0</v>
      </c>
      <c r="F1032"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1032" s="6" t="str">
        <f>IFERROR(__xludf.DUMMYFUNCTION("""COMPUTED_VALUE"""),"Бульвар, парк Комсоммольский, набережная")</f>
        <v>Бульвар, парк Комсоммольский, набережная</v>
      </c>
      <c r="H1032" s="6" t="str">
        <f>IFERROR(__xludf.DUMMYFUNCTION("""COMPUTED_VALUE"""),"Затрудняюсь ответить ")</f>
        <v>Затрудняюсь ответить </v>
      </c>
      <c r="I1032" s="6" t="str">
        <f>IFERROR(__xludf.DUMMYFUNCTION("""COMPUTED_VALUE"""),"Тулеев")</f>
        <v>Тулеев</v>
      </c>
      <c r="J1032" s="6" t="str">
        <f>IFERROR(__xludf.DUMMYFUNCTION("""COMPUTED_VALUE"""),"Цивилен, ")</f>
        <v>Цивилен, </v>
      </c>
      <c r="K1032" s="6" t="str">
        <f>IFERROR(__xludf.DUMMYFUNCTION("""COMPUTED_VALUE"""),"Таких не знаю")</f>
        <v>Таких не знаю</v>
      </c>
      <c r="L1032" s="6" t="str">
        <f>IFERROR(__xludf.DUMMYFUNCTION("""COMPUTED_VALUE"""),"Затрудняюсь")</f>
        <v>Затрудняюсь</v>
      </c>
      <c r="M1032" s="6" t="str">
        <f>IFERROR(__xludf.DUMMYFUNCTION("""COMPUTED_VALUE"""),"Нет")</f>
        <v>Нет</v>
      </c>
      <c r="N1032" s="6" t="str">
        <f>IFERROR(__xludf.DUMMYFUNCTION("""COMPUTED_VALUE"""),"Мало пробок, хорошее качество дорог, ")</f>
        <v>Мало пробок, хорошее качество дорог, </v>
      </c>
      <c r="O1032" s="6" t="str">
        <f>IFERROR(__xludf.DUMMYFUNCTION("""COMPUTED_VALUE"""),"Развлечений детских: бассейн, аквапарк.., игровые площадки. ТРЦ ")</f>
        <v>Развлечений детских: бассейн, аквапарк.., игровые площадки. ТРЦ </v>
      </c>
      <c r="P1032" s="6" t="str">
        <f>IFERROR(__xludf.DUMMYFUNCTION("""COMPUTED_VALUE"""),"Инстаграмм")</f>
        <v>Инстаграмм</v>
      </c>
      <c r="Q1032" s="6" t="str">
        <f>IFERROR(__xludf.DUMMYFUNCTION("""COMPUTED_VALUE"""),"куда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f>
        <v>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v>
      </c>
      <c r="R1032" s="6" t="str">
        <f>IFERROR(__xludf.DUMMYFUNCTION("""COMPUTED_VALUE"""),"День города, день шахтёра, 1 июнь, день семьи, 9 мая, ")</f>
        <v>День города, день шахтёра, 1 июнь, день семьи, 9 мая, </v>
      </c>
      <c r="S1032" s="6" t="str">
        <f>IFERROR(__xludf.DUMMYFUNCTION("""COMPUTED_VALUE"""),"Нет, не приходилось")</f>
        <v>Нет, не приходилось</v>
      </c>
      <c r="T1032" s="6" t="str">
        <f>IFERROR(__xludf.DUMMYFUNCTION("""COMPUTED_VALUE"""),"Задумалась")</f>
        <v>Задумалась</v>
      </c>
      <c r="U1032" s="6" t="str">
        <f>IFERROR(__xludf.DUMMYFUNCTION("""COMPUTED_VALUE"""),"Центр")</f>
        <v>Центр</v>
      </c>
      <c r="V1032" s="6" t="str">
        <f>IFERROR(__xludf.DUMMYFUNCTION("""COMPUTED_VALUE"""),"Затрудняюсь")</f>
        <v>Затрудняюсь</v>
      </c>
      <c r="W1032" s="6" t="str">
        <f>IFERROR(__xludf.DUMMYFUNCTION("""COMPUTED_VALUE"""),"Добродушные ")</f>
        <v>Добродушные </v>
      </c>
      <c r="X1032" s="6" t="str">
        <f>IFERROR(__xludf.DUMMYFUNCTION("""COMPUTED_VALUE"""),"Затрудняюсь")</f>
        <v>Затрудняюсь</v>
      </c>
      <c r="Y1032" s="6" t="str">
        <f>IFERROR(__xludf.DUMMYFUNCTION("""COMPUTED_VALUE"""),"Не знаю")</f>
        <v>Не знаю</v>
      </c>
      <c r="Z1032" s="6" t="str">
        <f>IFERROR(__xludf.DUMMYFUNCTION("""COMPUTED_VALUE"""),"Улучшение города, инфраструктуры ")</f>
        <v>Улучшение города, инфраструктуры </v>
      </c>
      <c r="AA1032" s="6" t="str">
        <f>IFERROR(__xludf.DUMMYFUNCTION("""COMPUTED_VALUE"""),"Нет таких")</f>
        <v>Нет таких</v>
      </c>
      <c r="AB1032" s="6" t="str">
        <f>IFERROR(__xludf.DUMMYFUNCTION("""COMPUTED_VALUE"""),"ТРЦ с отделами европейского и российского уровня, те что есть во всех других городах и даже в Новокузнецке, аквапарка, бассейн для занятий детям, оснащение парков, фонтаны, можно какую либо площадку смотра на вечерний город с горы Люскус")</f>
        <v>ТРЦ с отделами европейского и российского уровня, те что есть во всех других городах и даже в Новокузнецке, аквапарка, бассейн для занятий детям, оснащение парков, фонтаны, можно какую либо площадку смотра на вечерний город с горы Люскус</v>
      </c>
      <c r="AC1032" s="6" t="str">
        <f>IFERROR(__xludf.DUMMYFUNCTION("""COMPUTED_VALUE"""),"Не знаю")</f>
        <v>Не знаю</v>
      </c>
      <c r="AD1032"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1032" s="6" t="str">
        <f>IFERROR(__xludf.DUMMYFUNCTION("""COMPUTED_VALUE"""),"Женский")</f>
        <v>Женский</v>
      </c>
      <c r="AF1032" s="6" t="str">
        <f>IFERROR(__xludf.DUMMYFUNCTION("""COMPUTED_VALUE"""),"30-44")</f>
        <v>30-44</v>
      </c>
      <c r="AG1032" s="6"/>
      <c r="AH1032" s="6"/>
      <c r="AI1032" s="6"/>
      <c r="AJ1032" s="6"/>
      <c r="AK1032" s="6"/>
      <c r="AL1032" s="6"/>
      <c r="AM1032" s="6"/>
    </row>
    <row r="1033">
      <c r="A1033" s="6">
        <v>1032.0</v>
      </c>
      <c r="B1033" s="6" t="str">
        <f>IFERROR(__xludf.DUMMYFUNCTION("""COMPUTED_VALUE"""),"Строительство")</f>
        <v>Строительство</v>
      </c>
      <c r="C1033" s="6" t="str">
        <f>IFERROR(__xludf.DUMMYFUNCTION("""COMPUTED_VALUE"""),"Прогулки по городу, паркам, бор. ")</f>
        <v>Прогулки по городу, паркам, бор. </v>
      </c>
      <c r="D1033" s="6" t="str">
        <f>IFERROR(__xludf.DUMMYFUNCTION("""COMPUTED_VALUE"""),"Ленинском. ")</f>
        <v>Ленинском. </v>
      </c>
      <c r="E1033" s="6" t="str">
        <f>IFERROR(__xludf.DUMMYFUNCTION("""COMPUTED_VALUE"""),"СК Кузбасс. Бульвар строителей. ")</f>
        <v>СК Кузбасс. Бульвар строителей. </v>
      </c>
      <c r="F1033" s="6" t="str">
        <f>IFERROR(__xludf.DUMMYFUNCTION("""COMPUTED_VALUE"""),"Живу здесь с рождения")</f>
        <v>Живу здесь с рождения</v>
      </c>
      <c r="G1033" s="6" t="str">
        <f>IFERROR(__xludf.DUMMYFUNCTION("""COMPUTED_VALUE"""),"Бульвар строителей, парк вера волошиной, гор-сад.заповедник Красная горка")</f>
        <v>Бульвар строителей, парк вера волошиной, гор-сад.заповедник Красная горка</v>
      </c>
      <c r="H1033" s="6" t="str">
        <f>IFERROR(__xludf.DUMMYFUNCTION("""COMPUTED_VALUE"""),"Развитие, безработитьца, грязь, стройка, нищета. ")</f>
        <v>Развитие, безработитьца, грязь, стройка, нищета. </v>
      </c>
      <c r="I1033" s="6" t="str">
        <f>IFERROR(__xludf.DUMMYFUNCTION("""COMPUTED_VALUE"""),"Михайло Волков. Глинка. Вера Валошина. Ленин. Юрий Гагарин. Терешкова. Маркавцев. ")</f>
        <v>Михайло Волков. Глинка. Вера Валошина. Ленин. Юрий Гагарин. Терешкова. Маркавцев. </v>
      </c>
      <c r="J1033" s="6" t="str">
        <f>IFERROR(__xludf.DUMMYFUNCTION("""COMPUTED_VALUE"""),"Михайлов. ")</f>
        <v>Михайлов. </v>
      </c>
      <c r="K1033" s="6" t="str">
        <f>IFERROR(__xludf.DUMMYFUNCTION("""COMPUTED_VALUE"""),"Томская писсаница. Сосновый бор. Красная горка. ")</f>
        <v>Томская писсаница. Сосновый бор. Красная горка. </v>
      </c>
      <c r="L1033" s="6" t="str">
        <f>IFERROR(__xludf.DUMMYFUNCTION("""COMPUTED_VALUE"""),"Кемеровчан возмутила продажа в городе праздничных салютов с названием ""Зимняя вишня"". Многие сочли это кощунством и глумлением над трагедией, произошедшей в марте прошлого года, когда в результате пожара в кемеровском торгово-развлекательной центре ""Зи"&amp;"мняя вишня"" погибло 60 человек, более половины их них - дети.")</f>
        <v>Кемеровчан возмутила продажа в городе праздничных салютов с названием "Зимняя вишня". Многие сочли это кощунством и глумлением над трагедией, произошедшей в марте прошлого года, когда в результате пожара в кемеровском торгово-развлекательной центре "Зимняя вишня" погибло 60 человек, более половины их них - дети.</v>
      </c>
      <c r="M1033" s="6" t="str">
        <f>IFERROR(__xludf.DUMMYFUNCTION("""COMPUTED_VALUE"""),"Это кемерово детка")</f>
        <v>Это кемерово детка</v>
      </c>
      <c r="N1033" s="6" t="str">
        <f>IFERROR(__xludf.DUMMYFUNCTION("""COMPUTED_VALUE"""),"Доступность. ")</f>
        <v>Доступность. </v>
      </c>
      <c r="O1033" s="6" t="str">
        <f>IFERROR(__xludf.DUMMYFUNCTION("""COMPUTED_VALUE"""),"Дорожную развязку. ")</f>
        <v>Дорожную развязку. </v>
      </c>
      <c r="P1033" s="6" t="str">
        <f>IFERROR(__xludf.DUMMYFUNCTION("""COMPUTED_VALUE"""),"42 рус, инцидент кемерово, новости кузбасс. ")</f>
        <v>42 рус, инцидент кемерово, новости кузбасс. </v>
      </c>
      <c r="Q1033"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f>
        <v>куда пойти в свободное время, новости про новые профессии/куда поступать/вакансии, бизнес-новости (средний чек/рекламные акции/запуск новых предприятий)</v>
      </c>
      <c r="R1033" s="6" t="str">
        <f>IFERROR(__xludf.DUMMYFUNCTION("""COMPUTED_VALUE"""),"День победы, день шахтеров. ")</f>
        <v>День победы, день шахтеров. </v>
      </c>
      <c r="S1033" s="6" t="str">
        <f>IFERROR(__xludf.DUMMYFUNCTION("""COMPUTED_VALUE"""),"Нет, не приходилось")</f>
        <v>Нет, не приходилось</v>
      </c>
      <c r="T1033" s="6" t="str">
        <f>IFERROR(__xludf.DUMMYFUNCTION("""COMPUTED_VALUE"""),"Заводами. ")</f>
        <v>Заводами. </v>
      </c>
      <c r="U1033" s="6" t="str">
        <f>IFERROR(__xludf.DUMMYFUNCTION("""COMPUTED_VALUE"""),"Бульвар строителей. ")</f>
        <v>Бульвар строителей. </v>
      </c>
      <c r="V1033" s="6" t="str">
        <f>IFERROR(__xludf.DUMMYFUNCTION("""COMPUTED_VALUE"""),"Строительство, заводы, культурные центры, заповедник, парк. ")</f>
        <v>Строительство, заводы, культурные центры, заповедник, парк. </v>
      </c>
      <c r="W1033" s="6" t="str">
        <f>IFERROR(__xludf.DUMMYFUNCTION("""COMPUTED_VALUE"""),"Гостиприимчивые. Замкнутые. Агрессивные. ")</f>
        <v>Гостиприимчивые. Замкнутые. Агрессивные. </v>
      </c>
      <c r="X1033" s="6" t="str">
        <f>IFERROR(__xludf.DUMMYFUNCTION("""COMPUTED_VALUE"""),"Сасновый бор, красная горка, гор сад, бульвар строителей. ")</f>
        <v>Сасновый бор, красная горка, гор сад, бульвар строителей. </v>
      </c>
      <c r="Y1033" s="6" t="str">
        <f>IFERROR(__xludf.DUMMYFUNCTION("""COMPUTED_VALUE"""),"Главное политическое событие 2005 года в Кемеровской области - депутаты областного Совета по представлению президента Владимира Путина единогласно проголосовали за кандидатуру Амана Тулеева на пост губернатора Кузбасса. Аман Тулеев был выбран на должность"&amp;" главы Кемеровской области 20 апреля, в тот же день прошла инаугурация. В экономической сфере значимым достижением стало то, что шахтеры Кемеровской области добыли 160 млн тонн угля. До этого угледобывающие предприятия Кузбасса достигали 150-миллионного р"&amp;"убежа. Год не обошелся и без печальных событий: в 2005 году на нескольких угольных шахтах Кузбасса произошли аварии, унесшие десятки горняцких жизней.")</f>
        <v>Главное политическое событие 2005 года в Кемеровской области - депутаты областного Совета по представлению президента Владимира Путина единогласно проголосовали за кандидатуру Амана Тулеева на пост губернатора Кузбасса. Аман Тулеев был выбран на должность главы Кемеровской области 20 апреля, в тот же день прошла инаугурация. В экономической сфере значимым достижением стало то, что шахтеры Кемеровской области добыли 160 млн тонн угля. До этого угледобывающие предприятия Кузбасса достигали 150-миллионного рубежа. Год не обошелся и без печальных событий: в 2005 году на нескольких угольных шахтах Кузбасса произошли аварии, унесшие десятки горняцких жизней.</v>
      </c>
      <c r="Z1033" s="6" t="str">
        <f>IFERROR(__xludf.DUMMYFUNCTION("""COMPUTED_VALUE"""),"Никакие. ")</f>
        <v>Никакие. </v>
      </c>
      <c r="AA1033" s="6" t="str">
        <f>IFERROR(__xludf.DUMMYFUNCTION("""COMPUTED_VALUE"""),"Строительство, безработитьца. ")</f>
        <v>Строительство, безработитьца. </v>
      </c>
      <c r="AB1033" s="6" t="str">
        <f>IFERROR(__xludf.DUMMYFUNCTION("""COMPUTED_VALUE"""),"Затрудняюсь ответить. ")</f>
        <v>Затрудняюсь ответить. </v>
      </c>
      <c r="AC1033" s="6" t="str">
        <f>IFERROR(__xludf.DUMMYFUNCTION("""COMPUTED_VALUE"""),"Аквопарк. Доступные благоустроиные пляжи. ")</f>
        <v>Аквопарк. Доступные благоустроиные пляжи. </v>
      </c>
      <c r="AD1033"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33" s="6" t="str">
        <f>IFERROR(__xludf.DUMMYFUNCTION("""COMPUTED_VALUE"""),"Мужской")</f>
        <v>Мужской</v>
      </c>
      <c r="AF1033" s="6" t="str">
        <f>IFERROR(__xludf.DUMMYFUNCTION("""COMPUTED_VALUE"""),"30-44")</f>
        <v>30-44</v>
      </c>
      <c r="AG1033" s="6"/>
      <c r="AH1033" s="6"/>
      <c r="AI1033" s="6"/>
      <c r="AJ1033" s="6"/>
      <c r="AK1033" s="6"/>
      <c r="AL1033" s="6"/>
      <c r="AM1033" s="6"/>
    </row>
    <row r="1034">
      <c r="A1034" s="6">
        <v>1033.0</v>
      </c>
      <c r="B1034" s="6" t="str">
        <f>IFERROR(__xludf.DUMMYFUNCTION("""COMPUTED_VALUE"""),"частная няня")</f>
        <v>частная няня</v>
      </c>
      <c r="C1034" s="6" t="str">
        <f>IFERROR(__xludf.DUMMYFUNCTION("""COMPUTED_VALUE"""),"книги, рисование")</f>
        <v>книги, рисование</v>
      </c>
      <c r="D1034" s="6" t="str">
        <f>IFERROR(__xludf.DUMMYFUNCTION("""COMPUTED_VALUE"""),"Ленинский")</f>
        <v>Ленинский</v>
      </c>
      <c r="E1034" s="6" t="str">
        <f>IFERROR(__xludf.DUMMYFUNCTION("""COMPUTED_VALUE"""),"Бульвар Строителей, Кузбасский парк, Красное озеро")</f>
        <v>Бульвар Строителей, Кузбасский парк, Красное озеро</v>
      </c>
      <c r="F1034" s="6" t="str">
        <f>IFERROR(__xludf.DUMMYFUNCTION("""COMPUTED_VALUE"""),"Живу здесь с рождения")</f>
        <v>Живу здесь с рождения</v>
      </c>
      <c r="G1034" s="6" t="str">
        <f>IFERROR(__xludf.DUMMYFUNCTION("""COMPUTED_VALUE"""),"Красное озеро, Кузбасский парк, набережная в центральном районе, Сосновый бор на Радуге")</f>
        <v>Красное озеро, Кузбасский парк, набережная в центральном районе, Сосновый бор на Радуге</v>
      </c>
      <c r="H1034" s="6" t="str">
        <f>IFERROR(__xludf.DUMMYFUNCTION("""COMPUTED_VALUE"""),"автомагистраль, парк, детская площадка, высотки, бездомные животные")</f>
        <v>автомагистраль, парк, детская площадка, высотки, бездомные животные</v>
      </c>
      <c r="I1034" s="6" t="str">
        <f>IFERROR(__xludf.DUMMYFUNCTION("""COMPUTED_VALUE"""),"Волков, Вера Волошина")</f>
        <v>Волков, Вера Волошина</v>
      </c>
      <c r="J1034" s="6" t="str">
        <f>IFERROR(__xludf.DUMMYFUNCTION("""COMPUTED_VALUE"""),"Евгений Гришковец, основатель театра ""Ложа""")</f>
        <v>Евгений Гришковец, основатель театра "Ложа"</v>
      </c>
      <c r="K1034" s="6" t="str">
        <f>IFERROR(__xludf.DUMMYFUNCTION("""COMPUTED_VALUE"""),"Старая пристань")</f>
        <v>Старая пристань</v>
      </c>
      <c r="L1034" s="6" t="str">
        <f>IFERROR(__xludf.DUMMYFUNCTION("""COMPUTED_VALUE"""),"не знаю таких")</f>
        <v>не знаю таких</v>
      </c>
      <c r="M1034" s="6" t="str">
        <f>IFERROR(__xludf.DUMMYFUNCTION("""COMPUTED_VALUE"""),"нет")</f>
        <v>нет</v>
      </c>
      <c r="N1034" s="6" t="str">
        <f>IFERROR(__xludf.DUMMYFUNCTION("""COMPUTED_VALUE"""),"- парки с эргономичной системой дорожек и разнообразными зелёными посадками (и вообще большое количество зеленых зон в городе);
- благоустроенные дворы (удобные детские площадки, достаточное количество лавочек и зеленых насаждений); 
- хорошее качество по"&amp;"крытия пешеходных зон;
- адекватное обустройство мусорных зон во дворах и своевременный вывоз мусора;
- сохранение и грамотная реставрация исторических мест города/исторической архитектуры")</f>
        <v>- парки с эргономичной системой дорожек и разнообразными зелёными посадками (и вообще большое количество зеленых зон в городе);
- благоустроенные дворы (удобные детские площадки, достаточное количество лавочек и зеленых насаждений); 
- хорошее качество покрытия пешеходных зон;
- адекватное обустройство мусорных зон во дворах и своевременный вывоз мусора;
- сохранение и грамотная реставрация исторических мест города/исторической архитектуры</v>
      </c>
      <c r="O1034" s="6" t="str">
        <f>IFERROR(__xludf.DUMMYFUNCTION("""COMPUTED_VALUE"""),"подход к озеленению. пресекать бездумную и бесконтрольную вырубку деревьев, ввести практику пересадки деревьев/кустов, если они мешают строительству ( почему бы эти самые ""мешающие"" насаждения грамотно не включить в строительный план?). провести очистит"&amp;"ельные работы на реке Искитимка - ужасающе, во что превратилась водная артерия города")</f>
        <v>подход к озеленению. пресекать бездумную и бесконтрольную вырубку деревьев, ввести практику пересадки деревьев/кустов, если они мешают строительству ( почему бы эти самые "мешающие" насаждения грамотно не включить в строительный план?). провести очистительные работы на реке Искитимка - ужасающе, во что превратилась водная артерия города</v>
      </c>
      <c r="P1034" s="6" t="str">
        <f>IFERROR(__xludf.DUMMYFUNCTION("""COMPUTED_VALUE"""),"сообщество в вк Регион-42 Кемерово")</f>
        <v>сообщество в вк Регион-42 Кемерово</v>
      </c>
      <c r="Q1034" s="6" t="str">
        <f>IFERROR(__xludf.DUMMYFUNCTION("""COMPUTED_VALUE"""),"культурные новинки (что почитать/что послушать), интервью с местными творческими личностями, результаты местных исследований (рейтинги/аналитика/тенденции)")</f>
        <v>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1034" s="6" t="str">
        <f>IFERROR(__xludf.DUMMYFUNCTION("""COMPUTED_VALUE"""),"день города")</f>
        <v>день города</v>
      </c>
      <c r="S1034" s="6" t="str">
        <f>IFERROR(__xludf.DUMMYFUNCTION("""COMPUTED_VALUE"""),"Нет, не приходилось")</f>
        <v>Нет, не приходилось</v>
      </c>
      <c r="T1034" s="6" t="str">
        <f>IFERROR(__xludf.DUMMYFUNCTION("""COMPUTED_VALUE"""),"столица Кузбасса, знаменита своим грязным воздухом ( я серьезно обеспокоена этой проблемой). также считаю уникальным сосновый бор в рудничном районе (Радуга) - невероятно красивое и комфортное место для времяпрепровождения и отдыха. ")</f>
        <v>столица Кузбасса, знаменита своим грязным воздухом ( я серьезно обеспокоена этой проблемой). также считаю уникальным сосновый бор в рудничном районе (Радуга) - невероятно красивое и комфортное место для времяпрепровождения и отдыха. </v>
      </c>
      <c r="U1034" s="6" t="str">
        <f>IFERROR(__xludf.DUMMYFUNCTION("""COMPUTED_VALUE"""),"Набережная")</f>
        <v>Набережная</v>
      </c>
      <c r="V1034" s="6" t="str">
        <f>IFERROR(__xludf.DUMMYFUNCTION("""COMPUTED_VALUE"""),"сложно сказать")</f>
        <v>сложно сказать</v>
      </c>
      <c r="W1034" s="6" t="str">
        <f>IFERROR(__xludf.DUMMYFUNCTION("""COMPUTED_VALUE"""),"сложно сказать, никаких особенных отличительных черт не вижу")</f>
        <v>сложно сказать, никаких особенных отличительных черт не вижу</v>
      </c>
      <c r="X1034" s="6" t="str">
        <f>IFERROR(__xludf.DUMMYFUNCTION("""COMPUTED_VALUE"""),"от Драмтеатра до набережной, потом до монумента ""Память шахтерам Кузбасса""")</f>
        <v>от Драмтеатра до набережной, потом до монумента "Память шахтерам Кузбасса"</v>
      </c>
      <c r="Y1034" s="6" t="str">
        <f>IFERROR(__xludf.DUMMYFUNCTION("""COMPUTED_VALUE"""),"крупнейший рок-концерт ""Герои мирового рока"" в июле 2019 и очень хорошо запомнилось открытие фонтана возле Драмтеатра в 1998(?)")</f>
        <v>крупнейший рок-концерт "Герои мирового рока" в июле 2019 и очень хорошо запомнилось открытие фонтана возле Драмтеатра в 1998(?)</v>
      </c>
      <c r="Z1034" s="6" t="str">
        <f>IFERROR(__xludf.DUMMYFUNCTION("""COMPUTED_VALUE"""),"рок-концерт ""Герои мирового рока""")</f>
        <v>рок-концерт "Герои мирового рока"</v>
      </c>
      <c r="AA1034" s="6" t="str">
        <f>IFERROR(__xludf.DUMMYFUNCTION("""COMPUTED_VALUE"""),"в последние два года, как и в предыдущие года, моё постоянное негодование вызывает бездумная вырубка и абсолютно неправильная, даже можно сказать варварская, санитарная обрезка деревьев ")</f>
        <v>в последние два года, как и в предыдущие года, моё постоянное негодование вызывает бездумная вырубка и абсолютно неправильная, даже можно сказать варварская, санитарная обрезка деревьев </v>
      </c>
      <c r="AB1034" s="6" t="str">
        <f>IFERROR(__xludf.DUMMYFUNCTION("""COMPUTED_VALUE"""),"очень не хватает научно-популярных сообществ. также культурных и общественных организаций, которые взаимодействуют с органами местной власти по улучшению города")</f>
        <v>очень не хватает научно-популярных сообществ. также культурных и общественных организаций, которые взаимодействуют с органами местной власти по улучшению города</v>
      </c>
      <c r="AC1034" s="6" t="str">
        <f>IFERROR(__xludf.DUMMYFUNCTION("""COMPUTED_VALUE"""),"считаю, что необходимы научно-популярные мероприятия ")</f>
        <v>считаю, что необходимы научно-популярные мероприятия </v>
      </c>
      <c r="AD103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034" s="6" t="str">
        <f>IFERROR(__xludf.DUMMYFUNCTION("""COMPUTED_VALUE"""),"Женский")</f>
        <v>Женский</v>
      </c>
      <c r="AF1034" s="6" t="str">
        <f>IFERROR(__xludf.DUMMYFUNCTION("""COMPUTED_VALUE"""),"30-44")</f>
        <v>30-44</v>
      </c>
      <c r="AG1034" s="6"/>
      <c r="AH1034" s="6"/>
      <c r="AI1034" s="6"/>
      <c r="AJ1034" s="6"/>
      <c r="AK1034" s="6"/>
      <c r="AL1034" s="6"/>
      <c r="AM1034" s="6"/>
    </row>
    <row r="1035">
      <c r="A1035" s="6">
        <v>1034.0</v>
      </c>
      <c r="B1035" s="6" t="str">
        <f>IFERROR(__xludf.DUMMYFUNCTION("""COMPUTED_VALUE"""),"преподаватель вуза")</f>
        <v>преподаватель вуза</v>
      </c>
      <c r="C1035" s="6" t="str">
        <f>IFERROR(__xludf.DUMMYFUNCTION("""COMPUTED_VALUE"""),"бег, кино, вино, музыка")</f>
        <v>бег, кино, вино, музыка</v>
      </c>
      <c r="D1035" s="6" t="str">
        <f>IFERROR(__xludf.DUMMYFUNCTION("""COMPUTED_VALUE"""),"Центральный на границе с Ленинским. Микрорайон ""У Кадетки"".")</f>
        <v>Центральный на границе с Ленинским. Микрорайон "У Кадетки".</v>
      </c>
      <c r="E1035" s="6" t="str">
        <f>IFERROR(__xludf.DUMMYFUNCTION("""COMPUTED_VALUE"""),"Бульвар строителей, Кадетское училище и прилегающие парки. Лапландия - бывший СКК Октябрьский. Парк им. Веры Волошиной.")</f>
        <v>Бульвар строителей, Кадетское училище и прилегающие парки. Лапландия - бывший СКК Октябрьский. Парк им. Веры Волошиной.</v>
      </c>
      <c r="F1035" s="6" t="str">
        <f>IFERROR(__xludf.DUMMYFUNCTION("""COMPUTED_VALUE"""),"Переехал сюда из другого места (откуда? укажите в графе другое), приехал в 17 лет из Новокузнецка")</f>
        <v>Переехал сюда из другого места (откуда? укажите в графе другое), приехал в 17 лет из Новокузнецка</v>
      </c>
      <c r="G1035" s="6" t="str">
        <f>IFERROR(__xludf.DUMMYFUNCTION("""COMPUTED_VALUE"""),"Часто гуляю по бульвару строителей или вокруг Кадетского училища. Бегаю по всему городу и в Сосновом бору.")</f>
        <v>Часто гуляю по бульвару строителей или вокруг Кадетского училища. Бегаю по всему городу и в Сосновом бору.</v>
      </c>
      <c r="H1035" s="6" t="str">
        <f>IFERROR(__xludf.DUMMYFUNCTION("""COMPUTED_VALUE"""),"промышленность, столица, рост, молодость, уголь")</f>
        <v>промышленность, столица, рост, молодость, уголь</v>
      </c>
      <c r="I1035" s="6" t="str">
        <f>IFERROR(__xludf.DUMMYFUNCTION("""COMPUTED_VALUE"""),"Волков, Бобров, Ештокин, Леонов, Михайлов, Тулеев.")</f>
        <v>Волков, Бобров, Ештокин, Леонов, Михайлов, Тулеев.</v>
      </c>
      <c r="J1035" s="6" t="str">
        <f>IFERROR(__xludf.DUMMYFUNCTION("""COMPUTED_VALUE"""),"Евгений Гришковец, Юрий Захаров, Владимир Михайлов, Подгорбунский.")</f>
        <v>Евгений Гришковец, Юрий Захаров, Владимир Михайлов, Подгорбунский.</v>
      </c>
      <c r="K1035" s="6" t="str">
        <f>IFERROR(__xludf.DUMMYFUNCTION("""COMPUTED_VALUE"""),"Красная горка, Сосновый бор, центральные улицы, Harat's Pub, набережная, парк Жукова и Антошка, ресторан ""Забой"".")</f>
        <v>Красная горка, Сосновый бор, центральные улицы, Harat's Pub, набережная, парк Жукова и Антошка, ресторан "Забой".</v>
      </c>
      <c r="L1035" s="6" t="str">
        <f>IFERROR(__xludf.DUMMYFUNCTION("""COMPUTED_VALUE"""),"Ленин на площади в женском пальто. ")</f>
        <v>Ленин на площади в женском пальто. </v>
      </c>
      <c r="M1035" s="6" t="str">
        <f>IFERROR(__xludf.DUMMYFUNCTION("""COMPUTED_VALUE"""),"Знаю. Вот моя статья: https://avoka.do/posts/poydyot-li-kolba-na-zabutovku-kuzbasskiy-gorodskoy-slovar. Вот моя лекция: https://youtu.be/Md8pIl8KWck.")</f>
        <v>Знаю. Вот моя статья: https://avoka.do/posts/poydyot-li-kolba-na-zabutovku-kuzbasskiy-gorodskoy-slovar. Вот моя лекция: https://youtu.be/Md8pIl8KWck.</v>
      </c>
      <c r="N1035" s="6" t="str">
        <f>IFERROR(__xludf.DUMMYFUNCTION("""COMPUTED_VALUE"""),"Компактное расположение. Чистый воздух. Наличие большого количества парков и других общественных пространств. Обильное озеленение улиц. ")</f>
        <v>Компактное расположение. Чистый воздух. Наличие большого количества парков и других общественных пространств. Обильное озеленение улиц. </v>
      </c>
      <c r="O1035" s="6" t="str">
        <f>IFERROR(__xludf.DUMMYFUNCTION("""COMPUTED_VALUE"""),"Перестать нарушать санитарные нормы при строительстве, потому что каждая стройка превращает окружающее пространство в пыльную помойку. Сделать общественный транспорт предсказуемым и работающим до позднего вечера. Газификация или уничтожение частной жилой "&amp;"застройки, отапливаемой углём. Заменить огромные гаражные кооперативы многоэтажными парковками.")</f>
        <v>Перестать нарушать санитарные нормы при строительстве, потому что каждая стройка превращает окружающее пространство в пыльную помойку. Сделать общественный транспорт предсказуемым и работающим до позднего вечера. Газификация или уничтожение частной жилой застройки, отапливаемой углём. Заменить огромные гаражные кооперативы многоэтажными парковками.</v>
      </c>
      <c r="P1035" s="6" t="str">
        <f>IFERROR(__xludf.DUMMYFUNCTION("""COMPUTED_VALUE"""),"Моя лента фейсбука с подпиской на основные сетевые СМИ (а42, vse42, sibdepo, Авант-партнёр). Сарафанное радио из друзей и знакомых.")</f>
        <v>Моя лента фейсбука с подпиской на основные сетевые СМИ (а42, vse42, sibdepo, Авант-партнёр). Сарафанное радио из друзей и знакомых.</v>
      </c>
      <c r="Q1035" s="6" t="str">
        <f>IFERROR(__xludf.DUMMYFUNCTION("""COMPUTED_VALUE"""),"интервью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v>
      </c>
      <c r="R1035" s="6" t="str">
        <f>IFERROR(__xludf.DUMMYFUNCTION("""COMPUTED_VALUE"""),"День шахтёра, День города, День Победы")</f>
        <v>День шахтёра, День города, День Победы</v>
      </c>
      <c r="S1035" s="6" t="str">
        <f>IFERROR(__xludf.DUMMYFUNCTION("""COMPUTED_VALUE"""),"Делал рассылку по электронной почте")</f>
        <v>Делал рассылку по электронной почте</v>
      </c>
      <c r="T1035" s="6" t="str">
        <f>IFERROR(__xludf.DUMMYFUNCTION("""COMPUTED_VALUE"""),"Химическая и угольная промышленность, уникальный Сосновый бор, старый центр города, сохраняющий обаяние советской столицы и немного похожий на Париж в отдельных местах (не я один это замечаю, гости из Москвы недавно заметили и первыми об этом сказали).")</f>
        <v>Химическая и угольная промышленность, уникальный Сосновый бор, старый центр города, сохраняющий обаяние советской столицы и немного похожий на Париж в отдельных местах (не я один это замечаю, гости из Москвы недавно заметили и первыми об этом сказали).</v>
      </c>
      <c r="U1035" s="6" t="str">
        <f>IFERROR(__xludf.DUMMYFUNCTION("""COMPUTED_VALUE"""),"Площадь Советов, Набережная")</f>
        <v>Площадь Советов, Набережная</v>
      </c>
      <c r="V1035" s="6" t="str">
        <f>IFERROR(__xludf.DUMMYFUNCTION("""COMPUTED_VALUE"""),"не понимаю вопроса")</f>
        <v>не понимаю вопроса</v>
      </c>
      <c r="W1035" s="6" t="str">
        <f>IFERROR(__xludf.DUMMYFUNCTION("""COMPUTED_VALUE"""),"Спокойствие, уверенность, самодостаточность, самоирония, гостеприимство. Во многих случаях желание и готовность уехать в другое место.")</f>
        <v>Спокойствие, уверенность, самодостаточность, самоирония, гостеприимство. Во многих случаях желание и готовность уехать в другое место.</v>
      </c>
      <c r="X1035" s="6" t="str">
        <f>IFERROR(__xludf.DUMMYFUNCTION("""COMPUTED_VALUE"""),"Наверное, старый центр + набережная.")</f>
        <v>Наверное, старый центр + набережная.</v>
      </c>
      <c r="Y1035" s="6" t="str">
        <f>IFERROR(__xludf.DUMMYFUNCTION("""COMPUTED_VALUE"""),"Основание города и открытие угля.")</f>
        <v>Основание города и открытие угля.</v>
      </c>
      <c r="Z1035" s="6" t="str">
        <f>IFERROR(__xludf.DUMMYFUNCTION("""COMPUTED_VALUE"""),"Масштабное строительство. Концерт ""Легенда мирового рока"" (хоть и пришлось его пропустить). Полумарафон Забег.РФ. ")</f>
        <v>Масштабное строительство. Концерт "Легенда мирового рока" (хоть и пришлось его пропустить). Полумарафон Забег.РФ. </v>
      </c>
      <c r="AA1035" s="6" t="str">
        <f>IFERROR(__xludf.DUMMYFUNCTION("""COMPUTED_VALUE"""),"Не два года уже, но ""Зимняя вишня"", конечно. Суды продолжаются, и есть ощущение, что накажут не всех виновных.")</f>
        <v>Не два года уже, но "Зимняя вишня", конечно. Суды продолжаются, и есть ощущение, что накажут не всех виновных.</v>
      </c>
      <c r="AB1035" s="6" t="str">
        <f>IFERROR(__xludf.DUMMYFUNCTION("""COMPUTED_VALUE"""),"Вроде бы всего лично мне хватает, но думаю, что недостаток в сообществах есть. Кот да Винчи был отличной площадкой, и что-то подобное нужно городу.")</f>
        <v>Вроде бы всего лично мне хватает, но думаю, что недостаток в сообществах есть. Кот да Винчи был отличной площадкой, и что-то подобное нужно городу.</v>
      </c>
      <c r="AC1035" s="6" t="str">
        <f>IFERROR(__xludf.DUMMYFUNCTION("""COMPUTED_VALUE"""),"затрудняюсь ответить")</f>
        <v>затрудняюсь ответить</v>
      </c>
      <c r="AD1035"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035" s="6" t="str">
        <f>IFERROR(__xludf.DUMMYFUNCTION("""COMPUTED_VALUE"""),"Мужской")</f>
        <v>Мужской</v>
      </c>
      <c r="AF1035" s="6" t="str">
        <f>IFERROR(__xludf.DUMMYFUNCTION("""COMPUTED_VALUE"""),"30-44")</f>
        <v>30-44</v>
      </c>
      <c r="AG1035" s="6"/>
      <c r="AH1035" s="6"/>
      <c r="AI1035" s="6"/>
      <c r="AJ1035" s="6"/>
      <c r="AK1035" s="6"/>
      <c r="AL1035" s="6"/>
      <c r="AM1035" s="6"/>
    </row>
    <row r="1036">
      <c r="A1036" s="6">
        <v>1035.0</v>
      </c>
      <c r="B1036" s="6" t="str">
        <f>IFERROR(__xludf.DUMMYFUNCTION("""COMPUTED_VALUE"""),"Учитель")</f>
        <v>Учитель</v>
      </c>
      <c r="C1036" s="6" t="str">
        <f>IFERROR(__xludf.DUMMYFUNCTION("""COMPUTED_VALUE"""),"Фотография")</f>
        <v>Фотография</v>
      </c>
      <c r="D1036" s="6" t="str">
        <f>IFERROR(__xludf.DUMMYFUNCTION("""COMPUTED_VALUE"""),"Ленинский")</f>
        <v>Ленинский</v>
      </c>
      <c r="E1036" s="6" t="str">
        <f>IFERROR(__xludf.DUMMYFUNCTION("""COMPUTED_VALUE"""),"Парк им. Тулеевых")</f>
        <v>Парк им. Тулеевых</v>
      </c>
      <c r="F1036"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036" s="6" t="str">
        <f>IFERROR(__xludf.DUMMYFUNCTION("""COMPUTED_VALUE"""),"Томская Писаница")</f>
        <v>Томская Писаница</v>
      </c>
      <c r="H1036" s="6" t="str">
        <f>IFERROR(__xludf.DUMMYFUNCTION("""COMPUTED_VALUE"""),"Чёрное небо, чистые дороги, цветы, скверы, бор")</f>
        <v>Чёрное небо, чистые дороги, цветы, скверы, бор</v>
      </c>
      <c r="I1036" s="6" t="str">
        <f>IFERROR(__xludf.DUMMYFUNCTION("""COMPUTED_VALUE"""),"Михайло Волков")</f>
        <v>Михайло Волков</v>
      </c>
      <c r="J1036" s="6" t="str">
        <f>IFERROR(__xludf.DUMMYFUNCTION("""COMPUTED_VALUE"""),"Александр Бессмертных, Аман Тулеев, ")</f>
        <v>Александр Бессмертных, Аман Тулеев, </v>
      </c>
      <c r="K1036" s="6" t="str">
        <f>IFERROR(__xludf.DUMMYFUNCTION("""COMPUTED_VALUE"""),"Красная горка, Крест")</f>
        <v>Красная горка, Крест</v>
      </c>
      <c r="L1036" s="6" t="str">
        <f>IFERROR(__xludf.DUMMYFUNCTION("""COMPUTED_VALUE"""),"Хорошо там, где нас нет")</f>
        <v>Хорошо там, где нас нет</v>
      </c>
      <c r="M1036" s="6" t="str">
        <f>IFERROR(__xludf.DUMMYFUNCTION("""COMPUTED_VALUE"""),"Нет")</f>
        <v>Нет</v>
      </c>
      <c r="N1036" s="6" t="str">
        <f>IFERROR(__xludf.DUMMYFUNCTION("""COMPUTED_VALUE"""),"ЭКОЛОГИЯ, ПРОБКИ, ИНФРАСТРУКТУРА, ДЕТСКИЙ СПОРТ, ОБРАЗОВАНИЕ")</f>
        <v>ЭКОЛОГИЯ, ПРОБКИ, ИНФРАСТРУКТУРА, ДЕТСКИЙ СПОРТ, ОБРАЗОВАНИЕ</v>
      </c>
      <c r="O1036" s="6" t="str">
        <f>IFERROR(__xludf.DUMMYFUNCTION("""COMPUTED_VALUE"""),"Детская спортивная школа в сосновом бору, построй е детям уже трассу для лыжероллеров")</f>
        <v>Детская спортивная школа в сосновом бору, построй е детям уже трассу для лыжероллеров</v>
      </c>
      <c r="P1036" s="6" t="str">
        <f>IFERROR(__xludf.DUMMYFUNCTION("""COMPUTED_VALUE"""),"Инстаграмм")</f>
        <v>Инстаграмм</v>
      </c>
      <c r="Q1036"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036" s="6" t="str">
        <f>IFERROR(__xludf.DUMMYFUNCTION("""COMPUTED_VALUE"""),"9  мая")</f>
        <v>9  мая</v>
      </c>
      <c r="S1036" s="6" t="str">
        <f>IFERROR(__xludf.DUMMYFUNCTION("""COMPUTED_VALUE"""),"Нет, не приходилось")</f>
        <v>Нет, не приходилось</v>
      </c>
      <c r="T1036" s="6" t="str">
        <f>IFERROR(__xludf.DUMMYFUNCTION("""COMPUTED_VALUE"""),"Сердце угольной промышленности")</f>
        <v>Сердце угольной промышленности</v>
      </c>
      <c r="U1036" s="6" t="str">
        <f>IFERROR(__xludf.DUMMYFUNCTION("""COMPUTED_VALUE"""),"Цирк")</f>
        <v>Цирк</v>
      </c>
      <c r="V1036" s="6" t="str">
        <f>IFERROR(__xludf.DUMMYFUNCTION("""COMPUTED_VALUE"""),"Достигли и достигают не бывалых Высот в спорте, в творчестве и т. д. ")</f>
        <v>Достигли и достигают не бывалых Высот в спорте, в творчестве и т. д. </v>
      </c>
      <c r="W1036" s="6" t="str">
        <f>IFERROR(__xludf.DUMMYFUNCTION("""COMPUTED_VALUE"""),"Открытость, добросердечность, взаимовыручка")</f>
        <v>Открытость, добросердечность, взаимовыручка</v>
      </c>
      <c r="X1036" s="6" t="str">
        <f>IFERROR(__xludf.DUMMYFUNCTION("""COMPUTED_VALUE"""),"Парк чудес-парк Жукова-Комсомольский парк")</f>
        <v>Парк чудес-парк Жукова-Комсомольский парк</v>
      </c>
      <c r="Y1036" s="6" t="str">
        <f>IFERROR(__xludf.DUMMYFUNCTION("""COMPUTED_VALUE"""),"Уголь")</f>
        <v>Уголь</v>
      </c>
      <c r="Z1036" s="6" t="str">
        <f>IFERROR(__xludf.DUMMYFUNCTION("""COMPUTED_VALUE"""),"Нет")</f>
        <v>Нет</v>
      </c>
      <c r="AA1036" s="6" t="str">
        <f>IFERROR(__xludf.DUMMYFUNCTION("""COMPUTED_VALUE"""),"Закрытие бассейна, ухудшение экологии")</f>
        <v>Закрытие бассейна, ухудшение экологии</v>
      </c>
      <c r="AB1036" s="6" t="str">
        <f>IFERROR(__xludf.DUMMYFUNCTION("""COMPUTED_VALUE"""),"Детских")</f>
        <v>Детских</v>
      </c>
      <c r="AC1036" s="6" t="str">
        <f>IFERROR(__xludf.DUMMYFUNCTION("""COMPUTED_VALUE"""),"Сортивные")</f>
        <v>Сортивные</v>
      </c>
      <c r="AD1036"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036" s="6" t="str">
        <f>IFERROR(__xludf.DUMMYFUNCTION("""COMPUTED_VALUE"""),"Женский")</f>
        <v>Женский</v>
      </c>
      <c r="AF1036" s="6" t="str">
        <f>IFERROR(__xludf.DUMMYFUNCTION("""COMPUTED_VALUE"""),"30-44")</f>
        <v>30-44</v>
      </c>
      <c r="AG1036" s="6"/>
      <c r="AH1036" s="6"/>
      <c r="AI1036" s="6"/>
      <c r="AJ1036" s="6"/>
      <c r="AK1036" s="6"/>
      <c r="AL1036" s="6"/>
      <c r="AM1036" s="6"/>
    </row>
    <row r="1037">
      <c r="A1037" s="6">
        <v>1036.0</v>
      </c>
      <c r="B1037" s="6" t="str">
        <f>IFERROR(__xludf.DUMMYFUNCTION("""COMPUTED_VALUE"""),"Грузчик")</f>
        <v>Грузчик</v>
      </c>
      <c r="C1037" s="6" t="str">
        <f>IFERROR(__xludf.DUMMYFUNCTION("""COMPUTED_VALUE"""),"Автомобили")</f>
        <v>Автомобили</v>
      </c>
      <c r="D1037" s="6" t="str">
        <f>IFERROR(__xludf.DUMMYFUNCTION("""COMPUTED_VALUE"""),"Ленинский")</f>
        <v>Ленинский</v>
      </c>
      <c r="E1037" s="6" t="str">
        <f>IFERROR(__xludf.DUMMYFUNCTION("""COMPUTED_VALUE"""),"Центральная площадь")</f>
        <v>Центральная площадь</v>
      </c>
      <c r="F1037" s="6" t="str">
        <f>IFERROR(__xludf.DUMMYFUNCTION("""COMPUTED_VALUE"""),"Переехал сюда из другого места (откуда? укажите в графе другое), С.УСМАНКА")</f>
        <v>Переехал сюда из другого места (откуда? укажите в графе другое), С.УСМАНКА</v>
      </c>
      <c r="G1037" s="6" t="str">
        <f>IFERROR(__xludf.DUMMYFUNCTION("""COMPUTED_VALUE"""),"Сижу дома")</f>
        <v>Сижу дома</v>
      </c>
      <c r="H1037" s="6" t="str">
        <f>IFERROR(__xludf.DUMMYFUNCTION("""COMPUTED_VALUE"""),"Жилье, красиво, природа,отдых, развлечения")</f>
        <v>Жилье, красиво, природа,отдых, развлечения</v>
      </c>
      <c r="I1037" s="6" t="str">
        <f>IFERROR(__xludf.DUMMYFUNCTION("""COMPUTED_VALUE"""),"ЛЕОНОВ")</f>
        <v>ЛЕОНОВ</v>
      </c>
      <c r="J1037" s="6" t="str">
        <f>IFERROR(__xludf.DUMMYFUNCTION("""COMPUTED_VALUE"""),"Леонов")</f>
        <v>Леонов</v>
      </c>
      <c r="K1037" s="6" t="str">
        <f>IFERROR(__xludf.DUMMYFUNCTION("""COMPUTED_VALUE"""),"Нет. Х")</f>
        <v>Нет. Х</v>
      </c>
      <c r="L1037" s="6" t="str">
        <f>IFERROR(__xludf.DUMMYFUNCTION("""COMPUTED_VALUE"""),"Незнаю")</f>
        <v>Незнаю</v>
      </c>
      <c r="M1037" s="6" t="str">
        <f>IFERROR(__xludf.DUMMYFUNCTION("""COMPUTED_VALUE"""),"Нет")</f>
        <v>Нет</v>
      </c>
      <c r="N1037" s="6" t="str">
        <f>IFERROR(__xludf.DUMMYFUNCTION("""COMPUTED_VALUE"""),"Незнаю")</f>
        <v>Незнаю</v>
      </c>
      <c r="O1037" s="6" t="str">
        <f>IFERROR(__xludf.DUMMYFUNCTION("""COMPUTED_VALUE"""),"Воздух ")</f>
        <v>Воздух </v>
      </c>
      <c r="P1037" s="6" t="str">
        <f>IFERROR(__xludf.DUMMYFUNCTION("""COMPUTED_VALUE"""),"Интернет ")</f>
        <v>Интернет </v>
      </c>
      <c r="Q1037"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037" s="6" t="str">
        <f>IFERROR(__xludf.DUMMYFUNCTION("""COMPUTED_VALUE"""),"Незнаю ")</f>
        <v>Незнаю </v>
      </c>
      <c r="S1037" s="6" t="str">
        <f>IFERROR(__xludf.DUMMYFUNCTION("""COMPUTED_VALUE"""),"Нет, не приходилось")</f>
        <v>Нет, не приходилось</v>
      </c>
      <c r="T1037" s="6" t="str">
        <f>IFERROR(__xludf.DUMMYFUNCTION("""COMPUTED_VALUE"""),"Незнаю ")</f>
        <v>Незнаю </v>
      </c>
      <c r="U1037" s="6" t="str">
        <f>IFERROR(__xludf.DUMMYFUNCTION("""COMPUTED_VALUE"""),"Статуя Ленина ")</f>
        <v>Статуя Ленина </v>
      </c>
      <c r="V1037" s="6" t="str">
        <f>IFERROR(__xludf.DUMMYFUNCTION("""COMPUTED_VALUE"""),"Незнаю ")</f>
        <v>Незнаю </v>
      </c>
      <c r="W1037" s="6" t="str">
        <f>IFERROR(__xludf.DUMMYFUNCTION("""COMPUTED_VALUE"""),"Особенные ")</f>
        <v>Особенные </v>
      </c>
      <c r="X1037" s="6" t="str">
        <f>IFERROR(__xludf.DUMMYFUNCTION("""COMPUTED_VALUE"""),"Незнаю ")</f>
        <v>Незнаю </v>
      </c>
      <c r="Y1037" s="6" t="str">
        <f>IFERROR(__xludf.DUMMYFUNCTION("""COMPUTED_VALUE"""),"Незнаю ")</f>
        <v>Незнаю </v>
      </c>
      <c r="Z1037" s="6" t="str">
        <f>IFERROR(__xludf.DUMMYFUNCTION("""COMPUTED_VALUE"""),"Нет их")</f>
        <v>Нет их</v>
      </c>
      <c r="AA1037" s="6" t="str">
        <f>IFERROR(__xludf.DUMMYFUNCTION("""COMPUTED_VALUE"""),"Нет их")</f>
        <v>Нет их</v>
      </c>
      <c r="AB1037" s="6" t="str">
        <f>IFERROR(__xludf.DUMMYFUNCTION("""COMPUTED_VALUE"""),"Нет их")</f>
        <v>Нет их</v>
      </c>
      <c r="AC1037" s="6" t="str">
        <f>IFERROR(__xludf.DUMMYFUNCTION("""COMPUTED_VALUE"""),"Незнаю ")</f>
        <v>Незнаю </v>
      </c>
      <c r="AD1037"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037" s="6" t="str">
        <f>IFERROR(__xludf.DUMMYFUNCTION("""COMPUTED_VALUE"""),"Мужской")</f>
        <v>Мужской</v>
      </c>
      <c r="AF1037" s="6" t="str">
        <f>IFERROR(__xludf.DUMMYFUNCTION("""COMPUTED_VALUE"""),"18-29")</f>
        <v>18-29</v>
      </c>
      <c r="AG1037" s="6"/>
      <c r="AH1037" s="6"/>
      <c r="AI1037" s="6"/>
      <c r="AJ1037" s="6"/>
      <c r="AK1037" s="6"/>
      <c r="AL1037" s="6"/>
      <c r="AM1037" s="6"/>
    </row>
    <row r="1038">
      <c r="A1038" s="6">
        <v>1037.0</v>
      </c>
      <c r="B1038" s="6" t="str">
        <f>IFERROR(__xludf.DUMMYFUNCTION("""COMPUTED_VALUE"""),"Я студентка 4-го курса, пишу диплом и работаю по сспециальности инженером-строителем")</f>
        <v>Я студентка 4-го курса, пишу диплом и работаю по сспециальности инженером-строителем</v>
      </c>
      <c r="C1038" s="6" t="str">
        <f>IFERROR(__xludf.DUMMYFUNCTION("""COMPUTED_VALUE"""),"Моё хобби - музыка")</f>
        <v>Моё хобби - музыка</v>
      </c>
      <c r="D1038" s="6" t="str">
        <f>IFERROR(__xludf.DUMMYFUNCTION("""COMPUTED_VALUE"""),"Живу в Кировском районе, так его и называю")</f>
        <v>Живу в Кировском районе, так его и называю</v>
      </c>
      <c r="E1038" s="6" t="str">
        <f>IFERROR(__xludf.DUMMYFUNCTION("""COMPUTED_VALUE"""),"Набережная и берёзовая роща")</f>
        <v>Набережная и берёзовая роща</v>
      </c>
      <c r="F1038" s="6" t="str">
        <f>IFERROR(__xludf.DUMMYFUNCTION("""COMPUTED_VALUE"""),"Живу здесь с рождения")</f>
        <v>Живу здесь с рождения</v>
      </c>
      <c r="G1038" s="6" t="str">
        <f>IFERROR(__xludf.DUMMYFUNCTION("""COMPUTED_VALUE"""),"Люблю посещать кафе и парки. Летом приятно выбраться в пригород на берег реки или гулять по лесу, он у нас замечательный - сосны, ели")</f>
        <v>Люблю посещать кафе и парки. Летом приятно выбраться в пригород на берег реки или гулять по лесу, он у нас замечательный - сосны, ели</v>
      </c>
      <c r="H1038" s="6" t="str">
        <f>IFERROR(__xludf.DUMMYFUNCTION("""COMPUTED_VALUE"""),"Тихий, лесной, спокойный, развивающийся, родной")</f>
        <v>Тихий, лесной, спокойный, развивающийся, родной</v>
      </c>
      <c r="I1038" s="6" t="str">
        <f>IFERROR(__xludf.DUMMYFUNCTION("""COMPUTED_VALUE"""),"Волошина Вера, Алексей Леонов, Артём")</f>
        <v>Волошина Вера, Алексей Леонов, Артём</v>
      </c>
      <c r="J1038" s="6" t="str">
        <f>IFERROR(__xludf.DUMMYFUNCTION("""COMPUTED_VALUE"""),"К сожалению, не осведомлена ")</f>
        <v>К сожалению, не осведомлена </v>
      </c>
      <c r="K1038" s="6" t="str">
        <f>IFERROR(__xludf.DUMMYFUNCTION("""COMPUTED_VALUE"""),"село Верхотомское (восхитительный вид на реку Томь, тихий сосновый лес, невероятный запах), разрушенный завод Прогресс в Кировском районе (по сути памятник, заброшенное, но невероятно исторически важное здание)")</f>
        <v>село Верхотомское (восхитительный вид на реку Томь, тихий сосновый лес, невероятный запах), разрушенный завод Прогресс в Кировском районе (по сути памятник, заброшенное, но невероятно исторически важное здание)</v>
      </c>
      <c r="L1038" s="6" t="str">
        <f>IFERROR(__xludf.DUMMYFUNCTION("""COMPUTED_VALUE"""),"Не знаю таких")</f>
        <v>Не знаю таких</v>
      </c>
      <c r="M1038" s="6" t="str">
        <f>IFERROR(__xludf.DUMMYFUNCTION("""COMPUTED_VALUE"""),"нет, кажется все выражаются плюс-минус одинаково")</f>
        <v>нет, кажется все выражаются плюс-минус одинаково</v>
      </c>
      <c r="N1038" s="6" t="str">
        <f>IFERROR(__xludf.DUMMYFUNCTION("""COMPUTED_VALUE"""),"Много мест отдыха (для меня это парки), развитая дорожная инфраструктура, малоэтажная застройка, чистота воздуха, чистота самого города")</f>
        <v>Много мест отдыха (для меня это парки), развитая дорожная инфраструктура, малоэтажная застройка, чистота воздуха, чистота самого города</v>
      </c>
      <c r="O1038" s="6" t="str">
        <f>IFERROR(__xludf.DUMMYFUNCTION("""COMPUTED_VALUE"""),"Ситуацию с экологией...")</f>
        <v>Ситуацию с экологией...</v>
      </c>
      <c r="P1038" s="6" t="str">
        <f>IFERROR(__xludf.DUMMYFUNCTION("""COMPUTED_VALUE"""),"Инцендент Кемерово, Типичный Кемерово и моя коллега Елена")</f>
        <v>Инцендент Кемерово, Типичный Кемерово и моя коллега Елена</v>
      </c>
      <c r="Q1038" s="6" t="str">
        <f>IFERROR(__xludf.DUMMYFUNCTION("""COMPUTED_VALUE"""),"куда пойти в свободное время,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результаты местных исследований (рейтинги/аналитика/тенденции)")</f>
        <v>куда пойти в свободное время,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1038" s="6" t="str">
        <f>IFERROR(__xludf.DUMMYFUNCTION("""COMPUTED_VALUE"""),"День города, день шахтёра")</f>
        <v>День города, день шахтёра</v>
      </c>
      <c r="S1038" s="6" t="str">
        <f>IFERROR(__xludf.DUMMYFUNCTION("""COMPUTED_VALUE"""),"Нет, не приходилось")</f>
        <v>Нет, не приходилось</v>
      </c>
      <c r="T1038" s="6" t="str">
        <f>IFERROR(__xludf.DUMMYFUNCTION("""COMPUTED_VALUE"""),"Знаменит как город недалеко от Шерегеша)")</f>
        <v>Знаменит как город недалеко от Шерегеша)</v>
      </c>
      <c r="U1038" s="6" t="str">
        <f>IFERROR(__xludf.DUMMYFUNCTION("""COMPUTED_VALUE"""),"Парк Ангелов")</f>
        <v>Парк Ангелов</v>
      </c>
      <c r="V1038" s="6" t="str">
        <f>IFERROR(__xludf.DUMMYFUNCTION("""COMPUTED_VALUE"""),"Создали и развивают этот город, борятся за его права, любят его и берегут")</f>
        <v>Создали и развивают этот город, борятся за его права, любят его и берегут</v>
      </c>
      <c r="W1038" s="6" t="str">
        <f>IFERROR(__xludf.DUMMYFUNCTION("""COMPUTED_VALUE"""),"Тихие, добрые, отзывчивые, лёгкие на подъем и веселые")</f>
        <v>Тихие, добрые, отзывчивые, лёгкие на подъем и веселые</v>
      </c>
      <c r="X1038" s="6" t="str">
        <f>IFERROR(__xludf.DUMMYFUNCTION("""COMPUTED_VALUE"""),"Начать стоит с Кировского района, никто не станет отрицать, что развивался город благодаря его промышленной части, сейчас район стал спальным, но это не лишило его шарма, потом по пути посетить Красную горку и сосновый бор, пройтись по набережной в центре"&amp;", заглянуть в парк Ангелов, проехать по Приомскому проспекту")</f>
        <v>Начать стоит с Кировского района, никто не станет отрицать, что развивался город благодаря его промышленной части, сейчас район стал спальным, но это не лишило его шарма, потом по пути посетить Красную горку и сосновый бор, пройтись по набережной в центре, заглянуть в парк Ангелов, проехать по Приомскому проспекту</v>
      </c>
      <c r="Y1038" s="6" t="str">
        <f>IFERROR(__xludf.DUMMYFUNCTION("""COMPUTED_VALUE"""),"Забастовка шахтёров")</f>
        <v>Забастовка шахтёров</v>
      </c>
      <c r="Z1038" s="6" t="str">
        <f>IFERROR(__xludf.DUMMYFUNCTION("""COMPUTED_VALUE"""),"Не могу вспомнить ярких событий")</f>
        <v>Не могу вспомнить ярких событий</v>
      </c>
      <c r="AA1038" s="6" t="str">
        <f>IFERROR(__xludf.DUMMYFUNCTION("""COMPUTED_VALUE"""),"Новости о вырубке соснового бора")</f>
        <v>Новости о вырубке соснового бора</v>
      </c>
      <c r="AB1038" s="6" t="str">
        <f>IFERROR(__xludf.DUMMYFUNCTION("""COMPUTED_VALUE"""),"Мне всего хватает")</f>
        <v>Мне всего хватает</v>
      </c>
      <c r="AC1038" s="6" t="str">
        <f>IFERROR(__xludf.DUMMYFUNCTION("""COMPUTED_VALUE"""),"Больше мероприятий на свежем воздухе по типу концертов коллективов города, у нас множество талантливых людей")</f>
        <v>Больше мероприятий на свежем воздухе по типу концертов коллективов города, у нас множество талантливых людей</v>
      </c>
      <c r="AD103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38" s="6" t="str">
        <f>IFERROR(__xludf.DUMMYFUNCTION("""COMPUTED_VALUE"""),"Женский")</f>
        <v>Женский</v>
      </c>
      <c r="AF1038" s="6" t="str">
        <f>IFERROR(__xludf.DUMMYFUNCTION("""COMPUTED_VALUE"""),"18-29")</f>
        <v>18-29</v>
      </c>
      <c r="AG1038" s="6"/>
      <c r="AH1038" s="6"/>
      <c r="AI1038" s="6"/>
      <c r="AJ1038" s="6"/>
      <c r="AK1038" s="6"/>
      <c r="AL1038" s="6"/>
      <c r="AM1038" s="6"/>
    </row>
    <row r="1039">
      <c r="A1039" s="6">
        <v>1038.0</v>
      </c>
      <c r="B1039" s="6" t="str">
        <f>IFERROR(__xludf.DUMMYFUNCTION("""COMPUTED_VALUE"""),"ТП")</f>
        <v>ТП</v>
      </c>
      <c r="C1039" s="6" t="str">
        <f>IFERROR(__xludf.DUMMYFUNCTION("""COMPUTED_VALUE"""),"Гулять с детьми")</f>
        <v>Гулять с детьми</v>
      </c>
      <c r="D1039" s="6" t="str">
        <f>IFERROR(__xludf.DUMMYFUNCTION("""COMPUTED_VALUE"""),"ФПК")</f>
        <v>ФПК</v>
      </c>
      <c r="E1039" s="6" t="str">
        <f>IFERROR(__xludf.DUMMYFUNCTION("""COMPUTED_VALUE"""),"0")</f>
        <v>0</v>
      </c>
      <c r="F1039"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1039" s="6" t="str">
        <f>IFERROR(__xludf.DUMMYFUNCTION("""COMPUTED_VALUE"""),"Бульвар, парк Комсоммольский, набережная")</f>
        <v>Бульвар, парк Комсоммольский, набережная</v>
      </c>
      <c r="H1039" s="6" t="str">
        <f>IFERROR(__xludf.DUMMYFUNCTION("""COMPUTED_VALUE"""),"Затрудняюсь ответить ")</f>
        <v>Затрудняюсь ответить </v>
      </c>
      <c r="I1039" s="6" t="str">
        <f>IFERROR(__xludf.DUMMYFUNCTION("""COMPUTED_VALUE"""),"Тулеев")</f>
        <v>Тулеев</v>
      </c>
      <c r="J1039" s="6" t="str">
        <f>IFERROR(__xludf.DUMMYFUNCTION("""COMPUTED_VALUE"""),"Цивилен, ")</f>
        <v>Цивилен, </v>
      </c>
      <c r="K1039" s="6" t="str">
        <f>IFERROR(__xludf.DUMMYFUNCTION("""COMPUTED_VALUE"""),"Таких не знаю")</f>
        <v>Таких не знаю</v>
      </c>
      <c r="L1039" s="6" t="str">
        <f>IFERROR(__xludf.DUMMYFUNCTION("""COMPUTED_VALUE"""),"Затрудняюсь")</f>
        <v>Затрудняюсь</v>
      </c>
      <c r="M1039" s="6" t="str">
        <f>IFERROR(__xludf.DUMMYFUNCTION("""COMPUTED_VALUE"""),"Нет")</f>
        <v>Нет</v>
      </c>
      <c r="N1039" s="6" t="str">
        <f>IFERROR(__xludf.DUMMYFUNCTION("""COMPUTED_VALUE"""),"Мало пробок, хорошее качество дорог, ")</f>
        <v>Мало пробок, хорошее качество дорог, </v>
      </c>
      <c r="O1039" s="6" t="str">
        <f>IFERROR(__xludf.DUMMYFUNCTION("""COMPUTED_VALUE"""),"Развлечений детских: бассейн, аквапарк.., игровые площадки. ТРЦ ")</f>
        <v>Развлечений детских: бассейн, аквапарк.., игровые площадки. ТРЦ </v>
      </c>
      <c r="P1039" s="6" t="str">
        <f>IFERROR(__xludf.DUMMYFUNCTION("""COMPUTED_VALUE"""),"Инстаграмм")</f>
        <v>Инстаграмм</v>
      </c>
      <c r="Q1039" s="6" t="str">
        <f>IFERROR(__xludf.DUMMYFUNCTION("""COMPUTED_VALUE"""),"куда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f>
        <v>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v>
      </c>
      <c r="R1039" s="6" t="str">
        <f>IFERROR(__xludf.DUMMYFUNCTION("""COMPUTED_VALUE"""),"День города, день шахтёра, 1 июнь, день семьи, 9 мая, ")</f>
        <v>День города, день шахтёра, 1 июнь, день семьи, 9 мая, </v>
      </c>
      <c r="S1039" s="6" t="str">
        <f>IFERROR(__xludf.DUMMYFUNCTION("""COMPUTED_VALUE"""),"Нет, не приходилось")</f>
        <v>Нет, не приходилось</v>
      </c>
      <c r="T1039" s="6" t="str">
        <f>IFERROR(__xludf.DUMMYFUNCTION("""COMPUTED_VALUE"""),"Задумалась")</f>
        <v>Задумалась</v>
      </c>
      <c r="U1039" s="6" t="str">
        <f>IFERROR(__xludf.DUMMYFUNCTION("""COMPUTED_VALUE"""),"Центр")</f>
        <v>Центр</v>
      </c>
      <c r="V1039" s="6" t="str">
        <f>IFERROR(__xludf.DUMMYFUNCTION("""COMPUTED_VALUE"""),"Затрудняюсь")</f>
        <v>Затрудняюсь</v>
      </c>
      <c r="W1039" s="6" t="str">
        <f>IFERROR(__xludf.DUMMYFUNCTION("""COMPUTED_VALUE"""),"Добродушные ")</f>
        <v>Добродушные </v>
      </c>
      <c r="X1039" s="6" t="str">
        <f>IFERROR(__xludf.DUMMYFUNCTION("""COMPUTED_VALUE"""),"Затрудняюсь")</f>
        <v>Затрудняюсь</v>
      </c>
      <c r="Y1039" s="6" t="str">
        <f>IFERROR(__xludf.DUMMYFUNCTION("""COMPUTED_VALUE"""),"Не знаю")</f>
        <v>Не знаю</v>
      </c>
      <c r="Z1039" s="6" t="str">
        <f>IFERROR(__xludf.DUMMYFUNCTION("""COMPUTED_VALUE"""),"Улучшение города, инфраструктуры ")</f>
        <v>Улучшение города, инфраструктуры </v>
      </c>
      <c r="AA1039" s="6" t="str">
        <f>IFERROR(__xludf.DUMMYFUNCTION("""COMPUTED_VALUE"""),"Нет таких")</f>
        <v>Нет таких</v>
      </c>
      <c r="AB1039" s="6" t="str">
        <f>IFERROR(__xludf.DUMMYFUNCTION("""COMPUTED_VALUE"""),"ТРЦ с отделами европейского и российского уровня, те что есть во всех других городах и даже в Новокузнецке, аквапарка, бассейн для занятий детям, оснащение парков, фонтаны, можно какую либо площадку смотра на вечерний город с горы Люскус")</f>
        <v>ТРЦ с отделами европейского и российского уровня, те что есть во всех других городах и даже в Новокузнецке, аквапарка, бассейн для занятий детям, оснащение парков, фонтаны, можно какую либо площадку смотра на вечерний город с горы Люскус</v>
      </c>
      <c r="AC1039" s="6" t="str">
        <f>IFERROR(__xludf.DUMMYFUNCTION("""COMPUTED_VALUE"""),"Не знаю")</f>
        <v>Не знаю</v>
      </c>
      <c r="AD1039"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1039" s="6" t="str">
        <f>IFERROR(__xludf.DUMMYFUNCTION("""COMPUTED_VALUE"""),"Женский")</f>
        <v>Женский</v>
      </c>
      <c r="AF1039" s="6" t="str">
        <f>IFERROR(__xludf.DUMMYFUNCTION("""COMPUTED_VALUE"""),"30-44")</f>
        <v>30-44</v>
      </c>
      <c r="AG1039" s="6"/>
      <c r="AH1039" s="6"/>
      <c r="AI1039" s="6"/>
      <c r="AJ1039" s="6"/>
      <c r="AK1039" s="6"/>
      <c r="AL1039" s="6"/>
      <c r="AM1039" s="6"/>
    </row>
    <row r="1040">
      <c r="A1040" s="6">
        <v>1039.0</v>
      </c>
      <c r="B1040" s="6" t="str">
        <f>IFERROR(__xludf.DUMMYFUNCTION("""COMPUTED_VALUE"""),"Продавец")</f>
        <v>Продавец</v>
      </c>
      <c r="C1040" s="6" t="str">
        <f>IFERROR(__xludf.DUMMYFUNCTION("""COMPUTED_VALUE"""),"Чтение книг")</f>
        <v>Чтение книг</v>
      </c>
      <c r="D1040" s="6" t="str">
        <f>IFERROR(__xludf.DUMMYFUNCTION("""COMPUTED_VALUE"""),"Ленинский")</f>
        <v>Ленинский</v>
      </c>
      <c r="E1040" s="6" t="str">
        <f>IFERROR(__xludf.DUMMYFUNCTION("""COMPUTED_VALUE"""),"Парк ""Кузбасский"", Бульвар Строителей")</f>
        <v>Парк "Кузбасский", Бульвар Строителей</v>
      </c>
      <c r="F1040" s="6" t="str">
        <f>IFERROR(__xludf.DUMMYFUNCTION("""COMPUTED_VALUE"""),"Переехал сюда из другого места (откуда? укажите в графе другое), деревня Успенка")</f>
        <v>Переехал сюда из другого места (откуда? укажите в графе другое), деревня Успенка</v>
      </c>
      <c r="G1040" s="6" t="str">
        <f>IFERROR(__xludf.DUMMYFUNCTION("""COMPUTED_VALUE"""),"Парк ""Кузбасский""")</f>
        <v>Парк "Кузбасский"</v>
      </c>
      <c r="H1040" s="6" t="str">
        <f>IFERROR(__xludf.DUMMYFUNCTION("""COMPUTED_VALUE"""),"Улица, перекресток, голуби, мусор, шум")</f>
        <v>Улица, перекресток, голуби, мусор, шум</v>
      </c>
      <c r="I1040" s="6" t="str">
        <f>IFERROR(__xludf.DUMMYFUNCTION("""COMPUTED_VALUE"""),"Михайло Волков")</f>
        <v>Михайло Волков</v>
      </c>
      <c r="J1040" s="6" t="str">
        <f>IFERROR(__xludf.DUMMYFUNCTION("""COMPUTED_VALUE"""),"Не знаю таких")</f>
        <v>Не знаю таких</v>
      </c>
      <c r="K1040" s="6" t="str">
        <f>IFERROR(__xludf.DUMMYFUNCTION("""COMPUTED_VALUE"""),"Набережную, парк Победы")</f>
        <v>Набережную, парк Победы</v>
      </c>
      <c r="L1040" s="6" t="str">
        <f>IFERROR(__xludf.DUMMYFUNCTION("""COMPUTED_VALUE"""),"Не знаю")</f>
        <v>Не знаю</v>
      </c>
      <c r="M1040" s="6" t="str">
        <f>IFERROR(__xludf.DUMMYFUNCTION("""COMPUTED_VALUE"""),"Не знаю")</f>
        <v>Не знаю</v>
      </c>
      <c r="N1040" s="6" t="str">
        <f>IFERROR(__xludf.DUMMYFUNCTION("""COMPUTED_VALUE"""),"1). Гуманное отношение к бездомным животным и гуманное решение проблем бездомных животных
2). Своевременное и по расписанию движение общественного транспорта
3). Минимальное количество мусора на улицах города (информационная работа с населением по поводу "&amp;"проблем загрязнения города мусором)
4). Множественное качественное озеленение города 
5). Понимание владельцев собак, что они должны убирать экскременты за своими питомцами на прогулке")</f>
        <v>1). Гуманное отношение к бездомным животным и гуманное решение проблем бездомных животных
2). Своевременное и по расписанию движение общественного транспорта
3). Минимальное количество мусора на улицах города (информационная работа с населением по поводу проблем загрязнения города мусором)
4). Множественное качественное озеленение города 
5). Понимание владельцев собак, что они должны убирать экскременты за своими питомцами на прогулке</v>
      </c>
      <c r="O1040" s="6" t="str">
        <f>IFERROR(__xludf.DUMMYFUNCTION("""COMPUTED_VALUE"""),"Бессовестную вырубку деревьев")</f>
        <v>Бессовестную вырубку деревьев</v>
      </c>
      <c r="P1040" s="6" t="str">
        <f>IFERROR(__xludf.DUMMYFUNCTION("""COMPUTED_VALUE"""),"Рассказывает дочь")</f>
        <v>Рассказывает дочь</v>
      </c>
      <c r="Q1040"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040" s="6" t="str">
        <f>IFERROR(__xludf.DUMMYFUNCTION("""COMPUTED_VALUE"""),"Никакие")</f>
        <v>Никакие</v>
      </c>
      <c r="S1040" s="6" t="str">
        <f>IFERROR(__xludf.DUMMYFUNCTION("""COMPUTED_VALUE"""),"Нет, не приходилось")</f>
        <v>Нет, не приходилось</v>
      </c>
      <c r="T1040" s="6" t="str">
        <f>IFERROR(__xludf.DUMMYFUNCTION("""COMPUTED_VALUE"""),"Здесь открыли богатое месторождение каменного угля")</f>
        <v>Здесь открыли богатое месторождение каменного угля</v>
      </c>
      <c r="U1040" s="6" t="str">
        <f>IFERROR(__xludf.DUMMYFUNCTION("""COMPUTED_VALUE"""),"Фонтан около Драматического театра")</f>
        <v>Фонтан около Драматического театра</v>
      </c>
      <c r="V1040" s="6" t="str">
        <f>IFERROR(__xludf.DUMMYFUNCTION("""COMPUTED_VALUE"""),"Ничего")</f>
        <v>Ничего</v>
      </c>
      <c r="W1040" s="6" t="str">
        <f>IFERROR(__xludf.DUMMYFUNCTION("""COMPUTED_VALUE"""),"Равнодушные люди")</f>
        <v>Равнодушные люди</v>
      </c>
      <c r="X1040" s="6" t="str">
        <f>IFERROR(__xludf.DUMMYFUNCTION("""COMPUTED_VALUE"""),"По Бульвару Строителей")</f>
        <v>По Бульвару Строителей</v>
      </c>
      <c r="Y1040" s="6" t="str">
        <f>IFERROR(__xludf.DUMMYFUNCTION("""COMPUTED_VALUE"""),"Ничего для меня значимого")</f>
        <v>Ничего для меня значимого</v>
      </c>
      <c r="Z1040" s="6" t="str">
        <f>IFERROR(__xludf.DUMMYFUNCTION("""COMPUTED_VALUE"""),"Ничего не запомнилось")</f>
        <v>Ничего не запомнилось</v>
      </c>
      <c r="AA1040" s="6" t="str">
        <f>IFERROR(__xludf.DUMMYFUNCTION("""COMPUTED_VALUE"""),"У меня всю мою жизнь в городе, вызывает негодование наша местная власть")</f>
        <v>У меня всю мою жизнь в городе, вызывает негодование наша местная власть</v>
      </c>
      <c r="AB1040" s="6" t="str">
        <f>IFERROR(__xludf.DUMMYFUNCTION("""COMPUTED_VALUE"""),"Не знаю")</f>
        <v>Не знаю</v>
      </c>
      <c r="AC1040" s="6" t="str">
        <f>IFERROR(__xludf.DUMMYFUNCTION("""COMPUTED_VALUE"""),"Побольше уличных концертов")</f>
        <v>Побольше уличных концертов</v>
      </c>
      <c r="AD1040" s="6" t="str">
        <f>IFERROR(__xludf.DUMMYFUNCTION("""COMPUTED_VALUE"""),"Не готов принимать личное участие (укажите, пожалуйста, причину в поле «Другое»), нет на это эмоциональных и физических сил")</f>
        <v>Не готов принимать личное участие (укажите, пожалуйста, причину в поле «Другое»), нет на это эмоциональных и физических сил</v>
      </c>
      <c r="AE1040" s="6" t="str">
        <f>IFERROR(__xludf.DUMMYFUNCTION("""COMPUTED_VALUE"""),"Женский")</f>
        <v>Женский</v>
      </c>
      <c r="AF1040" s="6" t="str">
        <f>IFERROR(__xludf.DUMMYFUNCTION("""COMPUTED_VALUE"""),"старше 55")</f>
        <v>старше 55</v>
      </c>
      <c r="AG1040" s="6"/>
      <c r="AH1040" s="6"/>
      <c r="AI1040" s="6"/>
      <c r="AJ1040" s="6"/>
      <c r="AK1040" s="6"/>
      <c r="AL1040" s="6"/>
      <c r="AM1040" s="6"/>
    </row>
    <row r="1041">
      <c r="A1041" s="6">
        <v>1040.0</v>
      </c>
      <c r="B1041" s="6" t="str">
        <f>IFERROR(__xludf.DUMMYFUNCTION("""COMPUTED_VALUE"""),"Дизайнер мебели")</f>
        <v>Дизайнер мебели</v>
      </c>
      <c r="C1041" s="6" t="str">
        <f>IFERROR(__xludf.DUMMYFUNCTION("""COMPUTED_VALUE"""),"научпоп, танцы, фитнес")</f>
        <v>научпоп, танцы, фитнес</v>
      </c>
      <c r="D1041" s="6" t="str">
        <f>IFERROR(__xludf.DUMMYFUNCTION("""COMPUTED_VALUE"""),"ленинский")</f>
        <v>ленинский</v>
      </c>
      <c r="E1041" s="6" t="str">
        <f>IFERROR(__xludf.DUMMYFUNCTION("""COMPUTED_VALUE"""),"бульвар строителей")</f>
        <v>бульвар строителей</v>
      </c>
      <c r="F1041" s="6" t="str">
        <f>IFERROR(__xludf.DUMMYFUNCTION("""COMPUTED_VALUE"""),"Живу здесь с рождения")</f>
        <v>Живу здесь с рождения</v>
      </c>
      <c r="G1041" s="6" t="str">
        <f>IFERROR(__xludf.DUMMYFUNCTION("""COMPUTED_VALUE"""),"Люблю ходить в неизведанные места, обычно обследую берега реки Томь")</f>
        <v>Люблю ходить в неизведанные места, обычно обследую берега реки Томь</v>
      </c>
      <c r="H1041" s="6" t="str">
        <f>IFERROR(__xludf.DUMMYFUNCTION("""COMPUTED_VALUE"""),"свалка, машины, грязный воздух, толпа людей")</f>
        <v>свалка, машины, грязный воздух, толпа людей</v>
      </c>
      <c r="I1041" s="6" t="str">
        <f>IFERROR(__xludf.DUMMYFUNCTION("""COMPUTED_VALUE"""),"Вера Волошина, Михайло Волков")</f>
        <v>Вера Волошина, Михайло Волков</v>
      </c>
      <c r="J1041" s="6" t="str">
        <f>IFERROR(__xludf.DUMMYFUNCTION("""COMPUTED_VALUE"""),"не знаю")</f>
        <v>не знаю</v>
      </c>
      <c r="K1041" s="6" t="str">
        <f>IFERROR(__xludf.DUMMYFUNCTION("""COMPUTED_VALUE"""),"детскую железную дорогу, набережную")</f>
        <v>детскую железную дорогу, набережную</v>
      </c>
      <c r="L1041" s="6" t="str">
        <f>IFERROR(__xludf.DUMMYFUNCTION("""COMPUTED_VALUE"""),"не знаю")</f>
        <v>не знаю</v>
      </c>
      <c r="M1041" s="6" t="str">
        <f>IFERROR(__xludf.DUMMYFUNCTION("""COMPUTED_VALUE"""),"не знаю")</f>
        <v>не знаю</v>
      </c>
      <c r="N1041" s="6" t="str">
        <f>IFERROR(__xludf.DUMMYFUNCTION("""COMPUTED_VALUE"""),"грамотное отношение жителей и местных властей к проблеме сбора раздельного мусора; грамотное донесение до жителей информации, какой едой можно кормить городских птиц (уже надоело наблюдать, как голубей и уток кормят чем попало и подрывают здоровье живых с"&amp;"уществ); множество зелёных зон и их оберегание; благоустроенные дворы; своевременный косметический (и не только) ремонт фасадов домов")</f>
        <v>грамотное отношение жителей и местных властей к проблеме сбора раздельного мусора; грамотное донесение до жителей информации, какой едой можно кормить городских птиц (уже надоело наблюдать, как голубей и уток кормят чем попало и подрывают здоровье живых существ); множество зелёных зон и их оберегание; благоустроенные дворы; своевременный косметический (и не только) ремонт фасадов домов</v>
      </c>
      <c r="O1041" s="6" t="str">
        <f>IFERROR(__xludf.DUMMYFUNCTION("""COMPUTED_VALUE"""),"проблему мусорных отходов и предлагаю на законодательном уровне штрафовать мусорящих на улице людей")</f>
        <v>проблему мусорных отходов и предлагаю на законодательном уровне штрафовать мусорящих на улице людей</v>
      </c>
      <c r="P1041" s="7" t="str">
        <f>IFERROR(__xludf.DUMMYFUNCTION("""COMPUTED_VALUE"""),"VSE42.RU")</f>
        <v>VSE42.RU</v>
      </c>
      <c r="Q1041"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041" s="6" t="str">
        <f>IFERROR(__xludf.DUMMYFUNCTION("""COMPUTED_VALUE"""),"нет таких")</f>
        <v>нет таких</v>
      </c>
      <c r="S1041" s="6" t="str">
        <f>IFERROR(__xludf.DUMMYFUNCTION("""COMPUTED_VALUE"""),"Нет, не приходилось")</f>
        <v>Нет, не приходилось</v>
      </c>
      <c r="T1041" s="6" t="str">
        <f>IFERROR(__xludf.DUMMYFUNCTION("""COMPUTED_VALUE"""),"столица Кузбасса. печально известен страшным пожаром в ТЦ ""Зимняя вишня""")</f>
        <v>столица Кузбасса. печально известен страшным пожаром в ТЦ "Зимняя вишня"</v>
      </c>
      <c r="U1041" s="6" t="str">
        <f>IFERROR(__xludf.DUMMYFUNCTION("""COMPUTED_VALUE"""),"Притомская набережная")</f>
        <v>Притомская набережная</v>
      </c>
      <c r="V1041" s="6" t="str">
        <f>IFERROR(__xludf.DUMMYFUNCTION("""COMPUTED_VALUE"""),"не знаю, я не горжусь своим городом")</f>
        <v>не знаю, я не горжусь своим городом</v>
      </c>
      <c r="W1041" s="6" t="str">
        <f>IFERROR(__xludf.DUMMYFUNCTION("""COMPUTED_VALUE"""),"мне кажется кемеровчанам очень свойственно равнодушие")</f>
        <v>мне кажется кемеровчанам очень свойственно равнодушие</v>
      </c>
      <c r="X1041" s="6" t="str">
        <f>IFERROR(__xludf.DUMMYFUNCTION("""COMPUTED_VALUE"""),"самый экстремальный, продираясь через заросли берега реки Томь)))")</f>
        <v>самый экстремальный, продираясь через заросли берега реки Томь)))</v>
      </c>
      <c r="Y1041" s="6" t="str">
        <f>IFERROR(__xludf.DUMMYFUNCTION("""COMPUTED_VALUE"""),"рок-концерт ""Герои мирового рока"" в 2019!!")</f>
        <v>рок-концерт "Герои мирового рока" в 2019!!</v>
      </c>
      <c r="Z1041" s="6" t="str">
        <f>IFERROR(__xludf.DUMMYFUNCTION("""COMPUTED_VALUE"""),"рок-концерт ""Герои мирового рока""")</f>
        <v>рок-концерт "Герои мирового рока"</v>
      </c>
      <c r="AA1041" s="6" t="str">
        <f>IFERROR(__xludf.DUMMYFUNCTION("""COMPUTED_VALUE"""),"у меня практически всё в нашем городе, что связано с озеленением и загрязнением, вызывает постоянное негодование")</f>
        <v>у меня практически всё в нашем городе, что связано с озеленением и загрязнением, вызывает постоянное негодование</v>
      </c>
      <c r="AB1041" s="6" t="str">
        <f>IFERROR(__xludf.DUMMYFUNCTION("""COMPUTED_VALUE"""),"научно-популярных, танцевальных")</f>
        <v>научно-популярных, танцевальных</v>
      </c>
      <c r="AC1041" s="6" t="str">
        <f>IFERROR(__xludf.DUMMYFUNCTION("""COMPUTED_VALUE"""),"научно-популярные, информирование населения о современных прорывах в области науки и технологии. еще было бы интересно что-то об окружающем мире, чтобы развивать у населения ответственность за живое пространство, в котором мы осуществляем свою деятельност"&amp;"ь")</f>
        <v>научно-популярные, информирование населения о современных прорывах в области науки и технологии. еще было бы интересно что-то об окружающем мире, чтобы развивать у населения ответственность за живое пространство, в котором мы осуществляем свою деятельность</v>
      </c>
      <c r="AD1041" s="6" t="str">
        <f>IFERROR(__xludf.DUMMYFUNCTION("""COMPUTED_VALUE"""),"Не готов принимать личное участие (укажите, пожалуйста, причину в поле «Другое»), переезд в другой город в скором времени")</f>
        <v>Не готов принимать личное участие (укажите, пожалуйста, причину в поле «Другое»), переезд в другой город в скором времени</v>
      </c>
      <c r="AE1041" s="6" t="str">
        <f>IFERROR(__xludf.DUMMYFUNCTION("""COMPUTED_VALUE"""),"Женский")</f>
        <v>Женский</v>
      </c>
      <c r="AF1041" s="6" t="str">
        <f>IFERROR(__xludf.DUMMYFUNCTION("""COMPUTED_VALUE"""),"30-44")</f>
        <v>30-44</v>
      </c>
      <c r="AG1041" s="6"/>
      <c r="AH1041" s="6"/>
      <c r="AI1041" s="6"/>
      <c r="AJ1041" s="6"/>
      <c r="AK1041" s="6"/>
      <c r="AL1041" s="6"/>
      <c r="AM1041" s="6"/>
    </row>
    <row r="1042">
      <c r="A1042" s="6">
        <v>1041.0</v>
      </c>
      <c r="B1042" s="6" t="str">
        <f>IFERROR(__xludf.DUMMYFUNCTION("""COMPUTED_VALUE"""),"пенсионный возраст")</f>
        <v>пенсионный возраст</v>
      </c>
      <c r="C1042" s="6" t="str">
        <f>IFERROR(__xludf.DUMMYFUNCTION("""COMPUTED_VALUE"""),"войлок, украшения.")</f>
        <v>войлок, украшения.</v>
      </c>
      <c r="D1042" s="6" t="str">
        <f>IFERROR(__xludf.DUMMYFUNCTION("""COMPUTED_VALUE"""),"Рудник")</f>
        <v>Рудник</v>
      </c>
      <c r="E1042" s="6" t="str">
        <f>IFERROR(__xludf.DUMMYFUNCTION("""COMPUTED_VALUE"""),"Нахимова")</f>
        <v>Нахимова</v>
      </c>
      <c r="F1042" s="6" t="str">
        <f>IFERROR(__xludf.DUMMYFUNCTION("""COMPUTED_VALUE"""),"Живу здесь с рождения")</f>
        <v>Живу здесь с рождения</v>
      </c>
      <c r="G1042" s="6" t="str">
        <f>IFERROR(__xludf.DUMMYFUNCTION("""COMPUTED_VALUE"""),"Дк Шахтеров")</f>
        <v>Дк Шахтеров</v>
      </c>
      <c r="H1042" s="6" t="str">
        <f>IFERROR(__xludf.DUMMYFUNCTION("""COMPUTED_VALUE"""),"Бардак за дк Шахтеров,")</f>
        <v>Бардак за дк Шахтеров,</v>
      </c>
      <c r="I1042" s="6" t="str">
        <f>IFERROR(__xludf.DUMMYFUNCTION("""COMPUTED_VALUE"""),"Тулеев, Подгорбунский.Леонов, Вера Волошина.")</f>
        <v>Тулеев, Подгорбунский.Леонов, Вера Волошина.</v>
      </c>
      <c r="J1042" s="6" t="str">
        <f>IFERROR(__xludf.DUMMYFUNCTION("""COMPUTED_VALUE"""),"Их имена не известны, про них пресса молчит.")</f>
        <v>Их имена не известны, про них пресса молчит.</v>
      </c>
      <c r="K1042" s="6" t="str">
        <f>IFERROR(__xludf.DUMMYFUNCTION("""COMPUTED_VALUE"""),"Памятник Ленину, Пушкину, Леонову, Шахтёрам.")</f>
        <v>Памятник Ленину, Пушкину, Леонову, Шахтёрам.</v>
      </c>
      <c r="L1042" s="6" t="str">
        <f>IFERROR(__xludf.DUMMYFUNCTION("""COMPUTED_VALUE"""),"Сибиряк мороза не боится...
Не хлебом едиными....
Знай сверчек свой шесток...
Не в свои сани...
По Сеньке шапка..
Каждый начальник под себя и свою жену гребёт...")</f>
        <v>Сибиряк мороза не боится...
Не хлебом едиными....
Знай сверчек свой шесток...
Не в свои сани...
По Сеньке шапка..
Каждый начальник под себя и свою жену гребёт...</v>
      </c>
      <c r="M1042" s="6" t="str">
        <f>IFERROR(__xludf.DUMMYFUNCTION("""COMPUTED_VALUE"""),"""в Городе"" - в Центральном районе.
""стайка"" - амбар 
")</f>
        <v>"в Городе" - в Центральном районе.
"стайка" - амбар 
</v>
      </c>
      <c r="N1042" s="6" t="str">
        <f>IFERROR(__xludf.DUMMYFUNCTION("""COMPUTED_VALUE"""),"Транспорт, чистота воздуха, чистота улиц и дорог,вежливость укомплектованность медицины, достаток милиции, бесперебойная работа ЖКХ")</f>
        <v>Транспорт, чистота воздуха, чистота улиц и дорог,вежливость укомплектованность медицины, достаток милиции, бесперебойная работа ЖКХ</v>
      </c>
      <c r="O1042" s="6" t="str">
        <f>IFERROR(__xludf.DUMMYFUNCTION("""COMPUTED_VALUE"""),"Сделать об' ездную дорогу для большегрузов.
Расчистить от ереси парк вокруг ДК Шахтеров.")</f>
        <v>Сделать об' ездную дорогу для большегрузов.
Расчистить от ереси парк вокруг ДК Шахтеров.</v>
      </c>
      <c r="P1042" s="6" t="str">
        <f>IFERROR(__xludf.DUMMYFUNCTION("""COMPUTED_VALUE"""),"Телевизор")</f>
        <v>Телевизор</v>
      </c>
      <c r="Q1042"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(рейтинги/аналитика/"&amp;"тенденции),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042" s="6" t="str">
        <f>IFERROR(__xludf.DUMMYFUNCTION("""COMPUTED_VALUE"""),"День Шахтеров")</f>
        <v>День Шахтеров</v>
      </c>
      <c r="S1042" s="6" t="str">
        <f>IFERROR(__xludf.DUMMYFUNCTION("""COMPUTED_VALUE"""),"Нет, не приходилось")</f>
        <v>Нет, не приходилось</v>
      </c>
      <c r="T1042" s="6" t="str">
        <f>IFERROR(__xludf.DUMMYFUNCTION("""COMPUTED_VALUE"""),"Тулеев, уголь.")</f>
        <v>Тулеев, уголь.</v>
      </c>
      <c r="U1042" s="6" t="str">
        <f>IFERROR(__xludf.DUMMYFUNCTION("""COMPUTED_VALUE"""),"Памятник Шахтеру.")</f>
        <v>Памятник Шахтеру.</v>
      </c>
      <c r="V1042" s="6" t="str">
        <f>IFERROR(__xludf.DUMMYFUNCTION("""COMPUTED_VALUE"""),"Честно жили.")</f>
        <v>Честно жили.</v>
      </c>
      <c r="W1042" s="6" t="str">
        <f>IFERROR(__xludf.DUMMYFUNCTION("""COMPUTED_VALUE"""),"Суровые, терпеливые, беспощадные во гневе.")</f>
        <v>Суровые, терпеливые, беспощадные во гневе.</v>
      </c>
      <c r="X1042" s="6" t="str">
        <f>IFERROR(__xludf.DUMMYFUNCTION("""COMPUTED_VALUE"""),"По деревне Красной пешком летом,по улице Боровой.")</f>
        <v>По деревне Красной пешком летом,по улице Боровой.</v>
      </c>
      <c r="Y1042" s="6" t="str">
        <f>IFERROR(__xludf.DUMMYFUNCTION("""COMPUTED_VALUE"""),"Сохранили памятники, бор спасибо за это.")</f>
        <v>Сохранили памятники, бор спасибо за это.</v>
      </c>
      <c r="Z1042" s="6" t="str">
        <f>IFERROR(__xludf.DUMMYFUNCTION("""COMPUTED_VALUE"""),"-")</f>
        <v>-</v>
      </c>
      <c r="AA1042" s="6" t="str">
        <f>IFERROR(__xludf.DUMMYFUNCTION("""COMPUTED_VALUE"""),"Оптимизация  медицины и образова")</f>
        <v>Оптимизация  медицины и образова</v>
      </c>
      <c r="AB1042" s="6" t="str">
        <f>IFERROR(__xludf.DUMMYFUNCTION("""COMPUTED_VALUE"""),"Союз художников загнали в угол.")</f>
        <v>Союз художников загнали в угол.</v>
      </c>
      <c r="AC1042" s="6" t="str">
        <f>IFERROR(__xludf.DUMMYFUNCTION("""COMPUTED_VALUE"""),"Построить рабочие места для горожан, вместо ТЦ фабрики, заводы.")</f>
        <v>Построить рабочие места для горожан, вместо ТЦ фабрики, заводы.</v>
      </c>
      <c r="AD104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42" s="6" t="str">
        <f>IFERROR(__xludf.DUMMYFUNCTION("""COMPUTED_VALUE"""),"Женский")</f>
        <v>Женский</v>
      </c>
      <c r="AF1042" s="6" t="str">
        <f>IFERROR(__xludf.DUMMYFUNCTION("""COMPUTED_VALUE"""),"старше 55")</f>
        <v>старше 55</v>
      </c>
      <c r="AG1042" s="6"/>
      <c r="AH1042" s="6"/>
      <c r="AI1042" s="6"/>
      <c r="AJ1042" s="6"/>
      <c r="AK1042" s="6"/>
      <c r="AL1042" s="6"/>
      <c r="AM1042" s="6"/>
    </row>
    <row r="1043">
      <c r="A1043" s="6">
        <v>1042.0</v>
      </c>
      <c r="B1043" s="6" t="str">
        <f>IFERROR(__xludf.DUMMYFUNCTION("""COMPUTED_VALUE"""),"Проверка, испытания и измерения")</f>
        <v>Проверка, испытания и измерения</v>
      </c>
      <c r="C1043" s="6" t="str">
        <f>IFERROR(__xludf.DUMMYFUNCTION("""COMPUTED_VALUE"""),"Нет")</f>
        <v>Нет</v>
      </c>
      <c r="D1043" s="6" t="str">
        <f>IFERROR(__xludf.DUMMYFUNCTION("""COMPUTED_VALUE"""),"Рудничный. Радуга.")</f>
        <v>Рудничный. Радуга.</v>
      </c>
      <c r="E1043" s="6" t="str">
        <f>IFERROR(__xludf.DUMMYFUNCTION("""COMPUTED_VALUE"""),"ДК. ЗАГС. Школа 36 с бассейном.")</f>
        <v>ДК. ЗАГС. Школа 36 с бассейном.</v>
      </c>
      <c r="F1043"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043" s="6" t="str">
        <f>IFERROR(__xludf.DUMMYFUNCTION("""COMPUTED_VALUE"""),"Бор")</f>
        <v>Бор</v>
      </c>
      <c r="H1043" s="6" t="str">
        <f>IFERROR(__xludf.DUMMYFUNCTION("""COMPUTED_VALUE"""),"Кузбасс, Томь, Онкология, Разрезы, Дыра")</f>
        <v>Кузбасс, Томь, Онкология, Разрезы, Дыра</v>
      </c>
      <c r="I1043" s="6" t="str">
        <f>IFERROR(__xludf.DUMMYFUNCTION("""COMPUTED_VALUE"""),"М.Волков, А.Леонов, Терешкова")</f>
        <v>М.Волков, А.Леонов, Терешкова</v>
      </c>
      <c r="J1043" s="6" t="str">
        <f>IFERROR(__xludf.DUMMYFUNCTION("""COMPUTED_VALUE"""),"Не знаю таких")</f>
        <v>Не знаю таких</v>
      </c>
      <c r="K1043" s="6" t="str">
        <f>IFERROR(__xludf.DUMMYFUNCTION("""COMPUTED_VALUE"""),"Пямятник Шахтеру, лесная поляна, Парк Жукова")</f>
        <v>Пямятник Шахтеру, лесная поляна, Парк Жукова</v>
      </c>
      <c r="L1043" s="6" t="str">
        <f>IFERROR(__xludf.DUMMYFUNCTION("""COMPUTED_VALUE"""),"Бояре бранятся, а у холопов чубы трещат")</f>
        <v>Бояре бранятся, а у холопов чубы трещат</v>
      </c>
      <c r="M1043" s="6" t="str">
        <f>IFERROR(__xludf.DUMMYFUNCTION("""COMPUTED_VALUE"""),"Геш")</f>
        <v>Геш</v>
      </c>
      <c r="N1043" s="6" t="str">
        <f>IFERROR(__xludf.DUMMYFUNCTION("""COMPUTED_VALUE"""),"Чистота, хор. дороги, безопасность, отсутствие пробок, повышение з/платы.")</f>
        <v>Чистота, хор. дороги, безопасность, отсутствие пробок, повышение з/платы.</v>
      </c>
      <c r="O1043" s="6" t="str">
        <f>IFERROR(__xludf.DUMMYFUNCTION("""COMPUTED_VALUE"""),"Пустить фуры в обход города")</f>
        <v>Пустить фуры в обход города</v>
      </c>
      <c r="P1043" s="6" t="str">
        <f>IFERROR(__xludf.DUMMYFUNCTION("""COMPUTED_VALUE"""),"Телевизор, сети, слухи")</f>
        <v>Телевизор, сети, слухи</v>
      </c>
      <c r="Q1043" s="6" t="str">
        <f>IFERROR(__xludf.DUMMYFUNCTION("""COMPUTED_VALUE"""),"городская афиша (кино/театр/концерты)")</f>
        <v>городская афиша (кино/театр/концерты)</v>
      </c>
      <c r="R1043" s="6" t="str">
        <f>IFERROR(__xludf.DUMMYFUNCTION("""COMPUTED_VALUE"""),"9 мая")</f>
        <v>9 мая</v>
      </c>
      <c r="S1043" s="6" t="str">
        <f>IFERROR(__xludf.DUMMYFUNCTION("""COMPUTED_VALUE"""),"Нет, не приходилось")</f>
        <v>Нет, не приходилось</v>
      </c>
      <c r="T1043" s="6" t="str">
        <f>IFERROR(__xludf.DUMMYFUNCTION("""COMPUTED_VALUE"""),"Уголь, разрезы, Зимняя вишня, Тулеев. Интересны широкие проспекты и озеленение.")</f>
        <v>Уголь, разрезы, Зимняя вишня, Тулеев. Интересны широкие проспекты и озеленение.</v>
      </c>
      <c r="U1043" s="6" t="str">
        <f>IFERROR(__xludf.DUMMYFUNCTION("""COMPUTED_VALUE"""),"Площадь Советов")</f>
        <v>Площадь Советов</v>
      </c>
      <c r="V1043" s="6" t="str">
        <f>IFERROR(__xludf.DUMMYFUNCTION("""COMPUTED_VALUE"""),"Много терпели")</f>
        <v>Много терпели</v>
      </c>
      <c r="W1043" s="6" t="str">
        <f>IFERROR(__xludf.DUMMYFUNCTION("""COMPUTED_VALUE"""),"Добрые, приветливые, гостеприимные, твердые, мужественные.")</f>
        <v>Добрые, приветливые, гостеприимные, твердые, мужественные.</v>
      </c>
      <c r="X1043" s="6" t="str">
        <f>IFERROR(__xludf.DUMMYFUNCTION("""COMPUTED_VALUE"""),"Набережная")</f>
        <v>Набережная</v>
      </c>
      <c r="Y1043" s="6" t="str">
        <f>IFERROR(__xludf.DUMMYFUNCTION("""COMPUTED_VALUE"""),"Постройка красивых зданий СУДОВ")</f>
        <v>Постройка красивых зданий СУДОВ</v>
      </c>
      <c r="Z1043" s="6" t="str">
        <f>IFERROR(__xludf.DUMMYFUNCTION("""COMPUTED_VALUE"""),"Рок-концерт напоотив Лапландии с группой АКЦЕПТ")</f>
        <v>Рок-концерт напоотив Лапландии с группой АКЦЕПТ</v>
      </c>
      <c r="AA1043" s="6" t="str">
        <f>IFERROR(__xludf.DUMMYFUNCTION("""COMPUTED_VALUE"""),"Подъем цен на ВСЁ. Коррупция. Бездействие властей.")</f>
        <v>Подъем цен на ВСЁ. Коррупция. Бездействие властей.</v>
      </c>
      <c r="AB1043" s="6" t="str">
        <f>IFERROR(__xludf.DUMMYFUNCTION("""COMPUTED_VALUE"""),"Хватает")</f>
        <v>Хватает</v>
      </c>
      <c r="AC1043" s="6" t="str">
        <f>IFERROR(__xludf.DUMMYFUNCTION("""COMPUTED_VALUE"""),"Открытых рок-концертов и т.п.")</f>
        <v>Открытых рок-концертов и т.п.</v>
      </c>
      <c r="AD104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043" s="6" t="str">
        <f>IFERROR(__xludf.DUMMYFUNCTION("""COMPUTED_VALUE"""),"Мужской")</f>
        <v>Мужской</v>
      </c>
      <c r="AF1043" s="6" t="str">
        <f>IFERROR(__xludf.DUMMYFUNCTION("""COMPUTED_VALUE"""),"30-44")</f>
        <v>30-44</v>
      </c>
      <c r="AG1043" s="6"/>
      <c r="AH1043" s="6"/>
      <c r="AI1043" s="6"/>
      <c r="AJ1043" s="6"/>
      <c r="AK1043" s="6"/>
      <c r="AL1043" s="6"/>
      <c r="AM1043" s="6"/>
    </row>
    <row r="1044">
      <c r="A1044" s="6">
        <v>1043.0</v>
      </c>
      <c r="B1044" s="6" t="str">
        <f>IFERROR(__xludf.DUMMYFUNCTION("""COMPUTED_VALUE"""),"Проверка, испытания и измерения")</f>
        <v>Проверка, испытания и измерения</v>
      </c>
      <c r="C1044" s="6" t="str">
        <f>IFERROR(__xludf.DUMMYFUNCTION("""COMPUTED_VALUE"""),"Нет")</f>
        <v>Нет</v>
      </c>
      <c r="D1044" s="6" t="str">
        <f>IFERROR(__xludf.DUMMYFUNCTION("""COMPUTED_VALUE"""),"Рудничный. Радуга.")</f>
        <v>Рудничный. Радуга.</v>
      </c>
      <c r="E1044" s="6" t="str">
        <f>IFERROR(__xludf.DUMMYFUNCTION("""COMPUTED_VALUE"""),"ДК. ЗАГС. Школа 36 с бассейном.")</f>
        <v>ДК. ЗАГС. Школа 36 с бассейном.</v>
      </c>
      <c r="F104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044" s="6" t="str">
        <f>IFERROR(__xludf.DUMMYFUNCTION("""COMPUTED_VALUE"""),"Бор")</f>
        <v>Бор</v>
      </c>
      <c r="H1044" s="6" t="str">
        <f>IFERROR(__xludf.DUMMYFUNCTION("""COMPUTED_VALUE"""),"Кузбасс, Томь, Онкология, Разрезы, Дыра")</f>
        <v>Кузбасс, Томь, Онкология, Разрезы, Дыра</v>
      </c>
      <c r="I1044" s="6" t="str">
        <f>IFERROR(__xludf.DUMMYFUNCTION("""COMPUTED_VALUE"""),"М.Волков, А.Леонов, Терешкова")</f>
        <v>М.Волков, А.Леонов, Терешкова</v>
      </c>
      <c r="J1044" s="6" t="str">
        <f>IFERROR(__xludf.DUMMYFUNCTION("""COMPUTED_VALUE"""),"Не знаю таких")</f>
        <v>Не знаю таких</v>
      </c>
      <c r="K1044" s="6" t="str">
        <f>IFERROR(__xludf.DUMMYFUNCTION("""COMPUTED_VALUE"""),"Пямятник Шахтеру, лесная поляна, Парк Жукова")</f>
        <v>Пямятник Шахтеру, лесная поляна, Парк Жукова</v>
      </c>
      <c r="L1044" s="6" t="str">
        <f>IFERROR(__xludf.DUMMYFUNCTION("""COMPUTED_VALUE"""),"Бояре бранятся, а у холопов чубы трещат")</f>
        <v>Бояре бранятся, а у холопов чубы трещат</v>
      </c>
      <c r="M1044" s="6" t="str">
        <f>IFERROR(__xludf.DUMMYFUNCTION("""COMPUTED_VALUE"""),"Геш")</f>
        <v>Геш</v>
      </c>
      <c r="N1044" s="6" t="str">
        <f>IFERROR(__xludf.DUMMYFUNCTION("""COMPUTED_VALUE"""),"Чистота, хор. дороги, безопасность, отсутствие пробок, повышение з/платы.")</f>
        <v>Чистота, хор. дороги, безопасность, отсутствие пробок, повышение з/платы.</v>
      </c>
      <c r="O1044" s="6" t="str">
        <f>IFERROR(__xludf.DUMMYFUNCTION("""COMPUTED_VALUE"""),"Пустить фуры в обход города")</f>
        <v>Пустить фуры в обход города</v>
      </c>
      <c r="P1044" s="6" t="str">
        <f>IFERROR(__xludf.DUMMYFUNCTION("""COMPUTED_VALUE"""),"Телевизор, сети, слухи")</f>
        <v>Телевизор, сети, слухи</v>
      </c>
      <c r="Q1044" s="6" t="str">
        <f>IFERROR(__xludf.DUMMYFUNCTION("""COMPUTED_VALUE"""),"городская афиша (кино/театр/концерты)")</f>
        <v>городская афиша (кино/театр/концерты)</v>
      </c>
      <c r="R1044" s="6" t="str">
        <f>IFERROR(__xludf.DUMMYFUNCTION("""COMPUTED_VALUE"""),"9 мая")</f>
        <v>9 мая</v>
      </c>
      <c r="S1044" s="6" t="str">
        <f>IFERROR(__xludf.DUMMYFUNCTION("""COMPUTED_VALUE"""),"Нет, не приходилось")</f>
        <v>Нет, не приходилось</v>
      </c>
      <c r="T1044" s="6" t="str">
        <f>IFERROR(__xludf.DUMMYFUNCTION("""COMPUTED_VALUE"""),"Уголь, разрезы, Зимняя вишня, Тулеев. Интересны широкие проспекты и озеленение.")</f>
        <v>Уголь, разрезы, Зимняя вишня, Тулеев. Интересны широкие проспекты и озеленение.</v>
      </c>
      <c r="U1044" s="6" t="str">
        <f>IFERROR(__xludf.DUMMYFUNCTION("""COMPUTED_VALUE"""),"Площадь Советов")</f>
        <v>Площадь Советов</v>
      </c>
      <c r="V1044" s="6" t="str">
        <f>IFERROR(__xludf.DUMMYFUNCTION("""COMPUTED_VALUE"""),"Много терпели")</f>
        <v>Много терпели</v>
      </c>
      <c r="W1044" s="6" t="str">
        <f>IFERROR(__xludf.DUMMYFUNCTION("""COMPUTED_VALUE"""),"Добрые, приветливые, гостеприимные, твердые, мужественные.")</f>
        <v>Добрые, приветливые, гостеприимные, твердые, мужественные.</v>
      </c>
      <c r="X1044" s="6" t="str">
        <f>IFERROR(__xludf.DUMMYFUNCTION("""COMPUTED_VALUE"""),"Набережная")</f>
        <v>Набережная</v>
      </c>
      <c r="Y1044" s="6" t="str">
        <f>IFERROR(__xludf.DUMMYFUNCTION("""COMPUTED_VALUE"""),"Постройка красивых зданий СУДОВ")</f>
        <v>Постройка красивых зданий СУДОВ</v>
      </c>
      <c r="Z1044" s="6" t="str">
        <f>IFERROR(__xludf.DUMMYFUNCTION("""COMPUTED_VALUE"""),"Рок-концерт напоотив Лапландии с группой АКЦЕПТ")</f>
        <v>Рок-концерт напоотив Лапландии с группой АКЦЕПТ</v>
      </c>
      <c r="AA1044" s="6" t="str">
        <f>IFERROR(__xludf.DUMMYFUNCTION("""COMPUTED_VALUE"""),"Подъем цен на ВСЁ. Коррупция. Бездействие властей.")</f>
        <v>Подъем цен на ВСЁ. Коррупция. Бездействие властей.</v>
      </c>
      <c r="AB1044" s="6" t="str">
        <f>IFERROR(__xludf.DUMMYFUNCTION("""COMPUTED_VALUE"""),"Хватает")</f>
        <v>Хватает</v>
      </c>
      <c r="AC1044" s="6" t="str">
        <f>IFERROR(__xludf.DUMMYFUNCTION("""COMPUTED_VALUE"""),"Открытых рок-концертов и т.п.")</f>
        <v>Открытых рок-концертов и т.п.</v>
      </c>
      <c r="AD104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044" s="6" t="str">
        <f>IFERROR(__xludf.DUMMYFUNCTION("""COMPUTED_VALUE"""),"Мужской")</f>
        <v>Мужской</v>
      </c>
      <c r="AF1044" s="6" t="str">
        <f>IFERROR(__xludf.DUMMYFUNCTION("""COMPUTED_VALUE"""),"30-44")</f>
        <v>30-44</v>
      </c>
      <c r="AG1044" s="6"/>
      <c r="AH1044" s="6"/>
      <c r="AI1044" s="6"/>
      <c r="AJ1044" s="6"/>
      <c r="AK1044" s="6"/>
      <c r="AL1044" s="6"/>
      <c r="AM1044" s="6"/>
    </row>
    <row r="1045">
      <c r="A1045" s="6">
        <v>1044.0</v>
      </c>
      <c r="B1045" s="6" t="str">
        <f>IFERROR(__xludf.DUMMYFUNCTION("""COMPUTED_VALUE"""),"Проект- менеджер")</f>
        <v>Проект- менеджер</v>
      </c>
      <c r="C1045" s="6" t="str">
        <f>IFERROR(__xludf.DUMMYFUNCTION("""COMPUTED_VALUE"""),"Гуляю пешком по городу")</f>
        <v>Гуляю пешком по городу</v>
      </c>
      <c r="D1045" s="6" t="str">
        <f>IFERROR(__xludf.DUMMYFUNCTION("""COMPUTED_VALUE"""),"Ленинский, кольцо")</f>
        <v>Ленинский, кольцо</v>
      </c>
      <c r="E1045" s="6" t="str">
        <f>IFERROR(__xludf.DUMMYFUNCTION("""COMPUTED_VALUE"""),"Пляж красного озера и р.Томь. кадетское училище, аллея памяти возле училища.Обновленный бульвар строителей")</f>
        <v>Пляж красного озера и р.Томь. кадетское училище, аллея памяти возле училища.Обновленный бульвар строителей</v>
      </c>
      <c r="F1045" s="6" t="str">
        <f>IFERROR(__xludf.DUMMYFUNCTION("""COMPUTED_VALUE"""),"Живу здесь с рождения")</f>
        <v>Живу здесь с рождения</v>
      </c>
      <c r="G1045" s="6" t="str">
        <f>IFERROR(__xludf.DUMMYFUNCTION("""COMPUTED_VALUE"""),"Кафе, театры")</f>
        <v>Кафе, театры</v>
      </c>
      <c r="H1045" s="6" t="str">
        <f>IFERROR(__xludf.DUMMYFUNCTION("""COMPUTED_VALUE"""),"Родной дом, красивый, уютный, мой, тут своя атмосфера ")</f>
        <v>Родной дом, красивый, уютный, мой, тут своя атмосфера </v>
      </c>
      <c r="I1045" s="6" t="str">
        <f>IFERROR(__xludf.DUMMYFUNCTION("""COMPUTED_VALUE"""),"Зоя Космодемьянцева, Вера Волошина, Мизайло Волков")</f>
        <v>Зоя Космодемьянцева, Вера Волошина, Мизайло Волков</v>
      </c>
      <c r="J1045" s="6" t="str">
        <f>IFERROR(__xludf.DUMMYFUNCTION("""COMPUTED_VALUE"""),"Нужно подумать 
")</f>
        <v>Нужно подумать 
</v>
      </c>
      <c r="K1045" s="6" t="str">
        <f>IFERROR(__xludf.DUMMYFUNCTION("""COMPUTED_VALUE"""),"Музей- заповедник красная горка; музей посвященный Великой Отечественной Войне, затем сводила бы в театр для детей и молодежи. Еще показада бы офис в котором я работаю ")</f>
        <v>Музей- заповедник красная горка; музей посвященный Великой Отечественной Войне, затем сводила бы в театр для детей и молодежи. Еще показада бы офис в котором я работаю </v>
      </c>
      <c r="L1045" s="6" t="str">
        <f>IFERROR(__xludf.DUMMYFUNCTION("""COMPUTED_VALUE"""),"Ничего не припоминаю ")</f>
        <v>Ничего не припоминаю </v>
      </c>
      <c r="M1045" s="6" t="str">
        <f>IFERROR(__xludf.DUMMYFUNCTION("""COMPUTED_VALUE"""),"Где, в КемеровО или КемеровЕ")</f>
        <v>Где, в КемеровО или КемеровЕ</v>
      </c>
      <c r="N1045" s="6" t="str">
        <f>IFERROR(__xludf.DUMMYFUNCTION("""COMPUTED_VALUE"""),"Много света в темное время суток, природа и водоемы в шаговой доступности, ровные дороги, новые районы где можно погулять, доступная инфраструктура")</f>
        <v>Много света в темное время суток, природа и водоемы в шаговой доступности, ровные дороги, новые районы где можно погулять, доступная инфраструктура</v>
      </c>
      <c r="O1045" s="6" t="str">
        <f>IFERROR(__xludf.DUMMYFUNCTION("""COMPUTED_VALUE"""),"Затрудняюсь ответить")</f>
        <v>Затрудняюсь ответить</v>
      </c>
      <c r="P1045" s="6" t="str">
        <f>IFERROR(__xludf.DUMMYFUNCTION("""COMPUTED_VALUE"""),"В основном от друзей, о масштабных мероприятиях в СМИ A42.RU")</f>
        <v>В основном от друзей, о масштабных мероприятиях в СМИ A42.RU</v>
      </c>
      <c r="Q1045" s="6" t="str">
        <f>IFERROR(__xludf.DUMMYFUNCTION("""COMPUTED_VALUE"""),"где вкусно поесть/открытие новых кафе/ресторанов, культурные новинки (что почитать/что послушать), результаты местных исследований (рейтинги/аналитика/тенденции)")</f>
        <v>где вкусно поесть/открытие новых кафе/ресторанов, культурные новинки (что почитать/что послушать), результаты местных исследований (рейтинги/аналитика/тенденции)</v>
      </c>
      <c r="R1045" s="6" t="str">
        <f>IFERROR(__xludf.DUMMYFUNCTION("""COMPUTED_VALUE"""),"9 мая ")</f>
        <v>9 мая </v>
      </c>
      <c r="S1045" s="6" t="str">
        <f>IFERROR(__xludf.DUMMYFUNCTION("""COMPUTED_VALUE"""),"Нет, не приходилось")</f>
        <v>Нет, не приходилось</v>
      </c>
      <c r="T1045" s="6" t="str">
        <f>IFERROR(__xludf.DUMMYFUNCTION("""COMPUTED_VALUE"""),"Атмосфера маленького но невероятно динамичного городка + порядок, уют, цивильные светофоры, дороги и никаких проводов над головой.")</f>
        <v>Атмосфера маленького но невероятно динамичного городка + порядок, уют, цивильные светофоры, дороги и никаких проводов над головой.</v>
      </c>
      <c r="U1045" s="6" t="str">
        <f>IFERROR(__xludf.DUMMYFUNCTION("""COMPUTED_VALUE"""),"Набережная")</f>
        <v>Набережная</v>
      </c>
      <c r="V1045" s="6" t="str">
        <f>IFERROR(__xludf.DUMMYFUNCTION("""COMPUTED_VALUE"""),"Развивают по сей день со времен становления. Развивается образование, культурно-массовые мероприятия и не только")</f>
        <v>Развивают по сей день со времен становления. Развивается образование, культурно-массовые мероприятия и не только</v>
      </c>
      <c r="W1045" s="6" t="str">
        <f>IFERROR(__xludf.DUMMYFUNCTION("""COMPUTED_VALUE"""),"Дружелюбные и активные люди ")</f>
        <v>Дружелюбные и активные люди </v>
      </c>
      <c r="X1045" s="6" t="str">
        <f>IFERROR(__xludf.DUMMYFUNCTION("""COMPUTED_VALUE"""),"От кольца ( по бульвару) до кадетского училища и до красного озера( пляж)")</f>
        <v>От кольца ( по бульвару) до кадетского училища и до красного озера( пляж)</v>
      </c>
      <c r="Y1045" s="6" t="str">
        <f>IFERROR(__xludf.DUMMYFUNCTION("""COMPUTED_VALUE"""),"Затрудняюсь ответить")</f>
        <v>Затрудняюсь ответить</v>
      </c>
      <c r="Z1045" s="6" t="str">
        <f>IFERROR(__xludf.DUMMYFUNCTION("""COMPUTED_VALUE"""),"Маштабный ремонт, появление новых районов")</f>
        <v>Маштабный ремонт, появление новых районов</v>
      </c>
      <c r="AA1045" s="6" t="str">
        <f>IFERROR(__xludf.DUMMYFUNCTION("""COMPUTED_VALUE"""),"Мотоциклисты летом под окном")</f>
        <v>Мотоциклисты летом под окном</v>
      </c>
      <c r="AB1045" s="6" t="str">
        <f>IFERROR(__xludf.DUMMYFUNCTION("""COMPUTED_VALUE"""),"Больше молодежных сообществ")</f>
        <v>Больше молодежных сообществ</v>
      </c>
      <c r="AC1045" s="6" t="str">
        <f>IFERROR(__xludf.DUMMYFUNCTION("""COMPUTED_VALUE"""),"1.Масштабная ночь музеев. Много света, музыки, выставки на улицах, очереди в музеи, библиотеки (где рассказывают про значимые события). 
2. Велосипеды на прокат ( как в Москве, где в одной точке можно арендовать велосипед и вернуть в другой).")</f>
        <v>1.Масштабная ночь музеев. Много света, музыки, выставки на улицах, очереди в музеи, библиотеки (где рассказывают про значимые события). 
2. Велосипеды на прокат ( как в Москве, где в одной точке можно арендовать велосипед и вернуть в другой).</v>
      </c>
      <c r="AD104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045" s="6" t="str">
        <f>IFERROR(__xludf.DUMMYFUNCTION("""COMPUTED_VALUE"""),"Женский")</f>
        <v>Женский</v>
      </c>
      <c r="AF1045" s="6" t="str">
        <f>IFERROR(__xludf.DUMMYFUNCTION("""COMPUTED_VALUE"""),"18-29")</f>
        <v>18-29</v>
      </c>
      <c r="AG1045" s="6"/>
      <c r="AH1045" s="6"/>
      <c r="AI1045" s="6"/>
      <c r="AJ1045" s="6"/>
      <c r="AK1045" s="6"/>
      <c r="AL1045" s="6"/>
      <c r="AM1045" s="6"/>
    </row>
    <row r="1046">
      <c r="A1046" s="6">
        <v>1045.0</v>
      </c>
      <c r="B1046" s="6" t="str">
        <f>IFERROR(__xludf.DUMMYFUNCTION("""COMPUTED_VALUE"""),"Домохозяйка ")</f>
        <v>Домохозяйка </v>
      </c>
      <c r="C1046" s="6" t="str">
        <f>IFERROR(__xludf.DUMMYFUNCTION("""COMPUTED_VALUE"""),"Рукоделие")</f>
        <v>Рукоделие</v>
      </c>
      <c r="D1046" s="6" t="str">
        <f>IFERROR(__xludf.DUMMYFUNCTION("""COMPUTED_VALUE"""),"Лесная поляна ")</f>
        <v>Лесная поляна </v>
      </c>
      <c r="E1046" s="6" t="str">
        <f>IFERROR(__xludf.DUMMYFUNCTION("""COMPUTED_VALUE"""),"Осенний бульвар и парк Лесная сказка")</f>
        <v>Осенний бульвар и парк Лесная сказка</v>
      </c>
      <c r="F1046" s="6" t="str">
        <f>IFERROR(__xludf.DUMMYFUNCTION("""COMPUTED_VALUE"""),"Живу здесь с рождения")</f>
        <v>Живу здесь с рождения</v>
      </c>
      <c r="G1046" s="6" t="str">
        <f>IFERROR(__xludf.DUMMYFUNCTION("""COMPUTED_VALUE"""),"Гуляем в лесной поляне")</f>
        <v>Гуляем в лесной поляне</v>
      </c>
      <c r="H1046" s="6" t="str">
        <f>IFERROR(__xludf.DUMMYFUNCTION("""COMPUTED_VALUE"""),"Уголь, трубы, шахты, смог")</f>
        <v>Уголь, трубы, шахты, смог</v>
      </c>
      <c r="I1046" s="6" t="str">
        <f>IFERROR(__xludf.DUMMYFUNCTION("""COMPUTED_VALUE"""),"М. ВОЛКОВ, ТУЛЕЕВ")</f>
        <v>М. ВОЛКОВ, ТУЛЕЕВ</v>
      </c>
      <c r="J1046" s="6" t="str">
        <f>IFERROR(__xludf.DUMMYFUNCTION("""COMPUTED_VALUE"""),"Нет таких")</f>
        <v>Нет таких</v>
      </c>
      <c r="K1046" s="6" t="str">
        <f>IFERROR(__xludf.DUMMYFUNCTION("""COMPUTED_VALUE"""),"Лесную поляну")</f>
        <v>Лесную поляну</v>
      </c>
      <c r="L1046" s="6" t="str">
        <f>IFERROR(__xludf.DUMMYFUNCTION("""COMPUTED_VALUE"""),"Не место красит человека, а человек место")</f>
        <v>Не место красит человека, а человек место</v>
      </c>
      <c r="M1046" s="6" t="str">
        <f>IFERROR(__xludf.DUMMYFUNCTION("""COMPUTED_VALUE"""),"Нет")</f>
        <v>Нет</v>
      </c>
      <c r="N1046" s="6" t="str">
        <f>IFERROR(__xludf.DUMMYFUNCTION("""COMPUTED_VALUE"""),"Хорошо качественные дороги, чистота улиц, спортивные секции в каждом районе, качественная бесплатная медицина")</f>
        <v>Хорошо качественные дороги, чистота улиц, спортивные секции в каждом районе, качественная бесплатная медицина</v>
      </c>
      <c r="O1046" s="6" t="str">
        <f>IFERROR(__xludf.DUMMYFUNCTION("""COMPUTED_VALUE"""),"Отремонтировать дороги!!! Сделать обьездную трассу для фур!! ")</f>
        <v>Отремонтировать дороги!!! Сделать обьездную трассу для фур!! </v>
      </c>
      <c r="P1046" s="6" t="str">
        <f>IFERROR(__xludf.DUMMYFUNCTION("""COMPUTED_VALUE"""),"Сайт ако.ru, соц. Сеть в интернете лесной поляны и газета Лесная поляна")</f>
        <v>Сайт ако.ru, соц. Сеть в интернете лесной поляны и газета Лесная поляна</v>
      </c>
      <c r="Q1046"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046" s="6" t="str">
        <f>IFERROR(__xludf.DUMMYFUNCTION("""COMPUTED_VALUE"""),"9 мая, день города, день шахтера")</f>
        <v>9 мая, день города, день шахтера</v>
      </c>
      <c r="S1046" s="6" t="str">
        <f>IFERROR(__xludf.DUMMYFUNCTION("""COMPUTED_VALUE"""),"Нет, не приходилось")</f>
        <v>Нет, не приходилось</v>
      </c>
      <c r="T1046" s="6" t="str">
        <f>IFERROR(__xludf.DUMMYFUNCTION("""COMPUTED_VALUE"""),"Шахтерами")</f>
        <v>Шахтерами</v>
      </c>
      <c r="U1046" s="6" t="str">
        <f>IFERROR(__xludf.DUMMYFUNCTION("""COMPUTED_VALUE"""),"Площадь Советов, музей Красная горка")</f>
        <v>Площадь Советов, музей Красная горка</v>
      </c>
      <c r="V1046" s="6" t="str">
        <f>IFERROR(__xludf.DUMMYFUNCTION("""COMPUTED_VALUE"""),"Не сменили место жительства не смотря на сложные экологически и климатические условия")</f>
        <v>Не сменили место жительства не смотря на сложные экологически и климатические условия</v>
      </c>
      <c r="W1046" s="6" t="str">
        <f>IFERROR(__xludf.DUMMYFUNCTION("""COMPUTED_VALUE"""),"Терпеливые, семейные")</f>
        <v>Терпеливые, семейные</v>
      </c>
      <c r="X1046" s="6" t="str">
        <f>IFERROR(__xludf.DUMMYFUNCTION("""COMPUTED_VALUE"""),"Веломаршрут из центра по ул. терешковой в лесную поляну, затем район радуги в музей красная горка и обратно в центр города. ")</f>
        <v>Веломаршрут из центра по ул. терешковой в лесную поляну, затем район радуги в музей красная горка и обратно в центр города. </v>
      </c>
      <c r="Y1046" s="6" t="str">
        <f>IFERROR(__xludf.DUMMYFUNCTION("""COMPUTED_VALUE"""),"Модернизации города и строительство новых спортивных обьектов")</f>
        <v>Модернизации города и строительство новых спортивных обьектов</v>
      </c>
      <c r="Z1046" s="6" t="str">
        <f>IFERROR(__xludf.DUMMYFUNCTION("""COMPUTED_VALUE"""),"Открытие новой школы в лесной поляне ")</f>
        <v>Открытие новой школы в лесной поляне </v>
      </c>
      <c r="AA1046" s="6" t="str">
        <f>IFERROR(__xludf.DUMMYFUNCTION("""COMPUTED_VALUE"""),"Разбитые дороги и огромное количество фур")</f>
        <v>Разбитые дороги и огромное количество фур</v>
      </c>
      <c r="AB1046" s="6" t="str">
        <f>IFERROR(__xludf.DUMMYFUNCTION("""COMPUTED_VALUE"""),"Всего хватает")</f>
        <v>Всего хватает</v>
      </c>
      <c r="AC1046" s="6" t="str">
        <f>IFERROR(__xludf.DUMMYFUNCTION("""COMPUTED_VALUE"""),"Спортивных ")</f>
        <v>Спортивных </v>
      </c>
      <c r="AD104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046" s="6" t="str">
        <f>IFERROR(__xludf.DUMMYFUNCTION("""COMPUTED_VALUE"""),"Женский")</f>
        <v>Женский</v>
      </c>
      <c r="AF1046" s="6" t="str">
        <f>IFERROR(__xludf.DUMMYFUNCTION("""COMPUTED_VALUE"""),"30-44")</f>
        <v>30-44</v>
      </c>
      <c r="AG1046" s="6"/>
      <c r="AH1046" s="6"/>
      <c r="AI1046" s="6"/>
      <c r="AJ1046" s="6"/>
      <c r="AK1046" s="6"/>
      <c r="AL1046" s="6"/>
      <c r="AM1046" s="6"/>
    </row>
    <row r="1047">
      <c r="A1047" s="6">
        <v>1046.0</v>
      </c>
      <c r="B1047" s="6" t="str">
        <f>IFERROR(__xludf.DUMMYFUNCTION("""COMPUTED_VALUE"""),"Соцзащита")</f>
        <v>Соцзащита</v>
      </c>
      <c r="C1047" s="6" t="str">
        <f>IFERROR(__xludf.DUMMYFUNCTION("""COMPUTED_VALUE"""),"Читаю")</f>
        <v>Читаю</v>
      </c>
      <c r="D1047" s="6" t="str">
        <f>IFERROR(__xludf.DUMMYFUNCTION("""COMPUTED_VALUE"""),"Южный")</f>
        <v>Южный</v>
      </c>
      <c r="E1047" s="6" t="str">
        <f>IFERROR(__xludf.DUMMYFUNCTION("""COMPUTED_VALUE"""),"Храм")</f>
        <v>Храм</v>
      </c>
      <c r="F1047" s="6" t="str">
        <f>IFERROR(__xludf.DUMMYFUNCTION("""COMPUTED_VALUE"""),"Живу здесь с рождения")</f>
        <v>Живу здесь с рождения</v>
      </c>
      <c r="G1047" s="6" t="str">
        <f>IFERROR(__xludf.DUMMYFUNCTION("""COMPUTED_VALUE"""),"Парк чудес, набережная")</f>
        <v>Парк чудес, набережная</v>
      </c>
      <c r="H1047" s="6" t="str">
        <f>IFERROR(__xludf.DUMMYFUNCTION("""COMPUTED_VALUE"""),"Площадь Советов, набережная, Красная Горка, Михайло Волков,Знаменский собор")</f>
        <v>Площадь Советов, набережная, Красная Горка, Михайло Волков,Знаменский собор</v>
      </c>
      <c r="I1047" s="6" t="str">
        <f>IFERROR(__xludf.DUMMYFUNCTION("""COMPUTED_VALUE"""),"Михайло Волков")</f>
        <v>Михайло Волков</v>
      </c>
      <c r="J1047" s="6" t="str">
        <f>IFERROR(__xludf.DUMMYFUNCTION("""COMPUTED_VALUE"""),"Мэр города Михайлов, Тулеев")</f>
        <v>Мэр города Михайлов, Тулеев</v>
      </c>
      <c r="K1047" s="6" t="str">
        <f>IFERROR(__xludf.DUMMYFUNCTION("""COMPUTED_VALUE"""),"Набережная")</f>
        <v>Набережная</v>
      </c>
      <c r="L1047" s="6" t="str">
        <f>IFERROR(__xludf.DUMMYFUNCTION("""COMPUTED_VALUE"""),"Южный-никому не нужный")</f>
        <v>Южный-никому не нужный</v>
      </c>
      <c r="M1047" s="6" t="str">
        <f>IFERROR(__xludf.DUMMYFUNCTION("""COMPUTED_VALUE"""),"Кемеровка")</f>
        <v>Кемеровка</v>
      </c>
      <c r="N1047" s="6" t="str">
        <f>IFERROR(__xludf.DUMMYFUNCTION("""COMPUTED_VALUE"""),"Места работы, парковые зоны, транспорт, объекты культуры, чистота")</f>
        <v>Места работы, парковые зоны, транспорт, объекты культуры, чистота</v>
      </c>
      <c r="O1047" s="6" t="str">
        <f>IFERROR(__xludf.DUMMYFUNCTION("""COMPUTED_VALUE"""),"Озеленение, транспорт, парковки, наличие ТЦ")</f>
        <v>Озеленение, транспорт, парковки, наличие ТЦ</v>
      </c>
      <c r="P1047" s="6" t="str">
        <f>IFERROR(__xludf.DUMMYFUNCTION("""COMPUTED_VALUE"""),"Интернет, телевидение")</f>
        <v>Интернет, телевидение</v>
      </c>
      <c r="Q1047" s="6" t="str">
        <f>IFERROR(__xludf.DUMMYFUNCTION("""COMPUTED_VALUE"""),"интервью с местными политиками, криминальные новости (происшествия/преступления), интервью с экспертами на разные темы (напишите в разделе Другое свои предложения)")</f>
        <v>интервью с местными политиками, криминальные новости (происшествия/преступления), интервью с экспертами на разные темы (напишите в разделе Другое свои предложения)</v>
      </c>
      <c r="R1047" s="6" t="str">
        <f>IFERROR(__xludf.DUMMYFUNCTION("""COMPUTED_VALUE"""),"День города")</f>
        <v>День города</v>
      </c>
      <c r="S1047" s="6" t="str">
        <f>IFERROR(__xludf.DUMMYFUNCTION("""COMPUTED_VALUE"""),"По работе")</f>
        <v>По работе</v>
      </c>
      <c r="T1047" s="6" t="str">
        <f>IFERROR(__xludf.DUMMYFUNCTION("""COMPUTED_VALUE"""),"Химии. Предприятие")</f>
        <v>Химии. Предприятие</v>
      </c>
      <c r="U1047" s="6" t="str">
        <f>IFERROR(__xludf.DUMMYFUNCTION("""COMPUTED_VALUE"""),"Площадь Советов")</f>
        <v>Площадь Советов</v>
      </c>
      <c r="V1047" s="6" t="str">
        <f>IFERROR(__xludf.DUMMYFUNCTION("""COMPUTED_VALUE"""),"Строили, садили деревья")</f>
        <v>Строили, садили деревья</v>
      </c>
      <c r="W1047" s="6" t="str">
        <f>IFERROR(__xludf.DUMMYFUNCTION("""COMPUTED_VALUE"""),"Добрые")</f>
        <v>Добрые</v>
      </c>
      <c r="X1047" s="6" t="str">
        <f>IFERROR(__xludf.DUMMYFUNCTION("""COMPUTED_VALUE"""),"Проспект Советский, Весенняя")</f>
        <v>Проспект Советский, Весенняя</v>
      </c>
      <c r="Y1047" s="6" t="str">
        <f>IFERROR(__xludf.DUMMYFUNCTION("""COMPUTED_VALUE"""),"-")</f>
        <v>-</v>
      </c>
      <c r="Z1047" s="6" t="str">
        <f>IFERROR(__xludf.DUMMYFUNCTION("""COMPUTED_VALUE"""),"-")</f>
        <v>-</v>
      </c>
      <c r="AA1047" s="6" t="str">
        <f>IFERROR(__xludf.DUMMYFUNCTION("""COMPUTED_VALUE"""),"--")</f>
        <v>--</v>
      </c>
      <c r="AB1047" s="6" t="str">
        <f>IFERROR(__xludf.DUMMYFUNCTION("""COMPUTED_VALUE"""),"-")</f>
        <v>-</v>
      </c>
      <c r="AC1047" s="6" t="str">
        <f>IFERROR(__xludf.DUMMYFUNCTION("""COMPUTED_VALUE"""),"Гастроли театров")</f>
        <v>Гастроли театров</v>
      </c>
      <c r="AD104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47" s="6" t="str">
        <f>IFERROR(__xludf.DUMMYFUNCTION("""COMPUTED_VALUE"""),"Женский")</f>
        <v>Женский</v>
      </c>
      <c r="AF1047" s="6" t="str">
        <f>IFERROR(__xludf.DUMMYFUNCTION("""COMPUTED_VALUE"""),"старше 55")</f>
        <v>старше 55</v>
      </c>
      <c r="AG1047" s="6"/>
      <c r="AH1047" s="6"/>
      <c r="AI1047" s="6"/>
      <c r="AJ1047" s="6"/>
      <c r="AK1047" s="6"/>
      <c r="AL1047" s="6"/>
      <c r="AM1047" s="6"/>
    </row>
    <row r="1048">
      <c r="A1048" s="6">
        <v>1047.0</v>
      </c>
      <c r="B1048" s="6" t="str">
        <f>IFERROR(__xludf.DUMMYFUNCTION("""COMPUTED_VALUE"""),"Банк")</f>
        <v>Банк</v>
      </c>
      <c r="C1048" s="6" t="str">
        <f>IFERROR(__xludf.DUMMYFUNCTION("""COMPUTED_VALUE"""),"Пение")</f>
        <v>Пение</v>
      </c>
      <c r="D1048" s="6" t="str">
        <f>IFERROR(__xludf.DUMMYFUNCTION("""COMPUTED_VALUE"""),"Лесная Поляна ")</f>
        <v>Лесная Поляна </v>
      </c>
      <c r="E1048" s="6" t="str">
        <f>IFERROR(__xludf.DUMMYFUNCTION("""COMPUTED_VALUE"""),"Набережная ")</f>
        <v>Набережная </v>
      </c>
      <c r="F1048" s="6" t="str">
        <f>IFERROR(__xludf.DUMMYFUNCTION("""COMPUTED_VALUE"""),"Живу здесь с рождения")</f>
        <v>Живу здесь с рождения</v>
      </c>
      <c r="G1048" s="6" t="str">
        <f>IFERROR(__xludf.DUMMYFUNCTION("""COMPUTED_VALUE"""),"Бор")</f>
        <v>Бор</v>
      </c>
      <c r="H1048" s="6" t="str">
        <f>IFERROR(__xludf.DUMMYFUNCTION("""COMPUTED_VALUE"""),"Уголь, пыль, грязь, промышленность, скучно")</f>
        <v>Уголь, пыль, грязь, промышленность, скучно</v>
      </c>
      <c r="I1048" s="6" t="str">
        <f>IFERROR(__xludf.DUMMYFUNCTION("""COMPUTED_VALUE"""),"Волков")</f>
        <v>Волков</v>
      </c>
      <c r="J1048" s="6" t="str">
        <f>IFERROR(__xludf.DUMMYFUNCTION("""COMPUTED_VALUE"""),"Михайлов")</f>
        <v>Михайлов</v>
      </c>
      <c r="K1048" s="6" t="str">
        <f>IFERROR(__xludf.DUMMYFUNCTION("""COMPUTED_VALUE"""),"Памятник погибшему шахтере Э. Неизвестный")</f>
        <v>Памятник погибшему шахтере Э. Неизвестный</v>
      </c>
      <c r="L1048" s="6" t="str">
        <f>IFERROR(__xludf.DUMMYFUNCTION("""COMPUTED_VALUE"""),"Не знаю ")</f>
        <v>Не знаю </v>
      </c>
      <c r="M1048" s="6" t="str">
        <f>IFERROR(__xludf.DUMMYFUNCTION("""COMPUTED_VALUE"""),"Интересно")</f>
        <v>Интересно</v>
      </c>
      <c r="N1048" s="6" t="str">
        <f>IFERROR(__xludf.DUMMYFUNCTION("""COMPUTED_VALUE"""),"Чистота, развлечения, солнце, чистый воздух, Медицина")</f>
        <v>Чистота, развлечения, солнце, чистый воздух, Медицина</v>
      </c>
      <c r="O1048" s="6" t="str">
        <f>IFERROR(__xludf.DUMMYFUNCTION("""COMPUTED_VALUE"""),"Не знаю ")</f>
        <v>Не знаю </v>
      </c>
      <c r="P1048" s="6" t="str">
        <f>IFERROR(__xludf.DUMMYFUNCTION("""COMPUTED_VALUE"""),"Арбат ресурс")</f>
        <v>Арбат ресурс</v>
      </c>
      <c r="Q1048" s="6" t="str">
        <f>IFERROR(__xludf.DUMMYFUNCTION("""COMPUTED_VALUE"""),"куда пойти в свободное время,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интервью с экспертами на разные "&amp;"темы (напишите в разделе Другое свои предложения)")</f>
        <v>куда пойти в свободное время,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048" s="6" t="str">
        <f>IFERROR(__xludf.DUMMYFUNCTION("""COMPUTED_VALUE"""),"День города")</f>
        <v>День города</v>
      </c>
      <c r="S1048" s="6" t="str">
        <f>IFERROR(__xludf.DUMMYFUNCTION("""COMPUTED_VALUE"""),"Нет, не приходилось")</f>
        <v>Нет, не приходилось</v>
      </c>
      <c r="T1048" s="6" t="str">
        <f>IFERROR(__xludf.DUMMYFUNCTION("""COMPUTED_VALUE"""),"Промышленность")</f>
        <v>Промышленность</v>
      </c>
      <c r="U1048" s="6" t="str">
        <f>IFERROR(__xludf.DUMMYFUNCTION("""COMPUTED_VALUE"""),"Памятник ")</f>
        <v>Памятник </v>
      </c>
      <c r="V1048" s="6" t="str">
        <f>IFERROR(__xludf.DUMMYFUNCTION("""COMPUTED_VALUE"""),"Развивали промышленный потенциал ")</f>
        <v>Развивали промышленный потенциал </v>
      </c>
      <c r="W1048" s="6" t="str">
        <f>IFERROR(__xludf.DUMMYFUNCTION("""COMPUTED_VALUE"""),"Отличные ")</f>
        <v>Отличные </v>
      </c>
      <c r="X1048" s="6" t="str">
        <f>IFERROR(__xludf.DUMMYFUNCTION("""COMPUTED_VALUE"""),"Центр")</f>
        <v>Центр</v>
      </c>
      <c r="Y1048" s="6" t="str">
        <f>IFERROR(__xludf.DUMMYFUNCTION("""COMPUTED_VALUE"""),"Не знаю ")</f>
        <v>Не знаю </v>
      </c>
      <c r="Z1048" s="6" t="str">
        <f>IFERROR(__xludf.DUMMYFUNCTION("""COMPUTED_VALUE"""),"Ни каких")</f>
        <v>Ни каких</v>
      </c>
      <c r="AA1048" s="6" t="str">
        <f>IFERROR(__xludf.DUMMYFUNCTION("""COMPUTED_VALUE"""),"Нет таких")</f>
        <v>Нет таких</v>
      </c>
      <c r="AB1048" s="6" t="str">
        <f>IFERROR(__xludf.DUMMYFUNCTION("""COMPUTED_VALUE"""),"Их достаточно ")</f>
        <v>Их достаточно </v>
      </c>
      <c r="AC1048" s="6" t="str">
        <f>IFERROR(__xludf.DUMMYFUNCTION("""COMPUTED_VALUE"""),"Туризм")</f>
        <v>Туризм</v>
      </c>
      <c r="AD104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48" s="6" t="str">
        <f>IFERROR(__xludf.DUMMYFUNCTION("""COMPUTED_VALUE"""),"Женский")</f>
        <v>Женский</v>
      </c>
      <c r="AF1048" s="6" t="str">
        <f>IFERROR(__xludf.DUMMYFUNCTION("""COMPUTED_VALUE"""),"45-55")</f>
        <v>45-55</v>
      </c>
      <c r="AG1048" s="6"/>
      <c r="AH1048" s="6"/>
      <c r="AI1048" s="6"/>
      <c r="AJ1048" s="6"/>
      <c r="AK1048" s="6"/>
      <c r="AL1048" s="6"/>
      <c r="AM1048" s="6"/>
    </row>
    <row r="1049">
      <c r="A1049" s="6">
        <v>1048.0</v>
      </c>
      <c r="B1049" s="6" t="str">
        <f>IFERROR(__xludf.DUMMYFUNCTION("""COMPUTED_VALUE"""),"Делопроизводство ")</f>
        <v>Делопроизводство </v>
      </c>
      <c r="C1049" s="6" t="str">
        <f>IFERROR(__xludf.DUMMYFUNCTION("""COMPUTED_VALUE"""),"Вязание ")</f>
        <v>Вязание </v>
      </c>
      <c r="D1049" s="6" t="str">
        <f>IFERROR(__xludf.DUMMYFUNCTION("""COMPUTED_VALUE"""),"Верхний бульвар. Называю ""околицей"" )")</f>
        <v>Верхний бульвар. Называю "околицей" )</v>
      </c>
      <c r="E1049" s="6" t="str">
        <f>IFERROR(__xludf.DUMMYFUNCTION("""COMPUTED_VALUE"""),"Бульвар Строителей, верхняя часть. Парк возле сельхозакадемии. Парк Кузбасский шикарен пока. Самое знаковое - отсутствие дороги к дому.")</f>
        <v>Бульвар Строителей, верхняя часть. Парк возле сельхозакадемии. Парк Кузбасский шикарен пока. Самое знаковое - отсутствие дороги к дому.</v>
      </c>
      <c r="F1049" s="6" t="str">
        <f>IFERROR(__xludf.DUMMYFUNCTION("""COMPUTED_VALUE"""),"Переехал сюда из другого места (откуда? укажите в графе другое), В 17 лет, после окончания школы, из сельской местности")</f>
        <v>Переехал сюда из другого места (откуда? укажите в графе другое), В 17 лет, после окончания школы, из сельской местности</v>
      </c>
      <c r="G1049" s="6" t="str">
        <f>IFERROR(__xludf.DUMMYFUNCTION("""COMPUTED_VALUE"""),"Вечерние прогулки по Бульвару Строителей, Комсомольский парк тоже люблю. В центре бывают редко. В выходные уезжаю за город. ")</f>
        <v>Вечерние прогулки по Бульвару Строителей, Комсомольский парк тоже люблю. В центре бывают редко. В выходные уезжаю за город. </v>
      </c>
      <c r="H1049" s="6" t="str">
        <f>IFERROR(__xludf.DUMMYFUNCTION("""COMPUTED_VALUE"""),"Зелёный - летом. Смог - зимой. Новостройки. Провинция ( в хорошем смысле). Компактность.")</f>
        <v>Зелёный - летом. Смог - зимой. Новостройки. Провинция ( в хорошем смысле). Компактность.</v>
      </c>
      <c r="I1049" s="6" t="str">
        <f>IFERROR(__xludf.DUMMYFUNCTION("""COMPUTED_VALUE"""),"Волков Михайло. Рутгерс, Ван Лохем. Донбай  (архитектор). Киселев Игорь (поэт). ")</f>
        <v>Волков Михайло. Рутгерс, Ван Лохем. Донбай  (архитектор). Киселев Игорь (поэт). </v>
      </c>
      <c r="J1049" s="6" t="str">
        <f>IFERROR(__xludf.DUMMYFUNCTION("""COMPUTED_VALUE"""),"В.В.Михайлов, однозначно. Прям ностальгия по временам, когда у каждого входа урна стояла. В.Найдов, таких управленцев сейчас днем с огнем не сыщешь. В. Бедин, будучи руководителем департамента культуры,   немало сделал для отрасли, при нем каждое лето мос"&amp;"ковские театры приезжали в Кемерово на гастроли. Наверное ещё Л.С.Барбараш, А.И.Мартынов, из тех кого знаю. Традиция давать имена земляков учреждениям как-то не очень  прижалась. Фамилии мало о чем говорят, а об их заслугах ничего не известно.")</f>
        <v>В.В.Михайлов, однозначно. Прям ностальгия по временам, когда у каждого входа урна стояла. В.Найдов, таких управленцев сейчас днем с огнем не сыщешь. В. Бедин, будучи руководителем департамента культуры,   немало сделал для отрасли, при нем каждое лето московские театры приезжали в Кемерово на гастроли. Наверное ещё Л.С.Барбараш, А.И.Мартынов, из тех кого знаю. Традиция давать имена земляков учреждениям как-то не очень  прижалась. Фамилии мало о чем говорят, а об их заслугах ничего не известно.</v>
      </c>
      <c r="K1049" s="6" t="str">
        <f>IFERROR(__xludf.DUMMYFUNCTION("""COMPUTED_VALUE"""),"Красную Горку, Сосновый бор, Набережную, Бульвар Строителей .")</f>
        <v>Красную Горку, Сосновый бор, Набережную, Бульвар Строителей .</v>
      </c>
      <c r="L1049" s="6" t="str">
        <f>IFERROR(__xludf.DUMMYFUNCTION("""COMPUTED_VALUE"""),"""Никто и и нигде не пожалеет тебя так, как  в Кемерово  на Советском проспекте"" (Г.Немченко, но он больше про Новокузнецк)")</f>
        <v>"Никто и и нигде не пожалеет тебя так, как  в Кемерово  на Советском проспекте" (Г.Немченко, но он больше про Новокузнецк)</v>
      </c>
      <c r="M1049" s="6" t="str">
        <f>IFERROR(__xludf.DUMMYFUNCTION("""COMPUTED_VALUE"""),"Нет")</f>
        <v>Нет</v>
      </c>
      <c r="N1049" s="6" t="str">
        <f>IFERROR(__xludf.DUMMYFUNCTION("""COMPUTED_VALUE"""),"Безопасность, открытость, доступность, неагрессивность, экологичность")</f>
        <v>Безопасность, открытость, доступность, неагрессивность, экологичность</v>
      </c>
      <c r="O1049" s="6" t="str">
        <f>IFERROR(__xludf.DUMMYFUNCTION("""COMPUTED_VALUE"""),"Навести чистоту, следить за дорогами, уменьшить количество пивнушек.")</f>
        <v>Навести чистоту, следить за дорогами, уменьшить количество пивнушек.</v>
      </c>
      <c r="P1049" s="6" t="str">
        <f>IFERROR(__xludf.DUMMYFUNCTION("""COMPUTED_VALUE"""),"Радио в авто (новости), а42 .ru (сейчас реже), инстаграмм по ссылкам, иногда баннеры.")</f>
        <v>Радио в авто (новости), а42 .ru (сейчас реже), инстаграмм по ссылкам, иногда баннеры.</v>
      </c>
      <c r="Q1049" s="6" t="str">
        <f>IFERROR(__xludf.DUMMYFUNCTION("""COMPUTED_VALUE"""),"городская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1049" s="6" t="str">
        <f>IFERROR(__xludf.DUMMYFUNCTION("""COMPUTED_VALUE"""),"Не люблю массовые праздники, так как везде толчея и суета. Плюс знаю изнутри организацию этих празднеств. Лучше локальные  мероприятия, основной состав - заинтересованная аудитория +желающие окружающие.")</f>
        <v>Не люблю массовые праздники, так как везде толчея и суета. Плюс знаю изнутри организацию этих празднеств. Лучше локальные  мероприятия, основной состав - заинтересованная аудитория +желающие окружающие.</v>
      </c>
      <c r="S1049"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В прошлом, как руков"&amp;"одитель одного из городских учреждений, организация части мероприятий - День города, День шахтера, День победы. Всё - от пресс релизов, листовок, сми, интернет - до траспорта, изготовления павильонов и тп.")</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В прошлом, как руководитель одного из городских учреждений, организация части мероприятий - День города, День шахтера, День победы. Всё - от пресс релизов, листовок, сми, интернет - до траспорта, изготовления павильонов и тп.</v>
      </c>
      <c r="T1049" s="6" t="str">
        <f>IFERROR(__xludf.DUMMYFUNCTION("""COMPUTED_VALUE"""),"Уголь. Шахтерская столица, где нет шахт.")</f>
        <v>Уголь. Шахтерская столица, где нет шахт.</v>
      </c>
      <c r="U1049" s="6" t="str">
        <f>IFERROR(__xludf.DUMMYFUNCTION("""COMPUTED_VALUE"""),"Красная горка, Набережная, Сосновый бор. ")</f>
        <v>Красная горка, Набережная, Сосновый бор. </v>
      </c>
      <c r="V1049" s="6" t="str">
        <f>IFERROR(__xludf.DUMMYFUNCTION("""COMPUTED_VALUE"""),"Строили проспекты с учётом удобств для жителей бульвары, парки. Сейчас в новых районах теснота. Просторов не хватает. Раньше к истории относились с пиететом. Сейчас стойкое ощущение , что всё временно.")</f>
        <v>Строили проспекты с учётом удобств для жителей бульвары, парки. Сейчас в новых районах теснота. Просторов не хватает. Раньше к истории относились с пиететом. Сейчас стойкое ощущение , что всё временно.</v>
      </c>
      <c r="W1049" s="6" t="str">
        <f>IFERROR(__xludf.DUMMYFUNCTION("""COMPUTED_VALUE"""),"Простота, немного скромные, немного усталые, чем-то  озабоченые. Хочется чтобы весёлые, добрые, сопереживающие, с чувством юмора. ")</f>
        <v>Простота, немного скромные, немного усталые, чем-то  озабоченые. Хочется чтобы весёлые, добрые, сопереживающие, с чувством юмора. </v>
      </c>
      <c r="X1049" s="6" t="str">
        <f>IFERROR(__xludf.DUMMYFUNCTION("""COMPUTED_VALUE"""),"На авто: въезд с южного направления, до пр. Ленина- вокзал - по Кузнецкому через мост, Красная горка, пр.Шахтеров с новыми кварталами, Сосновый бор,- Кузбасский мост с видом на Притомский)), в сторону Кадетского и новые районы Ленинского. Можно ещё Кировс"&amp;"кий на Набережную, и после бора в Лесную Поляну заглянуть.")</f>
        <v>На авто: въезд с южного направления, до пр. Ленина- вокзал - по Кузнецкому через мост, Красная горка, пр.Шахтеров с новыми кварталами, Сосновый бор,- Кузбасский мост с видом на Притомский)), в сторону Кадетского и новые районы Ленинского. Можно ещё Кировский на Набережную, и после бора в Лесную Поляну заглянуть.</v>
      </c>
      <c r="Y1049" s="6" t="str">
        <f>IFERROR(__xludf.DUMMYFUNCTION("""COMPUTED_VALUE"""),"АИК")</f>
        <v>АИК</v>
      </c>
      <c r="Z1049" s="6" t="str">
        <f>IFERROR(__xludf.DUMMYFUNCTION("""COMPUTED_VALUE"""),"Строительство культурного кластера. Два года назад, на день города по Томи  курсировать речной трамвайчик. Не хватает городу водных прогулок.")</f>
        <v>Строительство культурного кластера. Два года назад, на день города по Томи  курсировать речной трамвайчик. Не хватает городу водных прогулок.</v>
      </c>
      <c r="AA1049" s="6" t="str">
        <f>IFERROR(__xludf.DUMMYFUNCTION("""COMPUTED_VALUE"""),"Город стал грязнее, зимой вообще невозможно гулять  по улицам, не убирают не дороги, ни дворы, снег не вывозят, складывают на газоны.")</f>
        <v>Город стал грязнее, зимой вообще невозможно гулять  по улицам, не убирают не дороги, ни дворы, снег не вывозят, складывают на газоны.</v>
      </c>
      <c r="AB1049" s="6" t="str">
        <f>IFERROR(__xludf.DUMMYFUNCTION("""COMPUTED_VALUE"""),"Наверное они есть, мы про них просто не знаем")</f>
        <v>Наверное они есть, мы про них просто не знаем</v>
      </c>
      <c r="AC1049" s="6" t="str">
        <f>IFERROR(__xludf.DUMMYFUNCTION("""COMPUTED_VALUE"""),"Гастроли театров, концерты (пример тому -Легенды рока ). ")</f>
        <v>Гастроли театров, концерты (пример тому -Легенды рока ). </v>
      </c>
      <c r="AD1049" s="6" t="str">
        <f>IFERROR(__xludf.DUMMYFUNCTION("""COMPUTED_VALUE"""),"Не готов принимать личное участие (укажите, пожалуйста, причину в поле «Другое»), Работа занимает пока большую часть жизни)))")</f>
        <v>Не готов принимать личное участие (укажите, пожалуйста, причину в поле «Другое»), Работа занимает пока большую часть жизни)))</v>
      </c>
      <c r="AE1049" s="6" t="str">
        <f>IFERROR(__xludf.DUMMYFUNCTION("""COMPUTED_VALUE"""),"Женский")</f>
        <v>Женский</v>
      </c>
      <c r="AF1049" s="6" t="str">
        <f>IFERROR(__xludf.DUMMYFUNCTION("""COMPUTED_VALUE"""),"45-55")</f>
        <v>45-55</v>
      </c>
      <c r="AG1049" s="6"/>
      <c r="AH1049" s="6"/>
      <c r="AI1049" s="6"/>
      <c r="AJ1049" s="6"/>
      <c r="AK1049" s="6"/>
      <c r="AL1049" s="6"/>
      <c r="AM1049" s="6"/>
    </row>
    <row r="1050">
      <c r="A1050" s="6">
        <v>1049.0</v>
      </c>
      <c r="B1050" s="6" t="str">
        <f>IFERROR(__xludf.DUMMYFUNCTION("""COMPUTED_VALUE"""),"Предприниматель.")</f>
        <v>Предприниматель.</v>
      </c>
      <c r="C1050" s="6" t="str">
        <f>IFERROR(__xludf.DUMMYFUNCTION("""COMPUTED_VALUE"""),"Спорт")</f>
        <v>Спорт</v>
      </c>
      <c r="D1050" s="6" t="str">
        <f>IFERROR(__xludf.DUMMYFUNCTION("""COMPUTED_VALUE"""),"Ленинский")</f>
        <v>Ленинский</v>
      </c>
      <c r="E1050" s="6" t="str">
        <f>IFERROR(__xludf.DUMMYFUNCTION("""COMPUTED_VALUE"""),"Школа")</f>
        <v>Школа</v>
      </c>
      <c r="F1050" s="6" t="str">
        <f>IFERROR(__xludf.DUMMYFUNCTION("""COMPUTED_VALUE"""),"Живу здесь с рождения")</f>
        <v>Живу здесь с рождения</v>
      </c>
      <c r="G1050" s="6" t="str">
        <f>IFERROR(__xludf.DUMMYFUNCTION("""COMPUTED_VALUE"""),"Сосновый бор")</f>
        <v>Сосновый бор</v>
      </c>
      <c r="H1050" s="6" t="str">
        <f>IFERROR(__xludf.DUMMYFUNCTION("""COMPUTED_VALUE"""),"Сосновый бор, Набережная, Горсад, Искитимка, Томь")</f>
        <v>Сосновый бор, Набережная, Горсад, Искитимка, Томь</v>
      </c>
      <c r="I1050" s="6" t="str">
        <f>IFERROR(__xludf.DUMMYFUNCTION("""COMPUTED_VALUE"""),"Эрнст Май, Йоханнес Бернардус ван Лохем, Себальд Юстинус Рутгерс, Вера Волошина, Юрий Двужильный, Владимир Давыдович Мартемьянов.")</f>
        <v>Эрнст Май, Йоханнес Бернардус ван Лохем, Себальд Юстинус Рутгерс, Вера Волошина, Юрий Двужильный, Владимир Давыдович Мартемьянов.</v>
      </c>
      <c r="J1050" s="6" t="str">
        <f>IFERROR(__xludf.DUMMYFUNCTION("""COMPUTED_VALUE"""),"Владимир Васильевич Михайлов")</f>
        <v>Владимир Васильевич Михайлов</v>
      </c>
      <c r="K1050" s="6" t="str">
        <f>IFERROR(__xludf.DUMMYFUNCTION("""COMPUTED_VALUE"""),"Пристань, опору канатной дороги, Школу Лохема, таун-хаусы Лохема, Набережную")</f>
        <v>Пристань, опору канатной дороги, Школу Лохема, таун-хаусы Лохема, Набережную</v>
      </c>
      <c r="L1050" s="6" t="str">
        <f>IFERROR(__xludf.DUMMYFUNCTION("""COMPUTED_VALUE"""),"Томь - река разлучница")</f>
        <v>Томь - река разлучница</v>
      </c>
      <c r="M1050" s="6" t="str">
        <f>IFERROR(__xludf.DUMMYFUNCTION("""COMPUTED_VALUE"""),"""Тёщин язык"", объект ""1200""")</f>
        <v>"Тёщин язык", объект "1200"</v>
      </c>
      <c r="N1050" s="6" t="str">
        <f>IFERROR(__xludf.DUMMYFUNCTION("""COMPUTED_VALUE"""),"Чистота, дороги, парки/скверы, шашлычки, парковки")</f>
        <v>Чистота, дороги, парки/скверы, шашлычки, парковки</v>
      </c>
      <c r="O1050" s="6" t="str">
        <f>IFERROR(__xludf.DUMMYFUNCTION("""COMPUTED_VALUE"""),"Отношение к историческим зданиям, упорядочить дорожное движение")</f>
        <v>Отношение к историческим зданиям, упорядочить дорожное движение</v>
      </c>
      <c r="P1050" s="6" t="str">
        <f>IFERROR(__xludf.DUMMYFUNCTION("""COMPUTED_VALUE"""),"А42, Avokado, Кузпресс....")</f>
        <v>А42, Avokado, Кузпресс....</v>
      </c>
      <c r="Q1050" s="6" t="str">
        <f>IFERROR(__xludf.DUMMYFUNCTION("""COMPUTED_VALUE"""),"интервью с местными политиками, криминальные новости (происшествия/преступления), результаты местных исследований (рейтинги/аналитика/тенденции)")</f>
        <v>интервью с местными политиками, криминальные новости (происшествия/преступления), результаты местных исследований (рейтинги/аналитика/тенденции)</v>
      </c>
      <c r="R1050" s="6" t="str">
        <f>IFERROR(__xludf.DUMMYFUNCTION("""COMPUTED_VALUE"""),"9 мая - День Победы.")</f>
        <v>9 мая - День Победы.</v>
      </c>
      <c r="S1050" s="6" t="str">
        <f>IFERROR(__xludf.DUMMYFUNCTION("""COMPUTED_VALUE"""),"Нет, не приходилось")</f>
        <v>Нет, не приходилось</v>
      </c>
      <c r="T1050" s="6" t="str">
        <f>IFERROR(__xludf.DUMMYFUNCTION("""COMPUTED_VALUE"""),"То, чем был знаменит Кемерово - разрушено!!! Остались только бандиты.")</f>
        <v>То, чем был знаменит Кемерово - разрушено!!! Остались только бандиты.</v>
      </c>
      <c r="U1050" s="6" t="str">
        <f>IFERROR(__xludf.DUMMYFUNCTION("""COMPUTED_VALUE"""),"Улица Весенняя")</f>
        <v>Улица Весенняя</v>
      </c>
      <c r="V1050" s="6" t="str">
        <f>IFERROR(__xludf.DUMMYFUNCTION("""COMPUTED_VALUE"""),"Сохранили Сосновый бор, построили промышленность, город")</f>
        <v>Сохранили Сосновый бор, построили промышленность, город</v>
      </c>
      <c r="W1050" s="6" t="str">
        <f>IFERROR(__xludf.DUMMYFUNCTION("""COMPUTED_VALUE"""),"Сейчас все злые.")</f>
        <v>Сейчас все злые.</v>
      </c>
      <c r="X1050" s="6" t="str">
        <f>IFERROR(__xludf.DUMMYFUNCTION("""COMPUTED_VALUE"""),"Весенняя - Притомская набережная, Горсад.")</f>
        <v>Весенняя - Притомская набережная, Горсад.</v>
      </c>
      <c r="Y1050" s="6" t="str">
        <f>IFERROR(__xludf.DUMMYFUNCTION("""COMPUTED_VALUE"""),"Программа В.И. Ленина ""АИК - Кузбасс"".")</f>
        <v>Программа В.И. Ленина "АИК - Кузбасс".</v>
      </c>
      <c r="Z1050" s="6" t="str">
        <f>IFERROR(__xludf.DUMMYFUNCTION("""COMPUTED_VALUE"""),"Запрет установки статуи в Сосновом бору.")</f>
        <v>Запрет установки статуи в Сосновом бору.</v>
      </c>
      <c r="AA1050" s="6" t="str">
        <f>IFERROR(__xludf.DUMMYFUNCTION("""COMPUTED_VALUE"""),"Закрытие роддома в Кировском районе, установка статуи в Сосновом бору, вырубка деревьев в районе цирка по берегу Искитимки...")</f>
        <v>Закрытие роддома в Кировском районе, установка статуи в Сосновом бору, вырубка деревьев в районе цирка по берегу Искитимки...</v>
      </c>
      <c r="AB1050" s="6" t="str">
        <f>IFERROR(__xludf.DUMMYFUNCTION("""COMPUTED_VALUE"""),"Для моих интересов всё есть.")</f>
        <v>Для моих интересов всё есть.</v>
      </c>
      <c r="AC1050" s="6" t="str">
        <f>IFERROR(__xludf.DUMMYFUNCTION("""COMPUTED_VALUE"""),"Заводы построить, чтоб люди не уезжали.")</f>
        <v>Заводы построить, чтоб люди не уезжали.</v>
      </c>
      <c r="AD1050"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50" s="6" t="str">
        <f>IFERROR(__xludf.DUMMYFUNCTION("""COMPUTED_VALUE"""),"Мужской")</f>
        <v>Мужской</v>
      </c>
      <c r="AF1050" s="6" t="str">
        <f>IFERROR(__xludf.DUMMYFUNCTION("""COMPUTED_VALUE"""),"45-55")</f>
        <v>45-55</v>
      </c>
      <c r="AG1050" s="6"/>
      <c r="AH1050" s="6"/>
      <c r="AI1050" s="6"/>
      <c r="AJ1050" s="6"/>
      <c r="AK1050" s="6"/>
      <c r="AL1050" s="6"/>
      <c r="AM1050" s="6"/>
    </row>
    <row r="1051">
      <c r="A1051" s="6">
        <v>1050.0</v>
      </c>
      <c r="B1051" s="6" t="str">
        <f>IFERROR(__xludf.DUMMYFUNCTION("""COMPUTED_VALUE"""),"Недвижимость Туризм ")</f>
        <v>Недвижимость Туризм </v>
      </c>
      <c r="C1051" s="6" t="str">
        <f>IFERROR(__xludf.DUMMYFUNCTION("""COMPUTED_VALUE"""),"Игры Книги Рисование Лыжи Собака Велосипед и др")</f>
        <v>Игры Книги Рисование Лыжи Собака Велосипед и др</v>
      </c>
      <c r="D1051" s="6" t="str">
        <f>IFERROR(__xludf.DUMMYFUNCTION("""COMPUTED_VALUE"""),"Ленинский На Бульваре")</f>
        <v>Ленинский На Бульваре</v>
      </c>
      <c r="E1051" s="6" t="str">
        <f>IFERROR(__xludf.DUMMYFUNCTION("""COMPUTED_VALUE"""),"Набережная Забой Лесная Поляна Томская Писаница")</f>
        <v>Набережная Забой Лесная Поляна Томская Писаница</v>
      </c>
      <c r="F1051" s="6" t="str">
        <f>IFERROR(__xludf.DUMMYFUNCTION("""COMPUTED_VALUE"""),"Переехал сюда из другого места (откуда? укажите в графе другое), В школе училась в Березовском, переехала в Кемерово поступив в институт ")</f>
        <v>Переехал сюда из другого места (откуда? укажите в графе другое), В школе училась в Березовском, переехала в Кемерово поступив в институт </v>
      </c>
      <c r="G1051" s="6" t="str">
        <f>IFERROR(__xludf.DUMMYFUNCTION("""COMPUTED_VALUE"""),"Сосновый Бор ")</f>
        <v>Сосновый Бор </v>
      </c>
      <c r="H1051" s="6" t="str">
        <f>IFERROR(__xludf.DUMMYFUNCTION("""COMPUTED_VALUE"""),"Удобный Понятный Просторный Сибирский Далеко от всех морей")</f>
        <v>Удобный Понятный Просторный Сибирский Далеко от всех морей</v>
      </c>
      <c r="I1051" s="6" t="str">
        <f>IFERROR(__xludf.DUMMYFUNCTION("""COMPUTED_VALUE"""),"Михайло Волков Алексей Леонов ")</f>
        <v>Михайло Волков Алексей Леонов </v>
      </c>
      <c r="J1051" s="6" t="str">
        <f>IFERROR(__xludf.DUMMYFUNCTION("""COMPUTED_VALUE"""),"Владимир Михайлов")</f>
        <v>Владимир Михайлов</v>
      </c>
      <c r="K1051" s="6" t="str">
        <f>IFERROR(__xludf.DUMMYFUNCTION("""COMPUTED_VALUE"""),"У меня их сотни таких мест")</f>
        <v>У меня их сотни таких мест</v>
      </c>
      <c r="L1051" s="6" t="str">
        <f>IFERROR(__xludf.DUMMYFUNCTION("""COMPUTED_VALUE"""),"Если не можешь изменить обстоятельства, измени отношение к ним")</f>
        <v>Если не можешь изменить обстоятельства, измени отношение к ним</v>
      </c>
      <c r="M1051" s="6" t="str">
        <f>IFERROR(__xludf.DUMMYFUNCTION("""COMPUTED_VALUE"""),"У меня есть выражение «замечтать»")</f>
        <v>У меня есть выражение «замечтать»</v>
      </c>
      <c r="N1051" s="6" t="str">
        <f>IFERROR(__xludf.DUMMYFUNCTION("""COMPUTED_VALUE"""),"Эргономика, все близко, все понятно")</f>
        <v>Эргономика, все близко, все понятно</v>
      </c>
      <c r="O1051" s="6" t="str">
        <f>IFERROR(__xludf.DUMMYFUNCTION("""COMPUTED_VALUE"""),"Экология (сделать воздух чистым) и улучшить транспортное сообщение (количество рейсов и низкая цена билетов)")</f>
        <v>Экология (сделать воздух чистым) и улучшить транспортное сообщение (количество рейсов и низкая цена билетов)</v>
      </c>
      <c r="P1051" s="6" t="str">
        <f>IFERROR(__xludf.DUMMYFUNCTION("""COMPUTED_VALUE"""),"Группы в Вацап, в Инстаграмме")</f>
        <v>Группы в Вацап, в Инстаграмме</v>
      </c>
      <c r="Q1051" s="6" t="str">
        <f>IFERROR(__xludf.DUMMYFUNCTION("""COMPUTED_VALUE"""),"городская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1051" s="6" t="str">
        <f>IFERROR(__xludf.DUMMYFUNCTION("""COMPUTED_VALUE"""),"Я все Праздники люблю")</f>
        <v>Я все Праздники люблю</v>
      </c>
      <c r="S1051" s="6" t="str">
        <f>IFERROR(__xludf.DUMMYFUNCTION("""COMPUTED_VALUE"""),"5 лет подряд организую Семейный фестиваль ко дню семьи, любви и верности")</f>
        <v>5 лет подряд организую Семейный фестиваль ко дню семьи, любви и верности</v>
      </c>
      <c r="T1051" s="6" t="str">
        <f>IFERROR(__xludf.DUMMYFUNCTION("""COMPUTED_VALUE"""),"К сожалению, Зимней вишней")</f>
        <v>К сожалению, Зимней вишней</v>
      </c>
      <c r="U1051" s="6" t="str">
        <f>IFERROR(__xludf.DUMMYFUNCTION("""COMPUTED_VALUE"""),"Не знаю")</f>
        <v>Не знаю</v>
      </c>
      <c r="V1051" s="6" t="str">
        <f>IFERROR(__xludf.DUMMYFUNCTION("""COMPUTED_VALUE"""),"Жили работали любили по-своему")</f>
        <v>Жили работали любили по-своему</v>
      </c>
      <c r="W1051" s="6" t="str">
        <f>IFERROR(__xludf.DUMMYFUNCTION("""COMPUTED_VALUE"""),"Открытые и немного запуганные")</f>
        <v>Открытые и немного запуганные</v>
      </c>
      <c r="X1051" s="6" t="str">
        <f>IFERROR(__xludf.DUMMYFUNCTION("""COMPUTED_VALUE"""),"Драмтеатр - Набережная - Антошка")</f>
        <v>Драмтеатр - Набережная - Антошка</v>
      </c>
      <c r="Y1051" s="6" t="str">
        <f>IFERROR(__xludf.DUMMYFUNCTION("""COMPUTED_VALUE"""),"Пожар в Зимней Вишне")</f>
        <v>Пожар в Зимней Вишне</v>
      </c>
      <c r="Z1051" s="6" t="str">
        <f>IFERROR(__xludf.DUMMYFUNCTION("""COMPUTED_VALUE"""),"Много интересных событий")</f>
        <v>Много интересных событий</v>
      </c>
      <c r="AA1051" s="6" t="str">
        <f>IFERROR(__xludf.DUMMYFUNCTION("""COMPUTED_VALUE"""),"Я во всем ищу позитив")</f>
        <v>Я во всем ищу позитив</v>
      </c>
      <c r="AB1051" s="6" t="str">
        <f>IFERROR(__xludf.DUMMYFUNCTION("""COMPUTED_VALUE"""),"Мне хватает пока: я и в Опоре России и в Ассоциации Риэлторов, и в Туристическом кластере, и в Клубе предпринимателей ")</f>
        <v>Мне хватает пока: я и в Опоре России и в Ассоциации Риэлторов, и в Туристическом кластере, и в Клубе предпринимателей </v>
      </c>
      <c r="AC1051" s="6" t="str">
        <f>IFERROR(__xludf.DUMMYFUNCTION("""COMPUTED_VALUE"""),"День Радости или День Улыбок")</f>
        <v>День Радости или День Улыбок</v>
      </c>
      <c r="AD105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051" s="6" t="str">
        <f>IFERROR(__xludf.DUMMYFUNCTION("""COMPUTED_VALUE"""),"Женский")</f>
        <v>Женский</v>
      </c>
      <c r="AF1051" s="6" t="str">
        <f>IFERROR(__xludf.DUMMYFUNCTION("""COMPUTED_VALUE"""),"45-55")</f>
        <v>45-55</v>
      </c>
      <c r="AG1051" s="6"/>
      <c r="AH1051" s="6"/>
      <c r="AI1051" s="6"/>
      <c r="AJ1051" s="6"/>
      <c r="AK1051" s="6"/>
      <c r="AL1051" s="6"/>
      <c r="AM1051" s="6"/>
    </row>
    <row r="1052">
      <c r="A1052" s="6">
        <v>1051.0</v>
      </c>
      <c r="B1052" s="6" t="str">
        <f>IFERROR(__xludf.DUMMYFUNCTION("""COMPUTED_VALUE"""),"Воспитатель ")</f>
        <v>Воспитатель </v>
      </c>
      <c r="C1052" s="6" t="str">
        <f>IFERROR(__xludf.DUMMYFUNCTION("""COMPUTED_VALUE"""),"Чтение ")</f>
        <v>Чтение </v>
      </c>
      <c r="D1052" s="6" t="str">
        <f>IFERROR(__xludf.DUMMYFUNCTION("""COMPUTED_VALUE"""),"Центральный ")</f>
        <v>Центральный </v>
      </c>
      <c r="E1052" s="6" t="str">
        <f>IFERROR(__xludf.DUMMYFUNCTION("""COMPUTED_VALUE"""),"Парк Ангелов. Площадь Волкова. Библиотека. Вокзал. Торговые центры. Площадь Пушкина. Театр детей и молодежи. Драм. театр. Филармония. Парк Чудес.  парк Победы. Парк Антошка. Кинотеатр Космос. Музей военной истории, естествознания. Дом художника. Вечный ог"&amp;"онь и т.д.")</f>
        <v>Парк Ангелов. Площадь Волкова. Библиотека. Вокзал. Торговые центры. Площадь Пушкина. Театр детей и молодежи. Драм. театр. Филармония. Парк Чудес.  парк Победы. Парк Антошка. Кинотеатр Космос. Музей военной истории, естествознания. Дом художника. Вечный огонь и т.д.</v>
      </c>
      <c r="F1052" s="6" t="str">
        <f>IFERROR(__xludf.DUMMYFUNCTION("""COMPUTED_VALUE"""),"Переехал сюда из другого места (откуда? укажите в графе другое), Кемеровская область, Крапивинский район. ")</f>
        <v>Переехал сюда из другого места (откуда? укажите в графе другое), Кемеровская область, Крапивинский район. </v>
      </c>
      <c r="G1052" s="6" t="str">
        <f>IFERROR(__xludf.DUMMYFUNCTION("""COMPUTED_VALUE"""),"В парки, музеи, кафе, набережную. ")</f>
        <v>В парки, музеи, кафе, набережную. </v>
      </c>
      <c r="H1052" s="6" t="str">
        <f>IFERROR(__xludf.DUMMYFUNCTION("""COMPUTED_VALUE"""),"Серый, добрый, строгий, работящий, рядовой. ")</f>
        <v>Серый, добрый, строгий, работящий, рядовой. </v>
      </c>
      <c r="I1052" s="6" t="str">
        <f>IFERROR(__xludf.DUMMYFUNCTION("""COMPUTED_VALUE"""),"Михайло Волков,")</f>
        <v>Михайло Волков,</v>
      </c>
      <c r="J1052" s="6" t="str">
        <f>IFERROR(__xludf.DUMMYFUNCTION("""COMPUTED_VALUE"""),"Леонов ")</f>
        <v>Леонов </v>
      </c>
      <c r="K1052" s="6" t="str">
        <f>IFERROR(__xludf.DUMMYFUNCTION("""COMPUTED_VALUE"""),"Красную горку, набережная ")</f>
        <v>Красную горку, набережная </v>
      </c>
      <c r="L1052" s="6" t="str">
        <f>IFERROR(__xludf.DUMMYFUNCTION("""COMPUTED_VALUE"""),"Семь раз отмерь, один раз отрежь. Приезжает иностранец в город. А тут как раз шахтеры со смены идут. Глаза угольной пылью ""подведены"", шутят, дружески обнимаются. Иностранец говорит Оооо какой вы толерантный город как много представителей меньшинств. Ке"&amp;"меровчанен сначало не понял о чём идёт речь . А когда понял посоветовал ни в коем случае не говорить этим людям ничего. И сказал это шахтеры они очень дружные. ")</f>
        <v>Семь раз отмерь, один раз отрежь. Приезжает иностранец в город. А тут как раз шахтеры со смены идут. Глаза угольной пылью "подведены", шутят, дружески обнимаются. Иностранец говорит Оооо какой вы толерантный город как много представителей меньшинств. Кемеровчанен сначало не понял о чём идёт речь . А когда понял посоветовал ни в коем случае не говорить этим людям ничего. И сказал это шахтеры они очень дружные. </v>
      </c>
      <c r="M1052" s="6" t="str">
        <f>IFERROR(__xludf.DUMMYFUNCTION("""COMPUTED_VALUE"""),"Мультифора. Швейка. ")</f>
        <v>Мультифора. Швейка. </v>
      </c>
      <c r="N1052" s="6" t="str">
        <f>IFERROR(__xludf.DUMMYFUNCTION("""COMPUTED_VALUE"""),"Мусорки, транспорт, озеленение. Доступность медицины в плане не ехать сдавать кровь в три разных места. Или проходить какие-то обследования ещё в трёх разных местах. ")</f>
        <v>Мусорки, транспорт, озеленение. Доступность медицины в плане не ехать сдавать кровь в три разных места. Или проходить какие-то обследования ещё в трёх разных местах. </v>
      </c>
      <c r="O1052" s="6" t="str">
        <f>IFERROR(__xludf.DUMMYFUNCTION("""COMPUTED_VALUE"""),"Подтянуть хотябы один торговый центр. До более разнообразного, и качественной развлекательной программе. ( Да простят меня модераторы ) до уровня "" Зимней вишни"" соблюдая все правила безопасности. ")</f>
        <v>Подтянуть хотябы один торговый центр. До более разнообразного, и качественной развлекательной программе. ( Да простят меня модераторы ) до уровня " Зимней вишни" соблюдая все правила безопасности. </v>
      </c>
      <c r="P1052" s="6" t="str">
        <f>IFERROR(__xludf.DUMMYFUNCTION("""COMPUTED_VALUE"""),"Уведомления от Яндекс с подписок а 42. Афиша. И т.д")</f>
        <v>Уведомления от Яндекс с подписок а 42. Афиша. И т.д</v>
      </c>
      <c r="Q1052" s="6" t="str">
        <f>IFERROR(__xludf.DUMMYFUNCTION("""COMPUTED_VALUE"""),"куда пойти в свободное время, интервью с местными творческими личностями, криминальные новости (происшествия/преступления)")</f>
        <v>куда пойти в свободное время, интервью с местными творческими личностями, криминальные новости (происшествия/преступления)</v>
      </c>
      <c r="R1052" s="6" t="str">
        <f>IFERROR(__xludf.DUMMYFUNCTION("""COMPUTED_VALUE"""),"9 мая, новый год, масленица, день защиты детей, день города. ")</f>
        <v>9 мая, новый год, масленица, день защиты детей, день города. </v>
      </c>
      <c r="S1052" s="6" t="str">
        <f>IFERROR(__xludf.DUMMYFUNCTION("""COMPUTED_VALUE"""),"Нет, не приходилось")</f>
        <v>Нет, не приходилось</v>
      </c>
      <c r="T1052" s="6" t="str">
        <f>IFERROR(__xludf.DUMMYFUNCTION("""COMPUTED_VALUE"""),"Шахтерский город. Крупное происшествие в "" зимней вишне"" ")</f>
        <v>Шахтерский город. Крупное происшествие в " зимней вишне" </v>
      </c>
      <c r="U1052" s="6" t="str">
        <f>IFERROR(__xludf.DUMMYFUNCTION("""COMPUTED_VALUE"""),"Киноцентр юбилейный ")</f>
        <v>Киноцентр юбилейный </v>
      </c>
      <c r="V1052" s="6" t="str">
        <f>IFERROR(__xludf.DUMMYFUNCTION("""COMPUTED_VALUE"""),"Жили и старались")</f>
        <v>Жили и старались</v>
      </c>
      <c r="W1052" s="6" t="str">
        <f>IFERROR(__xludf.DUMMYFUNCTION("""COMPUTED_VALUE"""),"Добрые, веселые, ")</f>
        <v>Добрые, веселые, </v>
      </c>
      <c r="X1052" s="6" t="str">
        <f>IFERROR(__xludf.DUMMYFUNCTION("""COMPUTED_VALUE"""),"Незнаю надо детальней анализировать. Но набережная там точно будет. ")</f>
        <v>Незнаю надо детальней анализировать. Но набережная там точно будет. </v>
      </c>
      <c r="Y1052" s="6" t="str">
        <f>IFERROR(__xludf.DUMMYFUNCTION("""COMPUTED_VALUE""")," чемпионат по хокею с мячом.  Выступление мировых звёзд рока. ")</f>
        <v> чемпионат по хокею с мячом.  Выступление мировых звёзд рока. </v>
      </c>
      <c r="Z1052" s="6" t="str">
        <f>IFERROR(__xludf.DUMMYFUNCTION("""COMPUTED_VALUE"""),"Благоустройство берегов реки Искитимки"" ремонт седьмой школы ")</f>
        <v>Благоустройство берегов реки Искитимки" ремонт седьмой школы </v>
      </c>
      <c r="AA1052" s="6" t="str">
        <f>IFERROR(__xludf.DUMMYFUNCTION("""COMPUTED_VALUE"""),"Никаких")</f>
        <v>Никаких</v>
      </c>
      <c r="AB1052" s="6" t="str">
        <f>IFERROR(__xludf.DUMMYFUNCTION("""COMPUTED_VALUE"""),"Мне хватает ")</f>
        <v>Мне хватает </v>
      </c>
      <c r="AC1052" s="6" t="str">
        <f>IFERROR(__xludf.DUMMYFUNCTION("""COMPUTED_VALUE"""),"Не придумала ")</f>
        <v>Не придумала </v>
      </c>
      <c r="AD105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52" s="6" t="str">
        <f>IFERROR(__xludf.DUMMYFUNCTION("""COMPUTED_VALUE"""),"Женский")</f>
        <v>Женский</v>
      </c>
      <c r="AF1052" s="6" t="str">
        <f>IFERROR(__xludf.DUMMYFUNCTION("""COMPUTED_VALUE"""),"30-44")</f>
        <v>30-44</v>
      </c>
      <c r="AG1052" s="6"/>
      <c r="AH1052" s="6"/>
      <c r="AI1052" s="6"/>
      <c r="AJ1052" s="6"/>
      <c r="AK1052" s="6"/>
      <c r="AL1052" s="6"/>
      <c r="AM1052" s="6"/>
    </row>
    <row r="1053">
      <c r="A1053" s="6">
        <v>1052.0</v>
      </c>
      <c r="B1053" s="6" t="str">
        <f>IFERROR(__xludf.DUMMYFUNCTION("""COMPUTED_VALUE"""),"Бухгалтер")</f>
        <v>Бухгалтер</v>
      </c>
      <c r="C1053" s="6" t="str">
        <f>IFERROR(__xludf.DUMMYFUNCTION("""COMPUTED_VALUE"""),"Люблю шить")</f>
        <v>Люблю шить</v>
      </c>
      <c r="D1053" s="6" t="str">
        <f>IFERROR(__xludf.DUMMYFUNCTION("""COMPUTED_VALUE"""),"Южный (заводской) ")</f>
        <v>Южный (заводской) </v>
      </c>
      <c r="E1053" s="6" t="str">
        <f>IFERROR(__xludf.DUMMYFUNCTION("""COMPUTED_VALUE"""),"Аллея на ул. Патриотов")</f>
        <v>Аллея на ул. Патриотов</v>
      </c>
      <c r="F1053" s="6" t="str">
        <f>IFERROR(__xludf.DUMMYFUNCTION("""COMPUTED_VALUE"""),"Переехал сюда из другого места (откуда? укажите в графе другое), с Алтайского края в 2007 году")</f>
        <v>Переехал сюда из другого места (откуда? укажите в графе другое), с Алтайского края в 2007 году</v>
      </c>
      <c r="G1053" s="6" t="str">
        <f>IFERROR(__xludf.DUMMYFUNCTION("""COMPUTED_VALUE"""),"Парк Ангелов, Притомская Набережная, Парк Чудес")</f>
        <v>Парк Ангелов, Притомская Набережная, Парк Чудес</v>
      </c>
      <c r="H1053" s="6" t="str">
        <f>IFERROR(__xludf.DUMMYFUNCTION("""COMPUTED_VALUE"""),"Уголь, шахта, заводы, загазованность, город-тупик")</f>
        <v>Уголь, шахта, заводы, загазованность, город-тупик</v>
      </c>
      <c r="I1053" s="6" t="str">
        <f>IFERROR(__xludf.DUMMYFUNCTION("""COMPUTED_VALUE"""),"Михайло Волков, Аман Тулеев")</f>
        <v>Михайло Волков, Аман Тулеев</v>
      </c>
      <c r="J1053" s="6" t="str">
        <f>IFERROR(__xludf.DUMMYFUNCTION("""COMPUTED_VALUE"""),"Не знаю")</f>
        <v>Не знаю</v>
      </c>
      <c r="K1053" s="6" t="str">
        <f>IFERROR(__xludf.DUMMYFUNCTION("""COMPUTED_VALUE"""),"Крест, памятник Шахтеру(красная Горка), Парк Ангелов, Ботанический сад")</f>
        <v>Крест, памятник Шахтеру(красная Горка), Парк Ангелов, Ботанический сад</v>
      </c>
      <c r="L1053" s="6" t="str">
        <f>IFERROR(__xludf.DUMMYFUNCTION("""COMPUTED_VALUE"""),"Пошла Шорка на Усу постирать свою трусу.... ")</f>
        <v>Пошла Шорка на Усу постирать свою трусу.... </v>
      </c>
      <c r="M1053" s="6" t="str">
        <f>IFERROR(__xludf.DUMMYFUNCTION("""COMPUTED_VALUE"""),"Нет")</f>
        <v>Нет</v>
      </c>
      <c r="N1053" s="6" t="str">
        <f>IFERROR(__xludf.DUMMYFUNCTION("""COMPUTED_VALUE"""),"Чистота (очень грязно);
дороги (в ужасном состоянии);
общественный транспорт(сейчас очень много рейсов сокращено, приходится очень долго ждать, в этом году была оч. холодная зима);
Красивые дома (старые, обшарпанные дома удручают);
В зимний период вовремя"&amp;", убранный снег, в летнее-мусорки. ")</f>
        <v>Чистота (очень грязно);
дороги (в ужасном состоянии);
общественный транспорт(сейчас очень много рейсов сокращено, приходится очень долго ждать, в этом году была оч. холодная зима);
Красивые дома (старые, обшарпанные дома удручают);
В зимний период вовремя, убранный снег, в летнее-мусорки. </v>
      </c>
      <c r="O1053" s="6" t="str">
        <f>IFERROR(__xludf.DUMMYFUNCTION("""COMPUTED_VALUE"""),"Всё из п. 13")</f>
        <v>Всё из п. 13</v>
      </c>
      <c r="P1053" s="6" t="str">
        <f>IFERROR(__xludf.DUMMYFUNCTION("""COMPUTED_VALUE"""),"В контакте, Инстаграм")</f>
        <v>В контакте, Инстаграм</v>
      </c>
      <c r="Q1053"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053" s="6" t="str">
        <f>IFERROR(__xludf.DUMMYFUNCTION("""COMPUTED_VALUE"""),"Новый год
9 мая
День города
День шахтера")</f>
        <v>Новый год
9 мая
День города
День шахтера</v>
      </c>
      <c r="S1053" s="6" t="str">
        <f>IFERROR(__xludf.DUMMYFUNCTION("""COMPUTED_VALUE"""),"Нет, не приходилось")</f>
        <v>Нет, не приходилось</v>
      </c>
      <c r="T1053" s="6" t="str">
        <f>IFERROR(__xludf.DUMMYFUNCTION("""COMPUTED_VALUE"""),"Уголь, Аман Тулеев")</f>
        <v>Уголь, Аман Тулеев</v>
      </c>
      <c r="U1053" s="6" t="str">
        <f>IFERROR(__xludf.DUMMYFUNCTION("""COMPUTED_VALUE"""),"Площадь Волкова, Парк Ангелов")</f>
        <v>Площадь Волкова, Парк Ангелов</v>
      </c>
      <c r="V1053" s="6" t="str">
        <f>IFERROR(__xludf.DUMMYFUNCTION("""COMPUTED_VALUE"""),"Затрудняюсь ответить")</f>
        <v>Затрудняюсь ответить</v>
      </c>
      <c r="W1053" s="6" t="str">
        <f>IFERROR(__xludf.DUMMYFUNCTION("""COMPUTED_VALUE"""),"Злые, не хотят или не идут на встречу друг другу. ")</f>
        <v>Злые, не хотят или не идут на встречу друг другу. </v>
      </c>
      <c r="X1053" s="6" t="str">
        <f>IFERROR(__xludf.DUMMYFUNCTION("""COMPUTED_VALUE"""),"Парк Ангелов, город-спутник Лесная Поляна")</f>
        <v>Парк Ангелов, город-спутник Лесная Поляна</v>
      </c>
      <c r="Y1053" s="6" t="str">
        <f>IFERROR(__xludf.DUMMYFUNCTION("""COMPUTED_VALUE"""),"Основание города как города, области(300 л. Кузбассу) 
Открытие музыкального театра имени М. Боброва
Пожар, в Зимней Войне, унесший много жизней")</f>
        <v>Основание города как города, области(300 л. Кузбассу) 
Открытие музыкального театра имени М. Боброва
Пожар, в Зимней Войне, унесший много жизней</v>
      </c>
      <c r="Z1053" s="6" t="str">
        <f>IFERROR(__xludf.DUMMYFUNCTION("""COMPUTED_VALUE"""),"Организация бесплатного праздника Олегом Газмановым (приезд звёзд) на 9 мая или день города")</f>
        <v>Организация бесплатного праздника Олегом Газмановым (приезд звёзд) на 9 мая или день города</v>
      </c>
      <c r="AA1053" s="6" t="str">
        <f>IFERROR(__xludf.DUMMYFUNCTION("""COMPUTED_VALUE"""),"Три года назад пожар Зимней Вишни")</f>
        <v>Три года назад пожар Зимней Вишни</v>
      </c>
      <c r="AB1053" s="6" t="str">
        <f>IFERROR(__xludf.DUMMYFUNCTION("""COMPUTED_VALUE"""),"Затрудняюсь ответить")</f>
        <v>Затрудняюсь ответить</v>
      </c>
      <c r="AC1053" s="6" t="str">
        <f>IFERROR(__xludf.DUMMYFUNCTION("""COMPUTED_VALUE"""),"Для сплочения людей")</f>
        <v>Для сплочения людей</v>
      </c>
      <c r="AD105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53" s="6" t="str">
        <f>IFERROR(__xludf.DUMMYFUNCTION("""COMPUTED_VALUE"""),"Женский")</f>
        <v>Женский</v>
      </c>
      <c r="AF1053" s="6" t="str">
        <f>IFERROR(__xludf.DUMMYFUNCTION("""COMPUTED_VALUE"""),"30-44")</f>
        <v>30-44</v>
      </c>
      <c r="AG1053" s="6"/>
      <c r="AH1053" s="6"/>
      <c r="AI1053" s="6"/>
      <c r="AJ1053" s="6"/>
      <c r="AK1053" s="6"/>
      <c r="AL1053" s="6"/>
      <c r="AM1053" s="6"/>
    </row>
    <row r="1054">
      <c r="A1054" s="6">
        <v>1053.0</v>
      </c>
      <c r="B1054" s="6" t="str">
        <f>IFERROR(__xludf.DUMMYFUNCTION("""COMPUTED_VALUE"""),"Дизайнер интерьеров")</f>
        <v>Дизайнер интерьеров</v>
      </c>
      <c r="C1054" s="6" t="str">
        <f>IFERROR(__xludf.DUMMYFUNCTION("""COMPUTED_VALUE"""),"Походы, творчество, велопрогулки")</f>
        <v>Походы, творчество, велопрогулки</v>
      </c>
      <c r="D1054" s="6" t="str">
        <f>IFERROR(__xludf.DUMMYFUNCTION("""COMPUTED_VALUE"""),"Центральный, район Цирка")</f>
        <v>Центральный, район Цирка</v>
      </c>
      <c r="E1054" s="6" t="str">
        <f>IFERROR(__xludf.DUMMYFUNCTION("""COMPUTED_VALUE"""),"Цирк, Собор, парк Антошка")</f>
        <v>Цирк, Собор, парк Антошка</v>
      </c>
      <c r="F1054" s="6" t="str">
        <f>IFERROR(__xludf.DUMMYFUNCTION("""COMPUTED_VALUE"""),"Переехал сюда из другого места (откуда? укажите в графе другое), Топки")</f>
        <v>Переехал сюда из другого места (откуда? укажите в графе другое), Топки</v>
      </c>
      <c r="G1054" s="6" t="str">
        <f>IFERROR(__xludf.DUMMYFUNCTION("""COMPUTED_VALUE"""),"Парк Жукова, парк Антошка, Набережная, тропа за озером Красным")</f>
        <v>Парк Жукова, парк Антошка, Набережная, тропа за озером Красным</v>
      </c>
      <c r="H1054" s="6" t="str">
        <f>IFERROR(__xludf.DUMMYFUNCTION("""COMPUTED_VALUE"""),"Провинция, угольная столица, тихие улицы")</f>
        <v>Провинция, угольная столица, тихие улицы</v>
      </c>
      <c r="I1054" s="6" t="str">
        <f>IFERROR(__xludf.DUMMYFUNCTION("""COMPUTED_VALUE"""),"Михайло Волков, Леонов, ")</f>
        <v>Михайло Волков, Леонов, </v>
      </c>
      <c r="J1054" s="6" t="str">
        <f>IFERROR(__xludf.DUMMYFUNCTION("""COMPUTED_VALUE"""),"Евгений Гришковец")</f>
        <v>Евгений Гришковец</v>
      </c>
      <c r="K1054" s="6" t="str">
        <f>IFERROR(__xludf.DUMMYFUNCTION("""COMPUTED_VALUE"""),"Красная горка, набережная, Лесная поляна, сосновый бор, закат с крыльца Цирка")</f>
        <v>Красная горка, набережная, Лесная поляна, сосновый бор, закат с крыльца Цирка</v>
      </c>
      <c r="L1054" s="6" t="str">
        <f>IFERROR(__xludf.DUMMYFUNCTION("""COMPUTED_VALUE"""),"Не знаю")</f>
        <v>Не знаю</v>
      </c>
      <c r="M1054" s="6" t="str">
        <f>IFERROR(__xludf.DUMMYFUNCTION("""COMPUTED_VALUE"""),"Нет")</f>
        <v>Нет</v>
      </c>
      <c r="N1054" s="6" t="str">
        <f>IFERROR(__xludf.DUMMYFUNCTION("""COMPUTED_VALUE"""),"-Компактность,
- удобная транспортная развязка, -доступное образование и медицина -развлечения, 
-большой выбор магазинов")</f>
        <v>-Компактность,
- удобная транспортная развязка, -доступное образование и медицина -развлечения, 
-большой выбор магазинов</v>
      </c>
      <c r="O1054" s="6" t="str">
        <f>IFERROR(__xludf.DUMMYFUNCTION("""COMPUTED_VALUE"""),"Построить пару мостов через Томь и Искитимку")</f>
        <v>Построить пару мостов через Томь и Искитимку</v>
      </c>
      <c r="P1054" s="6" t="str">
        <f>IFERROR(__xludf.DUMMYFUNCTION("""COMPUTED_VALUE"""),"Инстаграм, Вконтакте")</f>
        <v>Инстаграм, Вконтакте</v>
      </c>
      <c r="Q1054"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054" s="6" t="str">
        <f>IFERROR(__xludf.DUMMYFUNCTION("""COMPUTED_VALUE"""),"День Шахтера")</f>
        <v>День Шахтера</v>
      </c>
      <c r="S1054" s="6" t="str">
        <f>IFERROR(__xludf.DUMMYFUNCTION("""COMPUTED_VALUE"""),"Через социальные сети (Какие? Укажите в графе другое), ВК, Инстаграм, Фейсбук,  одноклассники")</f>
        <v>Через социальные сети (Какие? Укажите в графе другое), ВК, Инстаграм, Фейсбук,  одноклассники</v>
      </c>
      <c r="T1054" s="6" t="str">
        <f>IFERROR(__xludf.DUMMYFUNCTION("""COMPUTED_VALUE"""),"Знаменит трагедией в Зимней вишне
А уникально - Сосновый бор в центре города")</f>
        <v>Знаменит трагедией в Зимней вишне
А уникально - Сосновый бор в центре города</v>
      </c>
      <c r="U1054" s="6" t="str">
        <f>IFERROR(__xludf.DUMMYFUNCTION("""COMPUTED_VALUE"""),"Площадь Советов")</f>
        <v>Площадь Советов</v>
      </c>
      <c r="V1054" s="6" t="str">
        <f>IFERROR(__xludf.DUMMYFUNCTION("""COMPUTED_VALUE"""),"Не знаю")</f>
        <v>Не знаю</v>
      </c>
      <c r="W1054" s="6" t="str">
        <f>IFERROR(__xludf.DUMMYFUNCTION("""COMPUTED_VALUE"""),"Упёртые, законопослушные, спокойные")</f>
        <v>Упёртые, законопослушные, спокойные</v>
      </c>
      <c r="X1054" s="6" t="str">
        <f>IFERROR(__xludf.DUMMYFUNCTION("""COMPUTED_VALUE"""),"Набережная, пешком через мост, вверх через памятник Шахтёрам и до Красной горки.")</f>
        <v>Набережная, пешком через мост, вверх через памятник Шахтёрам и до Красной горки.</v>
      </c>
      <c r="Y1054" s="6" t="str">
        <f>IFERROR(__xludf.DUMMYFUNCTION("""COMPUTED_VALUE"""),"Открыли уголь")</f>
        <v>Открыли уголь</v>
      </c>
      <c r="Z1054" s="6" t="str">
        <f>IFERROR(__xludf.DUMMYFUNCTION("""COMPUTED_VALUE"""),"Не за два года. А намного раньше. Но это очень важно и выделяет город -Уменьшилось количество баннеров и рекламы на домах города")</f>
        <v>Не за два года. А намного раньше. Но это очень важно и выделяет город -Уменьшилось количество баннеров и рекламы на домах города</v>
      </c>
      <c r="AA1054" s="6" t="str">
        <f>IFERROR(__xludf.DUMMYFUNCTION("""COMPUTED_VALUE"""),"Зимняя Вишня")</f>
        <v>Зимняя Вишня</v>
      </c>
      <c r="AB1054" s="6" t="str">
        <f>IFERROR(__xludf.DUMMYFUNCTION("""COMPUTED_VALUE"""),"Сообщества дизайнеров интерьера")</f>
        <v>Сообщества дизайнеров интерьера</v>
      </c>
      <c r="AC1054" s="6" t="str">
        <f>IFERROR(__xludf.DUMMYFUNCTION("""COMPUTED_VALUE"""),"Барахолки, дня гаражных распродаж")</f>
        <v>Барахолки, дня гаражных распродаж</v>
      </c>
      <c r="AD105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Запустить свой предпринимательский проект, организова"&amp;"ть компанию., Могу организовать изготовление сувениров с символикой города из каменного угля.")</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Запустить свой предпринимательский проект, организовать компанию., Могу организовать изготовление сувениров с символикой города из каменного угля.</v>
      </c>
      <c r="AE1054" s="6" t="str">
        <f>IFERROR(__xludf.DUMMYFUNCTION("""COMPUTED_VALUE"""),"Женский")</f>
        <v>Женский</v>
      </c>
      <c r="AF1054" s="6" t="str">
        <f>IFERROR(__xludf.DUMMYFUNCTION("""COMPUTED_VALUE"""),"30-44")</f>
        <v>30-44</v>
      </c>
      <c r="AG1054" s="6"/>
      <c r="AH1054" s="6"/>
      <c r="AI1054" s="6"/>
      <c r="AJ1054" s="6"/>
      <c r="AK1054" s="6"/>
      <c r="AL1054" s="6"/>
      <c r="AM1054" s="6"/>
    </row>
    <row r="1055">
      <c r="A1055" s="6">
        <v>1054.0</v>
      </c>
      <c r="B1055" s="6" t="str">
        <f>IFERROR(__xludf.DUMMYFUNCTION("""COMPUTED_VALUE"""),"преподаватель в ДШИ")</f>
        <v>преподаватель в ДШИ</v>
      </c>
      <c r="C1055" s="6" t="str">
        <f>IFERROR(__xludf.DUMMYFUNCTION("""COMPUTED_VALUE"""),"поездки за рулем без цели, посмотреть места вне города")</f>
        <v>поездки за рулем без цели, посмотреть места вне города</v>
      </c>
      <c r="D1055" s="6" t="str">
        <f>IFERROR(__xludf.DUMMYFUNCTION("""COMPUTED_VALUE"""),"Ленинский р-н")</f>
        <v>Ленинский р-н</v>
      </c>
      <c r="E1055" s="6" t="str">
        <f>IFERROR(__xludf.DUMMYFUNCTION("""COMPUTED_VALUE"""),"Бульвар Строителей, Президентское кадетское училище")</f>
        <v>Бульвар Строителей, Президентское кадетское училище</v>
      </c>
      <c r="F1055" s="6" t="str">
        <f>IFERROR(__xludf.DUMMYFUNCTION("""COMPUTED_VALUE"""),"Живу здесь с рождения")</f>
        <v>Живу здесь с рождения</v>
      </c>
      <c r="G1055" s="6" t="str">
        <f>IFERROR(__xludf.DUMMYFUNCTION("""COMPUTED_VALUE"""),"стараюсь выезжать за пределы города (лесополоса для отдыха с палатками или турбазы)")</f>
        <v>стараюсь выезжать за пределы города (лесополоса для отдыха с палатками или турбазы)</v>
      </c>
      <c r="H1055" s="6" t="str">
        <f>IFERROR(__xludf.DUMMYFUNCTION("""COMPUTED_VALUE"""),"рост, процветание, нововведения, красочный")</f>
        <v>рост, процветание, нововведения, красочный</v>
      </c>
      <c r="I1055" s="6" t="str">
        <f>IFERROR(__xludf.DUMMYFUNCTION("""COMPUTED_VALUE"""),"волков")</f>
        <v>волков</v>
      </c>
      <c r="J1055" s="6" t="str">
        <f>IFERROR(__xludf.DUMMYFUNCTION("""COMPUTED_VALUE"""),"нет")</f>
        <v>нет</v>
      </c>
      <c r="K1055" s="6" t="str">
        <f>IFERROR(__xludf.DUMMYFUNCTION("""COMPUTED_VALUE"""),"красная горка, ""крест"", набережная")</f>
        <v>красная горка, "крест", набережная</v>
      </c>
      <c r="L1055" s="6" t="str">
        <f>IFERROR(__xludf.DUMMYFUNCTION("""COMPUTED_VALUE"""),"нет")</f>
        <v>нет</v>
      </c>
      <c r="M1055" s="6" t="str">
        <f>IFERROR(__xludf.DUMMYFUNCTION("""COMPUTED_VALUE"""),"нет")</f>
        <v>нет</v>
      </c>
      <c r="N1055" s="6" t="str">
        <f>IFERROR(__xludf.DUMMYFUNCTION("""COMPUTED_VALUE"""),"доступность магазинов рядом с домом, ровные широкие дороги, парковки с достаточным кол-вом мест")</f>
        <v>доступность магазинов рядом с домом, ровные широкие дороги, парковки с достаточным кол-вом мест</v>
      </c>
      <c r="O1055" s="6" t="str">
        <f>IFERROR(__xludf.DUMMYFUNCTION("""COMPUTED_VALUE"""),"починить дороги во дворах, расширить парковки")</f>
        <v>починить дороги во дворах, расширить парковки</v>
      </c>
      <c r="P1055" s="6" t="str">
        <f>IFERROR(__xludf.DUMMYFUNCTION("""COMPUTED_VALUE"""),"""кемерово культурный"" яндекс афиши")</f>
        <v>"кемерово культурный" яндекс афиши</v>
      </c>
      <c r="Q1055" s="6" t="str">
        <f>IFERROR(__xludf.DUMMYFUNCTION("""COMPUTED_VALUE"""),"городская афиша (кино/театр/концерты), интервью с местными политиками, результаты местных исследований (рейтинги/аналитика/тенденции)")</f>
        <v>городская афиша (кино/театр/концерты), интервью с местными политиками, результаты местных исследований (рейтинги/аналитика/тенденции)</v>
      </c>
      <c r="R1055" s="6" t="str">
        <f>IFERROR(__xludf.DUMMYFUNCTION("""COMPUTED_VALUE"""),"нет")</f>
        <v>нет</v>
      </c>
      <c r="S1055"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1055" s="6" t="str">
        <f>IFERROR(__xludf.DUMMYFUNCTION("""COMPUTED_VALUE"""),"нет")</f>
        <v>нет</v>
      </c>
      <c r="U1055" s="6" t="str">
        <f>IFERROR(__xludf.DUMMYFUNCTION("""COMPUTED_VALUE"""),"площадь Ленина")</f>
        <v>площадь Ленина</v>
      </c>
      <c r="V1055" s="6" t="str">
        <f>IFERROR(__xludf.DUMMYFUNCTION("""COMPUTED_VALUE"""),"ничего")</f>
        <v>ничего</v>
      </c>
      <c r="W1055" s="6" t="str">
        <f>IFERROR(__xludf.DUMMYFUNCTION("""COMPUTED_VALUE"""),"готовы прийти на помощь, требовательны к чистоте вокруг себя")</f>
        <v>готовы прийти на помощь, требовательны к чистоте вокруг себя</v>
      </c>
      <c r="X1055" s="6" t="str">
        <f>IFERROR(__xludf.DUMMYFUNCTION("""COMPUTED_VALUE"""),"нет")</f>
        <v>нет</v>
      </c>
      <c r="Y1055" s="6" t="str">
        <f>IFERROR(__xludf.DUMMYFUNCTION("""COMPUTED_VALUE"""),"нет")</f>
        <v>нет</v>
      </c>
      <c r="Z1055" s="6" t="str">
        <f>IFERROR(__xludf.DUMMYFUNCTION("""COMPUTED_VALUE"""),"строительство новых домов, строительство президентского кадетского училища")</f>
        <v>строительство новых домов, строительство президентского кадетского училища</v>
      </c>
      <c r="AA1055" s="6" t="str">
        <f>IFERROR(__xludf.DUMMYFUNCTION("""COMPUTED_VALUE"""),"полит агитации на улицах города")</f>
        <v>полит агитации на улицах города</v>
      </c>
      <c r="AB1055" s="6" t="str">
        <f>IFERROR(__xludf.DUMMYFUNCTION("""COMPUTED_VALUE"""),"нет")</f>
        <v>нет</v>
      </c>
      <c r="AC1055" s="6" t="str">
        <f>IFERROR(__xludf.DUMMYFUNCTION("""COMPUTED_VALUE"""),"проведение футбольных матчей премьер лиги")</f>
        <v>проведение футбольных матчей премьер лиги</v>
      </c>
      <c r="AD105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55" s="6" t="str">
        <f>IFERROR(__xludf.DUMMYFUNCTION("""COMPUTED_VALUE"""),"Женский")</f>
        <v>Женский</v>
      </c>
      <c r="AF1055" s="6" t="str">
        <f>IFERROR(__xludf.DUMMYFUNCTION("""COMPUTED_VALUE"""),"30-44")</f>
        <v>30-44</v>
      </c>
      <c r="AG1055" s="6"/>
      <c r="AH1055" s="6"/>
      <c r="AI1055" s="6"/>
      <c r="AJ1055" s="6"/>
      <c r="AK1055" s="6"/>
      <c r="AL1055" s="6"/>
      <c r="AM1055" s="6"/>
    </row>
    <row r="1056">
      <c r="A1056" s="6">
        <v>1055.0</v>
      </c>
      <c r="B1056" s="6" t="str">
        <f>IFERROR(__xludf.DUMMYFUNCTION("""COMPUTED_VALUE"""),"фитнес консультант")</f>
        <v>фитнес консультант</v>
      </c>
      <c r="C1056" s="6" t="str">
        <f>IFERROR(__xludf.DUMMYFUNCTION("""COMPUTED_VALUE"""),"творчество, вязание, кулинария, ремонт, активный отдых с детьми")</f>
        <v>творчество, вязание, кулинария, ремонт, активный отдых с детьми</v>
      </c>
      <c r="D1056" s="6" t="str">
        <f>IFERROR(__xludf.DUMMYFUNCTION("""COMPUTED_VALUE"""),"кем р-он, металлплощадка")</f>
        <v>кем р-он, металлплощадка</v>
      </c>
      <c r="E1056" s="6" t="str">
        <f>IFERROR(__xludf.DUMMYFUNCTION("""COMPUTED_VALUE"""),"""наш парк""")</f>
        <v>"наш парк"</v>
      </c>
      <c r="F1056" s="6" t="str">
        <f>IFERROR(__xludf.DUMMYFUNCTION("""COMPUTED_VALUE"""),"Переехал сюда из другого места (откуда? укажите в графе другое), из Ленинского р-на г. Кемерово")</f>
        <v>Переехал сюда из другого места (откуда? укажите в графе другое), из Ленинского р-на г. Кемерово</v>
      </c>
      <c r="G1056" s="6" t="str">
        <f>IFERROR(__xludf.DUMMYFUNCTION("""COMPUTED_VALUE"""),"Центр города: Весенняя, Набережная, Парк Чудес. Ленинский р-н: Бульвар Строителей, кадесткое уч-ще. Суховское поселение: Лазурный берег реки Томь.")</f>
        <v>Центр города: Весенняя, Набережная, Парк Чудес. Ленинский р-н: Бульвар Строителей, кадесткое уч-ще. Суховское поселение: Лазурный берег реки Томь.</v>
      </c>
      <c r="H1056" s="6" t="str">
        <f>IFERROR(__xludf.DUMMYFUNCTION("""COMPUTED_VALUE"""),"Волков, уголь, шахта, грязь, экология")</f>
        <v>Волков, уголь, шахта, грязь, экология</v>
      </c>
      <c r="I1056" s="6" t="str">
        <f>IFERROR(__xludf.DUMMYFUNCTION("""COMPUTED_VALUE"""),"Штоколов, Леонов, Волков, Подгорбунский, Махайлов, Ленин")</f>
        <v>Штоколов, Леонов, Волков, Подгорбунский, Махайлов, Ленин</v>
      </c>
      <c r="J1056" s="6" t="str">
        <f>IFERROR(__xludf.DUMMYFUNCTION("""COMPUTED_VALUE"""),"нет")</f>
        <v>нет</v>
      </c>
      <c r="K1056" s="6" t="str">
        <f>IFERROR(__xludf.DUMMYFUNCTION("""COMPUTED_VALUE"""),"Лесная поляна, Красная горка, Филармония, Муз театр, Драм театр")</f>
        <v>Лесная поляна, Красная горка, Филармония, Муз театр, Драм театр</v>
      </c>
      <c r="L1056" s="6" t="str">
        <f>IFERROR(__xludf.DUMMYFUNCTION("""COMPUTED_VALUE"""),"Про беды: дураки и дороги")</f>
        <v>Про беды: дураки и дороги</v>
      </c>
      <c r="M1056" s="6" t="str">
        <f>IFERROR(__xludf.DUMMYFUNCTION("""COMPUTED_VALUE"""),"пакет майка, тормозок")</f>
        <v>пакет майка, тормозок</v>
      </c>
      <c r="N1056" s="6" t="str">
        <f>IFERROR(__xludf.DUMMYFUNCTION("""COMPUTED_VALUE"""),"чистота, экология, гостеприимство, взаимоуважение, доброта")</f>
        <v>чистота, экология, гостеприимство, взаимоуважение, доброта</v>
      </c>
      <c r="O1056" s="6" t="str">
        <f>IFERROR(__xludf.DUMMYFUNCTION("""COMPUTED_VALUE"""),"отношение власти к населению")</f>
        <v>отношение власти к населению</v>
      </c>
      <c r="P1056" s="6" t="str">
        <f>IFERROR(__xludf.DUMMYFUNCTION("""COMPUTED_VALUE"""),"инстаграм")</f>
        <v>инстаграм</v>
      </c>
      <c r="Q1056"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056" s="6" t="str">
        <f>IFERROR(__xludf.DUMMYFUNCTION("""COMPUTED_VALUE"""),"новый год, день города, 1 мая, 9 мая, 8 марта, день семьи")</f>
        <v>новый год, день города, 1 мая, 9 мая, 8 марта, день семьи</v>
      </c>
      <c r="S1056" s="6" t="str">
        <f>IFERROR(__xludf.DUMMYFUNCTION("""COMPUTED_VALUE"""),"Нет, не приходилось")</f>
        <v>Нет, не приходилось</v>
      </c>
      <c r="T1056" s="6" t="str">
        <f>IFERROR(__xludf.DUMMYFUNCTION("""COMPUTED_VALUE"""),"долгосрочность руководства")</f>
        <v>долгосрочность руководства</v>
      </c>
      <c r="U1056" s="6" t="str">
        <f>IFERROR(__xludf.DUMMYFUNCTION("""COMPUTED_VALUE"""),"сосновый бор (Кузбасс-Голливуд), Центр, где сосредоточены люди поддерживающие ЗОЖ")</f>
        <v>сосновый бор (Кузбасс-Голливуд), Центр, где сосредоточены люди поддерживающие ЗОЖ</v>
      </c>
      <c r="V1056" s="6" t="str">
        <f>IFERROR(__xludf.DUMMYFUNCTION("""COMPUTED_VALUE"""),"честно трудились")</f>
        <v>честно трудились</v>
      </c>
      <c r="W1056" s="6" t="str">
        <f>IFERROR(__xludf.DUMMYFUNCTION("""COMPUTED_VALUE"""),"разные, как и в любом городе. Меня окружают добрые, отзывчивые, тактичные, внимательные")</f>
        <v>разные, как и в любом городе. Меня окружают добрые, отзывчивые, тактичные, внимательные</v>
      </c>
      <c r="X1056" s="6" t="str">
        <f>IFERROR(__xludf.DUMMYFUNCTION("""COMPUTED_VALUE"""),"Вокзал, АЗОТ, КОКС, Красная горка, пл. Волкова, КузГТУ, театры, музеи, вечный огонь, ресторан забой, аэропорт")</f>
        <v>Вокзал, АЗОТ, КОКС, Красная горка, пл. Волкова, КузГТУ, театры, музеи, вечный огонь, ресторан забой, аэропорт</v>
      </c>
      <c r="Y1056" s="6" t="str">
        <f>IFERROR(__xludf.DUMMYFUNCTION("""COMPUTED_VALUE"""),"день шахтера и концерт рок 2019")</f>
        <v>день шахтера и концерт рок 2019</v>
      </c>
      <c r="Z1056" s="6" t="str">
        <f>IFERROR(__xludf.DUMMYFUNCTION("""COMPUTED_VALUE"""),"рок концерт, парад победы")</f>
        <v>рок концерт, парад победы</v>
      </c>
      <c r="AA1056" s="6" t="str">
        <f>IFERROR(__xludf.DUMMYFUNCTION("""COMPUTED_VALUE"""),"-")</f>
        <v>-</v>
      </c>
      <c r="AB1056" s="6" t="str">
        <f>IFERROR(__xludf.DUMMYFUNCTION("""COMPUTED_VALUE"""),"-")</f>
        <v>-</v>
      </c>
      <c r="AC1056" s="6" t="str">
        <f>IFERROR(__xludf.DUMMYFUNCTION("""COMPUTED_VALUE"""),"-")</f>
        <v>-</v>
      </c>
      <c r="AD1056"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056" s="6" t="str">
        <f>IFERROR(__xludf.DUMMYFUNCTION("""COMPUTED_VALUE"""),"Женский")</f>
        <v>Женский</v>
      </c>
      <c r="AF1056" s="6" t="str">
        <f>IFERROR(__xludf.DUMMYFUNCTION("""COMPUTED_VALUE"""),"45-55")</f>
        <v>45-55</v>
      </c>
      <c r="AG1056" s="6"/>
      <c r="AH1056" s="6"/>
      <c r="AI1056" s="6"/>
      <c r="AJ1056" s="6"/>
      <c r="AK1056" s="6"/>
      <c r="AL1056" s="6"/>
      <c r="AM1056" s="6"/>
    </row>
    <row r="1057">
      <c r="A1057" s="6">
        <v>1056.0</v>
      </c>
      <c r="B1057" s="6" t="str">
        <f>IFERROR(__xludf.DUMMYFUNCTION("""COMPUTED_VALUE"""),"граф дизайнер, преподаватель")</f>
        <v>граф дизайнер, преподаватель</v>
      </c>
      <c r="C1057" s="6" t="str">
        <f>IFERROR(__xludf.DUMMYFUNCTION("""COMPUTED_VALUE"""),"создаю маски в инсте, рисую векторные иллюстрацции")</f>
        <v>создаю маски в инсте, рисую векторные иллюстрацции</v>
      </c>
      <c r="D1057" s="6" t="str">
        <f>IFERROR(__xludf.DUMMYFUNCTION("""COMPUTED_VALUE"""),"ленинский лучший")</f>
        <v>ленинский лучший</v>
      </c>
      <c r="E1057" s="6" t="str">
        <f>IFERROR(__xludf.DUMMYFUNCTION("""COMPUTED_VALUE"""),"памятник шахтеру, парк ангелов, набережная Томи")</f>
        <v>памятник шахтеру, парк ангелов, набережная Томи</v>
      </c>
      <c r="F1057" s="6" t="str">
        <f>IFERROR(__xludf.DUMMYFUNCTION("""COMPUTED_VALUE"""),"Переехал сюда из другого места (откуда? укажите в графе другое), Белово")</f>
        <v>Переехал сюда из другого места (откуда? укажите в графе другое), Белово</v>
      </c>
      <c r="G1057" s="6" t="str">
        <f>IFERROR(__xludf.DUMMYFUNCTION("""COMPUTED_VALUE"""),"озеро красное, набережная, терр-ия кадетки, сосновый бор")</f>
        <v>озеро красное, набережная, терр-ия кадетки, сосновый бор</v>
      </c>
      <c r="H1057" s="6" t="str">
        <f>IFERROR(__xludf.DUMMYFUNCTION("""COMPUTED_VALUE"""),"грязный, угольный, уютный, столица, Кузбасс")</f>
        <v>грязный, угольный, уютный, столица, Кузбасс</v>
      </c>
      <c r="I1057" s="6" t="str">
        <f>IFERROR(__xludf.DUMMYFUNCTION("""COMPUTED_VALUE"""),"-")</f>
        <v>-</v>
      </c>
      <c r="J1057" s="6" t="str">
        <f>IFERROR(__xludf.DUMMYFUNCTION("""COMPUTED_VALUE"""),"-")</f>
        <v>-</v>
      </c>
      <c r="K1057" s="6" t="str">
        <f>IFERROR(__xludf.DUMMYFUNCTION("""COMPUTED_VALUE"""),"Кадетский корпус, новая набережная, памятник шахтеру")</f>
        <v>Кадетский корпус, новая набережная, памятник шахтеру</v>
      </c>
      <c r="L1057" s="6" t="str">
        <f>IFERROR(__xludf.DUMMYFUNCTION("""COMPUTED_VALUE"""),"""Человек из Кемерово""")</f>
        <v>"Человек из Кемерово"</v>
      </c>
      <c r="M1057" s="6" t="str">
        <f>IFERROR(__xludf.DUMMYFUNCTION("""COMPUTED_VALUE"""),"300 лет, Человек из Кемерово")</f>
        <v>300 лет, Человек из Кемерово</v>
      </c>
      <c r="N1057" s="6" t="str">
        <f>IFERROR(__xludf.DUMMYFUNCTION("""COMPUTED_VALUE"""),"чисто, развитая инфраструктура, есть река, доступное жилье, достойная зп, есть парки")</f>
        <v>чисто, развитая инфраструктура, есть река, доступное жилье, достойная зп, есть парки</v>
      </c>
      <c r="O1057" s="6" t="str">
        <f>IFERROR(__xludf.DUMMYFUNCTION("""COMPUTED_VALUE"""),"экология, чаще вывозить мусор")</f>
        <v>экология, чаще вывозить мусор</v>
      </c>
      <c r="P1057" s="6" t="str">
        <f>IFERROR(__xludf.DUMMYFUNCTION("""COMPUTED_VALUE"""),"а42, все42, инцидент42")</f>
        <v>а42, все42, инцидент42</v>
      </c>
      <c r="Q105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057" s="6" t="str">
        <f>IFERROR(__xludf.DUMMYFUNCTION("""COMPUTED_VALUE"""),"день России, день города")</f>
        <v>день России, день города</v>
      </c>
      <c r="S1057" s="6" t="str">
        <f>IFERROR(__xludf.DUMMYFUNCTION("""COMPUTED_VALUE"""),"Через социальные сети (Какие? Укажите в графе другое)")</f>
        <v>Через социальные сети (Какие? Укажите в графе другое)</v>
      </c>
      <c r="T1057" s="6" t="str">
        <f>IFERROR(__xludf.DUMMYFUNCTION("""COMPUTED_VALUE"""),"столица Кузбасса, залежи угля")</f>
        <v>столица Кузбасса, залежи угля</v>
      </c>
      <c r="U1057" s="6" t="str">
        <f>IFERROR(__xludf.DUMMYFUNCTION("""COMPUTED_VALUE"""),"Драм театр")</f>
        <v>Драм театр</v>
      </c>
      <c r="V1057" s="6" t="str">
        <f>IFERROR(__xludf.DUMMYFUNCTION("""COMPUTED_VALUE"""),"-")</f>
        <v>-</v>
      </c>
      <c r="W1057" s="6" t="str">
        <f>IFERROR(__xludf.DUMMYFUNCTION("""COMPUTED_VALUE"""),"доброжелательные")</f>
        <v>доброжелательные</v>
      </c>
      <c r="X1057" s="6" t="str">
        <f>IFERROR(__xludf.DUMMYFUNCTION("""COMPUTED_VALUE"""),"от кадетсокго корпуса вниз по притомскому, до центра, до набережной, потом доехать до соснового бора, дойти до Кузбасса, потом доехать до памятника Шахтера.")</f>
        <v>от кадетсокго корпуса вниз по притомскому, до центра, до набережной, потом доехать до соснового бора, дойти до Кузбасса, потом доехать до памятника Шахтера.</v>
      </c>
      <c r="Y1057" s="6" t="str">
        <f>IFERROR(__xludf.DUMMYFUNCTION("""COMPUTED_VALUE"""),"-")</f>
        <v>-</v>
      </c>
      <c r="Z1057" s="6" t="str">
        <f>IFERROR(__xludf.DUMMYFUNCTION("""COMPUTED_VALUE"""),"строительство культурного кластера, открытие нового проспекта московский")</f>
        <v>строительство культурного кластера, открытие нового проспекта московский</v>
      </c>
      <c r="AA1057" s="6" t="str">
        <f>IFERROR(__xludf.DUMMYFUNCTION("""COMPUTED_VALUE"""),"-")</f>
        <v>-</v>
      </c>
      <c r="AB1057" s="6" t="str">
        <f>IFERROR(__xludf.DUMMYFUNCTION("""COMPUTED_VALUE"""),"туры по интересным местам города, области, маршруты")</f>
        <v>туры по интересным местам города, области, маршруты</v>
      </c>
      <c r="AC1057" s="6" t="str">
        <f>IFERROR(__xludf.DUMMYFUNCTION("""COMPUTED_VALUE"""),"-")</f>
        <v>-</v>
      </c>
      <c r="AD105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57" s="6" t="str">
        <f>IFERROR(__xludf.DUMMYFUNCTION("""COMPUTED_VALUE"""),"Женский")</f>
        <v>Женский</v>
      </c>
      <c r="AF1057" s="6" t="str">
        <f>IFERROR(__xludf.DUMMYFUNCTION("""COMPUTED_VALUE"""),"18-29")</f>
        <v>18-29</v>
      </c>
      <c r="AG1057" s="6"/>
      <c r="AH1057" s="6"/>
      <c r="AI1057" s="6"/>
      <c r="AJ1057" s="6"/>
      <c r="AK1057" s="6"/>
      <c r="AL1057" s="6"/>
      <c r="AM1057" s="6"/>
    </row>
    <row r="1058">
      <c r="A1058" s="6">
        <v>1057.0</v>
      </c>
      <c r="B1058" s="6" t="str">
        <f>IFERROR(__xludf.DUMMYFUNCTION("""COMPUTED_VALUE"""),"Культура-творчество")</f>
        <v>Культура-творчество</v>
      </c>
      <c r="C1058" s="6" t="str">
        <f>IFERROR(__xludf.DUMMYFUNCTION("""COMPUTED_VALUE"""),"пою")</f>
        <v>пою</v>
      </c>
      <c r="D1058" s="6" t="str">
        <f>IFERROR(__xludf.DUMMYFUNCTION("""COMPUTED_VALUE"""),"центр")</f>
        <v>центр</v>
      </c>
      <c r="E1058" s="6" t="str">
        <f>IFERROR(__xludf.DUMMYFUNCTION("""COMPUTED_VALUE"""),"Театр Драмы, Муз театр Кузбасса, театр для детей и молодежи, фонтан")</f>
        <v>Театр Драмы, Муз театр Кузбасса, театр для детей и молодежи, фонтан</v>
      </c>
      <c r="F1058" s="6" t="str">
        <f>IFERROR(__xludf.DUMMYFUNCTION("""COMPUTED_VALUE"""),"Живу здесь с рождения")</f>
        <v>Живу здесь с рождения</v>
      </c>
      <c r="G1058" s="6" t="str">
        <f>IFERROR(__xludf.DUMMYFUNCTION("""COMPUTED_VALUE"""),"набережная, театры, парк чудес")</f>
        <v>набережная, театры, парк чудес</v>
      </c>
      <c r="H1058" s="6" t="str">
        <f>IFERROR(__xludf.DUMMYFUNCTION("""COMPUTED_VALUE"""),"дом, новый, родной, семья, жизнь")</f>
        <v>дом, новый, родной, семья, жизнь</v>
      </c>
      <c r="I1058" s="6" t="str">
        <f>IFERROR(__xludf.DUMMYFUNCTION("""COMPUTED_VALUE"""),"Михайлов")</f>
        <v>Михайлов</v>
      </c>
      <c r="J1058" s="6" t="str">
        <f>IFERROR(__xludf.DUMMYFUNCTION("""COMPUTED_VALUE"""),"Сагайдак, Круглов, Лазарева")</f>
        <v>Сагайдак, Круглов, Лазарева</v>
      </c>
      <c r="K1058" s="6" t="str">
        <f>IFERROR(__xludf.DUMMYFUNCTION("""COMPUTED_VALUE"""),"Вечный огонь, памятник шахтерам, томская пис-ца")</f>
        <v>Вечный огонь, памятник шахтерам, томская пис-ца</v>
      </c>
      <c r="L1058" s="6" t="str">
        <f>IFERROR(__xludf.DUMMYFUNCTION("""COMPUTED_VALUE"""),"на других надейся, а сам не площай")</f>
        <v>на других надейся, а сам не площай</v>
      </c>
      <c r="M1058" s="6" t="str">
        <f>IFERROR(__xludf.DUMMYFUNCTION("""COMPUTED_VALUE"""),"нет")</f>
        <v>нет</v>
      </c>
      <c r="N1058" s="6" t="str">
        <f>IFERROR(__xludf.DUMMYFUNCTION("""COMPUTED_VALUE"""),"много магазинов, аптеки, культура города, мероприятия для горожан")</f>
        <v>много магазинов, аптеки, культура города, мероприятия для горожан</v>
      </c>
      <c r="O1058" s="6" t="str">
        <f>IFERROR(__xludf.DUMMYFUNCTION("""COMPUTED_VALUE"""),"ремонт дорог, ремонт жилых домов,")</f>
        <v>ремонт дорог, ремонт жилых домов,</v>
      </c>
      <c r="P1058" s="6" t="str">
        <f>IFERROR(__xludf.DUMMYFUNCTION("""COMPUTED_VALUE"""),"инстаграм")</f>
        <v>инстаграм</v>
      </c>
      <c r="Q1058"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058" s="6" t="str">
        <f>IFERROR(__xludf.DUMMYFUNCTION("""COMPUTED_VALUE"""),"9 мая, день города, день шахтера, 1 июня, новый год, рождество")</f>
        <v>9 мая, день города, день шахтера, 1 июня, новый год, рождество</v>
      </c>
      <c r="S1058" s="6" t="str">
        <f>IFERROR(__xludf.DUMMYFUNCTION("""COMPUTED_VALUE"""),"Через социальные сети (Какие? Укажите в графе другое)")</f>
        <v>Через социальные сети (Какие? Укажите в графе другое)</v>
      </c>
      <c r="T1058" s="6" t="str">
        <f>IFERROR(__xludf.DUMMYFUNCTION("""COMPUTED_VALUE"""),"все")</f>
        <v>все</v>
      </c>
      <c r="U1058" s="6" t="str">
        <f>IFERROR(__xludf.DUMMYFUNCTION("""COMPUTED_VALUE"""),"пл Советов")</f>
        <v>пл Советов</v>
      </c>
      <c r="V1058" s="6" t="str">
        <f>IFERROR(__xludf.DUMMYFUNCTION("""COMPUTED_VALUE"""),"построили новый город")</f>
        <v>построили новый город</v>
      </c>
      <c r="W1058" s="6" t="str">
        <f>IFERROR(__xludf.DUMMYFUNCTION("""COMPUTED_VALUE"""),"они разные")</f>
        <v>они разные</v>
      </c>
      <c r="X1058" s="6" t="str">
        <f>IFERROR(__xludf.DUMMYFUNCTION("""COMPUTED_VALUE"""),"драма-набережная-мост-Кузбасс  на горе-памятник шахтеру-набережая Кировский-лесная поляна-гриль 42")</f>
        <v>драма-набережная-мост-Кузбасс  на горе-памятник шахтеру-набережая Кировский-лесная поляна-гриль 42</v>
      </c>
      <c r="Y1058" s="6" t="str">
        <f>IFERROR(__xludf.DUMMYFUNCTION("""COMPUTED_VALUE"""),"-")</f>
        <v>-</v>
      </c>
      <c r="Z1058" s="6" t="str">
        <f>IFERROR(__xludf.DUMMYFUNCTION("""COMPUTED_VALUE"""),"праздники и концерты")</f>
        <v>праздники и концерты</v>
      </c>
      <c r="AA1058" s="6" t="str">
        <f>IFERROR(__xludf.DUMMYFUNCTION("""COMPUTED_VALUE"""),"-")</f>
        <v>-</v>
      </c>
      <c r="AB1058" s="6" t="str">
        <f>IFERROR(__xludf.DUMMYFUNCTION("""COMPUTED_VALUE"""),"театральная студия для взрослых")</f>
        <v>театральная студия для взрослых</v>
      </c>
      <c r="AC1058" s="6" t="str">
        <f>IFERROR(__xludf.DUMMYFUNCTION("""COMPUTED_VALUE"""),"бесплатные")</f>
        <v>бесплатные</v>
      </c>
      <c r="AD105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58" s="6" t="str">
        <f>IFERROR(__xludf.DUMMYFUNCTION("""COMPUTED_VALUE"""),"Женский")</f>
        <v>Женский</v>
      </c>
      <c r="AF1058" s="6" t="str">
        <f>IFERROR(__xludf.DUMMYFUNCTION("""COMPUTED_VALUE"""),"45-55")</f>
        <v>45-55</v>
      </c>
      <c r="AG1058" s="6"/>
      <c r="AH1058" s="6"/>
      <c r="AI1058" s="6"/>
      <c r="AJ1058" s="6"/>
      <c r="AK1058" s="6"/>
      <c r="AL1058" s="6"/>
      <c r="AM1058" s="6"/>
    </row>
    <row r="1059">
      <c r="A1059" s="6">
        <v>1058.0</v>
      </c>
      <c r="B1059" s="6" t="str">
        <f>IFERROR(__xludf.DUMMYFUNCTION("""COMPUTED_VALUE"""),"Художник по стеклу. Витражист")</f>
        <v>Художник по стеклу. Витражист</v>
      </c>
      <c r="C1059" s="6" t="str">
        <f>IFERROR(__xludf.DUMMYFUNCTION("""COMPUTED_VALUE"""),"Работа")</f>
        <v>Работа</v>
      </c>
      <c r="D1059" s="6" t="str">
        <f>IFERROR(__xludf.DUMMYFUNCTION("""COMPUTED_VALUE"""),"Центральный, Заречка")</f>
        <v>Центральный, Заречка</v>
      </c>
      <c r="E1059" s="6" t="str">
        <f>IFERROR(__xludf.DUMMYFUNCTION("""COMPUTED_VALUE"""),"Фонтан струйный, детская ЖД дорога")</f>
        <v>Фонтан струйный, детская ЖД дорога</v>
      </c>
      <c r="F1059" s="6" t="str">
        <f>IFERROR(__xludf.DUMMYFUNCTION("""COMPUTED_VALUE"""),"Переехал сюда из другого места (откуда? укажите в графе другое), Родилась в Новосибирске, переехала по решению родителей (работа)")</f>
        <v>Переехал сюда из другого места (откуда? укажите в графе другое), Родилась в Новосибирске, переехала по решению родителей (работа)</v>
      </c>
      <c r="G1059" s="6" t="str">
        <f>IFERROR(__xludf.DUMMYFUNCTION("""COMPUTED_VALUE"""),"Парк Победы, Антошка, берег Томи у Притомского")</f>
        <v>Парк Победы, Антошка, берег Томи у Притомского</v>
      </c>
      <c r="H1059" s="6" t="str">
        <f>IFERROR(__xludf.DUMMYFUNCTION("""COMPUTED_VALUE"""),"Дороги (хорошие), черный (снег, воздух), уют, бетон (очень мало озеленения), пластиковый (много заменяется (не реставрируется) более дешёвым и быстрым - фасады, окна, ремонт)  ")</f>
        <v>Дороги (хорошие), черный (снег, воздух), уют, бетон (очень мало озеленения), пластиковый (много заменяется (не реставрируется) более дешёвым и быстрым - фасады, окна, ремонт)  </v>
      </c>
      <c r="I1059" s="6" t="str">
        <f>IFERROR(__xludf.DUMMYFUNCTION("""COMPUTED_VALUE"""),"В.Волошина, Волков, ")</f>
        <v>В.Волошина, Волков, </v>
      </c>
      <c r="J1059" s="6" t="str">
        <f>IFERROR(__xludf.DUMMYFUNCTION("""COMPUTED_VALUE"""),"Кемеровчани")</f>
        <v>Кемеровчани</v>
      </c>
      <c r="K1059" s="6" t="str">
        <f>IFERROR(__xludf.DUMMYFUNCTION("""COMPUTED_VALUE"""),"Краеведческий музей (он просто супер после обновления), Красная горка, Томская писанина, мою мастерскую.")</f>
        <v>Краеведческий музей (он просто супер после обновления), Красная горка, Томская писанина, мою мастерскую.</v>
      </c>
      <c r="L1059" s="6" t="str">
        <f>IFERROR(__xludf.DUMMYFUNCTION("""COMPUTED_VALUE"""),"Он придёт и молча поправит все Человек из Кемерова")</f>
        <v>Он придёт и молча поправит все Человек из Кемерова</v>
      </c>
      <c r="M1059" s="6" t="str">
        <f>IFERROR(__xludf.DUMMYFUNCTION("""COMPUTED_VALUE"""),"Сгоняем в Сиб или Кузню")</f>
        <v>Сгоняем в Сиб или Кузню</v>
      </c>
      <c r="N1059" s="6" t="str">
        <f>IFERROR(__xludf.DUMMYFUNCTION("""COMPUTED_VALUE"""),"Экология, больше зеленых зон, меньше печных районов, развитие и доступность спорта и образования,  культура людей и города")</f>
        <v>Экология, больше зеленых зон, меньше печных районов, развитие и доступность спорта и образования,  культура людей и города</v>
      </c>
      <c r="O1059" s="6" t="str">
        <f>IFERROR(__xludf.DUMMYFUNCTION("""COMPUTED_VALUE"""),"Объездная дорога")</f>
        <v>Объездная дорога</v>
      </c>
      <c r="P1059" s="6" t="str">
        <f>IFERROR(__xludf.DUMMYFUNCTION("""COMPUTED_VALUE"""),"Муж, друзья, А42, прямые соц.сети театров и музеев, о людях - из Сделано в Кузбассе ")</f>
        <v>Муж, друзья, А42, прямые соц.сети театров и музеев, о людях - из Сделано в Кузбассе </v>
      </c>
      <c r="Q1059"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криминальные новости (происшествия/преступления), инте"&amp;"рвью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криминальные новости (происшествия/преступления), интервью с экспертами на разные темы (напишите в разделе Другое свои предложения)</v>
      </c>
      <c r="R1059" s="6" t="str">
        <f>IFERROR(__xludf.DUMMYFUNCTION("""COMPUTED_VALUE"""),"Я все люблю праздники")</f>
        <v>Я все люблю праздники</v>
      </c>
      <c r="S1059" s="6" t="str">
        <f>IFERROR(__xludf.DUMMYFUNCTION("""COMPUTED_VALUE"""),"МК и лекции в рамках своей деятельности")</f>
        <v>МК и лекции в рамках своей деятельности</v>
      </c>
      <c r="T1059" s="6" t="str">
        <f>IFERROR(__xludf.DUMMYFUNCTION("""COMPUTED_VALUE"""),"25 марта 2018 г. 
Сейчас город стремительно развивается, интересная подача истории (музей и экскурсии), люди и их таланты")</f>
        <v>25 марта 2018 г. 
Сейчас город стремительно развивается, интересная подача истории (музей и экскурсии), люди и их таланты</v>
      </c>
      <c r="U1059" s="6" t="str">
        <f>IFERROR(__xludf.DUMMYFUNCTION("""COMPUTED_VALUE"""),"Площадь Советов")</f>
        <v>Площадь Советов</v>
      </c>
      <c r="V1059" s="6" t="str">
        <f>IFERROR(__xludf.DUMMYFUNCTION("""COMPUTED_VALUE"""),"Трудились ")</f>
        <v>Трудились </v>
      </c>
      <c r="W1059" s="6" t="str">
        <f>IFERROR(__xludf.DUMMYFUNCTION("""COMPUTED_VALUE"""),"Вежливые на дорогах, отзывчивые, ленивые, трудные на подъем, дружные")</f>
        <v>Вежливые на дорогах, отзывчивые, ленивые, трудные на подъем, дружные</v>
      </c>
      <c r="X1059" s="6" t="str">
        <f>IFERROR(__xludf.DUMMYFUNCTION("""COMPUTED_VALUE"""),"пр. Советский, горсад, старый Кемерово, набережная")</f>
        <v>пр. Советский, горсад, старый Кемерово, набережная</v>
      </c>
      <c r="Y1059" s="6" t="str">
        <f>IFERROR(__xludf.DUMMYFUNCTION("""COMPUTED_VALUE"""),"Затрудняюсь ответить")</f>
        <v>Затрудняюсь ответить</v>
      </c>
      <c r="Z1059" s="6" t="str">
        <f>IFERROR(__xludf.DUMMYFUNCTION("""COMPUTED_VALUE"""),"Стройка и развитие культурного кластера. ")</f>
        <v>Стройка и развитие культурного кластера. </v>
      </c>
      <c r="AA1059" s="6" t="str">
        <f>IFERROR(__xludf.DUMMYFUNCTION("""COMPUTED_VALUE"""),"Карантин")</f>
        <v>Карантин</v>
      </c>
      <c r="AB1059" s="6" t="str">
        <f>IFERROR(__xludf.DUMMYFUNCTION("""COMPUTED_VALUE"""),"Затрудняюсь ответить")</f>
        <v>Затрудняюсь ответить</v>
      </c>
      <c r="AC1059" s="6" t="str">
        <f>IFERROR(__xludf.DUMMYFUNCTION("""COMPUTED_VALUE"""),"повышения уровня зарплаты, жить сразу станет интереснее")</f>
        <v>повышения уровня зарплаты, жить сразу станет интереснее</v>
      </c>
      <c r="AD1059" s="6" t="str">
        <f>IFERROR(__xludf.DUMMYFUNCTION("""COMPUTED_VALUE"""),"Художественное оформление (витражи)  зданий и сооружений общественного значения, на коммерческой основе.")</f>
        <v>Художественное оформление (витражи)  зданий и сооружений общественного значения, на коммерческой основе.</v>
      </c>
      <c r="AE1059" s="6" t="str">
        <f>IFERROR(__xludf.DUMMYFUNCTION("""COMPUTED_VALUE"""),"Женский")</f>
        <v>Женский</v>
      </c>
      <c r="AF1059" s="6" t="str">
        <f>IFERROR(__xludf.DUMMYFUNCTION("""COMPUTED_VALUE"""),"30-44")</f>
        <v>30-44</v>
      </c>
      <c r="AG1059" s="6"/>
      <c r="AH1059" s="6"/>
      <c r="AI1059" s="6"/>
      <c r="AJ1059" s="6"/>
      <c r="AK1059" s="6"/>
      <c r="AL1059" s="6"/>
      <c r="AM1059" s="6"/>
    </row>
    <row r="1060">
      <c r="A1060" s="6">
        <v>1059.0</v>
      </c>
      <c r="B1060" s="6" t="str">
        <f>IFERROR(__xludf.DUMMYFUNCTION("""COMPUTED_VALUE"""),"Образование, педагог")</f>
        <v>Образование, педагог</v>
      </c>
      <c r="C1060" s="6" t="str">
        <f>IFERROR(__xludf.DUMMYFUNCTION("""COMPUTED_VALUE"""),"да, танцы")</f>
        <v>да, танцы</v>
      </c>
      <c r="D1060" s="6" t="str">
        <f>IFERROR(__xludf.DUMMYFUNCTION("""COMPUTED_VALUE"""),"рудничный район, радуга")</f>
        <v>рудничный район, радуга</v>
      </c>
      <c r="E1060" s="6" t="str">
        <f>IFERROR(__xludf.DUMMYFUNCTION("""COMPUTED_VALUE"""),"Сосновый бор, Музей-Красная горка, Аллея трудовой славы шахтеров")</f>
        <v>Сосновый бор, Музей-Красная горка, Аллея трудовой славы шахтеров</v>
      </c>
      <c r="F1060" s="6" t="str">
        <f>IFERROR(__xludf.DUMMYFUNCTION("""COMPUTED_VALUE"""),"Живу здесь с рождения")</f>
        <v>Живу здесь с рождения</v>
      </c>
      <c r="G1060" s="6" t="str">
        <f>IFERROR(__xludf.DUMMYFUNCTION("""COMPUTED_VALUE"""),"Сосновый бор, Притомская набережная, Парки и скверы")</f>
        <v>Сосновый бор, Притомская набережная, Парки и скверы</v>
      </c>
      <c r="H1060" s="6" t="str">
        <f>IFERROR(__xludf.DUMMYFUNCTION("""COMPUTED_VALUE"""),"Родной, красивый, достойный, любимый, шахтерский край")</f>
        <v>Родной, красивый, достойный, любимый, шахтерский край</v>
      </c>
      <c r="I1060" s="6" t="str">
        <f>IFERROR(__xludf.DUMMYFUNCTION("""COMPUTED_VALUE"""),"Волков Михайло, Волошина Вера, Леонов Алексей")</f>
        <v>Волков Михайло, Волошина Вера, Леонов Алексей</v>
      </c>
      <c r="J1060" s="6" t="str">
        <f>IFERROR(__xludf.DUMMYFUNCTION("""COMPUTED_VALUE"""),"Сергей Цивилев, Анна Цивилева, Алексей Стоянов")</f>
        <v>Сергей Цивилев, Анна Цивилева, Алексей Стоянов</v>
      </c>
      <c r="K1060" s="6" t="str">
        <f>IFERROR(__xludf.DUMMYFUNCTION("""COMPUTED_VALUE"""),"Музей-Заповедник ""Томская писаница"", ""Красная горка"", Сосновый бор")</f>
        <v>Музей-Заповедник "Томская писаница", "Красная горка", Сосновый бор</v>
      </c>
      <c r="L1060" s="6" t="str">
        <f>IFERROR(__xludf.DUMMYFUNCTION("""COMPUTED_VALUE"""),"Кемерово - лучший, черное золото Кузбасса!")</f>
        <v>Кемерово - лучший, черное золото Кузбасса!</v>
      </c>
      <c r="M1060" s="6" t="str">
        <f>IFERROR(__xludf.DUMMYFUNCTION("""COMPUTED_VALUE"""),"Я-человек из Кемерово")</f>
        <v>Я-человек из Кемерово</v>
      </c>
      <c r="N1060" s="6" t="str">
        <f>IFERROR(__xludf.DUMMYFUNCTION("""COMPUTED_VALUE"""),"Чистота, безопасность, хорошая экология, удобство, доступность")</f>
        <v>Чистота, безопасность, хорошая экология, удобство, доступность</v>
      </c>
      <c r="O1060" s="6" t="str">
        <f>IFERROR(__xludf.DUMMYFUNCTION("""COMPUTED_VALUE"""),"Детские площадки, скверы и парки")</f>
        <v>Детские площадки, скверы и парки</v>
      </c>
      <c r="P1060" s="6" t="str">
        <f>IFERROR(__xludf.DUMMYFUNCTION("""COMPUTED_VALUE"""),"инстаграм")</f>
        <v>инстаграм</v>
      </c>
      <c r="Q106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060" s="6" t="str">
        <f>IFERROR(__xludf.DUMMYFUNCTION("""COMPUTED_VALUE"""),"""День города""")</f>
        <v>"День города"</v>
      </c>
      <c r="S1060" s="6" t="str">
        <f>IFERROR(__xludf.DUMMYFUNCTION("""COMPUTED_VALUE"""),"Нет, не приходилось")</f>
        <v>Нет, не приходилось</v>
      </c>
      <c r="T1060" s="6" t="str">
        <f>IFERROR(__xludf.DUMMYFUNCTION("""COMPUTED_VALUE"""),"Угольной промышленностью, Кемеровский областной краеведческий музей")</f>
        <v>Угольной промышленностью, Кемеровский областной краеведческий музей</v>
      </c>
      <c r="U1060" s="6" t="str">
        <f>IFERROR(__xludf.DUMMYFUNCTION("""COMPUTED_VALUE"""),"Символический центр города -памятник шахтера скульптура Эрнста Неизвестного")</f>
        <v>Символический центр города -памятник шахтера скульптура Эрнста Неизвестного</v>
      </c>
      <c r="V1060" s="6" t="str">
        <f>IFERROR(__xludf.DUMMYFUNCTION("""COMPUTED_VALUE"""),"внесли огромный вклад в историю и развитие города")</f>
        <v>внесли огромный вклад в историю и развитие города</v>
      </c>
      <c r="W1060" s="6" t="str">
        <f>IFERROR(__xludf.DUMMYFUNCTION("""COMPUTED_VALUE"""),"отзывчивые, добродушные, понимающие")</f>
        <v>отзывчивые, добродушные, понимающие</v>
      </c>
      <c r="X1060" s="6" t="str">
        <f>IFERROR(__xludf.DUMMYFUNCTION("""COMPUTED_VALUE"""),"Притомская набережная ")</f>
        <v>Притомская набережная </v>
      </c>
      <c r="Y1060" s="6" t="str">
        <f>IFERROR(__xludf.DUMMYFUNCTION("""COMPUTED_VALUE"""),"В 1991 году на территории бывшего Кемеровского рудника создали музей-заповедник «Красная Горка».")</f>
        <v>В 1991 году на территории бывшего Кемеровского рудника создали музей-заповедник «Красная Горка».</v>
      </c>
      <c r="Z1060" s="6" t="str">
        <f>IFERROR(__xludf.DUMMYFUNCTION("""COMPUTED_VALUE"""),"Город стал более развитым, многофункциональным")</f>
        <v>Город стал более развитым, многофункциональным</v>
      </c>
      <c r="AA1060" s="6" t="str">
        <f>IFERROR(__xludf.DUMMYFUNCTION("""COMPUTED_VALUE"""),"Трагический пожар в тц ""Зимняя вишня""")</f>
        <v>Трагический пожар в тц "Зимняя вишня"</v>
      </c>
      <c r="AB1060" s="6" t="str">
        <f>IFERROR(__xludf.DUMMYFUNCTION("""COMPUTED_VALUE"""),"Городских ландшафтных парков и скверов")</f>
        <v>Городских ландшафтных парков и скверов</v>
      </c>
      <c r="AC1060" s="6" t="str">
        <f>IFERROR(__xludf.DUMMYFUNCTION("""COMPUTED_VALUE"""),"Особый городской дизайн в создании которого может участвовать каждый, Фестивали, ""незаурядное кафе"", развитие уличного искусства")</f>
        <v>Особый городской дизайн в создании которого может участвовать каждый, Фестивали, "незаурядное кафе", развитие уличного искусства</v>
      </c>
      <c r="AD106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060" s="6" t="str">
        <f>IFERROR(__xludf.DUMMYFUNCTION("""COMPUTED_VALUE"""),"Женский")</f>
        <v>Женский</v>
      </c>
      <c r="AF1060" s="6" t="str">
        <f>IFERROR(__xludf.DUMMYFUNCTION("""COMPUTED_VALUE"""),"30-44")</f>
        <v>30-44</v>
      </c>
      <c r="AG1060" s="6"/>
      <c r="AH1060" s="6"/>
      <c r="AI1060" s="6"/>
      <c r="AJ1060" s="6"/>
      <c r="AK1060" s="6"/>
      <c r="AL1060" s="6"/>
      <c r="AM1060" s="6"/>
    </row>
    <row r="1061">
      <c r="A1061" s="6">
        <v>1060.0</v>
      </c>
      <c r="B1061" s="6" t="str">
        <f>IFERROR(__xludf.DUMMYFUNCTION("""COMPUTED_VALUE"""),"музыкант, преподаватель ДШИ")</f>
        <v>музыкант, преподаватель ДШИ</v>
      </c>
      <c r="C1061" s="6" t="str">
        <f>IFERROR(__xludf.DUMMYFUNCTION("""COMPUTED_VALUE"""),"работа")</f>
        <v>работа</v>
      </c>
      <c r="D1061" s="6" t="str">
        <f>IFERROR(__xludf.DUMMYFUNCTION("""COMPUTED_VALUE"""),"заводский,  Южный")</f>
        <v>заводский,  Южный</v>
      </c>
      <c r="E1061" s="6" t="str">
        <f>IFERROR(__xludf.DUMMYFUNCTION("""COMPUTED_VALUE"""),"Церковь, аэропорт, Патриотов, ДК на Патриотов")</f>
        <v>Церковь, аэропорт, Патриотов, ДК на Патриотов</v>
      </c>
      <c r="F1061" s="6" t="str">
        <f>IFERROR(__xludf.DUMMYFUNCTION("""COMPUTED_VALUE"""),"Живу здесь с рождения")</f>
        <v>Живу здесь с рождения</v>
      </c>
      <c r="G1061" s="6" t="str">
        <f>IFERROR(__xludf.DUMMYFUNCTION("""COMPUTED_VALUE"""),"Центр, Красная горка, иногда хожу домой пешком")</f>
        <v>Центр, Красная горка, иногда хожу домой пешком</v>
      </c>
      <c r="H1061" s="6" t="str">
        <f>IFERROR(__xludf.DUMMYFUNCTION("""COMPUTED_VALUE"""),"уютный, компактный, зеленый, молодой, энергичный")</f>
        <v>уютный, компактный, зеленый, молодой, энергичный</v>
      </c>
      <c r="I1061" s="6" t="str">
        <f>IFERROR(__xludf.DUMMYFUNCTION("""COMPUTED_VALUE"""),"Леонов, Федоров")</f>
        <v>Леонов, Федоров</v>
      </c>
      <c r="J1061" s="6" t="str">
        <f>IFERROR(__xludf.DUMMYFUNCTION("""COMPUTED_VALUE"""),"-")</f>
        <v>-</v>
      </c>
      <c r="K1061" s="6" t="str">
        <f>IFERROR(__xludf.DUMMYFUNCTION("""COMPUTED_VALUE"""),"красная горка, лесная поляна, бульвар")</f>
        <v>красная горка, лесная поляна, бульвар</v>
      </c>
      <c r="L1061" s="6" t="str">
        <f>IFERROR(__xludf.DUMMYFUNCTION("""COMPUTED_VALUE"""),"на бога надейся а сам не плошай")</f>
        <v>на бога надейся а сам не плошай</v>
      </c>
      <c r="M1061" s="6" t="str">
        <f>IFERROR(__xludf.DUMMYFUNCTION("""COMPUTED_VALUE"""),"тормозок")</f>
        <v>тормозок</v>
      </c>
      <c r="N1061" s="6" t="str">
        <f>IFERROR(__xludf.DUMMYFUNCTION("""COMPUTED_VALUE"""),"чистота")</f>
        <v>чистота</v>
      </c>
      <c r="O1061" s="6" t="str">
        <f>IFERROR(__xludf.DUMMYFUNCTION("""COMPUTED_VALUE"""),"экологию")</f>
        <v>экологию</v>
      </c>
      <c r="P1061" s="6" t="str">
        <f>IFERROR(__xludf.DUMMYFUNCTION("""COMPUTED_VALUE"""),"новости тв, работа")</f>
        <v>новости тв, работа</v>
      </c>
      <c r="Q1061"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061" s="6" t="str">
        <f>IFERROR(__xludf.DUMMYFUNCTION("""COMPUTED_VALUE"""),"9 мая")</f>
        <v>9 мая</v>
      </c>
      <c r="S1061" s="6" t="str">
        <f>IFERROR(__xludf.DUMMYFUNCTION("""COMPUTED_VALUE"""),"Делал рассылку по электронной почте, Обращался в редакции электронных городских СМИ, Обращался в редакции городских газет, телевидения, радио")</f>
        <v>Делал рассылку по электронной почте, Обращался в редакции электронных городских СМИ, Обращался в редакции городских газет, телевидения, радио</v>
      </c>
      <c r="T1061" s="6" t="str">
        <f>IFERROR(__xludf.DUMMYFUNCTION("""COMPUTED_VALUE"""),"зимняя вишня")</f>
        <v>зимняя вишня</v>
      </c>
      <c r="U1061" s="6" t="str">
        <f>IFERROR(__xludf.DUMMYFUNCTION("""COMPUTED_VALUE"""),"весь центр, набережная")</f>
        <v>весь центр, набережная</v>
      </c>
      <c r="V1061" s="6" t="str">
        <f>IFERROR(__xludf.DUMMYFUNCTION("""COMPUTED_VALUE"""),"работали")</f>
        <v>работали</v>
      </c>
      <c r="W1061" s="6" t="str">
        <f>IFERROR(__xludf.DUMMYFUNCTION("""COMPUTED_VALUE"""),"все разные")</f>
        <v>все разные</v>
      </c>
      <c r="X1061" s="6" t="str">
        <f>IFERROR(__xludf.DUMMYFUNCTION("""COMPUTED_VALUE"""),"антошка-победы-филармония-набережная-весенняя-волкова")</f>
        <v>антошка-победы-филармония-набережная-весенняя-волкова</v>
      </c>
      <c r="Y1061" s="6" t="str">
        <f>IFERROR(__xludf.DUMMYFUNCTION("""COMPUTED_VALUE"""),"нет")</f>
        <v>нет</v>
      </c>
      <c r="Z1061" s="6" t="str">
        <f>IFERROR(__xludf.DUMMYFUNCTION("""COMPUTED_VALUE"""),"строительство новых обьектов")</f>
        <v>строительство новых обьектов</v>
      </c>
      <c r="AA1061" s="6" t="str">
        <f>IFERROR(__xludf.DUMMYFUNCTION("""COMPUTED_VALUE"""),"зимняя вишня")</f>
        <v>зимняя вишня</v>
      </c>
      <c r="AB1061" s="6" t="str">
        <f>IFERROR(__xludf.DUMMYFUNCTION("""COMPUTED_VALUE"""),"профессиональных")</f>
        <v>профессиональных</v>
      </c>
      <c r="AC1061" s="6" t="str">
        <f>IFERROR(__xludf.DUMMYFUNCTION("""COMPUTED_VALUE"""),"культурные")</f>
        <v>культурные</v>
      </c>
      <c r="AD106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дл"&amp;"я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061" s="6" t="str">
        <f>IFERROR(__xludf.DUMMYFUNCTION("""COMPUTED_VALUE"""),"Женский")</f>
        <v>Женский</v>
      </c>
      <c r="AF1061" s="6" t="str">
        <f>IFERROR(__xludf.DUMMYFUNCTION("""COMPUTED_VALUE"""),"30-44")</f>
        <v>30-44</v>
      </c>
      <c r="AG1061" s="6"/>
      <c r="AH1061" s="6"/>
      <c r="AI1061" s="6"/>
      <c r="AJ1061" s="6"/>
      <c r="AK1061" s="6"/>
      <c r="AL1061" s="6"/>
      <c r="AM1061" s="6"/>
    </row>
    <row r="1062">
      <c r="A1062" s="6">
        <v>1061.0</v>
      </c>
      <c r="B1062" s="6" t="str">
        <f>IFERROR(__xludf.DUMMYFUNCTION("""COMPUTED_VALUE"""),"Радио. Музыкальный редактор")</f>
        <v>Радио. Музыкальный редактор</v>
      </c>
      <c r="C1062" s="6" t="str">
        <f>IFERROR(__xludf.DUMMYFUNCTION("""COMPUTED_VALUE"""),"Кино, музыка")</f>
        <v>Кино, музыка</v>
      </c>
      <c r="D1062" s="6" t="str">
        <f>IFERROR(__xludf.DUMMYFUNCTION("""COMPUTED_VALUE"""),"Центральный. ""Город будущего""")</f>
        <v>Центральный. "Город будущего"</v>
      </c>
      <c r="E1062" s="6" t="str">
        <f>IFERROR(__xludf.DUMMYFUNCTION("""COMPUTED_VALUE"""),"Лестница, которая достала")</f>
        <v>Лестница, которая достала</v>
      </c>
      <c r="F1062" s="6" t="str">
        <f>IFERROR(__xludf.DUMMYFUNCTION("""COMPUTED_VALUE"""),"Живу здесь с рождения")</f>
        <v>Живу здесь с рождения</v>
      </c>
      <c r="G1062" s="6" t="str">
        <f>IFERROR(__xludf.DUMMYFUNCTION("""COMPUTED_VALUE"""),"Центр")</f>
        <v>Центр</v>
      </c>
      <c r="H1062" s="6" t="str">
        <f>IFERROR(__xludf.DUMMYFUNCTION("""COMPUTED_VALUE"""),"Смог, главпочтамт, Томь, уныние, весенняя")</f>
        <v>Смог, главпочтамт, Томь, уныние, весенняя</v>
      </c>
      <c r="I1062" s="6" t="str">
        <f>IFERROR(__xludf.DUMMYFUNCTION("""COMPUTED_VALUE"""),"Михайлов, а вообще затрудняюсь ответить")</f>
        <v>Михайлов, а вообще затрудняюсь ответить</v>
      </c>
      <c r="J1062" s="6" t="str">
        <f>IFERROR(__xludf.DUMMYFUNCTION("""COMPUTED_VALUE"""),"Евгений Сытый, Александр Маркварт, Сергей Сергеев")</f>
        <v>Евгений Сытый, Александр Маркварт, Сергей Сергеев</v>
      </c>
      <c r="K1062" s="6" t="str">
        <f>IFERROR(__xludf.DUMMYFUNCTION("""COMPUTED_VALUE"""),"Памятник шахтеру, бульвар строителей, место под кузнецким мостом")</f>
        <v>Памятник шахтеру, бульвар строителей, место под кузнецким мостом</v>
      </c>
      <c r="L1062" s="6" t="str">
        <f>IFERROR(__xludf.DUMMYFUNCTION("""COMPUTED_VALUE"""),"затрудняюсь ответить")</f>
        <v>затрудняюсь ответить</v>
      </c>
      <c r="M1062" s="6" t="str">
        <f>IFERROR(__xludf.DUMMYFUNCTION("""COMPUTED_VALUE"""),"нет")</f>
        <v>нет</v>
      </c>
      <c r="N1062" s="6" t="str">
        <f>IFERROR(__xludf.DUMMYFUNCTION("""COMPUTED_VALUE"""),"Чистота, транспортная инфраструктура, культурные события, в том числе и альтернативной культуры, развитие малого бизнеса")</f>
        <v>Чистота, транспортная инфраструктура, культурные события, в том числе и альтернативной культуры, развитие малого бизнеса</v>
      </c>
      <c r="O1062" s="6" t="str">
        <f>IFERROR(__xludf.DUMMYFUNCTION("""COMPUTED_VALUE"""),"Транспорт")</f>
        <v>Транспорт</v>
      </c>
      <c r="P1062" s="6" t="str">
        <f>IFERROR(__xludf.DUMMYFUNCTION("""COMPUTED_VALUE"""),"вк, фейсбук")</f>
        <v>вк, фейсбук</v>
      </c>
      <c r="Q1062"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062" s="6" t="str">
        <f>IFERROR(__xludf.DUMMYFUNCTION("""COMPUTED_VALUE"""),"Не знаю")</f>
        <v>Не знаю</v>
      </c>
      <c r="S1062" s="6" t="str">
        <f>IFERROR(__xludf.DUMMYFUNCTION("""COMPUTED_VALUE"""),"Через социальные сети (Какие? Укажите в графе другое), вк")</f>
        <v>Через социальные сети (Какие? Укажите в графе другое), вк</v>
      </c>
      <c r="T1062" s="6" t="str">
        <f>IFERROR(__xludf.DUMMYFUNCTION("""COMPUTED_VALUE"""),"Уголь, смог, зимняя вишня. Что уникального - не знаю")</f>
        <v>Уголь, смог, зимняя вишня. Что уникального - не знаю</v>
      </c>
      <c r="U1062" s="6" t="str">
        <f>IFERROR(__xludf.DUMMYFUNCTION("""COMPUTED_VALUE"""),"Центр города, бульвар строителей")</f>
        <v>Центр города, бульвар строителей</v>
      </c>
      <c r="V1062" s="6" t="str">
        <f>IFERROR(__xludf.DUMMYFUNCTION("""COMPUTED_VALUE"""),"не знаю")</f>
        <v>не знаю</v>
      </c>
      <c r="W1062" s="6" t="str">
        <f>IFERROR(__xludf.DUMMYFUNCTION("""COMPUTED_VALUE"""),"люди, как люди")</f>
        <v>люди, как люди</v>
      </c>
      <c r="X1062" s="6" t="str">
        <f>IFERROR(__xludf.DUMMYFUNCTION("""COMPUTED_VALUE"""),"от вокзала по ленина - дзержинского - центр")</f>
        <v>от вокзала по ленина - дзержинского - центр</v>
      </c>
      <c r="Y1062" s="6" t="str">
        <f>IFERROR(__xludf.DUMMYFUNCTION("""COMPUTED_VALUE"""),"затрудняюсь ответить")</f>
        <v>затрудняюсь ответить</v>
      </c>
      <c r="Z1062" s="6" t="str">
        <f>IFERROR(__xludf.DUMMYFUNCTION("""COMPUTED_VALUE"""),"Фестиваль Тезисы, Фестиваль Видение")</f>
        <v>Фестиваль Тезисы, Фестиваль Видение</v>
      </c>
      <c r="AA1062" s="6" t="str">
        <f>IFERROR(__xludf.DUMMYFUNCTION("""COMPUTED_VALUE"""),"затрудняюсь ответить, итак фон негативный")</f>
        <v>затрудняюсь ответить, итак фон негативный</v>
      </c>
      <c r="AB1062" s="6" t="str">
        <f>IFERROR(__xludf.DUMMYFUNCTION("""COMPUTED_VALUE"""),"Которые бы устраивали побольше концертов альтернативных музыкантов")</f>
        <v>Которые бы устраивали побольше концертов альтернативных музыкантов</v>
      </c>
      <c r="AC1062" s="6" t="str">
        <f>IFERROR(__xludf.DUMMYFUNCTION("""COMPUTED_VALUE"""),"Концерты, ещё что-то, затрудняюсь ответить")</f>
        <v>Концерты, ещё что-то, затрудняюсь ответить</v>
      </c>
      <c r="AD106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062" s="6" t="str">
        <f>IFERROR(__xludf.DUMMYFUNCTION("""COMPUTED_VALUE"""),"Мужской")</f>
        <v>Мужской</v>
      </c>
      <c r="AF1062" s="6" t="str">
        <f>IFERROR(__xludf.DUMMYFUNCTION("""COMPUTED_VALUE"""),"30-44")</f>
        <v>30-44</v>
      </c>
      <c r="AG1062" s="6"/>
      <c r="AH1062" s="6"/>
      <c r="AI1062" s="6"/>
      <c r="AJ1062" s="6"/>
      <c r="AK1062" s="6"/>
      <c r="AL1062" s="6"/>
      <c r="AM1062" s="6"/>
    </row>
    <row r="1063">
      <c r="A1063" s="6">
        <v>1062.0</v>
      </c>
      <c r="B1063" s="6" t="str">
        <f>IFERROR(__xludf.DUMMYFUNCTION("""COMPUTED_VALUE"""),"музыкальная педагогика")</f>
        <v>музыкальная педагогика</v>
      </c>
      <c r="C1063" s="6" t="str">
        <f>IFERROR(__xludf.DUMMYFUNCTION("""COMPUTED_VALUE"""),"кино, театры")</f>
        <v>кино, театры</v>
      </c>
      <c r="D1063" s="6" t="str">
        <f>IFERROR(__xludf.DUMMYFUNCTION("""COMPUTED_VALUE"""),"центральный")</f>
        <v>центральный</v>
      </c>
      <c r="E1063" s="6" t="str">
        <f>IFERROR(__xludf.DUMMYFUNCTION("""COMPUTED_VALUE"""),"комсомольский парк, лапландия")</f>
        <v>комсомольский парк, лапландия</v>
      </c>
      <c r="F1063" s="6" t="str">
        <f>IFERROR(__xludf.DUMMYFUNCTION("""COMPUTED_VALUE"""),"Живу здесь с рождения")</f>
        <v>Живу здесь с рождения</v>
      </c>
      <c r="G1063" s="6" t="str">
        <f>IFERROR(__xludf.DUMMYFUNCTION("""COMPUTED_VALUE"""),"юбилейный кинотеатр, комсомольский парк")</f>
        <v>юбилейный кинотеатр, комсомольский парк</v>
      </c>
      <c r="H1063" s="6" t="str">
        <f>IFERROR(__xludf.DUMMYFUNCTION("""COMPUTED_VALUE"""),"уголь, шахты, зимняя вишня")</f>
        <v>уголь, шахты, зимняя вишня</v>
      </c>
      <c r="I1063" s="6" t="str">
        <f>IFERROR(__xludf.DUMMYFUNCTION("""COMPUTED_VALUE"""),"Леонов, Тулеев, Волков")</f>
        <v>Леонов, Тулеев, Волков</v>
      </c>
      <c r="J1063" s="6" t="str">
        <f>IFERROR(__xludf.DUMMYFUNCTION("""COMPUTED_VALUE"""),"-")</f>
        <v>-</v>
      </c>
      <c r="K1063" s="6" t="str">
        <f>IFERROR(__xludf.DUMMYFUNCTION("""COMPUTED_VALUE"""),"красная горка, томская писаница")</f>
        <v>красная горка, томская писаница</v>
      </c>
      <c r="L1063" s="6" t="str">
        <f>IFERROR(__xludf.DUMMYFUNCTION("""COMPUTED_VALUE"""),"-")</f>
        <v>-</v>
      </c>
      <c r="M1063" s="6" t="str">
        <f>IFERROR(__xludf.DUMMYFUNCTION("""COMPUTED_VALUE"""),"-")</f>
        <v>-</v>
      </c>
      <c r="N1063" s="6" t="str">
        <f>IFERROR(__xludf.DUMMYFUNCTION("""COMPUTED_VALUE"""),"транспортная доступность, реализация всех потребностей")</f>
        <v>транспортная доступность, реализация всех потребностей</v>
      </c>
      <c r="O1063" s="6" t="str">
        <f>IFERROR(__xludf.DUMMYFUNCTION("""COMPUTED_VALUE"""),"вокзал жд, аэропорт, обьездную дорогу для грузового транспорта, больше парков и зон отдыха, пляж")</f>
        <v>вокзал жд, аэропорт, обьездную дорогу для грузового транспорта, больше парков и зон отдыха, пляж</v>
      </c>
      <c r="P1063" s="6" t="str">
        <f>IFERROR(__xludf.DUMMYFUNCTION("""COMPUTED_VALUE"""),"оф сайты учреждений")</f>
        <v>оф сайты учреждений</v>
      </c>
      <c r="Q1063" s="6" t="str">
        <f>IFERROR(__xludf.DUMMYFUNCTION("""COMPUTED_VALUE"""),"интервью с экспертами на разные темы (напишите в разделе Другое свои предложения)")</f>
        <v>интервью с экспертами на разные темы (напишите в разделе Другое свои предложения)</v>
      </c>
      <c r="R1063" s="6" t="str">
        <f>IFERROR(__xludf.DUMMYFUNCTION("""COMPUTED_VALUE"""),"-")</f>
        <v>-</v>
      </c>
      <c r="S1063" s="6" t="str">
        <f>IFERROR(__xludf.DUMMYFUNCTION("""COMPUTED_VALUE"""),"Обращался в редакции городских газет, телевидения, радио")</f>
        <v>Обращался в редакции городских газет, телевидения, радио</v>
      </c>
      <c r="T1063" s="6" t="str">
        <f>IFERROR(__xludf.DUMMYFUNCTION("""COMPUTED_VALUE"""),"-")</f>
        <v>-</v>
      </c>
      <c r="U1063" s="6" t="str">
        <f>IFERROR(__xludf.DUMMYFUNCTION("""COMPUTED_VALUE"""),"площадь советов")</f>
        <v>площадь советов</v>
      </c>
      <c r="V1063" s="6" t="str">
        <f>IFERROR(__xludf.DUMMYFUNCTION("""COMPUTED_VALUE"""),"-")</f>
        <v>-</v>
      </c>
      <c r="W1063" s="6" t="str">
        <f>IFERROR(__xludf.DUMMYFUNCTION("""COMPUTED_VALUE"""),"добрые")</f>
        <v>добрые</v>
      </c>
      <c r="X1063" s="6" t="str">
        <f>IFERROR(__xludf.DUMMYFUNCTION("""COMPUTED_VALUE"""),"центр, красная горка, томская писаница")</f>
        <v>центр, красная горка, томская писаница</v>
      </c>
      <c r="Y1063" s="6" t="str">
        <f>IFERROR(__xludf.DUMMYFUNCTION("""COMPUTED_VALUE"""),"открытие угольной добычи")</f>
        <v>открытие угольной добычи</v>
      </c>
      <c r="Z1063" s="6" t="str">
        <f>IFERROR(__xludf.DUMMYFUNCTION("""COMPUTED_VALUE"""),"назначение Цивилева губернатором")</f>
        <v>назначение Цивилева губернатором</v>
      </c>
      <c r="AA1063" s="6" t="str">
        <f>IFERROR(__xludf.DUMMYFUNCTION("""COMPUTED_VALUE"""),"-")</f>
        <v>-</v>
      </c>
      <c r="AB1063" s="6" t="str">
        <f>IFERROR(__xludf.DUMMYFUNCTION("""COMPUTED_VALUE"""),"-")</f>
        <v>-</v>
      </c>
      <c r="AC1063" s="6" t="str">
        <f>IFERROR(__xludf.DUMMYFUNCTION("""COMPUTED_VALUE"""),"-")</f>
        <v>-</v>
      </c>
      <c r="AD106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63" s="6" t="str">
        <f>IFERROR(__xludf.DUMMYFUNCTION("""COMPUTED_VALUE"""),"Женский")</f>
        <v>Женский</v>
      </c>
      <c r="AF1063" s="6" t="str">
        <f>IFERROR(__xludf.DUMMYFUNCTION("""COMPUTED_VALUE"""),"30-44")</f>
        <v>30-44</v>
      </c>
      <c r="AG1063" s="6"/>
      <c r="AH1063" s="6"/>
      <c r="AI1063" s="6"/>
      <c r="AJ1063" s="6"/>
      <c r="AK1063" s="6"/>
      <c r="AL1063" s="6"/>
      <c r="AM1063" s="6"/>
    </row>
    <row r="1064">
      <c r="A1064" s="6">
        <v>1063.0</v>
      </c>
      <c r="B1064" s="6" t="str">
        <f>IFERROR(__xludf.DUMMYFUNCTION("""COMPUTED_VALUE"""),"Культура")</f>
        <v>Культура</v>
      </c>
      <c r="C1064" s="6" t="str">
        <f>IFERROR(__xludf.DUMMYFUNCTION("""COMPUTED_VALUE"""),"рисовать")</f>
        <v>рисовать</v>
      </c>
      <c r="D1064" s="6" t="str">
        <f>IFERROR(__xludf.DUMMYFUNCTION("""COMPUTED_VALUE"""),"Ленинский")</f>
        <v>Ленинский</v>
      </c>
      <c r="E1064" s="6" t="str">
        <f>IFERROR(__xludf.DUMMYFUNCTION("""COMPUTED_VALUE"""),"бульвар, Кадетка")</f>
        <v>бульвар, Кадетка</v>
      </c>
      <c r="F1064" s="6" t="str">
        <f>IFERROR(__xludf.DUMMYFUNCTION("""COMPUTED_VALUE"""),"Живу здесь с рождения")</f>
        <v>Живу здесь с рождения</v>
      </c>
      <c r="G1064" s="6" t="str">
        <f>IFERROR(__xludf.DUMMYFUNCTION("""COMPUTED_VALUE"""),"кафе, магазины")</f>
        <v>кафе, магазины</v>
      </c>
      <c r="H1064" s="6" t="str">
        <f>IFERROR(__xludf.DUMMYFUNCTION("""COMPUTED_VALUE"""),"весна")</f>
        <v>весна</v>
      </c>
      <c r="I1064" s="6" t="str">
        <f>IFERROR(__xludf.DUMMYFUNCTION("""COMPUTED_VALUE"""),"Терешкова, Волошина")</f>
        <v>Терешкова, Волошина</v>
      </c>
      <c r="J1064" s="6" t="str">
        <f>IFERROR(__xludf.DUMMYFUNCTION("""COMPUTED_VALUE"""),"-")</f>
        <v>-</v>
      </c>
      <c r="K1064" s="6" t="str">
        <f>IFERROR(__xludf.DUMMYFUNCTION("""COMPUTED_VALUE"""),"Парк Чудес")</f>
        <v>Парк Чудес</v>
      </c>
      <c r="L1064" s="6" t="str">
        <f>IFERROR(__xludf.DUMMYFUNCTION("""COMPUTED_VALUE"""),"-")</f>
        <v>-</v>
      </c>
      <c r="M1064" s="6" t="str">
        <f>IFERROR(__xludf.DUMMYFUNCTION("""COMPUTED_VALUE"""),"Южный никому не нужный")</f>
        <v>Южный никому не нужный</v>
      </c>
      <c r="N1064" s="6" t="str">
        <f>IFERROR(__xludf.DUMMYFUNCTION("""COMPUTED_VALUE"""),"Транспорт")</f>
        <v>Транспорт</v>
      </c>
      <c r="O1064" s="6" t="str">
        <f>IFERROR(__xludf.DUMMYFUNCTION("""COMPUTED_VALUE"""),"Дороги, покрасить дома в яркий цвет")</f>
        <v>Дороги, покрасить дома в яркий цвет</v>
      </c>
      <c r="P1064" s="6" t="str">
        <f>IFERROR(__xludf.DUMMYFUNCTION("""COMPUTED_VALUE"""),"инстаграм")</f>
        <v>инстаграм</v>
      </c>
      <c r="Q106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064" s="6" t="str">
        <f>IFERROR(__xludf.DUMMYFUNCTION("""COMPUTED_VALUE"""),"9 мая")</f>
        <v>9 мая</v>
      </c>
      <c r="S1064" s="6" t="str">
        <f>IFERROR(__xludf.DUMMYFUNCTION("""COMPUTED_VALUE"""),"Писал и расклеивал объявления/афиши, Через социальные сети (Какие? Укажите в графе другое), Делал рассылку по электронной почте")</f>
        <v>Писал и расклеивал объявления/афиши, Через социальные сети (Какие? Укажите в графе другое), Делал рассылку по электронной почте</v>
      </c>
      <c r="T1064" s="6" t="str">
        <f>IFERROR(__xludf.DUMMYFUNCTION("""COMPUTED_VALUE"""),"красная горка")</f>
        <v>красная горка</v>
      </c>
      <c r="U1064" s="6" t="str">
        <f>IFERROR(__xludf.DUMMYFUNCTION("""COMPUTED_VALUE"""),"набережную")</f>
        <v>набережную</v>
      </c>
      <c r="V1064" s="6" t="str">
        <f>IFERROR(__xludf.DUMMYFUNCTION("""COMPUTED_VALUE"""),"стройка")</f>
        <v>стройка</v>
      </c>
      <c r="W1064" s="6" t="str">
        <f>IFERROR(__xludf.DUMMYFUNCTION("""COMPUTED_VALUE"""),"добрые ")</f>
        <v>добрые </v>
      </c>
      <c r="X1064" s="6" t="str">
        <f>IFERROR(__xludf.DUMMYFUNCTION("""COMPUTED_VALUE"""),"набережная")</f>
        <v>набережная</v>
      </c>
      <c r="Y1064" s="6" t="str">
        <f>IFERROR(__xludf.DUMMYFUNCTION("""COMPUTED_VALUE"""),"кадетский корпус")</f>
        <v>кадетский корпус</v>
      </c>
      <c r="Z1064" s="6" t="str">
        <f>IFERROR(__xludf.DUMMYFUNCTION("""COMPUTED_VALUE"""),"-")</f>
        <v>-</v>
      </c>
      <c r="AA1064" s="6" t="str">
        <f>IFERROR(__xludf.DUMMYFUNCTION("""COMPUTED_VALUE"""),"-")</f>
        <v>-</v>
      </c>
      <c r="AB1064" s="6" t="str">
        <f>IFERROR(__xludf.DUMMYFUNCTION("""COMPUTED_VALUE"""),"граффити")</f>
        <v>граффити</v>
      </c>
      <c r="AC1064" s="6" t="str">
        <f>IFERROR(__xludf.DUMMYFUNCTION("""COMPUTED_VALUE"""),"уличные")</f>
        <v>уличные</v>
      </c>
      <c r="AD1064"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064" s="6" t="str">
        <f>IFERROR(__xludf.DUMMYFUNCTION("""COMPUTED_VALUE"""),"Женский")</f>
        <v>Женский</v>
      </c>
      <c r="AF1064" s="6" t="str">
        <f>IFERROR(__xludf.DUMMYFUNCTION("""COMPUTED_VALUE"""),"18-29")</f>
        <v>18-29</v>
      </c>
      <c r="AG1064" s="6"/>
      <c r="AH1064" s="6"/>
      <c r="AI1064" s="6"/>
      <c r="AJ1064" s="6"/>
      <c r="AK1064" s="6"/>
      <c r="AL1064" s="6"/>
      <c r="AM1064" s="6"/>
    </row>
    <row r="1065">
      <c r="A1065" s="6">
        <v>1064.0</v>
      </c>
      <c r="B1065" s="6" t="str">
        <f>IFERROR(__xludf.DUMMYFUNCTION("""COMPUTED_VALUE"""),"Преподаю в школе искусств")</f>
        <v>Преподаю в школе искусств</v>
      </c>
      <c r="C1065" s="6" t="str">
        <f>IFERROR(__xludf.DUMMYFUNCTION("""COMPUTED_VALUE"""),"работа мое хобби")</f>
        <v>работа мое хобби</v>
      </c>
      <c r="D1065" s="6" t="str">
        <f>IFERROR(__xludf.DUMMYFUNCTION("""COMPUTED_VALUE"""),"рудничный район радуга")</f>
        <v>рудничный район радуга</v>
      </c>
      <c r="E1065" s="6" t="str">
        <f>IFERROR(__xludf.DUMMYFUNCTION("""COMPUTED_VALUE"""),"сосновый бор, проспект")</f>
        <v>сосновый бор, проспект</v>
      </c>
      <c r="F1065" s="6" t="str">
        <f>IFERROR(__xludf.DUMMYFUNCTION("""COMPUTED_VALUE"""),"Живу здесь с рождения")</f>
        <v>Живу здесь с рождения</v>
      </c>
      <c r="G1065" s="6" t="str">
        <f>IFERROR(__xludf.DUMMYFUNCTION("""COMPUTED_VALUE"""),"центр города")</f>
        <v>центр города</v>
      </c>
      <c r="H1065" s="6" t="str">
        <f>IFERROR(__xludf.DUMMYFUNCTION("""COMPUTED_VALUE"""),"грязь, пыль, уголь, доброта, снег")</f>
        <v>грязь, пыль, уголь, доброта, снег</v>
      </c>
      <c r="I1065" s="6" t="str">
        <f>IFERROR(__xludf.DUMMYFUNCTION("""COMPUTED_VALUE"""),"-")</f>
        <v>-</v>
      </c>
      <c r="J1065" s="6" t="str">
        <f>IFERROR(__xludf.DUMMYFUNCTION("""COMPUTED_VALUE"""),"-")</f>
        <v>-</v>
      </c>
      <c r="K1065" s="6" t="str">
        <f>IFERROR(__xludf.DUMMYFUNCTION("""COMPUTED_VALUE"""),"спейс пространство Клумба")</f>
        <v>спейс пространство Клумба</v>
      </c>
      <c r="L1065" s="6" t="str">
        <f>IFERROR(__xludf.DUMMYFUNCTION("""COMPUTED_VALUE"""),"-")</f>
        <v>-</v>
      </c>
      <c r="M1065" s="6" t="str">
        <f>IFERROR(__xludf.DUMMYFUNCTION("""COMPUTED_VALUE"""),"-")</f>
        <v>-</v>
      </c>
      <c r="N1065" s="6" t="str">
        <f>IFERROR(__xludf.DUMMYFUNCTION("""COMPUTED_VALUE"""),"дороги, места для прогулок, открытые площадки для отдыха")</f>
        <v>дороги, места для прогулок, открытые площадки для отдыха</v>
      </c>
      <c r="O1065" s="6" t="str">
        <f>IFERROR(__xludf.DUMMYFUNCTION("""COMPUTED_VALUE"""),"набережная, дороги, реставрация центра города")</f>
        <v>набережная, дороги, реставрация центра города</v>
      </c>
      <c r="P1065" s="6" t="str">
        <f>IFERROR(__xludf.DUMMYFUNCTION("""COMPUTED_VALUE"""),"все42, типичный кемерово")</f>
        <v>все42, типичный кемерово</v>
      </c>
      <c r="Q1065"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1065" s="6" t="str">
        <f>IFERROR(__xludf.DUMMYFUNCTION("""COMPUTED_VALUE"""),"8 марта, день россии, масленница")</f>
        <v>8 марта, день россии, масленница</v>
      </c>
      <c r="S1065" s="6" t="str">
        <f>IFERROR(__xludf.DUMMYFUNCTION("""COMPUTED_VALUE"""),"Нет, не приходилось")</f>
        <v>Нет, не приходилось</v>
      </c>
      <c r="T1065" s="6" t="str">
        <f>IFERROR(__xludf.DUMMYFUNCTION("""COMPUTED_VALUE"""),"уголь, много зелени, высокое кольцо обозрения")</f>
        <v>уголь, много зелени, высокое кольцо обозрения</v>
      </c>
      <c r="U1065" s="6" t="str">
        <f>IFERROR(__xludf.DUMMYFUNCTION("""COMPUTED_VALUE"""),"площадь советов, весенняя")</f>
        <v>площадь советов, весенняя</v>
      </c>
      <c r="V1065" s="6" t="str">
        <f>IFERROR(__xludf.DUMMYFUNCTION("""COMPUTED_VALUE"""),"построили город и нашли уголь")</f>
        <v>построили город и нашли уголь</v>
      </c>
      <c r="W1065" s="6" t="str">
        <f>IFERROR(__xludf.DUMMYFUNCTION("""COMPUTED_VALUE"""),"доброта, открытость, надежность")</f>
        <v>доброта, открытость, надежность</v>
      </c>
      <c r="X1065" s="6" t="str">
        <f>IFERROR(__xludf.DUMMYFUNCTION("""COMPUTED_VALUE"""),"от площади советов до креста")</f>
        <v>от площади советов до креста</v>
      </c>
      <c r="Y1065" s="6" t="str">
        <f>IFERROR(__xludf.DUMMYFUNCTION("""COMPUTED_VALUE"""),"олимпийский огонь 2014")</f>
        <v>олимпийский огонь 2014</v>
      </c>
      <c r="Z1065" s="6" t="str">
        <f>IFERROR(__xludf.DUMMYFUNCTION("""COMPUTED_VALUE"""),"-")</f>
        <v>-</v>
      </c>
      <c r="AA1065" s="6" t="str">
        <f>IFERROR(__xludf.DUMMYFUNCTION("""COMPUTED_VALUE"""),"-")</f>
        <v>-</v>
      </c>
      <c r="AB1065" s="6" t="str">
        <f>IFERROR(__xludf.DUMMYFUNCTION("""COMPUTED_VALUE"""),"-")</f>
        <v>-</v>
      </c>
      <c r="AC1065" s="6" t="str">
        <f>IFERROR(__xludf.DUMMYFUNCTION("""COMPUTED_VALUE"""),"Больше выставок, площадок, мероприятий для молодежи, фестивалей, праздников")</f>
        <v>Больше выставок, площадок, мероприятий для молодежи, фестивалей, праздников</v>
      </c>
      <c r="AD1065"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065" s="6" t="str">
        <f>IFERROR(__xludf.DUMMYFUNCTION("""COMPUTED_VALUE"""),"Женский")</f>
        <v>Женский</v>
      </c>
      <c r="AF1065" s="6" t="str">
        <f>IFERROR(__xludf.DUMMYFUNCTION("""COMPUTED_VALUE"""),"18-29")</f>
        <v>18-29</v>
      </c>
      <c r="AG1065" s="6"/>
      <c r="AH1065" s="6"/>
      <c r="AI1065" s="6"/>
      <c r="AJ1065" s="6"/>
      <c r="AK1065" s="6"/>
      <c r="AL1065" s="6"/>
      <c r="AM1065" s="6"/>
    </row>
    <row r="1066">
      <c r="A1066" s="6">
        <v>1065.0</v>
      </c>
      <c r="B1066" s="6" t="str">
        <f>IFERROR(__xludf.DUMMYFUNCTION("""COMPUTED_VALUE"""),"Работа по найму")</f>
        <v>Работа по найму</v>
      </c>
      <c r="C1066" s="6" t="str">
        <f>IFERROR(__xludf.DUMMYFUNCTION("""COMPUTED_VALUE"""),"Есть. ")</f>
        <v>Есть. </v>
      </c>
      <c r="D1066" s="6" t="str">
        <f>IFERROR(__xludf.DUMMYFUNCTION("""COMPUTED_VALUE"""),"Лесная поляна")</f>
        <v>Лесная поляна</v>
      </c>
      <c r="E1066" s="6" t="str">
        <f>IFERROR(__xludf.DUMMYFUNCTION("""COMPUTED_VALUE"""),"Жилой комплекс Лесная поляна")</f>
        <v>Жилой комплекс Лесная поляна</v>
      </c>
      <c r="F1066" s="6" t="str">
        <f>IFERROR(__xludf.DUMMYFUNCTION("""COMPUTED_VALUE"""),"Живу здесь с рождения")</f>
        <v>Живу здесь с рождения</v>
      </c>
      <c r="G1066" s="6" t="str">
        <f>IFERROR(__xludf.DUMMYFUNCTION("""COMPUTED_VALUE"""),"До работы - Рудничный район. Плюс комсомольский парк")</f>
        <v>До работы - Рудничный район. Плюс комсомольский парк</v>
      </c>
      <c r="H1066" s="6" t="str">
        <f>IFERROR(__xludf.DUMMYFUNCTION("""COMPUTED_VALUE"""),"Низкая зарплата, отсутствие какого либо развития на предприятии, зимняя вишня, Тулеев, уголь")</f>
        <v>Низкая зарплата, отсутствие какого либо развития на предприятии, зимняя вишня, Тулеев, уголь</v>
      </c>
      <c r="I1066" s="6" t="str">
        <f>IFERROR(__xludf.DUMMYFUNCTION("""COMPUTED_VALUE"""),"Тулеев")</f>
        <v>Тулеев</v>
      </c>
      <c r="J1066" s="6" t="str">
        <f>IFERROR(__xludf.DUMMYFUNCTION("""COMPUTED_VALUE"""),"Все на кого равнялись, уже уехали из города кемерово. ")</f>
        <v>Все на кого равнялись, уже уехали из города кемерово. </v>
      </c>
      <c r="K1066" s="6" t="str">
        <f>IFERROR(__xludf.DUMMYFUNCTION("""COMPUTED_VALUE"""),"Лесная поляна - чисто, уютно")</f>
        <v>Лесная поляна - чисто, уютно</v>
      </c>
      <c r="L1066" s="6" t="str">
        <f>IFERROR(__xludf.DUMMYFUNCTION("""COMPUTED_VALUE"""),"Богатый и будни пирует, бедный в праздник - горюет")</f>
        <v>Богатый и будни пирует, бедный в праздник - горюет</v>
      </c>
      <c r="M1066" s="6" t="str">
        <f>IFERROR(__xludf.DUMMYFUNCTION("""COMPUTED_VALUE"""),"Цивилев - властелин колец")</f>
        <v>Цивилев - властелин колец</v>
      </c>
      <c r="N1066" s="6" t="str">
        <f>IFERROR(__xludf.DUMMYFUNCTION("""COMPUTED_VALUE"""),"Достойная зарплата
Уважение специалистов
Мотивация на работе
Чистые районы
Много парков и скверов 
")</f>
        <v>Достойная зарплата
Уважение специалистов
Мотивация на работе
Чистые районы
Много парков и скверов 
</v>
      </c>
      <c r="O1066" s="6" t="str">
        <f>IFERROR(__xludf.DUMMYFUNCTION("""COMPUTED_VALUE"""),"Губернатора")</f>
        <v>Губернатора</v>
      </c>
      <c r="P1066" s="6" t="str">
        <f>IFERROR(__xludf.DUMMYFUNCTION("""COMPUTED_VALUE"""),"Инстаграмм")</f>
        <v>Инстаграмм</v>
      </c>
      <c r="Q1066"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f>
        <v>куда пойти в свободное время, новости про новые профессии/куда поступать/вакансии, бизнес-новости (средний чек/рекламные акции/запуск новых предприятий)</v>
      </c>
      <c r="R1066" s="6" t="str">
        <f>IFERROR(__xludf.DUMMYFUNCTION("""COMPUTED_VALUE"""),"Новый год")</f>
        <v>Новый год</v>
      </c>
      <c r="S1066"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f>
        <v>Через социальные сети (Какие? Укажите в графе другое), Делал рассылку по электронной почте, Обращался в редакции электронных городских СМИ</v>
      </c>
      <c r="T1066" s="6" t="str">
        <f>IFERROR(__xludf.DUMMYFUNCTION("""COMPUTED_VALUE"""),"Зимой - смог
Летом - гарь от пожаров")</f>
        <v>Зимой - смог
Летом - гарь от пожаров</v>
      </c>
      <c r="U1066" s="6" t="str">
        <f>IFERROR(__xludf.DUMMYFUNCTION("""COMPUTED_VALUE"""),"Площадь советов")</f>
        <v>Площадь советов</v>
      </c>
      <c r="V1066" s="6" t="str">
        <f>IFERROR(__xludf.DUMMYFUNCTION("""COMPUTED_VALUE"""),"Район Лесная поляна - главная достопримечательность города! ")</f>
        <v>Район Лесная поляна - главная достопримечательность города! </v>
      </c>
      <c r="W1066" s="6" t="str">
        <f>IFERROR(__xludf.DUMMYFUNCTION("""COMPUTED_VALUE"""),"Обиженные на власть и руководство")</f>
        <v>Обиженные на власть и руководство</v>
      </c>
      <c r="X1066" s="6" t="str">
        <f>IFERROR(__xludf.DUMMYFUNCTION("""COMPUTED_VALUE"""),"Лесная поляна")</f>
        <v>Лесная поляна</v>
      </c>
      <c r="Y1066" s="6" t="str">
        <f>IFERROR(__xludf.DUMMYFUNCTION("""COMPUTED_VALUE"""),"Не знаю")</f>
        <v>Не знаю</v>
      </c>
      <c r="Z1066" s="6" t="str">
        <f>IFERROR(__xludf.DUMMYFUNCTION("""COMPUTED_VALUE"""),"Строительство объектов ")</f>
        <v>Строительство объектов </v>
      </c>
      <c r="AA1066" s="6" t="str">
        <f>IFERROR(__xludf.DUMMYFUNCTION("""COMPUTED_VALUE"""),"Рост безработицы, рост цен на продукты и ком.услуги, занижение показателей заболеваемости ковид и реальная картина по заболеваемости ковид")</f>
        <v>Рост безработицы, рост цен на продукты и ком.услуги, занижение показателей заболеваемости ковид и реальная картина по заболеваемости ковид</v>
      </c>
      <c r="AB1066" s="6" t="str">
        <f>IFERROR(__xludf.DUMMYFUNCTION("""COMPUTED_VALUE"""),"Для детей школьного возраста.
Места для отдыха (турбазы, гостиницы) с ценами доступными.")</f>
        <v>Для детей школьного возраста.
Места для отдыха (турбазы, гостиницы) с ценами доступными.</v>
      </c>
      <c r="AC1066" s="6" t="str">
        <f>IFERROR(__xludf.DUMMYFUNCTION("""COMPUTED_VALUE"""),"Наличие туристических экскурсий в пределах области")</f>
        <v>Наличие туристических экскурсий в пределах области</v>
      </c>
      <c r="AD106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 Коммуникатора: Готов задейс"&amp;"твовать свои знакомства для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066" s="6" t="str">
        <f>IFERROR(__xludf.DUMMYFUNCTION("""COMPUTED_VALUE"""),"Мужской")</f>
        <v>Мужской</v>
      </c>
      <c r="AF1066" s="6" t="str">
        <f>IFERROR(__xludf.DUMMYFUNCTION("""COMPUTED_VALUE"""),"30-44")</f>
        <v>30-44</v>
      </c>
      <c r="AG1066" s="6"/>
      <c r="AH1066" s="6"/>
      <c r="AI1066" s="6"/>
      <c r="AJ1066" s="6"/>
      <c r="AK1066" s="6"/>
      <c r="AL1066" s="6"/>
      <c r="AM1066" s="6"/>
    </row>
    <row r="1067">
      <c r="A1067" s="6">
        <v>1066.0</v>
      </c>
      <c r="B1067" s="6" t="str">
        <f>IFERROR(__xludf.DUMMYFUNCTION("""COMPUTED_VALUE"""),"Студент")</f>
        <v>Студент</v>
      </c>
      <c r="C1067" s="6" t="str">
        <f>IFERROR(__xludf.DUMMYFUNCTION("""COMPUTED_VALUE"""),"Программирование, велоспорт, компьютерные игры")</f>
        <v>Программирование, велоспорт, компьютерные игры</v>
      </c>
      <c r="D1067" s="6" t="str">
        <f>IFERROR(__xludf.DUMMYFUNCTION("""COMPUTED_VALUE"""),"Ленинский. Так его и называю")</f>
        <v>Ленинский. Так его и называю</v>
      </c>
      <c r="E1067" s="6" t="str">
        <f>IFERROR(__xludf.DUMMYFUNCTION("""COMPUTED_VALUE"""),"Кадетский корпус, бульвар Строителей")</f>
        <v>Кадетский корпус, бульвар Строителей</v>
      </c>
      <c r="F1067" s="6" t="str">
        <f>IFERROR(__xludf.DUMMYFUNCTION("""COMPUTED_VALUE"""),"Живу здесь с рождения")</f>
        <v>Живу здесь с рождения</v>
      </c>
      <c r="G1067" s="6" t="str">
        <f>IFERROR(__xludf.DUMMYFUNCTION("""COMPUTED_VALUE"""),"Исторический центр")</f>
        <v>Исторический центр</v>
      </c>
      <c r="H1067" s="6" t="str">
        <f>IFERROR(__xludf.DUMMYFUNCTION("""COMPUTED_VALUE"""),"Грязный, пыльный, маленький")</f>
        <v>Грязный, пыльный, маленький</v>
      </c>
      <c r="I1067" s="6" t="str">
        <f>IFERROR(__xludf.DUMMYFUNCTION("""COMPUTED_VALUE"""),"Волков, Леонов")</f>
        <v>Волков, Леонов</v>
      </c>
      <c r="J1067" s="6" t="str">
        <f>IFERROR(__xludf.DUMMYFUNCTION("""COMPUTED_VALUE"""),"Отчасти Цивилёв")</f>
        <v>Отчасти Цивилёв</v>
      </c>
      <c r="K1067" s="6" t="str">
        <f>IFERROR(__xludf.DUMMYFUNCTION("""COMPUTED_VALUE"""),"Весь исторический центр")</f>
        <v>Весь исторический центр</v>
      </c>
      <c r="L1067" s="6" t="str">
        <f>IFERROR(__xludf.DUMMYFUNCTION("""COMPUTED_VALUE"""),"Южный никому не нужный")</f>
        <v>Южный никому не нужный</v>
      </c>
      <c r="M1067" s="6" t="str">
        <f>IFERROR(__xludf.DUMMYFUNCTION("""COMPUTED_VALUE"""),"Не знаю")</f>
        <v>Не знаю</v>
      </c>
      <c r="N1067" s="6" t="str">
        <f>IFERROR(__xludf.DUMMYFUNCTION("""COMPUTED_VALUE"""),"Общественный транспорт, чистота, велодорожки, доступная среда, хорошая архитектура")</f>
        <v>Общественный транспорт, чистота, велодорожки, доступная среда, хорошая архитектура</v>
      </c>
      <c r="O1067" s="6" t="str">
        <f>IFERROR(__xludf.DUMMYFUNCTION("""COMPUTED_VALUE"""),"Сделать всё, чтобы он стал более чистым, отреставрировать исторический центр")</f>
        <v>Сделать всё, чтобы он стал более чистым, отреставрировать исторический центр</v>
      </c>
      <c r="P1067" s="6" t="str">
        <f>IFERROR(__xludf.DUMMYFUNCTION("""COMPUTED_VALUE"""),"Вконтакте, группы ""Типичный Кемерово"", ""Инцидент Кемерово""")</f>
        <v>Вконтакте, группы "Типичный Кемерово", "Инцидент Кемерово"</v>
      </c>
      <c r="Q1067"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1067" s="6" t="str">
        <f>IFERROR(__xludf.DUMMYFUNCTION("""COMPUTED_VALUE"""),"День города")</f>
        <v>День города</v>
      </c>
      <c r="S1067" s="6" t="str">
        <f>IFERROR(__xludf.DUMMYFUNCTION("""COMPUTED_VALUE"""),"Нет, не приходилось")</f>
        <v>Нет, не приходилось</v>
      </c>
      <c r="T1067" s="6" t="str">
        <f>IFERROR(__xludf.DUMMYFUNCTION("""COMPUTED_VALUE"""),"Знаменит трагедией в Зимней вишне, ничего уникального не вижу")</f>
        <v>Знаменит трагедией в Зимней вишне, ничего уникального не вижу</v>
      </c>
      <c r="U1067" s="6" t="str">
        <f>IFERROR(__xludf.DUMMYFUNCTION("""COMPUTED_VALUE"""),"Самый центр города - фонтан возле Драмтеатра")</f>
        <v>Самый центр города - фонтан возле Драмтеатра</v>
      </c>
      <c r="V1067" s="6" t="str">
        <f>IFERROR(__xludf.DUMMYFUNCTION("""COMPUTED_VALUE"""),"Ничего такого")</f>
        <v>Ничего такого</v>
      </c>
      <c r="W1067" s="6" t="str">
        <f>IFERROR(__xludf.DUMMYFUNCTION("""COMPUTED_VALUE"""),"Простые, добрые")</f>
        <v>Простые, добрые</v>
      </c>
      <c r="X1067" s="6" t="str">
        <f>IFERROR(__xludf.DUMMYFUNCTION("""COMPUTED_VALUE"""),"Советский проспект (от Кузнецкого до площади Советов)")</f>
        <v>Советский проспект (от Кузнецкого до площади Советов)</v>
      </c>
      <c r="Y1067" s="6" t="str">
        <f>IFERROR(__xludf.DUMMYFUNCTION("""COMPUTED_VALUE"""),"Пожар в Зимней вишне")</f>
        <v>Пожар в Зимней вишне</v>
      </c>
      <c r="Z1067" s="6" t="str">
        <f>IFERROR(__xludf.DUMMYFUNCTION("""COMPUTED_VALUE"""),"Обновление общественного транспорта, небольшое сокращение интервалов движения")</f>
        <v>Обновление общественного транспорта, небольшое сокращение интервалов движения</v>
      </c>
      <c r="AA1067" s="6" t="str">
        <f>IFERROR(__xludf.DUMMYFUNCTION("""COMPUTED_VALUE"""),"Никак не могут отремонтировать бассейн ""Лазурный""")</f>
        <v>Никак не могут отремонтировать бассейн "Лазурный"</v>
      </c>
      <c r="AB1067" s="6" t="str">
        <f>IFERROR(__xludf.DUMMYFUNCTION("""COMPUTED_VALUE"""),"-")</f>
        <v>-</v>
      </c>
      <c r="AC1067" s="6" t="str">
        <f>IFERROR(__xludf.DUMMYFUNCTION("""COMPUTED_VALUE"""),"Различные фестивали")</f>
        <v>Различные фестивали</v>
      </c>
      <c r="AD106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67" s="6" t="str">
        <f>IFERROR(__xludf.DUMMYFUNCTION("""COMPUTED_VALUE"""),"Мужской")</f>
        <v>Мужской</v>
      </c>
      <c r="AF1067" s="6" t="str">
        <f>IFERROR(__xludf.DUMMYFUNCTION("""COMPUTED_VALUE"""),"18-29")</f>
        <v>18-29</v>
      </c>
      <c r="AG1067" s="6"/>
      <c r="AH1067" s="6"/>
      <c r="AI1067" s="6"/>
      <c r="AJ1067" s="6"/>
      <c r="AK1067" s="6"/>
      <c r="AL1067" s="6"/>
      <c r="AM1067" s="6"/>
    </row>
    <row r="1068">
      <c r="A1068" s="6">
        <v>1067.0</v>
      </c>
      <c r="B1068" s="6" t="str">
        <f>IFERROR(__xludf.DUMMYFUNCTION("""COMPUTED_VALUE"""),"пенсионер")</f>
        <v>пенсионер</v>
      </c>
      <c r="C1068" s="6" t="str">
        <f>IFERROR(__xludf.DUMMYFUNCTION("""COMPUTED_VALUE"""),"книги")</f>
        <v>книги</v>
      </c>
      <c r="D1068" s="6" t="str">
        <f>IFERROR(__xludf.DUMMYFUNCTION("""COMPUTED_VALUE"""),"спальный")</f>
        <v>спальный</v>
      </c>
      <c r="E1068" s="6" t="str">
        <f>IFERROR(__xludf.DUMMYFUNCTION("""COMPUTED_VALUE"""),"кадетский корпус")</f>
        <v>кадетский корпус</v>
      </c>
      <c r="F1068" s="6" t="str">
        <f>IFERROR(__xludf.DUMMYFUNCTION("""COMPUTED_VALUE"""),"Живу здесь с рождения")</f>
        <v>Живу здесь с рождения</v>
      </c>
      <c r="G1068" s="6" t="str">
        <f>IFERROR(__xludf.DUMMYFUNCTION("""COMPUTED_VALUE"""),"вокруг шалготарьяна")</f>
        <v>вокруг шалготарьяна</v>
      </c>
      <c r="H1068" s="6" t="str">
        <f>IFERROR(__xludf.DUMMYFUNCTION("""COMPUTED_VALUE"""),"кемерово-это не город")</f>
        <v>кемерово-это не город</v>
      </c>
      <c r="I1068" s="6" t="str">
        <f>IFERROR(__xludf.DUMMYFUNCTION("""COMPUTED_VALUE"""),"михайлов")</f>
        <v>михайлов</v>
      </c>
      <c r="J1068" s="6" t="str">
        <f>IFERROR(__xludf.DUMMYFUNCTION("""COMPUTED_VALUE"""),"заузелков")</f>
        <v>заузелков</v>
      </c>
      <c r="K1068" s="6" t="str">
        <f>IFERROR(__xludf.DUMMYFUNCTION("""COMPUTED_VALUE"""),"пешеходные тротуары весной")</f>
        <v>пешеходные тротуары весной</v>
      </c>
      <c r="L1068" s="6" t="str">
        <f>IFERROR(__xludf.DUMMYFUNCTION("""COMPUTED_VALUE"""),"нет таких")</f>
        <v>нет таких</v>
      </c>
      <c r="M1068" s="6" t="str">
        <f>IFERROR(__xludf.DUMMYFUNCTION("""COMPUTED_VALUE"""),"таких нет")</f>
        <v>таких нет</v>
      </c>
      <c r="N1068" s="6" t="str">
        <f>IFERROR(__xludf.DUMMYFUNCTION("""COMPUTED_VALUE"""),"чистота и никаких объявлений на домах,остановках,столбах и т д")</f>
        <v>чистота и никаких объявлений на домах,остановках,столбах и т д</v>
      </c>
      <c r="O1068" s="6" t="str">
        <f>IFERROR(__xludf.DUMMYFUNCTION("""COMPUTED_VALUE"""),"городскую исполнительную власть")</f>
        <v>городскую исполнительную власть</v>
      </c>
      <c r="P1068" s="6" t="str">
        <f>IFERROR(__xludf.DUMMYFUNCTION("""COMPUTED_VALUE"""),"ГУГЛ")</f>
        <v>ГУГЛ</v>
      </c>
      <c r="Q1068" s="6" t="str">
        <f>IFERROR(__xludf.DUMMYFUNCTION("""COMPUTED_VALUE"""),"культурные новинки (что почитать/что послушать)")</f>
        <v>культурные новинки (что почитать/что послушать)</v>
      </c>
      <c r="R1068" s="6" t="str">
        <f>IFERROR(__xludf.DUMMYFUNCTION("""COMPUTED_VALUE"""),"день города")</f>
        <v>день города</v>
      </c>
      <c r="S1068" s="6" t="str">
        <f>IFERROR(__xludf.DUMMYFUNCTION("""COMPUTED_VALUE"""),"Нет, не приходилось")</f>
        <v>Нет, не приходилось</v>
      </c>
      <c r="T1068" s="6" t="str">
        <f>IFERROR(__xludf.DUMMYFUNCTION("""COMPUTED_VALUE"""),"знаменит трубами ГРЭС и Кокса")</f>
        <v>знаменит трубами ГРЭС и Кокса</v>
      </c>
      <c r="U1068" s="6" t="str">
        <f>IFERROR(__xludf.DUMMYFUNCTION("""COMPUTED_VALUE"""),"площадь Советов")</f>
        <v>площадь Советов</v>
      </c>
      <c r="V1068" s="6" t="str">
        <f>IFERROR(__xludf.DUMMYFUNCTION("""COMPUTED_VALUE"""),"ничего не сделали")</f>
        <v>ничего не сделали</v>
      </c>
      <c r="W1068" s="6" t="str">
        <f>IFERROR(__xludf.DUMMYFUNCTION("""COMPUTED_VALUE"""),"и добрые и злые,но больше злых")</f>
        <v>и добрые и злые,но больше злых</v>
      </c>
      <c r="X1068" s="6" t="str">
        <f>IFERROR(__xludf.DUMMYFUNCTION("""COMPUTED_VALUE"""),"трамвай №10")</f>
        <v>трамвай №10</v>
      </c>
      <c r="Y1068" s="6" t="str">
        <f>IFERROR(__xludf.DUMMYFUNCTION("""COMPUTED_VALUE"""),"закрытие ЗХВ,КШТ,КЭМЗ,ПРОГРЕСС,КОММУНАР,КАРБОЛИТ,ЭЛ.ТЕХНИЧ. и др.")</f>
        <v>закрытие ЗХВ,КШТ,КЭМЗ,ПРОГРЕСС,КОММУНАР,КАРБОЛИТ,ЭЛ.ТЕХНИЧ. и др.</v>
      </c>
      <c r="Z1068" s="6" t="str">
        <f>IFERROR(__xludf.DUMMYFUNCTION("""COMPUTED_VALUE"""),"нет таких")</f>
        <v>нет таких</v>
      </c>
      <c r="AA1068" s="6" t="str">
        <f>IFERROR(__xludf.DUMMYFUNCTION("""COMPUTED_VALUE"""),"полная вседозволенность владельцев личных авто(куда хочу-туда и поставлю)")</f>
        <v>полная вседозволенность владельцев личных авто(куда хочу-туда и поставлю)</v>
      </c>
      <c r="AB1068" s="6" t="str">
        <f>IFERROR(__xludf.DUMMYFUNCTION("""COMPUTED_VALUE"""),"патриотических")</f>
        <v>патриотических</v>
      </c>
      <c r="AC1068" s="6" t="str">
        <f>IFERROR(__xludf.DUMMYFUNCTION("""COMPUTED_VALUE"""),"я уже отвечал-замена власти города путём честных выборов")</f>
        <v>я уже отвечал-замена власти города путём честных выборов</v>
      </c>
      <c r="AD1068" s="6" t="str">
        <f>IFERROR(__xludf.DUMMYFUNCTION("""COMPUTED_VALUE"""),"Что может пенсионер????????????")</f>
        <v>Что может пенсионер????????????</v>
      </c>
      <c r="AE1068" s="6" t="str">
        <f>IFERROR(__xludf.DUMMYFUNCTION("""COMPUTED_VALUE"""),"Мужской")</f>
        <v>Мужской</v>
      </c>
      <c r="AF1068" s="6" t="str">
        <f>IFERROR(__xludf.DUMMYFUNCTION("""COMPUTED_VALUE"""),"старше 55")</f>
        <v>старше 55</v>
      </c>
      <c r="AG1068" s="6"/>
      <c r="AH1068" s="6"/>
      <c r="AI1068" s="6"/>
      <c r="AJ1068" s="6"/>
      <c r="AK1068" s="6"/>
      <c r="AL1068" s="6"/>
      <c r="AM1068" s="6"/>
    </row>
    <row r="1069">
      <c r="A1069" s="6">
        <v>1068.0</v>
      </c>
      <c r="B1069" s="6" t="str">
        <f>IFERROR(__xludf.DUMMYFUNCTION("""COMPUTED_VALUE"""),"Госзакупки ")</f>
        <v>Госзакупки </v>
      </c>
      <c r="C1069" s="6" t="str">
        <f>IFERROR(__xludf.DUMMYFUNCTION("""COMPUTED_VALUE"""),"Фотографирование")</f>
        <v>Фотографирование</v>
      </c>
      <c r="D1069" s="6" t="str">
        <f>IFERROR(__xludf.DUMMYFUNCTION("""COMPUTED_VALUE"""),"Ленинский")</f>
        <v>Ленинский</v>
      </c>
      <c r="E1069" s="6" t="str">
        <f>IFERROR(__xludf.DUMMYFUNCTION("""COMPUTED_VALUE"""),"Бульвар")</f>
        <v>Бульвар</v>
      </c>
      <c r="F1069" s="6" t="str">
        <f>IFERROR(__xludf.DUMMYFUNCTION("""COMPUTED_VALUE"""),"Перехала из города Тайги 4 года назад ")</f>
        <v>Перехала из города Тайги 4 года назад </v>
      </c>
      <c r="G1069" s="6" t="str">
        <f>IFERROR(__xludf.DUMMYFUNCTION("""COMPUTED_VALUE"""),"Кафе, кино, рестораны, бульвар, набережная ")</f>
        <v>Кафе, кино, рестораны, бульвар, набережная </v>
      </c>
      <c r="H1069" s="6" t="str">
        <f>IFERROR(__xludf.DUMMYFUNCTION("""COMPUTED_VALUE"""),"Экология, заводы-пороходы, природа, плохие дороги, москва ")</f>
        <v>Экология, заводы-пороходы, природа, плохие дороги, москва </v>
      </c>
      <c r="I1069" s="6" t="str">
        <f>IFERROR(__xludf.DUMMYFUNCTION("""COMPUTED_VALUE"""),"Тулеев, Александр Самойлов, тинькоф ")</f>
        <v>Тулеев, Александр Самойлов, тинькоф </v>
      </c>
      <c r="J1069" s="6" t="str">
        <f>IFERROR(__xludf.DUMMYFUNCTION("""COMPUTED_VALUE"""),"Тулеев")</f>
        <v>Тулеев</v>
      </c>
      <c r="K1069" s="6" t="str">
        <f>IFERROR(__xludf.DUMMYFUNCTION("""COMPUTED_VALUE"""),"Никакие ")</f>
        <v>Никакие </v>
      </c>
      <c r="L1069" s="6" t="str">
        <f>IFERROR(__xludf.DUMMYFUNCTION("""COMPUTED_VALUE"""),"В Кемерово вместе со снегом растаяли и дороги ")</f>
        <v>В Кемерово вместе со снегом растаяли и дороги </v>
      </c>
      <c r="M1069" s="6" t="str">
        <f>IFERROR(__xludf.DUMMYFUNCTION("""COMPUTED_VALUE"""),"Нет")</f>
        <v>Нет</v>
      </c>
      <c r="N1069" s="6" t="str">
        <f>IFERROR(__xludf.DUMMYFUNCTION("""COMPUTED_VALUE"""),"Не понятен вопрос. Чтобы я хотела в нем видеть? Или что сейчас для меня комфортно?")</f>
        <v>Не понятен вопрос. Чтобы я хотела в нем видеть? Или что сейчас для меня комфортно?</v>
      </c>
      <c r="O1069" s="6" t="str">
        <f>IFERROR(__xludf.DUMMYFUNCTION("""COMPUTED_VALUE"""),"Экологию")</f>
        <v>Экологию</v>
      </c>
      <c r="P1069" s="6" t="str">
        <f>IFERROR(__xludf.DUMMYFUNCTION("""COMPUTED_VALUE"""),"Группы про Кемерово в инстаграм ")</f>
        <v>Группы про Кемерово в инстаграм </v>
      </c>
      <c r="Q1069"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р"&amp;"азделе Другое свои предложения)")</f>
        <v>городская афиша (кино/театр/концерты), 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1069" s="6" t="str">
        <f>IFERROR(__xludf.DUMMYFUNCTION("""COMPUTED_VALUE"""),"9 мая, день города ")</f>
        <v>9 мая, день города </v>
      </c>
      <c r="S1069" s="6" t="str">
        <f>IFERROR(__xludf.DUMMYFUNCTION("""COMPUTED_VALUE"""),"Нет, не приходилось")</f>
        <v>Нет, не приходилось</v>
      </c>
      <c r="T1069" s="6" t="str">
        <f>IFERROR(__xludf.DUMMYFUNCTION("""COMPUTED_VALUE"""),"Зимняя вишня прославился город на всю страну, а сейчас парк Ангелов ")</f>
        <v>Зимняя вишня прославился город на всю страну, а сейчас парк Ангелов </v>
      </c>
      <c r="U1069" s="6" t="str">
        <f>IFERROR(__xludf.DUMMYFUNCTION("""COMPUTED_VALUE"""),"Площадь советов ")</f>
        <v>Площадь советов </v>
      </c>
      <c r="V1069" s="6" t="str">
        <f>IFERROR(__xludf.DUMMYFUNCTION("""COMPUTED_VALUE"""),"Не знаю ")</f>
        <v>Не знаю </v>
      </c>
      <c r="W1069" s="6" t="str">
        <f>IFERROR(__xludf.DUMMYFUNCTION("""COMPUTED_VALUE"""),"Злые, грубые ")</f>
        <v>Злые, грубые </v>
      </c>
      <c r="X1069" s="6" t="str">
        <f>IFERROR(__xludf.DUMMYFUNCTION("""COMPUTED_VALUE"""),"Парк Ангелов и везде по старому центру ")</f>
        <v>Парк Ангелов и везде по старому центру </v>
      </c>
      <c r="Y1069" s="6" t="str">
        <f>IFERROR(__xludf.DUMMYFUNCTION("""COMPUTED_VALUE"""),"Зимняя вишня")</f>
        <v>Зимняя вишня</v>
      </c>
      <c r="Z1069" s="6" t="str">
        <f>IFERROR(__xludf.DUMMYFUNCTION("""COMPUTED_VALUE"""),"Ни каких")</f>
        <v>Ни каких</v>
      </c>
      <c r="AA1069" s="6" t="str">
        <f>IFERROR(__xludf.DUMMYFUNCTION("""COMPUTED_VALUE"""),"Вся показуха, которой занимаются органы местного самоуправления и администрации субъекта ")</f>
        <v>Вся показуха, которой занимаются органы местного самоуправления и администрации субъекта </v>
      </c>
      <c r="AB1069" s="6" t="str">
        <f>IFERROR(__xludf.DUMMYFUNCTION("""COMPUTED_VALUE"""),"Всего достаточно ")</f>
        <v>Всего достаточно </v>
      </c>
      <c r="AC1069" s="6" t="str">
        <f>IFERROR(__xludf.DUMMYFUNCTION("""COMPUTED_VALUE"""),"Субботнике проводимые собственниками мкд ")</f>
        <v>Субботнике проводимые собственниками мкд </v>
      </c>
      <c r="AD106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69" s="6" t="str">
        <f>IFERROR(__xludf.DUMMYFUNCTION("""COMPUTED_VALUE"""),"Женский")</f>
        <v>Женский</v>
      </c>
      <c r="AF1069" s="6" t="str">
        <f>IFERROR(__xludf.DUMMYFUNCTION("""COMPUTED_VALUE"""),"18-29")</f>
        <v>18-29</v>
      </c>
      <c r="AG1069" s="6"/>
      <c r="AH1069" s="6"/>
      <c r="AI1069" s="6"/>
      <c r="AJ1069" s="6"/>
      <c r="AK1069" s="6"/>
      <c r="AL1069" s="6"/>
      <c r="AM1069" s="6"/>
    </row>
    <row r="1070">
      <c r="A1070" s="6">
        <v>1069.0</v>
      </c>
      <c r="B1070" s="6" t="str">
        <f>IFERROR(__xludf.DUMMYFUNCTION("""COMPUTED_VALUE"""),"Библиотекарь ")</f>
        <v>Библиотекарь </v>
      </c>
      <c r="C1070" s="6" t="str">
        <f>IFERROR(__xludf.DUMMYFUNCTION("""COMPUTED_VALUE"""),"Нет")</f>
        <v>Нет</v>
      </c>
      <c r="D1070" s="6" t="str">
        <f>IFERROR(__xludf.DUMMYFUNCTION("""COMPUTED_VALUE"""),"Ленинском")</f>
        <v>Ленинском</v>
      </c>
      <c r="E1070" s="6" t="str">
        <f>IFERROR(__xludf.DUMMYFUNCTION("""COMPUTED_VALUE"""),"Кузбасский парк")</f>
        <v>Кузбасский парк</v>
      </c>
      <c r="F1070" s="6" t="str">
        <f>IFERROR(__xludf.DUMMYFUNCTION("""COMPUTED_VALUE"""),"Живу здесь с рождения")</f>
        <v>Живу здесь с рождения</v>
      </c>
      <c r="G1070" s="6" t="str">
        <f>IFERROR(__xludf.DUMMYFUNCTION("""COMPUTED_VALUE"""),"Гуляю по улице ")</f>
        <v>Гуляю по улице </v>
      </c>
      <c r="H1070" s="6" t="str">
        <f>IFERROR(__xludf.DUMMYFUNCTION("""COMPUTED_VALUE"""),"Современный, комфортный, перспективный, красивый, ")</f>
        <v>Современный, комфортный, перспективный, красивый, </v>
      </c>
      <c r="I1070" s="6" t="str">
        <f>IFERROR(__xludf.DUMMYFUNCTION("""COMPUTED_VALUE"""),"Волошина, Двужильный, ")</f>
        <v>Волошина, Двужильный, </v>
      </c>
      <c r="J1070" s="6" t="str">
        <f>IFERROR(__xludf.DUMMYFUNCTION("""COMPUTED_VALUE"""),"Середюк, ")</f>
        <v>Середюк, </v>
      </c>
      <c r="K1070" s="6" t="str">
        <f>IFERROR(__xludf.DUMMYFUNCTION("""COMPUTED_VALUE"""),"Не знаю ")</f>
        <v>Не знаю </v>
      </c>
      <c r="L1070" s="6" t="str">
        <f>IFERROR(__xludf.DUMMYFUNCTION("""COMPUTED_VALUE"""),"Не знаю ")</f>
        <v>Не знаю </v>
      </c>
      <c r="M1070" s="6" t="str">
        <f>IFERROR(__xludf.DUMMYFUNCTION("""COMPUTED_VALUE"""),"Нет")</f>
        <v>Нет</v>
      </c>
      <c r="N1070" s="6" t="str">
        <f>IFERROR(__xludf.DUMMYFUNCTION("""COMPUTED_VALUE"""),"Транспорт, дороги, дворы, школы, больницы, парки, спорт комплексы в каждом микрорайоне в современном стиле, в абсолютной доступности ")</f>
        <v>Транспорт, дороги, дворы, школы, больницы, парки, спорт комплексы в каждом микрорайоне в современном стиле, в абсолютной доступности </v>
      </c>
      <c r="O1070" s="6" t="str">
        <f>IFERROR(__xludf.DUMMYFUNCTION("""COMPUTED_VALUE"""),"Качество дорог, школы и медучреждения в новых районах")</f>
        <v>Качество дорог, школы и медучреждения в новых районах</v>
      </c>
      <c r="P1070" s="6" t="str">
        <f>IFERROR(__xludf.DUMMYFUNCTION("""COMPUTED_VALUE"""),"Браузер, инстаграм ")</f>
        <v>Браузер, инстаграм </v>
      </c>
      <c r="Q1070" s="6" t="str">
        <f>IFERROR(__xludf.DUMMYFUNCTION("""COMPUTED_VALUE"""),"Не смотрю сми")</f>
        <v>Не смотрю сми</v>
      </c>
      <c r="R1070" s="6" t="str">
        <f>IFERROR(__xludf.DUMMYFUNCTION("""COMPUTED_VALUE"""),"9 мая, день города ")</f>
        <v>9 мая, день города </v>
      </c>
      <c r="S1070" s="6" t="str">
        <f>IFERROR(__xludf.DUMMYFUNCTION("""COMPUTED_VALUE"""),"Нет, не приходилось")</f>
        <v>Нет, не приходилось</v>
      </c>
      <c r="T1070" s="6" t="str">
        <f>IFERROR(__xludf.DUMMYFUNCTION("""COMPUTED_VALUE"""),"Затрудняюсь ответить ")</f>
        <v>Затрудняюсь ответить </v>
      </c>
      <c r="U1070" s="6" t="str">
        <f>IFERROR(__xludf.DUMMYFUNCTION("""COMPUTED_VALUE"""),"Набережная, бульвар Строителей, проспект Советский")</f>
        <v>Набережная, бульвар Строителей, проспект Советский</v>
      </c>
      <c r="V1070" s="6" t="str">
        <f>IFERROR(__xludf.DUMMYFUNCTION("""COMPUTED_VALUE"""),"Трудились в своей сфере деятельности ")</f>
        <v>Трудились в своей сфере деятельности </v>
      </c>
      <c r="W1070" s="6" t="str">
        <f>IFERROR(__xludf.DUMMYFUNCTION("""COMPUTED_VALUE"""),"Разные. Современные и старомодные, прогрессивные и консервативные")</f>
        <v>Разные. Современные и старомодные, прогрессивные и консервативные</v>
      </c>
      <c r="X1070" s="6" t="str">
        <f>IFERROR(__xludf.DUMMYFUNCTION("""COMPUTED_VALUE"""),"Затрудняюсь ответить ")</f>
        <v>Затрудняюсь ответить </v>
      </c>
      <c r="Y1070" s="6" t="str">
        <f>IFERROR(__xludf.DUMMYFUNCTION("""COMPUTED_VALUE"""),"Не знаю ")</f>
        <v>Не знаю </v>
      </c>
      <c r="Z1070" s="6" t="str">
        <f>IFERROR(__xludf.DUMMYFUNCTION("""COMPUTED_VALUE"""),"Реконструкция бульвара Строителей ")</f>
        <v>Реконструкция бульвара Строителей </v>
      </c>
      <c r="AA1070" s="6" t="str">
        <f>IFERROR(__xludf.DUMMYFUNCTION("""COMPUTED_VALUE"""),"Не помню ")</f>
        <v>Не помню </v>
      </c>
      <c r="AB1070" s="6" t="str">
        <f>IFERROR(__xludf.DUMMYFUNCTION("""COMPUTED_VALUE"""),"Бассейна ")</f>
        <v>Бассейна </v>
      </c>
      <c r="AC1070" s="6" t="str">
        <f>IFERROR(__xludf.DUMMYFUNCTION("""COMPUTED_VALUE"""),"Аквапарка ")</f>
        <v>Аквапарка </v>
      </c>
      <c r="AD107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070" s="6" t="str">
        <f>IFERROR(__xludf.DUMMYFUNCTION("""COMPUTED_VALUE"""),"Женский")</f>
        <v>Женский</v>
      </c>
      <c r="AF1070" s="6" t="str">
        <f>IFERROR(__xludf.DUMMYFUNCTION("""COMPUTED_VALUE"""),"30-44")</f>
        <v>30-44</v>
      </c>
      <c r="AG1070" s="6"/>
      <c r="AH1070" s="6"/>
      <c r="AI1070" s="6"/>
      <c r="AJ1070" s="6"/>
      <c r="AK1070" s="6"/>
      <c r="AL1070" s="6"/>
      <c r="AM1070" s="6"/>
    </row>
    <row r="1071">
      <c r="A1071" s="6">
        <v>1070.0</v>
      </c>
      <c r="B1071" s="6" t="str">
        <f>IFERROR(__xludf.DUMMYFUNCTION("""COMPUTED_VALUE"""),"Общественная организация ")</f>
        <v>Общественная организация </v>
      </c>
      <c r="C1071" s="6" t="str">
        <f>IFERROR(__xludf.DUMMYFUNCTION("""COMPUTED_VALUE"""),"Читать, гулять, активный отдых ")</f>
        <v>Читать, гулять, активный отдых </v>
      </c>
      <c r="D1071" s="6" t="str">
        <f>IFERROR(__xludf.DUMMYFUNCTION("""COMPUTED_VALUE"""),"Фпк ")</f>
        <v>Фпк </v>
      </c>
      <c r="E1071" s="6" t="str">
        <f>IFERROR(__xludf.DUMMYFUNCTION("""COMPUTED_VALUE"""),"Тц Гринвич))) ")</f>
        <v>Тц Гринвич))) </v>
      </c>
      <c r="F1071" s="6" t="str">
        <f>IFERROR(__xludf.DUMMYFUNCTION("""COMPUTED_VALUE"""),"Переехал сюда из другого места (откуда? укажите в графе другое), С Юрги 22 года тому назад ")</f>
        <v>Переехал сюда из другого места (откуда? укажите в графе другое), С Юрги 22 года тому назад </v>
      </c>
      <c r="G1071" s="6" t="str">
        <f>IFERROR(__xludf.DUMMYFUNCTION("""COMPUTED_VALUE"""),"Все парки, зоны отдыха ")</f>
        <v>Все парки, зоны отдыха </v>
      </c>
      <c r="H1071" s="6" t="str">
        <f>IFERROR(__xludf.DUMMYFUNCTION("""COMPUTED_VALUE"""),"Мой, Родина, комфорт, чистота, дороги ")</f>
        <v>Мой, Родина, комфорт, чистота, дороги </v>
      </c>
      <c r="I1071" s="6" t="str">
        <f>IFERROR(__xludf.DUMMYFUNCTION("""COMPUTED_VALUE""")," Волков, Кислюк, Тулеев, Михайлов")</f>
        <v> Волков, Кислюк, Тулеев, Михайлов</v>
      </c>
      <c r="J1071" s="6" t="str">
        <f>IFERROR(__xludf.DUMMYFUNCTION("""COMPUTED_VALUE"""),"Цивилев ")</f>
        <v>Цивилев </v>
      </c>
      <c r="K1071" s="6" t="str">
        <f>IFERROR(__xludf.DUMMYFUNCTION("""COMPUTED_VALUE"""),"Парк возле кадетского")</f>
        <v>Парк возле кадетского</v>
      </c>
      <c r="L1071" s="6" t="str">
        <f>IFERROR(__xludf.DUMMYFUNCTION("""COMPUTED_VALUE"""),"Нет таких в запасе ")</f>
        <v>Нет таких в запасе </v>
      </c>
      <c r="M1071" s="6" t="str">
        <f>IFERROR(__xludf.DUMMYFUNCTION("""COMPUTED_VALUE"""),"Мультифора")</f>
        <v>Мультифора</v>
      </c>
      <c r="N1071" s="6" t="str">
        <f>IFERROR(__xludf.DUMMYFUNCTION("""COMPUTED_VALUE"""),"Чистота
Душевность
Дороги
Зоны отдыха 
Парковки ")</f>
        <v>Чистота
Душевность
Дороги
Зоны отдыха 
Парковки </v>
      </c>
      <c r="O1071" s="6" t="str">
        <f>IFERROR(__xludf.DUMMYFUNCTION("""COMPUTED_VALUE"""),"Сделать парковки и больше парков.
Так же довести до логического завершения ремонты дворовых зон")</f>
        <v>Сделать парковки и больше парков.
Так же довести до логического завершения ремонты дворовых зон</v>
      </c>
      <c r="P1071" s="6" t="str">
        <f>IFERROR(__xludf.DUMMYFUNCTION("""COMPUTED_VALUE"""),"Афиша А42")</f>
        <v>Афиша А42</v>
      </c>
      <c r="Q1071" s="6" t="str">
        <f>IFERROR(__xludf.DUMMYFUNCTION("""COMPUTED_VALUE"""),"городская афиша (кино/театр/концерты), культурные новинки (что почитать/что послушать),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f>
        <v>городская афиша (кино/театр/концерты), культурные новинки (что почитать/что послушать),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071" s="6" t="str">
        <f>IFERROR(__xludf.DUMMYFUNCTION("""COMPUTED_VALUE"""),"День города
День шахтёра ")</f>
        <v>День города
День шахтёра </v>
      </c>
      <c r="S1071"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f>
        <v>Через социальные сети (Какие? Укажите в графе другое), Делал рассылку по электронной почте, Обращался в редакции электронных городских СМИ</v>
      </c>
      <c r="T1071" s="6" t="str">
        <f>IFERROR(__xludf.DUMMYFUNCTION("""COMPUTED_VALUE"""),"Человеком из Кемерово ")</f>
        <v>Человеком из Кемерово </v>
      </c>
      <c r="U1071" s="6" t="str">
        <f>IFERROR(__xludf.DUMMYFUNCTION("""COMPUTED_VALUE"""),"Набережная, филармонию ")</f>
        <v>Набережная, филармонию </v>
      </c>
      <c r="V1071" s="6" t="str">
        <f>IFERROR(__xludf.DUMMYFUNCTION("""COMPUTED_VALUE"""),"Шибко ничего ")</f>
        <v>Шибко ничего </v>
      </c>
      <c r="W1071" s="6" t="str">
        <f>IFERROR(__xludf.DUMMYFUNCTION("""COMPUTED_VALUE"""),"Какме то уже сразу пожилые
Угрюмые")</f>
        <v>Какме то уже сразу пожилые
Угрюмые</v>
      </c>
      <c r="X1071" s="6" t="str">
        <f>IFERROR(__xludf.DUMMYFUNCTION("""COMPUTED_VALUE"""),"От бульвара и до центра пешком ")</f>
        <v>От бульвара и до центра пешком </v>
      </c>
      <c r="Y1071" s="6" t="str">
        <f>IFERROR(__xludf.DUMMYFUNCTION("""COMPUTED_VALUE"""),"Трудно с ходу ответить ")</f>
        <v>Трудно с ходу ответить </v>
      </c>
      <c r="Z1071" s="6" t="str">
        <f>IFERROR(__xludf.DUMMYFUNCTION("""COMPUTED_VALUE"""),"Быстрый выход из пандемии ")</f>
        <v>Быстрый выход из пандемии </v>
      </c>
      <c r="AA1071" s="6" t="str">
        <f>IFERROR(__xludf.DUMMYFUNCTION("""COMPUTED_VALUE"""),"Все ещё зимняя вишня ")</f>
        <v>Все ещё зимняя вишня </v>
      </c>
      <c r="AB1071" s="6" t="str">
        <f>IFERROR(__xludf.DUMMYFUNCTION("""COMPUTED_VALUE"""),"Мне хватает ")</f>
        <v>Мне хватает </v>
      </c>
      <c r="AC1071" s="6" t="str">
        <f>IFERROR(__xludf.DUMMYFUNCTION("""COMPUTED_VALUE"""),"Культурные ")</f>
        <v>Культурные </v>
      </c>
      <c r="AD1071" s="6" t="str">
        <f>IFERROR(__xludf.DUMMYFUNCTION("""COMPUTED_VALUE"""),"Профессионала.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v>
      </c>
      <c r="AE1071" s="6" t="str">
        <f>IFERROR(__xludf.DUMMYFUNCTION("""COMPUTED_VALUE"""),"Женский")</f>
        <v>Женский</v>
      </c>
      <c r="AF1071" s="6" t="str">
        <f>IFERROR(__xludf.DUMMYFUNCTION("""COMPUTED_VALUE"""),"30-44")</f>
        <v>30-44</v>
      </c>
      <c r="AG1071" s="6"/>
      <c r="AH1071" s="6"/>
      <c r="AI1071" s="6"/>
      <c r="AJ1071" s="6"/>
      <c r="AK1071" s="6"/>
      <c r="AL1071" s="6"/>
      <c r="AM1071" s="6"/>
    </row>
    <row r="1072">
      <c r="A1072" s="6">
        <v>1071.0</v>
      </c>
      <c r="B1072" s="6" t="str">
        <f>IFERROR(__xludf.DUMMYFUNCTION("""COMPUTED_VALUE"""),"Учусь ")</f>
        <v>Учусь </v>
      </c>
      <c r="C1072" s="6" t="str">
        <f>IFERROR(__xludf.DUMMYFUNCTION("""COMPUTED_VALUE"""),"Визаж, танцы")</f>
        <v>Визаж, танцы</v>
      </c>
      <c r="D1072" s="6" t="str">
        <f>IFERROR(__xludf.DUMMYFUNCTION("""COMPUTED_VALUE"""),"Ленинградский ")</f>
        <v>Ленинградский </v>
      </c>
      <c r="E1072" s="6" t="str">
        <f>IFERROR(__xludf.DUMMYFUNCTION("""COMPUTED_VALUE"""),"Мой дом ")</f>
        <v>Мой дом </v>
      </c>
      <c r="F1072" s="6" t="str">
        <f>IFERROR(__xludf.DUMMYFUNCTION("""COMPUTED_VALUE"""),"Живу здесь с рождения")</f>
        <v>Живу здесь с рождения</v>
      </c>
      <c r="G1072" s="6" t="str">
        <f>IFERROR(__xludf.DUMMYFUNCTION("""COMPUTED_VALUE"""),"В парк")</f>
        <v>В парк</v>
      </c>
      <c r="H1072" s="6" t="str">
        <f>IFERROR(__xludf.DUMMYFUNCTION("""COMPUTED_VALUE"""),"Промышленный, ладный, суровый")</f>
        <v>Промышленный, ладный, суровый</v>
      </c>
      <c r="I1072" s="6" t="str">
        <f>IFERROR(__xludf.DUMMYFUNCTION("""COMPUTED_VALUE"""),"Вера Волошина, Михайло Волков, Двужильный Юрийяя")</f>
        <v>Вера Волошина, Михайло Волков, Двужильный Юрийяя</v>
      </c>
      <c r="J1072" s="6" t="str">
        <f>IFERROR(__xludf.DUMMYFUNCTION("""COMPUTED_VALUE"""),"Алина Толстикова, Юрий Михайлов, ")</f>
        <v>Алина Толстикова, Юрий Михайлов, </v>
      </c>
      <c r="K1072" s="6" t="str">
        <f>IFERROR(__xludf.DUMMYFUNCTION("""COMPUTED_VALUE"""),"Памятник А. С Пушкину, Монумент Память шахтёрам Кузбасса")</f>
        <v>Памятник А. С Пушкину, Монумент Память шахтёрам Кузбасса</v>
      </c>
      <c r="L1072" s="6" t="str">
        <f>IFERROR(__xludf.DUMMYFUNCTION("""COMPUTED_VALUE"""),"Рилиршдьшопп")</f>
        <v>Рилиршдьшопп</v>
      </c>
      <c r="M1072" s="6" t="str">
        <f>IFERROR(__xludf.DUMMYFUNCTION("""COMPUTED_VALUE"""),"Лапа, яшка, швейка ")</f>
        <v>Лапа, яшка, швейка </v>
      </c>
      <c r="N1072" s="6" t="str">
        <f>IFERROR(__xludf.DUMMYFUNCTION("""COMPUTED_VALUE"""),"Дороги")</f>
        <v>Дороги</v>
      </c>
      <c r="O1072" s="6" t="str">
        <f>IFERROR(__xludf.DUMMYFUNCTION("""COMPUTED_VALUE"""),"Денежные деревья поставить")</f>
        <v>Денежные деревья поставить</v>
      </c>
      <c r="P1072" s="6" t="str">
        <f>IFERROR(__xludf.DUMMYFUNCTION("""COMPUTED_VALUE"""),"Вк, инст")</f>
        <v>Вк, инст</v>
      </c>
      <c r="Q1072" s="6" t="str">
        <f>IFERROR(__xludf.DUMMYFUNCTION("""COMPUTED_VALUE"""),"где вкусно поесть/открытие новых кафе/ресторанов, городская афиша (кино/театр/концерты), бизнес-новости (средний чек/рекламные акции/запуск новых предприятий)")</f>
        <v>где вкусно поесть/открытие новых кафе/ресторанов, городская афиша (кино/театр/концерты), бизнес-новости (средний чек/рекламные акции/запуск новых предприятий)</v>
      </c>
      <c r="R1072" s="6" t="str">
        <f>IFERROR(__xludf.DUMMYFUNCTION("""COMPUTED_VALUE"""),"Новый год, масленица, 9 мая ")</f>
        <v>Новый год, масленица, 9 мая </v>
      </c>
      <c r="S1072" s="6" t="str">
        <f>IFERROR(__xludf.DUMMYFUNCTION("""COMPUTED_VALUE"""),"Нет, не приходилось")</f>
        <v>Нет, не приходилось</v>
      </c>
      <c r="T1072" s="6" t="str">
        <f>IFERROR(__xludf.DUMMYFUNCTION("""COMPUTED_VALUE"""),"Анастасией Созоник ")</f>
        <v>Анастасией Созоник </v>
      </c>
      <c r="U1072" s="6" t="str">
        <f>IFERROR(__xludf.DUMMYFUNCTION("""COMPUTED_VALUE"""),"Центр города ")</f>
        <v>Центр города </v>
      </c>
      <c r="V1072" s="6" t="str">
        <f>IFERROR(__xludf.DUMMYFUNCTION("""COMPUTED_VALUE"""),"Родились ")</f>
        <v>Родились </v>
      </c>
      <c r="W1072" s="6" t="str">
        <f>IFERROR(__xludf.DUMMYFUNCTION("""COMPUTED_VALUE"""),"Они живые ")</f>
        <v>Они живые </v>
      </c>
      <c r="X1072" s="6" t="str">
        <f>IFERROR(__xludf.DUMMYFUNCTION("""COMPUTED_VALUE"""),"От дома, до дома ")</f>
        <v>От дома, до дома </v>
      </c>
      <c r="Y1072" s="6" t="str">
        <f>IFERROR(__xludf.DUMMYFUNCTION("""COMPUTED_VALUE"""),"А? ")</f>
        <v>А? </v>
      </c>
      <c r="Z1072" s="6" t="str">
        <f>IFERROR(__xludf.DUMMYFUNCTION("""COMPUTED_VALUE"""),"Открылись тц ")</f>
        <v>Открылись тц </v>
      </c>
      <c r="AA1072" s="6" t="str">
        <f>IFERROR(__xludf.DUMMYFUNCTION("""COMPUTED_VALUE"""),"Таких нет ")</f>
        <v>Таких нет </v>
      </c>
      <c r="AB1072" s="6" t="str">
        <f>IFERROR(__xludf.DUMMYFUNCTION("""COMPUTED_VALUE"""),"Школ танцев, школ искусств ")</f>
        <v>Школ танцев, школ искусств </v>
      </c>
      <c r="AC1072" s="6" t="str">
        <f>IFERROR(__xludf.DUMMYFUNCTION("""COMPUTED_VALUE"""),"Бесплатные продукты ")</f>
        <v>Бесплатные продукты </v>
      </c>
      <c r="AD1072"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072" s="6" t="str">
        <f>IFERROR(__xludf.DUMMYFUNCTION("""COMPUTED_VALUE"""),"Женский")</f>
        <v>Женский</v>
      </c>
      <c r="AF1072" s="6" t="str">
        <f>IFERROR(__xludf.DUMMYFUNCTION("""COMPUTED_VALUE"""),"18-29")</f>
        <v>18-29</v>
      </c>
      <c r="AG1072" s="6"/>
      <c r="AH1072" s="6"/>
      <c r="AI1072" s="6"/>
      <c r="AJ1072" s="6"/>
      <c r="AK1072" s="6"/>
      <c r="AL1072" s="6"/>
      <c r="AM1072" s="6"/>
    </row>
    <row r="1073">
      <c r="A1073" s="6">
        <v>1072.0</v>
      </c>
      <c r="B1073" s="6" t="str">
        <f>IFERROR(__xludf.DUMMYFUNCTION("""COMPUTED_VALUE"""),"учусь ")</f>
        <v>учусь </v>
      </c>
      <c r="C1073" s="6" t="str">
        <f>IFERROR(__xludf.DUMMYFUNCTION("""COMPUTED_VALUE"""),"футбол, иногда бегаю в сосновом бору.")</f>
        <v>футбол, иногда бегаю в сосновом бору.</v>
      </c>
      <c r="D1073" s="6" t="str">
        <f>IFERROR(__xludf.DUMMYFUNCTION("""COMPUTED_VALUE"""),"ленинский район. жилой район.")</f>
        <v>ленинский район. жилой район.</v>
      </c>
      <c r="E1073" s="6" t="str">
        <f>IFERROR(__xludf.DUMMYFUNCTION("""COMPUTED_VALUE"""),"кузбасский парк.")</f>
        <v>кузбасский парк.</v>
      </c>
      <c r="F1073" s="6" t="str">
        <f>IFERROR(__xludf.DUMMYFUNCTION("""COMPUTED_VALUE"""),"Живу здесь с рождения")</f>
        <v>Живу здесь с рождения</v>
      </c>
      <c r="G1073" s="6" t="str">
        <f>IFERROR(__xludf.DUMMYFUNCTION("""COMPUTED_VALUE"""),"гуляю по районам кемерово и хожу в парк имени веры волошиной .")</f>
        <v>гуляю по районам кемерово и хожу в парк имени веры волошиной .</v>
      </c>
      <c r="H1073" s="6" t="str">
        <f>IFERROR(__xludf.DUMMYFUNCTION("""COMPUTED_VALUE"""),"промышленность, природа, уголь, заводы, вода.")</f>
        <v>промышленность, природа, уголь, заводы, вода.</v>
      </c>
      <c r="I1073" s="6" t="str">
        <f>IFERROR(__xludf.DUMMYFUNCTION("""COMPUTED_VALUE"""),"аэропорт имени леонова, парк имени веры волошиной. школа 12 названная именем веры волошиной.")</f>
        <v>аэропорт имени леонова, парк имени веры волошиной. школа 12 названная именем веры волошиной.</v>
      </c>
      <c r="J1073" s="6" t="str">
        <f>IFERROR(__xludf.DUMMYFUNCTION("""COMPUTED_VALUE"""),"мозаев. ")</f>
        <v>мозаев. </v>
      </c>
      <c r="K1073" s="6" t="str">
        <f>IFERROR(__xludf.DUMMYFUNCTION("""COMPUTED_VALUE"""),"монумент ""память шахтёрам Кузбасса"".")</f>
        <v>монумент "память шахтёрам Кузбасса".</v>
      </c>
      <c r="L1073" s="6" t="str">
        <f>IFERROR(__xludf.DUMMYFUNCTION("""COMPUTED_VALUE"""),"не знаю ")</f>
        <v>не знаю </v>
      </c>
      <c r="M1073" s="6" t="str">
        <f>IFERROR(__xludf.DUMMYFUNCTION("""COMPUTED_VALUE"""),"швейка, лапа.")</f>
        <v>швейка, лапа.</v>
      </c>
      <c r="N1073" s="6" t="str">
        <f>IFERROR(__xludf.DUMMYFUNCTION("""COMPUTED_VALUE"""),"климат, экология, рйоны, экономика. ")</f>
        <v>климат, экология, рйоны, экономика. </v>
      </c>
      <c r="O1073" s="6" t="str">
        <f>IFERROR(__xludf.DUMMYFUNCTION("""COMPUTED_VALUE"""),"благоустройство дворов.")</f>
        <v>благоустройство дворов.</v>
      </c>
      <c r="P1073" s="6" t="str">
        <f>IFERROR(__xludf.DUMMYFUNCTION("""COMPUTED_VALUE"""),"инцидент кемерово.")</f>
        <v>инцидент кемерово.</v>
      </c>
      <c r="Q1073" s="6" t="str">
        <f>IFERROR(__xludf.DUMMYFUNCTION("""COMPUTED_VALUE"""),"интервью с местными политиками,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политиками, бизнес-новости (средний чек/рекламные акции/запуск новых предприятий), результаты местных исследований (рейтинги/аналитика/тенденции)</v>
      </c>
      <c r="R1073" s="6" t="str">
        <f>IFERROR(__xludf.DUMMYFUNCTION("""COMPUTED_VALUE"""),"9 мая. ")</f>
        <v>9 мая. </v>
      </c>
      <c r="S1073" s="6" t="str">
        <f>IFERROR(__xludf.DUMMYFUNCTION("""COMPUTED_VALUE"""),"Нет, не приходилось")</f>
        <v>Нет, не приходилось</v>
      </c>
      <c r="T1073" s="6" t="str">
        <f>IFERROR(__xludf.DUMMYFUNCTION("""COMPUTED_VALUE"""),"углем.")</f>
        <v>углем.</v>
      </c>
      <c r="U1073" s="6" t="str">
        <f>IFERROR(__xludf.DUMMYFUNCTION("""COMPUTED_VALUE"""),"Набережная ")</f>
        <v>Набережная </v>
      </c>
      <c r="V1073" s="6" t="str">
        <f>IFERROR(__xludf.DUMMYFUNCTION("""COMPUTED_VALUE"""),"открыли много угольных разрезов. ")</f>
        <v>открыли много угольных разрезов. </v>
      </c>
      <c r="W1073" s="6" t="str">
        <f>IFERROR(__xludf.DUMMYFUNCTION("""COMPUTED_VALUE"""),"кемеровчане очень дружелюбные люди!!!!")</f>
        <v>кемеровчане очень дружелюбные люди!!!!</v>
      </c>
      <c r="X1073" s="6" t="str">
        <f>IFERROR(__xludf.DUMMYFUNCTION("""COMPUTED_VALUE"""),"набережная")</f>
        <v>набережная</v>
      </c>
      <c r="Y1073" s="6" t="str">
        <f>IFERROR(__xludf.DUMMYFUNCTION("""COMPUTED_VALUE"""),"хз")</f>
        <v>хз</v>
      </c>
      <c r="Z1073" s="6" t="str">
        <f>IFERROR(__xludf.DUMMYFUNCTION("""COMPUTED_VALUE"""),"готовность к 300 летию кузбасса.")</f>
        <v>готовность к 300 летию кузбасса.</v>
      </c>
      <c r="AA1073" s="6" t="str">
        <f>IFERROR(__xludf.DUMMYFUNCTION("""COMPUTED_VALUE"""),"пожар в зимний вишне.")</f>
        <v>пожар в зимний вишне.</v>
      </c>
      <c r="AB1073" s="6" t="str">
        <f>IFERROR(__xludf.DUMMYFUNCTION("""COMPUTED_VALUE"""),"школа танцев")</f>
        <v>школа танцев</v>
      </c>
      <c r="AC1073" s="6" t="str">
        <f>IFERROR(__xludf.DUMMYFUNCTION("""COMPUTED_VALUE"""),"субботник ")</f>
        <v>субботник </v>
      </c>
      <c r="AD107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073" s="6" t="str">
        <f>IFERROR(__xludf.DUMMYFUNCTION("""COMPUTED_VALUE"""),"Мужской")</f>
        <v>Мужской</v>
      </c>
      <c r="AF1073" s="6" t="str">
        <f>IFERROR(__xludf.DUMMYFUNCTION("""COMPUTED_VALUE"""),"18-29")</f>
        <v>18-29</v>
      </c>
      <c r="AG1073" s="6"/>
      <c r="AH1073" s="6"/>
      <c r="AI1073" s="6"/>
      <c r="AJ1073" s="6"/>
      <c r="AK1073" s="6"/>
      <c r="AL1073" s="6"/>
      <c r="AM1073" s="6"/>
    </row>
    <row r="1074">
      <c r="A1074" s="6">
        <v>1073.0</v>
      </c>
      <c r="B1074" s="6" t="str">
        <f>IFERROR(__xludf.DUMMYFUNCTION("""COMPUTED_VALUE"""),"Предпринимателей ")</f>
        <v>Предпринимателей </v>
      </c>
      <c r="C1074" s="6" t="str">
        <f>IFERROR(__xludf.DUMMYFUNCTION("""COMPUTED_VALUE"""),"Путешествия, чтение, рисование. ")</f>
        <v>Путешествия, чтение, рисование. </v>
      </c>
      <c r="D1074" s="6" t="str">
        <f>IFERROR(__xludf.DUMMYFUNCTION("""COMPUTED_VALUE"""),"Металплощалка - Зелёный остров. Так и называем: «Зелёный остров»")</f>
        <v>Металплощалка - Зелёный остров. Так и называем: «Зелёный остров»</v>
      </c>
      <c r="E1074" s="6" t="str">
        <f>IFERROR(__xludf.DUMMYFUNCTION("""COMPUTED_VALUE"""),"«Мой парк» ")</f>
        <v>«Мой парк» </v>
      </c>
      <c r="F1074" s="6" t="str">
        <f>IFERROR(__xludf.DUMMYFUNCTION("""COMPUTED_VALUE"""),"Живу здесь с рождения")</f>
        <v>Живу здесь с рождения</v>
      </c>
      <c r="G1074" s="6" t="str">
        <f>IFERROR(__xludf.DUMMYFUNCTION("""COMPUTED_VALUE"""),"Набережная, ул. Весенняя, Сосновый Бор. ")</f>
        <v>Набережная, ул. Весенняя, Сосновый Бор. </v>
      </c>
      <c r="H1074" s="6" t="str">
        <f>IFERROR(__xludf.DUMMYFUNCTION("""COMPUTED_VALUE"""),"Молодой, красивый, чистый, зелёный, развивающийся. ")</f>
        <v>Молодой, красивый, чистый, зелёный, развивающийся. </v>
      </c>
      <c r="I1074" s="6" t="str">
        <f>IFERROR(__xludf.DUMMYFUNCTION("""COMPUTED_VALUE"""),"Леонов, Волков, Рутгерс. ")</f>
        <v>Леонов, Волков, Рутгерс. </v>
      </c>
      <c r="J1074" s="6" t="str">
        <f>IFERROR(__xludf.DUMMYFUNCTION("""COMPUTED_VALUE"""),"Барбараш, Фёдоров.")</f>
        <v>Барбараш, Фёдоров.</v>
      </c>
      <c r="K1074" s="6" t="str">
        <f>IFERROR(__xludf.DUMMYFUNCTION("""COMPUTED_VALUE"""),"Красную горку, Томскую писаницу, набережную, Лесную поляну. ")</f>
        <v>Красную горку, Томскую писаницу, набережную, Лесную поляну. </v>
      </c>
      <c r="L1074" s="6" t="str">
        <f>IFERROR(__xludf.DUMMYFUNCTION("""COMPUTED_VALUE"""),"Не знаю)))")</f>
        <v>Не знаю)))</v>
      </c>
      <c r="M1074" s="6" t="str">
        <f>IFERROR(__xludf.DUMMYFUNCTION("""COMPUTED_VALUE"""),"Нет))")</f>
        <v>Нет))</v>
      </c>
      <c r="N1074" s="6" t="str">
        <f>IFERROR(__xludf.DUMMYFUNCTION("""COMPUTED_VALUE"""),"Компактный, параллельно-перпендикулярные улицы, чистый, много цветов летом, практически в самом городе сохранили Сосновый Бор. ")</f>
        <v>Компактный, параллельно-перпендикулярные улицы, чистый, много цветов летом, практически в самом городе сохранили Сосновый Бор. </v>
      </c>
      <c r="O1074" s="6" t="str">
        <f>IFERROR(__xludf.DUMMYFUNCTION("""COMPUTED_VALUE"""),"Отремонтировать дороги во дворах, при этом ОБЯЗАТЕЛЬНО положить  «лежачих полицейский», чтобы машины во дворах медленно ездили. Сейчас благодаря ямам во дворах дети спокойно гуляют, а машины медленно ездят)))")</f>
        <v>Отремонтировать дороги во дворах, при этом ОБЯЗАТЕЛЬНО положить  «лежачих полицейский», чтобы машины во дворах медленно ездили. Сейчас благодаря ямам во дворах дети спокойно гуляют, а машины медленно ездят)))</v>
      </c>
      <c r="P1074" s="6" t="str">
        <f>IFERROR(__xludf.DUMMYFUNCTION("""COMPUTED_VALUE"""),"Уличные афиши. От соц сетей максимально отказываюсь!!! Уже поднадоели)))")</f>
        <v>Уличные афиши. От соц сетей максимально отказываюсь!!! Уже поднадоели)))</v>
      </c>
      <c r="Q1074" s="6" t="str">
        <f>IFERROR(__xludf.DUMMYFUNCTION("""COMPUTED_VALUE"""),"культурные новинки (что почитать/что послушать), интервью с местными предпринимателями, результаты местных исследований (рейтинги/аналитика/тенденции)")</f>
        <v>культурные новинки (что почитать/что послушать), интервью с местными предпринимателями, результаты местных исследований (рейтинги/аналитика/тенденции)</v>
      </c>
      <c r="R1074" s="6" t="str">
        <f>IFERROR(__xludf.DUMMYFUNCTION("""COMPUTED_VALUE"""),"День города, День шахтёра. ")</f>
        <v>День города, День шахтёра. </v>
      </c>
      <c r="S1074" s="6" t="str">
        <f>IFERROR(__xludf.DUMMYFUNCTION("""COMPUTED_VALUE"""),"Нет, не приходилось")</f>
        <v>Нет, не приходилось</v>
      </c>
      <c r="T1074" s="6" t="str">
        <f>IFERROR(__xludf.DUMMYFUNCTION("""COMPUTED_VALUE"""),"Томской писаницей, Сосновым бором почти в центре города, Лесной поляной. ")</f>
        <v>Томской писаницей, Сосновым бором почти в центре города, Лесной поляной. </v>
      </c>
      <c r="U1074" s="6" t="str">
        <f>IFERROR(__xludf.DUMMYFUNCTION("""COMPUTED_VALUE"""),"Ул. Весенняя, Драм Театр, набережная. ")</f>
        <v>Ул. Весенняя, Драм Театр, набережная. </v>
      </c>
      <c r="V1074" s="6" t="str">
        <f>IFERROR(__xludf.DUMMYFUNCTION("""COMPUTED_VALUE"""),"Первыми вышли в космос, наладили уникальное производство клапанов для сердца и сделали доступными операции на сердце для всех жителей. ")</f>
        <v>Первыми вышли в космос, наладили уникальное производство клапанов для сердца и сделали доступными операции на сердце для всех жителей. </v>
      </c>
      <c r="W1074" s="6" t="str">
        <f>IFERROR(__xludf.DUMMYFUNCTION("""COMPUTED_VALUE"""),"Добрые! Юморные! Патриотичные!")</f>
        <v>Добрые! Юморные! Патриотичные!</v>
      </c>
      <c r="X1074" s="6" t="str">
        <f>IFERROR(__xludf.DUMMYFUNCTION("""COMPUTED_VALUE"""),"Весенняя, Набережная. ")</f>
        <v>Весенняя, Набережная. </v>
      </c>
      <c r="Y1074" s="6" t="str">
        <f>IFERROR(__xludf.DUMMYFUNCTION("""COMPUTED_VALUE"""),"Волков нашёл уголь)))")</f>
        <v>Волков нашёл уголь)))</v>
      </c>
      <c r="Z1074" s="6" t="str">
        <f>IFERROR(__xludf.DUMMYFUNCTION("""COMPUTED_VALUE"""),"Из последнего - приезд Гришковца, а если серьезно «адекватная» реакция властей города на весь этот фарс, навязанный стране, под названием «пандемия». ")</f>
        <v>Из последнего - приезд Гришковца, а если серьезно «адекватная» реакция властей города на весь этот фарс, навязанный стране, под названием «пандемия». </v>
      </c>
      <c r="AA1074" s="6" t="str">
        <f>IFERROR(__xludf.DUMMYFUNCTION("""COMPUTED_VALUE"""),"Миграция бизнеса в соседние регионы и Москву в следствии  излишне-жёсткой политики и действий налоговых органов области и города!!!!!  Из-за этого потеря доверия к власти, как неспособной защитить местный бизнес. Большой вопрос и в доверии к налоговой. Уш"&amp;"едшие бизнесы НЕ ХОТЯТ возвращаться!!! Причины всем известны... Бизнесу приходиться  работать в жутких условиях дикого капитализма, и когда в разных регионах разная ответственность, то это приводит к гибели тех, кто работает там где «давят» и процветают т"&amp;"ам где «лояльны».  ")</f>
        <v>Миграция бизнеса в соседние регионы и Москву в следствии  излишне-жёсткой политики и действий налоговых органов области и города!!!!!  Из-за этого потеря доверия к власти, как неспособной защитить местный бизнес. Большой вопрос и в доверии к налоговой. Ушедшие бизнесы НЕ ХОТЯТ возвращаться!!! Причины всем известны... Бизнесу приходиться  работать в жутких условиях дикого капитализма, и когда в разных регионах разная ответственность, то это приводит к гибели тех, кто работает там где «давят» и процветают там где «лояльны».  </v>
      </c>
      <c r="AB1074" s="6" t="str">
        <f>IFERROR(__xludf.DUMMYFUNCTION("""COMPUTED_VALUE"""),"Затрудняюсь ответить. ")</f>
        <v>Затрудняюсь ответить. </v>
      </c>
      <c r="AC1074" s="6" t="str">
        <f>IFERROR(__xludf.DUMMYFUNCTION("""COMPUTED_VALUE"""),"Направленных на здоровый образ жизни))) только здоровым, трезвым людям можно привит культуру, интерес, любовь к городу...")</f>
        <v>Направленных на здоровый образ жизни))) только здоровым, трезвым людям можно привит культуру, интерес, любовь к городу...</v>
      </c>
      <c r="AD1074"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74" s="6" t="str">
        <f>IFERROR(__xludf.DUMMYFUNCTION("""COMPUTED_VALUE"""),"Женский")</f>
        <v>Женский</v>
      </c>
      <c r="AF1074" s="6" t="str">
        <f>IFERROR(__xludf.DUMMYFUNCTION("""COMPUTED_VALUE"""),"45-55")</f>
        <v>45-55</v>
      </c>
      <c r="AG1074" s="6"/>
      <c r="AH1074" s="6"/>
      <c r="AI1074" s="6"/>
      <c r="AJ1074" s="6"/>
      <c r="AK1074" s="6"/>
      <c r="AL1074" s="6"/>
      <c r="AM1074" s="6"/>
    </row>
    <row r="1075">
      <c r="A1075" s="6">
        <v>1074.0</v>
      </c>
      <c r="B1075" s="6" t="str">
        <f>IFERROR(__xludf.DUMMYFUNCTION("""COMPUTED_VALUE"""),"Бровист-визажист. ")</f>
        <v>Бровист-визажист. </v>
      </c>
      <c r="C1075" s="6" t="str">
        <f>IFERROR(__xludf.DUMMYFUNCTION("""COMPUTED_VALUE"""),"Макияж и оформление бровей ")</f>
        <v>Макияж и оформление бровей </v>
      </c>
      <c r="D1075" s="6" t="str">
        <f>IFERROR(__xludf.DUMMYFUNCTION("""COMPUTED_VALUE"""),"в Ленинском районе ")</f>
        <v>в Ленинском районе </v>
      </c>
      <c r="E1075" s="6" t="str">
        <f>IFERROR(__xludf.DUMMYFUNCTION("""COMPUTED_VALUE"""),"Бульвар ")</f>
        <v>Бульвар </v>
      </c>
      <c r="F1075" s="6" t="str">
        <f>IFERROR(__xludf.DUMMYFUNCTION("""COMPUTED_VALUE"""),"Живу здесь с рождения")</f>
        <v>Живу здесь с рождения</v>
      </c>
      <c r="G1075" s="6" t="str">
        <f>IFERROR(__xludf.DUMMYFUNCTION("""COMPUTED_VALUE"""),"Центральный район, набережная, ул. Весенняя  ")</f>
        <v>Центральный район, набережная, ул. Весенняя  </v>
      </c>
      <c r="H1075" s="6" t="str">
        <f>IFERROR(__xludf.DUMMYFUNCTION("""COMPUTED_VALUE"""),"Угольный край, триста лет Кузбассу")</f>
        <v>Угольный край, триста лет Кузбассу</v>
      </c>
      <c r="I1075" s="6" t="str">
        <f>IFERROR(__xludf.DUMMYFUNCTION("""COMPUTED_VALUE"""),"Геннадий Юров, Василий Фёдоров, Михайло Волков ")</f>
        <v>Геннадий Юров, Василий Фёдоров, Михайло Волков </v>
      </c>
      <c r="J1075" s="6" t="str">
        <f>IFERROR(__xludf.DUMMYFUNCTION("""COMPUTED_VALUE"""),"Тулеев ")</f>
        <v>Тулеев </v>
      </c>
      <c r="K1075" s="6" t="str">
        <f>IFERROR(__xludf.DUMMYFUNCTION("""COMPUTED_VALUE"""),"Парк Ангелов, набережная, Притомский проспект, Бульвар")</f>
        <v>Парк Ангелов, набережная, Притомский проспект, Бульвар</v>
      </c>
      <c r="L1075" s="6" t="str">
        <f>IFERROR(__xludf.DUMMYFUNCTION("""COMPUTED_VALUE"""),"не знаю ")</f>
        <v>не знаю </v>
      </c>
      <c r="M1075" s="6" t="str">
        <f>IFERROR(__xludf.DUMMYFUNCTION("""COMPUTED_VALUE"""),"швейка, лапа")</f>
        <v>швейка, лапа</v>
      </c>
      <c r="N1075" s="6" t="str">
        <f>IFERROR(__xludf.DUMMYFUNCTION("""COMPUTED_VALUE"""),"Экология, хорошая транспортная развязка, торговые центры ")</f>
        <v>Экология, хорошая транспортная развязка, торговые центры </v>
      </c>
      <c r="O1075" s="6" t="str">
        <f>IFERROR(__xludf.DUMMYFUNCTION("""COMPUTED_VALUE"""),"Экология ")</f>
        <v>Экология </v>
      </c>
      <c r="P1075" s="6" t="str">
        <f>IFERROR(__xludf.DUMMYFUNCTION("""COMPUTED_VALUE"""),"Инстаграм ")</f>
        <v>Инстаграм </v>
      </c>
      <c r="Q1075" s="6" t="str">
        <f>IFERROR(__xludf.DUMMYFUNCTION("""COMPUTED_VALUE"""),"куда пойти в свободное время, где вкусно поесть/открытие новых кафе/ресторанов, интервью с местными предпринимателями")</f>
        <v>куда пойти в свободное время, где вкусно поесть/открытие новых кафе/ресторанов, интервью с местными предпринимателями</v>
      </c>
      <c r="R1075" s="6" t="str">
        <f>IFERROR(__xludf.DUMMYFUNCTION("""COMPUTED_VALUE"""),"День Шахтёра ")</f>
        <v>День Шахтёра </v>
      </c>
      <c r="S1075" s="6" t="str">
        <f>IFERROR(__xludf.DUMMYFUNCTION("""COMPUTED_VALUE"""),"Нет, не приходилось")</f>
        <v>Нет, не приходилось</v>
      </c>
      <c r="T1075" s="6" t="str">
        <f>IFERROR(__xludf.DUMMYFUNCTION("""COMPUTED_VALUE"""),"Природа ")</f>
        <v>Природа </v>
      </c>
      <c r="U1075" s="6" t="str">
        <f>IFERROR(__xludf.DUMMYFUNCTION("""COMPUTED_VALUE"""),"Центр города ")</f>
        <v>Центр города </v>
      </c>
      <c r="V1075" s="6" t="str">
        <f>IFERROR(__xludf.DUMMYFUNCTION("""COMPUTED_VALUE"""),"добывали уголь ")</f>
        <v>добывали уголь </v>
      </c>
      <c r="W1075" s="6" t="str">
        <f>IFERROR(__xludf.DUMMYFUNCTION("""COMPUTED_VALUE"""),"Добрые, отзывчивые ")</f>
        <v>Добрые, отзывчивые </v>
      </c>
      <c r="X1075" s="6" t="str">
        <f>IFERROR(__xludf.DUMMYFUNCTION("""COMPUTED_VALUE"""),"Центр ")</f>
        <v>Центр </v>
      </c>
      <c r="Y1075" s="6" t="str">
        <f>IFERROR(__xludf.DUMMYFUNCTION("""COMPUTED_VALUE"""),"открытие угля ")</f>
        <v>открытие угля </v>
      </c>
      <c r="Z1075" s="6" t="str">
        <f>IFERROR(__xludf.DUMMYFUNCTION("""COMPUTED_VALUE"""),"день Шахтёра ")</f>
        <v>день Шахтёра </v>
      </c>
      <c r="AA1075" s="6" t="str">
        <f>IFERROR(__xludf.DUMMYFUNCTION("""COMPUTED_VALUE"""),"Митинг ")</f>
        <v>Митинг </v>
      </c>
      <c r="AB1075" s="6" t="str">
        <f>IFERROR(__xludf.DUMMYFUNCTION("""COMPUTED_VALUE"""),"Волонтёрство ")</f>
        <v>Волонтёрство </v>
      </c>
      <c r="AC1075" s="6" t="str">
        <f>IFERROR(__xludf.DUMMYFUNCTION("""COMPUTED_VALUE"""),"Праздничной обстановки ")</f>
        <v>Праздничной обстановки </v>
      </c>
      <c r="AD1075"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075" s="6" t="str">
        <f>IFERROR(__xludf.DUMMYFUNCTION("""COMPUTED_VALUE"""),"Женский")</f>
        <v>Женский</v>
      </c>
      <c r="AF1075" s="6" t="str">
        <f>IFERROR(__xludf.DUMMYFUNCTION("""COMPUTED_VALUE"""),"18-29")</f>
        <v>18-29</v>
      </c>
      <c r="AG1075" s="6"/>
      <c r="AH1075" s="6"/>
      <c r="AI1075" s="6"/>
      <c r="AJ1075" s="6"/>
      <c r="AK1075" s="6"/>
      <c r="AL1075" s="6"/>
      <c r="AM1075" s="6"/>
    </row>
    <row r="1076">
      <c r="A1076" s="6">
        <v>1075.0</v>
      </c>
      <c r="B1076" s="6" t="str">
        <f>IFERROR(__xludf.DUMMYFUNCTION("""COMPUTED_VALUE"""),"Графический дизайнер проектов ")</f>
        <v>Графический дизайнер проектов </v>
      </c>
      <c r="C1076" s="6" t="str">
        <f>IFERROR(__xludf.DUMMYFUNCTION("""COMPUTED_VALUE"""),"Футбол , пейетбол ")</f>
        <v>Футбол , пейетбол </v>
      </c>
      <c r="D1076" s="6" t="str">
        <f>IFERROR(__xludf.DUMMYFUNCTION("""COMPUTED_VALUE"""),"Пгт кедровка")</f>
        <v>Пгт кедровка</v>
      </c>
      <c r="E1076" s="6" t="str">
        <f>IFERROR(__xludf.DUMMYFUNCTION("""COMPUTED_VALUE"""),"Швейка ")</f>
        <v>Швейка </v>
      </c>
      <c r="F1076" s="6" t="str">
        <f>IFERROR(__xludf.DUMMYFUNCTION("""COMPUTED_VALUE"""),"Живу здесь с рождения")</f>
        <v>Живу здесь с рождения</v>
      </c>
      <c r="G1076" s="6" t="str">
        <f>IFERROR(__xludf.DUMMYFUNCTION("""COMPUTED_VALUE"""),"Стадион химик")</f>
        <v>Стадион химик</v>
      </c>
      <c r="H1076" s="6" t="str">
        <f>IFERROR(__xludf.DUMMYFUNCTION("""COMPUTED_VALUE"""),"Грязь , экология , набережная , ")</f>
        <v>Грязь , экология , набережная , </v>
      </c>
      <c r="I1076" s="6" t="str">
        <f>IFERROR(__xludf.DUMMYFUNCTION("""COMPUTED_VALUE"""),"Хрущев ")</f>
        <v>Хрущев </v>
      </c>
      <c r="J1076" s="6" t="str">
        <f>IFERROR(__xludf.DUMMYFUNCTION("""COMPUTED_VALUE"""),"Тулеев ")</f>
        <v>Тулеев </v>
      </c>
      <c r="K1076" s="6" t="str">
        <f>IFERROR(__xludf.DUMMYFUNCTION("""COMPUTED_VALUE"""),"Набережная")</f>
        <v>Набережная</v>
      </c>
      <c r="L1076" s="6" t="str">
        <f>IFERROR(__xludf.DUMMYFUNCTION("""COMPUTED_VALUE"""),"Жил да был")</f>
        <v>Жил да был</v>
      </c>
      <c r="M1076" s="6" t="str">
        <f>IFERROR(__xludf.DUMMYFUNCTION("""COMPUTED_VALUE"""),"Швейка")</f>
        <v>Швейка</v>
      </c>
      <c r="N1076" s="6" t="str">
        <f>IFERROR(__xludf.DUMMYFUNCTION("""COMPUTED_VALUE"""),"Нету")</f>
        <v>Нету</v>
      </c>
      <c r="O1076" s="6" t="str">
        <f>IFERROR(__xludf.DUMMYFUNCTION("""COMPUTED_VALUE"""),"Инфраструктуру")</f>
        <v>Инфраструктуру</v>
      </c>
      <c r="P1076" s="6" t="str">
        <f>IFERROR(__xludf.DUMMYFUNCTION("""COMPUTED_VALUE"""),"Новости")</f>
        <v>Новости</v>
      </c>
      <c r="Q1076" s="6" t="str">
        <f>IFERROR(__xludf.DUMMYFUNCTION("""COMPUTED_VALUE"""),"где вкусно поесть/открытие новых кафе/ресторанов, культурные новинки (что почитать/что послушать), интервью с местными политиками, интервью с местными творческими личностями, результаты местных исследований (рейтинги/аналитика/тенденции)")</f>
        <v>где вкусно поесть/открытие новых кафе/ресторанов, культурные новинки (что почитать/что послушать), интервью с местными политиками, интервью с местными творческими личностями, результаты местных исследований (рейтинги/аналитика/тенденции)</v>
      </c>
      <c r="R1076" s="6" t="str">
        <f>IFERROR(__xludf.DUMMYFUNCTION("""COMPUTED_VALUE"""),"9маЯ")</f>
        <v>9маЯ</v>
      </c>
      <c r="S1076" s="6" t="str">
        <f>IFERROR(__xludf.DUMMYFUNCTION("""COMPUTED_VALUE"""),"Делал рассылку по электронной почте, Обращался в редакции городских газет, телевидения, радио")</f>
        <v>Делал рассылку по электронной почте, Обращался в редакции городских газет, телевидения, радио</v>
      </c>
      <c r="T1076" s="6" t="str">
        <f>IFERROR(__xludf.DUMMYFUNCTION("""COMPUTED_VALUE"""),"Угольная промышленность")</f>
        <v>Угольная промышленность</v>
      </c>
      <c r="U1076" s="6" t="str">
        <f>IFERROR(__xludf.DUMMYFUNCTION("""COMPUTED_VALUE"""),"Томь")</f>
        <v>Томь</v>
      </c>
      <c r="V1076" s="6" t="str">
        <f>IFERROR(__xludf.DUMMYFUNCTION("""COMPUTED_VALUE"""),"Работа ")</f>
        <v>Работа </v>
      </c>
      <c r="W1076" s="6" t="str">
        <f>IFERROR(__xludf.DUMMYFUNCTION("""COMPUTED_VALUE"""),"Грустные ")</f>
        <v>Грустные </v>
      </c>
      <c r="X1076" s="6" t="str">
        <f>IFERROR(__xludf.DUMMYFUNCTION("""COMPUTED_VALUE"""),"От дома к дому ")</f>
        <v>От дома к дому </v>
      </c>
      <c r="Y1076" s="6" t="str">
        <f>IFERROR(__xludf.DUMMYFUNCTION("""COMPUTED_VALUE"""),"Зимняя вишня")</f>
        <v>Зимняя вишня</v>
      </c>
      <c r="Z1076" s="6" t="str">
        <f>IFERROR(__xludf.DUMMYFUNCTION("""COMPUTED_VALUE"""),"9 мая ")</f>
        <v>9 мая </v>
      </c>
      <c r="AA1076" s="6" t="str">
        <f>IFERROR(__xludf.DUMMYFUNCTION("""COMPUTED_VALUE"""),"Зимняя вишня ")</f>
        <v>Зимняя вишня </v>
      </c>
      <c r="AB1076" s="6" t="str">
        <f>IFERROR(__xludf.DUMMYFUNCTION("""COMPUTED_VALUE"""),"Без понятия")</f>
        <v>Без понятия</v>
      </c>
      <c r="AC1076" s="6" t="str">
        <f>IFERROR(__xludf.DUMMYFUNCTION("""COMPUTED_VALUE"""),"Праздники")</f>
        <v>Праздники</v>
      </c>
      <c r="AD1076"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076" s="6" t="str">
        <f>IFERROR(__xludf.DUMMYFUNCTION("""COMPUTED_VALUE"""),"Мужской")</f>
        <v>Мужской</v>
      </c>
      <c r="AF1076" s="6" t="str">
        <f>IFERROR(__xludf.DUMMYFUNCTION("""COMPUTED_VALUE"""),"18-29")</f>
        <v>18-29</v>
      </c>
      <c r="AG1076" s="6"/>
      <c r="AH1076" s="6"/>
      <c r="AI1076" s="6"/>
      <c r="AJ1076" s="6"/>
      <c r="AK1076" s="6"/>
      <c r="AL1076" s="6"/>
      <c r="AM1076" s="6"/>
    </row>
    <row r="1077">
      <c r="A1077" s="6">
        <v>1076.0</v>
      </c>
      <c r="B1077" s="6" t="str">
        <f>IFERROR(__xludf.DUMMYFUNCTION("""COMPUTED_VALUE"""),"Проектный институт. Начальник отдела.")</f>
        <v>Проектный институт. Начальник отдела.</v>
      </c>
      <c r="C1077" s="6" t="str">
        <f>IFERROR(__xludf.DUMMYFUNCTION("""COMPUTED_VALUE"""),"Мотоцикл")</f>
        <v>Мотоцикл</v>
      </c>
      <c r="D1077" s="6" t="str">
        <f>IFERROR(__xludf.DUMMYFUNCTION("""COMPUTED_VALUE"""),"ФПК. ФПК.")</f>
        <v>ФПК. ФПК.</v>
      </c>
      <c r="E1077" s="6" t="str">
        <f>IFERROR(__xludf.DUMMYFUNCTION("""COMPUTED_VALUE"""),"Сквер новорожденных, Исправительная колония №5, Ледовая арена, Хоккейный клуб")</f>
        <v>Сквер новорожденных, Исправительная колония №5, Ледовая арена, Хоккейный клуб</v>
      </c>
      <c r="F1077" s="6" t="str">
        <f>IFERROR(__xludf.DUMMYFUNCTION("""COMPUTED_VALUE"""),"Живу здесь с рождения")</f>
        <v>Живу здесь с рождения</v>
      </c>
      <c r="G1077" s="6" t="str">
        <f>IFERROR(__xludf.DUMMYFUNCTION("""COMPUTED_VALUE"""),"Кедровый бор, парки, кинотеатры, батутный центр")</f>
        <v>Кедровый бор, парки, кинотеатры, батутный центр</v>
      </c>
      <c r="H1077" s="6" t="str">
        <f>IFERROR(__xludf.DUMMYFUNCTION("""COMPUTED_VALUE"""),"Уголь, Экология, Азот, Родина, Детство")</f>
        <v>Уголь, Экология, Азот, Родина, Детство</v>
      </c>
      <c r="I1077" s="6" t="str">
        <f>IFERROR(__xludf.DUMMYFUNCTION("""COMPUTED_VALUE"""),"Аман Тулеев, Михайло Волков")</f>
        <v>Аман Тулеев, Михайло Волков</v>
      </c>
      <c r="J1077" s="6" t="str">
        <f>IFERROR(__xludf.DUMMYFUNCTION("""COMPUTED_VALUE"""),"Владимир Михаилов (экс мэр города)")</f>
        <v>Владимир Михаилов (экс мэр города)</v>
      </c>
      <c r="K1077" s="6" t="str">
        <f>IFERROR(__xludf.DUMMYFUNCTION("""COMPUTED_VALUE"""),"Красную горку, набережную, парк Веры Волошиной, церковь и прилегающую территорию Ксении Петербуржской")</f>
        <v>Красную горку, набережную, парк Веры Волошиной, церковь и прилегающую территорию Ксении Петербуржской</v>
      </c>
      <c r="L1077" s="6" t="str">
        <f>IFERROR(__xludf.DUMMYFUNCTION("""COMPUTED_VALUE"""),"""Ну расскажи им как ты устал сегодня в офисе"" - надпись под фото с шахтером в забое
"".....он придёт и молча поправит всё, человек из Кееееемерова"" Гребенщиков и группа Аквариум )))")</f>
        <v>"Ну расскажи им как ты устал сегодня в офисе" - надпись под фото с шахтером в забое
".....он придёт и молча поправит всё, человек из Кееееемерова" Гребенщиков и группа Аквариум )))</v>
      </c>
      <c r="M1077" s="6" t="str">
        <f>IFERROR(__xludf.DUMMYFUNCTION("""COMPUTED_VALUE"""),"КузГТУ)")</f>
        <v>КузГТУ)</v>
      </c>
      <c r="N1077" s="6" t="str">
        <f>IFERROR(__xludf.DUMMYFUNCTION("""COMPUTED_VALUE"""),"Любовь
Чистые улицы (благоустройство)
Трафик
Инфраструктура
Люди")</f>
        <v>Любовь
Чистые улицы (благоустройство)
Трафик
Инфраструктура
Люди</v>
      </c>
      <c r="O1077" s="6" t="str">
        <f>IFERROR(__xludf.DUMMYFUNCTION("""COMPUTED_VALUE"""),"Экологию")</f>
        <v>Экологию</v>
      </c>
      <c r="P1077" s="6" t="str">
        <f>IFERROR(__xludf.DUMMYFUNCTION("""COMPUTED_VALUE"""),"ВК, ТВ")</f>
        <v>ВК, ТВ</v>
      </c>
      <c r="Q1077" s="6" t="str">
        <f>IFERROR(__xludf.DUMMYFUNCTION("""COMPUTED_VALUE"""),"где вкусно поесть/открытие новых кафе/ресторанов, культурные новинки (что почитать/что послушать), криминальные новости (происшествия/преступления)")</f>
        <v>где вкусно поесть/открытие новых кафе/ресторанов, культурные новинки (что почитать/что послушать), криминальные новости (происшествия/преступления)</v>
      </c>
      <c r="R1077" s="6" t="str">
        <f>IFERROR(__xludf.DUMMYFUNCTION("""COMPUTED_VALUE"""),"День победы, Новый Год, день Города")</f>
        <v>День победы, Новый Год, день Города</v>
      </c>
      <c r="S1077" s="6" t="str">
        <f>IFERROR(__xludf.DUMMYFUNCTION("""COMPUTED_VALUE"""),"Писал и расклеивал объявления/афиши, Делал рассылку по электронной почте")</f>
        <v>Писал и расклеивал объявления/афиши, Делал рассылку по электронной почте</v>
      </c>
      <c r="T1077" s="6" t="str">
        <f>IFERROR(__xludf.DUMMYFUNCTION("""COMPUTED_VALUE"""),"Своими природными ресурсами")</f>
        <v>Своими природными ресурсами</v>
      </c>
      <c r="U1077" s="6" t="str">
        <f>IFERROR(__xludf.DUMMYFUNCTION("""COMPUTED_VALUE"""),"Памятник Ленину")</f>
        <v>Памятник Ленину</v>
      </c>
      <c r="V1077" s="6" t="str">
        <f>IFERROR(__xludf.DUMMYFUNCTION("""COMPUTED_VALUE"""),"Превратили Щегловск в город!")</f>
        <v>Превратили Щегловск в город!</v>
      </c>
      <c r="W1077" s="6" t="str">
        <f>IFERROR(__xludf.DUMMYFUNCTION("""COMPUTED_VALUE"""),"Доброжелательные, гостеприимные, веселые")</f>
        <v>Доброжелательные, гостеприимные, веселые</v>
      </c>
      <c r="X1077" s="6" t="str">
        <f>IFERROR(__xludf.DUMMYFUNCTION("""COMPUTED_VALUE"""),"Центральные улицы (например от драмтеатра до набережной)")</f>
        <v>Центральные улицы (например от драмтеатра до набережной)</v>
      </c>
      <c r="Y1077" s="6" t="str">
        <f>IFERROR(__xludf.DUMMYFUNCTION("""COMPUTED_VALUE"""),"Как ни грустно - Зимняя вишня")</f>
        <v>Как ни грустно - Зимняя вишня</v>
      </c>
      <c r="Z1077" s="6" t="str">
        <f>IFERROR(__xludf.DUMMYFUNCTION("""COMPUTED_VALUE"""),"Бессмертный полк, новогодняя Ель")</f>
        <v>Бессмертный полк, новогодняя Ель</v>
      </c>
      <c r="AA1077" s="6" t="str">
        <f>IFERROR(__xludf.DUMMYFUNCTION("""COMPUTED_VALUE"""),"Зимняя вишня")</f>
        <v>Зимняя вишня</v>
      </c>
      <c r="AB1077" s="6" t="str">
        <f>IFERROR(__xludf.DUMMYFUNCTION("""COMPUTED_VALUE"""),"Байк клубов")</f>
        <v>Байк клубов</v>
      </c>
      <c r="AC1077" s="6" t="str">
        <f>IFERROR(__xludf.DUMMYFUNCTION("""COMPUTED_VALUE"""),"Как вариант - день Ивана Купалы на площади Ленина")</f>
        <v>Как вариант - день Ивана Купалы на площади Ленина</v>
      </c>
      <c r="AD1077"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077" s="6" t="str">
        <f>IFERROR(__xludf.DUMMYFUNCTION("""COMPUTED_VALUE"""),"Мужской")</f>
        <v>Мужской</v>
      </c>
      <c r="AF1077" s="6" t="str">
        <f>IFERROR(__xludf.DUMMYFUNCTION("""COMPUTED_VALUE"""),"30-44")</f>
        <v>30-44</v>
      </c>
      <c r="AG1077" s="6"/>
      <c r="AH1077" s="6"/>
      <c r="AI1077" s="6"/>
      <c r="AJ1077" s="6"/>
      <c r="AK1077" s="6"/>
      <c r="AL1077" s="6"/>
      <c r="AM1077" s="6"/>
    </row>
    <row r="1078">
      <c r="A1078" s="6">
        <v>1077.0</v>
      </c>
      <c r="B1078" s="6" t="str">
        <f>IFERROR(__xludf.DUMMYFUNCTION("""COMPUTED_VALUE"""),"Специалист в социальной сфере")</f>
        <v>Специалист в социальной сфере</v>
      </c>
      <c r="C1078" s="6" t="str">
        <f>IFERROR(__xludf.DUMMYFUNCTION("""COMPUTED_VALUE"""),"Рукоделие (вязание, плетение)")</f>
        <v>Рукоделие (вязание, плетение)</v>
      </c>
      <c r="D1078" s="6" t="str">
        <f>IFERROR(__xludf.DUMMYFUNCTION("""COMPUTED_VALUE"""),"Рудничный, Радуга")</f>
        <v>Рудничный, Радуга</v>
      </c>
      <c r="E1078" s="6" t="str">
        <f>IFERROR(__xludf.DUMMYFUNCTION("""COMPUTED_VALUE"""),"набережная Красная горка, парк дружбы")</f>
        <v>набережная Красная горка, парк дружбы</v>
      </c>
      <c r="F1078" s="6" t="str">
        <f>IFERROR(__xludf.DUMMYFUNCTION("""COMPUTED_VALUE"""),"Переехал сюда из другого места (откуда? укажите в графе другое), Пос. Крапивинский")</f>
        <v>Переехал сюда из другого места (откуда? укажите в графе другое), Пос. Крапивинский</v>
      </c>
      <c r="G1078" s="6" t="str">
        <f>IFERROR(__xludf.DUMMYFUNCTION("""COMPUTED_VALUE"""),"В сосновый бор, по проспекту Шахтеров")</f>
        <v>В сосновый бор, по проспекту Шахтеров</v>
      </c>
      <c r="H1078" s="6" t="str">
        <f>IFERROR(__xludf.DUMMYFUNCTION("""COMPUTED_VALUE"""),"Затрудняюсь ответить")</f>
        <v>Затрудняюсь ответить</v>
      </c>
      <c r="I1078" s="6" t="str">
        <f>IFERROR(__xludf.DUMMYFUNCTION("""COMPUTED_VALUE"""),"Михайло Волков")</f>
        <v>Михайло Волков</v>
      </c>
      <c r="J1078" s="6" t="str">
        <f>IFERROR(__xludf.DUMMYFUNCTION("""COMPUTED_VALUE"""),"Алексей Леонов")</f>
        <v>Алексей Леонов</v>
      </c>
      <c r="K1078" s="6" t="str">
        <f>IFERROR(__xludf.DUMMYFUNCTION("""COMPUTED_VALUE"""),"Затрудняюсь ответить")</f>
        <v>Затрудняюсь ответить</v>
      </c>
      <c r="L1078" s="6" t="str">
        <f>IFERROR(__xludf.DUMMYFUNCTION("""COMPUTED_VALUE"""),"Затрудняюсь ответить")</f>
        <v>Затрудняюсь ответить</v>
      </c>
      <c r="M1078" s="6" t="str">
        <f>IFERROR(__xludf.DUMMYFUNCTION("""COMPUTED_VALUE"""),"Затрудняюсь ответить")</f>
        <v>Затрудняюсь ответить</v>
      </c>
      <c r="N1078" s="6" t="str">
        <f>IFERROR(__xludf.DUMMYFUNCTION("""COMPUTED_VALUE"""),"Уют чистота доступность красота вежливость")</f>
        <v>Уют чистота доступность красота вежливость</v>
      </c>
      <c r="O1078" s="6" t="str">
        <f>IFERROR(__xludf.DUMMYFUNCTION("""COMPUTED_VALUE"""),"Отношение к окружающей среде, так как большинство перестало уважать вокруг и загрязняют своим мусором который можно убрать самостоятельно и быть вежливым и лояльным к нуждающимся")</f>
        <v>Отношение к окружающей среде, так как большинство перестало уважать вокруг и загрязняют своим мусором который можно убрать самостоятельно и быть вежливым и лояльным к нуждающимся</v>
      </c>
      <c r="P1078" s="6" t="str">
        <f>IFERROR(__xludf.DUMMYFUNCTION("""COMPUTED_VALUE"""),"Интернет, ок, ВКонтакте, Инстаграм и т.п.")</f>
        <v>Интернет, ок, ВКонтакте, Инстаграм и т.п.</v>
      </c>
      <c r="Q1078"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1078" s="6" t="str">
        <f>IFERROR(__xludf.DUMMYFUNCTION("""COMPUTED_VALUE"""),"День города")</f>
        <v>День города</v>
      </c>
      <c r="S1078" s="6" t="str">
        <f>IFERROR(__xludf.DUMMYFUNCTION("""COMPUTED_VALUE"""),"Нет, не приходилось")</f>
        <v>Нет, не приходилось</v>
      </c>
      <c r="T1078" s="6" t="str">
        <f>IFERROR(__xludf.DUMMYFUNCTION("""COMPUTED_VALUE"""),"Сейчас город выглядит немного иначе в том плане что если раньше был знаменит с помощью угольной промышленности, то сейчас большинство заводов закрыты и больше идёт торговая промышленность что теряет начальную черту и ничем особенным по моему мнению не выд"&amp;"елить ")</f>
        <v>Сейчас город выглядит немного иначе в том плане что если раньше был знаменит с помощью угольной промышленности, то сейчас большинство заводов закрыты и больше идёт торговая промышленность что теряет начальную черту и ничем особенным по моему мнению не выделить </v>
      </c>
      <c r="U1078" s="6" t="str">
        <f>IFERROR(__xludf.DUMMYFUNCTION("""COMPUTED_VALUE"""),"Затрудняюсь ответить")</f>
        <v>Затрудняюсь ответить</v>
      </c>
      <c r="V1078" s="6" t="str">
        <f>IFERROR(__xludf.DUMMYFUNCTION("""COMPUTED_VALUE"""),"Затрудняюсь ответить")</f>
        <v>Затрудняюсь ответить</v>
      </c>
      <c r="W1078" s="6" t="str">
        <f>IFERROR(__xludf.DUMMYFUNCTION("""COMPUTED_VALUE"""),"Затрудняюсь ответить")</f>
        <v>Затрудняюсь ответить</v>
      </c>
      <c r="X1078" s="6" t="str">
        <f>IFERROR(__xludf.DUMMYFUNCTION("""COMPUTED_VALUE"""),"Затрудняюсь ответить. Т.к.не зная где что находится турист просто не поймет.и в зависимости от того чем заинтересовать")</f>
        <v>Затрудняюсь ответить. Т.к.не зная где что находится турист просто не поймет.и в зависимости от того чем заинтересовать</v>
      </c>
      <c r="Y1078" s="6" t="str">
        <f>IFERROR(__xludf.DUMMYFUNCTION("""COMPUTED_VALUE"""),"Затрудняюсь ответить")</f>
        <v>Затрудняюсь ответить</v>
      </c>
      <c r="Z1078" s="6" t="str">
        <f>IFERROR(__xludf.DUMMYFUNCTION("""COMPUTED_VALUE"""),"Не посещала практически ничего за последние 2 года")</f>
        <v>Не посещала практически ничего за последние 2 года</v>
      </c>
      <c r="AA1078" s="6" t="str">
        <f>IFERROR(__xludf.DUMMYFUNCTION("""COMPUTED_VALUE"""),"Затрудняюсь ответить")</f>
        <v>Затрудняюсь ответить</v>
      </c>
      <c r="AB1078" s="6" t="str">
        <f>IFERROR(__xludf.DUMMYFUNCTION("""COMPUTED_VALUE"""),"Лично мне сложно найти куда можно попасть по своим интересам в сообщества.не хватает общения с людьми по интересам")</f>
        <v>Лично мне сложно найти куда можно попасть по своим интересам в сообщества.не хватает общения с людьми по интересам</v>
      </c>
      <c r="AC1078" s="6" t="str">
        <f>IFERROR(__xludf.DUMMYFUNCTION("""COMPUTED_VALUE"""),"Затрудняюсь ответить")</f>
        <v>Затрудняюсь ответить</v>
      </c>
      <c r="AD1078" s="6" t="str">
        <f>IFERROR(__xludf.DUMMYFUNCTION("""COMPUTED_VALUE"""),"Не готов принимать личное участие (укажите, пожалуйста, причину в поле «Другое»), Не активистка, даже не знаю смогу ли чем то помочь если многое не умею и не знаю.")</f>
        <v>Не готов принимать личное участие (укажите, пожалуйста, причину в поле «Другое»), Не активистка, даже не знаю смогу ли чем то помочь если многое не умею и не знаю.</v>
      </c>
      <c r="AE1078" s="6" t="str">
        <f>IFERROR(__xludf.DUMMYFUNCTION("""COMPUTED_VALUE"""),"Женский")</f>
        <v>Женский</v>
      </c>
      <c r="AF1078" s="6" t="str">
        <f>IFERROR(__xludf.DUMMYFUNCTION("""COMPUTED_VALUE"""),"30-44")</f>
        <v>30-44</v>
      </c>
      <c r="AG1078" s="6"/>
      <c r="AH1078" s="6"/>
      <c r="AI1078" s="6"/>
      <c r="AJ1078" s="6"/>
      <c r="AK1078" s="6"/>
      <c r="AL1078" s="6"/>
      <c r="AM1078" s="6"/>
    </row>
    <row r="1079">
      <c r="A1079" s="6">
        <v>1078.0</v>
      </c>
      <c r="B1079" s="6" t="str">
        <f>IFERROR(__xludf.DUMMYFUNCTION("""COMPUTED_VALUE"""),"Работник склада ")</f>
        <v>Работник склада </v>
      </c>
      <c r="C1079" s="6" t="str">
        <f>IFERROR(__xludf.DUMMYFUNCTION("""COMPUTED_VALUE"""),"Отдых с семьёй ")</f>
        <v>Отдых с семьёй </v>
      </c>
      <c r="D1079" s="6" t="str">
        <f>IFERROR(__xludf.DUMMYFUNCTION("""COMPUTED_VALUE"""),"Южный")</f>
        <v>Южный</v>
      </c>
      <c r="E1079" s="6" t="str">
        <f>IFERROR(__xludf.DUMMYFUNCTION("""COMPUTED_VALUE"""),"Набережная левого берега")</f>
        <v>Набережная левого берега</v>
      </c>
      <c r="F1079" s="6" t="str">
        <f>IFERROR(__xludf.DUMMYFUNCTION("""COMPUTED_VALUE"""),"Живу здесь с рождения")</f>
        <v>Живу здесь с рождения</v>
      </c>
      <c r="G1079" s="6" t="str">
        <f>IFERROR(__xludf.DUMMYFUNCTION("""COMPUTED_VALUE"""),"Особо ходить не куда ")</f>
        <v>Особо ходить не куда </v>
      </c>
      <c r="H1079" s="6" t="str">
        <f>IFERROR(__xludf.DUMMYFUNCTION("""COMPUTED_VALUE"""),"Уголь, Азот, смог, грязный воздух")</f>
        <v>Уголь, Азот, смог, грязный воздух</v>
      </c>
      <c r="I1079" s="6" t="str">
        <f>IFERROR(__xludf.DUMMYFUNCTION("""COMPUTED_VALUE"""),"Волошина, Двужильный, Рутгерс")</f>
        <v>Волошина, Двужильный, Рутгерс</v>
      </c>
      <c r="J1079" s="6" t="str">
        <f>IFERROR(__xludf.DUMMYFUNCTION("""COMPUTED_VALUE"""),"Не знаю")</f>
        <v>Не знаю</v>
      </c>
      <c r="K1079" s="6" t="str">
        <f>IFERROR(__xludf.DUMMYFUNCTION("""COMPUTED_VALUE"""),"Центр города, лесная поляна")</f>
        <v>Центр города, лесная поляна</v>
      </c>
      <c r="L1079" s="6" t="str">
        <f>IFERROR(__xludf.DUMMYFUNCTION("""COMPUTED_VALUE"""),"Не знаю")</f>
        <v>Не знаю</v>
      </c>
      <c r="M1079" s="6" t="str">
        <f>IFERROR(__xludf.DUMMYFUNCTION("""COMPUTED_VALUE"""),"Нет")</f>
        <v>Нет</v>
      </c>
      <c r="N1079" s="6" t="str">
        <f>IFERROR(__xludf.DUMMYFUNCTION("""COMPUTED_VALUE"""),"Транспортная развязка, фильтрации промпредриятий, парки, ТЦ, благоустройство территорий")</f>
        <v>Транспортная развязка, фильтрации промпредриятий, парки, ТЦ, благоустройство территорий</v>
      </c>
      <c r="O1079" s="6" t="str">
        <f>IFERROR(__xludf.DUMMYFUNCTION("""COMPUTED_VALUE"""),"Критерии в 13 вопросе")</f>
        <v>Критерии в 13 вопросе</v>
      </c>
      <c r="P1079" s="6" t="str">
        <f>IFERROR(__xludf.DUMMYFUNCTION("""COMPUTED_VALUE"""),"Яндекс, ВК")</f>
        <v>Яндекс, ВК</v>
      </c>
      <c r="Q1079" s="6" t="str">
        <f>IFERROR(__xludf.DUMMYFUNCTION("""COMPUTED_VALUE"""),"культурные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1079" s="6" t="str">
        <f>IFERROR(__xludf.DUMMYFUNCTION("""COMPUTED_VALUE"""),"Майские, день города")</f>
        <v>Майские, день города</v>
      </c>
      <c r="S1079" s="6" t="str">
        <f>IFERROR(__xludf.DUMMYFUNCTION("""COMPUTED_VALUE"""),"Нет, не приходилось")</f>
        <v>Нет, не приходилось</v>
      </c>
      <c r="T1079" s="6" t="str">
        <f>IFERROR(__xludf.DUMMYFUNCTION("""COMPUTED_VALUE"""),"Плохая экология города, уникальности в этом мало")</f>
        <v>Плохая экология города, уникальности в этом мало</v>
      </c>
      <c r="U1079" s="6" t="str">
        <f>IFERROR(__xludf.DUMMYFUNCTION("""COMPUTED_VALUE"""),"Набережная, пр. Советский, ул.Весенняя ")</f>
        <v>Набережная, пр. Советский, ул.Весенняя </v>
      </c>
      <c r="V1079" s="6" t="str">
        <f>IFERROR(__xludf.DUMMYFUNCTION("""COMPUTED_VALUE"""),"Из Щегловска построили Кемерово- пятиэтажки, Цирк, театры")</f>
        <v>Из Щегловска построили Кемерово- пятиэтажки, Цирк, театры</v>
      </c>
      <c r="W1079" s="6" t="str">
        <f>IFERROR(__xludf.DUMMYFUNCTION("""COMPUTED_VALUE"""),"Разные люди проживают")</f>
        <v>Разные люди проживают</v>
      </c>
      <c r="X1079" s="6" t="str">
        <f>IFERROR(__xludf.DUMMYFUNCTION("""COMPUTED_VALUE"""),"Словом крутой будет очень сильно сказано")</f>
        <v>Словом крутой будет очень сильно сказано</v>
      </c>
      <c r="Y1079" s="6" t="str">
        <f>IFERROR(__xludf.DUMMYFUNCTION("""COMPUTED_VALUE"""),"Мне запомнилось 200 летние Пушкина с днем города")</f>
        <v>Мне запомнилось 200 летние Пушкина с днем города</v>
      </c>
      <c r="Z1079" s="6" t="str">
        <f>IFERROR(__xludf.DUMMYFUNCTION("""COMPUTED_VALUE"""),"Строительство культурных объектов ")</f>
        <v>Строительство культурных объектов </v>
      </c>
      <c r="AA1079" s="6" t="str">
        <f>IFERROR(__xludf.DUMMYFUNCTION("""COMPUTED_VALUE"""),"Трагедия в Зимней вишне")</f>
        <v>Трагедия в Зимней вишне</v>
      </c>
      <c r="AB1079" s="6" t="str">
        <f>IFERROR(__xludf.DUMMYFUNCTION("""COMPUTED_VALUE"""),"Затрудняюсь ответить")</f>
        <v>Затрудняюсь ответить</v>
      </c>
      <c r="AC1079" s="6" t="str">
        <f>IFERROR(__xludf.DUMMYFUNCTION("""COMPUTED_VALUE"""),"Общенародные, типо ярмарок, встреч, люди работают и хотят отдохнуть на выходных ")</f>
        <v>Общенародные, типо ярмарок, встреч, люди работают и хотят отдохнуть на выходных </v>
      </c>
      <c r="AD107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79" s="6" t="str">
        <f>IFERROR(__xludf.DUMMYFUNCTION("""COMPUTED_VALUE"""),"Мужской")</f>
        <v>Мужской</v>
      </c>
      <c r="AF1079" s="6" t="str">
        <f>IFERROR(__xludf.DUMMYFUNCTION("""COMPUTED_VALUE"""),"30-44")</f>
        <v>30-44</v>
      </c>
      <c r="AG1079" s="6"/>
      <c r="AH1079" s="6"/>
      <c r="AI1079" s="6"/>
      <c r="AJ1079" s="6"/>
      <c r="AK1079" s="6"/>
      <c r="AL1079" s="6"/>
      <c r="AM1079" s="6"/>
    </row>
    <row r="1080">
      <c r="A1080" s="6">
        <v>1079.0</v>
      </c>
      <c r="B1080" s="6" t="str">
        <f>IFERROR(__xludf.DUMMYFUNCTION("""COMPUTED_VALUE"""),"Образование ")</f>
        <v>Образование </v>
      </c>
      <c r="C1080" s="6" t="str">
        <f>IFERROR(__xludf.DUMMYFUNCTION("""COMPUTED_VALUE"""),"Нет")</f>
        <v>Нет</v>
      </c>
      <c r="D1080" s="6" t="str">
        <f>IFERROR(__xludf.DUMMYFUNCTION("""COMPUTED_VALUE"""),"Ленинский")</f>
        <v>Ленинский</v>
      </c>
      <c r="E1080" s="6" t="str">
        <f>IFERROR(__xludf.DUMMYFUNCTION("""COMPUTED_VALUE"""),"Бульвар строителей ")</f>
        <v>Бульвар строителей </v>
      </c>
      <c r="F1080"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1080" s="6" t="str">
        <f>IFERROR(__xludf.DUMMYFUNCTION("""COMPUTED_VALUE"""),"Ботанический сад, страусиное ранчо, бассейн сибирь")</f>
        <v>Ботанический сад, страусиное ранчо, бассейн сибирь</v>
      </c>
      <c r="H1080" s="6" t="str">
        <f>IFERROR(__xludf.DUMMYFUNCTION("""COMPUTED_VALUE"""),"Растущий, загазованный, зелёный, чистый, не перспективный")</f>
        <v>Растущий, загазованный, зелёный, чистый, не перспективный</v>
      </c>
      <c r="I1080" s="6" t="str">
        <f>IFERROR(__xludf.DUMMYFUNCTION("""COMPUTED_VALUE"""),"Тулеев")</f>
        <v>Тулеев</v>
      </c>
      <c r="J1080" s="6" t="str">
        <f>IFERROR(__xludf.DUMMYFUNCTION("""COMPUTED_VALUE"""),"Леонов")</f>
        <v>Леонов</v>
      </c>
      <c r="K1080" s="6" t="str">
        <f>IFERROR(__xludf.DUMMYFUNCTION("""COMPUTED_VALUE"""),"Музей ""красная горка"" ")</f>
        <v>Музей "красная горка" </v>
      </c>
      <c r="L1080" s="6" t="str">
        <f>IFERROR(__xludf.DUMMYFUNCTION("""COMPUTED_VALUE"""),"Прокопьевск-город цветных домов")</f>
        <v>Прокопьевск-город цветных домов</v>
      </c>
      <c r="M1080" s="6" t="str">
        <f>IFERROR(__xludf.DUMMYFUNCTION("""COMPUTED_VALUE"""),"Нет")</f>
        <v>Нет</v>
      </c>
      <c r="N1080" s="6" t="str">
        <f>IFERROR(__xludf.DUMMYFUNCTION("""COMPUTED_VALUE"""),"Отсутствие пробок, количество жителей не более 500тысяч, места для отдыха с детьми, высокие зарплаты, доступное жилье ")</f>
        <v>Отсутствие пробок, количество жителей не более 500тысяч, места для отдыха с детьми, высокие зарплаты, доступное жилье </v>
      </c>
      <c r="O1080" s="6" t="str">
        <f>IFERROR(__xludf.DUMMYFUNCTION("""COMPUTED_VALUE"""),"Пешеходные тротуары")</f>
        <v>Пешеходные тротуары</v>
      </c>
      <c r="P1080" s="6" t="str">
        <f>IFERROR(__xludf.DUMMYFUNCTION("""COMPUTED_VALUE"""),"В контакте")</f>
        <v>В контакте</v>
      </c>
      <c r="Q1080" s="6" t="str">
        <f>IFERROR(__xludf.DUMMYFUNCTION("""COMPUTED_VALUE"""),"куда пойти в свободное время, где вкусно поесть/открытие новых кафе/ресторанов, бизнес-новости (средний чек/рекламные акции/запуск новых предприятий)")</f>
        <v>куда пойти в свободное время, где вкусно поесть/открытие новых кафе/ресторанов, бизнес-новости (средний чек/рекламные акции/запуск новых предприятий)</v>
      </c>
      <c r="R1080" s="6" t="str">
        <f>IFERROR(__xludf.DUMMYFUNCTION("""COMPUTED_VALUE"""),"День города")</f>
        <v>День города</v>
      </c>
      <c r="S1080" s="6" t="str">
        <f>IFERROR(__xludf.DUMMYFUNCTION("""COMPUTED_VALUE"""),"Нет, не приходилось")</f>
        <v>Нет, не приходилось</v>
      </c>
      <c r="T1080" s="6" t="str">
        <f>IFERROR(__xludf.DUMMYFUNCTION("""COMPUTED_VALUE"""),"Химическая промышленность")</f>
        <v>Химическая промышленность</v>
      </c>
      <c r="U1080" s="6" t="str">
        <f>IFERROR(__xludf.DUMMYFUNCTION("""COMPUTED_VALUE"""),"Площадь советов ")</f>
        <v>Площадь советов </v>
      </c>
      <c r="V1080" s="6" t="str">
        <f>IFERROR(__xludf.DUMMYFUNCTION("""COMPUTED_VALUE"""),"Затрудняюсь ответить ")</f>
        <v>Затрудняюсь ответить </v>
      </c>
      <c r="W1080" s="6" t="str">
        <f>IFERROR(__xludf.DUMMYFUNCTION("""COMPUTED_VALUE"""),"Хмурые, спешащие, закомплексованные, не готовые к переменам")</f>
        <v>Хмурые, спешащие, закомплексованные, не готовые к переменам</v>
      </c>
      <c r="X1080" s="6" t="str">
        <f>IFERROR(__xludf.DUMMYFUNCTION("""COMPUTED_VALUE"""),"Набережная-Томская писаница-красная горка")</f>
        <v>Набережная-Томская писаница-красная горка</v>
      </c>
      <c r="Y1080" s="6" t="str">
        <f>IFERROR(__xludf.DUMMYFUNCTION("""COMPUTED_VALUE"""),"Рок концерт")</f>
        <v>Рок концерт</v>
      </c>
      <c r="Z1080" s="6" t="str">
        <f>IFERROR(__xludf.DUMMYFUNCTION("""COMPUTED_VALUE"""),"Справились с коронавирусом")</f>
        <v>Справились с коронавирусом</v>
      </c>
      <c r="AA1080" s="6" t="str">
        <f>IFERROR(__xludf.DUMMYFUNCTION("""COMPUTED_VALUE"""),"Зимняя вишня")</f>
        <v>Зимняя вишня</v>
      </c>
      <c r="AB1080" s="6" t="str">
        <f>IFERROR(__xludf.DUMMYFUNCTION("""COMPUTED_VALUE"""),"Йога на природе")</f>
        <v>Йога на природе</v>
      </c>
      <c r="AC1080" s="6" t="str">
        <f>IFERROR(__xludf.DUMMYFUNCTION("""COMPUTED_VALUE"""),"Побольше приезжих певцов, актеров")</f>
        <v>Побольше приезжих певцов, актеров</v>
      </c>
      <c r="AD108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080" s="6" t="str">
        <f>IFERROR(__xludf.DUMMYFUNCTION("""COMPUTED_VALUE"""),"Женский")</f>
        <v>Женский</v>
      </c>
      <c r="AF1080" s="6" t="str">
        <f>IFERROR(__xludf.DUMMYFUNCTION("""COMPUTED_VALUE"""),"30-44")</f>
        <v>30-44</v>
      </c>
      <c r="AG1080" s="6"/>
      <c r="AH1080" s="6"/>
      <c r="AI1080" s="6"/>
      <c r="AJ1080" s="6"/>
      <c r="AK1080" s="6"/>
      <c r="AL1080" s="6"/>
      <c r="AM1080" s="6"/>
    </row>
    <row r="1081">
      <c r="A1081" s="6">
        <v>1080.0</v>
      </c>
      <c r="B1081" s="6" t="str">
        <f>IFERROR(__xludf.DUMMYFUNCTION("""COMPUTED_VALUE"""),"пенсионер")</f>
        <v>пенсионер</v>
      </c>
      <c r="C1081" s="6" t="str">
        <f>IFERROR(__xludf.DUMMYFUNCTION("""COMPUTED_VALUE"""),"рыбалка, грибы")</f>
        <v>рыбалка, грибы</v>
      </c>
      <c r="D1081" s="6" t="str">
        <f>IFERROR(__xludf.DUMMYFUNCTION("""COMPUTED_VALUE"""),"Южный")</f>
        <v>Южный</v>
      </c>
      <c r="E1081" s="6" t="str">
        <f>IFERROR(__xludf.DUMMYFUNCTION("""COMPUTED_VALUE"""),"Привоз,  ОблГАИ,  Облвоенкомат,  Щегловский рынок, Лента, Сотка, рынок Дружба")</f>
        <v>Привоз,  ОблГАИ,  Облвоенкомат,  Щегловский рынок, Лента, Сотка, рынок Дружба</v>
      </c>
      <c r="F1081" s="6" t="str">
        <f>IFERROR(__xludf.DUMMYFUNCTION("""COMPUTED_VALUE"""),"Переехал сюда из другого места (откуда? укажите в графе другое), г. Березовский")</f>
        <v>Переехал сюда из другого места (откуда? укажите в графе другое), г. Березовский</v>
      </c>
      <c r="G1081" s="6" t="str">
        <f>IFERROR(__xludf.DUMMYFUNCTION("""COMPUTED_VALUE"""),"Набережная, р.Томь")</f>
        <v>Набережная, р.Томь</v>
      </c>
      <c r="H1081" s="6" t="str">
        <f>IFERROR(__xludf.DUMMYFUNCTION("""COMPUTED_VALUE"""),"Столица, ""Зимняя Вишня"", Филармония, Томь, Уголь")</f>
        <v>Столица, "Зимняя Вишня", Филармония, Томь, Уголь</v>
      </c>
      <c r="I1081" s="6" t="str">
        <f>IFERROR(__xludf.DUMMYFUNCTION("""COMPUTED_VALUE"""),"Волошина, Двужильный,  Волков, Рутгерс")</f>
        <v>Волошина, Двужильный,  Волков, Рутгерс</v>
      </c>
      <c r="J1081" s="6" t="str">
        <f>IFERROR(__xludf.DUMMYFUNCTION("""COMPUTED_VALUE"""),"Ермаков, Тулеев, Леонов, Раздаев, Подгорбунский, Панин, Бобров")</f>
        <v>Ермаков, Тулеев, Леонов, Раздаев, Подгорбунский, Панин, Бобров</v>
      </c>
      <c r="K1081" s="6" t="str">
        <f>IFERROR(__xludf.DUMMYFUNCTION("""COMPUTED_VALUE"""),"Томская писаница, Набережная, Красная Горка, Супер и гипермаркеты")</f>
        <v>Томская писаница, Набережная, Красная Горка, Супер и гипермаркеты</v>
      </c>
      <c r="L1081" s="6" t="str">
        <f>IFERROR(__xludf.DUMMYFUNCTION("""COMPUTED_VALUE"""),"-")</f>
        <v>-</v>
      </c>
      <c r="M1081" s="6" t="str">
        <f>IFERROR(__xludf.DUMMYFUNCTION("""COMPUTED_VALUE"""),"КУЗБАСС, губернаторская водка, ")</f>
        <v>КУЗБАСС, губернаторская водка, </v>
      </c>
      <c r="N1081" s="6" t="str">
        <f>IFERROR(__xludf.DUMMYFUNCTION("""COMPUTED_VALUE"""),"Жилье, развитая инфраструктура (дороги, магазины, кинотеатры, развлк. центры, больницы, школы и т.д), отсутствие криминала, чистота и порядок, отсутствие безработицы (достойная зарплата)")</f>
        <v>Жилье, развитая инфраструктура (дороги, магазины, кинотеатры, развлк. центры, больницы, школы и т.д), отсутствие криминала, чистота и порядок, отсутствие безработицы (достойная зарплата)</v>
      </c>
      <c r="O1081" s="6" t="str">
        <f>IFERROR(__xludf.DUMMYFUNCTION("""COMPUTED_VALUE"""),"бюрократию в Администрации и коррупцию")</f>
        <v>бюрократию в Администрации и коррупцию</v>
      </c>
      <c r="P1081" s="6" t="str">
        <f>IFERROR(__xludf.DUMMYFUNCTION("""COMPUTED_VALUE"""),"Маил, РБК, Рамблер, Яндекс, А42")</f>
        <v>Маил, РБК, Рамблер, Яндекс, А42</v>
      </c>
      <c r="Q1081" s="6" t="str">
        <f>IFERROR(__xludf.DUMMYFUNCTION("""COMPUTED_VALUE"""),"культурные новинки (что почитать/что послушать), криминальные новости (происшествия/преступления), интервью с экспертами на разные темы (напишите в разделе Другое свои предложения)")</f>
        <v>культурные новинки (что почитать/что послушать), криминальные новости (происшествия/преступления), интервью с экспертами на разные темы (напишите в разделе Другое свои предложения)</v>
      </c>
      <c r="R1081" s="6" t="str">
        <f>IFERROR(__xludf.DUMMYFUNCTION("""COMPUTED_VALUE"""),"День Города, Новый Год, 9 Мая, 1 сентября")</f>
        <v>День Города, Новый Год, 9 Мая, 1 сентября</v>
      </c>
      <c r="S1081" s="6" t="str">
        <f>IFERROR(__xludf.DUMMYFUNCTION("""COMPUTED_VALUE"""),"Нет, не приходилось")</f>
        <v>Нет, не приходилось</v>
      </c>
      <c r="T1081" s="6" t="str">
        <f>IFERROR(__xludf.DUMMYFUNCTION("""COMPUTED_VALUE"""),"Филармония, Столица КУЗБАССА, ")</f>
        <v>Филармония, Столица КУЗБАССА, </v>
      </c>
      <c r="U1081" s="6" t="str">
        <f>IFERROR(__xludf.DUMMYFUNCTION("""COMPUTED_VALUE"""),"Площадь Советов")</f>
        <v>Площадь Советов</v>
      </c>
      <c r="V1081" s="6" t="str">
        <f>IFERROR(__xludf.DUMMYFUNCTION("""COMPUTED_VALUE"""),"Город знают не только в России")</f>
        <v>Город знают не только в России</v>
      </c>
      <c r="W1081" s="6" t="str">
        <f>IFERROR(__xludf.DUMMYFUNCTION("""COMPUTED_VALUE"""),"каждый индивидуален")</f>
        <v>каждый индивидуален</v>
      </c>
      <c r="X1081" s="6" t="str">
        <f>IFERROR(__xludf.DUMMYFUNCTION("""COMPUTED_VALUE"""),"Площадь Советов-Филармония-пр.Советский-ул. Весеняя-Набережная-Горсад")</f>
        <v>Площадь Советов-Филармония-пр.Советский-ул. Весеняя-Набережная-Горсад</v>
      </c>
      <c r="Y1081" s="6" t="str">
        <f>IFERROR(__xludf.DUMMYFUNCTION("""COMPUTED_VALUE"""),"Чемпионат мира по хоккею с мячом среди юниоров, Бессмертный полк на 9 мая")</f>
        <v>Чемпионат мира по хоккею с мячом среди юниоров, Бессмертный полк на 9 мая</v>
      </c>
      <c r="Z1081" s="6" t="str">
        <f>IFERROR(__xludf.DUMMYFUNCTION("""COMPUTED_VALUE"""),"Волейбольный клуб стал чемпионом России,")</f>
        <v>Волейбольный клуб стал чемпионом России,</v>
      </c>
      <c r="AA1081" s="6" t="str">
        <f>IFERROR(__xludf.DUMMYFUNCTION("""COMPUTED_VALUE"""),"Пожар в Зимней Вишне")</f>
        <v>Пожар в Зимней Вишне</v>
      </c>
      <c r="AB1081" s="6" t="str">
        <f>IFERROR(__xludf.DUMMYFUNCTION("""COMPUTED_VALUE"""),"-")</f>
        <v>-</v>
      </c>
      <c r="AC1081" s="6" t="str">
        <f>IFERROR(__xludf.DUMMYFUNCTION("""COMPUTED_VALUE"""),"Построить АКВАПАРК и Диснейленд")</f>
        <v>Построить АКВАПАРК и Диснейленд</v>
      </c>
      <c r="AD108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81" s="6" t="str">
        <f>IFERROR(__xludf.DUMMYFUNCTION("""COMPUTED_VALUE"""),"Мужской")</f>
        <v>Мужской</v>
      </c>
      <c r="AF1081" s="6" t="str">
        <f>IFERROR(__xludf.DUMMYFUNCTION("""COMPUTED_VALUE"""),"45-55")</f>
        <v>45-55</v>
      </c>
      <c r="AG1081" s="6"/>
      <c r="AH1081" s="6"/>
      <c r="AI1081" s="6"/>
      <c r="AJ1081" s="6"/>
      <c r="AK1081" s="6"/>
      <c r="AL1081" s="6"/>
      <c r="AM1081" s="6"/>
    </row>
    <row r="1082">
      <c r="A1082" s="6">
        <v>1081.0</v>
      </c>
      <c r="B1082" s="6" t="str">
        <f>IFERROR(__xludf.DUMMYFUNCTION("""COMPUTED_VALUE"""),"Маркетинг и сбыт")</f>
        <v>Маркетинг и сбыт</v>
      </c>
      <c r="C1082" s="6" t="str">
        <f>IFERROR(__xludf.DUMMYFUNCTION("""COMPUTED_VALUE"""),"Велосипедные прогулки")</f>
        <v>Велосипедные прогулки</v>
      </c>
      <c r="D1082" s="6" t="str">
        <f>IFERROR(__xludf.DUMMYFUNCTION("""COMPUTED_VALUE"""),"Квартал Плодопитомник,Заводский район")</f>
        <v>Квартал Плодопитомник,Заводский район</v>
      </c>
      <c r="E1082" s="6" t="str">
        <f>IFERROR(__xludf.DUMMYFUNCTION("""COMPUTED_VALUE"""),"Ужасные дороги и ужасная детская площадка")</f>
        <v>Ужасные дороги и ужасная детская площадка</v>
      </c>
      <c r="F1082" s="6" t="str">
        <f>IFERROR(__xludf.DUMMYFUNCTION("""COMPUTED_VALUE"""),"Живу здесь с рождения")</f>
        <v>Живу здесь с рождения</v>
      </c>
      <c r="G1082" s="6" t="str">
        <f>IFERROR(__xludf.DUMMYFUNCTION("""COMPUTED_VALUE"""),"Парки")</f>
        <v>Парки</v>
      </c>
      <c r="H1082" s="6" t="str">
        <f>IFERROR(__xludf.DUMMYFUNCTION("""COMPUTED_VALUE"""),"Памятник Сердце Шахтёра, музей Красная горка, Фонтан у драмтеатра, площадь Волкова, парк ангелов.")</f>
        <v>Памятник Сердце Шахтёра, музей Красная горка, Фонтан у драмтеатра, площадь Волкова, парк ангелов.</v>
      </c>
      <c r="I1082" s="6" t="str">
        <f>IFERROR(__xludf.DUMMYFUNCTION("""COMPUTED_VALUE"""),"Леонов А.А., М.Волков")</f>
        <v>Леонов А.А., М.Волков</v>
      </c>
      <c r="J1082" s="6" t="str">
        <f>IFERROR(__xludf.DUMMYFUNCTION("""COMPUTED_VALUE"""),"Тулеев, Цивилев")</f>
        <v>Тулеев, Цивилев</v>
      </c>
      <c r="K1082" s="6" t="str">
        <f>IFERROR(__xludf.DUMMYFUNCTION("""COMPUTED_VALUE"""),"Сердце Шахтёра, гостиница и парк при администрации области, бульвар Строителей")</f>
        <v>Сердце Шахтёра, гостиница и парк при администрации области, бульвар Строителей</v>
      </c>
      <c r="L1082" s="6" t="str">
        <f>IFERROR(__xludf.DUMMYFUNCTION("""COMPUTED_VALUE"""),"Не знаю")</f>
        <v>Не знаю</v>
      </c>
      <c r="M1082" s="6" t="str">
        <f>IFERROR(__xludf.DUMMYFUNCTION("""COMPUTED_VALUE"""),"Нет")</f>
        <v>Нет</v>
      </c>
      <c r="N1082" s="6" t="str">
        <f>IFERROR(__xludf.DUMMYFUNCTION("""COMPUTED_VALUE"""),"Хорошие дороги для машин, пешеходов и велосипедистов, доступные вблизи проживания парки, чистота на улицах и в парках, детские площадки в каждом квартале,и тем более в частном секторе")</f>
        <v>Хорошие дороги для машин, пешеходов и велосипедистов, доступные вблизи проживания парки, чистота на улицах и в парках, детские площадки в каждом квартале,и тем более в частном секторе</v>
      </c>
      <c r="O1082" s="6" t="str">
        <f>IFERROR(__xludf.DUMMYFUNCTION("""COMPUTED_VALUE"""),"Отремонтировать дороги, убрать мусор, начать уже сортировать мусор, в том числе в частном секторе")</f>
        <v>Отремонтировать дороги, убрать мусор, начать уже сортировать мусор, в том числе в частном секторе</v>
      </c>
      <c r="P1082" s="6" t="str">
        <f>IFERROR(__xludf.DUMMYFUNCTION("""COMPUTED_VALUE"""),"Вайбер, Инстаграм, ТВ, радио ")</f>
        <v>Вайбер, Инстаграм, ТВ, радио </v>
      </c>
      <c r="Q1082" s="6" t="str">
        <f>IFERROR(__xludf.DUMMYFUNCTION("""COMPUTED_VALUE"""),"интервью с местными творческими личностями, интервью с местными предпринимателями, результаты местных исследований (рейтинги/аналитика/тенденции)")</f>
        <v>интервью с местными творческими личностями, интервью с местными предпринимателями, результаты местных исследований (рейтинги/аналитика/тенденции)</v>
      </c>
      <c r="R1082" s="6" t="str">
        <f>IFERROR(__xludf.DUMMYFUNCTION("""COMPUTED_VALUE"""),"Новый год, 9 мая,день Шахтёров")</f>
        <v>Новый год, 9 мая,день Шахтёров</v>
      </c>
      <c r="S1082" s="6" t="str">
        <f>IFERROR(__xludf.DUMMYFUNCTION("""COMPUTED_VALUE"""),"Нет, не приходилось")</f>
        <v>Нет, не приходилось</v>
      </c>
      <c r="T1082" s="6" t="str">
        <f>IFERROR(__xludf.DUMMYFUNCTION("""COMPUTED_VALUE"""),"Президентский кадетский корпус")</f>
        <v>Президентский кадетский корпус</v>
      </c>
      <c r="U1082" s="6" t="str">
        <f>IFERROR(__xludf.DUMMYFUNCTION("""COMPUTED_VALUE"""),"Комсомольский парк, бульвар Строителей, парк ангелов")</f>
        <v>Комсомольский парк, бульвар Строителей, парк ангелов</v>
      </c>
      <c r="V1082" s="6" t="str">
        <f>IFERROR(__xludf.DUMMYFUNCTION("""COMPUTED_VALUE"""),"Многое было сделано, город вырос из деревни")</f>
        <v>Многое было сделано, город вырос из деревни</v>
      </c>
      <c r="W1082" s="6" t="str">
        <f>IFERROR(__xludf.DUMMYFUNCTION("""COMPUTED_VALUE"""),"Все мы разные, каких-либо отличительных качестве я не смогу назвать")</f>
        <v>Все мы разные, каких-либо отличительных качестве я не смогу назвать</v>
      </c>
      <c r="X1082" s="6" t="str">
        <f>IFERROR(__xludf.DUMMYFUNCTION("""COMPUTED_VALUE"""),"Парк ангелов,парк Жукова, площадь Советов, площадь Волкова, набережная реки Томь, парк чудес, весенняя,фонтан у драмтеатра")</f>
        <v>Парк ангелов,парк Жукова, площадь Советов, площадь Волкова, набережная реки Томь, парк чудес, весенняя,фонтан у драмтеатра</v>
      </c>
      <c r="Y1082" s="6" t="str">
        <f>IFERROR(__xludf.DUMMYFUNCTION("""COMPUTED_VALUE"""),"Строительство культурного кластера")</f>
        <v>Строительство культурного кластера</v>
      </c>
      <c r="Z1082" s="6" t="str">
        <f>IFERROR(__xludf.DUMMYFUNCTION("""COMPUTED_VALUE"""),"Строительство культурного кластера и кадетского президентского корпуса")</f>
        <v>Строительство культурного кластера и кадетского президентского корпуса</v>
      </c>
      <c r="AA1082" s="6" t="str">
        <f>IFERROR(__xludf.DUMMYFUNCTION("""COMPUTED_VALUE"""),"Нету")</f>
        <v>Нету</v>
      </c>
      <c r="AB1082" s="6" t="str">
        <f>IFERROR(__xludf.DUMMYFUNCTION("""COMPUTED_VALUE"""),"Чистюль)), обучение детей сортировать мусор ")</f>
        <v>Чистюль)), обучение детей сортировать мусор </v>
      </c>
      <c r="AC1082" s="6" t="str">
        <f>IFERROR(__xludf.DUMMYFUNCTION("""COMPUTED_VALUE"""),"Массовых бесплатных концертов звёзд рок,поп культуры")</f>
        <v>Массовых бесплатных концертов звёзд рок,поп культуры</v>
      </c>
      <c r="AD1082" s="6" t="str">
        <f>IFERROR(__xludf.DUMMYFUNCTION("""COMPUTED_VALUE"""),"Запустить свой предпринимательский проект, организовать компанию., Хотим открыть ферму, с мини-контактным зоопарком ")</f>
        <v>Запустить свой предпринимательский проект, организовать компанию., Хотим открыть ферму, с мини-контактным зоопарком </v>
      </c>
      <c r="AE1082" s="6" t="str">
        <f>IFERROR(__xludf.DUMMYFUNCTION("""COMPUTED_VALUE"""),"Женский")</f>
        <v>Женский</v>
      </c>
      <c r="AF1082" s="6" t="str">
        <f>IFERROR(__xludf.DUMMYFUNCTION("""COMPUTED_VALUE"""),"30-44")</f>
        <v>30-44</v>
      </c>
      <c r="AG1082" s="6"/>
      <c r="AH1082" s="6"/>
      <c r="AI1082" s="6"/>
      <c r="AJ1082" s="6"/>
      <c r="AK1082" s="6"/>
      <c r="AL1082" s="6"/>
      <c r="AM1082" s="6"/>
    </row>
    <row r="1083">
      <c r="A1083" s="6">
        <v>1082.0</v>
      </c>
      <c r="B1083" s="6" t="str">
        <f>IFERROR(__xludf.DUMMYFUNCTION("""COMPUTED_VALUE"""),"Пенсионерка, не работаю ")</f>
        <v>Пенсионерка, не работаю </v>
      </c>
      <c r="C1083" s="6" t="str">
        <f>IFERROR(__xludf.DUMMYFUNCTION("""COMPUTED_VALUE"""),"Внуки")</f>
        <v>Внуки</v>
      </c>
      <c r="D1083" s="6" t="str">
        <f>IFERROR(__xludf.DUMMYFUNCTION("""COMPUTED_VALUE"""),"Ленинский, пр. Восточный ")</f>
        <v>Ленинский, пр. Восточный </v>
      </c>
      <c r="E1083" s="6" t="str">
        <f>IFERROR(__xludf.DUMMYFUNCTION("""COMPUTED_VALUE"""),"Бульвар Строителей ")</f>
        <v>Бульвар Строителей </v>
      </c>
      <c r="F1083" s="6" t="str">
        <f>IFERROR(__xludf.DUMMYFUNCTION("""COMPUTED_VALUE"""),"Живу здесь с рождения")</f>
        <v>Живу здесь с рождения</v>
      </c>
      <c r="G1083" s="6" t="str">
        <f>IFERROR(__xludf.DUMMYFUNCTION("""COMPUTED_VALUE"""),"Особо никуда, только рядом с домом ")</f>
        <v>Особо никуда, только рядом с домом </v>
      </c>
      <c r="H1083" s="6" t="str">
        <f>IFERROR(__xludf.DUMMYFUNCTION("""COMPUTED_VALUE"""),"Ухоженный, компактный, родной, небольшой, уютный")</f>
        <v>Ухоженный, компактный, родной, небольшой, уютный</v>
      </c>
      <c r="I1083" s="6" t="str">
        <f>IFERROR(__xludf.DUMMYFUNCTION("""COMPUTED_VALUE"""),"Вера Волошина, Алексей Леонов, Красильников, Михайло Волков, Двужильный")</f>
        <v>Вера Волошина, Алексей Леонов, Красильников, Михайло Волков, Двужильный</v>
      </c>
      <c r="J1083" s="6" t="str">
        <f>IFERROR(__xludf.DUMMYFUNCTION("""COMPUTED_VALUE"""),"Не знаю таких ")</f>
        <v>Не знаю таких </v>
      </c>
      <c r="K1083" s="6" t="str">
        <f>IFERROR(__xludf.DUMMYFUNCTION("""COMPUTED_VALUE"""),"Лесная поляна, ул. Весенняя, набережная Томи, притомский пр. И наш красивый микрорайон 68")</f>
        <v>Лесная поляна, ул. Весенняя, набережная Томи, притомский пр. И наш красивый микрорайон 68</v>
      </c>
      <c r="L1083" s="6" t="str">
        <f>IFERROR(__xludf.DUMMYFUNCTION("""COMPUTED_VALUE"""),"Не знаю ")</f>
        <v>Не знаю </v>
      </c>
      <c r="M1083" s="6" t="str">
        <f>IFERROR(__xludf.DUMMYFUNCTION("""COMPUTED_VALUE"""),"Нет")</f>
        <v>Нет</v>
      </c>
      <c r="N1083" s="6" t="str">
        <f>IFERROR(__xludf.DUMMYFUNCTION("""COMPUTED_VALUE"""),"Хорошие дороги, ухоженные дворы с широкими проездами, озеленение, чистые обочины дорог, освещённость, своевременный, вывоз ТБО, близость торговых точек, остановок общественного транспорта, с чем в нашем мк 68 очень плохо, я писала об этом в Кузбасс Онлайн"&amp;" ")</f>
        <v>Хорошие дороги, ухоженные дворы с широкими проездами, озеленение, чистые обочины дорог, освещённость, своевременный, вывоз ТБО, близость торговых точек, остановок общественного транспорта, с чем в нашем мк 68 очень плохо, я писала об этом в Кузбасс Онлайн </v>
      </c>
      <c r="O1083" s="6" t="str">
        <f>IFERROR(__xludf.DUMMYFUNCTION("""COMPUTED_VALUE"""),"Маршруты общественного транспорта в направлении пр. КОМСОМОЛЬСКИЙ С ПР. ХИМИКОВ, А НЕ УЛ. МАРКОВЦЕВА, И ОБРАТНО. ОСОБЕННО ОБРАТНО, В НАШЕМ НАПРАВЛЕНИИ ПО НОВОЙ ЧАСТ пр. Химиков и по пр Восточный вообще нет транспорта, с также размещение остановок странное"&amp;" и очень неудобное ")</f>
        <v>Маршруты общественного транспорта в направлении пр. КОМСОМОЛЬСКИЙ С ПР. ХИМИКОВ, А НЕ УЛ. МАРКОВЦЕВА, И ОБРАТНО. ОСОБЕННО ОБРАТНО, В НАШЕМ НАПРАВЛЕНИИ ПО НОВОЙ ЧАСТ пр. Химиков и по пр Восточный вообще нет транспорта, с также размещение остановок странное и очень неудобное </v>
      </c>
      <c r="P1083" s="6" t="str">
        <f>IFERROR(__xludf.DUMMYFUNCTION("""COMPUTED_VALUE"""),"Кузбасс Онлайн, инстаграмм, вести тв, просто интернет ")</f>
        <v>Кузбасс Онлайн, инстаграмм, вести тв, просто интернет </v>
      </c>
      <c r="Q1083" s="6" t="str">
        <f>IFERROR(__xludf.DUMMYFUNCTION("""COMPUTED_VALUE"""),"культурные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f>
        <v>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1083" s="6" t="str">
        <f>IFERROR(__xludf.DUMMYFUNCTION("""COMPUTED_VALUE"""),"9 мая, день города, день шахтёра ")</f>
        <v>9 мая, день города, день шахтёра </v>
      </c>
      <c r="S1083" s="6" t="str">
        <f>IFERROR(__xludf.DUMMYFUNCTION("""COMPUTED_VALUE"""),"Нет, не приходилось")</f>
        <v>Нет, не приходилось</v>
      </c>
      <c r="T1083" s="6" t="str">
        <f>IFERROR(__xludf.DUMMYFUNCTION("""COMPUTED_VALUE"""),"Думаю, дороги, чистота улиц ")</f>
        <v>Думаю, дороги, чистота улиц </v>
      </c>
      <c r="U1083" s="6" t="str">
        <f>IFERROR(__xludf.DUMMYFUNCTION("""COMPUTED_VALUE"""),"Площадь Советов")</f>
        <v>Площадь Советов</v>
      </c>
      <c r="V1083" s="6" t="str">
        <f>IFERROR(__xludf.DUMMYFUNCTION("""COMPUTED_VALUE"""),"Основали его и развили, нынешнее строительство просто восхищает, город преображается")</f>
        <v>Основали его и развили, нынешнее строительство просто восхищает, город преображается</v>
      </c>
      <c r="W1083" s="6" t="str">
        <f>IFERROR(__xludf.DUMMYFUNCTION("""COMPUTED_VALUE"""),"Простые и добрые, любящие свой город, Россию")</f>
        <v>Простые и добрые, любящие свой город, Россию</v>
      </c>
      <c r="X1083" s="6" t="str">
        <f>IFERROR(__xludf.DUMMYFUNCTION("""COMPUTED_VALUE"""),"Лесная поляна ")</f>
        <v>Лесная поляна </v>
      </c>
      <c r="Y1083" s="6" t="str">
        <f>IFERROR(__xludf.DUMMYFUNCTION("""COMPUTED_VALUE"""),"Не готова ответить ")</f>
        <v>Не готова ответить </v>
      </c>
      <c r="Z1083" s="6" t="str">
        <f>IFERROR(__xludf.DUMMYFUNCTION("""COMPUTED_VALUE"""),"Масштабное строительство")</f>
        <v>Масштабное строительство</v>
      </c>
      <c r="AA1083" s="6" t="str">
        <f>IFERROR(__xludf.DUMMYFUNCTION("""COMPUTED_VALUE"""),"Митинги за Навального, мне он неприятен")</f>
        <v>Митинги за Навального, мне он неприятен</v>
      </c>
      <c r="AB1083" s="6" t="str">
        <f>IFERROR(__xludf.DUMMYFUNCTION("""COMPUTED_VALUE"""),"Спортивных для пенсионеров")</f>
        <v>Спортивных для пенсионеров</v>
      </c>
      <c r="AC1083" s="6" t="str">
        <f>IFERROR(__xludf.DUMMYFUNCTION("""COMPUTED_VALUE"""),"Обшеспортивные")</f>
        <v>Обшеспортивные</v>
      </c>
      <c r="AD108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083" s="6" t="str">
        <f>IFERROR(__xludf.DUMMYFUNCTION("""COMPUTED_VALUE"""),"Женский")</f>
        <v>Женский</v>
      </c>
      <c r="AF1083" s="6" t="str">
        <f>IFERROR(__xludf.DUMMYFUNCTION("""COMPUTED_VALUE"""),"старше 55")</f>
        <v>старше 55</v>
      </c>
      <c r="AG1083" s="6"/>
      <c r="AH1083" s="6"/>
      <c r="AI1083" s="6"/>
      <c r="AJ1083" s="6"/>
      <c r="AK1083" s="6"/>
      <c r="AL1083" s="6"/>
      <c r="AM1083" s="6"/>
    </row>
    <row r="1084">
      <c r="A1084" s="6">
        <v>1083.0</v>
      </c>
      <c r="B1084" s="6" t="str">
        <f>IFERROR(__xludf.DUMMYFUNCTION("""COMPUTED_VALUE"""),"культура")</f>
        <v>культура</v>
      </c>
      <c r="C1084" s="6" t="str">
        <f>IFERROR(__xludf.DUMMYFUNCTION("""COMPUTED_VALUE"""),"путешествия")</f>
        <v>путешествия</v>
      </c>
      <c r="D1084" s="6" t="str">
        <f>IFERROR(__xludf.DUMMYFUNCTION("""COMPUTED_VALUE"""),"Лесная поляна. ""Деревня""")</f>
        <v>Лесная поляна. "Деревня"</v>
      </c>
      <c r="E1084" s="6" t="str">
        <f>IFERROR(__xludf.DUMMYFUNCTION("""COMPUTED_VALUE"""),"все")</f>
        <v>все</v>
      </c>
      <c r="F1084" s="6" t="str">
        <f>IFERROR(__xludf.DUMMYFUNCTION("""COMPUTED_VALUE"""),"Переехал сюда из другого места (откуда? укажите в графе другое), п. Тисуль")</f>
        <v>Переехал сюда из другого места (откуда? укажите в графе другое), п. Тисуль</v>
      </c>
      <c r="G1084" s="6" t="str">
        <f>IFERROR(__xludf.DUMMYFUNCTION("""COMPUTED_VALUE"""),"В театры, филармонию, парки")</f>
        <v>В театры, филармонию, парки</v>
      </c>
      <c r="H1084" s="6" t="str">
        <f>IFERROR(__xludf.DUMMYFUNCTION("""COMPUTED_VALUE"""),"Красота, энергичность, брутальность, инновация, комфорт")</f>
        <v>Красота, энергичность, брутальность, инновация, комфорт</v>
      </c>
      <c r="I1084" s="6" t="str">
        <f>IFERROR(__xludf.DUMMYFUNCTION("""COMPUTED_VALUE"""),"Балибалов , Мартемьянов, Подгорбунский, Волошина, Двужильный")</f>
        <v>Балибалов , Мартемьянов, Подгорбунский, Волошина, Двужильный</v>
      </c>
      <c r="J1084" s="6" t="str">
        <f>IFERROR(__xludf.DUMMYFUNCTION("""COMPUTED_VALUE"""),"Тулеев, Цивилев, Михайлов")</f>
        <v>Тулеев, Цивилев, Михайлов</v>
      </c>
      <c r="K1084" s="6" t="str">
        <f>IFERROR(__xludf.DUMMYFUNCTION("""COMPUTED_VALUE"""),"Парк ангелов, Лесную поляну, Городской сад, музей ""Красная горка""")</f>
        <v>Парк ангелов, Лесную поляну, Городской сад, музей "Красная горка"</v>
      </c>
      <c r="L1084" s="6" t="str">
        <f>IFERROR(__xludf.DUMMYFUNCTION("""COMPUTED_VALUE"""),"Сибирский характер. ")</f>
        <v>Сибирский характер. </v>
      </c>
      <c r="M1084" s="6" t="str">
        <f>IFERROR(__xludf.DUMMYFUNCTION("""COMPUTED_VALUE"""),"нет")</f>
        <v>нет</v>
      </c>
      <c r="N1084" s="6" t="str">
        <f>IFERROR(__xludf.DUMMYFUNCTION("""COMPUTED_VALUE"""),"экология, работа, достойная оплата труда, развитие культуры и образования, транспортная доступность, качественные дороги")</f>
        <v>экология, работа, достойная оплата труда, развитие культуры и образования, транспортная доступность, качественные дороги</v>
      </c>
      <c r="O1084" s="6" t="str">
        <f>IFERROR(__xludf.DUMMYFUNCTION("""COMPUTED_VALUE"""),"Экология, открывать больше современных предприятий с возможностью трудоустройства людей")</f>
        <v>Экология, открывать больше современных предприятий с возможностью трудоустройства людей</v>
      </c>
      <c r="P1084" s="6" t="str">
        <f>IFERROR(__xludf.DUMMYFUNCTION("""COMPUTED_VALUE"""),"Телевидение, интернет-новости")</f>
        <v>Телевидение, интернет-новости</v>
      </c>
      <c r="Q1084"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новости про новые профессии/куда поступать/вакансии, результа"&amp;"ты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1084" s="6" t="str">
        <f>IFERROR(__xludf.DUMMYFUNCTION("""COMPUTED_VALUE"""),"День Победы, День шахтера")</f>
        <v>День Победы, День шахтера</v>
      </c>
      <c r="S1084" s="6" t="str">
        <f>IFERROR(__xludf.DUMMYFUNCTION("""COMPUTED_VALUE"""),"Нет, не приходилось")</f>
        <v>Нет, не приходилось</v>
      </c>
      <c r="T1084" s="6" t="str">
        <f>IFERROR(__xludf.DUMMYFUNCTION("""COMPUTED_VALUE"""),"Это важный административный, промышленный,научный, культурный центр. Столица могучего Кузбасса")</f>
        <v>Это важный административный, промышленный,научный, культурный центр. Столица могучего Кузбасса</v>
      </c>
      <c r="U1084" s="6" t="str">
        <f>IFERROR(__xludf.DUMMYFUNCTION("""COMPUTED_VALUE"""),"Площадь Советов, Драмтеатр")</f>
        <v>Площадь Советов, Драмтеатр</v>
      </c>
      <c r="V1084" s="6" t="str">
        <f>IFERROR(__xludf.DUMMYFUNCTION("""COMPUTED_VALUE"""),"Военный и трудовой подвиг кемеровчан в годы ВОВ, трудовые подвиги шахтеров и строителей в современное время, научные исследования, высшие учебные заведения, которые выпускают высококлассных специалистов, талантливые актеры, певцы, писатели и поэты.")</f>
        <v>Военный и трудовой подвиг кемеровчан в годы ВОВ, трудовые подвиги шахтеров и строителей в современное время, научные исследования, высшие учебные заведения, которые выпускают высококлассных специалистов, талантливые актеры, певцы, писатели и поэты.</v>
      </c>
      <c r="W1084" s="6" t="str">
        <f>IFERROR(__xludf.DUMMYFUNCTION("""COMPUTED_VALUE"""),"Замечательные - мужественные и ответственные, творческие, инициативные, немного суровые, веселые, образованные, классные!")</f>
        <v>Замечательные - мужественные и ответственные, творческие, инициативные, немного суровые, веселые, образованные, классные!</v>
      </c>
      <c r="X1084" s="6" t="str">
        <f>IFERROR(__xludf.DUMMYFUNCTION("""COMPUTED_VALUE"""),"площадь Советов, драмтеатр, площадь Пушкина, городской парк, парк Ангелов")</f>
        <v>площадь Советов, драмтеатр, площадь Пушкина, городской парк, парк Ангелов</v>
      </c>
      <c r="Y1084" s="6" t="str">
        <f>IFERROR(__xludf.DUMMYFUNCTION("""COMPUTED_VALUE""")," линейный парк на Бульваре строителей, аэропорт Алексей Леонов, кадетское президентское училище. ")</f>
        <v> линейный парк на Бульваре строителей, аэропорт Алексей Леонов, кадетское президентское училище. </v>
      </c>
      <c r="Z1084" s="6" t="str">
        <f>IFERROR(__xludf.DUMMYFUNCTION("""COMPUTED_VALUE"""),"Строительство нового культурного кластера")</f>
        <v>Строительство нового культурного кластера</v>
      </c>
      <c r="AA1084" s="6" t="str">
        <f>IFERROR(__xludf.DUMMYFUNCTION("""COMPUTED_VALUE"""),"Трагедия в ""Зимней вишне""")</f>
        <v>Трагедия в "Зимней вишне"</v>
      </c>
      <c r="AB1084" s="6" t="str">
        <f>IFERROR(__xludf.DUMMYFUNCTION("""COMPUTED_VALUE"""),"нет")</f>
        <v>нет</v>
      </c>
      <c r="AC1084" s="6" t="str">
        <f>IFERROR(__xludf.DUMMYFUNCTION("""COMPUTED_VALUE"""),"всего в достатке")</f>
        <v>всего в достатке</v>
      </c>
      <c r="AD108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84" s="6" t="str">
        <f>IFERROR(__xludf.DUMMYFUNCTION("""COMPUTED_VALUE"""),"Женский")</f>
        <v>Женский</v>
      </c>
      <c r="AF1084" s="6" t="str">
        <f>IFERROR(__xludf.DUMMYFUNCTION("""COMPUTED_VALUE"""),"45-55")</f>
        <v>45-55</v>
      </c>
      <c r="AG1084" s="6"/>
      <c r="AH1084" s="6"/>
      <c r="AI1084" s="6"/>
      <c r="AJ1084" s="6"/>
      <c r="AK1084" s="6"/>
      <c r="AL1084" s="6"/>
      <c r="AM1084" s="6"/>
    </row>
    <row r="1085">
      <c r="A1085" s="6">
        <v>1084.0</v>
      </c>
      <c r="B1085" s="6" t="str">
        <f>IFERROR(__xludf.DUMMYFUNCTION("""COMPUTED_VALUE"""),"туризм")</f>
        <v>туризм</v>
      </c>
      <c r="C1085" s="6" t="str">
        <f>IFERROR(__xludf.DUMMYFUNCTION("""COMPUTED_VALUE"""),"фотографирование")</f>
        <v>фотографирование</v>
      </c>
      <c r="D1085" s="6" t="str">
        <f>IFERROR(__xludf.DUMMYFUNCTION("""COMPUTED_VALUE"""),"ленинский")</f>
        <v>ленинский</v>
      </c>
      <c r="E1085" s="6" t="str">
        <f>IFERROR(__xludf.DUMMYFUNCTION("""COMPUTED_VALUE"""),"бульвар строителей, кадетское училище, храм св троицы")</f>
        <v>бульвар строителей, кадетское училище, храм св троицы</v>
      </c>
      <c r="F1085" s="6" t="str">
        <f>IFERROR(__xludf.DUMMYFUNCTION("""COMPUTED_VALUE"""),"Живу здесь с рождения")</f>
        <v>Живу здесь с рождения</v>
      </c>
      <c r="G1085" s="6" t="str">
        <f>IFERROR(__xludf.DUMMYFUNCTION("""COMPUTED_VALUE"""),"набережная томи, набережная искитимки, парк ангелов, парк победы, парк антошка, бульвар строителей, парк чудес")</f>
        <v>набережная томи, набережная искитимки, парк ангелов, парк победы, парк антошка, бульвар строителей, парк чудес</v>
      </c>
      <c r="H1085" s="6" t="str">
        <f>IFERROR(__xludf.DUMMYFUNCTION("""COMPUTED_VALUE"""),"центр, уголь, снег, ямы, смог")</f>
        <v>центр, уголь, снег, ямы, смог</v>
      </c>
      <c r="I1085" s="6" t="str">
        <f>IFERROR(__xludf.DUMMYFUNCTION("""COMPUTED_VALUE"""),"леонов, волков")</f>
        <v>леонов, волков</v>
      </c>
      <c r="J1085" s="6" t="str">
        <f>IFERROR(__xludf.DUMMYFUNCTION("""COMPUTED_VALUE"""),"тулеев,гришковец")</f>
        <v>тулеев,гришковец</v>
      </c>
      <c r="K1085" s="6" t="str">
        <f>IFERROR(__xludf.DUMMYFUNCTION("""COMPUTED_VALUE"""),"набережная томи, красная горка, сосновый бор, парк-отель грааль")</f>
        <v>набережная томи, красная горка, сосновый бор, парк-отель грааль</v>
      </c>
      <c r="L1085" s="6" t="str">
        <f>IFERROR(__xludf.DUMMYFUNCTION("""COMPUTED_VALUE"""),"нет")</f>
        <v>нет</v>
      </c>
      <c r="M1085" s="6" t="str">
        <f>IFERROR(__xludf.DUMMYFUNCTION("""COMPUTED_VALUE"""),"нет")</f>
        <v>нет</v>
      </c>
      <c r="N1085" s="6" t="str">
        <f>IFERROR(__xludf.DUMMYFUNCTION("""COMPUTED_VALUE"""),"достойная зарплата, комфортный уровень цен, чистые улицы, ровные дороги, чистый воздух")</f>
        <v>достойная зарплата, комфортный уровень цен, чистые улицы, ровные дороги, чистый воздух</v>
      </c>
      <c r="O1085" s="6" t="str">
        <f>IFERROR(__xludf.DUMMYFUNCTION("""COMPUTED_VALUE"""),"подход к проблемам населения, сменить власть")</f>
        <v>подход к проблемам населения, сменить власть</v>
      </c>
      <c r="P1085" s="6" t="str">
        <f>IFERROR(__xludf.DUMMYFUNCTION("""COMPUTED_VALUE"""),"сибдепо, А42")</f>
        <v>сибдепо, А42</v>
      </c>
      <c r="Q1085" s="6" t="str">
        <f>IFERROR(__xludf.DUMMYFUNCTION("""COMPUTED_VALUE"""),"куда пойти в свободное время, где вкусно поесть/открытие новых кафе/ресторанов, интервью с местными политиками, результаты местных исследований (рейтинги/аналитика/тенденции)")</f>
        <v>куда пойти в свободное время, где вкусно поесть/открытие новых кафе/ресторанов, интервью с местными политиками, результаты местных исследований (рейтинги/аналитика/тенденции)</v>
      </c>
      <c r="R1085" s="6" t="str">
        <f>IFERROR(__xludf.DUMMYFUNCTION("""COMPUTED_VALUE"""),"нет")</f>
        <v>нет</v>
      </c>
      <c r="S1085" s="6" t="str">
        <f>IFERROR(__xludf.DUMMYFUNCTION("""COMPUTED_VALUE"""),"Писал и расклеивал объявления/афиши")</f>
        <v>Писал и расклеивал объявления/афиши</v>
      </c>
      <c r="T1085" s="6" t="str">
        <f>IFERROR(__xludf.DUMMYFUNCTION("""COMPUTED_VALUE"""),"уникального для гостей города ничего нет. ассоциируется у приезжих только с добычей угля")</f>
        <v>уникального для гостей города ничего нет. ассоциируется у приезжих только с добычей угля</v>
      </c>
      <c r="U1085" s="6" t="str">
        <f>IFERROR(__xludf.DUMMYFUNCTION("""COMPUTED_VALUE"""),"проспект советский, проспект ленина (от жд вокзала до парка ангелов)")</f>
        <v>проспект советский, проспект ленина (от жд вокзала до парка ангелов)</v>
      </c>
      <c r="V1085" s="6" t="str">
        <f>IFERROR(__xludf.DUMMYFUNCTION("""COMPUTED_VALUE"""),"ничего")</f>
        <v>ничего</v>
      </c>
      <c r="W1085" s="6" t="str">
        <f>IFERROR(__xludf.DUMMYFUNCTION("""COMPUTED_VALUE"""),"постоянное желание жаловаться")</f>
        <v>постоянное желание жаловаться</v>
      </c>
      <c r="X1085" s="6" t="str">
        <f>IFERROR(__xludf.DUMMYFUNCTION("""COMPUTED_VALUE"""),"весенняя-набережная-парк- чудес")</f>
        <v>весенняя-набережная-парк- чудес</v>
      </c>
      <c r="Y1085" s="6" t="str">
        <f>IFERROR(__xludf.DUMMYFUNCTION("""COMPUTED_VALUE"""),"АИК Кузбасс")</f>
        <v>АИК Кузбасс</v>
      </c>
      <c r="Z1085" s="6" t="str">
        <f>IFERROR(__xludf.DUMMYFUNCTION("""COMPUTED_VALUE"""),"нет")</f>
        <v>нет</v>
      </c>
      <c r="AA1085" s="6" t="str">
        <f>IFERROR(__xludf.DUMMYFUNCTION("""COMPUTED_VALUE"""),"Цивилев занял пост губернатора")</f>
        <v>Цивилев занял пост губернатора</v>
      </c>
      <c r="AB1085" s="6" t="str">
        <f>IFERROR(__xludf.DUMMYFUNCTION("""COMPUTED_VALUE"""),"не знаю")</f>
        <v>не знаю</v>
      </c>
      <c r="AC1085" s="6" t="str">
        <f>IFERROR(__xludf.DUMMYFUNCTION("""COMPUTED_VALUE"""),"не знаю")</f>
        <v>не знаю</v>
      </c>
      <c r="AD108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85" s="6" t="str">
        <f>IFERROR(__xludf.DUMMYFUNCTION("""COMPUTED_VALUE"""),"Женский")</f>
        <v>Женский</v>
      </c>
      <c r="AF1085" s="6" t="str">
        <f>IFERROR(__xludf.DUMMYFUNCTION("""COMPUTED_VALUE"""),"30-44")</f>
        <v>30-44</v>
      </c>
      <c r="AG1085" s="6"/>
      <c r="AH1085" s="6"/>
      <c r="AI1085" s="6"/>
      <c r="AJ1085" s="6"/>
      <c r="AK1085" s="6"/>
      <c r="AL1085" s="6"/>
      <c r="AM1085" s="6"/>
    </row>
    <row r="1086">
      <c r="A1086" s="6">
        <v>1085.0</v>
      </c>
      <c r="B1086" s="6" t="str">
        <f>IFERROR(__xludf.DUMMYFUNCTION("""COMPUTED_VALUE"""),"Экономист")</f>
        <v>Экономист</v>
      </c>
      <c r="C1086" s="6" t="str">
        <f>IFERROR(__xludf.DUMMYFUNCTION("""COMPUTED_VALUE"""),"Путешествия")</f>
        <v>Путешествия</v>
      </c>
      <c r="D1086" s="6" t="str">
        <f>IFERROR(__xludf.DUMMYFUNCTION("""COMPUTED_VALUE"""),"Ленинский")</f>
        <v>Ленинский</v>
      </c>
      <c r="E1086" s="6" t="str">
        <f>IFERROR(__xludf.DUMMYFUNCTION("""COMPUTED_VALUE"""),"Бульвар Строителей")</f>
        <v>Бульвар Строителей</v>
      </c>
      <c r="F1086" s="6" t="str">
        <f>IFERROR(__xludf.DUMMYFUNCTION("""COMPUTED_VALUE"""),"Живу здесь с рождения")</f>
        <v>Живу здесь с рождения</v>
      </c>
      <c r="G1086" s="6" t="str">
        <f>IFERROR(__xludf.DUMMYFUNCTION("""COMPUTED_VALUE"""),"Парки, Томская писаница,скверы, берег реки")</f>
        <v>Парки, Томская писаница,скверы, берег реки</v>
      </c>
      <c r="H1086" s="6" t="str">
        <f>IFERROR(__xludf.DUMMYFUNCTION("""COMPUTED_VALUE"""),"Серость, холод, режим черного неба, маленький, тайга")</f>
        <v>Серость, холод, режим черного неба, маленький, тайга</v>
      </c>
      <c r="I1086" s="6" t="str">
        <f>IFERROR(__xludf.DUMMYFUNCTION("""COMPUTED_VALUE"""),"Не помню")</f>
        <v>Не помню</v>
      </c>
      <c r="J1086" s="6" t="str">
        <f>IFERROR(__xludf.DUMMYFUNCTION("""COMPUTED_VALUE"""),"Не могу ответить")</f>
        <v>Не могу ответить</v>
      </c>
      <c r="K1086" s="6" t="str">
        <f>IFERROR(__xludf.DUMMYFUNCTION("""COMPUTED_VALUE"""),"Томская писаница")</f>
        <v>Томская писаница</v>
      </c>
      <c r="L1086" s="6" t="str">
        <f>IFERROR(__xludf.DUMMYFUNCTION("""COMPUTED_VALUE"""),"Не знаю")</f>
        <v>Не знаю</v>
      </c>
      <c r="M1086" s="6" t="str">
        <f>IFERROR(__xludf.DUMMYFUNCTION("""COMPUTED_VALUE"""),"Нет")</f>
        <v>Нет</v>
      </c>
      <c r="N1086" s="6" t="str">
        <f>IFERROR(__xludf.DUMMYFUNCTION("""COMPUTED_VALUE"""),"Возможность дышать, дороги, новые интересные места, события, концерты и т.д.")</f>
        <v>Возможность дышать, дороги, новые интересные места, события, концерты и т.д.</v>
      </c>
      <c r="O1086" s="6" t="str">
        <f>IFERROR(__xludf.DUMMYFUNCTION("""COMPUTED_VALUE"""),"Экологию")</f>
        <v>Экологию</v>
      </c>
      <c r="P1086" s="6" t="str">
        <f>IFERROR(__xludf.DUMMYFUNCTION("""COMPUTED_VALUE"""),"Друзья,знакомые")</f>
        <v>Друзья,знакомые</v>
      </c>
      <c r="Q1086" s="6" t="str">
        <f>IFERROR(__xludf.DUMMYFUNCTION("""COMPUTED_VALUE"""),"куда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с"&amp;"вои предложения)")</f>
        <v>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086" s="6" t="str">
        <f>IFERROR(__xludf.DUMMYFUNCTION("""COMPUTED_VALUE"""),"День города, новый год")</f>
        <v>День города, новый год</v>
      </c>
      <c r="S1086" s="6" t="str">
        <f>IFERROR(__xludf.DUMMYFUNCTION("""COMPUTED_VALUE"""),"Нет, не приходилось")</f>
        <v>Нет, не приходилось</v>
      </c>
      <c r="T1086" s="6" t="str">
        <f>IFERROR(__xludf.DUMMYFUNCTION("""COMPUTED_VALUE"""),"Углем, холодом")</f>
        <v>Углем, холодом</v>
      </c>
      <c r="U1086" s="6" t="str">
        <f>IFERROR(__xludf.DUMMYFUNCTION("""COMPUTED_VALUE"""),"Площадь Советов")</f>
        <v>Площадь Советов</v>
      </c>
      <c r="V1086" s="6" t="str">
        <f>IFERROR(__xludf.DUMMYFUNCTION("""COMPUTED_VALUE"""),"Построили город")</f>
        <v>Построили город</v>
      </c>
      <c r="W1086" s="6" t="str">
        <f>IFERROR(__xludf.DUMMYFUNCTION("""COMPUTED_VALUE"""),"Иногда отзывчивые, иногда злые, в основном уставшие")</f>
        <v>Иногда отзывчивые, иногда злые, в основном уставшие</v>
      </c>
      <c r="X1086" s="6" t="str">
        <f>IFERROR(__xludf.DUMMYFUNCTION("""COMPUTED_VALUE"""),"Центр города")</f>
        <v>Центр города</v>
      </c>
      <c r="Y1086" s="6" t="str">
        <f>IFERROR(__xludf.DUMMYFUNCTION("""COMPUTED_VALUE"""),"Не могу ответить")</f>
        <v>Не могу ответить</v>
      </c>
      <c r="Z1086" s="6" t="str">
        <f>IFERROR(__xludf.DUMMYFUNCTION("""COMPUTED_VALUE"""),"Началось облагораживание центрального района и пустырей")</f>
        <v>Началось облагораживание центрального района и пустырей</v>
      </c>
      <c r="AA1086" s="6" t="str">
        <f>IFERROR(__xludf.DUMMYFUNCTION("""COMPUTED_VALUE"""),"Черный снег")</f>
        <v>Черный снег</v>
      </c>
      <c r="AB1086" s="6" t="str">
        <f>IFERROR(__xludf.DUMMYFUNCTION("""COMPUTED_VALUE"""),"Кино, кулинария, детских")</f>
        <v>Кино, кулинария, детских</v>
      </c>
      <c r="AC1086" s="6" t="str">
        <f>IFERROR(__xludf.DUMMYFUNCTION("""COMPUTED_VALUE"""),"Концерты, выставки (в том числе на улице), местер-классы")</f>
        <v>Концерты, выставки (в том числе на улице), местер-классы</v>
      </c>
      <c r="AD1086"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1086" s="6" t="str">
        <f>IFERROR(__xludf.DUMMYFUNCTION("""COMPUTED_VALUE"""),"Женский")</f>
        <v>Женский</v>
      </c>
      <c r="AF1086" s="6" t="str">
        <f>IFERROR(__xludf.DUMMYFUNCTION("""COMPUTED_VALUE"""),"30-44")</f>
        <v>30-44</v>
      </c>
      <c r="AG1086" s="6"/>
      <c r="AH1086" s="6"/>
      <c r="AI1086" s="6"/>
      <c r="AJ1086" s="6"/>
      <c r="AK1086" s="6"/>
      <c r="AL1086" s="6"/>
      <c r="AM1086" s="6"/>
    </row>
    <row r="1087">
      <c r="A1087" s="6">
        <v>1086.0</v>
      </c>
      <c r="B1087" s="6" t="str">
        <f>IFERROR(__xludf.DUMMYFUNCTION("""COMPUTED_VALUE"""),"преподавание")</f>
        <v>преподавание</v>
      </c>
      <c r="C1087" s="6" t="str">
        <f>IFERROR(__xludf.DUMMYFUNCTION("""COMPUTED_VALUE"""),"путешествие")</f>
        <v>путешествие</v>
      </c>
      <c r="D1087" s="6" t="str">
        <f>IFERROR(__xludf.DUMMYFUNCTION("""COMPUTED_VALUE"""),"рудничный")</f>
        <v>рудничный</v>
      </c>
      <c r="E1087" s="6" t="str">
        <f>IFERROR(__xludf.DUMMYFUNCTION("""COMPUTED_VALUE"""),"сосновы бор")</f>
        <v>сосновы бор</v>
      </c>
      <c r="F1087"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087" s="6" t="str">
        <f>IFERROR(__xludf.DUMMYFUNCTION("""COMPUTED_VALUE"""),"бор")</f>
        <v>бор</v>
      </c>
      <c r="H1087" s="6" t="str">
        <f>IFERROR(__xludf.DUMMYFUNCTION("""COMPUTED_VALUE"""),"смог, пыль, природа, белки, люди")</f>
        <v>смог, пыль, природа, белки, люди</v>
      </c>
      <c r="I1087" s="6" t="str">
        <f>IFERROR(__xludf.DUMMYFUNCTION("""COMPUTED_VALUE"""),"Алексей Леонов")</f>
        <v>Алексей Леонов</v>
      </c>
      <c r="J1087" s="6" t="str">
        <f>IFERROR(__xludf.DUMMYFUNCTION("""COMPUTED_VALUE"""),"Не знаю")</f>
        <v>Не знаю</v>
      </c>
      <c r="K1087" s="6" t="str">
        <f>IFERROR(__xludf.DUMMYFUNCTION("""COMPUTED_VALUE"""),"Шахтерам, Музей Красная горка, Томская писаница")</f>
        <v>Шахтерам, Музей Красная горка, Томская писаница</v>
      </c>
      <c r="L1087" s="6" t="str">
        <f>IFERROR(__xludf.DUMMYFUNCTION("""COMPUTED_VALUE"""),"Один в поле не воин")</f>
        <v>Один в поле не воин</v>
      </c>
      <c r="M1087" s="6" t="str">
        <f>IFERROR(__xludf.DUMMYFUNCTION("""COMPUTED_VALUE"""),"нет")</f>
        <v>нет</v>
      </c>
      <c r="N1087" s="6" t="str">
        <f>IFERROR(__xludf.DUMMYFUNCTION("""COMPUTED_VALUE"""),"Комфортная инфраструктура")</f>
        <v>Комфортная инфраструктура</v>
      </c>
      <c r="O1087" s="6" t="str">
        <f>IFERROR(__xludf.DUMMYFUNCTION("""COMPUTED_VALUE"""),"Экологию, оплату труда")</f>
        <v>Экологию, оплату труда</v>
      </c>
      <c r="P1087" s="6" t="str">
        <f>IFERROR(__xludf.DUMMYFUNCTION("""COMPUTED_VALUE"""),"Интернет")</f>
        <v>Интернет</v>
      </c>
      <c r="Q1087" s="6" t="str">
        <f>IFERROR(__xludf.DUMMYFUNCTION("""COMPUTED_VALUE"""),"городская афиша (кино/театр/концерты), интервью с местными творческими личностями")</f>
        <v>городская афиша (кино/театр/концерты), интервью с местными творческими личностями</v>
      </c>
      <c r="R1087" s="6" t="str">
        <f>IFERROR(__xludf.DUMMYFUNCTION("""COMPUTED_VALUE"""),"День города")</f>
        <v>День города</v>
      </c>
      <c r="S1087" s="6" t="str">
        <f>IFERROR(__xludf.DUMMYFUNCTION("""COMPUTED_VALUE"""),"Нет, не приходилось")</f>
        <v>Нет, не приходилось</v>
      </c>
      <c r="T1087" s="6" t="str">
        <f>IFERROR(__xludf.DUMMYFUNCTION("""COMPUTED_VALUE"""),"Филармония")</f>
        <v>Филармония</v>
      </c>
      <c r="U1087" s="6" t="str">
        <f>IFERROR(__xludf.DUMMYFUNCTION("""COMPUTED_VALUE"""),"Набережная")</f>
        <v>Набережная</v>
      </c>
      <c r="V1087" s="6" t="str">
        <f>IFERROR(__xludf.DUMMYFUNCTION("""COMPUTED_VALUE"""),"Не знаю")</f>
        <v>Не знаю</v>
      </c>
      <c r="W1087" s="6" t="str">
        <f>IFERROR(__xludf.DUMMYFUNCTION("""COMPUTED_VALUE"""),"Разные")</f>
        <v>Разные</v>
      </c>
      <c r="X1087" s="6" t="str">
        <f>IFERROR(__xludf.DUMMYFUNCTION("""COMPUTED_VALUE"""),"Советский проспект, Набережная")</f>
        <v>Советский проспект, Набережная</v>
      </c>
      <c r="Y1087" s="6" t="str">
        <f>IFERROR(__xludf.DUMMYFUNCTION("""COMPUTED_VALUE"""),"Не знаю")</f>
        <v>Не знаю</v>
      </c>
      <c r="Z1087" s="6" t="str">
        <f>IFERROR(__xludf.DUMMYFUNCTION("""COMPUTED_VALUE"""),"Концерт Бель суоно")</f>
        <v>Концерт Бель суоно</v>
      </c>
      <c r="AA1087" s="6" t="str">
        <f>IFERROR(__xludf.DUMMYFUNCTION("""COMPUTED_VALUE"""),"Нет")</f>
        <v>Нет</v>
      </c>
      <c r="AB1087" s="6" t="str">
        <f>IFERROR(__xludf.DUMMYFUNCTION("""COMPUTED_VALUE"""),"Не знаю")</f>
        <v>Не знаю</v>
      </c>
      <c r="AC1087" s="6" t="str">
        <f>IFERROR(__xludf.DUMMYFUNCTION("""COMPUTED_VALUE"""),"Не знаю")</f>
        <v>Не знаю</v>
      </c>
      <c r="AD108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087" s="6" t="str">
        <f>IFERROR(__xludf.DUMMYFUNCTION("""COMPUTED_VALUE"""),"Женский")</f>
        <v>Женский</v>
      </c>
      <c r="AF1087" s="6" t="str">
        <f>IFERROR(__xludf.DUMMYFUNCTION("""COMPUTED_VALUE"""),"старше 55")</f>
        <v>старше 55</v>
      </c>
      <c r="AG1087" s="6"/>
      <c r="AH1087" s="6"/>
      <c r="AI1087" s="6"/>
      <c r="AJ1087" s="6"/>
      <c r="AK1087" s="6"/>
      <c r="AL1087" s="6"/>
      <c r="AM1087" s="6"/>
    </row>
    <row r="1088">
      <c r="A1088" s="6">
        <v>1087.0</v>
      </c>
      <c r="B1088" s="6" t="str">
        <f>IFERROR(__xludf.DUMMYFUNCTION("""COMPUTED_VALUE"""),"Проектирование")</f>
        <v>Проектирование</v>
      </c>
      <c r="C1088" s="6" t="str">
        <f>IFERROR(__xludf.DUMMYFUNCTION("""COMPUTED_VALUE"""),"Кино")</f>
        <v>Кино</v>
      </c>
      <c r="D1088" s="6" t="str">
        <f>IFERROR(__xludf.DUMMYFUNCTION("""COMPUTED_VALUE"""),"Рудничный, радуга")</f>
        <v>Рудничный, радуга</v>
      </c>
      <c r="E1088" s="6" t="str">
        <f>IFERROR(__xludf.DUMMYFUNCTION("""COMPUTED_VALUE"""),"Бор, сквер дружбы народов, ")</f>
        <v>Бор, сквер дружбы народов, </v>
      </c>
      <c r="F1088" s="6" t="str">
        <f>IFERROR(__xludf.DUMMYFUNCTION("""COMPUTED_VALUE"""),"Переехал сюда из другого места (откуда? укажите в графе другое), Томск")</f>
        <v>Переехал сюда из другого места (откуда? укажите в графе другое), Томск</v>
      </c>
      <c r="G1088" s="6" t="str">
        <f>IFERROR(__xludf.DUMMYFUNCTION("""COMPUTED_VALUE"""),"Городской парк, парк победы, веры Волошиной, Томская писаница, пару ангелов")</f>
        <v>Городской парк, парк победы, веры Волошиной, Томская писаница, пару ангелов</v>
      </c>
      <c r="H1088" s="6" t="str">
        <f>IFERROR(__xludf.DUMMYFUNCTION("""COMPUTED_VALUE"""),"Смог, грязь, неухоженный фасад, уголь")</f>
        <v>Смог, грязь, неухоженный фасад, уголь</v>
      </c>
      <c r="I1088" s="6" t="str">
        <f>IFERROR(__xludf.DUMMYFUNCTION("""COMPUTED_VALUE"""),"Леонов, Волошина")</f>
        <v>Леонов, Волошина</v>
      </c>
      <c r="J1088" s="6" t="str">
        <f>IFERROR(__xludf.DUMMYFUNCTION("""COMPUTED_VALUE"""),"Тулеев")</f>
        <v>Тулеев</v>
      </c>
      <c r="K1088" s="6" t="str">
        <f>IFERROR(__xludf.DUMMYFUNCTION("""COMPUTED_VALUE"""),"Парк ангелов, набережная")</f>
        <v>Парк ангелов, набережная</v>
      </c>
      <c r="L1088" s="6" t="str">
        <f>IFERROR(__xludf.DUMMYFUNCTION("""COMPUTED_VALUE"""),"Нет")</f>
        <v>Нет</v>
      </c>
      <c r="M1088" s="6" t="str">
        <f>IFERROR(__xludf.DUMMYFUNCTION("""COMPUTED_VALUE"""),"Нет")</f>
        <v>Нет</v>
      </c>
      <c r="N1088" s="6" t="str">
        <f>IFERROR(__xludf.DUMMYFUNCTION("""COMPUTED_VALUE"""),"Транспортная доступность, внешний вид, места отдыха, социальная инфраструктура, рабочие места")</f>
        <v>Транспортная доступность, внешний вид, места отдыха, социальная инфраструктура, рабочие места</v>
      </c>
      <c r="O1088" s="6" t="str">
        <f>IFERROR(__xludf.DUMMYFUNCTION("""COMPUTED_VALUE"""),"Ликвидировать транзитный транспорт, Реконструкция фасадов старых домов, внешний облик")</f>
        <v>Ликвидировать транзитный транспорт, Реконструкция фасадов старых домов, внешний облик</v>
      </c>
      <c r="P1088" s="6" t="str">
        <f>IFERROR(__xludf.DUMMYFUNCTION("""COMPUTED_VALUE"""),"Инстаграм")</f>
        <v>Инстаграм</v>
      </c>
      <c r="Q1088" s="6" t="str">
        <f>IFERROR(__xludf.DUMMYFUNCTION("""COMPUTED_VALUE"""),"городская афиша (кино/театр/концерты), интервью с местными политиками, бизнес-новости (средний чек/рекламные акции/запуск новых предприятий)")</f>
        <v>городская афиша (кино/театр/концерты), интервью с местными политиками, бизнес-новости (средний чек/рекламные акции/запуск новых предприятий)</v>
      </c>
      <c r="R1088" s="6" t="str">
        <f>IFERROR(__xludf.DUMMYFUNCTION("""COMPUTED_VALUE"""),"Парад 9 мая")</f>
        <v>Парад 9 мая</v>
      </c>
      <c r="S1088" s="6" t="str">
        <f>IFERROR(__xludf.DUMMYFUNCTION("""COMPUTED_VALUE"""),"Нет, не приходилось")</f>
        <v>Нет, не приходилось</v>
      </c>
      <c r="T1088" s="6" t="str">
        <f>IFERROR(__xludf.DUMMYFUNCTION("""COMPUTED_VALUE"""),"Уголь")</f>
        <v>Уголь</v>
      </c>
      <c r="U1088" s="6" t="str">
        <f>IFERROR(__xludf.DUMMYFUNCTION("""COMPUTED_VALUE"""),"Площадь советов")</f>
        <v>Площадь советов</v>
      </c>
      <c r="V1088" s="6" t="str">
        <f>IFERROR(__xludf.DUMMYFUNCTION("""COMPUTED_VALUE"""),"Работа в тылу, добыча угля")</f>
        <v>Работа в тылу, добыча угля</v>
      </c>
      <c r="W1088" s="6" t="str">
        <f>IFERROR(__xludf.DUMMYFUNCTION("""COMPUTED_VALUE"""),"Открытые, доброжелательные, ")</f>
        <v>Открытые, доброжелательные, </v>
      </c>
      <c r="X1088" s="6" t="str">
        <f>IFERROR(__xludf.DUMMYFUNCTION("""COMPUTED_VALUE"""),"Площадь советов-набережная-весенняя")</f>
        <v>Площадь советов-набережная-весенняя</v>
      </c>
      <c r="Y1088" s="6" t="str">
        <f>IFERROR(__xludf.DUMMYFUNCTION("""COMPUTED_VALUE"""),"Отставка Тулеева")</f>
        <v>Отставка Тулеева</v>
      </c>
      <c r="Z1088" s="6" t="str">
        <f>IFERROR(__xludf.DUMMYFUNCTION("""COMPUTED_VALUE"""),"Подготовка к 300 лет Кузбасс, ")</f>
        <v>Подготовка к 300 лет Кузбасс, </v>
      </c>
      <c r="AA1088" s="6" t="str">
        <f>IFERROR(__xludf.DUMMYFUNCTION("""COMPUTED_VALUE"""),"Пожар зимняя вишня")</f>
        <v>Пожар зимняя вишня</v>
      </c>
      <c r="AB1088" s="6" t="str">
        <f>IFERROR(__xludf.DUMMYFUNCTION("""COMPUTED_VALUE"""),"Нет ответа")</f>
        <v>Нет ответа</v>
      </c>
      <c r="AC1088" s="6" t="str">
        <f>IFERROR(__xludf.DUMMYFUNCTION("""COMPUTED_VALUE"""),"Больше театров, кинотеатров")</f>
        <v>Больше театров, кинотеатров</v>
      </c>
      <c r="AD108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88" s="6" t="str">
        <f>IFERROR(__xludf.DUMMYFUNCTION("""COMPUTED_VALUE"""),"Женский")</f>
        <v>Женский</v>
      </c>
      <c r="AF1088" s="6" t="str">
        <f>IFERROR(__xludf.DUMMYFUNCTION("""COMPUTED_VALUE"""),"30-44")</f>
        <v>30-44</v>
      </c>
      <c r="AG1088" s="6"/>
      <c r="AH1088" s="6"/>
      <c r="AI1088" s="6"/>
      <c r="AJ1088" s="6"/>
      <c r="AK1088" s="6"/>
      <c r="AL1088" s="6"/>
      <c r="AM1088" s="6"/>
    </row>
    <row r="1089">
      <c r="A1089" s="6">
        <v>1088.0</v>
      </c>
      <c r="B1089" s="6" t="str">
        <f>IFERROR(__xludf.DUMMYFUNCTION("""COMPUTED_VALUE"""),"Индивидуальный предприниматель ")</f>
        <v>Индивидуальный предприниматель </v>
      </c>
      <c r="C1089" s="6" t="str">
        <f>IFERROR(__xludf.DUMMYFUNCTION("""COMPUTED_VALUE"""),"Спорт, велопрогулки")</f>
        <v>Спорт, велопрогулки</v>
      </c>
      <c r="D1089" s="6" t="str">
        <f>IFERROR(__xludf.DUMMYFUNCTION("""COMPUTED_VALUE"""),"Ленинский")</f>
        <v>Ленинский</v>
      </c>
      <c r="E1089" s="6" t="str">
        <f>IFERROR(__xludf.DUMMYFUNCTION("""COMPUTED_VALUE"""),"Бульвар строителей, кадетский корпус, озеро красное")</f>
        <v>Бульвар строителей, кадетский корпус, озеро красное</v>
      </c>
      <c r="F1089" s="6" t="str">
        <f>IFERROR(__xludf.DUMMYFUNCTION("""COMPUTED_VALUE"""),"Переехал сюда из другого места (откуда? укажите в графе другое), Жила в Берещовском, переезала сюда поскольку там совсем делать нечего) ")</f>
        <v>Переехал сюда из другого места (откуда? укажите в графе другое), Жила в Берещовском, переезала сюда поскольку там совсем делать нечего) </v>
      </c>
      <c r="G1089" s="6" t="str">
        <f>IFERROR(__xludf.DUMMYFUNCTION("""COMPUTED_VALUE"""),"Набережная, бульвар Строителей ")</f>
        <v>Набережная, бульвар Строителей </v>
      </c>
      <c r="H1089" s="6" t="str">
        <f>IFERROR(__xludf.DUMMYFUNCTION("""COMPUTED_VALUE"""),"Пыль (грязь), дом, промышленность, холод, строительство ")</f>
        <v>Пыль (грязь), дом, промышленность, холод, строительство </v>
      </c>
      <c r="I1089" s="6" t="str">
        <f>IFERROR(__xludf.DUMMYFUNCTION("""COMPUTED_VALUE"""),"Не знаю")</f>
        <v>Не знаю</v>
      </c>
      <c r="J1089" s="6" t="str">
        <f>IFERROR(__xludf.DUMMYFUNCTION("""COMPUTED_VALUE"""),"Не знаю")</f>
        <v>Не знаю</v>
      </c>
      <c r="K1089" s="6" t="str">
        <f>IFERROR(__xludf.DUMMYFUNCTION("""COMPUTED_VALUE"""),"Бульвар строителей, кадетский корпус, парк ангелов, набережная")</f>
        <v>Бульвар строителей, кадетский корпус, парк ангелов, набережная</v>
      </c>
      <c r="L1089" s="6" t="str">
        <f>IFERROR(__xludf.DUMMYFUNCTION("""COMPUTED_VALUE"""),"Не знаю")</f>
        <v>Не знаю</v>
      </c>
      <c r="M1089" s="6" t="str">
        <f>IFERROR(__xludf.DUMMYFUNCTION("""COMPUTED_VALUE"""),"Нет")</f>
        <v>Нет</v>
      </c>
      <c r="N1089" s="6" t="str">
        <f>IFERROR(__xludf.DUMMYFUNCTION("""COMPUTED_VALUE"""),"Транспортная доступность, свежесть (чистота), пешеходные дорожки (чтобы можно было и с коляской пройти, и с ребенком, и ммгн) ")</f>
        <v>Транспортная доступность, свежесть (чистота), пешеходные дорожки (чтобы можно было и с коляской пройти, и с ребенком, и ммгн) </v>
      </c>
      <c r="O1089" s="6" t="str">
        <f>IFERROR(__xludf.DUMMYFUNCTION("""COMPUTED_VALUE"""),"Навести порядок, полить улицы, сделать удобными пешеходные маршруты для всех")</f>
        <v>Навести порядок, полить улицы, сделать удобными пешеходные маршруты для всех</v>
      </c>
      <c r="P1089" s="6" t="str">
        <f>IFERROR(__xludf.DUMMYFUNCTION("""COMPUTED_VALUE"""),"Интернет - вк")</f>
        <v>Интернет - вк</v>
      </c>
      <c r="Q1089"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089" s="6" t="str">
        <f>IFERROR(__xludf.DUMMYFUNCTION("""COMPUTED_VALUE"""),"12 июня")</f>
        <v>12 июня</v>
      </c>
      <c r="S1089" s="6" t="str">
        <f>IFERROR(__xludf.DUMMYFUNCTION("""COMPUTED_VALUE"""),"Нет, не приходилось")</f>
        <v>Нет, не приходилось</v>
      </c>
      <c r="T1089" s="6" t="str">
        <f>IFERROR(__xludf.DUMMYFUNCTION("""COMPUTED_VALUE"""),"Столица угольного края, рядом Шерегеш, и к сожалению Зимняя вишня")</f>
        <v>Столица угольного края, рядом Шерегеш, и к сожалению Зимняя вишня</v>
      </c>
      <c r="U1089" s="6" t="str">
        <f>IFERROR(__xludf.DUMMYFUNCTION("""COMPUTED_VALUE"""),"Пешеходня зона бульвара строителей, лапландия, набережная")</f>
        <v>Пешеходня зона бульвара строителей, лапландия, набережная</v>
      </c>
      <c r="V1089" s="6" t="str">
        <f>IFERROR(__xludf.DUMMYFUNCTION("""COMPUTED_VALUE"""),"Не знаю ")</f>
        <v>Не знаю </v>
      </c>
      <c r="W1089" s="6" t="str">
        <f>IFERROR(__xludf.DUMMYFUNCTION("""COMPUTED_VALUE"""),"Современные, продвинутые")</f>
        <v>Современные, продвинутые</v>
      </c>
      <c r="X1089" s="6" t="str">
        <f>IFERROR(__xludf.DUMMYFUNCTION("""COMPUTED_VALUE"""),"Бульвар строителей ")</f>
        <v>Бульвар строителей </v>
      </c>
      <c r="Y1089" s="6" t="str">
        <f>IFERROR(__xludf.DUMMYFUNCTION("""COMPUTED_VALUE"""),"Надеюсь оно впереди) концерт би2 недавно был ")</f>
        <v>Надеюсь оно впереди) концерт би2 недавно был </v>
      </c>
      <c r="Z1089" s="6" t="str">
        <f>IFERROR(__xludf.DUMMYFUNCTION("""COMPUTED_VALUE"""),"Нет таких")</f>
        <v>Нет таких</v>
      </c>
      <c r="AA1089" s="6" t="str">
        <f>IFERROR(__xludf.DUMMYFUNCTION("""COMPUTED_VALUE"""),"Не читаю негативные новости")</f>
        <v>Не читаю негативные новости</v>
      </c>
      <c r="AB1089" s="6" t="str">
        <f>IFERROR(__xludf.DUMMYFUNCTION("""COMPUTED_VALUE"""),"Искусство")</f>
        <v>Искусство</v>
      </c>
      <c r="AC1089" s="6" t="str">
        <f>IFERROR(__xludf.DUMMYFUNCTION("""COMPUTED_VALUE"""),"Реальные Выставки современных зудожников, арт галлерея")</f>
        <v>Реальные Выставки современных зудожников, арт галлерея</v>
      </c>
      <c r="AD108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непосредств"&amp;"енно во время реализации проекта,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089" s="6" t="str">
        <f>IFERROR(__xludf.DUMMYFUNCTION("""COMPUTED_VALUE"""),"Женский")</f>
        <v>Женский</v>
      </c>
      <c r="AF1089" s="6" t="str">
        <f>IFERROR(__xludf.DUMMYFUNCTION("""COMPUTED_VALUE"""),"30-44")</f>
        <v>30-44</v>
      </c>
      <c r="AG1089" s="6"/>
      <c r="AH1089" s="6"/>
      <c r="AI1089" s="6"/>
      <c r="AJ1089" s="6"/>
      <c r="AK1089" s="6"/>
      <c r="AL1089" s="6"/>
      <c r="AM1089" s="6"/>
    </row>
    <row r="1090">
      <c r="A1090" s="6">
        <v>1089.0</v>
      </c>
      <c r="B1090" s="6" t="str">
        <f>IFERROR(__xludf.DUMMYFUNCTION("""COMPUTED_VALUE"""),"Государственное управление")</f>
        <v>Государственное управление</v>
      </c>
      <c r="C1090" s="6" t="str">
        <f>IFERROR(__xludf.DUMMYFUNCTION("""COMPUTED_VALUE"""),"увлечений нет")</f>
        <v>увлечений нет</v>
      </c>
      <c r="D1090" s="6" t="str">
        <f>IFERROR(__xludf.DUMMYFUNCTION("""COMPUTED_VALUE"""),"Кедровка")</f>
        <v>Кедровка</v>
      </c>
      <c r="E1090" s="6" t="str">
        <f>IFERROR(__xludf.DUMMYFUNCTION("""COMPUTED_VALUE"""),"Дом культуры ""Содружество"", стадион ""Горняк"", Детский автодром, Иверская церковь, АБК Кедровского разреза, Парк победы")</f>
        <v>Дом культуры "Содружество", стадион "Горняк", Детский автодром, Иверская церковь, АБК Кедровского разреза, Парк победы</v>
      </c>
      <c r="F1090" s="6" t="str">
        <f>IFERROR(__xludf.DUMMYFUNCTION("""COMPUTED_VALUE"""),"Переехал сюда из другого места (откуда? укажите в графе другое), Таштагольский район")</f>
        <v>Переехал сюда из другого места (откуда? укажите в графе другое), Таштагольский район</v>
      </c>
      <c r="G1090" s="6" t="str">
        <f>IFERROR(__xludf.DUMMYFUNCTION("""COMPUTED_VALUE"""),"Никуда")</f>
        <v>Никуда</v>
      </c>
      <c r="H1090" s="6" t="str">
        <f>IFERROR(__xludf.DUMMYFUNCTION("""COMPUTED_VALUE"""),"промышленность, культура, образование, пробки, торговые центры")</f>
        <v>промышленность, культура, образование, пробки, торговые центры</v>
      </c>
      <c r="I1090" s="6" t="str">
        <f>IFERROR(__xludf.DUMMYFUNCTION("""COMPUTED_VALUE"""),"Не знаю ни одного")</f>
        <v>Не знаю ни одного</v>
      </c>
      <c r="J1090" s="6" t="str">
        <f>IFERROR(__xludf.DUMMYFUNCTION("""COMPUTED_VALUE"""),"-")</f>
        <v>-</v>
      </c>
      <c r="K1090" s="6" t="str">
        <f>IFERROR(__xludf.DUMMYFUNCTION("""COMPUTED_VALUE"""),"Набережная, парк памяти")</f>
        <v>Набережная, парк памяти</v>
      </c>
      <c r="L1090" s="6" t="str">
        <f>IFERROR(__xludf.DUMMYFUNCTION("""COMPUTED_VALUE"""),"-")</f>
        <v>-</v>
      </c>
      <c r="M1090" s="6" t="str">
        <f>IFERROR(__xludf.DUMMYFUNCTION("""COMPUTED_VALUE"""),"-")</f>
        <v>-</v>
      </c>
      <c r="N1090" s="6" t="str">
        <f>IFERROR(__xludf.DUMMYFUNCTION("""COMPUTED_VALUE"""),"отсутствие мусора, сохранность фасадов зданий, отсутствие участков грунта (вместо газонов), отсутствие выбоин на дорогах, надёжность работы систем жизнеобеспечения")</f>
        <v>отсутствие мусора, сохранность фасадов зданий, отсутствие участков грунта (вместо газонов), отсутствие выбоин на дорогах, надёжность работы систем жизнеобеспечения</v>
      </c>
      <c r="O1090" s="6" t="str">
        <f>IFERROR(__xludf.DUMMYFUNCTION("""COMPUTED_VALUE"""),"устранить источники пыления (открытые грунты), развернуть массовую реставрацию фасадов зданий.")</f>
        <v>устранить источники пыления (открытые грунты), развернуть массовую реставрацию фасадов зданий.</v>
      </c>
      <c r="P1090" s="6" t="str">
        <f>IFERROR(__xludf.DUMMYFUNCTION("""COMPUTED_VALUE"""),"Вести, Яндекс, Сибдепо, Вашгород и пр.")</f>
        <v>Вести, Яндекс, Сибдепо, Вашгород и пр.</v>
      </c>
      <c r="Q1090" s="6" t="str">
        <f>IFERROR(__xludf.DUMMYFUNCTION("""COMPUTED_VALUE"""),"интервью с местными политиками, криминальные новости (происшествия/преступления), результаты местных исследований (рейтинги/аналитика/тенденции)")</f>
        <v>интервью с местными политиками, криминальные новости (происшествия/преступления), результаты местных исследований (рейтинги/аналитика/тенденции)</v>
      </c>
      <c r="R1090" s="6" t="str">
        <f>IFERROR(__xludf.DUMMYFUNCTION("""COMPUTED_VALUE"""),"День победы, Новый год, День шахтёра")</f>
        <v>День победы, Новый год, День шахтёра</v>
      </c>
      <c r="S1090" s="6" t="str">
        <f>IFERROR(__xludf.DUMMYFUNCTION("""COMPUTED_VALUE"""),"Нет, не приходилось")</f>
        <v>Нет, не приходилось</v>
      </c>
      <c r="T1090" s="6" t="str">
        <f>IFERROR(__xludf.DUMMYFUNCTION("""COMPUTED_VALUE"""),"Столица крупнейшего центра угледобычи страны.")</f>
        <v>Столица крупнейшего центра угледобычи страны.</v>
      </c>
      <c r="U1090" s="6" t="str">
        <f>IFERROR(__xludf.DUMMYFUNCTION("""COMPUTED_VALUE"""),"Площадь советов, набережная, стадион ""Химик""")</f>
        <v>Площадь советов, набережная, стадион "Химик"</v>
      </c>
      <c r="V1090" s="6" t="str">
        <f>IFERROR(__xludf.DUMMYFUNCTION("""COMPUTED_VALUE"""),"-")</f>
        <v>-</v>
      </c>
      <c r="W1090" s="6" t="str">
        <f>IFERROR(__xludf.DUMMYFUNCTION("""COMPUTED_VALUE"""),"Обычные люди")</f>
        <v>Обычные люди</v>
      </c>
      <c r="X1090" s="6" t="str">
        <f>IFERROR(__xludf.DUMMYFUNCTION("""COMPUTED_VALUE"""),"Набережная - ул. Весенняя")</f>
        <v>Набережная - ул. Весенняя</v>
      </c>
      <c r="Y1090" s="6" t="str">
        <f>IFERROR(__xludf.DUMMYFUNCTION("""COMPUTED_VALUE"""),"Шахтёрские пикеты на площади советов")</f>
        <v>Шахтёрские пикеты на площади советов</v>
      </c>
      <c r="Z1090" s="6" t="str">
        <f>IFERROR(__xludf.DUMMYFUNCTION("""COMPUTED_VALUE"""),"-")</f>
        <v>-</v>
      </c>
      <c r="AA1090" s="6" t="str">
        <f>IFERROR(__xludf.DUMMYFUNCTION("""COMPUTED_VALUE"""),"-")</f>
        <v>-</v>
      </c>
      <c r="AB1090" s="6" t="str">
        <f>IFERROR(__xludf.DUMMYFUNCTION("""COMPUTED_VALUE"""),"-")</f>
        <v>-</v>
      </c>
      <c r="AC1090" s="6" t="str">
        <f>IFERROR(__xludf.DUMMYFUNCTION("""COMPUTED_VALUE"""),"-")</f>
        <v>-</v>
      </c>
      <c r="AD1090"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090" s="6" t="str">
        <f>IFERROR(__xludf.DUMMYFUNCTION("""COMPUTED_VALUE"""),"Мужской")</f>
        <v>Мужской</v>
      </c>
      <c r="AF1090" s="6" t="str">
        <f>IFERROR(__xludf.DUMMYFUNCTION("""COMPUTED_VALUE"""),"45-55")</f>
        <v>45-55</v>
      </c>
      <c r="AG1090" s="6"/>
      <c r="AH1090" s="6"/>
      <c r="AI1090" s="6"/>
      <c r="AJ1090" s="6"/>
      <c r="AK1090" s="6"/>
      <c r="AL1090" s="6"/>
      <c r="AM1090" s="6"/>
    </row>
    <row r="1091">
      <c r="A1091" s="6">
        <v>1090.0</v>
      </c>
      <c r="B1091" s="6" t="str">
        <f>IFERROR(__xludf.DUMMYFUNCTION("""COMPUTED_VALUE"""),"муниципальный служащий")</f>
        <v>муниципальный служащий</v>
      </c>
      <c r="C1091" s="6" t="str">
        <f>IFERROR(__xludf.DUMMYFUNCTION("""COMPUTED_VALUE"""),"да, огород")</f>
        <v>да, огород</v>
      </c>
      <c r="D1091" s="6" t="str">
        <f>IFERROR(__xludf.DUMMYFUNCTION("""COMPUTED_VALUE"""),"В центральном, так и зову")</f>
        <v>В центральном, так и зову</v>
      </c>
      <c r="E1091" s="6" t="str">
        <f>IFERROR(__xludf.DUMMYFUNCTION("""COMPUTED_VALUE"""),"площадь Советов, парк Антошка, площадь Пушкина, горсад, набережная")</f>
        <v>площадь Советов, парк Антошка, площадь Пушкина, горсад, набережная</v>
      </c>
      <c r="F1091" s="6" t="str">
        <f>IFERROR(__xludf.DUMMYFUNCTION("""COMPUTED_VALUE"""),"Живу здесь с рождения")</f>
        <v>Живу здесь с рождения</v>
      </c>
      <c r="G1091" s="6" t="str">
        <f>IFERROR(__xludf.DUMMYFUNCTION("""COMPUTED_VALUE"""),"горсад, площадь Советов")</f>
        <v>горсад, площадь Советов</v>
      </c>
      <c r="H1091" s="6" t="str">
        <f>IFERROR(__xludf.DUMMYFUNCTION("""COMPUTED_VALUE"""),"Михайло Волков, КузПИ, Кольцо, Радуга, Швейка")</f>
        <v>Михайло Волков, КузПИ, Кольцо, Радуга, Швейка</v>
      </c>
      <c r="I1091" s="6" t="str">
        <f>IFERROR(__xludf.DUMMYFUNCTION("""COMPUTED_VALUE"""),"Бабанский, Леонов, А. Самойлов")</f>
        <v>Бабанский, Леонов, А. Самойлов</v>
      </c>
      <c r="J1091" s="6" t="str">
        <f>IFERROR(__xludf.DUMMYFUNCTION("""COMPUTED_VALUE"""),"Михайлов ВВ, Гришковец, Середюк.")</f>
        <v>Михайлов ВВ, Гришковец, Середюк.</v>
      </c>
      <c r="K1091" s="6" t="str">
        <f>IFERROR(__xludf.DUMMYFUNCTION("""COMPUTED_VALUE"""),"Парк Ангелов, Крест на горе, ")</f>
        <v>Парк Ангелов, Крест на горе, </v>
      </c>
      <c r="L1091" s="6" t="str">
        <f>IFERROR(__xludf.DUMMYFUNCTION("""COMPUTED_VALUE"""),"Быстрее у Михайло Волкова выпадет камень из рук, чем из стен ПолиТеха выйдет хоть одна девственница")</f>
        <v>Быстрее у Михайло Волкова выпадет камень из рук, чем из стен ПолиТеха выйдет хоть одна девственница</v>
      </c>
      <c r="M1091" s="6" t="str">
        <f>IFERROR(__xludf.DUMMYFUNCTION("""COMPUTED_VALUE"""),"- По-кемеровски это как? - А в долг!!!!!!")</f>
        <v>- По-кемеровски это как? - А в долг!!!!!!</v>
      </c>
      <c r="N1091" s="6" t="str">
        <f>IFERROR(__xludf.DUMMYFUNCTION("""COMPUTED_VALUE"""),"чистота, транспортная доступность всех районов, безопасность, близость мест на водоемах доступных для отдыха, нормальное образование.")</f>
        <v>чистота, транспортная доступность всех районов, безопасность, близость мест на водоемах доступных для отдыха, нормальное образование.</v>
      </c>
      <c r="O1091" s="6" t="str">
        <f>IFERROR(__xludf.DUMMYFUNCTION("""COMPUTED_VALUE"""),"трудно сказать")</f>
        <v>трудно сказать</v>
      </c>
      <c r="P1091" s="6" t="str">
        <f>IFERROR(__xludf.DUMMYFUNCTION("""COMPUTED_VALUE"""),"все 42, ТВ")</f>
        <v>все 42, ТВ</v>
      </c>
      <c r="Q109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v>
      </c>
      <c r="R1091" s="6" t="str">
        <f>IFERROR(__xludf.DUMMYFUNCTION("""COMPUTED_VALUE"""),"День города, 9 мая, новый год")</f>
        <v>День города, 9 мая, новый год</v>
      </c>
      <c r="S1091" s="6" t="str">
        <f>IFERROR(__xludf.DUMMYFUNCTION("""COMPUTED_VALUE"""),"в рамах должностных обязанностей")</f>
        <v>в рамах должностных обязанностей</v>
      </c>
      <c r="T1091" s="6" t="str">
        <f>IFERROR(__xludf.DUMMYFUNCTION("""COMPUTED_VALUE"""),"Людьми, углем, гигантами химии")</f>
        <v>Людьми, углем, гигантами химии</v>
      </c>
      <c r="U1091" s="6" t="str">
        <f>IFERROR(__xludf.DUMMYFUNCTION("""COMPUTED_VALUE"""),"Цирк, площадь Советов, Бульварное кольцо (в Ленинском районе)")</f>
        <v>Цирк, площадь Советов, Бульварное кольцо (в Ленинском районе)</v>
      </c>
      <c r="V1091" s="6" t="str">
        <f>IFERROR(__xludf.DUMMYFUNCTION("""COMPUTED_VALUE"""),"Работали")</f>
        <v>Работали</v>
      </c>
      <c r="W1091" s="6" t="str">
        <f>IFERROR(__xludf.DUMMYFUNCTION("""COMPUTED_VALUE"""),"Не многословные, терпеливые, трудолюбивые.")</f>
        <v>Не многословные, терпеливые, трудолюбивые.</v>
      </c>
      <c r="X1091" s="6" t="str">
        <f>IFERROR(__xludf.DUMMYFUNCTION("""COMPUTED_VALUE"""),"Набережная")</f>
        <v>Набережная</v>
      </c>
      <c r="Y1091" s="6" t="str">
        <f>IFERROR(__xludf.DUMMYFUNCTION("""COMPUTED_VALUE"""),"затрудняюсь")</f>
        <v>затрудняюсь</v>
      </c>
      <c r="Z1091" s="6" t="str">
        <f>IFERROR(__xludf.DUMMYFUNCTION("""COMPUTED_VALUE"""),"очень много новостроек")</f>
        <v>очень много новостроек</v>
      </c>
      <c r="AA1091" s="6" t="str">
        <f>IFERROR(__xludf.DUMMYFUNCTION("""COMPUTED_VALUE"""),"закрыли бассейн Лазурный")</f>
        <v>закрыли бассейн Лазурный</v>
      </c>
      <c r="AB1091" s="6" t="str">
        <f>IFERROR(__xludf.DUMMYFUNCTION("""COMPUTED_VALUE"""),"всего хватает")</f>
        <v>всего хватает</v>
      </c>
      <c r="AC1091" s="6" t="str">
        <f>IFERROR(__xludf.DUMMYFUNCTION("""COMPUTED_VALUE"""),"не знаю")</f>
        <v>не знаю</v>
      </c>
      <c r="AD1091"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091" s="6" t="str">
        <f>IFERROR(__xludf.DUMMYFUNCTION("""COMPUTED_VALUE"""),"Женский")</f>
        <v>Женский</v>
      </c>
      <c r="AF1091" s="6" t="str">
        <f>IFERROR(__xludf.DUMMYFUNCTION("""COMPUTED_VALUE"""),"45-55")</f>
        <v>45-55</v>
      </c>
      <c r="AG1091" s="6"/>
      <c r="AH1091" s="6"/>
      <c r="AI1091" s="6"/>
      <c r="AJ1091" s="6"/>
      <c r="AK1091" s="6"/>
      <c r="AL1091" s="6"/>
      <c r="AM1091" s="6"/>
    </row>
    <row r="1092">
      <c r="A1092" s="6">
        <v>1091.0</v>
      </c>
      <c r="B1092" s="6" t="str">
        <f>IFERROR(__xludf.DUMMYFUNCTION("""COMPUTED_VALUE"""),"Домохозяйка")</f>
        <v>Домохозяйка</v>
      </c>
      <c r="C1092" s="6" t="str">
        <f>IFERROR(__xludf.DUMMYFUNCTION("""COMPUTED_VALUE"""),"Чтение, рисование")</f>
        <v>Чтение, рисование</v>
      </c>
      <c r="D1092" s="6" t="str">
        <f>IFERROR(__xludf.DUMMYFUNCTION("""COMPUTED_VALUE"""),"Центральный. Называю Центр, потому что Центральный район большой, а я живу почти в самом центре, недалеко от Администрации.")</f>
        <v>Центральный. Называю Центр, потому что Центральный район большой, а я живу почти в самом центре, недалеко от Администрации.</v>
      </c>
      <c r="E1092" s="6" t="str">
        <f>IFERROR(__xludf.DUMMYFUNCTION("""COMPUTED_VALUE"""),"Набережная, пл. Советов, ул. Весенняя")</f>
        <v>Набережная, пл. Советов, ул. Весенняя</v>
      </c>
      <c r="F1092" s="6" t="str">
        <f>IFERROR(__xludf.DUMMYFUNCTION("""COMPUTED_VALUE"""),"Живу здесь с рождения")</f>
        <v>Живу здесь с рождения</v>
      </c>
      <c r="G1092" s="6" t="str">
        <f>IFERROR(__xludf.DUMMYFUNCTION("""COMPUTED_VALUE"""),"Набережная, ул. Весенняя, Сосновый бор, парк Победы")</f>
        <v>Набережная, ул. Весенняя, Сосновый бор, парк Победы</v>
      </c>
      <c r="H1092" s="6" t="str">
        <f>IFERROR(__xludf.DUMMYFUNCTION("""COMPUTED_VALUE"""),"Маленький, уютный, чистый, простой, тихий")</f>
        <v>Маленький, уютный, чистый, простой, тихий</v>
      </c>
      <c r="I1092" s="6" t="str">
        <f>IFERROR(__xludf.DUMMYFUNCTION("""COMPUTED_VALUE"""),"не знаю")</f>
        <v>не знаю</v>
      </c>
      <c r="J1092" s="6" t="str">
        <f>IFERROR(__xludf.DUMMYFUNCTION("""COMPUTED_VALUE"""),"Не знаю. И не слышала о таких, чтобы на кого-то равняться!")</f>
        <v>Не знаю. И не слышала о таких, чтобы на кого-то равняться!</v>
      </c>
      <c r="K1092" s="6" t="str">
        <f>IFERROR(__xludf.DUMMYFUNCTION("""COMPUTED_VALUE"""),"Набережная, ул. Весенняя, Сосновый бор, парк Ангелов")</f>
        <v>Набережная, ул. Весенняя, Сосновый бор, парк Ангелов</v>
      </c>
      <c r="L1092" s="6" t="str">
        <f>IFERROR(__xludf.DUMMYFUNCTION("""COMPUTED_VALUE"""),"не знаю")</f>
        <v>не знаю</v>
      </c>
      <c r="M1092" s="6" t="str">
        <f>IFERROR(__xludf.DUMMYFUNCTION("""COMPUTED_VALUE"""),"нет")</f>
        <v>нет</v>
      </c>
      <c r="N1092" s="6" t="str">
        <f>IFERROR(__xludf.DUMMYFUNCTION("""COMPUTED_VALUE"""),"Хорошие дороги, ")</f>
        <v>Хорошие дороги, </v>
      </c>
      <c r="O1092" s="6" t="str">
        <f>IFERROR(__xludf.DUMMYFUNCTION("""COMPUTED_VALUE"""),"Бюджет! По моему мнению вся серость и безликость нашего города в ограниченных средствах. Небольшие доходы населения, нехватка бюджетных средств у Города. Если что-то и делается, то настолько экономно, что ничего красивого, интересного из этого не выходит.")</f>
        <v>Бюджет! По моему мнению вся серость и безликость нашего города в ограниченных средствах. Небольшие доходы населения, нехватка бюджетных средств у Города. Если что-то и делается, то настолько экономно, что ничего красивого, интересного из этого не выходит.</v>
      </c>
      <c r="P1092" s="6" t="str">
        <f>IFERROR(__xludf.DUMMYFUNCTION("""COMPUTED_VALUE"""),"google, тв канал Россия 24")</f>
        <v>google, тв канал Россия 24</v>
      </c>
      <c r="Q1092" s="6" t="str">
        <f>IFERROR(__xludf.DUMMYFUNCTION("""COMPUTED_VALUE"""),"где вкусно поесть/открытие новых кафе/ресторанов, городская афиша (кино/театр/концерты), мало вариантов можно выбрать, интервью и с политиками, творческими личностями, предпринимателями")</f>
        <v>где вкусно поесть/открытие новых кафе/ресторанов, городская афиша (кино/театр/концерты), мало вариантов можно выбрать, интервью и с политиками, творческими личностями, предпринимателями</v>
      </c>
      <c r="R1092" s="6" t="str">
        <f>IFERROR(__xludf.DUMMYFUNCTION("""COMPUTED_VALUE"""),"День города")</f>
        <v>День города</v>
      </c>
      <c r="S1092" s="6" t="str">
        <f>IFERROR(__xludf.DUMMYFUNCTION("""COMPUTED_VALUE"""),"Обращался в редакции городских газет, телевидения, радио")</f>
        <v>Обращался в редакции городских газет, телевидения, радио</v>
      </c>
      <c r="T1092" s="6" t="str">
        <f>IFERROR(__xludf.DUMMYFUNCTION("""COMPUTED_VALUE"""),"Известен как столица Кузбасса - угольного региона. К сожалению, в последние годы Кемерово вызывает ассоциации с Зимней вишней.")</f>
        <v>Известен как столица Кузбасса - угольного региона. К сожалению, в последние годы Кемерово вызывает ассоциации с Зимней вишней.</v>
      </c>
      <c r="U1092" s="6" t="str">
        <f>IFERROR(__xludf.DUMMYFUNCTION("""COMPUTED_VALUE"""),"Центр города - площадь Советов ")</f>
        <v>Центр города - площадь Советов </v>
      </c>
      <c r="V1092" s="6" t="str">
        <f>IFERROR(__xludf.DUMMYFUNCTION("""COMPUTED_VALUE"""),"Кемеровчане тихие, закрытые, мне кажется из-за этого город чистый и тихий. А гордится не чем.")</f>
        <v>Кемеровчане тихие, закрытые, мне кажется из-за этого город чистый и тихий. А гордится не чем.</v>
      </c>
      <c r="W1092" s="6" t="str">
        <f>IFERROR(__xludf.DUMMYFUNCTION("""COMPUTED_VALUE"""),"Тихие, не общительные, терпеливые, не прихотливые, простые, не требовательные.")</f>
        <v>Тихие, не общительные, терпеливые, не прихотливые, простые, не требовательные.</v>
      </c>
      <c r="X1092" s="6" t="str">
        <f>IFERROR(__xludf.DUMMYFUNCTION("""COMPUTED_VALUE"""),"Крутого нет! Несколько самых красивых улиц Кемерово и всё!")</f>
        <v>Крутого нет! Несколько самых красивых улиц Кемерово и всё!</v>
      </c>
      <c r="Y1092" s="6" t="str">
        <f>IFERROR(__xludf.DUMMYFUNCTION("""COMPUTED_VALUE"""),"За всё время существования города не отвечу. Я практически не знаю историю города.")</f>
        <v>За всё время существования города не отвечу. Я практически не знаю историю города.</v>
      </c>
      <c r="Z1092" s="6" t="str">
        <f>IFERROR(__xludf.DUMMYFUNCTION("""COMPUTED_VALUE"""),"То что, благодаря федеральным проектам и программам, наш город наконец-то ожил, началось строительство общественных объектов и территорий, ремонты школ, музеев, больниц.")</f>
        <v>То что, благодаря федеральным проектам и программам, наш город наконец-то ожил, началось строительство общественных объектов и территорий, ремонты школ, музеев, больниц.</v>
      </c>
      <c r="AA1092" s="6" t="str">
        <f>IFERROR(__xludf.DUMMYFUNCTION("""COMPUTED_VALUE"""),"Некачественный ремонт дорог. Замена старого асфальтного покрытия тротуара на новое асфальтное, хотя в центре города могли бы сделать и тротуарной плиткой.  С каждым годом устанавливается всё больше светофоров, что увеличивает время проезда.")</f>
        <v>Некачественный ремонт дорог. Замена старого асфальтного покрытия тротуара на новое асфальтное, хотя в центре города могли бы сделать и тротуарной плиткой.  С каждым годом устанавливается всё больше светофоров, что увеличивает время проезда.</v>
      </c>
      <c r="AB1092" s="6" t="str">
        <f>IFERROR(__xludf.DUMMYFUNCTION("""COMPUTED_VALUE"""),"Где можно было оставить предложения и пожелания по развитию города. Сообщества по лечению, врачам, больницам. Для старших школьников нужна информация об образовательных учреждениях, хорошо бы их объединить на одном ресурсе.")</f>
        <v>Где можно было оставить предложения и пожелания по развитию города. Сообщества по лечению, врачам, больницам. Для старших школьников нужна информация об образовательных учреждениях, хорошо бы их объединить на одном ресурсе.</v>
      </c>
      <c r="AC1092" s="6" t="str">
        <f>IFERROR(__xludf.DUMMYFUNCTION("""COMPUTED_VALUE"""),"Здесь скучно. Надо дать возможность, площадки реализовываться. Кто-то будет это всё организовывать, кто-то приходить смотреть. Создаётся впечатление, что все кто с идей бегут отсюда, поэтому и событий особо нет. Я, например, люблю балет, но тот что приезж"&amp;"ает к нам с гастролями, ужасный (наверно, какие-то студенты и подобное). Уровень должен быть как в Москве, если вы приехали в Кемерово, так покажите мастерство. ")</f>
        <v>Здесь скучно. Надо дать возможность, площадки реализовываться. Кто-то будет это всё организовывать, кто-то приходить смотреть. Создаётся впечатление, что все кто с идей бегут отсюда, поэтому и событий особо нет. Я, например, люблю балет, но тот что приезжает к нам с гастролями, ужасный (наверно, какие-то студенты и подобное). Уровень должен быть как в Москве, если вы приехали в Кемерово, так покажите мастерство. </v>
      </c>
      <c r="AD109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092" s="6" t="str">
        <f>IFERROR(__xludf.DUMMYFUNCTION("""COMPUTED_VALUE"""),"Женский")</f>
        <v>Женский</v>
      </c>
      <c r="AF1092" s="6" t="str">
        <f>IFERROR(__xludf.DUMMYFUNCTION("""COMPUTED_VALUE"""),"30-44")</f>
        <v>30-44</v>
      </c>
      <c r="AG1092" s="6"/>
      <c r="AH1092" s="6"/>
      <c r="AI1092" s="6"/>
      <c r="AJ1092" s="6"/>
      <c r="AK1092" s="6"/>
      <c r="AL1092" s="6"/>
      <c r="AM1092" s="6"/>
    </row>
    <row r="1093">
      <c r="A1093" s="6">
        <v>1092.0</v>
      </c>
      <c r="B1093" s="6" t="str">
        <f>IFERROR(__xludf.DUMMYFUNCTION("""COMPUTED_VALUE"""),"Студент")</f>
        <v>Студент</v>
      </c>
      <c r="C1093" s="6" t="str">
        <f>IFERROR(__xludf.DUMMYFUNCTION("""COMPUTED_VALUE"""),"Играю на гитаре")</f>
        <v>Играю на гитаре</v>
      </c>
      <c r="D1093" s="6" t="str">
        <f>IFERROR(__xludf.DUMMYFUNCTION("""COMPUTED_VALUE"""),"Ленинский")</f>
        <v>Ленинский</v>
      </c>
      <c r="E1093" s="6" t="str">
        <f>IFERROR(__xludf.DUMMYFUNCTION("""COMPUTED_VALUE"""),"Кузбасский парк")</f>
        <v>Кузбасский парк</v>
      </c>
      <c r="F1093" s="6" t="str">
        <f>IFERROR(__xludf.DUMMYFUNCTION("""COMPUTED_VALUE"""),"Переехал сюда из другого места (откуда? укажите в графе другое), Приехала из мысков, учусь ")</f>
        <v>Переехал сюда из другого места (откуда? укажите в графе другое), Приехала из мысков, учусь </v>
      </c>
      <c r="G1093" s="6" t="str">
        <f>IFERROR(__xludf.DUMMYFUNCTION("""COMPUTED_VALUE"""),"Набережная, центральные улицы города, дворы комсомольского")</f>
        <v>Набережная, центральные улицы города, дворы комсомольского</v>
      </c>
      <c r="H1093" s="6" t="str">
        <f>IFERROR(__xludf.DUMMYFUNCTION("""COMPUTED_VALUE"""),"Зимняя вишня, азот, Стелла- Кузбасс, сосновый бор, опорный вуз")</f>
        <v>Зимняя вишня, азот, Стелла- Кузбасс, сосновый бор, опорный вуз</v>
      </c>
      <c r="I1093" s="6" t="str">
        <f>IFERROR(__xludf.DUMMYFUNCTION("""COMPUTED_VALUE""")," Леонов")</f>
        <v> Леонов</v>
      </c>
      <c r="J1093" s="6" t="str">
        <f>IFERROR(__xludf.DUMMYFUNCTION("""COMPUTED_VALUE"""),"Гришковец")</f>
        <v>Гришковец</v>
      </c>
      <c r="K1093" s="6" t="str">
        <f>IFERROR(__xludf.DUMMYFUNCTION("""COMPUTED_VALUE"""),"Сосновый Бор, набережная, закат на Притомском")</f>
        <v>Сосновый Бор, набережная, закат на Притомском</v>
      </c>
      <c r="L1093" s="6" t="str">
        <f>IFERROR(__xludf.DUMMYFUNCTION("""COMPUTED_VALUE"""),"Кузбасс - это каждый из нас")</f>
        <v>Кузбасс - это каждый из нас</v>
      </c>
      <c r="M1093" s="6" t="str">
        <f>IFERROR(__xludf.DUMMYFUNCTION("""COMPUTED_VALUE"""),"Класснуха, вместо классуха (классный руководитель сокращено)")</f>
        <v>Класснуха, вместо классуха (классный руководитель сокращено)</v>
      </c>
      <c r="N1093" s="6" t="str">
        <f>IFERROR(__xludf.DUMMYFUNCTION("""COMPUTED_VALUE"""),"Развитая инфраструктура, наличие Арт-пространств и хороших кофеен, парков, БАССЕЙНА, доступность и четкое расписание транспорта, чистота улиц (у нас в Ленинском районе очень много мусора)")</f>
        <v>Развитая инфраструктура, наличие Арт-пространств и хороших кофеен, парков, БАССЕЙНА, доступность и четкое расписание транспорта, чистота улиц (у нас в Ленинском районе очень много мусора)</v>
      </c>
      <c r="O1093" s="6" t="str">
        <f>IFERROR(__xludf.DUMMYFUNCTION("""COMPUTED_VALUE"""),"Нормальное расписание транспорта, чистоту улиц")</f>
        <v>Нормальное расписание транспорта, чистоту улиц</v>
      </c>
      <c r="P1093" s="6" t="str">
        <f>IFERROR(__xludf.DUMMYFUNCTION("""COMPUTED_VALUE"""),"Присылают друзья в вк, рекомендации в ленте Инстаграмм, от знакомых в ходе разговора")</f>
        <v>Присылают друзья в вк, рекомендации в ленте Инстаграмм, от знакомых в ходе разговора</v>
      </c>
      <c r="Q1093"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093" s="6" t="str">
        <f>IFERROR(__xludf.DUMMYFUNCTION("""COMPUTED_VALUE"""),"9 мая, Новый год ")</f>
        <v>9 мая, Новый год </v>
      </c>
      <c r="S1093" s="6" t="str">
        <f>IFERROR(__xludf.DUMMYFUNCTION("""COMPUTED_VALUE"""),"Через социальные сети (Какие? Укажите в графе другое), ВКонтакте, Инстаграмм ")</f>
        <v>Через социальные сети (Какие? Укажите в графе другое), ВКонтакте, Инстаграмм </v>
      </c>
      <c r="T1093" s="6" t="str">
        <f>IFERROR(__xludf.DUMMYFUNCTION("""COMPUTED_VALUE"""),"Известен печальными событиями Зимней вишни")</f>
        <v>Известен печальными событиями Зимней вишни</v>
      </c>
      <c r="U1093" s="6" t="str">
        <f>IFERROR(__xludf.DUMMYFUNCTION("""COMPUTED_VALUE"""),"Площадь, набережная ")</f>
        <v>Площадь, набережная </v>
      </c>
      <c r="V1093" s="6" t="str">
        <f>IFERROR(__xludf.DUMMYFUNCTION("""COMPUTED_VALUE"""),"Создавали новые проекты для улучшения жизнедеятельности города ")</f>
        <v>Создавали новые проекты для улучшения жизнедеятельности города </v>
      </c>
      <c r="W1093" s="6" t="str">
        <f>IFERROR(__xludf.DUMMYFUNCTION("""COMPUTED_VALUE"""),"Интересные, творческие, амбициозные ")</f>
        <v>Интересные, творческие, амбициозные </v>
      </c>
      <c r="X1093" s="6" t="str">
        <f>IFERROR(__xludf.DUMMYFUNCTION("""COMPUTED_VALUE"""),"Советский проспект + парк ангелов + поесть в хорошем месте")</f>
        <v>Советский проспект + парк ангелов + поесть в хорошем месте</v>
      </c>
      <c r="Y1093" s="6" t="str">
        <f>IFERROR(__xludf.DUMMYFUNCTION("""COMPUTED_VALUE"""),"-")</f>
        <v>-</v>
      </c>
      <c r="Z1093" s="6" t="str">
        <f>IFERROR(__xludf.DUMMYFUNCTION("""COMPUTED_VALUE"""),"Троллейбусу №4 изменили маршрут и теперь ездить удобнее!")</f>
        <v>Троллейбусу №4 изменили маршрут и теперь ездить удобнее!</v>
      </c>
      <c r="AA1093" s="6" t="str">
        <f>IFERROR(__xludf.DUMMYFUNCTION("""COMPUTED_VALUE"""),"Застой бассейна «Лазурный»")</f>
        <v>Застой бассейна «Лазурный»</v>
      </c>
      <c r="AB1093" s="6" t="str">
        <f>IFERROR(__xludf.DUMMYFUNCTION("""COMPUTED_VALUE"""),"По правам человека")</f>
        <v>По правам человека</v>
      </c>
      <c r="AC1093" s="6" t="str">
        <f>IFERROR(__xludf.DUMMYFUNCTION("""COMPUTED_VALUE"""),"Рабочие места для молодежи, хорошие приличные и порядочные места для проведения свободного времени, нормальная площадка для артистов музыкальных групп ")</f>
        <v>Рабочие места для молодежи, хорошие приличные и порядочные места для проведения свободного времени, нормальная площадка для артистов музыкальных групп </v>
      </c>
      <c r="AD109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93" s="6" t="str">
        <f>IFERROR(__xludf.DUMMYFUNCTION("""COMPUTED_VALUE"""),"Женский")</f>
        <v>Женский</v>
      </c>
      <c r="AF1093" s="6" t="str">
        <f>IFERROR(__xludf.DUMMYFUNCTION("""COMPUTED_VALUE"""),"18-29")</f>
        <v>18-29</v>
      </c>
      <c r="AG1093" s="6"/>
      <c r="AH1093" s="6"/>
      <c r="AI1093" s="6"/>
      <c r="AJ1093" s="6"/>
      <c r="AK1093" s="6"/>
      <c r="AL1093" s="6"/>
      <c r="AM1093" s="6"/>
    </row>
    <row r="1094">
      <c r="A1094" s="6">
        <v>1093.0</v>
      </c>
      <c r="B1094" s="6" t="str">
        <f>IFERROR(__xludf.DUMMYFUNCTION("""COMPUTED_VALUE"""),"Работаю Главным механиком на предприятии")</f>
        <v>Работаю Главным механиком на предприятии</v>
      </c>
      <c r="C1094" s="6" t="str">
        <f>IFERROR(__xludf.DUMMYFUNCTION("""COMPUTED_VALUE"""),"Читать книги, играть в футбол ")</f>
        <v>Читать книги, играть в футбол </v>
      </c>
      <c r="D1094" s="6" t="str">
        <f>IFERROR(__xludf.DUMMYFUNCTION("""COMPUTED_VALUE"""),"Ленинский район. Район Ленинградка")</f>
        <v>Ленинский район. Район Ленинградка</v>
      </c>
      <c r="E1094" s="6" t="str">
        <f>IFERROR(__xludf.DUMMYFUNCTION("""COMPUTED_VALUE"""),"Школа 94")</f>
        <v>Школа 94</v>
      </c>
      <c r="F1094" s="6" t="str">
        <f>IFERROR(__xludf.DUMMYFUNCTION("""COMPUTED_VALUE"""),"Живу здесь с рождения")</f>
        <v>Живу здесь с рождения</v>
      </c>
      <c r="G1094" s="6" t="str">
        <f>IFERROR(__xludf.DUMMYFUNCTION("""COMPUTED_VALUE"""),"На стадион Шахтер")</f>
        <v>На стадион Шахтер</v>
      </c>
      <c r="H1094" s="6" t="str">
        <f>IFERROR(__xludf.DUMMYFUNCTION("""COMPUTED_VALUE"""),"Кемеровчани, Щегловск, Коксохимзавод, сталица Кузбасса, мой любимый город ")</f>
        <v>Кемеровчани, Щегловск, Коксохимзавод, сталица Кузбасса, мой любимый город </v>
      </c>
      <c r="I1094" s="6" t="str">
        <f>IFERROR(__xludf.DUMMYFUNCTION("""COMPUTED_VALUE"""),"Леонов, Тулееев, Михайлов, Зубитцкий, Раздаеев. ")</f>
        <v>Леонов, Тулееев, Михайлов, Зубитцкий, Раздаеев. </v>
      </c>
      <c r="J1094" s="6" t="str">
        <f>IFERROR(__xludf.DUMMYFUNCTION("""COMPUTED_VALUE"""),"МИХАЙЛОВ, ТУЛЕЕВ, ЦИВИЛЕВ, СЕРЕДЮК ")</f>
        <v>МИХАЙЛОВ, ТУЛЕЕВ, ЦИВИЛЕВ, СЕРЕДЮК </v>
      </c>
      <c r="K1094" s="6" t="str">
        <f>IFERROR(__xludf.DUMMYFUNCTION("""COMPUTED_VALUE"""),"Парк Ангелов, Городской сад, Кадетское училище")</f>
        <v>Парк Ангелов, Городской сад, Кадетское училище</v>
      </c>
      <c r="L1094" s="6" t="str">
        <f>IFERROR(__xludf.DUMMYFUNCTION("""COMPUTED_VALUE"""),"Кемеровчани это Щегловчани ")</f>
        <v>Кемеровчани это Щегловчани </v>
      </c>
      <c r="M1094" s="6" t="str">
        <f>IFERROR(__xludf.DUMMYFUNCTION("""COMPUTED_VALUE"""),"Кемеровоо")</f>
        <v>Кемеровоо</v>
      </c>
      <c r="N1094" s="6" t="str">
        <f>IFERROR(__xludf.DUMMYFUNCTION("""COMPUTED_VALUE"""),"Работа, порядок, благополучие, хорошие дороги, развитая инфроструктура")</f>
        <v>Работа, порядок, благополучие, хорошие дороги, развитая инфроструктура</v>
      </c>
      <c r="O1094" s="6" t="str">
        <f>IFERROR(__xludf.DUMMYFUNCTION("""COMPUTED_VALUE"""),"Убрать старые здания, создать хорошие рабочие места ")</f>
        <v>Убрать старые здания, создать хорошие рабочие места </v>
      </c>
      <c r="P1094" s="6" t="str">
        <f>IFERROR(__xludf.DUMMYFUNCTION("""COMPUTED_VALUE"""),"Интернет, инстограмм")</f>
        <v>Интернет, инстограмм</v>
      </c>
      <c r="Q1094" s="6" t="str">
        <f>IFERROR(__xludf.DUMMYFUNCTION("""COMPUTED_VALUE"""),"интервью с местными предпринимателями, криминальные новости (происшествия/преступления), новости про новые профессии/куда поступать/вакансии")</f>
        <v>интервью с местными предпринимателями, криминальные новости (происшествия/преступления), новости про новые профессии/куда поступать/вакансии</v>
      </c>
      <c r="R1094" s="6" t="str">
        <f>IFERROR(__xludf.DUMMYFUNCTION("""COMPUTED_VALUE"""),"День города")</f>
        <v>День города</v>
      </c>
      <c r="S1094" s="6" t="str">
        <f>IFERROR(__xludf.DUMMYFUNCTION("""COMPUTED_VALUE"""),"Нет, не приходилось")</f>
        <v>Нет, не приходилось</v>
      </c>
      <c r="T1094" s="6" t="str">
        <f>IFERROR(__xludf.DUMMYFUNCTION("""COMPUTED_VALUE"""),"Люди, промышленность, дети")</f>
        <v>Люди, промышленность, дети</v>
      </c>
      <c r="U1094" s="6" t="str">
        <f>IFERROR(__xludf.DUMMYFUNCTION("""COMPUTED_VALUE"""),"Площадь Советов")</f>
        <v>Площадь Советов</v>
      </c>
      <c r="V1094" s="6" t="str">
        <f>IFERROR(__xludf.DUMMYFUNCTION("""COMPUTED_VALUE"""),"Создали город который самый красивый ")</f>
        <v>Создали город который самый красивый </v>
      </c>
      <c r="W1094" s="6" t="str">
        <f>IFERROR(__xludf.DUMMYFUNCTION("""COMPUTED_VALUE"""),"Добрые, трудолюбие, дружные ")</f>
        <v>Добрые, трудолюбие, дружные </v>
      </c>
      <c r="X1094" s="6" t="str">
        <f>IFERROR(__xludf.DUMMYFUNCTION("""COMPUTED_VALUE"""),"Кадетское училище ")</f>
        <v>Кадетское училище </v>
      </c>
      <c r="Y1094" s="6" t="str">
        <f>IFERROR(__xludf.DUMMYFUNCTION("""COMPUTED_VALUE"""),"Чемпионат мира по хоккею с мячем, команда Кузбасс по футболу ")</f>
        <v>Чемпионат мира по хоккею с мячем, команда Кузбасс по футболу </v>
      </c>
      <c r="Z1094" s="6" t="str">
        <f>IFERROR(__xludf.DUMMYFUNCTION("""COMPUTED_VALUE"""),"Строительство новых социальных объектов ")</f>
        <v>Строительство новых социальных объектов </v>
      </c>
      <c r="AA1094" s="6" t="str">
        <f>IFERROR(__xludf.DUMMYFUNCTION("""COMPUTED_VALUE"""),"Пажар в Зимнеей вишне ")</f>
        <v>Пажар в Зимнеей вишне </v>
      </c>
      <c r="AB1094" s="6" t="str">
        <f>IFERROR(__xludf.DUMMYFUNCTION("""COMPUTED_VALUE"""),"Одноклассников место встречи, кафе, парк ")</f>
        <v>Одноклассников место встречи, кафе, парк </v>
      </c>
      <c r="AC1094" s="6" t="str">
        <f>IFERROR(__xludf.DUMMYFUNCTION("""COMPUTED_VALUE"""),"Спортивные, Культурные ")</f>
        <v>Спортивные, Культурные </v>
      </c>
      <c r="AD109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094" s="6" t="str">
        <f>IFERROR(__xludf.DUMMYFUNCTION("""COMPUTED_VALUE"""),"Мужской")</f>
        <v>Мужской</v>
      </c>
      <c r="AF1094" s="6" t="str">
        <f>IFERROR(__xludf.DUMMYFUNCTION("""COMPUTED_VALUE"""),"30-44")</f>
        <v>30-44</v>
      </c>
      <c r="AG1094" s="6"/>
      <c r="AH1094" s="6"/>
      <c r="AI1094" s="6"/>
      <c r="AJ1094" s="6"/>
      <c r="AK1094" s="6"/>
      <c r="AL1094" s="6"/>
      <c r="AM1094" s="6"/>
    </row>
    <row r="1095">
      <c r="A1095" s="6">
        <v>1094.0</v>
      </c>
      <c r="B1095" s="6" t="str">
        <f>IFERROR(__xludf.DUMMYFUNCTION("""COMPUTED_VALUE"""),"Автомобилями")</f>
        <v>Автомобилями</v>
      </c>
      <c r="C1095" s="6" t="str">
        <f>IFERROR(__xludf.DUMMYFUNCTION("""COMPUTED_VALUE"""),"Рисунки")</f>
        <v>Рисунки</v>
      </c>
      <c r="D1095" s="6" t="str">
        <f>IFERROR(__xludf.DUMMYFUNCTION("""COMPUTED_VALUE"""),"Фпк")</f>
        <v>Фпк</v>
      </c>
      <c r="E1095" s="6" t="str">
        <f>IFERROR(__xludf.DUMMYFUNCTION("""COMPUTED_VALUE"""),"Трц")</f>
        <v>Трц</v>
      </c>
      <c r="F1095" s="6" t="str">
        <f>IFERROR(__xludf.DUMMYFUNCTION("""COMPUTED_VALUE"""),"Живу здесь с рождения")</f>
        <v>Живу здесь с рождения</v>
      </c>
      <c r="G1095" s="6" t="str">
        <f>IFERROR(__xludf.DUMMYFUNCTION("""COMPUTED_VALUE"""),"В бор")</f>
        <v>В бор</v>
      </c>
      <c r="H1095" s="6" t="str">
        <f>IFERROR(__xludf.DUMMYFUNCTION("""COMPUTED_VALUE"""),"Цевилев,зимняя вишня,разрезы, некуда сходить, большая деревня ")</f>
        <v>Цевилев,зимняя вишня,разрезы, некуда сходить, большая деревня </v>
      </c>
      <c r="I1095" s="6" t="str">
        <f>IFERROR(__xludf.DUMMYFUNCTION("""COMPUTED_VALUE"""),"Тулеев")</f>
        <v>Тулеев</v>
      </c>
      <c r="J1095" s="6" t="str">
        <f>IFERROR(__xludf.DUMMYFUNCTION("""COMPUTED_VALUE"""),"Середюк")</f>
        <v>Середюк</v>
      </c>
      <c r="K1095" s="6" t="str">
        <f>IFERROR(__xludf.DUMMYFUNCTION("""COMPUTED_VALUE"""),"Природу")</f>
        <v>Природу</v>
      </c>
      <c r="L1095" s="6" t="str">
        <f>IFERROR(__xludf.DUMMYFUNCTION("""COMPUTED_VALUE"""),"Всему свое время...")</f>
        <v>Всему свое время...</v>
      </c>
      <c r="M1095" s="6" t="str">
        <f>IFERROR(__xludf.DUMMYFUNCTION("""COMPUTED_VALUE"""),"По местному")</f>
        <v>По местному</v>
      </c>
      <c r="N1095" s="6" t="str">
        <f>IFERROR(__xludf.DUMMYFUNCTION("""COMPUTED_VALUE"""),"Таких нету")</f>
        <v>Таких нету</v>
      </c>
      <c r="O1095" s="6" t="str">
        <f>IFERROR(__xludf.DUMMYFUNCTION("""COMPUTED_VALUE"""),"Трудеости с работой")</f>
        <v>Трудеости с работой</v>
      </c>
      <c r="P1095" s="6" t="str">
        <f>IFERROR(__xludf.DUMMYFUNCTION("""COMPUTED_VALUE"""),"Из инстаграма ")</f>
        <v>Из инстаграма </v>
      </c>
      <c r="Q1095"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095" s="6" t="str">
        <f>IFERROR(__xludf.DUMMYFUNCTION("""COMPUTED_VALUE"""),"День города")</f>
        <v>День города</v>
      </c>
      <c r="S1095" s="6" t="str">
        <f>IFERROR(__xludf.DUMMYFUNCTION("""COMPUTED_VALUE"""),"Нет, не приходилось")</f>
        <v>Нет, не приходилось</v>
      </c>
      <c r="T1095" s="6" t="str">
        <f>IFERROR(__xludf.DUMMYFUNCTION("""COMPUTED_VALUE"""),"Столицей")</f>
        <v>Столицей</v>
      </c>
      <c r="U1095" s="6" t="str">
        <f>IFERROR(__xludf.DUMMYFUNCTION("""COMPUTED_VALUE"""),"Площадь советов")</f>
        <v>Площадь советов</v>
      </c>
      <c r="V1095" s="6" t="str">
        <f>IFERROR(__xludf.DUMMYFUNCTION("""COMPUTED_VALUE"""),"Построили город")</f>
        <v>Построили город</v>
      </c>
      <c r="W1095" s="6" t="str">
        <f>IFERROR(__xludf.DUMMYFUNCTION("""COMPUTED_VALUE"""),"Тут мало коренных жителей ")</f>
        <v>Тут мало коренных жителей </v>
      </c>
      <c r="X1095" s="6" t="str">
        <f>IFERROR(__xludf.DUMMYFUNCTION("""COMPUTED_VALUE"""),"Набережная")</f>
        <v>Набережная</v>
      </c>
      <c r="Y1095" s="6" t="str">
        <f>IFERROR(__xludf.DUMMYFUNCTION("""COMPUTED_VALUE"""),"Не скажу")</f>
        <v>Не скажу</v>
      </c>
      <c r="Z1095" s="6" t="str">
        <f>IFERROR(__xludf.DUMMYFUNCTION("""COMPUTED_VALUE"""),"Спортивные")</f>
        <v>Спортивные</v>
      </c>
      <c r="AA1095" s="6" t="str">
        <f>IFERROR(__xludf.DUMMYFUNCTION("""COMPUTED_VALUE"""),"Зимняя вишня")</f>
        <v>Зимняя вишня</v>
      </c>
      <c r="AB1095" s="6" t="str">
        <f>IFERROR(__xludf.DUMMYFUNCTION("""COMPUTED_VALUE"""),"Умных")</f>
        <v>Умных</v>
      </c>
      <c r="AC1095" s="6" t="str">
        <f>IFERROR(__xludf.DUMMYFUNCTION("""COMPUTED_VALUE"""),"Нет таких ")</f>
        <v>Нет таких </v>
      </c>
      <c r="AD1095" s="6" t="str">
        <f>IFERROR(__xludf.DUMMYFUNCTION("""COMPUTED_VALUE"""),"Нет желания ")</f>
        <v>Нет желания </v>
      </c>
      <c r="AE1095" s="6" t="str">
        <f>IFERROR(__xludf.DUMMYFUNCTION("""COMPUTED_VALUE"""),"Мужской")</f>
        <v>Мужской</v>
      </c>
      <c r="AF1095" s="6" t="str">
        <f>IFERROR(__xludf.DUMMYFUNCTION("""COMPUTED_VALUE"""),"18-29")</f>
        <v>18-29</v>
      </c>
      <c r="AG1095" s="6"/>
      <c r="AH1095" s="6"/>
      <c r="AI1095" s="6"/>
      <c r="AJ1095" s="6"/>
      <c r="AK1095" s="6"/>
      <c r="AL1095" s="6"/>
      <c r="AM1095" s="6"/>
    </row>
    <row r="1096">
      <c r="A1096" s="6">
        <v>1095.0</v>
      </c>
      <c r="B1096" s="6" t="str">
        <f>IFERROR(__xludf.DUMMYFUNCTION("""COMPUTED_VALUE"""),"Спорт ")</f>
        <v>Спорт </v>
      </c>
      <c r="C1096" s="6" t="str">
        <f>IFERROR(__xludf.DUMMYFUNCTION("""COMPUTED_VALUE"""),"Рыбалка ")</f>
        <v>Рыбалка </v>
      </c>
      <c r="D1096" s="6" t="str">
        <f>IFERROR(__xludf.DUMMYFUNCTION("""COMPUTED_VALUE"""),"Рудничный , отлично ")</f>
        <v>Рудничный , отлично </v>
      </c>
      <c r="E1096" s="6" t="str">
        <f>IFERROR(__xludf.DUMMYFUNCTION("""COMPUTED_VALUE"""),"Площать на радуге бор ")</f>
        <v>Площать на радуге бор </v>
      </c>
      <c r="F1096" s="6" t="str">
        <f>IFERROR(__xludf.DUMMYFUNCTION("""COMPUTED_VALUE"""),"Живу здесь с рождения")</f>
        <v>Живу здесь с рождения</v>
      </c>
      <c r="G1096" s="6" t="str">
        <f>IFERROR(__xludf.DUMMYFUNCTION("""COMPUTED_VALUE"""),"Бор")</f>
        <v>Бор</v>
      </c>
      <c r="H1096" s="6" t="str">
        <f>IFERROR(__xludf.DUMMYFUNCTION("""COMPUTED_VALUE"""),"Светлый уютный много лесов Томь парки торговые центры")</f>
        <v>Светлый уютный много лесов Томь парки торговые центры</v>
      </c>
      <c r="I1096" s="6" t="str">
        <f>IFERROR(__xludf.DUMMYFUNCTION("""COMPUTED_VALUE"""),"Косманафт Леон")</f>
        <v>Косманафт Леон</v>
      </c>
      <c r="J1096" s="6" t="str">
        <f>IFERROR(__xludf.DUMMYFUNCTION("""COMPUTED_VALUE"""),"Бывший губернатор Тулеев ")</f>
        <v>Бывший губернатор Тулеев </v>
      </c>
      <c r="K1096" s="6" t="str">
        <f>IFERROR(__xludf.DUMMYFUNCTION("""COMPUTED_VALUE"""),"Незнаю")</f>
        <v>Незнаю</v>
      </c>
      <c r="L1096" s="6" t="str">
        <f>IFERROR(__xludf.DUMMYFUNCTION("""COMPUTED_VALUE"""),"Незнаю")</f>
        <v>Незнаю</v>
      </c>
      <c r="M1096" s="6" t="str">
        <f>IFERROR(__xludf.DUMMYFUNCTION("""COMPUTED_VALUE"""),"Незнаю")</f>
        <v>Незнаю</v>
      </c>
      <c r="N1096" s="6" t="str">
        <f>IFERROR(__xludf.DUMMYFUNCTION("""COMPUTED_VALUE"""),"Не знаю ")</f>
        <v>Не знаю </v>
      </c>
      <c r="O1096" s="6" t="str">
        <f>IFERROR(__xludf.DUMMYFUNCTION("""COMPUTED_VALUE"""),"Дороги")</f>
        <v>Дороги</v>
      </c>
      <c r="P1096" s="6" t="str">
        <f>IFERROR(__xludf.DUMMYFUNCTION("""COMPUTED_VALUE"""),"Незнаю")</f>
        <v>Незнаю</v>
      </c>
      <c r="Q109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v>
      </c>
      <c r="R1096" s="6" t="str">
        <f>IFERROR(__xludf.DUMMYFUNCTION("""COMPUTED_VALUE"""),"Незнаю")</f>
        <v>Незнаю</v>
      </c>
      <c r="S1096" s="6" t="str">
        <f>IFERROR(__xludf.DUMMYFUNCTION("""COMPUTED_VALUE"""),"Через социальные сети (Какие? Укажите в графе другое)")</f>
        <v>Через социальные сети (Какие? Укажите в графе другое)</v>
      </c>
      <c r="T1096" s="6" t="str">
        <f>IFERROR(__xludf.DUMMYFUNCTION("""COMPUTED_VALUE"""),"Заводами")</f>
        <v>Заводами</v>
      </c>
      <c r="U1096" s="6" t="str">
        <f>IFERROR(__xludf.DUMMYFUNCTION("""COMPUTED_VALUE"""),"Не знаю")</f>
        <v>Не знаю</v>
      </c>
      <c r="V1096" s="6" t="str">
        <f>IFERROR(__xludf.DUMMYFUNCTION("""COMPUTED_VALUE"""),"Не знаю")</f>
        <v>Не знаю</v>
      </c>
      <c r="W1096" s="6" t="str">
        <f>IFERROR(__xludf.DUMMYFUNCTION("""COMPUTED_VALUE"""),"Нет ответа ")</f>
        <v>Нет ответа </v>
      </c>
      <c r="X1096" s="6" t="str">
        <f>IFERROR(__xludf.DUMMYFUNCTION("""COMPUTED_VALUE"""),"Бор ")</f>
        <v>Бор </v>
      </c>
      <c r="Y1096" s="6" t="str">
        <f>IFERROR(__xludf.DUMMYFUNCTION("""COMPUTED_VALUE"""),"Не знаю")</f>
        <v>Не знаю</v>
      </c>
      <c r="Z1096" s="6" t="str">
        <f>IFERROR(__xludf.DUMMYFUNCTION("""COMPUTED_VALUE"""),"Не знаю")</f>
        <v>Не знаю</v>
      </c>
      <c r="AA1096" s="6" t="str">
        <f>IFERROR(__xludf.DUMMYFUNCTION("""COMPUTED_VALUE"""),"Нет")</f>
        <v>Нет</v>
      </c>
      <c r="AB1096" s="6" t="str">
        <f>IFERROR(__xludf.DUMMYFUNCTION("""COMPUTED_VALUE"""),"Аквапарк")</f>
        <v>Аквапарк</v>
      </c>
      <c r="AC1096" s="6" t="str">
        <f>IFERROR(__xludf.DUMMYFUNCTION("""COMPUTED_VALUE"""),"Аквапарк")</f>
        <v>Аквапарк</v>
      </c>
      <c r="AD109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096" s="6" t="str">
        <f>IFERROR(__xludf.DUMMYFUNCTION("""COMPUTED_VALUE"""),"Мужской")</f>
        <v>Мужской</v>
      </c>
      <c r="AF1096" s="6" t="str">
        <f>IFERROR(__xludf.DUMMYFUNCTION("""COMPUTED_VALUE"""),"30-44")</f>
        <v>30-44</v>
      </c>
      <c r="AG1096" s="6"/>
      <c r="AH1096" s="6"/>
      <c r="AI1096" s="6"/>
      <c r="AJ1096" s="6"/>
      <c r="AK1096" s="6"/>
      <c r="AL1096" s="6"/>
      <c r="AM1096" s="6"/>
    </row>
    <row r="1097">
      <c r="A1097" s="6">
        <v>1096.0</v>
      </c>
      <c r="B1097" s="6" t="str">
        <f>IFERROR(__xludf.DUMMYFUNCTION("""COMPUTED_VALUE"""),"Временно безработный ")</f>
        <v>Временно безработный </v>
      </c>
      <c r="C1097" s="6" t="str">
        <f>IFERROR(__xludf.DUMMYFUNCTION("""COMPUTED_VALUE"""),"Занятие спортом ")</f>
        <v>Занятие спортом </v>
      </c>
      <c r="D1097" s="6" t="str">
        <f>IFERROR(__xludf.DUMMYFUNCTION("""COMPUTED_VALUE"""),"Рудничный , Рудник")</f>
        <v>Рудничный , Рудник</v>
      </c>
      <c r="E1097" s="6" t="str">
        <f>IFERROR(__xludf.DUMMYFUNCTION("""COMPUTED_VALUE"""),"Музей заповедник Красная горка, Памятник Шахтерам, ДК Шахтеров ")</f>
        <v>Музей заповедник Красная горка, Памятник Шахтерам, ДК Шахтеров </v>
      </c>
      <c r="F1097" s="6" t="str">
        <f>IFERROR(__xludf.DUMMYFUNCTION("""COMPUTED_VALUE"""),"Переехал сюда из другого места (откуда? укажите в графе другое), Омская область ,город Исилькуль ")</f>
        <v>Переехал сюда из другого места (откуда? укажите в графе другое), Омская область ,город Исилькуль </v>
      </c>
      <c r="G1097" s="6" t="str">
        <f>IFERROR(__xludf.DUMMYFUNCTION("""COMPUTED_VALUE"""),"ул. Весеняя, ДК Шахтеров, Памятник Шахтерам ")</f>
        <v>ул. Весеняя, ДК Шахтеров, Памятник Шахтерам </v>
      </c>
      <c r="H1097" s="6" t="str">
        <f>IFERROR(__xludf.DUMMYFUNCTION("""COMPUTED_VALUE"""),"Маленький , Шахтерский, Работящий, Холодный , Серый ")</f>
        <v>Маленький , Шахтерский, Работящий, Холодный , Серый </v>
      </c>
      <c r="I1097" s="6" t="str">
        <f>IFERROR(__xludf.DUMMYFUNCTION("""COMPUTED_VALUE"""),"Михаил Волков ")</f>
        <v>Михаил Волков </v>
      </c>
      <c r="J1097" s="6" t="str">
        <f>IFERROR(__xludf.DUMMYFUNCTION("""COMPUTED_VALUE"""),"Не знаю ")</f>
        <v>Не знаю </v>
      </c>
      <c r="K1097" s="6" t="str">
        <f>IFERROR(__xludf.DUMMYFUNCTION("""COMPUTED_VALUE"""),"Школа Кемеровского Рудника")</f>
        <v>Школа Кемеровского Рудника</v>
      </c>
      <c r="L1097" s="6" t="str">
        <f>IFERROR(__xludf.DUMMYFUNCTION("""COMPUTED_VALUE"""),"Без труда не вытянуть и рыбку из пруда ")</f>
        <v>Без труда не вытянуть и рыбку из пруда </v>
      </c>
      <c r="M1097" s="6" t="str">
        <f>IFERROR(__xludf.DUMMYFUNCTION("""COMPUTED_VALUE"""),"Нет ")</f>
        <v>Нет </v>
      </c>
      <c r="N1097" s="6" t="str">
        <f>IFERROR(__xludf.DUMMYFUNCTION("""COMPUTED_VALUE"""),"Общественный транспорт , образование , архитектура , медицина , Рабочие места ")</f>
        <v>Общественный транспорт , образование , архитектура , медицина , Рабочие места </v>
      </c>
      <c r="O1097" s="6" t="str">
        <f>IFERROR(__xludf.DUMMYFUNCTION("""COMPUTED_VALUE"""),"создание производств ,открытие новых рабочих мест ")</f>
        <v>создание производств ,открытие новых рабочих мест </v>
      </c>
      <c r="P1097" s="6" t="str">
        <f>IFERROR(__xludf.DUMMYFUNCTION("""COMPUTED_VALUE"""),"vk.com , instagram")</f>
        <v>vk.com , instagram</v>
      </c>
      <c r="Q1097"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f>
        <v>куда пойти в свободное время,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v>
      </c>
      <c r="R1097" s="6" t="str">
        <f>IFERROR(__xludf.DUMMYFUNCTION("""COMPUTED_VALUE"""),"День победы ,День Шахтера ")</f>
        <v>День победы ,День Шахтера </v>
      </c>
      <c r="S1097" s="6" t="str">
        <f>IFERROR(__xludf.DUMMYFUNCTION("""COMPUTED_VALUE"""),"Нет, не приходилось")</f>
        <v>Нет, не приходилось</v>
      </c>
      <c r="T1097" s="6" t="str">
        <f>IFERROR(__xludf.DUMMYFUNCTION("""COMPUTED_VALUE"""),"открытие месторождения каменного угля в Кузбассе ")</f>
        <v>открытие месторождения каменного угля в Кузбассе </v>
      </c>
      <c r="U1097" s="6" t="str">
        <f>IFERROR(__xludf.DUMMYFUNCTION("""COMPUTED_VALUE"""),"площадь советов ")</f>
        <v>площадь советов </v>
      </c>
      <c r="V1097" s="6" t="str">
        <f>IFERROR(__xludf.DUMMYFUNCTION("""COMPUTED_VALUE"""),"Открывали ,заводы, шахты . ")</f>
        <v>Открывали ,заводы, шахты . </v>
      </c>
      <c r="W1097" s="6" t="str">
        <f>IFERROR(__xludf.DUMMYFUNCTION("""COMPUTED_VALUE"""),"Закрытые, грубые, не отзывчивые ")</f>
        <v>Закрытые, грубые, не отзывчивые </v>
      </c>
      <c r="X1097" s="6" t="str">
        <f>IFERROR(__xludf.DUMMYFUNCTION("""COMPUTED_VALUE"""),"Маршрутное такси 61т, маршрутное такси № 40 т , покажут все красивые и не красивые места города Кемерово ")</f>
        <v>Маршрутное такси 61т, маршрутное такси № 40 т , покажут все красивые и не красивые места города Кемерово </v>
      </c>
      <c r="Y1097" s="6" t="str">
        <f>IFERROR(__xludf.DUMMYFUNCTION("""COMPUTED_VALUE"""),"11 сентября 1721 года Михайло Волков обнаружил образец каменного угля ")</f>
        <v>11 сентября 1721 года Михайло Волков обнаружил образец каменного угля </v>
      </c>
      <c r="Z1097" s="6" t="str">
        <f>IFERROR(__xludf.DUMMYFUNCTION("""COMPUTED_VALUE"""),"Рок Фестиваль ")</f>
        <v>Рок Фестиваль </v>
      </c>
      <c r="AA1097" s="6" t="str">
        <f>IFERROR(__xludf.DUMMYFUNCTION("""COMPUTED_VALUE"""),"не знаю ")</f>
        <v>не знаю </v>
      </c>
      <c r="AB1097" s="6" t="str">
        <f>IFERROR(__xludf.DUMMYFUNCTION("""COMPUTED_VALUE"""),"дружинников , тимуровцев ")</f>
        <v>дружинников , тимуровцев </v>
      </c>
      <c r="AC1097" s="6" t="str">
        <f>IFERROR(__xludf.DUMMYFUNCTION("""COMPUTED_VALUE"""),"Спортивные соревнования мирового уровня")</f>
        <v>Спортивные соревнования мирового уровня</v>
      </c>
      <c r="AD109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v>
      </c>
      <c r="AE1097" s="6" t="str">
        <f>IFERROR(__xludf.DUMMYFUNCTION("""COMPUTED_VALUE"""),"Женский")</f>
        <v>Женский</v>
      </c>
      <c r="AF1097" s="6" t="str">
        <f>IFERROR(__xludf.DUMMYFUNCTION("""COMPUTED_VALUE"""),"18-29")</f>
        <v>18-29</v>
      </c>
      <c r="AG1097" s="6"/>
      <c r="AH1097" s="6"/>
      <c r="AI1097" s="6"/>
      <c r="AJ1097" s="6"/>
      <c r="AK1097" s="6"/>
      <c r="AL1097" s="6"/>
      <c r="AM1097" s="6"/>
    </row>
    <row r="1098">
      <c r="A1098" s="6">
        <v>1097.0</v>
      </c>
      <c r="B1098" s="6" t="str">
        <f>IFERROR(__xludf.DUMMYFUNCTION("""COMPUTED_VALUE"""),"Химическая промышленность")</f>
        <v>Химическая промышленность</v>
      </c>
      <c r="C1098" s="6" t="str">
        <f>IFERROR(__xludf.DUMMYFUNCTION("""COMPUTED_VALUE"""),"Футбол")</f>
        <v>Футбол</v>
      </c>
      <c r="D1098" s="6" t="str">
        <f>IFERROR(__xludf.DUMMYFUNCTION("""COMPUTED_VALUE"""),"Радуга")</f>
        <v>Радуга</v>
      </c>
      <c r="E1098" s="6" t="str">
        <f>IFERROR(__xludf.DUMMYFUNCTION("""COMPUTED_VALUE"""),"Храм,сосновый бор, лыжная база")</f>
        <v>Храм,сосновый бор, лыжная база</v>
      </c>
      <c r="F1098" s="6" t="str">
        <f>IFERROR(__xludf.DUMMYFUNCTION("""COMPUTED_VALUE"""),"Переехал сюда из другого места (откуда? укажите в графе другое), Казахстан")</f>
        <v>Переехал сюда из другого места (откуда? укажите в графе другое), Казахстан</v>
      </c>
      <c r="G1098" s="6" t="str">
        <f>IFERROR(__xludf.DUMMYFUNCTION("""COMPUTED_VALUE"""),"В сосновый бор")</f>
        <v>В сосновый бор</v>
      </c>
      <c r="H1098" s="6" t="str">
        <f>IFERROR(__xludf.DUMMYFUNCTION("""COMPUTED_VALUE"""),"Шахтер, уголь, азот, пробки")</f>
        <v>Шахтер, уголь, азот, пробки</v>
      </c>
      <c r="I1098" s="6" t="str">
        <f>IFERROR(__xludf.DUMMYFUNCTION("""COMPUTED_VALUE"""),"Леонов, Мартемьянов, Терешкова,Волков, Тулеев")</f>
        <v>Леонов, Мартемьянов, Терешкова,Волков, Тулеев</v>
      </c>
      <c r="J1098" s="6" t="str">
        <f>IFERROR(__xludf.DUMMYFUNCTION("""COMPUTED_VALUE"""),"Нет таких")</f>
        <v>Нет таких</v>
      </c>
      <c r="K1098" s="6" t="str">
        <f>IFERROR(__xludf.DUMMYFUNCTION("""COMPUTED_VALUE"""),"Красная горка")</f>
        <v>Красная горка</v>
      </c>
      <c r="L1098" s="6" t="str">
        <f>IFERROR(__xludf.DUMMYFUNCTION("""COMPUTED_VALUE"""),"Богатейший угольный край страны, а денег нет, но вы держитесь.")</f>
        <v>Богатейший угольный край страны, а денег нет, но вы держитесь.</v>
      </c>
      <c r="M1098" s="6" t="str">
        <f>IFERROR(__xludf.DUMMYFUNCTION("""COMPUTED_VALUE"""),"По-угольному")</f>
        <v>По-угольному</v>
      </c>
      <c r="N1098" s="6" t="str">
        <f>IFERROR(__xludf.DUMMYFUNCTION("""COMPUTED_VALUE"""),"Нет таких")</f>
        <v>Нет таких</v>
      </c>
      <c r="O1098" s="6" t="str">
        <f>IFERROR(__xludf.DUMMYFUNCTION("""COMPUTED_VALUE"""),"Дороги в объезд города, капитальный ремонт дорог, строительство моста через реку Томь, доступное жильё с адекватными ценами, полная газификация региона")</f>
        <v>Дороги в объезд города, капитальный ремонт дорог, строительство моста через реку Томь, доступное жильё с адекватными ценами, полная газификация региона</v>
      </c>
      <c r="P1098" s="6" t="str">
        <f>IFERROR(__xludf.DUMMYFUNCTION("""COMPUTED_VALUE"""),"Вести Кузбасс")</f>
        <v>Вести Кузбасс</v>
      </c>
      <c r="Q1098" s="6" t="str">
        <f>IFERROR(__xludf.DUMMYFUNCTION("""COMPUTED_VALUE"""),"интервью с местными политиками, бизнес-новости (средний чек/рекламные акции/запуск новых предприятий)")</f>
        <v>интервью с местными политиками, бизнес-новости (средний чек/рекламные акции/запуск новых предприятий)</v>
      </c>
      <c r="R1098" s="6" t="str">
        <f>IFERROR(__xludf.DUMMYFUNCTION("""COMPUTED_VALUE"""),"9 мая, день города")</f>
        <v>9 мая, день города</v>
      </c>
      <c r="S1098" s="6" t="str">
        <f>IFERROR(__xludf.DUMMYFUNCTION("""COMPUTED_VALUE"""),"Делал рассылку по электронной почте")</f>
        <v>Делал рассылку по электронной почте</v>
      </c>
      <c r="T1098" s="6" t="str">
        <f>IFERROR(__xludf.DUMMYFUNCTION("""COMPUTED_VALUE"""),"Ничем")</f>
        <v>Ничем</v>
      </c>
      <c r="U1098" s="6" t="str">
        <f>IFERROR(__xludf.DUMMYFUNCTION("""COMPUTED_VALUE"""),"Площадь советов")</f>
        <v>Площадь советов</v>
      </c>
      <c r="V1098" s="6" t="str">
        <f>IFERROR(__xludf.DUMMYFUNCTION("""COMPUTED_VALUE"""),"Добывают уголь в масштабах страны")</f>
        <v>Добывают уголь в масштабах страны</v>
      </c>
      <c r="W1098" s="6" t="str">
        <f>IFERROR(__xludf.DUMMYFUNCTION("""COMPUTED_VALUE"""),"Замученные")</f>
        <v>Замученные</v>
      </c>
      <c r="X1098" s="6" t="str">
        <f>IFERROR(__xludf.DUMMYFUNCTION("""COMPUTED_VALUE"""),"Лесная поляна")</f>
        <v>Лесная поляна</v>
      </c>
      <c r="Y1098" s="6" t="str">
        <f>IFERROR(__xludf.DUMMYFUNCTION("""COMPUTED_VALUE"""),"Ничего")</f>
        <v>Ничего</v>
      </c>
      <c r="Z1098" s="6" t="str">
        <f>IFERROR(__xludf.DUMMYFUNCTION("""COMPUTED_VALUE"""),"Никакие")</f>
        <v>Никакие</v>
      </c>
      <c r="AA1098" s="6" t="str">
        <f>IFERROR(__xludf.DUMMYFUNCTION("""COMPUTED_VALUE"""),"Пожар в зимней вишне")</f>
        <v>Пожар в зимней вишне</v>
      </c>
      <c r="AB1098" s="6" t="str">
        <f>IFERROR(__xludf.DUMMYFUNCTION("""COMPUTED_VALUE"""),"Даже лишних много")</f>
        <v>Даже лишних много</v>
      </c>
      <c r="AC1098" s="6" t="str">
        <f>IFERROR(__xludf.DUMMYFUNCTION("""COMPUTED_VALUE"""),"Льготное жилье")</f>
        <v>Льготное жилье</v>
      </c>
      <c r="AD109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098" s="6" t="str">
        <f>IFERROR(__xludf.DUMMYFUNCTION("""COMPUTED_VALUE"""),"Мужской")</f>
        <v>Мужской</v>
      </c>
      <c r="AF1098" s="6" t="str">
        <f>IFERROR(__xludf.DUMMYFUNCTION("""COMPUTED_VALUE"""),"30-44")</f>
        <v>30-44</v>
      </c>
      <c r="AG1098" s="6"/>
      <c r="AH1098" s="6"/>
      <c r="AI1098" s="6"/>
      <c r="AJ1098" s="6"/>
      <c r="AK1098" s="6"/>
      <c r="AL1098" s="6"/>
      <c r="AM1098" s="6"/>
    </row>
    <row r="1099">
      <c r="A1099" s="6">
        <v>1098.0</v>
      </c>
      <c r="B1099" s="6" t="str">
        <f>IFERROR(__xludf.DUMMYFUNCTION("""COMPUTED_VALUE"""),"Ремонт автомобилей ")</f>
        <v>Ремонт автомобилей </v>
      </c>
      <c r="C1099" s="6" t="str">
        <f>IFERROR(__xludf.DUMMYFUNCTION("""COMPUTED_VALUE"""),"Кинология")</f>
        <v>Кинология</v>
      </c>
      <c r="D1099" s="6" t="str">
        <f>IFERROR(__xludf.DUMMYFUNCTION("""COMPUTED_VALUE"""),"Ленинский")</f>
        <v>Ленинский</v>
      </c>
      <c r="E1099" s="6" t="str">
        <f>IFERROR(__xludf.DUMMYFUNCTION("""COMPUTED_VALUE"""),"Бульвар строителей ")</f>
        <v>Бульвар строителей </v>
      </c>
      <c r="F1099" s="6" t="str">
        <f>IFERROR(__xludf.DUMMYFUNCTION("""COMPUTED_VALUE"""),"Живу здесь с рождения")</f>
        <v>Живу здесь с рождения</v>
      </c>
      <c r="G1099" s="6" t="str">
        <f>IFERROR(__xludf.DUMMYFUNCTION("""COMPUTED_VALUE"""),"Кадровый бор")</f>
        <v>Кадровый бор</v>
      </c>
      <c r="H1099" s="6" t="str">
        <f>IFERROR(__xludf.DUMMYFUNCTION("""COMPUTED_VALUE"""),"Азот уголь кокс весенька томь")</f>
        <v>Азот уголь кокс весенька томь</v>
      </c>
      <c r="I1099" s="6" t="str">
        <f>IFERROR(__xludf.DUMMYFUNCTION("""COMPUTED_VALUE"""),"Алексей Аман")</f>
        <v>Алексей Аман</v>
      </c>
      <c r="J1099" s="6" t="str">
        <f>IFERROR(__xludf.DUMMYFUNCTION("""COMPUTED_VALUE"""),"Илья")</f>
        <v>Илья</v>
      </c>
      <c r="K1099" s="6" t="str">
        <f>IFERROR(__xludf.DUMMYFUNCTION("""COMPUTED_VALUE"""),"Красная горка")</f>
        <v>Красная горка</v>
      </c>
      <c r="L1099" s="6" t="str">
        <f>IFERROR(__xludf.DUMMYFUNCTION("""COMPUTED_VALUE"""),"У нас как в Голливуде ")</f>
        <v>У нас как в Голливуде </v>
      </c>
      <c r="M1099" s="6" t="str">
        <f>IFERROR(__xludf.DUMMYFUNCTION("""COMPUTED_VALUE"""),"Апулька")</f>
        <v>Апулька</v>
      </c>
      <c r="N1099" s="6" t="str">
        <f>IFERROR(__xludf.DUMMYFUNCTION("""COMPUTED_VALUE"""),"Чистота ухоженность чистый воздух безопасность хорошие дороги")</f>
        <v>Чистота ухоженность чистый воздух безопасность хорошие дороги</v>
      </c>
      <c r="O1099" s="6" t="str">
        <f>IFERROR(__xludf.DUMMYFUNCTION("""COMPUTED_VALUE"""),"Нужны площадки для собак")</f>
        <v>Нужны площадки для собак</v>
      </c>
      <c r="P1099" s="6" t="str">
        <f>IFERROR(__xludf.DUMMYFUNCTION("""COMPUTED_VALUE"""),"Яндекс инстаграм ")</f>
        <v>Яндекс инстаграм </v>
      </c>
      <c r="Q1099" s="6" t="str">
        <f>IFERROR(__xludf.DUMMYFUNCTION("""COMPUTED_VALUE"""),"интервью с местными политиками,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интервью с местными политиками,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099" s="6" t="str">
        <f>IFERROR(__xludf.DUMMYFUNCTION("""COMPUTED_VALUE"""),"9 мая")</f>
        <v>9 мая</v>
      </c>
      <c r="S1099" s="6" t="str">
        <f>IFERROR(__xludf.DUMMYFUNCTION("""COMPUTED_VALUE"""),"Обращался в редакции электронных городских СМИ")</f>
        <v>Обращался в редакции электронных городских СМИ</v>
      </c>
      <c r="T1099" s="6" t="str">
        <f>IFERROR(__xludf.DUMMYFUNCTION("""COMPUTED_VALUE"""),"Парк ангелов ")</f>
        <v>Парк ангелов </v>
      </c>
      <c r="U1099" s="6" t="str">
        <f>IFERROR(__xludf.DUMMYFUNCTION("""COMPUTED_VALUE"""),"Главпочтам ")</f>
        <v>Главпочтам </v>
      </c>
      <c r="V1099" s="6" t="str">
        <f>IFERROR(__xludf.DUMMYFUNCTION("""COMPUTED_VALUE"""),"Работали")</f>
        <v>Работали</v>
      </c>
      <c r="W1099" s="6" t="str">
        <f>IFERROR(__xludf.DUMMYFUNCTION("""COMPUTED_VALUE"""),"Хорошие ребята ")</f>
        <v>Хорошие ребята </v>
      </c>
      <c r="X1099" s="6" t="str">
        <f>IFERROR(__xludf.DUMMYFUNCTION("""COMPUTED_VALUE"""),"Весенняя-набережная ")</f>
        <v>Весенняя-набережная </v>
      </c>
      <c r="Y1099" s="6" t="str">
        <f>IFERROR(__xludf.DUMMYFUNCTION("""COMPUTED_VALUE"""),"Чемпионат мира по хоккею с мячом ")</f>
        <v>Чемпионат мира по хоккею с мячом </v>
      </c>
      <c r="Z1099" s="6" t="str">
        <f>IFERROR(__xludf.DUMMYFUNCTION("""COMPUTED_VALUE"""),"Начало массовых строек")</f>
        <v>Начало массовых строек</v>
      </c>
      <c r="AA1099" s="6" t="str">
        <f>IFERROR(__xludf.DUMMYFUNCTION("""COMPUTED_VALUE"""),"Массовые стройки ")</f>
        <v>Массовые стройки </v>
      </c>
      <c r="AB1099" s="6" t="str">
        <f>IFERROR(__xludf.DUMMYFUNCTION("""COMPUTED_VALUE"""),"Адекватных людей ")</f>
        <v>Адекватных людей </v>
      </c>
      <c r="AC1099" s="6" t="str">
        <f>IFERROR(__xludf.DUMMYFUNCTION("""COMPUTED_VALUE"""),"Нужна команда по хоккею с шайбой ")</f>
        <v>Нужна команда по хоккею с шайбой </v>
      </c>
      <c r="AD1099" s="6" t="str">
        <f>IFERROR(__xludf.DUMMYFUNCTION("""COMPUTED_VALUE"""),"Волонтера: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099" s="6" t="str">
        <f>IFERROR(__xludf.DUMMYFUNCTION("""COMPUTED_VALUE"""),"Мужской")</f>
        <v>Мужской</v>
      </c>
      <c r="AF1099" s="6" t="str">
        <f>IFERROR(__xludf.DUMMYFUNCTION("""COMPUTED_VALUE"""),"30-44")</f>
        <v>30-44</v>
      </c>
      <c r="AG1099" s="6"/>
      <c r="AH1099" s="6"/>
      <c r="AI1099" s="6"/>
      <c r="AJ1099" s="6"/>
      <c r="AK1099" s="6"/>
      <c r="AL1099" s="6"/>
      <c r="AM1099" s="6"/>
    </row>
    <row r="1100">
      <c r="A1100" s="6">
        <v>1099.0</v>
      </c>
      <c r="B1100" s="6" t="str">
        <f>IFERROR(__xludf.DUMMYFUNCTION("""COMPUTED_VALUE"""),"Информационные технологии")</f>
        <v>Информационные технологии</v>
      </c>
      <c r="C1100" s="6" t="str">
        <f>IFERROR(__xludf.DUMMYFUNCTION("""COMPUTED_VALUE"""),"Приготовление вкусных блюд")</f>
        <v>Приготовление вкусных блюд</v>
      </c>
      <c r="D1100" s="6" t="str">
        <f>IFERROR(__xludf.DUMMYFUNCTION("""COMPUTED_VALUE"""),"Лесная поляна")</f>
        <v>Лесная поляна</v>
      </c>
      <c r="E1100" s="6" t="str">
        <f>IFERROR(__xludf.DUMMYFUNCTION("""COMPUTED_VALUE"""),"Парк лесная сказка")</f>
        <v>Парк лесная сказка</v>
      </c>
      <c r="F1100" s="6" t="str">
        <f>IFERROR(__xludf.DUMMYFUNCTION("""COMPUTED_VALUE"""),"Переехал сюда из другого места (откуда? укажите в графе другое), Новокузнецк")</f>
        <v>Переехал сюда из другого места (откуда? укажите в графе другое), Новокузнецк</v>
      </c>
      <c r="G1100" s="6" t="str">
        <f>IFERROR(__xludf.DUMMYFUNCTION("""COMPUTED_VALUE"""),"Гуляем там где и живём, в лесной поляне")</f>
        <v>Гуляем там где и живём, в лесной поляне</v>
      </c>
      <c r="H1100" s="6" t="str">
        <f>IFERROR(__xludf.DUMMYFUNCTION("""COMPUTED_VALUE"""),"Столица, уголь, Кузбасс, сказка, лидер")</f>
        <v>Столица, уголь, Кузбасс, сказка, лидер</v>
      </c>
      <c r="I1100" s="6" t="str">
        <f>IFERROR(__xludf.DUMMYFUNCTION("""COMPUTED_VALUE"""),"Тулеев, Леонов, Вера Волошина")</f>
        <v>Тулеев, Леонов, Вера Волошина</v>
      </c>
      <c r="J1100" s="6" t="str">
        <f>IFERROR(__xludf.DUMMYFUNCTION("""COMPUTED_VALUE"""),"Цивелев")</f>
        <v>Цивелев</v>
      </c>
      <c r="K1100" s="6" t="str">
        <f>IFERROR(__xludf.DUMMYFUNCTION("""COMPUTED_VALUE"""),"Парк на месте Зимней вишни")</f>
        <v>Парк на месте Зимней вишни</v>
      </c>
      <c r="L1100" s="6" t="str">
        <f>IFERROR(__xludf.DUMMYFUNCTION("""COMPUTED_VALUE"""),"Затрудняюсь")</f>
        <v>Затрудняюсь</v>
      </c>
      <c r="M1100" s="6" t="str">
        <f>IFERROR(__xludf.DUMMYFUNCTION("""COMPUTED_VALUE"""),"Нет")</f>
        <v>Нет</v>
      </c>
      <c r="N1100" s="6" t="str">
        <f>IFERROR(__xludf.DUMMYFUNCTION("""COMPUTED_VALUE"""),"Чистота, детские площадки, парковки, парки, все в шаговой доступности")</f>
        <v>Чистота, детские площадки, парковки, парки, все в шаговой доступности</v>
      </c>
      <c r="O1100" s="6" t="str">
        <f>IFERROR(__xludf.DUMMYFUNCTION("""COMPUTED_VALUE"""),"Площадки для подростков")</f>
        <v>Площадки для подростков</v>
      </c>
      <c r="P1100" s="6" t="str">
        <f>IFERROR(__xludf.DUMMYFUNCTION("""COMPUTED_VALUE"""),"ВК, Одноклассники")</f>
        <v>ВК, Одноклассники</v>
      </c>
      <c r="Q1100" s="6" t="str">
        <f>IFERROR(__xludf.DUMMYFUNCTION("""COMPUTED_VALUE"""),"куда пойти в свободное время, криминальные новости (происшествия/преступления), результаты местных исследований (рейтинги/аналитика/тенденции)")</f>
        <v>куда пойти в свободное время, криминальные новости (происшествия/преступления), результаты местных исследований (рейтинги/аналитика/тенденции)</v>
      </c>
      <c r="R1100" s="6" t="str">
        <f>IFERROR(__xludf.DUMMYFUNCTION("""COMPUTED_VALUE"""),"День рождение города")</f>
        <v>День рождение города</v>
      </c>
      <c r="S1100" s="6" t="str">
        <f>IFERROR(__xludf.DUMMYFUNCTION("""COMPUTED_VALUE"""),"Нет, не приходилось")</f>
        <v>Нет, не приходилось</v>
      </c>
      <c r="T1100" s="6" t="str">
        <f>IFERROR(__xludf.DUMMYFUNCTION("""COMPUTED_VALUE"""),"Столица Кузбасса")</f>
        <v>Столица Кузбасса</v>
      </c>
      <c r="U1100" s="6" t="str">
        <f>IFERROR(__xludf.DUMMYFUNCTION("""COMPUTED_VALUE"""),"Проспект Ленина")</f>
        <v>Проспект Ленина</v>
      </c>
      <c r="V1100" s="6" t="str">
        <f>IFERROR(__xludf.DUMMYFUNCTION("""COMPUTED_VALUE"""),"Вкладывали душу")</f>
        <v>Вкладывали душу</v>
      </c>
      <c r="W1100" s="6" t="str">
        <f>IFERROR(__xludf.DUMMYFUNCTION("""COMPUTED_VALUE"""),"Затрудняюсь")</f>
        <v>Затрудняюсь</v>
      </c>
      <c r="X1100" s="6" t="str">
        <f>IFERROR(__xludf.DUMMYFUNCTION("""COMPUTED_VALUE"""),"Прогулка по лесной поляне")</f>
        <v>Прогулка по лесной поляне</v>
      </c>
      <c r="Y1100" s="6" t="str">
        <f>IFERROR(__xludf.DUMMYFUNCTION("""COMPUTED_VALUE"""),"Кемеровская областная картинная галерея")</f>
        <v>Кемеровская областная картинная галерея</v>
      </c>
      <c r="Z1100" s="6" t="str">
        <f>IFERROR(__xludf.DUMMYFUNCTION("""COMPUTED_VALUE"""),"Строительство нового корпуса школы 85")</f>
        <v>Строительство нового корпуса школы 85</v>
      </c>
      <c r="AA1100" s="6" t="str">
        <f>IFERROR(__xludf.DUMMYFUNCTION("""COMPUTED_VALUE"""),"Пожары")</f>
        <v>Пожары</v>
      </c>
      <c r="AB1100" s="6" t="str">
        <f>IFERROR(__xludf.DUMMYFUNCTION("""COMPUTED_VALUE"""),"Наркоманов")</f>
        <v>Наркоманов</v>
      </c>
      <c r="AC1100" s="6" t="str">
        <f>IFERROR(__xludf.DUMMYFUNCTION("""COMPUTED_VALUE"""),"Меня и сейчас все устраивает")</f>
        <v>Меня и сейчас все устраивает</v>
      </c>
      <c r="AD110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00" s="6" t="str">
        <f>IFERROR(__xludf.DUMMYFUNCTION("""COMPUTED_VALUE"""),"Женский")</f>
        <v>Женский</v>
      </c>
      <c r="AF1100" s="6" t="str">
        <f>IFERROR(__xludf.DUMMYFUNCTION("""COMPUTED_VALUE"""),"30-44")</f>
        <v>30-44</v>
      </c>
      <c r="AG1100" s="6"/>
      <c r="AH1100" s="6"/>
      <c r="AI1100" s="6"/>
      <c r="AJ1100" s="6"/>
      <c r="AK1100" s="6"/>
      <c r="AL1100" s="6"/>
      <c r="AM1100" s="6"/>
    </row>
    <row r="1101">
      <c r="A1101" s="6">
        <v>1100.0</v>
      </c>
      <c r="B1101" s="6" t="str">
        <f>IFERROR(__xludf.DUMMYFUNCTION("""COMPUTED_VALUE"""),"бухгалтер")</f>
        <v>бухгалтер</v>
      </c>
      <c r="C1101" s="6" t="str">
        <f>IFERROR(__xludf.DUMMYFUNCTION("""COMPUTED_VALUE"""),"огород и шитье")</f>
        <v>огород и шитье</v>
      </c>
      <c r="D1101" s="6" t="str">
        <f>IFERROR(__xludf.DUMMYFUNCTION("""COMPUTED_VALUE"""),"ж.р. Промышленновский")</f>
        <v>ж.р. Промышленновский</v>
      </c>
      <c r="E1101" s="6" t="str">
        <f>IFERROR(__xludf.DUMMYFUNCTION("""COMPUTED_VALUE"""),"парк")</f>
        <v>парк</v>
      </c>
      <c r="F1101" s="6" t="str">
        <f>IFERROR(__xludf.DUMMYFUNCTION("""COMPUTED_VALUE"""),"Живу здесь с рождения")</f>
        <v>Живу здесь с рождения</v>
      </c>
      <c r="G1101" s="6" t="str">
        <f>IFERROR(__xludf.DUMMYFUNCTION("""COMPUTED_VALUE"""),"везде")</f>
        <v>везде</v>
      </c>
      <c r="H1101" s="6" t="str">
        <f>IFERROR(__xludf.DUMMYFUNCTION("""COMPUTED_VALUE"""),"горсад, лапландия, тц облака, парк Антошка, тц Радуга")</f>
        <v>горсад, лапландия, тц облака, парк Антошка, тц Радуга</v>
      </c>
      <c r="I1101" s="6" t="str">
        <f>IFERROR(__xludf.DUMMYFUNCTION("""COMPUTED_VALUE"""),"экс глава Михайлов, экс губернатор Тулеев")</f>
        <v>экс глава Михайлов, экс губернатор Тулеев</v>
      </c>
      <c r="J1101" s="6" t="str">
        <f>IFERROR(__xludf.DUMMYFUNCTION("""COMPUTED_VALUE"""),"Михайлов, Тулеев, Приставка")</f>
        <v>Михайлов, Тулеев, Приставка</v>
      </c>
      <c r="K1101" s="6" t="str">
        <f>IFERROR(__xludf.DUMMYFUNCTION("""COMPUTED_VALUE"""),"Красная горка, Томь в районе МАУ Космос")</f>
        <v>Красная горка, Томь в районе МАУ Космос</v>
      </c>
      <c r="L1101" s="6" t="str">
        <f>IFERROR(__xludf.DUMMYFUNCTION("""COMPUTED_VALUE"""),"Когда господин Скипин заведовал котельной в ж.р.Кедровка и чуть не заморозил поселок мэр города Михайлов приехал в котельную и сам вплоть до того что чуть ли не сам в топку котельной кидал уголь.")</f>
        <v>Когда господин Скипин заведовал котельной в ж.р.Кедровка и чуть не заморозил поселок мэр города Михайлов приехал в котельную и сам вплоть до того что чуть ли не сам в топку котельной кидал уголь.</v>
      </c>
      <c r="M1101" s="6" t="str">
        <f>IFERROR(__xludf.DUMMYFUNCTION("""COMPUTED_VALUE"""),"нет")</f>
        <v>нет</v>
      </c>
      <c r="N1101" s="6" t="str">
        <f>IFERROR(__xludf.DUMMYFUNCTION("""COMPUTED_VALUE"""),"затрудняюсь ответить")</f>
        <v>затрудняюсь ответить</v>
      </c>
      <c r="O1101" s="6" t="str">
        <f>IFERROR(__xludf.DUMMYFUNCTION("""COMPUTED_VALUE"""),"В первую очередь необходимо отремонтировать объекты соцкультбыта и самое главное дороги в поселках Промышленновский, Кедровка")</f>
        <v>В первую очередь необходимо отремонтировать объекты соцкультбыта и самое главное дороги в поселках Промышленновский, Кедровка</v>
      </c>
      <c r="P1101" s="6" t="str">
        <f>IFERROR(__xludf.DUMMYFUNCTION("""COMPUTED_VALUE"""),"Инстаграм")</f>
        <v>Инстаграм</v>
      </c>
      <c r="Q1101" s="6" t="str">
        <f>IFERROR(__xludf.DUMMYFUNCTION("""COMPUTED_VALUE"""),"Никакие, везде брехня")</f>
        <v>Никакие, везде брехня</v>
      </c>
      <c r="R1101" s="6" t="str">
        <f>IFERROR(__xludf.DUMMYFUNCTION("""COMPUTED_VALUE"""),"День шахтера")</f>
        <v>День шахтера</v>
      </c>
      <c r="S1101" s="6" t="str">
        <f>IFERROR(__xludf.DUMMYFUNCTION("""COMPUTED_VALUE"""),"Нет, не приходилось")</f>
        <v>Нет, не приходилось</v>
      </c>
      <c r="T1101" s="6" t="str">
        <f>IFERROR(__xludf.DUMMYFUNCTION("""COMPUTED_VALUE"""),"Экология")</f>
        <v>Экология</v>
      </c>
      <c r="U1101" s="6" t="str">
        <f>IFERROR(__xludf.DUMMYFUNCTION("""COMPUTED_VALUE"""),"горсад, краеведческий музей")</f>
        <v>горсад, краеведческий музей</v>
      </c>
      <c r="V1101" s="6" t="str">
        <f>IFERROR(__xludf.DUMMYFUNCTION("""COMPUTED_VALUE"""),"Они просто самоотверженно работали")</f>
        <v>Они просто самоотверженно работали</v>
      </c>
      <c r="W1101" s="6" t="str">
        <f>IFERROR(__xludf.DUMMYFUNCTION("""COMPUTED_VALUE"""),"Сибиряки")</f>
        <v>Сибиряки</v>
      </c>
      <c r="X1101" s="6" t="str">
        <f>IFERROR(__xludf.DUMMYFUNCTION("""COMPUTED_VALUE"""),"Да они все крутые")</f>
        <v>Да они все крутые</v>
      </c>
      <c r="Y1101" s="6" t="str">
        <f>IFERROR(__xludf.DUMMYFUNCTION("""COMPUTED_VALUE"""),"Построение Филармонии")</f>
        <v>Построение Филармонии</v>
      </c>
      <c r="Z1101" s="6" t="str">
        <f>IFERROR(__xludf.DUMMYFUNCTION("""COMPUTED_VALUE"""),"празднования дня шахтера")</f>
        <v>празднования дня шахтера</v>
      </c>
      <c r="AA1101" s="6" t="str">
        <f>IFERROR(__xludf.DUMMYFUNCTION("""COMPUTED_VALUE"""),"состояние дорог")</f>
        <v>состояние дорог</v>
      </c>
      <c r="AB1101" s="6" t="str">
        <f>IFERROR(__xludf.DUMMYFUNCTION("""COMPUTED_VALUE"""),"да их в избытке всяких разных")</f>
        <v>да их в избытке всяких разных</v>
      </c>
      <c r="AC1101" s="6" t="str">
        <f>IFERROR(__xludf.DUMMYFUNCTION("""COMPUTED_VALUE"""),"Очистить воздух")</f>
        <v>Очистить воздух</v>
      </c>
      <c r="AD110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01" s="6" t="str">
        <f>IFERROR(__xludf.DUMMYFUNCTION("""COMPUTED_VALUE"""),"Женский")</f>
        <v>Женский</v>
      </c>
      <c r="AF1101" s="6" t="str">
        <f>IFERROR(__xludf.DUMMYFUNCTION("""COMPUTED_VALUE"""),"старше 55")</f>
        <v>старше 55</v>
      </c>
      <c r="AG1101" s="6"/>
      <c r="AH1101" s="6"/>
      <c r="AI1101" s="6"/>
      <c r="AJ1101" s="6"/>
      <c r="AK1101" s="6"/>
      <c r="AL1101" s="6"/>
      <c r="AM1101" s="6"/>
    </row>
    <row r="1102">
      <c r="A1102" s="6">
        <v>1101.0</v>
      </c>
      <c r="B1102" s="6" t="str">
        <f>IFERROR(__xludf.DUMMYFUNCTION("""COMPUTED_VALUE"""),"Учусь")</f>
        <v>Учусь</v>
      </c>
      <c r="C1102" s="6" t="str">
        <f>IFERROR(__xludf.DUMMYFUNCTION("""COMPUTED_VALUE"""),"Вокал")</f>
        <v>Вокал</v>
      </c>
      <c r="D1102" s="6" t="str">
        <f>IFERROR(__xludf.DUMMYFUNCTION("""COMPUTED_VALUE"""),"Центр")</f>
        <v>Центр</v>
      </c>
      <c r="E1102" s="6" t="str">
        <f>IFERROR(__xludf.DUMMYFUNCTION("""COMPUTED_VALUE"""),"Цирк")</f>
        <v>Цирк</v>
      </c>
      <c r="F1102" s="6" t="str">
        <f>IFERROR(__xludf.DUMMYFUNCTION("""COMPUTED_VALUE"""),"С тяжинского района")</f>
        <v>С тяжинского района</v>
      </c>
      <c r="G1102" s="6" t="str">
        <f>IFERROR(__xludf.DUMMYFUNCTION("""COMPUTED_VALUE"""),"Парк ангелов, парк чудес")</f>
        <v>Парк ангелов, парк чудес</v>
      </c>
      <c r="H1102" s="6" t="str">
        <f>IFERROR(__xludf.DUMMYFUNCTION("""COMPUTED_VALUE"""),"Новостройки, вузы, парки, мосты")</f>
        <v>Новостройки, вузы, парки, мосты</v>
      </c>
      <c r="I1102" s="6" t="str">
        <f>IFERROR(__xludf.DUMMYFUNCTION("""COMPUTED_VALUE"""),"Леонов")</f>
        <v>Леонов</v>
      </c>
      <c r="J1102" s="6" t="str">
        <f>IFERROR(__xludf.DUMMYFUNCTION("""COMPUTED_VALUE"""),"Не знаю")</f>
        <v>Не знаю</v>
      </c>
      <c r="K1102" s="6" t="str">
        <f>IFERROR(__xludf.DUMMYFUNCTION("""COMPUTED_VALUE"""),"Нет такогоне ж")</f>
        <v>Нет такогоне ж</v>
      </c>
      <c r="L1102" s="6" t="str">
        <f>IFERROR(__xludf.DUMMYFUNCTION("""COMPUTED_VALUE"""),"Не жили богато, не чего и начинать")</f>
        <v>Не жили богато, не чего и начинать</v>
      </c>
      <c r="M1102" s="6" t="str">
        <f>IFERROR(__xludf.DUMMYFUNCTION("""COMPUTED_VALUE"""),"Нет")</f>
        <v>Нет</v>
      </c>
      <c r="N1102" s="6" t="str">
        <f>IFERROR(__xludf.DUMMYFUNCTION("""COMPUTED_VALUE"""),"Интернет, доступность, развлечения, досуг, развитие")</f>
        <v>Интернет, доступность, развлечения, досуг, развитие</v>
      </c>
      <c r="O1102" s="6" t="str">
        <f>IFERROR(__xludf.DUMMYFUNCTION("""COMPUTED_VALUE"""),"Все")</f>
        <v>Все</v>
      </c>
      <c r="P1102" s="6" t="str">
        <f>IFERROR(__xludf.DUMMYFUNCTION("""COMPUTED_VALUE"""),"ВК, Инстаграм, Яндекс")</f>
        <v>ВК, Инстаграм, Яндекс</v>
      </c>
      <c r="Q1102" s="6" t="str">
        <f>IFERROR(__xludf.DUMMYFUNCTION("""COMPUTED_VALUE"""),"криминальные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102" s="6" t="str">
        <f>IFERROR(__xludf.DUMMYFUNCTION("""COMPUTED_VALUE"""),"9 мая")</f>
        <v>9 мая</v>
      </c>
      <c r="S1102" s="6" t="str">
        <f>IFERROR(__xludf.DUMMYFUNCTION("""COMPUTED_VALUE"""),"Нет, не приходилось")</f>
        <v>Нет, не приходилось</v>
      </c>
      <c r="T1102" s="6" t="str">
        <f>IFERROR(__xludf.DUMMYFUNCTION("""COMPUTED_VALUE"""),"Уголь")</f>
        <v>Уголь</v>
      </c>
      <c r="U1102" s="6" t="str">
        <f>IFERROR(__xludf.DUMMYFUNCTION("""COMPUTED_VALUE"""),"Парк ангелов")</f>
        <v>Парк ангелов</v>
      </c>
      <c r="V1102" s="6" t="str">
        <f>IFERROR(__xludf.DUMMYFUNCTION("""COMPUTED_VALUE"""),"Развивались")</f>
        <v>Развивались</v>
      </c>
      <c r="W1102" s="6" t="str">
        <f>IFERROR(__xludf.DUMMYFUNCTION("""COMPUTED_VALUE"""),"Работяги, отзывчивые")</f>
        <v>Работяги, отзывчивые</v>
      </c>
      <c r="X1102" s="6" t="str">
        <f>IFERROR(__xludf.DUMMYFUNCTION("""COMPUTED_VALUE"""),"Не знаю")</f>
        <v>Не знаю</v>
      </c>
      <c r="Y1102" s="6" t="str">
        <f>IFERROR(__xludf.DUMMYFUNCTION("""COMPUTED_VALUE"""),"Не знаю")</f>
        <v>Не знаю</v>
      </c>
      <c r="Z1102" s="6" t="str">
        <f>IFERROR(__xludf.DUMMYFUNCTION("""COMPUTED_VALUE"""),"Поход в кино, цирк, парк")</f>
        <v>Поход в кино, цирк, парк</v>
      </c>
      <c r="AA1102" s="6" t="str">
        <f>IFERROR(__xludf.DUMMYFUNCTION("""COMPUTED_VALUE"""),"Маршрутное такси")</f>
        <v>Маршрутное такси</v>
      </c>
      <c r="AB1102" s="6" t="str">
        <f>IFERROR(__xludf.DUMMYFUNCTION("""COMPUTED_VALUE"""),"Не знаю")</f>
        <v>Не знаю</v>
      </c>
      <c r="AC1102" s="6" t="str">
        <f>IFERROR(__xludf.DUMMYFUNCTION("""COMPUTED_VALUE"""),"Культурно- массовые мероприятия")</f>
        <v>Культурно- массовые мероприятия</v>
      </c>
      <c r="AD110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102" s="6" t="str">
        <f>IFERROR(__xludf.DUMMYFUNCTION("""COMPUTED_VALUE"""),"Женский")</f>
        <v>Женский</v>
      </c>
      <c r="AF1102" s="6" t="str">
        <f>IFERROR(__xludf.DUMMYFUNCTION("""COMPUTED_VALUE"""),"18-29")</f>
        <v>18-29</v>
      </c>
      <c r="AG1102" s="6"/>
      <c r="AH1102" s="6"/>
      <c r="AI1102" s="6"/>
      <c r="AJ1102" s="6"/>
      <c r="AK1102" s="6"/>
      <c r="AL1102" s="6"/>
      <c r="AM1102" s="6"/>
    </row>
    <row r="1103">
      <c r="A1103" s="6">
        <v>1102.0</v>
      </c>
      <c r="B1103" s="6" t="str">
        <f>IFERROR(__xludf.DUMMYFUNCTION("""COMPUTED_VALUE"""),"Я занимаюсь озеленением мира во круг)")</f>
        <v>Я занимаюсь озеленением мира во круг)</v>
      </c>
      <c r="C1103" s="6" t="str">
        <f>IFERROR(__xludf.DUMMYFUNCTION("""COMPUTED_VALUE"""),"Люблю гулять с семьей")</f>
        <v>Люблю гулять с семьей</v>
      </c>
      <c r="D1103" s="6" t="str">
        <f>IFERROR(__xludf.DUMMYFUNCTION("""COMPUTED_VALUE"""),"Я живу в районе ""Лесная поляна"" наша поляночка! ")</f>
        <v>Я живу в районе "Лесная поляна" наша поляночка! </v>
      </c>
      <c r="E1103" s="6" t="str">
        <f>IFERROR(__xludf.DUMMYFUNCTION("""COMPUTED_VALUE"""),"Биг Бен, парк ""лесная сказка"", ботанический сад, зоопарк "" Вовкин двор"", смотровая площадка ""Олень"", б-р Осенний 2 (мой дом)), стадион у школы 85, скульптура ""семьи"" на осеннем -  а вообще то вся лесная поляна знаковое место!!")</f>
        <v>Биг Бен, парк "лесная сказка", ботанический сад, зоопарк " Вовкин двор", смотровая площадка "Олень", б-р Осенний 2 (мой дом)), стадион у школы 85, скульптура "семьи" на осеннем -  а вообще то вся лесная поляна знаковое место!!</v>
      </c>
      <c r="F1103" s="6" t="str">
        <f>IFERROR(__xludf.DUMMYFUNCTION("""COMPUTED_VALUE"""),"Переехал сюда из другого места (откуда? укажите в графе другое), Родился в респ. Эстония и в 1999г приехал в Кемерово, где встретил жену и уже 20 лет мы вместе")</f>
        <v>Переехал сюда из другого места (откуда? укажите в графе другое), Родился в респ. Эстония и в 1999г приехал в Кемерово, где встретил жену и уже 20 лет мы вместе</v>
      </c>
      <c r="G1103" s="6" t="str">
        <f>IFERROR(__xludf.DUMMYFUNCTION("""COMPUTED_VALUE"""),"Я очень люблю Лесную поляну - гуляем здесь, а еще набережная в кировском районе и конечно, ул. Весенняя с окрестностями")</f>
        <v>Я очень люблю Лесную поляну - гуляем здесь, а еще набережная в кировском районе и конечно, ул. Весенняя с окрестностями</v>
      </c>
      <c r="H1103" s="6" t="str">
        <f>IFERROR(__xludf.DUMMYFUNCTION("""COMPUTED_VALUE"""),"Дом, уют, зелень, сила, развитие")</f>
        <v>Дом, уют, зелень, сила, развитие</v>
      </c>
      <c r="I1103" s="6" t="str">
        <f>IFERROR(__xludf.DUMMYFUNCTION("""COMPUTED_VALUE"""),"Мартемьянов, Леонов, Волков, ")</f>
        <v>Мартемьянов, Леонов, Волков, </v>
      </c>
      <c r="J1103" s="6" t="str">
        <f>IFERROR(__xludf.DUMMYFUNCTION("""COMPUTED_VALUE"""),"Михайлов - мэр, Земляной Владимир - идейный вдохновитель всего зеленого в нашем городе, ")</f>
        <v>Михайлов - мэр, Земляной Владимир - идейный вдохновитель всего зеленого в нашем городе, </v>
      </c>
      <c r="K1103" s="6" t="str">
        <f>IFERROR(__xludf.DUMMYFUNCTION("""COMPUTED_VALUE"""),"Лесная поляна, вечный огонь, парк чудес, ботанический сад, бр строителей, музей красная Горка, ")</f>
        <v>Лесная поляна, вечный огонь, парк чудес, ботанический сад, бр строителей, музей красная Горка, </v>
      </c>
      <c r="L1103" s="6" t="str">
        <f>IFERROR(__xludf.DUMMYFUNCTION("""COMPUTED_VALUE"""),"На ум приходит песня Бориса Гребенщикова "" человек из Кемерово"" - характеризует горожан)")</f>
        <v>На ум приходит песня Бориса Гребенщикова " человек из Кемерово" - характеризует горожан)</v>
      </c>
      <c r="M1103" s="6" t="str">
        <f>IFERROR(__xludf.DUMMYFUNCTION("""COMPUTED_VALUE"""),"""Весенька"", "" южный ни кому не нужный"", ")</f>
        <v>"Весенька", " южный ни кому не нужный", </v>
      </c>
      <c r="N1103" s="6" t="str">
        <f>IFERROR(__xludf.DUMMYFUNCTION("""COMPUTED_VALUE"""),"Наличие города спутника ""Лесная поляна"", удобный городской транспорт, хорошая экология, наличие деловой активности, чистота!! ")</f>
        <v>Наличие города спутника "Лесная поляна", удобный городской транспорт, хорошая экология, наличие деловой активности, чистота!! </v>
      </c>
      <c r="O1103" s="6" t="str">
        <f>IFERROR(__xludf.DUMMYFUNCTION("""COMPUTED_VALUE"""),"Решать вопрос с парковками, ввести принцип ""неотвратимости наказания"", улучшать экологию, разработать единый системный подход к озеленению в городе, нужны рабочие места")</f>
        <v>Решать вопрос с парковками, ввести принцип "неотвратимости наказания", улучшать экологию, разработать единый системный подход к озеленению в городе, нужны рабочие места</v>
      </c>
      <c r="P1103" s="6" t="str">
        <f>IFERROR(__xludf.DUMMYFUNCTION("""COMPUTED_VALUE"""),"Сайт А 42, гугл подборки новостей местных делает")</f>
        <v>Сайт А 42, гугл подборки новостей местных делает</v>
      </c>
      <c r="Q1103" s="6" t="str">
        <f>IFERROR(__xludf.DUMMYFUNCTION("""COMPUTED_VALUE"""),"интервью с местными политиками, 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 Интервью с людьми которые ориентированы не на заработок а"&amp;" на улучшение жизни, повышение комфорта горожан")</f>
        <v>интервью с местными политиками, 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 Интервью с людьми которые ориентированы не на заработок а на улучшение жизни, повышение комфорта горожан</v>
      </c>
      <c r="R1103" s="6" t="str">
        <f>IFERROR(__xludf.DUMMYFUNCTION("""COMPUTED_VALUE"""),"День города")</f>
        <v>День города</v>
      </c>
      <c r="S1103" s="6" t="str">
        <f>IFERROR(__xludf.DUMMYFUNCTION("""COMPUTED_VALUE"""),"Нет, не приходилось")</f>
        <v>Нет, не приходилось</v>
      </c>
      <c r="T1103" s="6" t="str">
        <f>IFERROR(__xludf.DUMMYFUNCTION("""COMPUTED_VALUE"""),"Угольная столица России в которой реализуется проект ""лесная поляна"" и этот опыт должен быть перенесен на весь город, на весь Кузбасс, что бы экология у нас была на уровне с курортными местам")</f>
        <v>Угольная столица России в которой реализуется проект "лесная поляна" и этот опыт должен быть перенесен на весь город, на весь Кузбасс, что бы экология у нас была на уровне с курортными местам</v>
      </c>
      <c r="U1103" s="6" t="str">
        <f>IFERROR(__xludf.DUMMYFUNCTION("""COMPUTED_VALUE"""),"Вечный огонь, памятник Волкову, драмтеатр")</f>
        <v>Вечный огонь, памятник Волкову, драмтеатр</v>
      </c>
      <c r="V1103" s="6" t="str">
        <f>IFERROR(__xludf.DUMMYFUNCTION("""COMPUTED_VALUE"""),"Михайло Волков нашел уголь, Леонов вышел в открытый космос, наши люди построили город спутник Лесная поляна")</f>
        <v>Михайло Волков нашел уголь, Леонов вышел в открытый космос, наши люди построили город спутник Лесная поляна</v>
      </c>
      <c r="W1103" s="6" t="str">
        <f>IFERROR(__xludf.DUMMYFUNCTION("""COMPUTED_VALUE"""),"Хорошие, настороженные но добрые и слегка уставшие, но инициативные")</f>
        <v>Хорошие, настороженные но добрые и слегка уставшие, но инициативные</v>
      </c>
      <c r="X1103" s="6" t="str">
        <f>IFERROR(__xludf.DUMMYFUNCTION("""COMPUTED_VALUE"""),"От жд вокзала до б-ра строителей по проспекту Ленина")</f>
        <v>От жд вокзала до б-ра строителей по проспекту Ленина</v>
      </c>
      <c r="Y1103" s="6" t="str">
        <f>IFERROR(__xludf.DUMMYFUNCTION("""COMPUTED_VALUE"""),"Молодежный чемпионат мира по хоккею с мячом")</f>
        <v>Молодежный чемпионат мира по хоккею с мячом</v>
      </c>
      <c r="Z1103" s="6" t="str">
        <f>IFERROR(__xludf.DUMMYFUNCTION("""COMPUTED_VALUE"""),"Начало строительства новой набережной и комплекса зданий на притомском, ")</f>
        <v>Начало строительства новой набережной и комплекса зданий на притомском, </v>
      </c>
      <c r="AA1103" s="6" t="str">
        <f>IFERROR(__xludf.DUMMYFUNCTION("""COMPUTED_VALUE"""),"Пожар в Зимней вишне, парк ""ангелов"" - бестолковое и не проффесиональное отношение к его строительству которое привело к его фактической гибели и необходимости очередного вливания огромного количества денег")</f>
        <v>Пожар в Зимней вишне, парк "ангелов" - бестолковое и не проффесиональное отношение к его строительству которое привело к его фактической гибели и необходимости очередного вливания огромного количества денег</v>
      </c>
      <c r="AB1103" s="6" t="str">
        <f>IFERROR(__xludf.DUMMYFUNCTION("""COMPUTED_VALUE"""),"Затрудняюсь с ответом")</f>
        <v>Затрудняюсь с ответом</v>
      </c>
      <c r="AC1103" s="6" t="str">
        <f>IFERROR(__xludf.DUMMYFUNCTION("""COMPUTED_VALUE"""),"Концерты под открытвм небом")</f>
        <v>Концерты под открытвм небом</v>
      </c>
      <c r="AD1103"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1103" s="6" t="str">
        <f>IFERROR(__xludf.DUMMYFUNCTION("""COMPUTED_VALUE"""),"Мужской")</f>
        <v>Мужской</v>
      </c>
      <c r="AF1103" s="6" t="str">
        <f>IFERROR(__xludf.DUMMYFUNCTION("""COMPUTED_VALUE"""),"30-44")</f>
        <v>30-44</v>
      </c>
      <c r="AG1103" s="6"/>
      <c r="AH1103" s="6"/>
      <c r="AI1103" s="6"/>
      <c r="AJ1103" s="6"/>
      <c r="AK1103" s="6"/>
      <c r="AL1103" s="6"/>
      <c r="AM1103" s="6"/>
    </row>
    <row r="1104">
      <c r="A1104" s="6">
        <v>1103.0</v>
      </c>
      <c r="B1104" s="6" t="str">
        <f>IFERROR(__xludf.DUMMYFUNCTION("""COMPUTED_VALUE"""),"нефтяник")</f>
        <v>нефтяник</v>
      </c>
      <c r="C1104" s="6" t="str">
        <f>IFERROR(__xludf.DUMMYFUNCTION("""COMPUTED_VALUE"""),"киноман")</f>
        <v>киноман</v>
      </c>
      <c r="D1104" s="6" t="str">
        <f>IFERROR(__xludf.DUMMYFUNCTION("""COMPUTED_VALUE"""),"Шалготарьян")</f>
        <v>Шалготарьян</v>
      </c>
      <c r="E1104" s="6" t="str">
        <f>IFERROR(__xludf.DUMMYFUNCTION("""COMPUTED_VALUE"""),"Памятник блокадникам, Ноград")</f>
        <v>Памятник блокадникам, Ноград</v>
      </c>
      <c r="F1104" s="6" t="str">
        <f>IFERROR(__xludf.DUMMYFUNCTION("""COMPUTED_VALUE"""),"Живу здесь с рождения")</f>
        <v>Живу здесь с рождения</v>
      </c>
      <c r="G1104" s="6" t="str">
        <f>IFERROR(__xludf.DUMMYFUNCTION("""COMPUTED_VALUE"""),"Озеро красное и дача в Журавлях")</f>
        <v>Озеро красное и дача в Журавлях</v>
      </c>
      <c r="H1104" s="6" t="str">
        <f>IFERROR(__xludf.DUMMYFUNCTION("""COMPUTED_VALUE"""),"Детство, лето, школа, Аврора, набережная")</f>
        <v>Детство, лето, школа, Аврора, набережная</v>
      </c>
      <c r="I1104" s="6" t="str">
        <f>IFERROR(__xludf.DUMMYFUNCTION("""COMPUTED_VALUE"""),"Е. Гришковец")</f>
        <v>Е. Гришковец</v>
      </c>
      <c r="J1104" s="6" t="str">
        <f>IFERROR(__xludf.DUMMYFUNCTION("""COMPUTED_VALUE"""),"обычные работяги")</f>
        <v>обычные работяги</v>
      </c>
      <c r="K1104" s="6" t="str">
        <f>IFERROR(__xludf.DUMMYFUNCTION("""COMPUTED_VALUE"""),"девочка спящая на ладони, ул. Весенняя")</f>
        <v>девочка спящая на ладони, ул. Весенняя</v>
      </c>
      <c r="L1104" s="6" t="str">
        <f>IFERROR(__xludf.DUMMYFUNCTION("""COMPUTED_VALUE"""),"от работы кони дохнут")</f>
        <v>от работы кони дохнут</v>
      </c>
      <c r="M1104" s="6" t="str">
        <f>IFERROR(__xludf.DUMMYFUNCTION("""COMPUTED_VALUE"""),"по-Химеровски")</f>
        <v>по-Химеровски</v>
      </c>
      <c r="N1104" s="6" t="str">
        <f>IFERROR(__xludf.DUMMYFUNCTION("""COMPUTED_VALUE"""),"уютный, компактный")</f>
        <v>уютный, компактный</v>
      </c>
      <c r="O1104" s="6" t="str">
        <f>IFERROR(__xludf.DUMMYFUNCTION("""COMPUTED_VALUE"""),"экологию")</f>
        <v>экологию</v>
      </c>
      <c r="P1104" s="6" t="str">
        <f>IFERROR(__xludf.DUMMYFUNCTION("""COMPUTED_VALUE"""),"ВК")</f>
        <v>ВК</v>
      </c>
      <c r="Q1104"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f>
        <v>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1104" s="6" t="str">
        <f>IFERROR(__xludf.DUMMYFUNCTION("""COMPUTED_VALUE"""),"Новый год")</f>
        <v>Новый год</v>
      </c>
      <c r="S1104" s="6" t="str">
        <f>IFERROR(__xludf.DUMMYFUNCTION("""COMPUTED_VALUE"""),"работал более 10 лет в реклами, 4 года ставил Ёлку, украшал город к другим празднествам")</f>
        <v>работал более 10 лет в реклами, 4 года ставил Ёлку, украшал город к другим празднествам</v>
      </c>
      <c r="T1104" s="6" t="str">
        <f>IFERROR(__xludf.DUMMYFUNCTION("""COMPUTED_VALUE"""),"боюсь что ...ничем")</f>
        <v>боюсь что ...ничем</v>
      </c>
      <c r="U1104" s="6" t="str">
        <f>IFERROR(__xludf.DUMMYFUNCTION("""COMPUTED_VALUE"""),"Весенняя, театр Драмы, Горсад, Набережная, Филармония, цирк")</f>
        <v>Весенняя, театр Драмы, Горсад, Набережная, Филармония, цирк</v>
      </c>
      <c r="V1104" s="6" t="str">
        <f>IFERROR(__xludf.DUMMYFUNCTION("""COMPUTED_VALUE"""),"не спились поголовно")</f>
        <v>не спились поголовно</v>
      </c>
      <c r="W1104" s="6" t="str">
        <f>IFERROR(__xludf.DUMMYFUNCTION("""COMPUTED_VALUE"""),"встречаются порядочные")</f>
        <v>встречаются порядочные</v>
      </c>
      <c r="X1104" s="6" t="str">
        <f>IFERROR(__xludf.DUMMYFUNCTION("""COMPUTED_VALUE"""),"Весенняя, театр Драмы, Горсад, Набережная, Филармония, цирк")</f>
        <v>Весенняя, театр Драмы, Горсад, Набережная, Филармония, цирк</v>
      </c>
      <c r="Y1104" s="6" t="str">
        <f>IFERROR(__xludf.DUMMYFUNCTION("""COMPUTED_VALUE"""),"приезд Дип Пёрпл")</f>
        <v>приезд Дип Пёрпл</v>
      </c>
      <c r="Z1104" s="6" t="str">
        <f>IFERROR(__xludf.DUMMYFUNCTION("""COMPUTED_VALUE"""),"Притомский проспект и то, что там прорастает дальше")</f>
        <v>Притомский проспект и то, что там прорастает дальше</v>
      </c>
      <c r="AA1104" s="6" t="str">
        <f>IFERROR(__xludf.DUMMYFUNCTION("""COMPUTED_VALUE"""),"закулисная драка власти и богатеньких")</f>
        <v>закулисная драка власти и богатеньких</v>
      </c>
      <c r="AB1104" s="6" t="str">
        <f>IFERROR(__xludf.DUMMYFUNCTION("""COMPUTED_VALUE"""),"инди и рок - тусовок")</f>
        <v>инди и рок - тусовок</v>
      </c>
      <c r="AC1104" s="6" t="str">
        <f>IFERROR(__xludf.DUMMYFUNCTION("""COMPUTED_VALUE"""),"заинтересовать молодёжь, которая отчаянно бежит из региона")</f>
        <v>заинтересовать молодёжь, которая отчаянно бежит из региона</v>
      </c>
      <c r="AD1104" s="6" t="str">
        <f>IFERROR(__xludf.DUMMYFUNCTION("""COMPUTED_VALUE"""),"пассивный наблюдатель")</f>
        <v>пассивный наблюдатель</v>
      </c>
      <c r="AE1104" s="6" t="str">
        <f>IFERROR(__xludf.DUMMYFUNCTION("""COMPUTED_VALUE"""),"Мужской")</f>
        <v>Мужской</v>
      </c>
      <c r="AF1104" s="6" t="str">
        <f>IFERROR(__xludf.DUMMYFUNCTION("""COMPUTED_VALUE"""),"45-55")</f>
        <v>45-55</v>
      </c>
      <c r="AG1104" s="6"/>
      <c r="AH1104" s="6"/>
      <c r="AI1104" s="6"/>
      <c r="AJ1104" s="6"/>
      <c r="AK1104" s="6"/>
      <c r="AL1104" s="6"/>
      <c r="AM1104" s="6"/>
    </row>
    <row r="1105">
      <c r="A1105" s="6">
        <v>1104.0</v>
      </c>
      <c r="B1105" s="6" t="str">
        <f>IFERROR(__xludf.DUMMYFUNCTION("""COMPUTED_VALUE"""),"Юрист")</f>
        <v>Юрист</v>
      </c>
      <c r="C1105" s="6" t="str">
        <f>IFERROR(__xludf.DUMMYFUNCTION("""COMPUTED_VALUE"""),"Автомобиль")</f>
        <v>Автомобиль</v>
      </c>
      <c r="D1105" s="6" t="str">
        <f>IFERROR(__xludf.DUMMYFUNCTION("""COMPUTED_VALUE"""),"Ягуновский")</f>
        <v>Ягуновский</v>
      </c>
      <c r="E1105" s="6" t="str">
        <f>IFERROR(__xludf.DUMMYFUNCTION("""COMPUTED_VALUE"""),"Парк победы, алея памяти")</f>
        <v>Парк победы, алея памяти</v>
      </c>
      <c r="F1105" s="6" t="str">
        <f>IFERROR(__xludf.DUMMYFUNCTION("""COMPUTED_VALUE"""),"Переехал сюда из другого места (откуда? укажите в графе другое), Новокузнецк")</f>
        <v>Переехал сюда из другого места (откуда? укажите в графе другое), Новокузнецк</v>
      </c>
      <c r="G1105" s="6" t="str">
        <f>IFERROR(__xludf.DUMMYFUNCTION("""COMPUTED_VALUE"""),"Ул. Весенняя, набережная Томи")</f>
        <v>Ул. Весенняя, набережная Томи</v>
      </c>
      <c r="H1105" s="6" t="str">
        <f>IFERROR(__xludf.DUMMYFUNCTION("""COMPUTED_VALUE"""),"Дым, смог, стройка, уголь, пыль")</f>
        <v>Дым, смог, стройка, уголь, пыль</v>
      </c>
      <c r="I1105" s="6" t="str">
        <f>IFERROR(__xludf.DUMMYFUNCTION("""COMPUTED_VALUE"""),"Волков")</f>
        <v>Волков</v>
      </c>
      <c r="J1105" s="6" t="str">
        <f>IFERROR(__xludf.DUMMYFUNCTION("""COMPUTED_VALUE"""),"Машков")</f>
        <v>Машков</v>
      </c>
      <c r="K1105" s="6" t="str">
        <f>IFERROR(__xludf.DUMMYFUNCTION("""COMPUTED_VALUE"""),"Сосновый бор")</f>
        <v>Сосновый бор</v>
      </c>
      <c r="L1105" s="6" t="str">
        <f>IFERROR(__xludf.DUMMYFUNCTION("""COMPUTED_VALUE"""),"Я из Кемерово")</f>
        <v>Я из Кемерово</v>
      </c>
      <c r="M1105" s="6" t="str">
        <f>IFERROR(__xludf.DUMMYFUNCTION("""COMPUTED_VALUE"""),"Кемерово")</f>
        <v>Кемерово</v>
      </c>
      <c r="N1105" s="6" t="str">
        <f>IFERROR(__xludf.DUMMYFUNCTION("""COMPUTED_VALUE"""),"Чистый воздух, чистые дороги, большой торговый центр, культурные мероприятия.")</f>
        <v>Чистый воздух, чистые дороги, большой торговый центр, культурные мероприятия.</v>
      </c>
      <c r="O1105" s="6" t="str">
        <f>IFERROR(__xludf.DUMMYFUNCTION("""COMPUTED_VALUE"""),"Экологию ")</f>
        <v>Экологию </v>
      </c>
      <c r="P1105" s="6" t="str">
        <f>IFERROR(__xludf.DUMMYFUNCTION("""COMPUTED_VALUE"""),"Инстаграмм")</f>
        <v>Инстаграмм</v>
      </c>
      <c r="Q1105" s="6" t="str">
        <f>IFERROR(__xludf.DUMMYFUNCTION("""COMPUTED_VALUE"""),"куда пойти в свободное время, где вкусно поесть/открытие новых кафе/ресторанов, культурные новинки (что почитать/что послушать)")</f>
        <v>куда пойти в свободное время, где вкусно поесть/открытие новых кафе/ресторанов, культурные новинки (что почитать/что послушать)</v>
      </c>
      <c r="R1105" s="6" t="str">
        <f>IFERROR(__xludf.DUMMYFUNCTION("""COMPUTED_VALUE"""),"День города, день шахтера")</f>
        <v>День города, день шахтера</v>
      </c>
      <c r="S1105" s="6" t="str">
        <f>IFERROR(__xludf.DUMMYFUNCTION("""COMPUTED_VALUE"""),"Нет, не приходилось")</f>
        <v>Нет, не приходилось</v>
      </c>
      <c r="T1105" s="6" t="str">
        <f>IFERROR(__xludf.DUMMYFUNCTION("""COMPUTED_VALUE"""),"Сосновый бор")</f>
        <v>Сосновый бор</v>
      </c>
      <c r="U1105" s="6" t="str">
        <f>IFERROR(__xludf.DUMMYFUNCTION("""COMPUTED_VALUE"""),"Площадь советов, ул. Весенняя")</f>
        <v>Площадь советов, ул. Весенняя</v>
      </c>
      <c r="V1105" s="6" t="str">
        <f>IFERROR(__xludf.DUMMYFUNCTION("""COMPUTED_VALUE"""),"Не знаю")</f>
        <v>Не знаю</v>
      </c>
      <c r="W1105" s="6" t="str">
        <f>IFERROR(__xludf.DUMMYFUNCTION("""COMPUTED_VALUE"""),"Добрые")</f>
        <v>Добрые</v>
      </c>
      <c r="X1105" s="6" t="str">
        <f>IFERROR(__xludf.DUMMYFUNCTION("""COMPUTED_VALUE"""),"Весенняя , набережная, площадь советов")</f>
        <v>Весенняя , набережная, площадь советов</v>
      </c>
      <c r="Y1105" s="6" t="str">
        <f>IFERROR(__xludf.DUMMYFUNCTION("""COMPUTED_VALUE"""),"Нашли уголь")</f>
        <v>Нашли уголь</v>
      </c>
      <c r="Z1105" s="6" t="str">
        <f>IFERROR(__xludf.DUMMYFUNCTION("""COMPUTED_VALUE"""),"Стройка СК")</f>
        <v>Стройка СК</v>
      </c>
      <c r="AA1105" s="6" t="str">
        <f>IFERROR(__xludf.DUMMYFUNCTION("""COMPUTED_VALUE"""),"Зимняя вишня")</f>
        <v>Зимняя вишня</v>
      </c>
      <c r="AB1105" s="6" t="str">
        <f>IFERROR(__xludf.DUMMYFUNCTION("""COMPUTED_VALUE"""),"Не знаю")</f>
        <v>Не знаю</v>
      </c>
      <c r="AC1105" s="6" t="str">
        <f>IFERROR(__xludf.DUMMYFUNCTION("""COMPUTED_VALUE"""),"Культурно - массовые мероприятия")</f>
        <v>Культурно - массовые мероприятия</v>
      </c>
      <c r="AD1105"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1105" s="6" t="str">
        <f>IFERROR(__xludf.DUMMYFUNCTION("""COMPUTED_VALUE"""),"Мужской")</f>
        <v>Мужской</v>
      </c>
      <c r="AF1105" s="6" t="str">
        <f>IFERROR(__xludf.DUMMYFUNCTION("""COMPUTED_VALUE"""),"30-44")</f>
        <v>30-44</v>
      </c>
      <c r="AG1105" s="6"/>
      <c r="AH1105" s="6"/>
      <c r="AI1105" s="6"/>
      <c r="AJ1105" s="6"/>
      <c r="AK1105" s="6"/>
      <c r="AL1105" s="6"/>
      <c r="AM1105" s="6"/>
    </row>
    <row r="1106">
      <c r="A1106" s="6">
        <v>1105.0</v>
      </c>
      <c r="B1106" s="6" t="str">
        <f>IFERROR(__xludf.DUMMYFUNCTION("""COMPUTED_VALUE"""),"PR")</f>
        <v>PR</v>
      </c>
      <c r="C1106" s="6" t="str">
        <f>IFERROR(__xludf.DUMMYFUNCTION("""COMPUTED_VALUE"""),"рисую")</f>
        <v>рисую</v>
      </c>
      <c r="D1106" s="6" t="str">
        <f>IFERROR(__xludf.DUMMYFUNCTION("""COMPUTED_VALUE"""),"Поляна - Лесная поляна")</f>
        <v>Поляна - Лесная поляна</v>
      </c>
      <c r="E1106" s="6" t="str">
        <f>IFERROR(__xludf.DUMMYFUNCTION("""COMPUTED_VALUE"""),"Олень - смотровая площадка ")</f>
        <v>Олень - смотровая площадка </v>
      </c>
      <c r="F1106" s="6" t="str">
        <f>IFERROR(__xludf.DUMMYFUNCTION("""COMPUTED_VALUE"""),"Живу здесь с рождения")</f>
        <v>Живу здесь с рождения</v>
      </c>
      <c r="G1106" s="6" t="str">
        <f>IFERROR(__xludf.DUMMYFUNCTION("""COMPUTED_VALUE"""),"Центр - набережная, весенняя, Ленинский - комсомольский парк, комсомольский проспект, Кировский - набережная, Рудничный - Лесная поляна")</f>
        <v>Центр - набережная, весенняя, Ленинский - комсомольский парк, комсомольский проспект, Кировский - набережная, Рудничный - Лесная поляна</v>
      </c>
      <c r="H1106" s="6" t="str">
        <f>IFERROR(__xludf.DUMMYFUNCTION("""COMPUTED_VALUE"""),"Динозавры, индустриальные пейзажи, холод, томь - два берега, гора красная ")</f>
        <v>Динозавры, индустриальные пейзажи, холод, томь - два берега, гора красная </v>
      </c>
      <c r="I1106" s="6" t="str">
        <f>IFERROR(__xludf.DUMMYFUNCTION("""COMPUTED_VALUE"""),"Михайло Волков, Василий Федоров")</f>
        <v>Михайло Волков, Василий Федоров</v>
      </c>
      <c r="J1106" s="6" t="str">
        <f>IFERROR(__xludf.DUMMYFUNCTION("""COMPUTED_VALUE"""),"-")</f>
        <v>-</v>
      </c>
      <c r="K1106" s="6" t="str">
        <f>IFERROR(__xludf.DUMMYFUNCTION("""COMPUTED_VALUE"""),"Смотровые площадки Лесной поляны, старые дома вдоль набережной кировского (прикольная архитектура), центр - советский, набережная, весенняя (дворы центральные - например, где памятник во дворе, который никто не знает или двор, где жители построили корабль"&amp;"), отвела бы в Скворечник попить кофе, свозила бы к Томи за Суховским, в Бор ")</f>
        <v>Смотровые площадки Лесной поляны, старые дома вдоль набережной кировского (прикольная архитектура), центр - советский, набережная, весенняя (дворы центральные - например, где памятник во дворе, который никто не знает или двор, где жители построили корабль), отвела бы в Скворечник попить кофе, свозила бы к Томи за Суховским, в Бор </v>
      </c>
      <c r="L1106" s="6" t="str">
        <f>IFERROR(__xludf.DUMMYFUNCTION("""COMPUTED_VALUE"""),"Трамвай детства. Одной из кемеровских легенд-сказок является история о трамвае
детства. Много лет назад, а точнее в сороковые – пятидесятые годы,
по нынешнему Советскому проспекту от Центрального универмага до
улицы Весенней и далее ходил трамвай. Трясло "&amp;"в них так, что стучали зубы. Так вот, как говорят очевидцы, раз в год, в ночь перед Рождеством, где-то с четырех до шести часов, каждый может увидеть этот старенький трамвайчик, если, конечно, очень повезет")</f>
        <v>Трамвай детства. Одной из кемеровских легенд-сказок является история о трамвае
детства. Много лет назад, а точнее в сороковые – пятидесятые годы,
по нынешнему Советскому проспекту от Центрального универмага до
улицы Весенней и далее ходил трамвай. Трясло в них так, что стучали зубы. Так вот, как говорят очевидцы, раз в год, в ночь перед Рождеством, где-то с четырех до шести часов, каждый может увидеть этот старенький трамвайчик, если, конечно, очень повезет</v>
      </c>
      <c r="M1106" s="6" t="str">
        <f>IFERROR(__xludf.DUMMYFUNCTION("""COMPUTED_VALUE"""),"Глыза – большой кусок угля. Забуриться – напиться пьяным и не выйти на работу. Сердечко – шахтёрская лопата (из шахтёрской лексики). Матрусить – порошить (о снеге). Мантулить – много работать, выполнять тяжёлую работу. Отвалтузить – сильно избить. Пластат"&amp;"ься – усердно трудиться. Поползуха – позёмка (из диалектной лексики).")</f>
        <v>Глыза – большой кусок угля. Забуриться – напиться пьяным и не выйти на работу. Сердечко – шахтёрская лопата (из шахтёрской лексики). Матрусить – порошить (о снеге). Мантулить – много работать, выполнять тяжёлую работу. Отвалтузить – сильно избить. Пластаться – усердно трудиться. Поползуха – позёмка (из диалектной лексики).</v>
      </c>
      <c r="N1106" s="6" t="str">
        <f>IFERROR(__xludf.DUMMYFUNCTION("""COMPUTED_VALUE"""),"наличие мест для отдыха, возможность культурно просвящаться, красота города, отсутсвие ужасных памятников типа От улыбки на набережной, которые появляются неполнятно почему и зачем, возможность найти интересную работу и пригодиться там, где родился, досто"&amp;"йный уровень зарплаты - в соотношении с уровнем цен, доступное жилье")</f>
        <v>наличие мест для отдыха, возможность культурно просвящаться, красота города, отсутсвие ужасных памятников типа От улыбки на набережной, которые появляются неполнятно почему и зачем, возможность найти интересную работу и пригодиться там, где родился, достойный уровень зарплаты - в соотношении с уровнем цен, доступное жилье</v>
      </c>
      <c r="O1106" s="6" t="str">
        <f>IFERROR(__xludf.DUMMYFUNCTION("""COMPUTED_VALUE"""),"отсутсвие ужасных памятников типа От улыбки, отреставрировать старые здания, убрать ужасную рекламу с домов")</f>
        <v>отсутсвие ужасных памятников типа От улыбки, отреставрировать старые здания, убрать ужасную рекламу с домов</v>
      </c>
      <c r="P1106" s="6" t="str">
        <f>IFERROR(__xludf.DUMMYFUNCTION("""COMPUTED_VALUE"""),"Соцсети - инста")</f>
        <v>Соцсети - инста</v>
      </c>
      <c r="Q1106" s="6" t="str">
        <f>IFERROR(__xludf.DUMMYFUNCTION("""COMPUTED_VALUE"""),"куда пойти в свободное время")</f>
        <v>куда пойти в свободное время</v>
      </c>
      <c r="R1106" s="6" t="str">
        <f>IFERROR(__xludf.DUMMYFUNCTION("""COMPUTED_VALUE"""),"Хочется больше концертов, нормальных выставок ( не только местных художников и картин, напечатанных местными центрами), чтобы привозили фильмы и артовые, а не только мейнстрим, больше молодежного - нового")</f>
        <v>Хочется больше концертов, нормальных выставок ( не только местных художников и картин, напечатанных местными центрами), чтобы привозили фильмы и артовые, а не только мейнстрим, больше молодежного - нового</v>
      </c>
      <c r="S1106"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по работе приходилос"&amp;"ь все")</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по работе приходилось все</v>
      </c>
      <c r="T1106" s="6" t="str">
        <f>IFERROR(__xludf.DUMMYFUNCTION("""COMPUTED_VALUE"""),"Город в целом интересный, есть много красивых мест, в том числе, не самых популярных - я бы развивала туристические маршруты, чтобы показывать такие места ")</f>
        <v>Город в целом интересный, есть много красивых мест, в том числе, не самых популярных - я бы развивала туристические маршруты, чтобы показывать такие места </v>
      </c>
      <c r="U1106" s="6" t="str">
        <f>IFERROR(__xludf.DUMMYFUNCTION("""COMPUTED_VALUE"""),"Весенняя - Набережная")</f>
        <v>Весенняя - Набережная</v>
      </c>
      <c r="V1106" s="6" t="str">
        <f>IFERROR(__xludf.DUMMYFUNCTION("""COMPUTED_VALUE"""),"-")</f>
        <v>-</v>
      </c>
      <c r="W1106" s="6" t="str">
        <f>IFERROR(__xludf.DUMMYFUNCTION("""COMPUTED_VALUE"""),"разные - где-то суровые и смелые, где-то вполне талантливые и креативные (другой вопрос - что это некуда выплеснуть), где-то как быдло")</f>
        <v>разные - где-то суровые и смелые, где-то вполне талантливые и креативные (другой вопрос - что это некуда выплеснуть), где-то как быдло</v>
      </c>
      <c r="X1106" s="6" t="str">
        <f>IFERROR(__xludf.DUMMYFUNCTION("""COMPUTED_VALUE"""),"Центр - Лесная поляна ")</f>
        <v>Центр - Лесная поляна </v>
      </c>
      <c r="Y1106" s="6" t="str">
        <f>IFERROR(__xludf.DUMMYFUNCTION("""COMPUTED_VALUE"""),"рок-концерт ")</f>
        <v>рок-концерт </v>
      </c>
      <c r="Z1106" s="6" t="str">
        <f>IFERROR(__xludf.DUMMYFUNCTION("""COMPUTED_VALUE"""),"рок-концерт")</f>
        <v>рок-концерт</v>
      </c>
      <c r="AA1106" s="6" t="str">
        <f>IFERROR(__xludf.DUMMYFUNCTION("""COMPUTED_VALUE"""),"непонятно для кого и зачем организованные культурные собития - типа парада дедов морозов, которые проходили в будний день в рабочее время, которые толком никто не увидел")</f>
        <v>непонятно для кого и зачем организованные культурные собития - типа парада дедов морозов, которые проходили в будний день в рабочее время, которые толком никто не увидел</v>
      </c>
      <c r="AB1106" s="6" t="str">
        <f>IFERROR(__xludf.DUMMYFUNCTION("""COMPUTED_VALUE"""),"нет в них необходимости для меня лично")</f>
        <v>нет в них необходимости для меня лично</v>
      </c>
      <c r="AC1106" s="6" t="str">
        <f>IFERROR(__xludf.DUMMYFUNCTION("""COMPUTED_VALUE"""),"фестивали еды, концерты, фильмы (не только мейнстрим), выставки современных художгников ( а не пейзажи индустриальные), спектакли (много лет не была в театре драмы, сходила на что-то местное, лучше бы не ходила). уж лучше Ложа. Хочется нового, свежего, кр"&amp;"уативного, пусть и с оглядкой на опыт крупных городов. ")</f>
        <v>фестивали еды, концерты, фильмы (не только мейнстрим), выставки современных художгников ( а не пейзажи индустриальные), спектакли (много лет не была в театре драмы, сходила на что-то местное, лучше бы не ходила). уж лучше Ложа. Хочется нового, свежего, круативного, пусть и с оглядкой на опыт крупных городов. </v>
      </c>
      <c r="AD110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106" s="6" t="str">
        <f>IFERROR(__xludf.DUMMYFUNCTION("""COMPUTED_VALUE"""),"Женский")</f>
        <v>Женский</v>
      </c>
      <c r="AF1106" s="6" t="str">
        <f>IFERROR(__xludf.DUMMYFUNCTION("""COMPUTED_VALUE"""),"18-29")</f>
        <v>18-29</v>
      </c>
      <c r="AG1106" s="6"/>
      <c r="AH1106" s="6"/>
      <c r="AI1106" s="6"/>
      <c r="AJ1106" s="6"/>
      <c r="AK1106" s="6"/>
      <c r="AL1106" s="6"/>
      <c r="AM1106" s="6"/>
    </row>
    <row r="1107">
      <c r="A1107" s="6">
        <v>1106.0</v>
      </c>
      <c r="B1107" s="6" t="str">
        <f>IFERROR(__xludf.DUMMYFUNCTION("""COMPUTED_VALUE"""),"Маркетолог в отеле, менеджер по работе  гостями города и их жалобами.")</f>
        <v>Маркетолог в отеле, менеджер по работе  гостями города и их жалобами.</v>
      </c>
      <c r="C1107" s="6" t="str">
        <f>IFERROR(__xludf.DUMMYFUNCTION("""COMPUTED_VALUE"""),"Нет")</f>
        <v>Нет</v>
      </c>
      <c r="D1107" s="6" t="str">
        <f>IFERROR(__xludf.DUMMYFUNCTION("""COMPUTED_VALUE"""),"Ленинский, Ленинградский")</f>
        <v>Ленинский, Ленинградский</v>
      </c>
      <c r="E1107" s="6" t="str">
        <f>IFERROR(__xludf.DUMMYFUNCTION("""COMPUTED_VALUE"""),"Парк ""Кузбасский"" , бульвар Строителей, мечеть")</f>
        <v>Парк "Кузбасский" , бульвар Строителей, мечеть</v>
      </c>
      <c r="F1107" s="6" t="str">
        <f>IFERROR(__xludf.DUMMYFUNCTION("""COMPUTED_VALUE"""),"Живу здесь с рождения")</f>
        <v>Живу здесь с рождения</v>
      </c>
      <c r="G1107" s="6" t="str">
        <f>IFERROR(__xludf.DUMMYFUNCTION("""COMPUTED_VALUE"""),"Парк Кузбасский, Парк им. В.Волошиной")</f>
        <v>Парк Кузбасский, Парк им. В.Волошиной</v>
      </c>
      <c r="H1107" s="6" t="str">
        <f>IFERROR(__xludf.DUMMYFUNCTION("""COMPUTED_VALUE"""),"Кузбасс, Угольный край, индустриальный город, Щегловск")</f>
        <v>Кузбасс, Угольный край, индустриальный город, Щегловск</v>
      </c>
      <c r="I1107" s="6" t="str">
        <f>IFERROR(__xludf.DUMMYFUNCTION("""COMPUTED_VALUE"""),"Леонов, Тулеев")</f>
        <v>Леонов, Тулеев</v>
      </c>
      <c r="J1107" s="6" t="str">
        <f>IFERROR(__xludf.DUMMYFUNCTION("""COMPUTED_VALUE"""),"Гришковец")</f>
        <v>Гришковец</v>
      </c>
      <c r="K1107" s="6" t="str">
        <f>IFERROR(__xludf.DUMMYFUNCTION("""COMPUTED_VALUE"""),"Музей ""Красная горка"" - экспозиция ""Шахта"", Томская писаница, ул. Набережная ")</f>
        <v>Музей "Красная горка" - экспозиция "Шахта", Томская писаница, ул. Набережная </v>
      </c>
      <c r="L1107" s="6" t="str">
        <f>IFERROR(__xludf.DUMMYFUNCTION("""COMPUTED_VALUE"""),"Никогда не слышала таких")</f>
        <v>Никогда не слышала таких</v>
      </c>
      <c r="M1107" s="6" t="str">
        <f>IFERROR(__xludf.DUMMYFUNCTION("""COMPUTED_VALUE"""),"Никогда не слышала таких")</f>
        <v>Никогда не слышала таких</v>
      </c>
      <c r="N1107" s="6" t="str">
        <f>IFERROR(__xludf.DUMMYFUNCTION("""COMPUTED_VALUE"""),"Чистый воздух, отсутствие пробок и широкие улицы, наличие парков и скверов, фонтанов,  детские площадки, своевременная уборка мусора. ")</f>
        <v>Чистый воздух, отсутствие пробок и широкие улицы, наличие парков и скверов, фонтанов,  детские площадки, своевременная уборка мусора. </v>
      </c>
      <c r="O1107" s="6" t="str">
        <f>IFERROR(__xludf.DUMMYFUNCTION("""COMPUTED_VALUE"""),"Экологическую ситуацию. Загрязнение воздуха")</f>
        <v>Экологическую ситуацию. Загрязнение воздуха</v>
      </c>
      <c r="P1107" s="7" t="str">
        <f>IFERROR(__xludf.DUMMYFUNCTION("""COMPUTED_VALUE"""),"afisha.vse42.ru")</f>
        <v>afisha.vse42.ru</v>
      </c>
      <c r="Q1107"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1107" s="6" t="str">
        <f>IFERROR(__xludf.DUMMYFUNCTION("""COMPUTED_VALUE"""),"День города, день Победы")</f>
        <v>День города, день Победы</v>
      </c>
      <c r="S1107" s="6" t="str">
        <f>IFERROR(__xludf.DUMMYFUNCTION("""COMPUTED_VALUE"""),"Нет, не приходилось")</f>
        <v>Нет, не приходилось</v>
      </c>
      <c r="T1107" s="6" t="str">
        <f>IFERROR(__xludf.DUMMYFUNCTION("""COMPUTED_VALUE"""),"На мой взгляд ничем не уникален. ")</f>
        <v>На мой взгляд ничем не уникален. </v>
      </c>
      <c r="U1107" s="6" t="str">
        <f>IFERROR(__xludf.DUMMYFUNCTION("""COMPUTED_VALUE"""),"Площадь Советов")</f>
        <v>Площадь Советов</v>
      </c>
      <c r="V1107" s="6" t="str">
        <f>IFERROR(__xludf.DUMMYFUNCTION("""COMPUTED_VALUE"""),"Строили, развивали, насаждали")</f>
        <v>Строили, развивали, насаждали</v>
      </c>
      <c r="W1107" s="6" t="str">
        <f>IFERROR(__xludf.DUMMYFUNCTION("""COMPUTED_VALUE"""),"Суровые люди")</f>
        <v>Суровые люди</v>
      </c>
      <c r="X1107" s="6" t="str">
        <f>IFERROR(__xludf.DUMMYFUNCTION("""COMPUTED_VALUE"""),"Набережная пока в топе. Парк Ангелов (когда в нем работают фонтаны!!!!)  - но это больше для приезжих")</f>
        <v>Набережная пока в топе. Парк Ангелов (когда в нем работают фонтаны!!!!)  - но это больше для приезжих</v>
      </c>
      <c r="Y1107" s="6" t="str">
        <f>IFERROR(__xludf.DUMMYFUNCTION("""COMPUTED_VALUE"""),"Кемерово - столица Кузбасса")</f>
        <v>Кемерово - столица Кузбасса</v>
      </c>
      <c r="Z1107" s="6" t="str">
        <f>IFERROR(__xludf.DUMMYFUNCTION("""COMPUTED_VALUE"""),"Фестиваль «Герои мирового рока» ")</f>
        <v>Фестиваль «Герои мирового рока» </v>
      </c>
      <c r="AA1107" s="6" t="str">
        <f>IFERROR(__xludf.DUMMYFUNCTION("""COMPUTED_VALUE"""),"Разборки по Зимней Вишне. ")</f>
        <v>Разборки по Зимней Вишне. </v>
      </c>
      <c r="AB1107" s="6" t="str">
        <f>IFERROR(__xludf.DUMMYFUNCTION("""COMPUTED_VALUE"""),"я не вхожу в сообщества")</f>
        <v>я не вхожу в сообщества</v>
      </c>
      <c r="AC1107" s="6" t="str">
        <f>IFERROR(__xludf.DUMMYFUNCTION("""COMPUTED_VALUE"""),"Открытие Аквапарка")</f>
        <v>Открытие Аквапарка</v>
      </c>
      <c r="AD110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07" s="6" t="str">
        <f>IFERROR(__xludf.DUMMYFUNCTION("""COMPUTED_VALUE"""),"Женский")</f>
        <v>Женский</v>
      </c>
      <c r="AF1107" s="6" t="str">
        <f>IFERROR(__xludf.DUMMYFUNCTION("""COMPUTED_VALUE"""),"30-44")</f>
        <v>30-44</v>
      </c>
      <c r="AG1107" s="6"/>
      <c r="AH1107" s="6"/>
      <c r="AI1107" s="6"/>
      <c r="AJ1107" s="6"/>
      <c r="AK1107" s="6"/>
      <c r="AL1107" s="6"/>
      <c r="AM1107" s="6"/>
    </row>
    <row r="1108">
      <c r="A1108" s="6">
        <v>1107.0</v>
      </c>
      <c r="B1108" s="6" t="str">
        <f>IFERROR(__xludf.DUMMYFUNCTION("""COMPUTED_VALUE"""),"Медицина, Реабилитация, Руководитель Клиники. Врач ЛФК, мануальный терапевт, остеопат.")</f>
        <v>Медицина, Реабилитация, Руководитель Клиники. Врач ЛФК, мануальный терапевт, остеопат.</v>
      </c>
      <c r="C1108" s="6" t="str">
        <f>IFERROR(__xludf.DUMMYFUNCTION("""COMPUTED_VALUE"""),"Обучение врачей Новым технологиям в реабилитации. Автотуризм. Функциональные круговые тренировки.")</f>
        <v>Обучение врачей Новым технологиям в реабилитации. Автотуризм. Функциональные круговые тренировки.</v>
      </c>
      <c r="D1108" s="6" t="str">
        <f>IFERROR(__xludf.DUMMYFUNCTION("""COMPUTED_VALUE"""),"ФПК")</f>
        <v>ФПК</v>
      </c>
      <c r="E1108" s="6" t="str">
        <f>IFERROR(__xludf.DUMMYFUNCTION("""COMPUTED_VALUE"""),"ТРЦ Гринвич и ВСЕ!")</f>
        <v>ТРЦ Гринвич и ВСЕ!</v>
      </c>
      <c r="F1108" s="6" t="str">
        <f>IFERROR(__xludf.DUMMYFUNCTION("""COMPUTED_VALUE"""),"Живу здесь с рождения")</f>
        <v>Живу здесь с рождения</v>
      </c>
      <c r="G1108" s="6" t="str">
        <f>IFERROR(__xludf.DUMMYFUNCTION("""COMPUTED_VALUE"""),"Сосновый Бор на Радуге; Набережная; Весенняя;")</f>
        <v>Сосновый Бор на Радуге; Набережная; Весенняя;</v>
      </c>
      <c r="H1108" s="6" t="str">
        <f>IFERROR(__xludf.DUMMYFUNCTION("""COMPUTED_VALUE"""),"Ухоженный, Логичный по структуре, Загазованный, Промышленный, Безликий по изюминкам (кроме поляны).")</f>
        <v>Ухоженный, Логичный по структуре, Загазованный, Промышленный, Безликий по изюминкам (кроме поляны).</v>
      </c>
      <c r="I1108" s="6" t="str">
        <f>IFERROR(__xludf.DUMMYFUNCTION("""COMPUTED_VALUE"""),"Михайлов В В. ")</f>
        <v>Михайлов В В. </v>
      </c>
      <c r="J1108" s="6" t="str">
        <f>IFERROR(__xludf.DUMMYFUNCTION("""COMPUTED_VALUE"""),"-")</f>
        <v>-</v>
      </c>
      <c r="K1108" s="6" t="str">
        <f>IFERROR(__xludf.DUMMYFUNCTION("""COMPUTED_VALUE"""),"Фигуры на Ул Весенняя, ")</f>
        <v>Фигуры на Ул Весенняя, </v>
      </c>
      <c r="L1108" s="6" t="str">
        <f>IFERROR(__xludf.DUMMYFUNCTION("""COMPUTED_VALUE"""),"-")</f>
        <v>-</v>
      </c>
      <c r="M1108" s="6" t="str">
        <f>IFERROR(__xludf.DUMMYFUNCTION("""COMPUTED_VALUE"""),"-")</f>
        <v>-</v>
      </c>
      <c r="N1108" s="6" t="str">
        <f>IFERROR(__xludf.DUMMYFUNCTION("""COMPUTED_VALUE"""),"Экология, Рабочие места и платёжеспособность, Красивая архитектура, Логичность и исполнение регламентов в застройке и эксплуатации, Парки в каждом районе.")</f>
        <v>Экология, Рабочие места и платёжеспособность, Красивая архитектура, Логичность и исполнение регламентов в застройке и эксплуатации, Парки в каждом районе.</v>
      </c>
      <c r="O1108" s="6" t="str">
        <f>IFERROR(__xludf.DUMMYFUNCTION("""COMPUTED_VALUE"""),"Экологию и создание рабочих мест.")</f>
        <v>Экологию и создание рабочих мест.</v>
      </c>
      <c r="P1108" s="6" t="str">
        <f>IFERROR(__xludf.DUMMYFUNCTION("""COMPUTED_VALUE"""),"Различный контент.")</f>
        <v>Различный контент.</v>
      </c>
      <c r="Q1108"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108" s="6" t="str">
        <f>IFERROR(__xludf.DUMMYFUNCTION("""COMPUTED_VALUE"""),"День города.")</f>
        <v>День города.</v>
      </c>
      <c r="S1108" s="6" t="str">
        <f>IFERROR(__xludf.DUMMYFUNCTION("""COMPUTED_VALUE"""),"Нет, не приходилось")</f>
        <v>Нет, не приходилось</v>
      </c>
      <c r="T1108" s="6" t="str">
        <f>IFERROR(__xludf.DUMMYFUNCTION("""COMPUTED_VALUE"""),"Сосновым бором. Самым большим лесной массив в центре города в мире!")</f>
        <v>Сосновым бором. Самым большим лесной массив в центре города в мире!</v>
      </c>
      <c r="U1108" s="6" t="str">
        <f>IFERROR(__xludf.DUMMYFUNCTION("""COMPUTED_VALUE"""),"Улица Весенняя, Набережная, Театр ДрамыФилармония.")</f>
        <v>Улица Весенняя, Набережная, Театр ДрамыФилармония.</v>
      </c>
      <c r="V1108" s="6" t="str">
        <f>IFERROR(__xludf.DUMMYFUNCTION("""COMPUTED_VALUE"""),"-")</f>
        <v>-</v>
      </c>
      <c r="W1108" s="6" t="str">
        <f>IFERROR(__xludf.DUMMYFUNCTION("""COMPUTED_VALUE"""),"Трудолюбивые, надежные!")</f>
        <v>Трудолюбивые, надежные!</v>
      </c>
      <c r="X1108" s="6" t="str">
        <f>IFERROR(__xludf.DUMMYFUNCTION("""COMPUTED_VALUE"""),"Центр- Притомский- Бульвар строителей- Комсомольский-Пр Ленина.")</f>
        <v>Центр- Притомский- Бульвар строителей- Комсомольский-Пр Ленина.</v>
      </c>
      <c r="Y1108" s="6" t="str">
        <f>IFERROR(__xludf.DUMMYFUNCTION("""COMPUTED_VALUE"""),"Выделение денежных средств на Кластер.")</f>
        <v>Выделение денежных средств на Кластер.</v>
      </c>
      <c r="Z1108" s="6" t="str">
        <f>IFERROR(__xludf.DUMMYFUNCTION("""COMPUTED_VALUE"""),"-")</f>
        <v>-</v>
      </c>
      <c r="AA1108" s="6" t="str">
        <f>IFERROR(__xludf.DUMMYFUNCTION("""COMPUTED_VALUE"""),"-")</f>
        <v>-</v>
      </c>
      <c r="AB1108" s="6" t="str">
        <f>IFERROR(__xludf.DUMMYFUNCTION("""COMPUTED_VALUE"""),"-")</f>
        <v>-</v>
      </c>
      <c r="AC1108" s="6" t="str">
        <f>IFERROR(__xludf.DUMMYFUNCTION("""COMPUTED_VALUE"""),"Создание рабочих мест и длинные денежные займы для мелкого и среднего бизнеса.")</f>
        <v>Создание рабочих мест и длинные денежные займы для мелкого и среднего бизнеса.</v>
      </c>
      <c r="AD1108"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108" s="6" t="str">
        <f>IFERROR(__xludf.DUMMYFUNCTION("""COMPUTED_VALUE"""),"Мужской")</f>
        <v>Мужской</v>
      </c>
      <c r="AF1108" s="6" t="str">
        <f>IFERROR(__xludf.DUMMYFUNCTION("""COMPUTED_VALUE"""),"45-55")</f>
        <v>45-55</v>
      </c>
      <c r="AG1108" s="6"/>
      <c r="AH1108" s="6"/>
      <c r="AI1108" s="6"/>
      <c r="AJ1108" s="6"/>
      <c r="AK1108" s="6"/>
      <c r="AL1108" s="6"/>
      <c r="AM1108" s="6"/>
    </row>
    <row r="1109">
      <c r="A1109" s="6">
        <v>1108.0</v>
      </c>
      <c r="B1109" s="6" t="str">
        <f>IFERROR(__xludf.DUMMYFUNCTION("""COMPUTED_VALUE"""),"Разнообразная. Являюсь наемник работником. ")</f>
        <v>Разнообразная. Являюсь наемник работником. </v>
      </c>
      <c r="C1109" s="6" t="str">
        <f>IFERROR(__xludf.DUMMYFUNCTION("""COMPUTED_VALUE"""),"Да, есть. Шью вещи, создаю планеры, изучаю астрологию.")</f>
        <v>Да, есть. Шью вещи, создаю планеры, изучаю астрологию.</v>
      </c>
      <c r="D1109" s="6" t="str">
        <f>IFERROR(__xludf.DUMMYFUNCTION("""COMPUTED_VALUE"""),"В кировском. Кировский.")</f>
        <v>В кировском. Кировский.</v>
      </c>
      <c r="E1109" s="6" t="str">
        <f>IFERROR(__xludf.DUMMYFUNCTION("""COMPUTED_VALUE"""),"Березовая роща. ")</f>
        <v>Березовая роща. </v>
      </c>
      <c r="F1109" s="6" t="str">
        <f>IFERROR(__xludf.DUMMYFUNCTION("""COMPUTED_VALUE"""),"Живу здесь с рождения")</f>
        <v>Живу здесь с рождения</v>
      </c>
      <c r="G1109" s="6" t="str">
        <f>IFERROR(__xludf.DUMMYFUNCTION("""COMPUTED_VALUE"""),"Кафе, набережная, кино, парки. ")</f>
        <v>Кафе, набережная, кино, парки. </v>
      </c>
      <c r="H1109" s="6" t="str">
        <f>IFERROR(__xludf.DUMMYFUNCTION("""COMPUTED_VALUE"""),"Родной дом
Кузбасс
Тайга
Шахты и разрезы
Онкология")</f>
        <v>Родной дом
Кузбасс
Тайга
Шахты и разрезы
Онкология</v>
      </c>
      <c r="I1109" s="6" t="str">
        <f>IFERROR(__xludf.DUMMYFUNCTION("""COMPUTED_VALUE"""),"Алексей Леонов
Вера Волошина 
")</f>
        <v>Алексей Леонов
Вера Волошина 
</v>
      </c>
      <c r="J1109" s="6" t="str">
        <f>IFERROR(__xludf.DUMMYFUNCTION("""COMPUTED_VALUE"""),"Аман Гумирович Тулеев")</f>
        <v>Аман Гумирович Тулеев</v>
      </c>
      <c r="K1109" s="6" t="str">
        <f>IFERROR(__xludf.DUMMYFUNCTION("""COMPUTED_VALUE"""),"Томская писанница
")</f>
        <v>Томская писанница
</v>
      </c>
      <c r="L1109" s="6" t="str">
        <f>IFERROR(__xludf.DUMMYFUNCTION("""COMPUTED_VALUE"""),"Чужая душа-потёмки
Тайга да километры.. ")</f>
        <v>Чужая душа-потёмки
Тайга да километры.. </v>
      </c>
      <c r="M1109" s="6" t="str">
        <f>IFERROR(__xludf.DUMMYFUNCTION("""COMPUTED_VALUE"""),"Пж-пожалуйста 
Горошница, толченка-гороховое, картофельное пюре
Кикнули-выкинули с игры")</f>
        <v>Пж-пожалуйста 
Горошница, толченка-гороховое, картофельное пюре
Кикнули-выкинули с игры</v>
      </c>
      <c r="N1109" s="6" t="str">
        <f>IFERROR(__xludf.DUMMYFUNCTION("""COMPUTED_VALUE"""),"Доступность маршруток, разных продуктов")</f>
        <v>Доступность маршруток, разных продуктов</v>
      </c>
      <c r="O1109" s="6" t="str">
        <f>IFERROR(__xludf.DUMMYFUNCTION("""COMPUTED_VALUE"""),"Уменьшить до минимума выбросов канц-ов,чтоьы воздух стал чище
Увеличить зарплаты, которые так и не индексировались у некоторых
Уменьшить оплату жкх или же отремонтировать дворы и поставить хотя бы 1 качелю
")</f>
        <v>Уменьшить до минимума выбросов канц-ов,чтоьы воздух стал чище
Увеличить зарплаты, которые так и не индексировались у некоторых
Уменьшить оплату жкх или же отремонтировать дворы и поставить хотя бы 1 качелю
</v>
      </c>
      <c r="P1109" s="6" t="str">
        <f>IFERROR(__xludf.DUMMYFUNCTION("""COMPUTED_VALUE"""),"Инстаграм
Инцидент Кузбасс
Кузбасс ньюс
Кемерово Сити")</f>
        <v>Инстаграм
Инцидент Кузбасс
Кузбасс ньюс
Кемерово Сити</v>
      </c>
      <c r="Q110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новости про новые профессии/куда поступать/вакан"&amp;"сии, бизнес-новости (средний чек/рекламные акции/запуск новых предприятий), Когда откроют границы?Когда будет окончен Ковид ")</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Когда откроют границы?Когда будет окончен Ковид </v>
      </c>
      <c r="R1109" s="6" t="str">
        <f>IFERROR(__xludf.DUMMYFUNCTION("""COMPUTED_VALUE"""),"День города
Масленица 
Пасха
День победы
")</f>
        <v>День города
Масленица 
Пасха
День победы
</v>
      </c>
      <c r="S1109" s="6" t="str">
        <f>IFERROR(__xludf.DUMMYFUNCTION("""COMPUTED_VALUE"""),"Нет, не приходилось")</f>
        <v>Нет, не приходилось</v>
      </c>
      <c r="T1109" s="6" t="str">
        <f>IFERROR(__xludf.DUMMYFUNCTION("""COMPUTED_VALUE"""),"Известен шахтами. Тайга, медведи,зима.")</f>
        <v>Известен шахтами. Тайга, медведи,зима.</v>
      </c>
      <c r="U1109" s="6" t="str">
        <f>IFERROR(__xludf.DUMMYFUNCTION("""COMPUTED_VALUE"""),"Городская набережная ")</f>
        <v>Городская набережная </v>
      </c>
      <c r="V1109" s="6" t="str">
        <f>IFERROR(__xludf.DUMMYFUNCTION("""COMPUTED_VALUE"""),"Посадили много деревьев 
")</f>
        <v>Посадили много деревьев 
</v>
      </c>
      <c r="W1109" s="6" t="str">
        <f>IFERROR(__xludf.DUMMYFUNCTION("""COMPUTED_VALUE"""),"Неунывающие,замерзшие😂т. к. зима близко, веселые.")</f>
        <v>Неунывающие,замерзшие😂т. к. зима близко, веселые.</v>
      </c>
      <c r="X1109" s="6" t="str">
        <f>IFERROR(__xludf.DUMMYFUNCTION("""COMPUTED_VALUE"""),"Томская писанница ")</f>
        <v>Томская писанница </v>
      </c>
      <c r="Y1109" s="6" t="str">
        <f>IFERROR(__xludf.DUMMYFUNCTION("""COMPUTED_VALUE"""),"1932г из Щегловска в Кемерово")</f>
        <v>1932г из Щегловска в Кемерово</v>
      </c>
      <c r="Z1109" s="6" t="str">
        <f>IFERROR(__xludf.DUMMYFUNCTION("""COMPUTED_VALUE"""),"Именно в городе не было, был Ковид, массочный режим и изоляция. ")</f>
        <v>Именно в городе не было, был Ковид, массочный режим и изоляция. </v>
      </c>
      <c r="AA1109" s="6" t="str">
        <f>IFERROR(__xludf.DUMMYFUNCTION("""COMPUTED_VALUE"""),"Закрылись границы, закрылись кафе,кто-то украл лавки с набережной 🤔")</f>
        <v>Закрылись границы, закрылись кафе,кто-то украл лавки с набережной 🤔</v>
      </c>
      <c r="AB1109" s="6" t="str">
        <f>IFERROR(__xludf.DUMMYFUNCTION("""COMPUTED_VALUE"""),"Не могу сказать ")</f>
        <v>Не могу сказать </v>
      </c>
      <c r="AC1109" s="6" t="str">
        <f>IFERROR(__xludf.DUMMYFUNCTION("""COMPUTED_VALUE"""),"Открытие границ 
")</f>
        <v>Открытие границ 
</v>
      </c>
      <c r="AD110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09" s="6" t="str">
        <f>IFERROR(__xludf.DUMMYFUNCTION("""COMPUTED_VALUE"""),"Женский")</f>
        <v>Женский</v>
      </c>
      <c r="AF1109" s="6" t="str">
        <f>IFERROR(__xludf.DUMMYFUNCTION("""COMPUTED_VALUE"""),"30-44")</f>
        <v>30-44</v>
      </c>
      <c r="AG1109" s="6"/>
      <c r="AH1109" s="6"/>
      <c r="AI1109" s="6"/>
      <c r="AJ1109" s="6"/>
      <c r="AK1109" s="6"/>
      <c r="AL1109" s="6"/>
      <c r="AM1109" s="6"/>
    </row>
    <row r="1110">
      <c r="A1110" s="6">
        <v>1109.0</v>
      </c>
      <c r="B1110" s="6" t="str">
        <f>IFERROR(__xludf.DUMMYFUNCTION("""COMPUTED_VALUE"""),"Не работаю, сижу дома")</f>
        <v>Не работаю, сижу дома</v>
      </c>
      <c r="C1110" s="6" t="str">
        <f>IFERROR(__xludf.DUMMYFUNCTION("""COMPUTED_VALUE"""),"Гуляю, читаю, интересуюсь искусством, историей, дизайном, хожу на квизы ")</f>
        <v>Гуляю, читаю, интересуюсь искусством, историей, дизайном, хожу на квизы </v>
      </c>
      <c r="D1110" s="6" t="str">
        <f>IFERROR(__xludf.DUMMYFUNCTION("""COMPUTED_VALUE"""),"Центральный; центр")</f>
        <v>Центральный; центр</v>
      </c>
      <c r="E1110" s="6" t="str">
        <f>IFERROR(__xludf.DUMMYFUNCTION("""COMPUTED_VALUE"""),"Набережная, фонтан, парк чудес, площадь советов, площадь Пушкина, орбита, цирк, весенняя улица, драмтеатр")</f>
        <v>Набережная, фонтан, парк чудес, площадь советов, площадь Пушкина, орбита, цирк, весенняя улица, драмтеатр</v>
      </c>
      <c r="F1110" s="6" t="str">
        <f>IFERROR(__xludf.DUMMYFUNCTION("""COMPUTED_VALUE"""),"Живу здесь с рождения")</f>
        <v>Живу здесь с рождения</v>
      </c>
      <c r="G1110" s="6" t="str">
        <f>IFERROR(__xludf.DUMMYFUNCTION("""COMPUTED_VALUE"""),"Гуляю по центру")</f>
        <v>Гуляю по центру</v>
      </c>
      <c r="H1110" s="6" t="str">
        <f>IFERROR(__xludf.DUMMYFUNCTION("""COMPUTED_VALUE"""),"Зелёный, компактный, провинция, ебеня (простите), застойный")</f>
        <v>Зелёный, компактный, провинция, ебеня (простите), застойный</v>
      </c>
      <c r="I1110" s="6" t="str">
        <f>IFERROR(__xludf.DUMMYFUNCTION("""COMPUTED_VALUE"""),"Рутгерс; Ван Лохем")</f>
        <v>Рутгерс; Ван Лохем</v>
      </c>
      <c r="J1110" s="6" t="str">
        <f>IFERROR(__xludf.DUMMYFUNCTION("""COMPUTED_VALUE"""),"Ольга Васильева (внутрииснаружи); Сухацкий; Ирина Захарова")</f>
        <v>Ольга Васильева (внутрииснаружи); Сухацкий; Ирина Захарова</v>
      </c>
      <c r="K1110" s="6" t="str">
        <f>IFERROR(__xludf.DUMMYFUNCTION("""COMPUTED_VALUE"""),"Красная горка, сосновый Бор, весь центр, лесная поляна, старая пристань")</f>
        <v>Красная горка, сосновый Бор, весь центр, лесная поляна, старая пристань</v>
      </c>
      <c r="L1110" s="6" t="str">
        <f>IFERROR(__xludf.DUMMYFUNCTION("""COMPUTED_VALUE"""),"История про бегемота в искитимке; старая история из газет про Томь-разлучницу ")</f>
        <v>История про бегемота в искитимке; старая история из газет про Томь-разлучницу </v>
      </c>
      <c r="M1110" s="6" t="str">
        <f>IFERROR(__xludf.DUMMYFUNCTION("""COMPUTED_VALUE"""),"Нет")</f>
        <v>Нет</v>
      </c>
      <c r="N1110" s="6" t="str">
        <f>IFERROR(__xludf.DUMMYFUNCTION("""COMPUTED_VALUE"""),"Много зелени, хорошо развитый общественный транспорт (желательно с метро), отсутсвие пробок, сохранность исторического наследия")</f>
        <v>Много зелени, хорошо развитый общественный транспорт (желательно с метро), отсутсвие пробок, сохранность исторического наследия</v>
      </c>
      <c r="O1110" s="6" t="str">
        <f>IFERROR(__xludf.DUMMYFUNCTION("""COMPUTED_VALUE"""),"Помогать бездомным животным")</f>
        <v>Помогать бездомным животным</v>
      </c>
      <c r="P1110" s="6" t="str">
        <f>IFERROR(__xludf.DUMMYFUNCTION("""COMPUTED_VALUE"""),"Инстаграм, друзья")</f>
        <v>Инстаграм, друзья</v>
      </c>
      <c r="Q1110" s="6" t="str">
        <f>IFERROR(__xludf.DUMMYFUNCTION("""COMPUTED_VALUE"""),"куда пойти в свободное время, где вкусно поесть/открытие новых кафе/ресторанов, интервью с местными творческими личностями")</f>
        <v>куда пойти в свободное время, где вкусно поесть/открытие новых кафе/ресторанов, интервью с местными творческими личностями</v>
      </c>
      <c r="R1110" s="6" t="str">
        <f>IFERROR(__xludf.DUMMYFUNCTION("""COMPUTED_VALUE"""),"День города")</f>
        <v>День города</v>
      </c>
      <c r="S1110" s="6" t="str">
        <f>IFERROR(__xludf.DUMMYFUNCTION("""COMPUTED_VALUE"""),"Нет, не приходилось")</f>
        <v>Нет, не приходилось</v>
      </c>
      <c r="T1110" s="6" t="str">
        <f>IFERROR(__xludf.DUMMYFUNCTION("""COMPUTED_VALUE"""),"Уникальна история АИК Кузбасс ")</f>
        <v>Уникальна история АИК Кузбасс </v>
      </c>
      <c r="U1110" s="6" t="str">
        <f>IFERROR(__xludf.DUMMYFUNCTION("""COMPUTED_VALUE"""),"Площадь советов, советский проспект")</f>
        <v>Площадь советов, советский проспект</v>
      </c>
      <c r="V1110" s="6" t="str">
        <f>IFERROR(__xludf.DUMMYFUNCTION("""COMPUTED_VALUE"""),"Строили и расширяли город")</f>
        <v>Строили и расширяли город</v>
      </c>
      <c r="W1110" s="6" t="str">
        <f>IFERROR(__xludf.DUMMYFUNCTION("""COMPUTED_VALUE"""),"Типичные провинциалы, много хамов ")</f>
        <v>Типичные провинциалы, много хамов </v>
      </c>
      <c r="X1110" s="6" t="str">
        <f>IFERROR(__xludf.DUMMYFUNCTION("""COMPUTED_VALUE"""),"От филармонии по набережной до горсада, по Кирова на советский, потом до весенней ")</f>
        <v>От филармонии по набережной до горсада, по Кирова на советский, потом до весенней </v>
      </c>
      <c r="Y1110" s="6" t="str">
        <f>IFERROR(__xludf.DUMMYFUNCTION("""COMPUTED_VALUE"""),"К сожалению, пожар в зимней вишне")</f>
        <v>К сожалению, пожар в зимней вишне</v>
      </c>
      <c r="Z1110" s="6" t="str">
        <f>IFERROR(__xludf.DUMMYFUNCTION("""COMPUTED_VALUE"""),"Волейбольная команда Кузбасс стала чемпионом России")</f>
        <v>Волейбольная команда Кузбасс стала чемпионом России</v>
      </c>
      <c r="AA1110" s="6" t="str">
        <f>IFERROR(__xludf.DUMMYFUNCTION("""COMPUTED_VALUE"""),"Загазованность, режим чёрного неба, закрытие Лазурного")</f>
        <v>Загазованность, режим чёрного неба, закрытие Лазурного</v>
      </c>
      <c r="AB1110" s="6" t="str">
        <f>IFERROR(__xludf.DUMMYFUNCTION("""COMPUTED_VALUE"""),"Больше экологических и исторических, волонтёрских, зоозащита")</f>
        <v>Больше экологических и исторических, волонтёрских, зоозащита</v>
      </c>
      <c r="AC1110" s="6" t="str">
        <f>IFERROR(__xludf.DUMMYFUNCTION("""COMPUTED_VALUE"""),"Больше концептов известных исполнителей, гастроли театров, просветительством в вопросах экологии, политики и экономики")</f>
        <v>Больше концептов известных исполнителей, гастроли театров, просветительством в вопросах экологии, политики и экономики</v>
      </c>
      <c r="AD1110"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110" s="6" t="str">
        <f>IFERROR(__xludf.DUMMYFUNCTION("""COMPUTED_VALUE"""),"Женский")</f>
        <v>Женский</v>
      </c>
      <c r="AF1110" s="6" t="str">
        <f>IFERROR(__xludf.DUMMYFUNCTION("""COMPUTED_VALUE"""),"18-29")</f>
        <v>18-29</v>
      </c>
      <c r="AG1110" s="6"/>
      <c r="AH1110" s="6"/>
      <c r="AI1110" s="6"/>
      <c r="AJ1110" s="6"/>
      <c r="AK1110" s="6"/>
      <c r="AL1110" s="6"/>
      <c r="AM1110" s="6"/>
    </row>
    <row r="1111">
      <c r="A1111" s="6">
        <v>1110.0</v>
      </c>
      <c r="B1111" s="6" t="str">
        <f>IFERROR(__xludf.DUMMYFUNCTION("""COMPUTED_VALUE"""),"рабочий")</f>
        <v>рабочий</v>
      </c>
      <c r="C1111" s="6" t="str">
        <f>IFERROR(__xludf.DUMMYFUNCTION("""COMPUTED_VALUE"""),"кулинария")</f>
        <v>кулинария</v>
      </c>
      <c r="D1111" s="6" t="str">
        <f>IFERROR(__xludf.DUMMYFUNCTION("""COMPUTED_VALUE"""),"кировский")</f>
        <v>кировский</v>
      </c>
      <c r="E1111" s="6" t="str">
        <f>IFERROR(__xludf.DUMMYFUNCTION("""COMPUTED_VALUE"""),"березовая рощя набережная")</f>
        <v>березовая рощя набережная</v>
      </c>
      <c r="F1111" s="6" t="str">
        <f>IFERROR(__xludf.DUMMYFUNCTION("""COMPUTED_VALUE"""),"Живу здесь с рождения")</f>
        <v>Живу здесь с рождения</v>
      </c>
      <c r="G1111" s="6" t="str">
        <f>IFERROR(__xludf.DUMMYFUNCTION("""COMPUTED_VALUE"""),"набережная")</f>
        <v>набережная</v>
      </c>
      <c r="H1111" s="6" t="str">
        <f>IFERROR(__xludf.DUMMYFUNCTION("""COMPUTED_VALUE"""),"азот кокс уголь томь разрез")</f>
        <v>азот кокс уголь томь разрез</v>
      </c>
      <c r="I1111" s="6" t="str">
        <f>IFERROR(__xludf.DUMMYFUNCTION("""COMPUTED_VALUE"""),"Мурасеевы Нина Аркадьевна и Лев Петрович ")</f>
        <v>Мурасеевы Нина Аркадьевна и Лев Петрович </v>
      </c>
      <c r="J1111" s="6" t="str">
        <f>IFERROR(__xludf.DUMMYFUNCTION("""COMPUTED_VALUE"""),"Евгений Гришковец Елена Малышева Аман Тулеев")</f>
        <v>Евгений Гришковец Елена Малышева Аман Тулеев</v>
      </c>
      <c r="K1111" s="6" t="str">
        <f>IFERROR(__xludf.DUMMYFUNCTION("""COMPUTED_VALUE"""),"Памятник шахтеру Эрнста Неизвестного красную горку набережнуые ")</f>
        <v>Памятник шахтеру Эрнста Неизвестного красную горку набережнуые </v>
      </c>
      <c r="L1111" s="6" t="str">
        <f>IFERROR(__xludf.DUMMYFUNCTION("""COMPUTED_VALUE"""),"все русские пословицы")</f>
        <v>все русские пословицы</v>
      </c>
      <c r="M1111" s="6" t="str">
        <f>IFERROR(__xludf.DUMMYFUNCTION("""COMPUTED_VALUE"""),"едим подорожники а все прикладывают к ранкам")</f>
        <v>едим подорожники а все прикладывают к ранкам</v>
      </c>
      <c r="N1111" s="6" t="str">
        <f>IFERROR(__xludf.DUMMYFUNCTION("""COMPUTED_VALUE"""),"1. хороший общественный транспорт 2. нормальные дороги чистые 3. чищенные непыльные улицы 4. правильно сделанные газоны - отсутствие открытого грунта 5. современная грамотная система очистки и отвода ливневых потоков")</f>
        <v>1. хороший общественный транспорт 2. нормальные дороги чистые 3. чищенные непыльные улицы 4. правильно сделанные газоны - отсутствие открытого грунта 5. современная грамотная система очистки и отвода ливневых потоков</v>
      </c>
      <c r="O1111" s="6" t="str">
        <f>IFERROR(__xludf.DUMMYFUNCTION("""COMPUTED_VALUE"""),"Избавится от запыленности, модернизировать очистные сооружения городских сточных вод (запах от этих резервуаров на весь город)")</f>
        <v>Избавится от запыленности, модернизировать очистные сооружения городских сточных вод (запах от этих резервуаров на весь город)</v>
      </c>
      <c r="P1111" s="6" t="str">
        <f>IFERROR(__xludf.DUMMYFUNCTION("""COMPUTED_VALUE"""),"Твиттер")</f>
        <v>Твиттер</v>
      </c>
      <c r="Q1111" s="6" t="str">
        <f>IFERROR(__xludf.DUMMYFUNCTION("""COMPUTED_VALUE"""),"городская афиша (кино/театр/концерты), криминальные новости (происшествия/преступления)")</f>
        <v>городская афиша (кино/театр/концерты), криминальные новости (происшествия/преступления)</v>
      </c>
      <c r="R1111" s="6" t="str">
        <f>IFERROR(__xludf.DUMMYFUNCTION("""COMPUTED_VALUE"""),"День химика день шахтера")</f>
        <v>День химика день шахтера</v>
      </c>
      <c r="S1111" s="6" t="str">
        <f>IFERROR(__xludf.DUMMYFUNCTION("""COMPUTED_VALUE"""),"Нет, не приходилось")</f>
        <v>Нет, не приходилось</v>
      </c>
      <c r="T1111" s="6" t="str">
        <f>IFERROR(__xludf.DUMMYFUNCTION("""COMPUTED_VALUE"""),"зимняя вишня к сожалению")</f>
        <v>зимняя вишня к сожалению</v>
      </c>
      <c r="U1111" s="6" t="str">
        <f>IFERROR(__xludf.DUMMYFUNCTION("""COMPUTED_VALUE"""),"Фонтан и драмтеатр")</f>
        <v>Фонтан и драмтеатр</v>
      </c>
      <c r="V1111" s="6" t="str">
        <f>IFERROR(__xludf.DUMMYFUNCTION("""COMPUTED_VALUE"""),"Традиционно неплохие дороги но до мировых стандартов очень далеки")</f>
        <v>Традиционно неплохие дороги но до мировых стандартов очень далеки</v>
      </c>
      <c r="W1111" s="6" t="str">
        <f>IFERROR(__xludf.DUMMYFUNCTION("""COMPUTED_VALUE"""),"Трудолюбивые доброжелательные умные интересные люди")</f>
        <v>Трудолюбивые доброжелательные умные интересные люди</v>
      </c>
      <c r="X1111" s="6" t="str">
        <f>IFERROR(__xludf.DUMMYFUNCTION("""COMPUTED_VALUE"""),"Центр города")</f>
        <v>Центр города</v>
      </c>
      <c r="Y1111" s="6" t="str">
        <f>IFERROR(__xludf.DUMMYFUNCTION("""COMPUTED_VALUE"""),"Рок фестиваль")</f>
        <v>Рок фестиваль</v>
      </c>
      <c r="Z1111" s="6" t="str">
        <f>IFERROR(__xludf.DUMMYFUNCTION("""COMPUTED_VALUE"""),"рок фестиваль")</f>
        <v>рок фестиваль</v>
      </c>
      <c r="AA1111" s="6" t="str">
        <f>IFERROR(__xludf.DUMMYFUNCTION("""COMPUTED_VALUE"""),"зимняя вишня")</f>
        <v>зимняя вишня</v>
      </c>
      <c r="AB1111" s="6" t="str">
        <f>IFERROR(__xludf.DUMMYFUNCTION("""COMPUTED_VALUE"""),"независимых СМИ")</f>
        <v>независимых СМИ</v>
      </c>
      <c r="AC1111" s="6" t="str">
        <f>IFERROR(__xludf.DUMMYFUNCTION("""COMPUTED_VALUE"""),"Концерты фестивали ")</f>
        <v>Концерты фестивали </v>
      </c>
      <c r="AD1111" s="6" t="str">
        <f>IFERROR(__xludf.DUMMYFUNCTION("""COMPUTED_VALUE"""),"Благодарного зрителя")</f>
        <v>Благодарного зрителя</v>
      </c>
      <c r="AE1111" s="6" t="str">
        <f>IFERROR(__xludf.DUMMYFUNCTION("""COMPUTED_VALUE"""),"Женский")</f>
        <v>Женский</v>
      </c>
      <c r="AF1111" s="6" t="str">
        <f>IFERROR(__xludf.DUMMYFUNCTION("""COMPUTED_VALUE"""),"45-55")</f>
        <v>45-55</v>
      </c>
      <c r="AG1111" s="6"/>
      <c r="AH1111" s="6"/>
      <c r="AI1111" s="6"/>
      <c r="AJ1111" s="6"/>
      <c r="AK1111" s="6"/>
      <c r="AL1111" s="6"/>
      <c r="AM1111" s="6"/>
    </row>
    <row r="1112">
      <c r="A1112" s="6">
        <v>1111.0</v>
      </c>
      <c r="B1112" s="6" t="str">
        <f>IFERROR(__xludf.DUMMYFUNCTION("""COMPUTED_VALUE"""),"Юрист")</f>
        <v>Юрист</v>
      </c>
      <c r="C1112" s="6" t="str">
        <f>IFERROR(__xludf.DUMMYFUNCTION("""COMPUTED_VALUE"""),"Фитнес ")</f>
        <v>Фитнес </v>
      </c>
      <c r="D1112" s="6" t="str">
        <f>IFERROR(__xludf.DUMMYFUNCTION("""COMPUTED_VALUE"""),"Фпк")</f>
        <v>Фпк</v>
      </c>
      <c r="E1112" s="6" t="str">
        <f>IFERROR(__xludf.DUMMYFUNCTION("""COMPUTED_VALUE"""),"Трц Гринвич, ледовый дворец Кемерово, Юридический институт")</f>
        <v>Трц Гринвич, ледовый дворец Кемерово, Юридический институт</v>
      </c>
      <c r="F1112" s="6" t="str">
        <f>IFERROR(__xludf.DUMMYFUNCTION("""COMPUTED_VALUE"""),"Живу здесь с рождения")</f>
        <v>Живу здесь с рождения</v>
      </c>
      <c r="G1112" s="6" t="str">
        <f>IFERROR(__xludf.DUMMYFUNCTION("""COMPUTED_VALUE"""),"Театр, центр города, сосновый бор, Комсомольский парк")</f>
        <v>Театр, центр города, сосновый бор, Комсомольский парк</v>
      </c>
      <c r="H1112" s="6" t="str">
        <f>IFERROR(__xludf.DUMMYFUNCTION("""COMPUTED_VALUE"""),"Уголь, химия, пыль, театр Ложа, зимняя вишня")</f>
        <v>Уголь, химия, пыль, театр Ложа, зимняя вишня</v>
      </c>
      <c r="I1112" s="6" t="str">
        <f>IFERROR(__xludf.DUMMYFUNCTION("""COMPUTED_VALUE"""),"Рутгерс, Ван Лохем, Эрнест Мэй, Эрнст Неизвестный, Мартемьянов, Алексей Леонов, Георгий Бурков")</f>
        <v>Рутгерс, Ван Лохем, Эрнест Мэй, Эрнст Неизвестный, Мартемьянов, Алексей Леонов, Георгий Бурков</v>
      </c>
      <c r="J1112" s="6" t="str">
        <f>IFERROR(__xludf.DUMMYFUNCTION("""COMPUTED_VALUE"""),"Заузелков, Владимир Михайлов, Гришковец")</f>
        <v>Заузелков, Владимир Михайлов, Гришковец</v>
      </c>
      <c r="K1112" s="6" t="str">
        <f>IFERROR(__xludf.DUMMYFUNCTION("""COMPUTED_VALUE"""),"Музей Красная Горка, сосновый бор, центр города, томская писаница ")</f>
        <v>Музей Красная Горка, сосновый бор, центр города, томская писаница </v>
      </c>
      <c r="L1112" s="6" t="str">
        <f>IFERROR(__xludf.DUMMYFUNCTION("""COMPUTED_VALUE"""),"Весна покажет, кто где срал")</f>
        <v>Весна покажет, кто где срал</v>
      </c>
      <c r="M1112" s="6" t="str">
        <f>IFERROR(__xludf.DUMMYFUNCTION("""COMPUTED_VALUE"""),"Кузбассить ")</f>
        <v>Кузбассить </v>
      </c>
      <c r="N1112" s="6" t="str">
        <f>IFERROR(__xludf.DUMMYFUNCTION("""COMPUTED_VALUE"""),"Климат, экология, наличие мест культурного досуга (театры, парки), сталинская архитектура, доступность общественного транспорта")</f>
        <v>Климат, экология, наличие мест культурного досуга (театры, парки), сталинская архитектура, доступность общественного транспорта</v>
      </c>
      <c r="O1112" s="6" t="str">
        <f>IFERROR(__xludf.DUMMYFUNCTION("""COMPUTED_VALUE"""),"Сделать объездную дорогу, изменить озеленение так, чтоб меньше было перемещения земли и пыли, сделать набережную и благоустроить территорию непосредственно возле реки, развивать общественный транспорт, трамваи, газификация города")</f>
        <v>Сделать объездную дорогу, изменить озеленение так, чтоб меньше было перемещения земли и пыли, сделать набережную и благоустроить территорию непосредственно возле реки, развивать общественный транспорт, трамваи, газификация города</v>
      </c>
      <c r="P1112" s="6" t="str">
        <f>IFERROR(__xludf.DUMMYFUNCTION("""COMPUTED_VALUE"""),"Вконтакте, Инстаграмм, КузбассОнлайн")</f>
        <v>Вконтакте, Инстаграмм, КузбассОнлайн</v>
      </c>
      <c r="Q1112" s="6" t="str">
        <f>IFERROR(__xludf.DUMMYFUNCTION("""COMPUTED_VALUE"""),"куда пойти в свободное время, интервью с местными творческими личностями, интервью с местными предпринимателями")</f>
        <v>куда пойти в свободное время, интервью с местными творческими личностями, интервью с местными предпринимателями</v>
      </c>
      <c r="R1112" s="6" t="str">
        <f>IFERROR(__xludf.DUMMYFUNCTION("""COMPUTED_VALUE"""),"9 мая")</f>
        <v>9 мая</v>
      </c>
      <c r="S1112" s="6" t="str">
        <f>IFERROR(__xludf.DUMMYFUNCTION("""COMPUTED_VALUE"""),"Нет, не приходилось")</f>
        <v>Нет, не приходилось</v>
      </c>
      <c r="T1112" s="6" t="str">
        <f>IFERROR(__xludf.DUMMYFUNCTION("""COMPUTED_VALUE"""),"Известен театром Ложа, но уникален театром Слово, сохранившийся архитектурный ансамбль центра города, а не отдельные единичные здания, как во многих других городах.")</f>
        <v>Известен театром Ложа, но уникален театром Слово, сохранившийся архитектурный ансамбль центра города, а не отдельные единичные здания, как во многих других городах.</v>
      </c>
      <c r="U1112" s="6" t="str">
        <f>IFERROR(__xludf.DUMMYFUNCTION("""COMPUTED_VALUE"""),"Главпочтамт, драмтеатр")</f>
        <v>Главпочтамт, драмтеатр</v>
      </c>
      <c r="V1112" s="6" t="str">
        <f>IFERROR(__xludf.DUMMYFUNCTION("""COMPUTED_VALUE"""),"Строили. Но не чтоб гордиться, а для комфортной жизни.")</f>
        <v>Строили. Но не чтоб гордиться, а для комфортной жизни.</v>
      </c>
      <c r="W1112" s="6" t="str">
        <f>IFERROR(__xludf.DUMMYFUNCTION("""COMPUTED_VALUE"""),"Разные")</f>
        <v>Разные</v>
      </c>
      <c r="X1112" s="6" t="str">
        <f>IFERROR(__xludf.DUMMYFUNCTION("""COMPUTED_VALUE"""),"От пересечения Дзержинского с красноармейской пройти по красноармейской, свернуть на Весеннюю, потом по советскому дойти до площади, свернуть на Орджоникидзе, оттуда выйти на набережную и пройти до вечного огня.")</f>
        <v>От пересечения Дзержинского с красноармейской пройти по красноармейской, свернуть на Весеннюю, потом по советскому дойти до площади, свернуть на Орджоникидзе, оттуда выйти на набережную и пройти до вечного огня.</v>
      </c>
      <c r="Y1112" s="6" t="str">
        <f>IFERROR(__xludf.DUMMYFUNCTION("""COMPUTED_VALUE"""),"Более-менее воплощение плана застройки Эрнеста Мэя")</f>
        <v>Более-менее воплощение плана застройки Эрнеста Мэя</v>
      </c>
      <c r="Z1112" s="6" t="str">
        <f>IFERROR(__xludf.DUMMYFUNCTION("""COMPUTED_VALUE"""),"Сделали парк на месте зимней вишни")</f>
        <v>Сделали парк на месте зимней вишни</v>
      </c>
      <c r="AA1112" s="6" t="str">
        <f>IFERROR(__xludf.DUMMYFUNCTION("""COMPUTED_VALUE"""),"Закрытие бассейна Лазурный, с каждым годом общественный транспорт ходит всё хуже и хуже")</f>
        <v>Закрытие бассейна Лазурный, с каждым годом общественный транспорт ходит всё хуже и хуже</v>
      </c>
      <c r="AB1112" s="6" t="str">
        <f>IFERROR(__xludf.DUMMYFUNCTION("""COMPUTED_VALUE"""),"Да вроде все сообщества есть, времени нет, чтоб в них участвовать")</f>
        <v>Да вроде все сообщества есть, времени нет, чтоб в них участвовать</v>
      </c>
      <c r="AC1112" s="6" t="str">
        <f>IFERROR(__xludf.DUMMYFUNCTION("""COMPUTED_VALUE"""),"Надо развивать городские экскурсии, чтобы жители полюбили свой город. Они есть, но со времён Ковида их стало так мало. Их должно быть даже визуально намного больше, чтобы это стало модной тенденцией, хотя бы летом.")</f>
        <v>Надо развивать городские экскурсии, чтобы жители полюбили свой город. Они есть, но со времён Ковида их стало так мало. Их должно быть даже визуально намного больше, чтобы это стало модной тенденцией, хотя бы летом.</v>
      </c>
      <c r="AD111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112" s="6" t="str">
        <f>IFERROR(__xludf.DUMMYFUNCTION("""COMPUTED_VALUE"""),"Женский")</f>
        <v>Женский</v>
      </c>
      <c r="AF1112" s="6" t="str">
        <f>IFERROR(__xludf.DUMMYFUNCTION("""COMPUTED_VALUE"""),"30-44")</f>
        <v>30-44</v>
      </c>
      <c r="AG1112" s="6"/>
      <c r="AH1112" s="6"/>
      <c r="AI1112" s="6"/>
      <c r="AJ1112" s="6"/>
      <c r="AK1112" s="6"/>
      <c r="AL1112" s="6"/>
      <c r="AM1112" s="6"/>
    </row>
    <row r="1113">
      <c r="A1113" s="6">
        <v>1112.0</v>
      </c>
      <c r="B1113" s="6" t="str">
        <f>IFERROR(__xludf.DUMMYFUNCTION("""COMPUTED_VALUE"""),"механик грузоподъемного оборудования")</f>
        <v>механик грузоподъемного оборудования</v>
      </c>
      <c r="C1113" s="6" t="str">
        <f>IFERROR(__xludf.DUMMYFUNCTION("""COMPUTED_VALUE"""),"аквариум")</f>
        <v>аквариум</v>
      </c>
      <c r="D1113" s="6" t="str">
        <f>IFERROR(__xludf.DUMMYFUNCTION("""COMPUTED_VALUE"""),"Заводский ФПК")</f>
        <v>Заводский ФПК</v>
      </c>
      <c r="E1113" s="6" t="str">
        <f>IFERROR(__xludf.DUMMYFUNCTION("""COMPUTED_VALUE"""),"ТРК Гринвич")</f>
        <v>ТРК Гринвич</v>
      </c>
      <c r="F1113" s="6" t="str">
        <f>IFERROR(__xludf.DUMMYFUNCTION("""COMPUTED_VALUE"""),"Живу здесь с рождения")</f>
        <v>Живу здесь с рождения</v>
      </c>
      <c r="G1113" s="6" t="str">
        <f>IFERROR(__xludf.DUMMYFUNCTION("""COMPUTED_VALUE"""),"Томская писаница, Ботанический сад, Притомская набережная, парк Чудес (Горсад), б-р Строителей, рынок Сотка, снт Химик")</f>
        <v>Томская писаница, Ботанический сад, Притомская набережная, парк Чудес (Горсад), б-р Строителей, рынок Сотка, снт Химик</v>
      </c>
      <c r="H1113" s="6" t="str">
        <f>IFERROR(__xludf.DUMMYFUNCTION("""COMPUTED_VALUE"""),"Красная горка, пл. Советов, р-н Лесная поляна, ул. Весенняя, трк Зимняя вишня (Парк ангелов)")</f>
        <v>Красная горка, пл. Советов, р-н Лесная поляна, ул. Весенняя, трк Зимняя вишня (Парк ангелов)</v>
      </c>
      <c r="I1113" s="6" t="str">
        <f>IFERROR(__xludf.DUMMYFUNCTION("""COMPUTED_VALUE"""),"Михайло Волков, Рутгерс")</f>
        <v>Михайло Волков, Рутгерс</v>
      </c>
      <c r="J1113" s="6" t="str">
        <f>IFERROR(__xludf.DUMMYFUNCTION("""COMPUTED_VALUE"""),"Михайлов, Тулеев, Середюк")</f>
        <v>Михайлов, Тулеев, Середюк</v>
      </c>
      <c r="K1113" s="6" t="str">
        <f>IFERROR(__xludf.DUMMYFUNCTION("""COMPUTED_VALUE"""),"Красная горка,  Притомская набережная,  ул. Весенняя, Парк ангелов, б-р Строителей")</f>
        <v>Красная горка,  Притомская набережная,  ул. Весенняя, Парк ангелов, б-р Строителей</v>
      </c>
      <c r="L1113" s="6" t="str">
        <f>IFERROR(__xludf.DUMMYFUNCTION("""COMPUTED_VALUE"""),"На недельку до второго я уеду в Кемерово, песня человек из Кемерова (Борис Гребенщиков)")</f>
        <v>На недельку до второго я уеду в Кемерово, песня человек из Кемерова (Борис Гребенщиков)</v>
      </c>
      <c r="M1113" s="6" t="str">
        <f>IFERROR(__xludf.DUMMYFUNCTION("""COMPUTED_VALUE"""),"разговаривать по-кемеровски")</f>
        <v>разговаривать по-кемеровски</v>
      </c>
      <c r="N1113" s="6" t="str">
        <f>IFERROR(__xludf.DUMMYFUNCTION("""COMPUTED_VALUE"""),"Наличие работы с достойной зарплатой, дороги без пробок и колдобин, чистый воздух, доступная и эффективная медпомощь, доступный общественный транспорт (в т. ч. междугородний авиа, жд, автобус)  ")</f>
        <v>Наличие работы с достойной зарплатой, дороги без пробок и колдобин, чистый воздух, доступная и эффективная медпомощь, доступный общественный транспорт (в т. ч. междугородний авиа, жд, автобус)  </v>
      </c>
      <c r="O1113" s="6" t="str">
        <f>IFERROR(__xludf.DUMMYFUNCTION("""COMPUTED_VALUE"""),"Открывать предприятия (не ТРК) с рабочими местами и достойной зарплатой, транспортная доступность (третий мост в городе через Томь в Ленинском районе на Радугу, обход федеральной трассы Кемерово, развязка на жд переезде р-н Пионер, продлить ул. Марковцева"&amp;" до ул. Терешковой), доступная и эффективная медпомощь с узконаправленными специалистами (ОНКОЛОГИЯ)")</f>
        <v>Открывать предприятия (не ТРК) с рабочими местами и достойной зарплатой, транспортная доступность (третий мост в городе через Томь в Ленинском районе на Радугу, обход федеральной трассы Кемерово, развязка на жд переезде р-н Пионер, продлить ул. Марковцева до ул. Терешковой), доступная и эффективная медпомощь с узконаправленными специалистами (ОНКОЛОГИЯ)</v>
      </c>
      <c r="P1113" s="6" t="str">
        <f>IFERROR(__xludf.DUMMYFUNCTION("""COMPUTED_VALUE"""),"Интернет: vse42.ru, a42.ru, ВашГород.ru, местные тв новости")</f>
        <v>Интернет: vse42.ru, a42.ru, ВашГород.ru, местные тв новости</v>
      </c>
      <c r="Q1113" s="6" t="str">
        <f>IFERROR(__xludf.DUMMYFUNCTION("""COMPUTED_VALUE"""),"куда пойти в свободное время, криминальные новости (происшествия/преступления), Новости")</f>
        <v>куда пойти в свободное время, криминальные новости (происшествия/преступления), Новости</v>
      </c>
      <c r="R1113" s="6" t="str">
        <f>IFERROR(__xludf.DUMMYFUNCTION("""COMPUTED_VALUE"""),"День города, день шахтеров")</f>
        <v>День города, день шахтеров</v>
      </c>
      <c r="S1113" s="6" t="str">
        <f>IFERROR(__xludf.DUMMYFUNCTION("""COMPUTED_VALUE"""),"Нет, не приходилось")</f>
        <v>Нет, не приходилось</v>
      </c>
      <c r="T1113" s="6" t="str">
        <f>IFERROR(__xludf.DUMMYFUNCTION("""COMPUTED_VALUE"""),"В недавнем прошлом был крупным химическим промышленным центром ")</f>
        <v>В недавнем прошлом был крупным химическим промышленным центром </v>
      </c>
      <c r="U1113" s="6" t="str">
        <f>IFERROR(__xludf.DUMMYFUNCTION("""COMPUTED_VALUE"""),"площадь Советов")</f>
        <v>площадь Советов</v>
      </c>
      <c r="V1113" s="6" t="str">
        <f>IFERROR(__xludf.DUMMYFUNCTION("""COMPUTED_VALUE"""),"много известных артистов сейчас родом или начинали в Кемерово ")</f>
        <v>много известных артистов сейчас родом или начинали в Кемерово </v>
      </c>
      <c r="W1113" s="6" t="str">
        <f>IFERROR(__xludf.DUMMYFUNCTION("""COMPUTED_VALUE"""),"Гостеприимность, душевность, дружелюбие")</f>
        <v>Гостеприимность, душевность, дружелюбие</v>
      </c>
      <c r="X1113" s="6" t="str">
        <f>IFERROR(__xludf.DUMMYFUNCTION("""COMPUTED_VALUE"""),"Красная горка, пл. Советов, Притомская набережная, ул. Весенняя, Парк ангелов")</f>
        <v>Красная горка, пл. Советов, Притомская набережная, ул. Весенняя, Парк ангелов</v>
      </c>
      <c r="Y1113" s="6" t="str">
        <f>IFERROR(__xludf.DUMMYFUNCTION("""COMPUTED_VALUE"""),"в свое время фестиваль Зори Кузбасса")</f>
        <v>в свое время фестиваль Зори Кузбасса</v>
      </c>
      <c r="Z1113" s="6" t="str">
        <f>IFERROR(__xludf.DUMMYFUNCTION("""COMPUTED_VALUE"""),"рок фестиваль Герои мирового рока")</f>
        <v>рок фестиваль Герои мирового рока</v>
      </c>
      <c r="AA1113" s="6" t="str">
        <f>IFERROR(__xludf.DUMMYFUNCTION("""COMPUTED_VALUE"""),"3 года назад пожар в Зимней вишне")</f>
        <v>3 года назад пожар в Зимней вишне</v>
      </c>
      <c r="AB1113" s="6" t="str">
        <f>IFERROR(__xludf.DUMMYFUNCTION("""COMPUTED_VALUE"""),"Все устраивает")</f>
        <v>Все устраивает</v>
      </c>
      <c r="AC1113" s="6" t="str">
        <f>IFERROR(__xludf.DUMMYFUNCTION("""COMPUTED_VALUE"""),"Открытие плавательного бассейна в Заводском районе")</f>
        <v>Открытие плавательного бассейна в Заводском районе</v>
      </c>
      <c r="AD111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13" s="6" t="str">
        <f>IFERROR(__xludf.DUMMYFUNCTION("""COMPUTED_VALUE"""),"Мужской")</f>
        <v>Мужской</v>
      </c>
      <c r="AF1113" s="6" t="str">
        <f>IFERROR(__xludf.DUMMYFUNCTION("""COMPUTED_VALUE"""),"30-44")</f>
        <v>30-44</v>
      </c>
      <c r="AG1113" s="6"/>
      <c r="AH1113" s="6"/>
      <c r="AI1113" s="6"/>
      <c r="AJ1113" s="6"/>
      <c r="AK1113" s="6"/>
      <c r="AL1113" s="6"/>
      <c r="AM1113" s="6"/>
    </row>
    <row r="1114">
      <c r="A1114" s="6">
        <v>1113.0</v>
      </c>
      <c r="B1114" s="6" t="str">
        <f>IFERROR(__xludf.DUMMYFUNCTION("""COMPUTED_VALUE"""),"Студент")</f>
        <v>Студент</v>
      </c>
      <c r="C1114" s="6" t="str">
        <f>IFERROR(__xludf.DUMMYFUNCTION("""COMPUTED_VALUE"""),"Киберспорт")</f>
        <v>Киберспорт</v>
      </c>
      <c r="D1114" s="6" t="str">
        <f>IFERROR(__xludf.DUMMYFUNCTION("""COMPUTED_VALUE"""),"Рудничный. Так и называю")</f>
        <v>Рудничный. Так и называю</v>
      </c>
      <c r="E1114" s="6" t="str">
        <f>IFERROR(__xludf.DUMMYFUNCTION("""COMPUTED_VALUE"""),"Бор, Красная горка, ДК Шахтеров, больше на ум ничего не приходит")</f>
        <v>Бор, Красная горка, ДК Шахтеров, больше на ум ничего не приходит</v>
      </c>
      <c r="F1114" s="6" t="str">
        <f>IFERROR(__xludf.DUMMYFUNCTION("""COMPUTED_VALUE"""),"Живу здесь с рождения")</f>
        <v>Живу здесь с рождения</v>
      </c>
      <c r="G1114" s="6" t="str">
        <f>IFERROR(__xludf.DUMMYFUNCTION("""COMPUTED_VALUE"""),"Центр города, набережная")</f>
        <v>Центр города, набережная</v>
      </c>
      <c r="H1114" s="6" t="str">
        <f>IFERROR(__xludf.DUMMYFUNCTION("""COMPUTED_VALUE"""),"Грязь, газ, мусор, дорогой уголь")</f>
        <v>Грязь, газ, мусор, дорогой уголь</v>
      </c>
      <c r="I1114" s="6" t="str">
        <f>IFERROR(__xludf.DUMMYFUNCTION("""COMPUTED_VALUE"""),"Волков, Киров, Леонов")</f>
        <v>Волков, Киров, Леонов</v>
      </c>
      <c r="J1114" s="6" t="str">
        <f>IFERROR(__xludf.DUMMYFUNCTION("""COMPUTED_VALUE"""),"Не знаю таких")</f>
        <v>Не знаю таких</v>
      </c>
      <c r="K1114" s="6" t="str">
        <f>IFERROR(__xludf.DUMMYFUNCTION("""COMPUTED_VALUE"""),"Таких ""интересных"" мест в городе нет")</f>
        <v>Таких "интересных" мест в городе нет</v>
      </c>
      <c r="L1114" s="6" t="str">
        <f>IFERROR(__xludf.DUMMYFUNCTION("""COMPUTED_VALUE"""),"-")</f>
        <v>-</v>
      </c>
      <c r="M1114" s="6" t="str">
        <f>IFERROR(__xludf.DUMMYFUNCTION("""COMPUTED_VALUE"""),"-")</f>
        <v>-</v>
      </c>
      <c r="N1114" s="6" t="str">
        <f>IFERROR(__xludf.DUMMYFUNCTION("""COMPUTED_VALUE"""),"Чистота, порядок, приемлемые региональные цены, рабочие места")</f>
        <v>Чистота, порядок, приемлемые региональные цены, рабочие места</v>
      </c>
      <c r="O1114" s="6" t="str">
        <f>IFERROR(__xludf.DUMMYFUNCTION("""COMPUTED_VALUE"""),"Разобраться с трафиком, произвести ремонт необходимых зданий. ")</f>
        <v>Разобраться с трафиком, произвести ремонт необходимых зданий. </v>
      </c>
      <c r="P1114" s="6" t="str">
        <f>IFERROR(__xludf.DUMMYFUNCTION("""COMPUTED_VALUE"""),"Вконтакте, Инстаграм, Кузбасс-онлайн")</f>
        <v>Вконтакте, Инстаграм, Кузбасс-онлайн</v>
      </c>
      <c r="Q1114" s="6" t="str">
        <f>IFERROR(__xludf.DUMMYFUNCTION("""COMPUTED_VALUE"""),"где вкусно поесть/открытие новых кафе/ресторанов, новости про новые профессии/куда поступать/вакансии, результаты местных исследований (рейтинги/аналитика/тенденции)")</f>
        <v>где вкусно поесть/открытие новых кафе/ресторанов, новости про новые профессии/куда поступать/вакансии, результаты местных исследований (рейтинги/аналитика/тенденции)</v>
      </c>
      <c r="R1114" s="6" t="str">
        <f>IFERROR(__xludf.DUMMYFUNCTION("""COMPUTED_VALUE"""),"9 мая, новый год")</f>
        <v>9 мая, новый год</v>
      </c>
      <c r="S1114" s="6" t="str">
        <f>IFERROR(__xludf.DUMMYFUNCTION("""COMPUTED_VALUE"""),"Нет, не приходилось")</f>
        <v>Нет, не приходилось</v>
      </c>
      <c r="T1114" s="6" t="str">
        <f>IFERROR(__xludf.DUMMYFUNCTION("""COMPUTED_VALUE"""),"Сосновый бор, угольный край, заповедник")</f>
        <v>Сосновый бор, угольный край, заповедник</v>
      </c>
      <c r="U1114" s="6" t="str">
        <f>IFERROR(__xludf.DUMMYFUNCTION("""COMPUTED_VALUE"""),"Памятник Ленину - и есть фактический центр ")</f>
        <v>Памятник Ленину - и есть фактический центр </v>
      </c>
      <c r="V1114" s="6" t="str">
        <f>IFERROR(__xludf.DUMMYFUNCTION("""COMPUTED_VALUE"""),"Работать на благо города")</f>
        <v>Работать на благо города</v>
      </c>
      <c r="W1114" s="6" t="str">
        <f>IFERROR(__xludf.DUMMYFUNCTION("""COMPUTED_VALUE"""),"Злые, много недоброжелательных, гостеприимные ")</f>
        <v>Злые, много недоброжелательных, гостеприимные </v>
      </c>
      <c r="X1114" s="6" t="str">
        <f>IFERROR(__xludf.DUMMYFUNCTION("""COMPUTED_VALUE"""),"Кузнецкий мост - Набережная - ул. Весенняя - центр города - ул. Ленина - Цирк - Бор или Лесная поляна")</f>
        <v>Кузнецкий мост - Набережная - ул. Весенняя - центр города - ул. Ленина - Цирк - Бор или Лесная поляна</v>
      </c>
      <c r="Y1114" s="6" t="str">
        <f>IFERROR(__xludf.DUMMYFUNCTION("""COMPUTED_VALUE"""),"Не припомню")</f>
        <v>Не припомню</v>
      </c>
      <c r="Z1114" s="6" t="str">
        <f>IFERROR(__xludf.DUMMYFUNCTION("""COMPUTED_VALUE"""),"Строительство объездной дороги, улучшение экологии")</f>
        <v>Строительство объездной дороги, улучшение экологии</v>
      </c>
      <c r="AA1114" s="6" t="str">
        <f>IFERROR(__xludf.DUMMYFUNCTION("""COMPUTED_VALUE"""),"Пожар в ""Зимней Вишне"", закрытие большинства предприятий")</f>
        <v>Пожар в "Зимней Вишне", закрытие большинства предприятий</v>
      </c>
      <c r="AB1114" s="6" t="str">
        <f>IFERROR(__xludf.DUMMYFUNCTION("""COMPUTED_VALUE"""),"Открытых")</f>
        <v>Открытых</v>
      </c>
      <c r="AC1114" s="6" t="str">
        <f>IFERROR(__xludf.DUMMYFUNCTION("""COMPUTED_VALUE"""),"-")</f>
        <v>-</v>
      </c>
      <c r="AD111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14" s="6" t="str">
        <f>IFERROR(__xludf.DUMMYFUNCTION("""COMPUTED_VALUE"""),"Мужской")</f>
        <v>Мужской</v>
      </c>
      <c r="AF1114" s="6" t="str">
        <f>IFERROR(__xludf.DUMMYFUNCTION("""COMPUTED_VALUE"""),"18-29")</f>
        <v>18-29</v>
      </c>
      <c r="AG1114" s="6"/>
      <c r="AH1114" s="6"/>
      <c r="AI1114" s="6"/>
      <c r="AJ1114" s="6"/>
      <c r="AK1114" s="6"/>
      <c r="AL1114" s="6"/>
      <c r="AM1114" s="6"/>
    </row>
    <row r="1115">
      <c r="A1115" s="6">
        <v>1114.0</v>
      </c>
      <c r="B1115" s="6" t="str">
        <f>IFERROR(__xludf.DUMMYFUNCTION("""COMPUTED_VALUE"""),"Геолог, инженерные изыскания")</f>
        <v>Геолог, инженерные изыскания</v>
      </c>
      <c r="C1115" s="6" t="str">
        <f>IFERROR(__xludf.DUMMYFUNCTION("""COMPUTED_VALUE"""),"Путешествия, турим, география, история")</f>
        <v>Путешествия, турим, география, история</v>
      </c>
      <c r="D1115" s="6" t="str">
        <f>IFERROR(__xludf.DUMMYFUNCTION("""COMPUTED_VALUE"""),"Рудничный район. Радуга")</f>
        <v>Рудничный район. Радуга</v>
      </c>
      <c r="E1115" s="6" t="str">
        <f>IFERROR(__xludf.DUMMYFUNCTION("""COMPUTED_VALUE"""),"Серебряный бор, кардиоцентр им.Барбараш,  сквер молодожёнов, парк дружбы народов, ")</f>
        <v>Серебряный бор, кардиоцентр им.Барбараш,  сквер молодожёнов, парк дружбы народов, </v>
      </c>
      <c r="F1115" s="6" t="str">
        <f>IFERROR(__xludf.DUMMYFUNCTION("""COMPUTED_VALUE"""),"Переехал сюда из другого места (откуда? укажите в графе другое), Томск")</f>
        <v>Переехал сюда из другого места (откуда? укажите в графе другое), Томск</v>
      </c>
      <c r="G1115" s="6" t="str">
        <f>IFERROR(__xludf.DUMMYFUNCTION("""COMPUTED_VALUE"""),"Серебряный бор, парк Ангелов")</f>
        <v>Серебряный бор, парк Ангелов</v>
      </c>
      <c r="H1115" s="6" t="str">
        <f>IFERROR(__xludf.DUMMYFUNCTION("""COMPUTED_VALUE"""),"Шахтёры, уголь, азот, промышленность, индустрия")</f>
        <v>Шахтёры, уголь, азот, промышленность, индустрия</v>
      </c>
      <c r="I1115" s="6" t="str">
        <f>IFERROR(__xludf.DUMMYFUNCTION("""COMPUTED_VALUE"""),"М. Волков, А.А. Леонов , Тулеев А.Г., В. Волошина, Рутгерс, Мартемьянов")</f>
        <v>М. Волков, А.А. Леонов , Тулеев А.Г., В. Волошина, Рутгерс, Мартемьянов</v>
      </c>
      <c r="J1115" s="6" t="str">
        <f>IFERROR(__xludf.DUMMYFUNCTION("""COMPUTED_VALUE"""),"Леонов А.А, Гришковец, Телегин, Бабенко, Машков, Бессмертных, Л.С.Барбараш")</f>
        <v>Леонов А.А, Гришковец, Телегин, Бабенко, Машков, Бессмертных, Л.С.Барбараш</v>
      </c>
      <c r="K1115" s="6" t="str">
        <f>IFERROR(__xludf.DUMMYFUNCTION("""COMPUTED_VALUE"""),"Красная горка, парк Ангелов, Набережная Томи, бульвар Строителей")</f>
        <v>Красная горка, парк Ангелов, Набережная Томи, бульвар Строителей</v>
      </c>
      <c r="L1115" s="6" t="str">
        <f>IFERROR(__xludf.DUMMYFUNCTION("""COMPUTED_VALUE"""),"Сегодня рекорд- завтра норма")</f>
        <v>Сегодня рекорд- завтра норма</v>
      </c>
      <c r="M1115" s="6" t="str">
        <f>IFERROR(__xludf.DUMMYFUNCTION("""COMPUTED_VALUE"""),"не знаю таких")</f>
        <v>не знаю таких</v>
      </c>
      <c r="N1115" s="6" t="str">
        <f>IFERROR(__xludf.DUMMYFUNCTION("""COMPUTED_VALUE"""),"Экология, доступность медицины, культурная жизнь города, наличие зон отдыха и развлечений, качество дорог")</f>
        <v>Экология, доступность медицины, культурная жизнь города, наличие зон отдыха и развлечений, качество дорог</v>
      </c>
      <c r="O1115" s="6" t="str">
        <f>IFERROR(__xludf.DUMMYFUNCTION("""COMPUTED_VALUE"""),"Сделать более экологичным производство, чтобы было меньше выбросов в атмосферу и сократить количество дней чёрного неба, развивать инфраструктуру в том числе строительство дорог, развязок при въезде в город, строительство объездной дороги. Обустраивать ме"&amp;"ста для отдыха людей (скверы, парки)")</f>
        <v>Сделать более экологичным производство, чтобы было меньше выбросов в атмосферу и сократить количество дней чёрного неба, развивать инфраструктуру в том числе строительство дорог, развязок при въезде в город, строительство объездной дороги. Обустраивать места для отдыха людей (скверы, парки)</v>
      </c>
      <c r="P1115" s="6" t="str">
        <f>IFERROR(__xludf.DUMMYFUNCTION("""COMPUTED_VALUE"""),"Интернет ,( в контакте, инстаграм  )")</f>
        <v>Интернет ,( в контакте, инстаграм  )</v>
      </c>
      <c r="Q1115"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115" s="6" t="str">
        <f>IFERROR(__xludf.DUMMYFUNCTION("""COMPUTED_VALUE"""),"Новый год, день Шахтёра")</f>
        <v>Новый год, день Шахтёра</v>
      </c>
      <c r="S1115" s="6" t="str">
        <f>IFERROR(__xludf.DUMMYFUNCTION("""COMPUTED_VALUE"""),"Писал и расклеивал объявления/афиши, Через социальные сети (Какие? Укажите в графе другое), объявления о найденных домашних животных")</f>
        <v>Писал и расклеивал объявления/афиши, Через социальные сети (Какие? Укажите в графе другое), объявления о найденных домашних животных</v>
      </c>
      <c r="T1115" s="6" t="str">
        <f>IFERROR(__xludf.DUMMYFUNCTION("""COMPUTED_VALUE"""),"Известен как индустриальный промышленный центр. Уникальна история развития Кузбасса")</f>
        <v>Известен как индустриальный промышленный центр. Уникальна история развития Кузбасса</v>
      </c>
      <c r="U1115" s="6" t="str">
        <f>IFERROR(__xludf.DUMMYFUNCTION("""COMPUTED_VALUE"""),"Набережная города (район Драм.театра, ул.Весенняя-Советская)")</f>
        <v>Набережная города (район Драм.театра, ул.Весенняя-Советская)</v>
      </c>
      <c r="V1115" s="6" t="str">
        <f>IFERROR(__xludf.DUMMYFUNCTION("""COMPUTED_VALUE"""),"Развивали экономику города и региона в целом")</f>
        <v>Развивали экономику города и региона в целом</v>
      </c>
      <c r="W1115" s="6" t="str">
        <f>IFERROR(__xludf.DUMMYFUNCTION("""COMPUTED_VALUE"""),"Выносливые, стойкие")</f>
        <v>Выносливые, стойкие</v>
      </c>
      <c r="X1115" s="6" t="str">
        <f>IFERROR(__xludf.DUMMYFUNCTION("""COMPUTED_VALUE"""),"парк Ангелов-набережная Томи-Красная горка")</f>
        <v>парк Ангелов-набережная Томи-Красная горка</v>
      </c>
      <c r="Y1115" s="6" t="str">
        <f>IFERROR(__xludf.DUMMYFUNCTION("""COMPUTED_VALUE"""),"открытие месторождений угля")</f>
        <v>открытие месторождений угля</v>
      </c>
      <c r="Z1115" s="6" t="str">
        <f>IFERROR(__xludf.DUMMYFUNCTION("""COMPUTED_VALUE"""),"Строительство и благоустройства города во всех районах")</f>
        <v>Строительство и благоустройства города во всех районах</v>
      </c>
      <c r="AA1115" s="6" t="str">
        <f>IFERROR(__xludf.DUMMYFUNCTION("""COMPUTED_VALUE"""),"Аварии на разрезах и шахтах, пожар зимней вишни ")</f>
        <v>Аварии на разрезах и шахтах, пожар зимней вишни </v>
      </c>
      <c r="AB1115" s="6" t="str">
        <f>IFERROR(__xludf.DUMMYFUNCTION("""COMPUTED_VALUE"""),"афиш с предстоящими культурными событиями ")</f>
        <v>афиш с предстоящими культурными событиями </v>
      </c>
      <c r="AC1115" s="6" t="str">
        <f>IFERROR(__xludf.DUMMYFUNCTION("""COMPUTED_VALUE"""),"Музыкальные концерты, культурные мероприятия")</f>
        <v>Музыкальные концерты, культурные мероприятия</v>
      </c>
      <c r="AD111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115" s="6" t="str">
        <f>IFERROR(__xludf.DUMMYFUNCTION("""COMPUTED_VALUE"""),"Женский")</f>
        <v>Женский</v>
      </c>
      <c r="AF1115" s="6" t="str">
        <f>IFERROR(__xludf.DUMMYFUNCTION("""COMPUTED_VALUE"""),"18-29")</f>
        <v>18-29</v>
      </c>
      <c r="AG1115" s="6"/>
      <c r="AH1115" s="6"/>
      <c r="AI1115" s="6"/>
      <c r="AJ1115" s="6"/>
      <c r="AK1115" s="6"/>
      <c r="AL1115" s="6"/>
      <c r="AM1115" s="6"/>
    </row>
    <row r="1116">
      <c r="A1116" s="6">
        <v>1115.0</v>
      </c>
      <c r="B1116" s="6" t="str">
        <f>IFERROR(__xludf.DUMMYFUNCTION("""COMPUTED_VALUE"""),"Менеджер ")</f>
        <v>Менеджер </v>
      </c>
      <c r="C1116" s="6" t="str">
        <f>IFERROR(__xludf.DUMMYFUNCTION("""COMPUTED_VALUE"""),"Фотография")</f>
        <v>Фотография</v>
      </c>
      <c r="D1116" s="6" t="str">
        <f>IFERROR(__xludf.DUMMYFUNCTION("""COMPUTED_VALUE"""),"Рудничный(Радуга)")</f>
        <v>Рудничный(Радуга)</v>
      </c>
      <c r="E1116" s="6" t="str">
        <f>IFERROR(__xludf.DUMMYFUNCTION("""COMPUTED_VALUE"""),"Сосновый бор")</f>
        <v>Сосновый бор</v>
      </c>
      <c r="F1116" s="6" t="str">
        <f>IFERROR(__xludf.DUMMYFUNCTION("""COMPUTED_VALUE"""),"Живу здесь с рождения")</f>
        <v>Живу здесь с рождения</v>
      </c>
      <c r="G1116" s="6" t="str">
        <f>IFERROR(__xludf.DUMMYFUNCTION("""COMPUTED_VALUE"""),"Набережная,Весенняя,Бульвар Строителей,Набережная Кировского района,Сосновый бор")</f>
        <v>Набережная,Весенняя,Бульвар Строителей,Набережная Кировского района,Сосновый бор</v>
      </c>
      <c r="H1116" s="6" t="str">
        <f>IFERROR(__xludf.DUMMYFUNCTION("""COMPUTED_VALUE"""),"Уютный,компактный,зелёный,большая-деревня")</f>
        <v>Уютный,компактный,зелёный,большая-деревня</v>
      </c>
      <c r="I1116" s="6" t="str">
        <f>IFERROR(__xludf.DUMMYFUNCTION("""COMPUTED_VALUE"""),"Евгений Гришковец,Юрий Арбачаков,Алексей Леонов")</f>
        <v>Евгений Гришковец,Юрий Арбачаков,Алексей Леонов</v>
      </c>
      <c r="J1116" s="6" t="str">
        <f>IFERROR(__xludf.DUMMYFUNCTION("""COMPUTED_VALUE"""),"Владимир Михайлов,Михаил Подгорбунский")</f>
        <v>Владимир Михайлов,Михаил Подгорбунский</v>
      </c>
      <c r="K1116" s="6" t="str">
        <f>IFERROR(__xludf.DUMMYFUNCTION("""COMPUTED_VALUE"""),"Старая пристань,Яблоневый сад(Сухово)")</f>
        <v>Старая пристань,Яблоневый сад(Сухово)</v>
      </c>
      <c r="L1116" s="6" t="str">
        <f>IFERROR(__xludf.DUMMYFUNCTION("""COMPUTED_VALUE"""),"Баня на крыше кемеровской многоэтажки ")</f>
        <v>Баня на крыше кемеровской многоэтажки </v>
      </c>
      <c r="M1116" s="6" t="str">
        <f>IFERROR(__xludf.DUMMYFUNCTION("""COMPUTED_VALUE"""),"""Чёрная Весенька""")</f>
        <v>"Чёрная Весенька"</v>
      </c>
      <c r="N1116" s="6" t="str">
        <f>IFERROR(__xludf.DUMMYFUNCTION("""COMPUTED_VALUE"""),"Чистый воздух,озеленение,комфортное жильё,инновации в сфере городского хозяйства,безопасность")</f>
        <v>Чистый воздух,озеленение,комфортное жильё,инновации в сфере городского хозяйства,безопасность</v>
      </c>
      <c r="O1116" s="6" t="str">
        <f>IFERROR(__xludf.DUMMYFUNCTION("""COMPUTED_VALUE"""),"Увеличить количество парковочных комплексов(с адекватной стоимостью)")</f>
        <v>Увеличить количество парковочных комплексов(с адекватной стоимостью)</v>
      </c>
      <c r="P1116" s="6" t="str">
        <f>IFERROR(__xludf.DUMMYFUNCTION("""COMPUTED_VALUE"""),"Инстаграм,Вести Кузбасс")</f>
        <v>Инстаграм,Вести Кузбасс</v>
      </c>
      <c r="Q1116" s="6" t="str">
        <f>IFERROR(__xludf.DUMMYFUNCTION("""COMPUTED_VALUE"""),"куда пойти в свободное время, интервью с местными предпринимателями, бизнес-новости (средний чек/рекламные акции/запуск новых предприятий)")</f>
        <v>куда пойти в свободное время, интервью с местными предпринимателями, бизнес-новости (средний чек/рекламные акции/запуск новых предприятий)</v>
      </c>
      <c r="R1116" s="6" t="str">
        <f>IFERROR(__xludf.DUMMYFUNCTION("""COMPUTED_VALUE"""),"9 мая,День Города")</f>
        <v>9 мая,День Города</v>
      </c>
      <c r="S1116" s="6" t="str">
        <f>IFERROR(__xludf.DUMMYFUNCTION("""COMPUTED_VALUE"""),"Нет, не приходилось")</f>
        <v>Нет, не приходилось</v>
      </c>
      <c r="T1116" s="6" t="str">
        <f>IFERROR(__xludf.DUMMYFUNCTION("""COMPUTED_VALUE"""),"Угледобывающей промышленностью,трагедией в ""Зимней вишне"",экс-губернатором А.Г.Тулеевым")</f>
        <v>Угледобывающей промышленностью,трагедией в "Зимней вишне",экс-губернатором А.Г.Тулеевым</v>
      </c>
      <c r="U1116" s="6" t="str">
        <f>IFERROR(__xludf.DUMMYFUNCTION("""COMPUTED_VALUE"""),"Площадь Советов")</f>
        <v>Площадь Советов</v>
      </c>
      <c r="V1116" s="6" t="str">
        <f>IFERROR(__xludf.DUMMYFUNCTION("""COMPUTED_VALUE"""),"Вопрос на который не возможно ответить кратко!Что не название улицы,то известные люди!Участники ВОВ,врачи и м.др.")</f>
        <v>Вопрос на который не возможно ответить кратко!Что не название улицы,то известные люди!Участники ВОВ,врачи и м.др.</v>
      </c>
      <c r="W1116" s="6" t="str">
        <f>IFERROR(__xludf.DUMMYFUNCTION("""COMPUTED_VALUE"""),"Отзывчивые,улыбчивые,выностливые")</f>
        <v>Отзывчивые,улыбчивые,выностливые</v>
      </c>
      <c r="X1116" s="6" t="str">
        <f>IFERROR(__xludf.DUMMYFUNCTION("""COMPUTED_VALUE"""),"Красная горка,монумент ""Память шахтёром Кузбасса"",Центр города,город-спутник Лесная Поляна")</f>
        <v>Красная горка,монумент "Память шахтёром Кузбасса",Центр города,город-спутник Лесная Поляна</v>
      </c>
      <c r="Y1116" s="6" t="str">
        <f>IFERROR(__xludf.DUMMYFUNCTION("""COMPUTED_VALUE"""),"Чемпионат мира по хоккею с мячом в 2007")</f>
        <v>Чемпионат мира по хоккею с мячом в 2007</v>
      </c>
      <c r="Z1116" s="6" t="str">
        <f>IFERROR(__xludf.DUMMYFUNCTION("""COMPUTED_VALUE"""),"Ремонт набережной в Кировском районе,новые кольцевые развязки и дороги,строительство Кадетского училища")</f>
        <v>Ремонт набережной в Кировском районе,новые кольцевые развязки и дороги,строительство Кадетского училища</v>
      </c>
      <c r="AA1116" s="6" t="str">
        <f>IFERROR(__xludf.DUMMYFUNCTION("""COMPUTED_VALUE"""),"Закрытие Лазурного ")</f>
        <v>Закрытие Лазурного </v>
      </c>
      <c r="AB1116" s="6" t="str">
        <f>IFERROR(__xludf.DUMMYFUNCTION("""COMPUTED_VALUE"""),"Городское соседство-вовлечения жителей в совместные дела и хобби ")</f>
        <v>Городское соседство-вовлечения жителей в совместные дела и хобби </v>
      </c>
      <c r="AC1116" s="6" t="str">
        <f>IFERROR(__xludf.DUMMYFUNCTION("""COMPUTED_VALUE"""),"Городские спортивные марафоны")</f>
        <v>Городские спортивные марафоны</v>
      </c>
      <c r="AD111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116" s="6" t="str">
        <f>IFERROR(__xludf.DUMMYFUNCTION("""COMPUTED_VALUE"""),"Женский")</f>
        <v>Женский</v>
      </c>
      <c r="AF1116" s="6" t="str">
        <f>IFERROR(__xludf.DUMMYFUNCTION("""COMPUTED_VALUE"""),"30-44")</f>
        <v>30-44</v>
      </c>
      <c r="AG1116" s="6"/>
      <c r="AH1116" s="6"/>
      <c r="AI1116" s="6"/>
      <c r="AJ1116" s="6"/>
      <c r="AK1116" s="6"/>
      <c r="AL1116" s="6"/>
      <c r="AM1116" s="6"/>
    </row>
    <row r="1117">
      <c r="A1117" s="6">
        <v>1116.0</v>
      </c>
      <c r="B1117" s="6" t="str">
        <f>IFERROR(__xludf.DUMMYFUNCTION("""COMPUTED_VALUE"""),"работаю")</f>
        <v>работаю</v>
      </c>
      <c r="C1117" s="6" t="str">
        <f>IFERROR(__xludf.DUMMYFUNCTION("""COMPUTED_VALUE"""),"вышивание")</f>
        <v>вышивание</v>
      </c>
      <c r="D1117" s="6" t="str">
        <f>IFERROR(__xludf.DUMMYFUNCTION("""COMPUTED_VALUE"""),"центральный")</f>
        <v>центральный</v>
      </c>
      <c r="E1117" s="6" t="str">
        <f>IFERROR(__xludf.DUMMYFUNCTION("""COMPUTED_VALUE"""),"площадь Пушкина")</f>
        <v>площадь Пушкина</v>
      </c>
      <c r="F1117" s="6" t="str">
        <f>IFERROR(__xludf.DUMMYFUNCTION("""COMPUTED_VALUE"""),"Родилась в 5 поколении, выросла не в городе до 16 лет. В 16 вернулась и живу по настоящее время")</f>
        <v>Родилась в 5 поколении, выросла не в городе до 16 лет. В 16 вернулась и живу по настоящее время</v>
      </c>
      <c r="G1117" s="6" t="str">
        <f>IFERROR(__xludf.DUMMYFUNCTION("""COMPUTED_VALUE"""),"площадь Волкова")</f>
        <v>площадь Волкова</v>
      </c>
      <c r="H1117" s="6" t="str">
        <f>IFERROR(__xludf.DUMMYFUNCTION("""COMPUTED_VALUE"""),"Уголь, Политех, Леонов, горсад, Томь")</f>
        <v>Уголь, Политех, Леонов, горсад, Томь</v>
      </c>
      <c r="I1117" s="6" t="str">
        <f>IFERROR(__xludf.DUMMYFUNCTION("""COMPUTED_VALUE"""),"Волков, Федоров, Мартемьянов,")</f>
        <v>Волков, Федоров, Мартемьянов,</v>
      </c>
      <c r="J1117" s="6" t="str">
        <f>IFERROR(__xludf.DUMMYFUNCTION("""COMPUTED_VALUE"""),"Астафуров, Михайлов, Цивилев")</f>
        <v>Астафуров, Михайлов, Цивилев</v>
      </c>
      <c r="K1117" s="6" t="str">
        <f>IFERROR(__xludf.DUMMYFUNCTION("""COMPUTED_VALUE"""),"Знаменский. Памятник шахтеру, паровоз, десткую железную дорогу, аэропорт")</f>
        <v>Знаменский. Памятник шахтеру, паровоз, десткую железную дорогу, аэропорт</v>
      </c>
      <c r="L1117" s="6" t="str">
        <f>IFERROR(__xludf.DUMMYFUNCTION("""COMPUTED_VALUE"""),"Кузбасс-угольное сердце России (надпись на управлении КРУ)")</f>
        <v>Кузбасс-угольное сердце России (надпись на управлении КРУ)</v>
      </c>
      <c r="M1117" s="6" t="str">
        <f>IFERROR(__xludf.DUMMYFUNCTION("""COMPUTED_VALUE"""),"нет")</f>
        <v>нет</v>
      </c>
      <c r="N1117" s="6" t="str">
        <f>IFERROR(__xludf.DUMMYFUNCTION("""COMPUTED_VALUE"""),"достойная широкая набережная, отношения между людьми и отношение к людям, парковки, отремонтированные дороги и дворы, достойная оплата труда")</f>
        <v>достойная широкая набережная, отношения между людьми и отношение к людям, парковки, отремонтированные дороги и дворы, достойная оплата труда</v>
      </c>
      <c r="O1117" s="6" t="str">
        <f>IFERROR(__xludf.DUMMYFUNCTION("""COMPUTED_VALUE"""),"отношение к людям")</f>
        <v>отношение к людям</v>
      </c>
      <c r="P1117" s="6" t="str">
        <f>IFERROR(__xludf.DUMMYFUNCTION("""COMPUTED_VALUE"""),"вести Кузбасс")</f>
        <v>вести Кузбасс</v>
      </c>
      <c r="Q1117" s="6" t="str">
        <f>IFERROR(__xludf.DUMMYFUNCTION("""COMPUTED_VALUE"""),"интервью с местными политиками, интервью с местными творческими личностями, результаты местных исследований (рейтинги/аналитика/тенденции)")</f>
        <v>интервью с местными политиками, интервью с местными творческими личностями, результаты местных исследований (рейтинги/аналитика/тенденции)</v>
      </c>
      <c r="R1117" s="6" t="str">
        <f>IFERROR(__xludf.DUMMYFUNCTION("""COMPUTED_VALUE"""),"все")</f>
        <v>все</v>
      </c>
      <c r="S1117" s="6" t="str">
        <f>IFERROR(__xludf.DUMMYFUNCTION("""COMPUTED_VALUE"""),"Писал и расклеивал объявления/афиши")</f>
        <v>Писал и расклеивал объявления/афиши</v>
      </c>
      <c r="T1117" s="6" t="str">
        <f>IFERROR(__xludf.DUMMYFUNCTION("""COMPUTED_VALUE"""),"Углем. уникальность создана теперь - это касационный суд, ледовый дворец, кадетский корпус, филиалы русского музея и др.")</f>
        <v>Углем. уникальность создана теперь - это касационный суд, ледовый дворец, кадетский корпус, филиалы русского музея и др.</v>
      </c>
      <c r="U1117" s="6" t="str">
        <f>IFERROR(__xludf.DUMMYFUNCTION("""COMPUTED_VALUE"""),"площадь Пушкина")</f>
        <v>площадь Пушкина</v>
      </c>
      <c r="V1117" s="6" t="str">
        <f>IFERROR(__xludf.DUMMYFUNCTION("""COMPUTED_VALUE"""),"Пост строили Политех.И сейчас строительство идет")</f>
        <v>Пост строили Политех.И сейчас строительство идет</v>
      </c>
      <c r="W1117" s="6" t="str">
        <f>IFERROR(__xludf.DUMMYFUNCTION("""COMPUTED_VALUE"""),"Кемеровчане..... ")</f>
        <v>Кемеровчане..... </v>
      </c>
      <c r="X1117" s="6" t="str">
        <f>IFERROR(__xludf.DUMMYFUNCTION("""COMPUTED_VALUE"""),"центр города")</f>
        <v>центр города</v>
      </c>
      <c r="Y1117" s="6" t="str">
        <f>IFERROR(__xludf.DUMMYFUNCTION("""COMPUTED_VALUE"""),"концерт Хворостовского")</f>
        <v>концерт Хворостовского</v>
      </c>
      <c r="Z1117" s="6" t="str">
        <f>IFERROR(__xludf.DUMMYFUNCTION("""COMPUTED_VALUE"""),"Строительство кадетского корпуса, ")</f>
        <v>Строительство кадетского корпуса, </v>
      </c>
      <c r="AA1117" s="6" t="str">
        <f>IFERROR(__xludf.DUMMYFUNCTION("""COMPUTED_VALUE"""),"пандемия")</f>
        <v>пандемия</v>
      </c>
      <c r="AB1117" s="6" t="str">
        <f>IFERROR(__xludf.DUMMYFUNCTION("""COMPUTED_VALUE"""),"теперь хватает всего, ")</f>
        <v>теперь хватает всего, </v>
      </c>
      <c r="AC1117" s="6" t="str">
        <f>IFERROR(__xludf.DUMMYFUNCTION("""COMPUTED_VALUE"""),"регулярные ярмарки местных производителей, ")</f>
        <v>регулярные ярмарки местных производителей, </v>
      </c>
      <c r="AD111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17" s="6" t="str">
        <f>IFERROR(__xludf.DUMMYFUNCTION("""COMPUTED_VALUE"""),"Женский")</f>
        <v>Женский</v>
      </c>
      <c r="AF1117" s="6" t="str">
        <f>IFERROR(__xludf.DUMMYFUNCTION("""COMPUTED_VALUE"""),"30-44")</f>
        <v>30-44</v>
      </c>
      <c r="AG1117" s="6"/>
      <c r="AH1117" s="6"/>
      <c r="AI1117" s="6"/>
      <c r="AJ1117" s="6"/>
      <c r="AK1117" s="6"/>
      <c r="AL1117" s="6"/>
      <c r="AM1117" s="6"/>
    </row>
    <row r="1118">
      <c r="A1118" s="6">
        <v>1117.0</v>
      </c>
      <c r="B1118" s="6" t="str">
        <f>IFERROR(__xludf.DUMMYFUNCTION("""COMPUTED_VALUE"""),"Студентка")</f>
        <v>Студентка</v>
      </c>
      <c r="C1118" s="6" t="str">
        <f>IFERROR(__xludf.DUMMYFUNCTION("""COMPUTED_VALUE"""),"Чтение книг, прогулки")</f>
        <v>Чтение книг, прогулки</v>
      </c>
      <c r="D1118" s="6" t="str">
        <f>IFERROR(__xludf.DUMMYFUNCTION("""COMPUTED_VALUE"""),"Центральный ")</f>
        <v>Центральный </v>
      </c>
      <c r="E1118" s="6" t="str">
        <f>IFERROR(__xludf.DUMMYFUNCTION("""COMPUTED_VALUE"""),"Набережная, парк чудес, плошадь советов ")</f>
        <v>Набережная, парк чудес, плошадь советов </v>
      </c>
      <c r="F1118" s="6" t="str">
        <f>IFERROR(__xludf.DUMMYFUNCTION("""COMPUTED_VALUE"""),"Переехал сюда из другого места (откуда? укажите в графе другое), Тяжинский ")</f>
        <v>Переехал сюда из другого места (откуда? укажите в графе другое), Тяжинский </v>
      </c>
      <c r="G1118" s="6" t="str">
        <f>IFERROR(__xludf.DUMMYFUNCTION("""COMPUTED_VALUE"""),"Нет, конкретного маршрута, гуляю везде ")</f>
        <v>Нет, конкретного маршрута, гуляю везде </v>
      </c>
      <c r="H1118" s="6" t="str">
        <f>IFERROR(__xludf.DUMMYFUNCTION("""COMPUTED_VALUE"""),"Уголь, Кузбасс, Цивилев, столица")</f>
        <v>Уголь, Кузбасс, Цивилев, столица</v>
      </c>
      <c r="I1118" s="6" t="str">
        <f>IFERROR(__xludf.DUMMYFUNCTION("""COMPUTED_VALUE"""),"М. Волков")</f>
        <v>М. Волков</v>
      </c>
      <c r="J1118" s="6" t="str">
        <f>IFERROR(__xludf.DUMMYFUNCTION("""COMPUTED_VALUE"""),"Не знаю ")</f>
        <v>Не знаю </v>
      </c>
      <c r="K1118" s="6" t="str">
        <f>IFERROR(__xludf.DUMMYFUNCTION("""COMPUTED_VALUE"""),"Набережная Кировского района ")</f>
        <v>Набережная Кировского района </v>
      </c>
      <c r="L1118" s="6" t="str">
        <f>IFERROR(__xludf.DUMMYFUNCTION("""COMPUTED_VALUE"""),"Не знаю ")</f>
        <v>Не знаю </v>
      </c>
      <c r="M1118" s="6" t="str">
        <f>IFERROR(__xludf.DUMMYFUNCTION("""COMPUTED_VALUE"""),"Нет ")</f>
        <v>Нет </v>
      </c>
      <c r="N1118" s="6" t="str">
        <f>IFERROR(__xludf.DUMMYFUNCTION("""COMPUTED_VALUE"""),"Много парков, удобная инфраструктура ")</f>
        <v>Много парков, удобная инфраструктура </v>
      </c>
      <c r="O1118" s="6" t="str">
        <f>IFERROR(__xludf.DUMMYFUNCTION("""COMPUTED_VALUE"""),"Не знаю ")</f>
        <v>Не знаю </v>
      </c>
      <c r="P1118" s="6" t="str">
        <f>IFERROR(__xludf.DUMMYFUNCTION("""COMPUTED_VALUE"""),"Реклама в инстаграм и вконтакте ")</f>
        <v>Реклама в инстаграм и вконтакте </v>
      </c>
      <c r="Q1118"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118" s="6" t="str">
        <f>IFERROR(__xludf.DUMMYFUNCTION("""COMPUTED_VALUE"""),"Нет таких")</f>
        <v>Нет таких</v>
      </c>
      <c r="S1118" s="6" t="str">
        <f>IFERROR(__xludf.DUMMYFUNCTION("""COMPUTED_VALUE"""),"Нет, не приходилось")</f>
        <v>Нет, не приходилось</v>
      </c>
      <c r="T1118" s="6" t="str">
        <f>IFERROR(__xludf.DUMMYFUNCTION("""COMPUTED_VALUE"""),"Затрудняюсь ответить")</f>
        <v>Затрудняюсь ответить</v>
      </c>
      <c r="U1118" s="6" t="str">
        <f>IFERROR(__xludf.DUMMYFUNCTION("""COMPUTED_VALUE"""),"Площадь советов ")</f>
        <v>Площадь советов </v>
      </c>
      <c r="V1118" s="6" t="str">
        <f>IFERROR(__xludf.DUMMYFUNCTION("""COMPUTED_VALUE"""),"Затрудняюсь ответить ")</f>
        <v>Затрудняюсь ответить </v>
      </c>
      <c r="W1118" s="6" t="str">
        <f>IFERROR(__xludf.DUMMYFUNCTION("""COMPUTED_VALUE"""),"Затрудняюсь ответить ")</f>
        <v>Затрудняюсь ответить </v>
      </c>
      <c r="X1118" s="6" t="str">
        <f>IFERROR(__xludf.DUMMYFUNCTION("""COMPUTED_VALUE"""),"Советский проспект - парк чудес, набережная - Ленина - парк ангелов")</f>
        <v>Советский проспект - парк чудес, набережная - Ленина - парк ангелов</v>
      </c>
      <c r="Y1118" s="6" t="str">
        <f>IFERROR(__xludf.DUMMYFUNCTION("""COMPUTED_VALUE"""),"М. Волков нашёл залежи угля")</f>
        <v>М. Волков нашёл залежи угля</v>
      </c>
      <c r="Z1118" s="6" t="str">
        <f>IFERROR(__xludf.DUMMYFUNCTION("""COMPUTED_VALUE"""),"Затрудняюсь ответить ")</f>
        <v>Затрудняюсь ответить </v>
      </c>
      <c r="AA1118" s="6" t="str">
        <f>IFERROR(__xludf.DUMMYFUNCTION("""COMPUTED_VALUE"""),"Затрудняюсь ответить ")</f>
        <v>Затрудняюсь ответить </v>
      </c>
      <c r="AB1118" s="6" t="str">
        <f>IFERROR(__xludf.DUMMYFUNCTION("""COMPUTED_VALUE"""),"Нет таких")</f>
        <v>Нет таких</v>
      </c>
      <c r="AC1118" s="6" t="str">
        <f>IFERROR(__xludf.DUMMYFUNCTION("""COMPUTED_VALUE"""),"Чаще устраивать развлекательные и культурно-просветительские мероприятия ")</f>
        <v>Чаще устраивать развлекательные и культурно-просветительские мероприятия </v>
      </c>
      <c r="AD111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118" s="6" t="str">
        <f>IFERROR(__xludf.DUMMYFUNCTION("""COMPUTED_VALUE"""),"Женский")</f>
        <v>Женский</v>
      </c>
      <c r="AF1118" s="6" t="str">
        <f>IFERROR(__xludf.DUMMYFUNCTION("""COMPUTED_VALUE"""),"18-29")</f>
        <v>18-29</v>
      </c>
      <c r="AG1118" s="6"/>
      <c r="AH1118" s="6"/>
      <c r="AI1118" s="6"/>
      <c r="AJ1118" s="6"/>
      <c r="AK1118" s="6"/>
      <c r="AL1118" s="6"/>
      <c r="AM1118" s="6"/>
    </row>
    <row r="1119">
      <c r="A1119" s="6">
        <v>1118.0</v>
      </c>
      <c r="B1119" s="6" t="str">
        <f>IFERROR(__xludf.DUMMYFUNCTION("""COMPUTED_VALUE"""),"Фриланс")</f>
        <v>Фриланс</v>
      </c>
      <c r="C1119" s="6" t="str">
        <f>IFERROR(__xludf.DUMMYFUNCTION("""COMPUTED_VALUE"""),"Посадка растений")</f>
        <v>Посадка растений</v>
      </c>
      <c r="D1119" s="6" t="str">
        <f>IFERROR(__xludf.DUMMYFUNCTION("""COMPUTED_VALUE"""),"Кировский")</f>
        <v>Кировский</v>
      </c>
      <c r="E1119" s="6" t="str">
        <f>IFERROR(__xludf.DUMMYFUNCTION("""COMPUTED_VALUE"""),"Дк")</f>
        <v>Дк</v>
      </c>
      <c r="F1119" s="6" t="str">
        <f>IFERROR(__xludf.DUMMYFUNCTION("""COMPUTED_VALUE"""),"Родился здесь,но сейчас живу в другом городе, Не живу,но приезжаю сюда (к родственникам/друзьям)")</f>
        <v>Родился здесь,но сейчас живу в другом городе, Не живу,но приезжаю сюда (к родственникам/друзьям)</v>
      </c>
      <c r="G1119" s="6" t="str">
        <f>IFERROR(__xludf.DUMMYFUNCTION("""COMPUTED_VALUE"""),"Раньше всегда шли на набережную. Сейчас больше встречаемся по кафешкам")</f>
        <v>Раньше всегда шли на набережную. Сейчас больше встречаемся по кафешкам</v>
      </c>
      <c r="H1119" s="6" t="str">
        <f>IFERROR(__xludf.DUMMYFUNCTION("""COMPUTED_VALUE"""),"Кировская грязь. Студенчество. Тулеев. Уголь. Красная горка-шахтёр ")</f>
        <v>Кировская грязь. Студенчество. Тулеев. Уголь. Красная горка-шахтёр </v>
      </c>
      <c r="I1119" s="6" t="str">
        <f>IFERROR(__xludf.DUMMYFUNCTION("""COMPUTED_VALUE"""),"Волков, Леонов, Тулеев, Подгорбунский")</f>
        <v>Волков, Леонов, Тулеев, Подгорбунский</v>
      </c>
      <c r="J1119" s="6" t="str">
        <f>IFERROR(__xludf.DUMMYFUNCTION("""COMPUTED_VALUE"""),"Команда КВН «Кембридж» прославили город, нигде они сейчас не знаю. Вообще никогда не задумывалась о значении этой доски почета «лучшие люди города». Видела ее, но идеи равняться на них никогда не возникало ")</f>
        <v>Команда КВН «Кембридж» прославили город, нигде они сейчас не знаю. Вообще никогда не задумывалась о значении этой доски почета «лучшие люди города». Видела ее, но идеи равняться на них никогда не возникало </v>
      </c>
      <c r="K1119" s="6" t="str">
        <f>IFERROR(__xludf.DUMMYFUNCTION("""COMPUTED_VALUE"""),"Памятник шахтеру на Красной горке. Прокатились бы на аттракционах в горсаду. Фонтан у Драмтеатра. И съели бы тортик в кафе Крендель или Кондитерская 1. ")</f>
        <v>Памятник шахтеру на Красной горке. Прокатились бы на аттракционах в горсаду. Фонтан у Драмтеатра. И съели бы тортик в кафе Крендель или Кондитерская 1. </v>
      </c>
      <c r="L1119" s="6" t="str">
        <f>IFERROR(__xludf.DUMMYFUNCTION("""COMPUTED_VALUE"""),"Про криминальный Кировский. ")</f>
        <v>Про криминальный Кировский. </v>
      </c>
      <c r="M1119" s="6" t="str">
        <f>IFERROR(__xludf.DUMMYFUNCTION("""COMPUTED_VALUE"""),"Щегловск. Йети. ")</f>
        <v>Щегловск. Йети. </v>
      </c>
      <c r="N1119" s="6" t="str">
        <f>IFERROR(__xludf.DUMMYFUNCTION("""COMPUTED_VALUE"""),"Красивые улицы. Пешеходные зоны с лавочками, фонтанчиками, интересными скульптурами. Уютные кафе (кстати, в Кировском нет ни одного кафе. Есть пивнушки, но кафе нет). Наличие ресурсных центров поддержки, коворкингов. (Было тайм-кафе Кот да винчи, и то его"&amp;", кажется, закрыли). Раздельный мусор - это тренд, модно и через экологию можно выйти вперёд. ")</f>
        <v>Красивые улицы. Пешеходные зоны с лавочками, фонтанчиками, интересными скульптурами. Уютные кафе (кстати, в Кировском нет ни одного кафе. Есть пивнушки, но кафе нет). Наличие ресурсных центров поддержки, коворкингов. (Было тайм-кафе Кот да винчи, и то его, кажется, закрыли). Раздельный мусор - это тренд, модно и через экологию можно выйти вперёд. </v>
      </c>
      <c r="O1119" s="6" t="str">
        <f>IFERROR(__xludf.DUMMYFUNCTION("""COMPUTED_VALUE"""),"Город нормальный, но есть ужасные районы (Кировский, Рутгерса, конец Радуги). Люди, живущие там, гулять ездят в город, а когда вырастают, тогда уезжают вообще, потому что видеть не устроенность не приятно.  ")</f>
        <v>Город нормальный, но есть ужасные районы (Кировский, Рутгерса, конец Радуги). Люди, живущие там, гулять ездят в город, а когда вырастают, тогда уезжают вообще, потому что видеть не устроенность не приятно.  </v>
      </c>
      <c r="P1119" s="6" t="str">
        <f>IFERROR(__xludf.DUMMYFUNCTION("""COMPUTED_VALUE"""),"Как уехала, так и не интересно")</f>
        <v>Как уехала, так и не интересно</v>
      </c>
      <c r="Q1119"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1119" s="6" t="str">
        <f>IFERROR(__xludf.DUMMYFUNCTION("""COMPUTED_VALUE"""),"День шахтёра ")</f>
        <v>День шахтёра </v>
      </c>
      <c r="S1119" s="6" t="str">
        <f>IFERROR(__xludf.DUMMYFUNCTION("""COMPUTED_VALUE"""),"Когда уехала из Кемерово, работала в рай администрации в Пермском крае, там организовывала городские добровольческие  мероприятия. А в Кемерово что-то организовать - в голову не приходило.  ")</f>
        <v>Когда уехала из Кемерово, работала в рай администрации в Пермском крае, там организовывала городские добровольческие  мероприятия. А в Кемерово что-то организовать - в голову не приходило.  </v>
      </c>
      <c r="T1119" s="6" t="str">
        <f>IFERROR(__xludf.DUMMYFUNCTION("""COMPUTED_VALUE"""),"Углём.  Но пора менять уже этот не экологичный вид. Может быть позиционировать, что в Кемерово вообще есть энергия. Важные виды, на разных планах")</f>
        <v>Углём.  Но пора менять уже этот не экологичный вид. Может быть позиционировать, что в Кемерово вообще есть энергия. Важные виды, на разных планах</v>
      </c>
      <c r="U1119" s="6" t="str">
        <f>IFERROR(__xludf.DUMMYFUNCTION("""COMPUTED_VALUE"""),"Драмтеатр ")</f>
        <v>Драмтеатр </v>
      </c>
      <c r="V1119" s="6" t="str">
        <f>IFERROR(__xludf.DUMMYFUNCTION("""COMPUTED_VALUE"""),"Чтобы гордиться собой - много, - сами реализуются. Но мне кажется, собственный успех не связан с гордостью за город. ")</f>
        <v>Чтобы гордиться собой - много, - сами реализуются. Но мне кажется, собственный успех не связан с гордостью за город. </v>
      </c>
      <c r="W1119" s="6" t="str">
        <f>IFERROR(__xludf.DUMMYFUNCTION("""COMPUTED_VALUE"""),"Сначала суровые, лишний раз не улыбнутся. Но если нужна помощь, то мгновенно включатся. ")</f>
        <v>Сначала суровые, лишний раз не улыбнутся. Но если нужна помощь, то мгновенно включатся. </v>
      </c>
      <c r="X1119" s="6" t="str">
        <f>IFERROR(__xludf.DUMMYFUNCTION("""COMPUTED_VALUE"""),"Красная горка - Драмтеатр ")</f>
        <v>Красная горка - Драмтеатр </v>
      </c>
      <c r="Y1119" s="6" t="str">
        <f>IFERROR(__xludf.DUMMYFUNCTION("""COMPUTED_VALUE"""),"К сожалению, Зимняя вишня ")</f>
        <v>К сожалению, Зимняя вишня </v>
      </c>
      <c r="Z1119" s="6" t="str">
        <f>IFERROR(__xludf.DUMMYFUNCTION("""COMPUTED_VALUE"""),"Приезжал театр, мы с мамой ходили ")</f>
        <v>Приезжал театр, мы с мамой ходили </v>
      </c>
      <c r="AA1119" s="6" t="str">
        <f>IFERROR(__xludf.DUMMYFUNCTION("""COMPUTED_VALUE"""),"Нет")</f>
        <v>Нет</v>
      </c>
      <c r="AB1119" s="6" t="str">
        <f>IFERROR(__xludf.DUMMYFUNCTION("""COMPUTED_VALUE"""),"Раздельный сбор, экологических, хотя такое сообщество есть. Но у них акция раз в месяц и я на неё попала только однажды. Было бы хорошо Настольные игры")</f>
        <v>Раздельный сбор, экологических, хотя такое сообщество есть. Но у них акция раз в месяц и я на неё попала только однажды. Было бы хорошо Настольные игры</v>
      </c>
      <c r="AC1119" s="6" t="str">
        <f>IFERROR(__xludf.DUMMYFUNCTION("""COMPUTED_VALUE"""),"Соседские центры ")</f>
        <v>Соседские центры </v>
      </c>
      <c r="AD1119"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св"&amp;"ои знакомства для приглашения потенциально заинтересованных участников, Консультации по финансовой грамотности могу вести")</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Консультации по финансовой грамотности могу вести</v>
      </c>
      <c r="AE1119" s="6" t="str">
        <f>IFERROR(__xludf.DUMMYFUNCTION("""COMPUTED_VALUE"""),"Женский")</f>
        <v>Женский</v>
      </c>
      <c r="AF1119" s="6" t="str">
        <f>IFERROR(__xludf.DUMMYFUNCTION("""COMPUTED_VALUE"""),"30-44")</f>
        <v>30-44</v>
      </c>
      <c r="AG1119" s="6"/>
      <c r="AH1119" s="6"/>
      <c r="AI1119" s="6"/>
      <c r="AJ1119" s="6"/>
      <c r="AK1119" s="6"/>
      <c r="AL1119" s="6"/>
      <c r="AM1119" s="6"/>
    </row>
    <row r="1120">
      <c r="A1120" s="6">
        <v>1119.0</v>
      </c>
      <c r="B1120" s="6" t="str">
        <f>IFERROR(__xludf.DUMMYFUNCTION("""COMPUTED_VALUE"""),"журналистика")</f>
        <v>журналистика</v>
      </c>
      <c r="C1120" s="6" t="str">
        <f>IFERROR(__xludf.DUMMYFUNCTION("""COMPUTED_VALUE"""),"сноуборд, скейтборд")</f>
        <v>сноуборд, скейтборд</v>
      </c>
      <c r="D1120" s="6" t="str">
        <f>IFERROR(__xludf.DUMMYFUNCTION("""COMPUTED_VALUE"""),"Ленинский")</f>
        <v>Ленинский</v>
      </c>
      <c r="E1120" s="6" t="str">
        <f>IFERROR(__xludf.DUMMYFUNCTION("""COMPUTED_VALUE"""),"Парк Тулеева, река за Суховским, дорога к мечети")</f>
        <v>Парк Тулеева, река за Суховским, дорога к мечети</v>
      </c>
      <c r="F1120" s="6" t="str">
        <f>IFERROR(__xludf.DUMMYFUNCTION("""COMPUTED_VALUE"""),"Живу здесь с рождения")</f>
        <v>Живу здесь с рождения</v>
      </c>
      <c r="G1120" s="6" t="str">
        <f>IFERROR(__xludf.DUMMYFUNCTION("""COMPUTED_VALUE"""),"Центр: весенька, набережная")</f>
        <v>Центр: весенька, набережная</v>
      </c>
      <c r="H1120" s="6" t="str">
        <f>IFERROR(__xludf.DUMMYFUNCTION("""COMPUTED_VALUE"""),"Уголь, снег, стена, динозавры. мамонты, Сибирский пситтакозавр")</f>
        <v>Уголь, снег, стена, динозавры. мамонты, Сибирский пситтакозавр</v>
      </c>
      <c r="I1120" s="6" t="str">
        <f>IFERROR(__xludf.DUMMYFUNCTION("""COMPUTED_VALUE"""),"нет")</f>
        <v>нет</v>
      </c>
      <c r="J1120" s="6" t="str">
        <f>IFERROR(__xludf.DUMMYFUNCTION("""COMPUTED_VALUE"""),"нет")</f>
        <v>нет</v>
      </c>
      <c r="K1120" s="6" t="str">
        <f>IFERROR(__xludf.DUMMYFUNCTION("""COMPUTED_VALUE"""),"Памятник простому рабочему, который установлен рядом с Набережной во дворе домов 39, 41 и 41а по ул.Арочная.Арт-пространство «Клумба Спэйс», Сосновый бор, Суховское озеро, Центр")</f>
        <v>Памятник простому рабочему, который установлен рядом с Набережной во дворе домов 39, 41 и 41а по ул.Арочная.Арт-пространство «Клумба Спэйс», Сосновый бор, Суховское озеро, Центр</v>
      </c>
      <c r="L1120" s="6" t="str">
        <f>IFERROR(__xludf.DUMMYFUNCTION("""COMPUTED_VALUE"""),"История Дома ГУбкиных, история про старый цирк")</f>
        <v>История Дома ГУбкиных, история про старый цирк</v>
      </c>
      <c r="M1120" s="6" t="str">
        <f>IFERROR(__xludf.DUMMYFUNCTION("""COMPUTED_VALUE"""),"нет")</f>
        <v>нет</v>
      </c>
      <c r="N1120" s="6" t="str">
        <f>IFERROR(__xludf.DUMMYFUNCTION("""COMPUTED_VALUE"""),"зарплата, доступное жилье, много мест для отдыха - парки, набережные, события - концерты, фесты, кино")</f>
        <v>зарплата, доступное жилье, много мест для отдыха - парки, набережные, события - концерты, фесты, кино</v>
      </c>
      <c r="O1120" s="6" t="str">
        <f>IFERROR(__xludf.DUMMYFUNCTION("""COMPUTED_VALUE"""),"убрать стремные памятники, туалеты ужасные и вонючие в Жукова, единство внешнего вида домов, единство рекламных вывесок")</f>
        <v>убрать стремные памятники, туалеты ужасные и вонючие в Жукова, единство внешнего вида домов, единство рекламных вывесок</v>
      </c>
      <c r="P1120" s="6" t="str">
        <f>IFERROR(__xludf.DUMMYFUNCTION("""COMPUTED_VALUE"""),"Соцсети")</f>
        <v>Соцсети</v>
      </c>
      <c r="Q1120" s="6" t="str">
        <f>IFERROR(__xludf.DUMMYFUNCTION("""COMPUTED_VALUE"""),"куда пойти в свободное время, культурные новинки (что почитать/что послушать)")</f>
        <v>куда пойти в свободное время, культурные новинки (что почитать/что послушать)</v>
      </c>
      <c r="R1120" s="6" t="str">
        <f>IFERROR(__xludf.DUMMYFUNCTION("""COMPUTED_VALUE"""),"концерты, фестивали, кино")</f>
        <v>концерты, фестивали, кино</v>
      </c>
      <c r="S1120" s="6" t="str">
        <f>IFERROR(__xludf.DUMMYFUNCTION("""COMPUTED_VALUE"""),"Нет, не приходилось")</f>
        <v>Нет, не приходилось</v>
      </c>
      <c r="T1120" s="6" t="str">
        <f>IFERROR(__xludf.DUMMYFUNCTION("""COMPUTED_VALUE"""),"зимней вишней теперь, к сожалению.")</f>
        <v>зимней вишней теперь, к сожалению.</v>
      </c>
      <c r="U1120" s="6" t="str">
        <f>IFERROR(__xludf.DUMMYFUNCTION("""COMPUTED_VALUE"""),"набережная, весенняя, советский")</f>
        <v>набережная, весенняя, советский</v>
      </c>
      <c r="V1120" s="6" t="str">
        <f>IFERROR(__xludf.DUMMYFUNCTION("""COMPUTED_VALUE"""),"-")</f>
        <v>-</v>
      </c>
      <c r="W1120" s="6" t="str">
        <f>IFERROR(__xludf.DUMMYFUNCTION("""COMPUTED_VALUE"""),"выносливые")</f>
        <v>выносливые</v>
      </c>
      <c r="X1120" s="6" t="str">
        <f>IFERROR(__xludf.DUMMYFUNCTION("""COMPUTED_VALUE"""),"Центр - Лесная поляна, Набережная Кировского, бульвар строителей - набережная")</f>
        <v>Центр - Лесная поляна, Набережная Кировского, бульвар строителей - набережная</v>
      </c>
      <c r="Y1120" s="6" t="str">
        <f>IFERROR(__xludf.DUMMYFUNCTION("""COMPUTED_VALUE"""),"нет")</f>
        <v>нет</v>
      </c>
      <c r="Z1120" s="6" t="str">
        <f>IFERROR(__xludf.DUMMYFUNCTION("""COMPUTED_VALUE"""),"рок-концерт")</f>
        <v>рок-концерт</v>
      </c>
      <c r="AA1120" s="6" t="str">
        <f>IFERROR(__xludf.DUMMYFUNCTION("""COMPUTED_VALUE"""),"отсутствие нормальных событий и есть негатив")</f>
        <v>отсутствие нормальных событий и есть негатив</v>
      </c>
      <c r="AB1120" s="6" t="str">
        <f>IFERROR(__xludf.DUMMYFUNCTION("""COMPUTED_VALUE"""),"-")</f>
        <v>-</v>
      </c>
      <c r="AC1120" s="6" t="str">
        <f>IFERROR(__xludf.DUMMYFUNCTION("""COMPUTED_VALUE"""),"Больше с ориентиром на молодежь, а не на бабуль")</f>
        <v>Больше с ориентиром на молодежь, а не на бабуль</v>
      </c>
      <c r="AD112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20" s="6" t="str">
        <f>IFERROR(__xludf.DUMMYFUNCTION("""COMPUTED_VALUE"""),"Женский")</f>
        <v>Женский</v>
      </c>
      <c r="AF1120" s="6" t="str">
        <f>IFERROR(__xludf.DUMMYFUNCTION("""COMPUTED_VALUE"""),"30-44")</f>
        <v>30-44</v>
      </c>
      <c r="AG1120" s="6"/>
      <c r="AH1120" s="6"/>
      <c r="AI1120" s="6"/>
      <c r="AJ1120" s="6"/>
      <c r="AK1120" s="6"/>
      <c r="AL1120" s="6"/>
      <c r="AM1120" s="6"/>
    </row>
    <row r="1121">
      <c r="A1121" s="6">
        <v>1120.0</v>
      </c>
      <c r="B1121" s="6" t="str">
        <f>IFERROR(__xludf.DUMMYFUNCTION("""COMPUTED_VALUE"""),"Образование")</f>
        <v>Образование</v>
      </c>
      <c r="C1121" s="6" t="str">
        <f>IFERROR(__xludf.DUMMYFUNCTION("""COMPUTED_VALUE"""),"шитье")</f>
        <v>шитье</v>
      </c>
      <c r="D1121" s="6" t="str">
        <f>IFERROR(__xludf.DUMMYFUNCTION("""COMPUTED_VALUE"""),"Рудничный")</f>
        <v>Рудничный</v>
      </c>
      <c r="E1121" s="6" t="str">
        <f>IFERROR(__xludf.DUMMYFUNCTION("""COMPUTED_VALUE"""),"Лесная поляна - само по себе знаковое место")</f>
        <v>Лесная поляна - само по себе знаковое место</v>
      </c>
      <c r="F1121" s="6" t="str">
        <f>IFERROR(__xludf.DUMMYFUNCTION("""COMPUTED_VALUE"""),"Живу здесь с рождения, Переехал сюда из другого места (откуда? укажите в графе другое), Тверь, Ржев")</f>
        <v>Живу здесь с рождения, Переехал сюда из другого места (откуда? укажите в графе другое), Тверь, Ржев</v>
      </c>
      <c r="G1121" s="6" t="str">
        <f>IFERROR(__xludf.DUMMYFUNCTION("""COMPUTED_VALUE"""),"гуляю по Лесной поляне, гуляю по Центру ")</f>
        <v>гуляю по Лесной поляне, гуляю по Центру </v>
      </c>
      <c r="H1121" s="6" t="str">
        <f>IFERROR(__xludf.DUMMYFUNCTION("""COMPUTED_VALUE"""),"Тайга, Томь, два берега, заводы, плохой воздух")</f>
        <v>Тайга, Томь, два берега, заводы, плохой воздух</v>
      </c>
      <c r="I1121" s="6" t="str">
        <f>IFERROR(__xludf.DUMMYFUNCTION("""COMPUTED_VALUE"""),"нет")</f>
        <v>нет</v>
      </c>
      <c r="J1121" s="6" t="str">
        <f>IFERROR(__xludf.DUMMYFUNCTION("""COMPUTED_VALUE"""),"нет")</f>
        <v>нет</v>
      </c>
      <c r="K1121" s="6" t="str">
        <f>IFERROR(__xludf.DUMMYFUNCTION("""COMPUTED_VALUE"""),"Смотровая, где бор, Бор, Лесная поляна, центр, пруд на ФПК с утками")</f>
        <v>Смотровая, где бор, Бор, Лесная поляна, центр, пруд на ФПК с утками</v>
      </c>
      <c r="L1121" s="6" t="str">
        <f>IFERROR(__xludf.DUMMYFUNCTION("""COMPUTED_VALUE"""),"про Остров нудистов, город солнца ")</f>
        <v>про Остров нудистов, город солнца </v>
      </c>
      <c r="M1121" s="6" t="str">
        <f>IFERROR(__xludf.DUMMYFUNCTION("""COMPUTED_VALUE"""),"нет")</f>
        <v>нет</v>
      </c>
      <c r="N1121" s="6" t="str">
        <f>IFERROR(__xludf.DUMMYFUNCTION("""COMPUTED_VALUE"""),"чистота, зелень, парки, возможность погулять в ркасивом месте - если речь про внешний вид. ")</f>
        <v>чистота, зелень, парки, возможность погулять в ркасивом месте - если речь про внешний вид. </v>
      </c>
      <c r="O1121" s="6" t="str">
        <f>IFERROR(__xludf.DUMMYFUNCTION("""COMPUTED_VALUE"""),"Больше объектов, связанных с городом, а слон от улыбки или собачий памятник на набережной")</f>
        <v>Больше объектов, связанных с городом, а слон от улыбки или собачий памятник на набережной</v>
      </c>
      <c r="P1121" s="6" t="str">
        <f>IFERROR(__xludf.DUMMYFUNCTION("""COMPUTED_VALUE"""),"соцсети")</f>
        <v>соцсети</v>
      </c>
      <c r="Q1121" s="6" t="str">
        <f>IFERROR(__xludf.DUMMYFUNCTION("""COMPUTED_VALUE"""),"куда пойти в свободное время")</f>
        <v>куда пойти в свободное время</v>
      </c>
      <c r="R1121" s="6" t="str">
        <f>IFERROR(__xludf.DUMMYFUNCTION("""COMPUTED_VALUE"""),"9 мая, день города")</f>
        <v>9 мая, день города</v>
      </c>
      <c r="S1121" s="6" t="str">
        <f>IFERROR(__xludf.DUMMYFUNCTION("""COMPUTED_VALUE"""),"Нет, не приходилось")</f>
        <v>Нет, не приходилось</v>
      </c>
      <c r="T1121" s="6" t="str">
        <f>IFERROR(__xludf.DUMMYFUNCTION("""COMPUTED_VALUE"""),"унылостью")</f>
        <v>унылостью</v>
      </c>
      <c r="U1121" s="6" t="str">
        <f>IFERROR(__xludf.DUMMYFUNCTION("""COMPUTED_VALUE"""),"центр - площадь пушкина, набережная, весенняя, площадь советов")</f>
        <v>центр - площадь пушкина, набережная, весенняя, площадь советов</v>
      </c>
      <c r="V1121" s="6" t="str">
        <f>IFERROR(__xludf.DUMMYFUNCTION("""COMPUTED_VALUE"""),"не уехали отсюда")</f>
        <v>не уехали отсюда</v>
      </c>
      <c r="W1121" s="6" t="str">
        <f>IFERROR(__xludf.DUMMYFUNCTION("""COMPUTED_VALUE"""),"злые")</f>
        <v>злые</v>
      </c>
      <c r="X1121" s="6" t="str">
        <f>IFERROR(__xludf.DUMMYFUNCTION("""COMPUTED_VALUE"""),"весеннняя, пушкина, кирова, ДК Москва, советский, бор - смотровая площадка")</f>
        <v>весеннняя, пушкина, кирова, ДК Москва, советский, бор - смотровая площадка</v>
      </c>
      <c r="Y1121" s="6" t="str">
        <f>IFERROR(__xludf.DUMMYFUNCTION("""COMPUTED_VALUE"""),"уголь нашли")</f>
        <v>уголь нашли</v>
      </c>
      <c r="Z1121" s="6" t="str">
        <f>IFERROR(__xludf.DUMMYFUNCTION("""COMPUTED_VALUE"""),"нет")</f>
        <v>нет</v>
      </c>
      <c r="AA1121" s="6" t="str">
        <f>IFERROR(__xludf.DUMMYFUNCTION("""COMPUTED_VALUE"""),"вишня")</f>
        <v>вишня</v>
      </c>
      <c r="AB1121" s="6" t="str">
        <f>IFERROR(__xludf.DUMMYFUNCTION("""COMPUTED_VALUE"""),"нормальных спектаклей, наш театр отвратителен, нормальных концертов... только посмотрите афишу филармонии, нашей драмы и музтеатра... если это местное, то для кого? ")</f>
        <v>нормальных спектаклей, наш театр отвратителен, нормальных концертов... только посмотрите афишу филармонии, нашей драмы и музтеатра... если это местное, то для кого? </v>
      </c>
      <c r="AC1121" s="6" t="str">
        <f>IFERROR(__xludf.DUMMYFUNCTION("""COMPUTED_VALUE"""),"видимо привозить")</f>
        <v>видимо привозить</v>
      </c>
      <c r="AD112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21" s="6" t="str">
        <f>IFERROR(__xludf.DUMMYFUNCTION("""COMPUTED_VALUE"""),"Женский")</f>
        <v>Женский</v>
      </c>
      <c r="AF1121" s="6" t="str">
        <f>IFERROR(__xludf.DUMMYFUNCTION("""COMPUTED_VALUE"""),"30-44")</f>
        <v>30-44</v>
      </c>
      <c r="AG1121" s="6"/>
      <c r="AH1121" s="6"/>
      <c r="AI1121" s="6"/>
      <c r="AJ1121" s="6"/>
      <c r="AK1121" s="6"/>
      <c r="AL1121" s="6"/>
      <c r="AM1121" s="6"/>
    </row>
    <row r="1122">
      <c r="A1122" s="6">
        <v>1121.0</v>
      </c>
      <c r="B1122" s="6" t="str">
        <f>IFERROR(__xludf.DUMMYFUNCTION("""COMPUTED_VALUE"""),"Нахожусь в отпуске по уходу за ребёнком ")</f>
        <v>Нахожусь в отпуске по уходу за ребёнком </v>
      </c>
      <c r="C1122" s="6" t="str">
        <f>IFERROR(__xludf.DUMMYFUNCTION("""COMPUTED_VALUE"""),"Нет")</f>
        <v>Нет</v>
      </c>
      <c r="D1122" s="6" t="str">
        <f>IFERROR(__xludf.DUMMYFUNCTION("""COMPUTED_VALUE"""),"Центральный район ")</f>
        <v>Центральный район </v>
      </c>
      <c r="E1122" s="6" t="str">
        <f>IFERROR(__xludf.DUMMYFUNCTION("""COMPUTED_VALUE"""),"Пионерский бульвар,  парки")</f>
        <v>Пионерский бульвар,  парки</v>
      </c>
      <c r="F112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122" s="6" t="str">
        <f>IFERROR(__xludf.DUMMYFUNCTION("""COMPUTED_VALUE"""),"Парки отдыха")</f>
        <v>Парки отдыха</v>
      </c>
      <c r="H1122" s="6" t="str">
        <f>IFERROR(__xludf.DUMMYFUNCTION("""COMPUTED_VALUE"""),"Пыль, грязный воздух, голуби, зелень")</f>
        <v>Пыль, грязный воздух, голуби, зелень</v>
      </c>
      <c r="I1122" s="6" t="str">
        <f>IFERROR(__xludf.DUMMYFUNCTION("""COMPUTED_VALUE"""),"Не знаю ")</f>
        <v>Не знаю </v>
      </c>
      <c r="J1122" s="6" t="str">
        <f>IFERROR(__xludf.DUMMYFUNCTION("""COMPUTED_VALUE"""),"Не знаю ")</f>
        <v>Не знаю </v>
      </c>
      <c r="K1122" s="6" t="str">
        <f>IFERROR(__xludf.DUMMYFUNCTION("""COMPUTED_VALUE"""),"Набережная,  памятник шахтеру, сосновый бор")</f>
        <v>Набережная,  памятник шахтеру, сосновый бор</v>
      </c>
      <c r="L1122" s="6" t="str">
        <f>IFERROR(__xludf.DUMMYFUNCTION("""COMPUTED_VALUE"""),"Не знаю")</f>
        <v>Не знаю</v>
      </c>
      <c r="M1122" s="6" t="str">
        <f>IFERROR(__xludf.DUMMYFUNCTION("""COMPUTED_VALUE"""),"Нет")</f>
        <v>Нет</v>
      </c>
      <c r="N1122" s="6" t="str">
        <f>IFERROR(__xludf.DUMMYFUNCTION("""COMPUTED_VALUE"""),"Чистый воздух, хорошие дороги, доступный транспорт, много зелени, места отдыха для детей")</f>
        <v>Чистый воздух, хорошие дороги, доступный транспорт, много зелени, места отдыха для детей</v>
      </c>
      <c r="O1122" s="6" t="str">
        <f>IFERROR(__xludf.DUMMYFUNCTION("""COMPUTED_VALUE"""),"Воздух")</f>
        <v>Воздух</v>
      </c>
      <c r="P1122" s="6" t="str">
        <f>IFERROR(__xludf.DUMMYFUNCTION("""COMPUTED_VALUE"""),"В контакте и в инстаграмме группы все 42, ")</f>
        <v>В контакте и в инстаграмме группы все 42, </v>
      </c>
      <c r="Q1122" s="6" t="str">
        <f>IFERROR(__xludf.DUMMYFUNCTION("""COMPUTED_VALUE"""),"где вкусно поесть/открытие новых кафе/ресторанов, 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f>
        <v>где вкусно поесть/открытие новых кафе/ресторанов, 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v>
      </c>
      <c r="R1122" s="6" t="str">
        <f>IFERROR(__xludf.DUMMYFUNCTION("""COMPUTED_VALUE"""),"Никакие")</f>
        <v>Никакие</v>
      </c>
      <c r="S1122" s="6" t="str">
        <f>IFERROR(__xludf.DUMMYFUNCTION("""COMPUTED_VALUE"""),"Нет, не приходилось")</f>
        <v>Нет, не приходилось</v>
      </c>
      <c r="T1122" s="6" t="str">
        <f>IFERROR(__xludf.DUMMYFUNCTION("""COMPUTED_VALUE"""),"Не знаю")</f>
        <v>Не знаю</v>
      </c>
      <c r="U1122" s="6" t="str">
        <f>IFERROR(__xludf.DUMMYFUNCTION("""COMPUTED_VALUE"""),"Старый центр у набережной и площадь пушкина")</f>
        <v>Старый центр у набережной и площадь пушкина</v>
      </c>
      <c r="V1122" s="6" t="str">
        <f>IFERROR(__xludf.DUMMYFUNCTION("""COMPUTED_VALUE"""),"Не знаю")</f>
        <v>Не знаю</v>
      </c>
      <c r="W1122" s="6" t="str">
        <f>IFERROR(__xludf.DUMMYFUNCTION("""COMPUTED_VALUE"""),"Не знаю")</f>
        <v>Не знаю</v>
      </c>
      <c r="X1122" s="6" t="str">
        <f>IFERROR(__xludf.DUMMYFUNCTION("""COMPUTED_VALUE"""),"Старый центр")</f>
        <v>Старый центр</v>
      </c>
      <c r="Y1122" s="6" t="str">
        <f>IFERROR(__xludf.DUMMYFUNCTION("""COMPUTED_VALUE"""),"Не хнаю")</f>
        <v>Не хнаю</v>
      </c>
      <c r="Z1122" s="6" t="str">
        <f>IFERROR(__xludf.DUMMYFUNCTION("""COMPUTED_VALUE"""),"Никакие")</f>
        <v>Никакие</v>
      </c>
      <c r="AA1122" s="6" t="str">
        <f>IFERROR(__xludf.DUMMYFUNCTION("""COMPUTED_VALUE"""),"Зимняя вишня")</f>
        <v>Зимняя вишня</v>
      </c>
      <c r="AB1122" s="6" t="str">
        <f>IFERROR(__xludf.DUMMYFUNCTION("""COMPUTED_VALUE"""),"Никаких")</f>
        <v>Никаких</v>
      </c>
      <c r="AC1122" s="6" t="str">
        <f>IFERROR(__xludf.DUMMYFUNCTION("""COMPUTED_VALUE"""),"Не знаю")</f>
        <v>Не знаю</v>
      </c>
      <c r="AD112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22" s="6" t="str">
        <f>IFERROR(__xludf.DUMMYFUNCTION("""COMPUTED_VALUE"""),"Женский")</f>
        <v>Женский</v>
      </c>
      <c r="AF1122" s="6" t="str">
        <f>IFERROR(__xludf.DUMMYFUNCTION("""COMPUTED_VALUE"""),"30-44")</f>
        <v>30-44</v>
      </c>
      <c r="AG1122" s="6"/>
      <c r="AH1122" s="6"/>
      <c r="AI1122" s="6"/>
      <c r="AJ1122" s="6"/>
      <c r="AK1122" s="6"/>
      <c r="AL1122" s="6"/>
      <c r="AM1122" s="6"/>
    </row>
    <row r="1123">
      <c r="A1123" s="6">
        <v>1122.0</v>
      </c>
      <c r="B1123" s="6" t="str">
        <f>IFERROR(__xludf.DUMMYFUNCTION("""COMPUTED_VALUE"""),"Работаю")</f>
        <v>Работаю</v>
      </c>
      <c r="C1123" s="6" t="str">
        <f>IFERROR(__xludf.DUMMYFUNCTION("""COMPUTED_VALUE"""),"Да, туризм")</f>
        <v>Да, туризм</v>
      </c>
      <c r="D1123" s="6" t="str">
        <f>IFERROR(__xludf.DUMMYFUNCTION("""COMPUTED_VALUE"""),"Рудничный")</f>
        <v>Рудничный</v>
      </c>
      <c r="E1123" s="6" t="str">
        <f>IFERROR(__xludf.DUMMYFUNCTION("""COMPUTED_VALUE"""),"Кедровый бор")</f>
        <v>Кедровый бор</v>
      </c>
      <c r="F1123"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1123" s="6" t="str">
        <f>IFERROR(__xludf.DUMMYFUNCTION("""COMPUTED_VALUE"""),"Кедровый бор, Сосновый бор")</f>
        <v>Кедровый бор, Сосновый бор</v>
      </c>
      <c r="H1123" s="6" t="str">
        <f>IFERROR(__xludf.DUMMYFUNCTION("""COMPUTED_VALUE"""),"Смог, пробки, коррупция, безработица, безнадёга")</f>
        <v>Смог, пробки, коррупция, безработица, безнадёга</v>
      </c>
      <c r="I1123" s="6" t="str">
        <f>IFERROR(__xludf.DUMMYFUNCTION("""COMPUTED_VALUE"""),"Тулеев")</f>
        <v>Тулеев</v>
      </c>
      <c r="J1123" s="6" t="str">
        <f>IFERROR(__xludf.DUMMYFUNCTION("""COMPUTED_VALUE"""),"Не знаю")</f>
        <v>Не знаю</v>
      </c>
      <c r="K1123" s="6" t="str">
        <f>IFERROR(__xludf.DUMMYFUNCTION("""COMPUTED_VALUE"""),"Памятник шахтёрам, музей Красная горка")</f>
        <v>Памятник шахтёрам, музей Красная горка</v>
      </c>
      <c r="L1123" s="6" t="str">
        <f>IFERROR(__xludf.DUMMYFUNCTION("""COMPUTED_VALUE"""),"Не знаю")</f>
        <v>Не знаю</v>
      </c>
      <c r="M1123" s="6" t="str">
        <f>IFERROR(__xludf.DUMMYFUNCTION("""COMPUTED_VALUE"""),"""Человек из Кировского"" - не особо умный, медлительный")</f>
        <v>"Человек из Кировского" - не особо умный, медлительный</v>
      </c>
      <c r="N1123" s="6" t="str">
        <f>IFERROR(__xludf.DUMMYFUNCTION("""COMPUTED_VALUE"""),"Транспортная доступность, парки, освещение ночное, чистота улиц, безопасность")</f>
        <v>Транспортная доступность, парки, освещение ночное, чистота улиц, безопасность</v>
      </c>
      <c r="O1123" s="6" t="str">
        <f>IFERROR(__xludf.DUMMYFUNCTION("""COMPUTED_VALUE"""),"Количество хорошооплачиваемой работы")</f>
        <v>Количество хорошооплачиваемой работы</v>
      </c>
      <c r="P1123" s="6" t="str">
        <f>IFERROR(__xludf.DUMMYFUNCTION("""COMPUTED_VALUE"""),"Новостные сайты")</f>
        <v>Новостные сайты</v>
      </c>
      <c r="Q1123"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f>
        <v>куда пойти в свободное время, новости про новые профессии/куда поступать/вакансии, бизнес-новости (средний чек/рекламные акции/запуск новых предприятий)</v>
      </c>
      <c r="R1123" s="6" t="str">
        <f>IFERROR(__xludf.DUMMYFUNCTION("""COMPUTED_VALUE"""),"Никакие")</f>
        <v>Никакие</v>
      </c>
      <c r="S1123" s="6" t="str">
        <f>IFERROR(__xludf.DUMMYFUNCTION("""COMPUTED_VALUE"""),"Нет, не приходилось")</f>
        <v>Нет, не приходилось</v>
      </c>
      <c r="T1123" s="6" t="str">
        <f>IFERROR(__xludf.DUMMYFUNCTION("""COMPUTED_VALUE"""),"Только печальная известность, до Зимней вишни никто толком и не знал, где это Кемерово. Уникального не замечала")</f>
        <v>Только печальная известность, до Зимней вишни никто толком и не знал, где это Кемерово. Уникального не замечала</v>
      </c>
      <c r="U1123" s="6" t="str">
        <f>IFERROR(__xludf.DUMMYFUNCTION("""COMPUTED_VALUE"""),"Драмтеатр")</f>
        <v>Драмтеатр</v>
      </c>
      <c r="V1123" s="6" t="str">
        <f>IFERROR(__xludf.DUMMYFUNCTION("""COMPUTED_VALUE"""),"Кемеровчане советского периода строили и создавали предприятия, шахты, и могли этим гордиться.")</f>
        <v>Кемеровчане советского периода строили и создавали предприятия, шахты, и могли этим гордиться.</v>
      </c>
      <c r="W1123" s="6" t="str">
        <f>IFERROR(__xludf.DUMMYFUNCTION("""COMPUTED_VALUE"""),"Замкнутые, депрессивные, подавленные")</f>
        <v>Замкнутые, депрессивные, подавленные</v>
      </c>
      <c r="X1123" s="6" t="str">
        <f>IFERROR(__xludf.DUMMYFUNCTION("""COMPUTED_VALUE"""),"Проспект Советский, Весенняя, набережная")</f>
        <v>Проспект Советский, Весенняя, набережная</v>
      </c>
      <c r="Y1123" s="6" t="str">
        <f>IFERROR(__xludf.DUMMYFUNCTION("""COMPUTED_VALUE"""),"Решение о назначении Кемерово областным городом")</f>
        <v>Решение о назначении Кемерово областным городом</v>
      </c>
      <c r="Z1123" s="6" t="str">
        <f>IFERROR(__xludf.DUMMYFUNCTION("""COMPUTED_VALUE"""),"Рокфестиваль")</f>
        <v>Рокфестиваль</v>
      </c>
      <c r="AA1123" s="6" t="str">
        <f>IFERROR(__xludf.DUMMYFUNCTION("""COMPUTED_VALUE"""),"Ежедневные новости об авариях на дорогах")</f>
        <v>Ежедневные новости об авариях на дорогах</v>
      </c>
      <c r="AB1123" s="6" t="str">
        <f>IFERROR(__xludf.DUMMYFUNCTION("""COMPUTED_VALUE"""),"Для общения людей старше 35-40 лет. В Рудничном районе некуда пойти абсолютно")</f>
        <v>Для общения людей старше 35-40 лет. В Рудничном районе некуда пойти абсолютно</v>
      </c>
      <c r="AC1123" s="6" t="str">
        <f>IFERROR(__xludf.DUMMYFUNCTION("""COMPUTED_VALUE"""),"Фестивали, соревнования типа Стальной характер, выставки ")</f>
        <v>Фестивали, соревнования типа Стальной характер, выставки </v>
      </c>
      <c r="AD112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123" s="6" t="str">
        <f>IFERROR(__xludf.DUMMYFUNCTION("""COMPUTED_VALUE"""),"Женский")</f>
        <v>Женский</v>
      </c>
      <c r="AF1123" s="6" t="str">
        <f>IFERROR(__xludf.DUMMYFUNCTION("""COMPUTED_VALUE"""),"45-55")</f>
        <v>45-55</v>
      </c>
      <c r="AG1123" s="6"/>
      <c r="AH1123" s="6"/>
      <c r="AI1123" s="6"/>
      <c r="AJ1123" s="6"/>
      <c r="AK1123" s="6"/>
      <c r="AL1123" s="6"/>
      <c r="AM1123" s="6"/>
    </row>
    <row r="1124">
      <c r="A1124" s="6">
        <v>1123.0</v>
      </c>
      <c r="B1124" s="6" t="str">
        <f>IFERROR(__xludf.DUMMYFUNCTION("""COMPUTED_VALUE"""),"Бизнесмен")</f>
        <v>Бизнесмен</v>
      </c>
      <c r="C1124" s="6" t="str">
        <f>IFERROR(__xludf.DUMMYFUNCTION("""COMPUTED_VALUE"""),"Спорт (пауэрлифтинг жим лежа IPF)")</f>
        <v>Спорт (пауэрлифтинг жим лежа IPF)</v>
      </c>
      <c r="D1124" s="6" t="str">
        <f>IFERROR(__xludf.DUMMYFUNCTION("""COMPUTED_VALUE"""),"Радужный р-н (радуга)")</f>
        <v>Радужный р-н (радуга)</v>
      </c>
      <c r="E1124" s="6" t="str">
        <f>IFERROR(__xludf.DUMMYFUNCTION("""COMPUTED_VALUE"""),"Красная горка")</f>
        <v>Красная горка</v>
      </c>
      <c r="F1124" s="6" t="str">
        <f>IFERROR(__xludf.DUMMYFUNCTION("""COMPUTED_VALUE"""),"Живу здесь с рождения")</f>
        <v>Живу здесь с рождения</v>
      </c>
      <c r="G1124" s="6" t="str">
        <f>IFERROR(__xludf.DUMMYFUNCTION("""COMPUTED_VALUE"""),"Сосновый бор, горсад, набережная")</f>
        <v>Сосновый бор, горсад, набережная</v>
      </c>
      <c r="H1124" s="6" t="str">
        <f>IFERROR(__xludf.DUMMYFUNCTION("""COMPUTED_VALUE"""),"Уголь, задымленный, Томь, спокойный, терпеливый")</f>
        <v>Уголь, задымленный, Томь, спокойный, терпеливый</v>
      </c>
      <c r="I1124" s="6" t="str">
        <f>IFERROR(__xludf.DUMMYFUNCTION("""COMPUTED_VALUE"""),"Волков Михайло, Рутгерс Себальд")</f>
        <v>Волков Михайло, Рутгерс Себальд</v>
      </c>
      <c r="J1124" s="6" t="str">
        <f>IFERROR(__xludf.DUMMYFUNCTION("""COMPUTED_VALUE"""),"Мартемьянов Владимир, Якунин Игорь, Раздаев Виталий")</f>
        <v>Мартемьянов Владимир, Якунин Игорь, Раздаев Виталий</v>
      </c>
      <c r="K1124" s="6" t="str">
        <f>IFERROR(__xludf.DUMMYFUNCTION("""COMPUTED_VALUE"""),"Красную горку, парк в Лесной поляне, площадь Советов зимой")</f>
        <v>Красную горку, парк в Лесной поляне, площадь Советов зимой</v>
      </c>
      <c r="L1124" s="6" t="str">
        <f>IFERROR(__xludf.DUMMYFUNCTION("""COMPUTED_VALUE"""),"""Дети, простите... """)</f>
        <v>"Дети, простите... "</v>
      </c>
      <c r="M1124" s="6" t="str">
        <f>IFERROR(__xludf.DUMMYFUNCTION("""COMPUTED_VALUE"""),"в Центральной России файл, а в Кемерово и всей Сибири — мультифора")</f>
        <v>в Центральной России файл, а в Кемерово и всей Сибири — мультифора</v>
      </c>
      <c r="N1124" s="6" t="str">
        <f>IFERROR(__xludf.DUMMYFUNCTION("""COMPUTED_VALUE"""),"Нет суеты")</f>
        <v>Нет суеты</v>
      </c>
      <c r="O1124" s="6" t="str">
        <f>IFERROR(__xludf.DUMMYFUNCTION("""COMPUTED_VALUE"""),"Поднять уровень жизни, увеличить З/П и количество рабочих мест ")</f>
        <v>Поднять уровень жизни, увеличить З/П и количество рабочих мест </v>
      </c>
      <c r="P1124" s="6" t="str">
        <f>IFERROR(__xludf.DUMMYFUNCTION("""COMPUTED_VALUE"""),"https://vse42.ru  , типичный Кемерово vk")</f>
        <v>https://vse42.ru  , типичный Кемерово vk</v>
      </c>
      <c r="Q1124"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124" s="6" t="str">
        <f>IFERROR(__xludf.DUMMYFUNCTION("""COMPUTED_VALUE"""),"День шахтеров")</f>
        <v>День шахтеров</v>
      </c>
      <c r="S1124" s="6" t="str">
        <f>IFERROR(__xludf.DUMMYFUNCTION("""COMPUTED_VALUE"""),"Нет, не приходилось")</f>
        <v>Нет, не приходилось</v>
      </c>
      <c r="T1124" s="6" t="str">
        <f>IFERROR(__xludf.DUMMYFUNCTION("""COMPUTED_VALUE"""),"Ничем")</f>
        <v>Ничем</v>
      </c>
      <c r="U1124" s="6" t="str">
        <f>IFERROR(__xludf.DUMMYFUNCTION("""COMPUTED_VALUE"""),"Площадь советов")</f>
        <v>Площадь советов</v>
      </c>
      <c r="V1124" s="6" t="str">
        <f>IFERROR(__xludf.DUMMYFUNCTION("""COMPUTED_VALUE"""),"Ничего выдающегося")</f>
        <v>Ничего выдающегося</v>
      </c>
      <c r="W1124" s="6" t="str">
        <f>IFERROR(__xludf.DUMMYFUNCTION("""COMPUTED_VALUE"""),"большая половина предельно пессимистичные и терпеливые")</f>
        <v>большая половина предельно пессимистичные и терпеливые</v>
      </c>
      <c r="X1124" s="6" t="str">
        <f>IFERROR(__xludf.DUMMYFUNCTION("""COMPUTED_VALUE"""),"Весенняя - Набережная - Университетский мост - Парк Антошка")</f>
        <v>Весенняя - Набережная - Университетский мост - Парк Антошка</v>
      </c>
      <c r="Y1124" s="6" t="str">
        <f>IFERROR(__xludf.DUMMYFUNCTION("""COMPUTED_VALUE"""),"Bandy 2007")</f>
        <v>Bandy 2007</v>
      </c>
      <c r="Z1124" s="6" t="str">
        <f>IFERROR(__xludf.DUMMYFUNCTION("""COMPUTED_VALUE"""),"Развитие инфраструктуры")</f>
        <v>Развитие инфраструктуры</v>
      </c>
      <c r="AA1124" s="6" t="str">
        <f>IFERROR(__xludf.DUMMYFUNCTION("""COMPUTED_VALUE"""),"Искусственное завышение цен на недвижимость")</f>
        <v>Искусственное завышение цен на недвижимость</v>
      </c>
      <c r="AB1124" s="6" t="str">
        <f>IFERROR(__xludf.DUMMYFUNCTION("""COMPUTED_VALUE"""),"Всех хватает")</f>
        <v>Всех хватает</v>
      </c>
      <c r="AC1124" s="6" t="str">
        <f>IFERROR(__xludf.DUMMYFUNCTION("""COMPUTED_VALUE"""),"Культурные, научные выставки. Развитие футбола, хоккея с мячом, с шайбой")</f>
        <v>Культурные, научные выставки. Развитие футбола, хоккея с мячом, с шайбой</v>
      </c>
      <c r="AD1124"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124" s="6" t="str">
        <f>IFERROR(__xludf.DUMMYFUNCTION("""COMPUTED_VALUE"""),"Мужской")</f>
        <v>Мужской</v>
      </c>
      <c r="AF1124" s="6" t="str">
        <f>IFERROR(__xludf.DUMMYFUNCTION("""COMPUTED_VALUE"""),"18-29")</f>
        <v>18-29</v>
      </c>
      <c r="AG1124" s="6"/>
      <c r="AH1124" s="6"/>
      <c r="AI1124" s="6"/>
      <c r="AJ1124" s="6"/>
      <c r="AK1124" s="6"/>
      <c r="AL1124" s="6"/>
      <c r="AM1124" s="6"/>
    </row>
    <row r="1125">
      <c r="A1125" s="6">
        <v>1124.0</v>
      </c>
      <c r="B1125" s="6" t="str">
        <f>IFERROR(__xludf.DUMMYFUNCTION("""COMPUTED_VALUE"""),"Производство химпромышленности")</f>
        <v>Производство химпромышленности</v>
      </c>
      <c r="C1125" s="6" t="str">
        <f>IFERROR(__xludf.DUMMYFUNCTION("""COMPUTED_VALUE"""),"Рисование")</f>
        <v>Рисование</v>
      </c>
      <c r="D1125" s="6" t="str">
        <f>IFERROR(__xludf.DUMMYFUNCTION("""COMPUTED_VALUE"""),"Рудничный")</f>
        <v>Рудничный</v>
      </c>
      <c r="E1125" s="6" t="str">
        <f>IFERROR(__xludf.DUMMYFUNCTION("""COMPUTED_VALUE"""),"мало гуляю, люблю природу и дачу, поэтому не знаю")</f>
        <v>мало гуляю, люблю природу и дачу, поэтому не знаю</v>
      </c>
      <c r="F1125" s="6" t="str">
        <f>IFERROR(__xludf.DUMMYFUNCTION("""COMPUTED_VALUE"""),"Переехал сюда из другого места (откуда? укажите в графе другое), из Самары")</f>
        <v>Переехал сюда из другого места (откуда? укажите в графе другое), из Самары</v>
      </c>
      <c r="G1125" s="6" t="str">
        <f>IFERROR(__xludf.DUMMYFUNCTION("""COMPUTED_VALUE"""),"На дачу, на природу")</f>
        <v>На дачу, на природу</v>
      </c>
      <c r="H1125" s="6" t="str">
        <f>IFERROR(__xludf.DUMMYFUNCTION("""COMPUTED_VALUE"""),"Уголь, промышленность, тайга, красивая природа")</f>
        <v>Уголь, промышленность, тайга, красивая природа</v>
      </c>
      <c r="I1125" s="6" t="str">
        <f>IFERROR(__xludf.DUMMYFUNCTION("""COMPUTED_VALUE"""),"не знаю")</f>
        <v>не знаю</v>
      </c>
      <c r="J1125" s="6" t="str">
        <f>IFERROR(__xludf.DUMMYFUNCTION("""COMPUTED_VALUE"""),"не знаю")</f>
        <v>не знаю</v>
      </c>
      <c r="K1125" s="6" t="str">
        <f>IFERROR(__xludf.DUMMYFUNCTION("""COMPUTED_VALUE"""),"ЦЕнтральный район, Лесную поляну")</f>
        <v>ЦЕнтральный район, Лесную поляну</v>
      </c>
      <c r="L1125" s="6" t="str">
        <f>IFERROR(__xludf.DUMMYFUNCTION("""COMPUTED_VALUE"""),"не знаю")</f>
        <v>не знаю</v>
      </c>
      <c r="M1125" s="6" t="str">
        <f>IFERROR(__xludf.DUMMYFUNCTION("""COMPUTED_VALUE"""),"нет")</f>
        <v>нет</v>
      </c>
      <c r="N1125" s="6" t="str">
        <f>IFERROR(__xludf.DUMMYFUNCTION("""COMPUTED_VALUE"""),"Образование детей, возможность здесь работать и получать за это хорошую зарплату, чистый и красивый, с развитой инфраструктурой")</f>
        <v>Образование детей, возможность здесь работать и получать за это хорошую зарплату, чистый и красивый, с развитой инфраструктурой</v>
      </c>
      <c r="O1125" s="6" t="str">
        <f>IFERROR(__xludf.DUMMYFUNCTION("""COMPUTED_VALUE"""),"теплые остановки (особенно на Лесной поляне), люди пока доходят до нее, пока ждут автобус, очень сильно замерзают и это не только в -35")</f>
        <v>теплые остановки (особенно на Лесной поляне), люди пока доходят до нее, пока ждут автобус, очень сильно замерзают и это не только в -35</v>
      </c>
      <c r="P1125" s="6" t="str">
        <f>IFERROR(__xludf.DUMMYFUNCTION("""COMPUTED_VALUE"""),"тв")</f>
        <v>тв</v>
      </c>
      <c r="Q1125"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125" s="6" t="str">
        <f>IFERROR(__xludf.DUMMYFUNCTION("""COMPUTED_VALUE"""),"день химика")</f>
        <v>день химика</v>
      </c>
      <c r="S1125" s="6" t="str">
        <f>IFERROR(__xludf.DUMMYFUNCTION("""COMPUTED_VALUE"""),"Нет, не приходилось")</f>
        <v>Нет, не приходилось</v>
      </c>
      <c r="T1125" s="6" t="str">
        <f>IFERROR(__xludf.DUMMYFUNCTION("""COMPUTED_VALUE"""),"резкоменяющийся климат - от минус 40 до плюс 40. отсюда особый характер - переменчивый, с желанием выжить, приспособиться")</f>
        <v>резкоменяющийся климат - от минус 40 до плюс 40. отсюда особый характер - переменчивый, с желанием выжить, приспособиться</v>
      </c>
      <c r="U1125" s="6" t="str">
        <f>IFERROR(__xludf.DUMMYFUNCTION("""COMPUTED_VALUE"""),"Набережная")</f>
        <v>Набережная</v>
      </c>
      <c r="V1125" s="6" t="str">
        <f>IFERROR(__xludf.DUMMYFUNCTION("""COMPUTED_VALUE"""),"нашли уголь")</f>
        <v>нашли уголь</v>
      </c>
      <c r="W1125" s="6" t="str">
        <f>IFERROR(__xludf.DUMMYFUNCTION("""COMPUTED_VALUE"""),"ответил в вопрос 19")</f>
        <v>ответил в вопрос 19</v>
      </c>
      <c r="X1125" s="6" t="str">
        <f>IFERROR(__xludf.DUMMYFUNCTION("""COMPUTED_VALUE"""),"Центр, Бор, а потом за город - Елыкаевская слобода, Томская писаница, Кедровый бор...")</f>
        <v>Центр, Бор, а потом за город - Елыкаевская слобода, Томская писаница, Кедровый бор...</v>
      </c>
      <c r="Y1125" s="6" t="str">
        <f>IFERROR(__xludf.DUMMYFUNCTION("""COMPUTED_VALUE"""),"не знаю")</f>
        <v>не знаю</v>
      </c>
      <c r="Z1125" s="6" t="str">
        <f>IFERROR(__xludf.DUMMYFUNCTION("""COMPUTED_VALUE"""),"не знаю")</f>
        <v>не знаю</v>
      </c>
      <c r="AA1125" s="6" t="str">
        <f>IFERROR(__xludf.DUMMYFUNCTION("""COMPUTED_VALUE"""),"вишня")</f>
        <v>вишня</v>
      </c>
      <c r="AB1125" s="6" t="str">
        <f>IFERROR(__xludf.DUMMYFUNCTION("""COMPUTED_VALUE"""),"не знаю")</f>
        <v>не знаю</v>
      </c>
      <c r="AC1125" s="6" t="str">
        <f>IFERROR(__xludf.DUMMYFUNCTION("""COMPUTED_VALUE"""),"не знаю")</f>
        <v>не знаю</v>
      </c>
      <c r="AD112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25" s="6" t="str">
        <f>IFERROR(__xludf.DUMMYFUNCTION("""COMPUTED_VALUE"""),"Мужской")</f>
        <v>Мужской</v>
      </c>
      <c r="AF1125" s="6" t="str">
        <f>IFERROR(__xludf.DUMMYFUNCTION("""COMPUTED_VALUE"""),"старше 55")</f>
        <v>старше 55</v>
      </c>
      <c r="AG1125" s="6"/>
      <c r="AH1125" s="6"/>
      <c r="AI1125" s="6"/>
      <c r="AJ1125" s="6"/>
      <c r="AK1125" s="6"/>
      <c r="AL1125" s="6"/>
      <c r="AM1125" s="6"/>
    </row>
    <row r="1126">
      <c r="A1126" s="6">
        <v>1125.0</v>
      </c>
      <c r="B1126" s="6" t="str">
        <f>IFERROR(__xludf.DUMMYFUNCTION("""COMPUTED_VALUE"""),"Предприниматель, блогер ")</f>
        <v>Предприниматель, блогер </v>
      </c>
      <c r="C1126" s="6" t="str">
        <f>IFERROR(__xludf.DUMMYFUNCTION("""COMPUTED_VALUE"""),"Находить новые места для отдыха и досуга в Кемерово ")</f>
        <v>Находить новые места для отдыха и досуга в Кемерово </v>
      </c>
      <c r="D1126" s="6" t="str">
        <f>IFERROR(__xludf.DUMMYFUNCTION("""COMPUTED_VALUE"""),"В Центре. Центральный.")</f>
        <v>В Центре. Центральный.</v>
      </c>
      <c r="E1126" s="6" t="str">
        <f>IFERROR(__xludf.DUMMYFUNCTION("""COMPUTED_VALUE"""),"Нам очень нравится парк Орбита. Музыкальный фонтан около Филармонии. Площадь Советов")</f>
        <v>Нам очень нравится парк Орбита. Музыкальный фонтан около Филармонии. Площадь Советов</v>
      </c>
      <c r="F1126" s="6" t="str">
        <f>IFERROR(__xludf.DUMMYFUNCTION("""COMPUTED_VALUE"""),"Живу здесь с рождения, Родилась здесь, потом переехали, вернулилась в 5 классе. ")</f>
        <v>Живу здесь с рождения, Родилась здесь, потом переехали, вернулилась в 5 классе. </v>
      </c>
      <c r="G1126" s="6" t="str">
        <f>IFERROR(__xludf.DUMMYFUNCTION("""COMPUTED_VALUE"""),"Гуляем по центру.")</f>
        <v>Гуляем по центру.</v>
      </c>
      <c r="H1126" s="6" t="str">
        <f>IFERROR(__xludf.DUMMYFUNCTION("""COMPUTED_VALUE"""),"Родной, уютный, красивый, приятный, зелёный.")</f>
        <v>Родной, уютный, красивый, приятный, зелёный.</v>
      </c>
      <c r="I1126" s="6" t="str">
        <f>IFERROR(__xludf.DUMMYFUNCTION("""COMPUTED_VALUE"""),"Леонов")</f>
        <v>Леонов</v>
      </c>
      <c r="J1126" s="6" t="str">
        <f>IFERROR(__xludf.DUMMYFUNCTION("""COMPUTED_VALUE"""),"Жаворонков Р.В.")</f>
        <v>Жаворонков Р.В.</v>
      </c>
      <c r="K1126" s="6" t="str">
        <f>IFERROR(__xludf.DUMMYFUNCTION("""COMPUTED_VALUE"""),"Красная горка")</f>
        <v>Красная горка</v>
      </c>
      <c r="L1126" s="6" t="str">
        <f>IFERROR(__xludf.DUMMYFUNCTION("""COMPUTED_VALUE"""),"Все отмечают, что у нас в городе очень спокойное движение. Водители пропускают пешеходов. Даже если кто-то нарушает правила или торопится, все равно пониманием относятся и не сигналят.")</f>
        <v>Все отмечают, что у нас в городе очень спокойное движение. Водители пропускают пешеходов. Даже если кто-то нарушает правила или торопится, все равно пониманием относятся и не сигналят.</v>
      </c>
      <c r="M1126" s="6" t="str">
        <f>IFERROR(__xludf.DUMMYFUNCTION("""COMPUTED_VALUE"""),"Нет")</f>
        <v>Нет</v>
      </c>
      <c r="N1126" s="6" t="str">
        <f>IFERROR(__xludf.DUMMYFUNCTION("""COMPUTED_VALUE"""),"Парки отдыха, рестораны, детские площадки, парковки, чистый воздух")</f>
        <v>Парки отдыха, рестораны, детские площадки, парковки, чистый воздух</v>
      </c>
      <c r="O1126" s="6" t="str">
        <f>IFERROR(__xludf.DUMMYFUNCTION("""COMPUTED_VALUE"""),"Улучшить экологию. В центре очень часто очень плохо пахнет выбросами с заводов. ")</f>
        <v>Улучшить экологию. В центре очень часто очень плохо пахнет выбросами с заводов. </v>
      </c>
      <c r="P1126" s="6" t="str">
        <f>IFERROR(__xludf.DUMMYFUNCTION("""COMPUTED_VALUE"""),"To Do Box - сервис по подбору впечатлений ")</f>
        <v>To Do Box - сервис по подбору впечатлений </v>
      </c>
      <c r="Q112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126" s="6" t="str">
        <f>IFERROR(__xludf.DUMMYFUNCTION("""COMPUTED_VALUE"""),"9 мая ")</f>
        <v>9 мая </v>
      </c>
      <c r="S1126" s="6" t="str">
        <f>IFERROR(__xludf.DUMMYFUNCTION("""COMPUTED_VALUE"""),"Да, и сама организовывала и писала о других в своём блоге")</f>
        <v>Да, и сама организовывала и писала о других в своём блоге</v>
      </c>
      <c r="T1126" s="6" t="str">
        <f>IFERROR(__xludf.DUMMYFUNCTION("""COMPUTED_VALUE"""),"Уникален добычей угля. Однако из самых сложных профессий- шахтёры. ")</f>
        <v>Уникален добычей угля. Однако из самых сложных профессий- шахтёры. </v>
      </c>
      <c r="U1126" s="6" t="str">
        <f>IFERROR(__xludf.DUMMYFUNCTION("""COMPUTED_VALUE"""),"Площадь Советов")</f>
        <v>Площадь Советов</v>
      </c>
      <c r="V1126" s="6" t="str">
        <f>IFERROR(__xludf.DUMMYFUNCTION("""COMPUTED_VALUE"""),"Изначально проектировали и строили широкие дороги ")</f>
        <v>Изначально проектировали и строили широкие дороги </v>
      </c>
      <c r="W1126" s="6" t="str">
        <f>IFERROR(__xludf.DUMMYFUNCTION("""COMPUTED_VALUE"""),"Добрые, отзывчивые, приветливые.")</f>
        <v>Добрые, отзывчивые, приветливые.</v>
      </c>
      <c r="X1126" s="6" t="str">
        <f>IFERROR(__xludf.DUMMYFUNCTION("""COMPUTED_VALUE"""),"От парка Чудес по набережной до вечного огня, потом до фонтана и оттуда через площадь Советов как парк Жукова.")</f>
        <v>От парка Чудес по набережной до вечного огня, потом до фонтана и оттуда через площадь Советов как парк Жукова.</v>
      </c>
      <c r="Y1126" s="6" t="str">
        <f>IFERROR(__xludf.DUMMYFUNCTION("""COMPUTED_VALUE"""),"Нахождение угля ")</f>
        <v>Нахождение угля </v>
      </c>
      <c r="Z1126" s="6" t="str">
        <f>IFERROR(__xludf.DUMMYFUNCTION("""COMPUTED_VALUE"""),"Небофест, открытие различных квизов в городе, благоустройство территории напротив кемерово-сити.")</f>
        <v>Небофест, открытие различных квизов в городе, благоустройство территории напротив кемерово-сити.</v>
      </c>
      <c r="AA1126" s="6" t="str">
        <f>IFERROR(__xludf.DUMMYFUNCTION("""COMPUTED_VALUE"""),"Зимняя Вишня ")</f>
        <v>Зимняя Вишня </v>
      </c>
      <c r="AB1126" s="6" t="str">
        <f>IFERROR(__xludf.DUMMYFUNCTION("""COMPUTED_VALUE"""),"Городских пешеходных квестов ")</f>
        <v>Городских пешеходных квестов </v>
      </c>
      <c r="AC1126" s="6" t="str">
        <f>IFERROR(__xludf.DUMMYFUNCTION("""COMPUTED_VALUE"""),"Кинопоказы под открытым небом, фестивали уличных песен, спортивные игры профессиональных команд, развитие детского спорта ")</f>
        <v>Кинопоказы под открытым небом, фестивали уличных песен, спортивные игры профессиональных команд, развитие детского спорта </v>
      </c>
      <c r="AD112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126" s="6" t="str">
        <f>IFERROR(__xludf.DUMMYFUNCTION("""COMPUTED_VALUE"""),"Женский")</f>
        <v>Женский</v>
      </c>
      <c r="AF1126" s="6" t="str">
        <f>IFERROR(__xludf.DUMMYFUNCTION("""COMPUTED_VALUE"""),"30-44")</f>
        <v>30-44</v>
      </c>
      <c r="AG1126" s="6"/>
      <c r="AH1126" s="6"/>
      <c r="AI1126" s="6"/>
      <c r="AJ1126" s="6"/>
      <c r="AK1126" s="6"/>
      <c r="AL1126" s="6"/>
      <c r="AM1126" s="6"/>
    </row>
    <row r="1127">
      <c r="A1127" s="6">
        <v>1126.0</v>
      </c>
      <c r="B1127" s="6" t="str">
        <f>IFERROR(__xludf.DUMMYFUNCTION("""COMPUTED_VALUE"""),"В сфере торговли")</f>
        <v>В сфере торговли</v>
      </c>
      <c r="C1127" s="6" t="str">
        <f>IFERROR(__xludf.DUMMYFUNCTION("""COMPUTED_VALUE"""),"Фитнес")</f>
        <v>Фитнес</v>
      </c>
      <c r="D1127" s="6" t="str">
        <f>IFERROR(__xludf.DUMMYFUNCTION("""COMPUTED_VALUE"""),"Ленинский")</f>
        <v>Ленинский</v>
      </c>
      <c r="E1127" s="6" t="str">
        <f>IFERROR(__xludf.DUMMYFUNCTION("""COMPUTED_VALUE"""),"Бульвар строителей, Парк около второго Променада")</f>
        <v>Бульвар строителей, Парк около второго Променада</v>
      </c>
      <c r="F1127" s="6" t="str">
        <f>IFERROR(__xludf.DUMMYFUNCTION("""COMPUTED_VALUE"""),"Живу здесь с рождения")</f>
        <v>Живу здесь с рождения</v>
      </c>
      <c r="G1127" s="6" t="str">
        <f>IFERROR(__xludf.DUMMYFUNCTION("""COMPUTED_VALUE"""),"Набережная, Бульвар строителей, Весенняя улица, Сосновый бор")</f>
        <v>Набережная, Бульвар строителей, Весенняя улица, Сосновый бор</v>
      </c>
      <c r="H1127" s="6" t="str">
        <f>IFERROR(__xludf.DUMMYFUNCTION("""COMPUTED_VALUE"""),"Компактный, Логичный.")</f>
        <v>Компактный, Логичный.</v>
      </c>
      <c r="I1127" s="6" t="str">
        <f>IFERROR(__xludf.DUMMYFUNCTION("""COMPUTED_VALUE"""),"Леонов")</f>
        <v>Леонов</v>
      </c>
      <c r="J1127" s="6" t="str">
        <f>IFERROR(__xludf.DUMMYFUNCTION("""COMPUTED_VALUE"""),"Не знаю")</f>
        <v>Не знаю</v>
      </c>
      <c r="K1127" s="6" t="str">
        <f>IFERROR(__xludf.DUMMYFUNCTION("""COMPUTED_VALUE"""),"Не знаю")</f>
        <v>Не знаю</v>
      </c>
      <c r="L1127" s="6" t="str">
        <f>IFERROR(__xludf.DUMMYFUNCTION("""COMPUTED_VALUE"""),"Где в апреле река, там в июле лужица.")</f>
        <v>Где в апреле река, там в июле лужица.</v>
      </c>
      <c r="M1127" s="6" t="str">
        <f>IFERROR(__xludf.DUMMYFUNCTION("""COMPUTED_VALUE"""),"нет")</f>
        <v>нет</v>
      </c>
      <c r="N1127" s="6" t="str">
        <f>IFERROR(__xludf.DUMMYFUNCTION("""COMPUTED_VALUE"""),"Много зелени, отличные дороги, есть прогулочные территории ,развитая система общественного транспорта, а именно трамвай или метро")</f>
        <v>Много зелени, отличные дороги, есть прогулочные территории ,развитая система общественного транспорта, а именно трамвай или метро</v>
      </c>
      <c r="O1127" s="6" t="str">
        <f>IFERROR(__xludf.DUMMYFUNCTION("""COMPUTED_VALUE"""),"Отремонтировать трамвайные пути и запустить  современные трамваи.")</f>
        <v>Отремонтировать трамвайные пути и запустить  современные трамваи.</v>
      </c>
      <c r="P1127" s="6" t="str">
        <f>IFERROR(__xludf.DUMMYFUNCTION("""COMPUTED_VALUE"""),"VK, Instagram")</f>
        <v>VK, Instagram</v>
      </c>
      <c r="Q1127"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127" s="6" t="str">
        <f>IFERROR(__xludf.DUMMYFUNCTION("""COMPUTED_VALUE"""),"День города, день Шахтера")</f>
        <v>День города, день Шахтера</v>
      </c>
      <c r="S1127" s="6" t="str">
        <f>IFERROR(__xludf.DUMMYFUNCTION("""COMPUTED_VALUE"""),"Нет, не приходилось")</f>
        <v>Нет, не приходилось</v>
      </c>
      <c r="T1127" s="6" t="str">
        <f>IFERROR(__xludf.DUMMYFUNCTION("""COMPUTED_VALUE"""),"Знаменит черным снегом и постоянным режимом черного неба")</f>
        <v>Знаменит черным снегом и постоянным режимом черного неба</v>
      </c>
      <c r="U1127" s="6" t="str">
        <f>IFERROR(__xludf.DUMMYFUNCTION("""COMPUTED_VALUE"""),"Кирова, Весенняя ,Советская")</f>
        <v>Кирова, Весенняя ,Советская</v>
      </c>
      <c r="V1127" s="6" t="str">
        <f>IFERROR(__xludf.DUMMYFUNCTION("""COMPUTED_VALUE"""),"Не знаю")</f>
        <v>Не знаю</v>
      </c>
      <c r="W1127" s="6" t="str">
        <f>IFERROR(__xludf.DUMMYFUNCTION("""COMPUTED_VALUE"""),"Домоседы")</f>
        <v>Домоседы</v>
      </c>
      <c r="X1127" s="6" t="str">
        <f>IFERROR(__xludf.DUMMYFUNCTION("""COMPUTED_VALUE"""),"Сосновый бор")</f>
        <v>Сосновый бор</v>
      </c>
      <c r="Y1127" s="6" t="str">
        <f>IFERROR(__xludf.DUMMYFUNCTION("""COMPUTED_VALUE"""),"-")</f>
        <v>-</v>
      </c>
      <c r="Z1127" s="6" t="str">
        <f>IFERROR(__xludf.DUMMYFUNCTION("""COMPUTED_VALUE"""),"Массовая стройка")</f>
        <v>Массовая стройка</v>
      </c>
      <c r="AA1127" s="6" t="str">
        <f>IFERROR(__xludf.DUMMYFUNCTION("""COMPUTED_VALUE"""),"Мало эффективная борьба с загрязнением воздуха, нет прогресса .")</f>
        <v>Мало эффективная борьба с загрязнением воздуха, нет прогресса .</v>
      </c>
      <c r="AB1127" s="6" t="str">
        <f>IFERROR(__xludf.DUMMYFUNCTION("""COMPUTED_VALUE"""),"все есть")</f>
        <v>все есть</v>
      </c>
      <c r="AC1127" s="6" t="str">
        <f>IFERROR(__xludf.DUMMYFUNCTION("""COMPUTED_VALUE"""),"Экспо центры, соревнования мирового и ЧМ России по экстремальным видам спорта. ")</f>
        <v>Экспо центры, соревнования мирового и ЧМ России по экстремальным видам спорта. </v>
      </c>
      <c r="AD112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27" s="6" t="str">
        <f>IFERROR(__xludf.DUMMYFUNCTION("""COMPUTED_VALUE"""),"Мужской")</f>
        <v>Мужской</v>
      </c>
      <c r="AF1127" s="6" t="str">
        <f>IFERROR(__xludf.DUMMYFUNCTION("""COMPUTED_VALUE"""),"30-44")</f>
        <v>30-44</v>
      </c>
      <c r="AG1127" s="6"/>
      <c r="AH1127" s="6"/>
      <c r="AI1127" s="6"/>
      <c r="AJ1127" s="6"/>
      <c r="AK1127" s="6"/>
      <c r="AL1127" s="6"/>
      <c r="AM1127" s="6"/>
    </row>
    <row r="1128">
      <c r="A1128" s="6">
        <v>1127.0</v>
      </c>
      <c r="B1128" s="6" t="str">
        <f>IFERROR(__xludf.DUMMYFUNCTION("""COMPUTED_VALUE"""),"Удаленная работа оператором")</f>
        <v>Удаленная работа оператором</v>
      </c>
      <c r="C1128" s="6" t="str">
        <f>IFERROR(__xludf.DUMMYFUNCTION("""COMPUTED_VALUE"""),"Пишу стихи")</f>
        <v>Пишу стихи</v>
      </c>
      <c r="D1128" s="6" t="str">
        <f>IFERROR(__xludf.DUMMYFUNCTION("""COMPUTED_VALUE"""),"Заводский")</f>
        <v>Заводский</v>
      </c>
      <c r="E1128" s="6" t="str">
        <f>IFERROR(__xludf.DUMMYFUNCTION("""COMPUTED_VALUE"""),"Парк Ангелов")</f>
        <v>Парк Ангелов</v>
      </c>
      <c r="F1128" s="6" t="str">
        <f>IFERROR(__xludf.DUMMYFUNCTION("""COMPUTED_VALUE"""),"Переехал сюда из другого места (откуда? укажите в графе другое), Белово")</f>
        <v>Переехал сюда из другого места (откуда? укажите в графе другое), Белово</v>
      </c>
      <c r="G1128" s="6" t="str">
        <f>IFERROR(__xludf.DUMMYFUNCTION("""COMPUTED_VALUE"""),"Набережная, бар Доски, просто по улицам")</f>
        <v>Набережная, бар Доски, просто по улицам</v>
      </c>
      <c r="H1128" s="6" t="str">
        <f>IFERROR(__xludf.DUMMYFUNCTION("""COMPUTED_VALUE"""),"Драмтеатр, wowквиз, Площадь советов, Бульвар Строителей, столица Кузбасса")</f>
        <v>Драмтеатр, wowквиз, Площадь советов, Бульвар Строителей, столица Кузбасса</v>
      </c>
      <c r="I1128" s="6" t="str">
        <f>IFERROR(__xludf.DUMMYFUNCTION("""COMPUTED_VALUE"""),"Затрудняюсь")</f>
        <v>Затрудняюсь</v>
      </c>
      <c r="J1128" s="6" t="str">
        <f>IFERROR(__xludf.DUMMYFUNCTION("""COMPUTED_VALUE"""),"Вера Волошина и т.д")</f>
        <v>Вера Волошина и т.д</v>
      </c>
      <c r="K1128" s="6" t="str">
        <f>IFERROR(__xludf.DUMMYFUNCTION("""COMPUTED_VALUE"""),"Парк Ангелов, набережная ""Ловцы снов"", площадь советов ""Ленин"", радуга ""мать и дитя"" и т.д")</f>
        <v>Парк Ангелов, набережная "Ловцы снов", площадь советов "Ленин", радуга "мать и дитя" и т.д</v>
      </c>
      <c r="L1128" s="6" t="str">
        <f>IFERROR(__xludf.DUMMYFUNCTION("""COMPUTED_VALUE"""),"Затрудняюсь")</f>
        <v>Затрудняюсь</v>
      </c>
      <c r="M1128" s="6" t="str">
        <f>IFERROR(__xludf.DUMMYFUNCTION("""COMPUTED_VALUE"""),"Кировский-гопнический район")</f>
        <v>Кировский-гопнический район</v>
      </c>
      <c r="N1128" s="6" t="str">
        <f>IFERROR(__xludf.DUMMYFUNCTION("""COMPUTED_VALUE"""),"Один автовокзал, 5 районов, не сильно большой город, но, есть все необходимое, красивая набережная Томи, и т д
")</f>
        <v>Один автовокзал, 5 районов, не сильно большой город, но, есть все необходимое, красивая набережная Томи, и т д
</v>
      </c>
      <c r="O1128" s="6" t="str">
        <f>IFERROR(__xludf.DUMMYFUNCTION("""COMPUTED_VALUE"""),"Сделать нормальными дороги, прекратить повышать цены на продукты с адской скоростью")</f>
        <v>Сделать нормальными дороги, прекратить повышать цены на продукты с адской скоростью</v>
      </c>
      <c r="P1128" s="6" t="str">
        <f>IFERROR(__xludf.DUMMYFUNCTION("""COMPUTED_VALUE"""),"Интернет, вк, различные группы")</f>
        <v>Интернет, вк, различные группы</v>
      </c>
      <c r="Q1128" s="6" t="str">
        <f>IFERROR(__xludf.DUMMYFUNCTION("""COMPUTED_VALUE"""),"куда пойти в свободное время, где вкусно поесть/открытие новых кафе/ресторанов, городская афиша (кино/театр/концерты),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экспертами на разные темы (напишите в разделе Другое свои предложения)</v>
      </c>
      <c r="R1128" s="6" t="str">
        <f>IFERROR(__xludf.DUMMYFUNCTION("""COMPUTED_VALUE"""),"День города, день молодежи, День победы, масленница")</f>
        <v>День города, день молодежи, День победы, масленница</v>
      </c>
      <c r="S1128" s="6" t="str">
        <f>IFERROR(__xludf.DUMMYFUNCTION("""COMPUTED_VALUE"""),"Нет, не приходилось")</f>
        <v>Нет, не приходилось</v>
      </c>
      <c r="T1128" s="6" t="str">
        <f>IFERROR(__xludf.DUMMYFUNCTION("""COMPUTED_VALUE"""),"Чертова зимняя вишня плохо прославила нас((((")</f>
        <v>Чертова зимняя вишня плохо прославила нас((((</v>
      </c>
      <c r="U1128" s="6" t="str">
        <f>IFERROR(__xludf.DUMMYFUNCTION("""COMPUTED_VALUE"""),"""Белый дом"" на площади советов, набережная")</f>
        <v>"Белый дом" на площади советов, набережная</v>
      </c>
      <c r="V1128" s="6" t="str">
        <f>IFERROR(__xludf.DUMMYFUNCTION("""COMPUTED_VALUE"""),"Застроили город новостройками")</f>
        <v>Застроили город новостройками</v>
      </c>
      <c r="W1128" s="6" t="str">
        <f>IFERROR(__xludf.DUMMYFUNCTION("""COMPUTED_VALUE"""),"Обычные люди, как и в любом другом городе России")</f>
        <v>Обычные люди, как и в любом другом городе России</v>
      </c>
      <c r="X1128" s="6" t="str">
        <f>IFERROR(__xludf.DUMMYFUNCTION("""COMPUTED_VALUE"""),"Набережка/площадь советов/кинотеатр Космос/проспект Ленина")</f>
        <v>Набережка/площадь советов/кинотеатр Космос/проспект Ленина</v>
      </c>
      <c r="Y1128" s="6" t="str">
        <f>IFERROR(__xludf.DUMMYFUNCTION("""COMPUTED_VALUE"""),"Пожар в Зимней вишни, а до этого День города и концерт Полины Гагариной, куда пришли более 100 чел по официальным источникам")</f>
        <v>Пожар в Зимней вишни, а до этого День города и концерт Полины Гагариной, куда пришли более 100 чел по официальным источникам</v>
      </c>
      <c r="Z1128" s="6" t="str">
        <f>IFERROR(__xludf.DUMMYFUNCTION("""COMPUTED_VALUE"""),"Ярмарки и пристройства животных из приютов, благотворительные фотосессии с животными")</f>
        <v>Ярмарки и пристройства животных из приютов, благотворительные фотосессии с животными</v>
      </c>
      <c r="AA1128" s="6" t="str">
        <f>IFERROR(__xludf.DUMMYFUNCTION("""COMPUTED_VALUE"""),"Пожар в Зимней вишне, закрытие Лазурного")</f>
        <v>Пожар в Зимней вишне, закрытие Лазурного</v>
      </c>
      <c r="AB1128" s="6" t="str">
        <f>IFERROR(__xludf.DUMMYFUNCTION("""COMPUTED_VALUE"""),"-")</f>
        <v>-</v>
      </c>
      <c r="AC1128" s="6" t="str">
        <f>IFERROR(__xludf.DUMMYFUNCTION("""COMPUTED_VALUE"""),"Постройте наконец Аквапарк")</f>
        <v>Постройте наконец Аквапарк</v>
      </c>
      <c r="AD112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128" s="6" t="str">
        <f>IFERROR(__xludf.DUMMYFUNCTION("""COMPUTED_VALUE"""),"Женский")</f>
        <v>Женский</v>
      </c>
      <c r="AF1128" s="6" t="str">
        <f>IFERROR(__xludf.DUMMYFUNCTION("""COMPUTED_VALUE"""),"30-44")</f>
        <v>30-44</v>
      </c>
      <c r="AG1128" s="6"/>
      <c r="AH1128" s="6"/>
      <c r="AI1128" s="6"/>
      <c r="AJ1128" s="6"/>
      <c r="AK1128" s="6"/>
      <c r="AL1128" s="6"/>
      <c r="AM1128" s="6"/>
    </row>
    <row r="1129">
      <c r="A1129" s="6">
        <v>1128.0</v>
      </c>
      <c r="B1129" s="6" t="str">
        <f>IFERROR(__xludf.DUMMYFUNCTION("""COMPUTED_VALUE"""),"ИП .Магазин уходовой косметики ")</f>
        <v>ИП .Магазин уходовой косметики </v>
      </c>
      <c r="C1129" s="6" t="str">
        <f>IFERROR(__xludf.DUMMYFUNCTION("""COMPUTED_VALUE"""),"Нет ")</f>
        <v>Нет </v>
      </c>
      <c r="D1129" s="6" t="str">
        <f>IFERROR(__xludf.DUMMYFUNCTION("""COMPUTED_VALUE"""),"Центральный ")</f>
        <v>Центральный </v>
      </c>
      <c r="E1129" s="6" t="str">
        <f>IFERROR(__xludf.DUMMYFUNCTION("""COMPUTED_VALUE"""),"Цирк , центральный загс ")</f>
        <v>Цирк , центральный загс </v>
      </c>
      <c r="F1129" s="6" t="str">
        <f>IFERROR(__xludf.DUMMYFUNCTION("""COMPUTED_VALUE"""),"Переехал сюда из другого места (откуда? укажите в графе другое), Переехала для учебы в женскую гимназию . Потом тут закончила Кемгу ")</f>
        <v>Переехал сюда из другого места (откуда? укажите в графе другое), Переехала для учебы в женскую гимназию . Потом тут закончила Кемгу </v>
      </c>
      <c r="G1129" s="6" t="str">
        <f>IFERROR(__xludf.DUMMYFUNCTION("""COMPUTED_VALUE"""),"Парк Жукова, набережная.")</f>
        <v>Парк Жукова, набережная.</v>
      </c>
      <c r="H1129" s="6" t="str">
        <f>IFERROR(__xludf.DUMMYFUNCTION("""COMPUTED_VALUE"""),"Шахтёрский, ")</f>
        <v>Шахтёрский, </v>
      </c>
      <c r="I1129" s="6" t="str">
        <f>IFERROR(__xludf.DUMMYFUNCTION("""COMPUTED_VALUE"""),"Не знаю ")</f>
        <v>Не знаю </v>
      </c>
      <c r="J1129" s="6" t="str">
        <f>IFERROR(__xludf.DUMMYFUNCTION("""COMPUTED_VALUE"""),"Первым пришёл  на ум бывший губернатор Тулеев А.Г. ")</f>
        <v>Первым пришёл  на ум бывший губернатор Тулеев А.Г. </v>
      </c>
      <c r="K1129" s="6" t="str">
        <f>IFERROR(__xludf.DUMMYFUNCTION("""COMPUTED_VALUE"""),"Набережная , парк Жукова")</f>
        <v>Набережная , парк Жукова</v>
      </c>
      <c r="L1129" s="6" t="str">
        <f>IFERROR(__xludf.DUMMYFUNCTION("""COMPUTED_VALUE"""),"Не знаю ")</f>
        <v>Не знаю </v>
      </c>
      <c r="M1129" s="6" t="str">
        <f>IFERROR(__xludf.DUMMYFUNCTION("""COMPUTED_VALUE"""),"Нет , не задумывался ")</f>
        <v>Нет , не задумывался </v>
      </c>
      <c r="N1129" s="6" t="str">
        <f>IFERROR(__xludf.DUMMYFUNCTION("""COMPUTED_VALUE"""),"Чистота, инфраструктура, доступность детских площадок , развитый транспорт , места для культурного время припровождения")</f>
        <v>Чистота, инфраструктура, доступность детских площадок , развитый транспорт , места для культурного время припровождения</v>
      </c>
      <c r="O1129" s="6" t="str">
        <f>IFERROR(__xludf.DUMMYFUNCTION("""COMPUTED_VALUE"""),"Экологическую обстановку.")</f>
        <v>Экологическую обстановку.</v>
      </c>
      <c r="P1129" s="6" t="str">
        <f>IFERROR(__xludf.DUMMYFUNCTION("""COMPUTED_VALUE"""),"Инстаграмм страница ")</f>
        <v>Инстаграмм страница </v>
      </c>
      <c r="Q1129"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129" s="6" t="str">
        <f>IFERROR(__xludf.DUMMYFUNCTION("""COMPUTED_VALUE"""),"9 мая , день города , день шахтёра ")</f>
        <v>9 мая , день города , день шахтёра </v>
      </c>
      <c r="S1129" s="6" t="str">
        <f>IFERROR(__xludf.DUMMYFUNCTION("""COMPUTED_VALUE"""),"Нет, не приходилось")</f>
        <v>Нет, не приходилось</v>
      </c>
      <c r="T1129" s="6" t="str">
        <f>IFERROR(__xludf.DUMMYFUNCTION("""COMPUTED_VALUE"""),"Филармония .")</f>
        <v>Филармония .</v>
      </c>
      <c r="U1129" s="6" t="str">
        <f>IFERROR(__xludf.DUMMYFUNCTION("""COMPUTED_VALUE"""),"Площадь советов ")</f>
        <v>Площадь советов </v>
      </c>
      <c r="V1129" s="6" t="str">
        <f>IFERROR(__xludf.DUMMYFUNCTION("""COMPUTED_VALUE"""),"Трудились на благо развития города ")</f>
        <v>Трудились на благо развития города </v>
      </c>
      <c r="W1129" s="6" t="str">
        <f>IFERROR(__xludf.DUMMYFUNCTION("""COMPUTED_VALUE"""),"Добрые , отзывчивые , творческие, закалённые.")</f>
        <v>Добрые , отзывчивые , творческие, закалённые.</v>
      </c>
      <c r="X1129" s="6" t="str">
        <f>IFERROR(__xludf.DUMMYFUNCTION("""COMPUTED_VALUE"""),"Прогулка на красную горку ")</f>
        <v>Прогулка на красную горку </v>
      </c>
      <c r="Y1129" s="6" t="str">
        <f>IFERROR(__xludf.DUMMYFUNCTION("""COMPUTED_VALUE"""),"Зимняя вишня-трагедия ")</f>
        <v>Зимняя вишня-трагедия </v>
      </c>
      <c r="Z1129" s="6" t="str">
        <f>IFERROR(__xludf.DUMMYFUNCTION("""COMPUTED_VALUE"""),"9 мая ")</f>
        <v>9 мая </v>
      </c>
      <c r="AA1129" s="6" t="str">
        <f>IFERROR(__xludf.DUMMYFUNCTION("""COMPUTED_VALUE"""),"Зимняя вишня ")</f>
        <v>Зимняя вишня </v>
      </c>
      <c r="AB1129" s="6" t="str">
        <f>IFERROR(__xludf.DUMMYFUNCTION("""COMPUTED_VALUE"""),"По поддержке чистоты в городе ")</f>
        <v>По поддержке чистоты в городе </v>
      </c>
      <c r="AC1129" s="6" t="str">
        <f>IFERROR(__xludf.DUMMYFUNCTION("""COMPUTED_VALUE"""),"Больше детских мероприятий. И для старшего поколения ")</f>
        <v>Больше детских мероприятий. И для старшего поколения </v>
      </c>
      <c r="AD1129"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129" s="6" t="str">
        <f>IFERROR(__xludf.DUMMYFUNCTION("""COMPUTED_VALUE"""),"Женский")</f>
        <v>Женский</v>
      </c>
      <c r="AF1129" s="6" t="str">
        <f>IFERROR(__xludf.DUMMYFUNCTION("""COMPUTED_VALUE"""),"30-44")</f>
        <v>30-44</v>
      </c>
      <c r="AG1129" s="6"/>
      <c r="AH1129" s="6"/>
      <c r="AI1129" s="6"/>
      <c r="AJ1129" s="6"/>
      <c r="AK1129" s="6"/>
      <c r="AL1129" s="6"/>
      <c r="AM1129" s="6"/>
    </row>
    <row r="1130">
      <c r="A1130" s="6">
        <v>1129.0</v>
      </c>
      <c r="B1130" s="6" t="str">
        <f>IFERROR(__xludf.DUMMYFUNCTION("""COMPUTED_VALUE"""),"Студент ")</f>
        <v>Студент </v>
      </c>
      <c r="C1130" s="6" t="str">
        <f>IFERROR(__xludf.DUMMYFUNCTION("""COMPUTED_VALUE"""),"Нет")</f>
        <v>Нет</v>
      </c>
      <c r="D1130" s="6" t="str">
        <f>IFERROR(__xludf.DUMMYFUNCTION("""COMPUTED_VALUE"""),"Кировский ")</f>
        <v>Кировский </v>
      </c>
      <c r="E1130" s="6" t="str">
        <f>IFERROR(__xludf.DUMMYFUNCTION("""COMPUTED_VALUE"""),"Набережная")</f>
        <v>Набережная</v>
      </c>
      <c r="F1130" s="6" t="str">
        <f>IFERROR(__xludf.DUMMYFUNCTION("""COMPUTED_VALUE"""),"Живу здесь с рождения")</f>
        <v>Живу здесь с рождения</v>
      </c>
      <c r="G1130" s="6" t="str">
        <f>IFERROR(__xludf.DUMMYFUNCTION("""COMPUTED_VALUE"""),"Набережная ")</f>
        <v>Набережная </v>
      </c>
      <c r="H1130" s="6" t="str">
        <f>IFERROR(__xludf.DUMMYFUNCTION("""COMPUTED_VALUE"""),"Серость ,скукота ,много знакомых, нет магазинов , разруха ")</f>
        <v>Серость ,скукота ,много знакомых, нет магазинов , разруха </v>
      </c>
      <c r="I1130" s="6" t="str">
        <f>IFERROR(__xludf.DUMMYFUNCTION("""COMPUTED_VALUE"""),"Леонов ")</f>
        <v>Леонов </v>
      </c>
      <c r="J1130" s="6" t="str">
        <f>IFERROR(__xludf.DUMMYFUNCTION("""COMPUTED_VALUE"""),"Малышева ")</f>
        <v>Малышева </v>
      </c>
      <c r="K1130" s="6" t="str">
        <f>IFERROR(__xludf.DUMMYFUNCTION("""COMPUTED_VALUE"""),"В парке чудес ")</f>
        <v>В парке чудес </v>
      </c>
      <c r="L1130" s="6" t="str">
        <f>IFERROR(__xludf.DUMMYFUNCTION("""COMPUTED_VALUE"""),"Нет таких ")</f>
        <v>Нет таких </v>
      </c>
      <c r="M1130" s="6" t="str">
        <f>IFERROR(__xludf.DUMMYFUNCTION("""COMPUTED_VALUE"""),"Нет")</f>
        <v>Нет</v>
      </c>
      <c r="N1130" s="6" t="str">
        <f>IFERROR(__xludf.DUMMYFUNCTION("""COMPUTED_VALUE"""),"Чистота ,красивые места ,много магазинов ,праздники ")</f>
        <v>Чистота ,красивые места ,много магазинов ,праздники </v>
      </c>
      <c r="O1130" s="6" t="str">
        <f>IFERROR(__xludf.DUMMYFUNCTION("""COMPUTED_VALUE"""),"Здания ")</f>
        <v>Здания </v>
      </c>
      <c r="P1130" s="6" t="str">
        <f>IFERROR(__xludf.DUMMYFUNCTION("""COMPUTED_VALUE"""),"Инстаграм ")</f>
        <v>Инстаграм </v>
      </c>
      <c r="Q1130"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130" s="6" t="str">
        <f>IFERROR(__xludf.DUMMYFUNCTION("""COMPUTED_VALUE"""),"9 мая")</f>
        <v>9 мая</v>
      </c>
      <c r="S1130" s="6" t="str">
        <f>IFERROR(__xludf.DUMMYFUNCTION("""COMPUTED_VALUE"""),"Нет, не приходилось")</f>
        <v>Нет, не приходилось</v>
      </c>
      <c r="T1130" s="6" t="str">
        <f>IFERROR(__xludf.DUMMYFUNCTION("""COMPUTED_VALUE"""),"Не знаменит ")</f>
        <v>Не знаменит </v>
      </c>
      <c r="U1130" s="6" t="str">
        <f>IFERROR(__xludf.DUMMYFUNCTION("""COMPUTED_VALUE"""),"Администрация кемерово ")</f>
        <v>Администрация кемерово </v>
      </c>
      <c r="V1130" s="6" t="str">
        <f>IFERROR(__xludf.DUMMYFUNCTION("""COMPUTED_VALUE"""),"Добывали уголь ")</f>
        <v>Добывали уголь </v>
      </c>
      <c r="W1130" s="6" t="str">
        <f>IFERROR(__xludf.DUMMYFUNCTION("""COMPUTED_VALUE"""),"Злые ")</f>
        <v>Злые </v>
      </c>
      <c r="X1130" s="6" t="str">
        <f>IFERROR(__xludf.DUMMYFUNCTION("""COMPUTED_VALUE"""),"40")</f>
        <v>40</v>
      </c>
      <c r="Y1130" s="6" t="str">
        <f>IFERROR(__xludf.DUMMYFUNCTION("""COMPUTED_VALUE"""),"Набережную починили в кировском районе ")</f>
        <v>Набережную починили в кировском районе </v>
      </c>
      <c r="Z1130" s="6" t="str">
        <f>IFERROR(__xludf.DUMMYFUNCTION("""COMPUTED_VALUE"""),"Парад ")</f>
        <v>Парад </v>
      </c>
      <c r="AA1130" s="6" t="str">
        <f>IFERROR(__xludf.DUMMYFUNCTION("""COMPUTED_VALUE"""),"Не помню ")</f>
        <v>Не помню </v>
      </c>
      <c r="AB1130" s="6" t="str">
        <f>IFERROR(__xludf.DUMMYFUNCTION("""COMPUTED_VALUE"""),"Не знаю ")</f>
        <v>Не знаю </v>
      </c>
      <c r="AC1130" s="6" t="str">
        <f>IFERROR(__xludf.DUMMYFUNCTION("""COMPUTED_VALUE"""),"Больше салютов ")</f>
        <v>Больше салютов </v>
      </c>
      <c r="AD113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130" s="6" t="str">
        <f>IFERROR(__xludf.DUMMYFUNCTION("""COMPUTED_VALUE"""),"Женский")</f>
        <v>Женский</v>
      </c>
      <c r="AF1130" s="6" t="str">
        <f>IFERROR(__xludf.DUMMYFUNCTION("""COMPUTED_VALUE"""),"18-29")</f>
        <v>18-29</v>
      </c>
      <c r="AG1130" s="6"/>
      <c r="AH1130" s="6"/>
      <c r="AI1130" s="6"/>
      <c r="AJ1130" s="6"/>
      <c r="AK1130" s="6"/>
      <c r="AL1130" s="6"/>
      <c r="AM1130" s="6"/>
    </row>
    <row r="1131">
      <c r="A1131" s="6">
        <v>1130.0</v>
      </c>
      <c r="B1131" s="6" t="str">
        <f>IFERROR(__xludf.DUMMYFUNCTION("""COMPUTED_VALUE"""),"Образование")</f>
        <v>Образование</v>
      </c>
      <c r="C1131" s="6" t="str">
        <f>IFERROR(__xludf.DUMMYFUNCTION("""COMPUTED_VALUE"""),"Нет")</f>
        <v>Нет</v>
      </c>
      <c r="D1131" s="6" t="str">
        <f>IFERROR(__xludf.DUMMYFUNCTION("""COMPUTED_VALUE"""),"Административно - в Центральном, по-житейски - Пятая поликлиника")</f>
        <v>Административно - в Центральном, по-житейски - Пятая поликлиника</v>
      </c>
      <c r="E1131" s="6" t="str">
        <f>IFERROR(__xludf.DUMMYFUNCTION("""COMPUTED_VALUE"""),"Змейка, Второй универсам, Телевышка, Комсомольский парк, Облбольница, 31 школа с самолетом")</f>
        <v>Змейка, Второй универсам, Телевышка, Комсомольский парк, Облбольница, 31 школа с самолетом</v>
      </c>
      <c r="F1131" s="6" t="str">
        <f>IFERROR(__xludf.DUMMYFUNCTION("""COMPUTED_VALUE"""),"Живу здесь с рождения")</f>
        <v>Живу здесь с рождения</v>
      </c>
      <c r="G1131" s="6" t="str">
        <f>IFERROR(__xludf.DUMMYFUNCTION("""COMPUTED_VALUE"""),"Набережная, Горсад, Весенняя, Рукавишникова, Коммунистическая, Комсомольский парк")</f>
        <v>Набережная, Горсад, Весенняя, Рукавишникова, Коммунистическая, Комсомольский парк</v>
      </c>
      <c r="H1131" s="6" t="str">
        <f>IFERROR(__xludf.DUMMYFUNCTION("""COMPUTED_VALUE"""),"Простор, пыль (грязь), река (берега), жизнь")</f>
        <v>Простор, пыль (грязь), река (берега), жизнь</v>
      </c>
      <c r="I1131" s="6" t="str">
        <f>IFERROR(__xludf.DUMMYFUNCTION("""COMPUTED_VALUE"""),"Рутгерс, Ван Лохем, Ахмадулина, Щегловы, Сбитнев, Киселев, Юров, Леонов, Вера Волошина, Василий Федоров, Владимир Мазаев")</f>
        <v>Рутгерс, Ван Лохем, Ахмадулина, Щегловы, Сбитнев, Киселев, Юров, Леонов, Вера Волошина, Василий Федоров, Владимир Мазаев</v>
      </c>
      <c r="J1131" s="6" t="str">
        <f>IFERROR(__xludf.DUMMYFUNCTION("""COMPUTED_VALUE"""),"Борис Гребенщиков, Евгений Гришковец, Елена Камбурова")</f>
        <v>Борис Гребенщиков, Евгений Гришковец, Елена Камбурова</v>
      </c>
      <c r="K1131" s="6" t="str">
        <f>IFERROR(__xludf.DUMMYFUNCTION("""COMPUTED_VALUE"""),"Красную Горку, Шахтерскую память, Центр, набереждую в Кировском, Зимнюю вишню.")</f>
        <v>Красную Горку, Шахтерскую память, Центр, набереждую в Кировском, Зимнюю вишню.</v>
      </c>
      <c r="L1131" s="6" t="str">
        <f>IFERROR(__xludf.DUMMYFUNCTION("""COMPUTED_VALUE"""),"Есть у нас тут белая больница. Ее у нас облкой зовут. Я желаю вам друзья Не попадать туда никогда. Пусть туда враги ваши идут. 
Наша Искитимка, великая река.
Наша Искитимка, крутые берега.
Наша Искитимка, золотое дно.
По нашей Искитимке плавает оно.")</f>
        <v>Есть у нас тут белая больница. Ее у нас облкой зовут. Я желаю вам друзья Не попадать туда никогда. Пусть туда враги ваши идут. 
Наша Искитимка, великая река.
Наша Искитимка, крутые берега.
Наша Искитимка, золотое дно.
По нашей Искитимке плавает оно.</v>
      </c>
      <c r="M1131" s="6" t="str">
        <f>IFERROR(__xludf.DUMMYFUNCTION("""COMPUTED_VALUE"""),"Швейка, колба, Фабричка, Соцгород, лыва")</f>
        <v>Швейка, колба, Фабричка, Соцгород, лыва</v>
      </c>
      <c r="N1131" s="6" t="str">
        <f>IFERROR(__xludf.DUMMYFUNCTION("""COMPUTED_VALUE"""),"Чистые дороги, тротуары - везде, без замыва грязи с газона. Газоны - это трава, а не земля. Много деревьев, лавочек.")</f>
        <v>Чистые дороги, тротуары - везде, без замыва грязи с газона. Газоны - это трава, а не земля. Много деревьев, лавочек.</v>
      </c>
      <c r="O1131" s="6" t="str">
        <f>IFERROR(__xludf.DUMMYFUNCTION("""COMPUTED_VALUE"""),"Устройство тротуаров и газонов. У КАЖДОГО кусочка города - дворник!!! Начать, наконец, штрафовать за курение на остановках!!!")</f>
        <v>Устройство тротуаров и газонов. У КАЖДОГО кусочка города - дворник!!! Начать, наконец, штрафовать за курение на остановках!!!</v>
      </c>
      <c r="P1131" s="6" t="str">
        <f>IFERROR(__xludf.DUMMYFUNCTION("""COMPUTED_VALUE"""),"Фейсбук, друзья. ")</f>
        <v>Фейсбук, друзья. </v>
      </c>
      <c r="Q1131"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131" s="6" t="str">
        <f>IFERROR(__xludf.DUMMYFUNCTION("""COMPUTED_VALUE"""),"Никакие")</f>
        <v>Никакие</v>
      </c>
      <c r="S1131" s="6" t="str">
        <f>IFERROR(__xludf.DUMMYFUNCTION("""COMPUTED_VALUE"""),"Нет, не приходилось")</f>
        <v>Нет, не приходилось</v>
      </c>
      <c r="T1131" s="6" t="str">
        <f>IFERROR(__xludf.DUMMYFUNCTION("""COMPUTED_VALUE"""),"Красивая застройка центра. Река. АИК Кузбасс.")</f>
        <v>Красивая застройка центра. Река. АИК Кузбасс.</v>
      </c>
      <c r="U1131" s="6" t="str">
        <f>IFERROR(__xludf.DUMMYFUNCTION("""COMPUTED_VALUE"""),"Вид на три моста (где сердце с кубиком). Горелая гора.Может, новая стройка станет...")</f>
        <v>Вид на три моста (где сердце с кубиком). Горелая гора.Может, новая стройка станет...</v>
      </c>
      <c r="V1131" s="6" t="str">
        <f>IFERROR(__xludf.DUMMYFUNCTION("""COMPUTED_VALUE"""),"Построили город. Выжили.")</f>
        <v>Построили город. Выжили.</v>
      </c>
      <c r="W1131" s="6" t="str">
        <f>IFERROR(__xludf.DUMMYFUNCTION("""COMPUTED_VALUE"""),"Простые. Замкнутые. Одинаковые")</f>
        <v>Простые. Замкнутые. Одинаковые</v>
      </c>
      <c r="X1131" s="6" t="str">
        <f>IFERROR(__xludf.DUMMYFUNCTION("""COMPUTED_VALUE"""),"Весенька - Набережная - Шахтерская память")</f>
        <v>Весенька - Набережная - Шахтерская память</v>
      </c>
      <c r="Y1131" s="6" t="str">
        <f>IFERROR(__xludf.DUMMYFUNCTION("""COMPUTED_VALUE"""),"Культурное - Гастроли столичных театров (не атрепризы). Выставка Даши Намдакова. Историческое - выходы народа на площадь Советов. ")</f>
        <v>Культурное - Гастроли столичных театров (не атрепризы). Выставка Даши Намдакова. Историческое - выходы народа на площадь Советов. </v>
      </c>
      <c r="Z1131" s="6" t="str">
        <f>IFERROR(__xludf.DUMMYFUNCTION("""COMPUTED_VALUE"""),"Развернувшееся строительство культурных объектов.")</f>
        <v>Развернувшееся строительство культурных объектов.</v>
      </c>
      <c r="AA1131" s="6" t="str">
        <f>IFERROR(__xludf.DUMMYFUNCTION("""COMPUTED_VALUE"""),"В соцсетях много всяких проклятий")</f>
        <v>В соцсетях много всяких проклятий</v>
      </c>
      <c r="AB1131" s="6" t="str">
        <f>IFERROR(__xludf.DUMMYFUNCTION("""COMPUTED_VALUE"""),"Хотелось бы послушать умных людей (популярный лекторий). Архитекторов местных, технологов градоустроительства. Отдых детей по типу Молодежного центра занятости. Интересно было - какие-то коворкинги для детей)))")</f>
        <v>Хотелось бы послушать умных людей (популярный лекторий). Архитекторов местных, технологов градоустроительства. Отдых детей по типу Молодежного центра занятости. Интересно было - какие-то коворкинги для детей)))</v>
      </c>
      <c r="AC1131" s="6" t="str">
        <f>IFERROR(__xludf.DUMMYFUNCTION("""COMPUTED_VALUE"""),"Музыка на улицах, выставки на улицах, жизнь на улицах")</f>
        <v>Музыка на улицах, выставки на улицах, жизнь на улицах</v>
      </c>
      <c r="AD113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31" s="6" t="str">
        <f>IFERROR(__xludf.DUMMYFUNCTION("""COMPUTED_VALUE"""),"Женский")</f>
        <v>Женский</v>
      </c>
      <c r="AF1131" s="6" t="str">
        <f>IFERROR(__xludf.DUMMYFUNCTION("""COMPUTED_VALUE"""),"старше 55")</f>
        <v>старше 55</v>
      </c>
      <c r="AG1131" s="6"/>
      <c r="AH1131" s="6"/>
      <c r="AI1131" s="6"/>
      <c r="AJ1131" s="6"/>
      <c r="AK1131" s="6"/>
      <c r="AL1131" s="6"/>
      <c r="AM1131" s="6"/>
    </row>
    <row r="1132">
      <c r="A1132" s="6">
        <v>1131.0</v>
      </c>
      <c r="B1132" s="6" t="str">
        <f>IFERROR(__xludf.DUMMYFUNCTION("""COMPUTED_VALUE"""),"связи с общественностью, маркетинг")</f>
        <v>связи с общественностью, маркетинг</v>
      </c>
      <c r="C1132" s="6" t="str">
        <f>IFERROR(__xludf.DUMMYFUNCTION("""COMPUTED_VALUE"""),"кино, литература, путешествия")</f>
        <v>кино, литература, путешествия</v>
      </c>
      <c r="D1132" s="6" t="str">
        <f>IFERROR(__xludf.DUMMYFUNCTION("""COMPUTED_VALUE"""),"ленинский")</f>
        <v>ленинский</v>
      </c>
      <c r="E1132" s="6" t="str">
        <f>IFERROR(__xludf.DUMMYFUNCTION("""COMPUTED_VALUE"""),"красная горка, бор, томская писаница, набережная")</f>
        <v>красная горка, бор, томская писаница, набережная</v>
      </c>
      <c r="F1132" s="6" t="str">
        <f>IFERROR(__xludf.DUMMYFUNCTION("""COMPUTED_VALUE"""),"Живу здесь с рождения")</f>
        <v>Живу здесь с рождения</v>
      </c>
      <c r="G1132" s="6" t="str">
        <f>IFERROR(__xludf.DUMMYFUNCTION("""COMPUTED_VALUE"""),"центр, берег томи")</f>
        <v>центр, берег томи</v>
      </c>
      <c r="H1132" s="6" t="str">
        <f>IFERROR(__xludf.DUMMYFUNCTION("""COMPUTED_VALUE"""),"провинциальный, уютный, серый, консервативный, тюрьма")</f>
        <v>провинциальный, уютный, серый, консервативный, тюрьма</v>
      </c>
      <c r="I1132" s="6" t="str">
        <f>IFERROR(__xludf.DUMMYFUNCTION("""COMPUTED_VALUE"""),"Волков, Рутгерс")</f>
        <v>Волков, Рутгерс</v>
      </c>
      <c r="J1132" s="6" t="str">
        <f>IFERROR(__xludf.DUMMYFUNCTION("""COMPUTED_VALUE"""),"Машков, Гришковец")</f>
        <v>Машков, Гришковец</v>
      </c>
      <c r="K1132" s="6" t="str">
        <f>IFERROR(__xludf.DUMMYFUNCTION("""COMPUTED_VALUE"""),"центр, весенняя, набережная, красная горка, томская писаница")</f>
        <v>центр, весенняя, набережная, красная горка, томская писаница</v>
      </c>
      <c r="L1132" s="6" t="str">
        <f>IFERROR(__xludf.DUMMYFUNCTION("""COMPUTED_VALUE"""),"человек из кемерова")</f>
        <v>человек из кемерова</v>
      </c>
      <c r="M1132" s="6" t="str">
        <f>IFERROR(__xludf.DUMMYFUNCTION("""COMPUTED_VALUE"""),"тормозок")</f>
        <v>тормозок</v>
      </c>
      <c r="N1132" s="6" t="str">
        <f>IFERROR(__xludf.DUMMYFUNCTION("""COMPUTED_VALUE"""),"нет пробок, чистый ")</f>
        <v>нет пробок, чистый </v>
      </c>
      <c r="O1132" s="6" t="str">
        <f>IFERROR(__xludf.DUMMYFUNCTION("""COMPUTED_VALUE"""),"мало гастролей федеральных театров")</f>
        <v>мало гастролей федеральных театров</v>
      </c>
      <c r="P1132" s="6" t="str">
        <f>IFERROR(__xludf.DUMMYFUNCTION("""COMPUTED_VALUE"""),"сарафанное радио")</f>
        <v>сарафанное радио</v>
      </c>
      <c r="Q1132" s="6" t="str">
        <f>IFERROR(__xludf.DUMMYFUNCTION("""COMPUTED_VALUE"""),"куда пойти в свободное время, где вкусно поесть/открытие новых кафе/ресторанов,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интервью с экспертами на разные темы (напишите в разделе Другое свои предложения)</v>
      </c>
      <c r="R1132" s="6" t="str">
        <f>IFERROR(__xludf.DUMMYFUNCTION("""COMPUTED_VALUE"""),"новый год")</f>
        <v>новый год</v>
      </c>
      <c r="S1132" s="6" t="str">
        <f>IFERROR(__xludf.DUMMYFUNCTION("""COMPUTED_VALUE"""),"Нет, не приходилось")</f>
        <v>Нет, не приходилось</v>
      </c>
      <c r="T1132" s="6" t="str">
        <f>IFERROR(__xludf.DUMMYFUNCTION("""COMPUTED_VALUE"""),"уголь, зимняя вишня, все как в болоте")</f>
        <v>уголь, зимняя вишня, все как в болоте</v>
      </c>
      <c r="U1132" s="6" t="str">
        <f>IFERROR(__xludf.DUMMYFUNCTION("""COMPUTED_VALUE"""),"площадь советов")</f>
        <v>площадь советов</v>
      </c>
      <c r="V1132" s="6" t="str">
        <f>IFERROR(__xludf.DUMMYFUNCTION("""COMPUTED_VALUE"""),"1")</f>
        <v>1</v>
      </c>
      <c r="W1132" s="6" t="str">
        <f>IFERROR(__xludf.DUMMYFUNCTION("""COMPUTED_VALUE"""),"консерватизм, ограниченность, принятие своей судьбы, согласие с тем, что ничего не поменять")</f>
        <v>консерватизм, ограниченность, принятие своей судьбы, согласие с тем, что ничего не поменять</v>
      </c>
      <c r="X1132" s="6" t="str">
        <f>IFERROR(__xludf.DUMMYFUNCTION("""COMPUTED_VALUE"""),"весенняя, советский, пл. пушкина, набережная, бор, красная горка, томская писаница")</f>
        <v>весенняя, советский, пл. пушкина, набережная, бор, красная горка, томская писаница</v>
      </c>
      <c r="Y1132" s="6" t="str">
        <f>IFERROR(__xludf.DUMMYFUNCTION("""COMPUTED_VALUE"""),"хоккей с мячом, чемпионат мира")</f>
        <v>хоккей с мячом, чемпионат мира</v>
      </c>
      <c r="Z1132" s="6" t="str">
        <f>IFERROR(__xludf.DUMMYFUNCTION("""COMPUTED_VALUE"""),"зимняя вишня")</f>
        <v>зимняя вишня</v>
      </c>
      <c r="AA1132" s="6" t="str">
        <f>IFERROR(__xludf.DUMMYFUNCTION("""COMPUTED_VALUE"""),"зимняя вишня")</f>
        <v>зимняя вишня</v>
      </c>
      <c r="AB1132" s="6" t="str">
        <f>IFERROR(__xludf.DUMMYFUNCTION("""COMPUTED_VALUE"""),"науч-поп лекции ")</f>
        <v>науч-поп лекции </v>
      </c>
      <c r="AC1132" s="6" t="str">
        <f>IFERROR(__xludf.DUMMYFUNCTION("""COMPUTED_VALUE"""),"науч-поп лекции")</f>
        <v>науч-поп лекции</v>
      </c>
      <c r="AD1132" s="6" t="str">
        <f>IFERROR(__xludf.DUMMYFUNCTION("""COMPUTED_VALUE"""),"1")</f>
        <v>1</v>
      </c>
      <c r="AE1132" s="6" t="str">
        <f>IFERROR(__xludf.DUMMYFUNCTION("""COMPUTED_VALUE"""),"Женский")</f>
        <v>Женский</v>
      </c>
      <c r="AF1132" s="6" t="str">
        <f>IFERROR(__xludf.DUMMYFUNCTION("""COMPUTED_VALUE"""),"30-44")</f>
        <v>30-44</v>
      </c>
      <c r="AG1132" s="6"/>
      <c r="AH1132" s="6"/>
      <c r="AI1132" s="6"/>
      <c r="AJ1132" s="6"/>
      <c r="AK1132" s="6"/>
      <c r="AL1132" s="6"/>
      <c r="AM1132" s="6"/>
    </row>
    <row r="1133">
      <c r="A1133" s="6">
        <v>1132.0</v>
      </c>
      <c r="B1133" s="6" t="str">
        <f>IFERROR(__xludf.DUMMYFUNCTION("""COMPUTED_VALUE"""),"ИП ")</f>
        <v>ИП </v>
      </c>
      <c r="C1133" s="6" t="str">
        <f>IFERROR(__xludf.DUMMYFUNCTION("""COMPUTED_VALUE"""),"Спорт")</f>
        <v>Спорт</v>
      </c>
      <c r="D1133" s="6" t="str">
        <f>IFERROR(__xludf.DUMMYFUNCTION("""COMPUTED_VALUE"""),"Ленинградский")</f>
        <v>Ленинградский</v>
      </c>
      <c r="E1133" s="6" t="str">
        <f>IFERROR(__xludf.DUMMYFUNCTION("""COMPUTED_VALUE"""),"Фонтан ")</f>
        <v>Фонтан </v>
      </c>
      <c r="F1133" s="6" t="str">
        <f>IFERROR(__xludf.DUMMYFUNCTION("""COMPUTED_VALUE"""),"Живу здесь с рождения")</f>
        <v>Живу здесь с рождения</v>
      </c>
      <c r="G1133" s="6" t="str">
        <f>IFERROR(__xludf.DUMMYFUNCTION("""COMPUTED_VALUE"""),"У нас некуда ходить, кроме ТРЦ")</f>
        <v>У нас некуда ходить, кроме ТРЦ</v>
      </c>
      <c r="H1133" s="6" t="str">
        <f>IFERROR(__xludf.DUMMYFUNCTION("""COMPUTED_VALUE"""),"Не красивый, грязный, дымный, вонючий, плохой")</f>
        <v>Не красивый, грязный, дымный, вонючий, плохой</v>
      </c>
      <c r="I1133" s="6" t="str">
        <f>IFERROR(__xludf.DUMMYFUNCTION("""COMPUTED_VALUE"""),"Шахтеры")</f>
        <v>Шахтеры</v>
      </c>
      <c r="J1133" s="6" t="str">
        <f>IFERROR(__xludf.DUMMYFUNCTION("""COMPUTED_VALUE"""),"Нет таких")</f>
        <v>Нет таких</v>
      </c>
      <c r="K1133" s="6" t="str">
        <f>IFERROR(__xludf.DUMMYFUNCTION("""COMPUTED_VALUE"""),"А у нас нет ничего что можно показать, кроме шахт:)")</f>
        <v>А у нас нет ничего что можно показать, кроме шахт:)</v>
      </c>
      <c r="L1133" s="6" t="str">
        <f>IFERROR(__xludf.DUMMYFUNCTION("""COMPUTED_VALUE"""),"Город ты вонючий, серый и говнючий ")</f>
        <v>Город ты вонючий, серый и говнючий </v>
      </c>
      <c r="M1133" s="6" t="str">
        <f>IFERROR(__xludf.DUMMYFUNCTION("""COMPUTED_VALUE"""),"Нет")</f>
        <v>Нет</v>
      </c>
      <c r="N1133" s="6" t="str">
        <f>IFERROR(__xludf.DUMMYFUNCTION("""COMPUTED_VALUE"""),"Транспорт( который нормально ходит), Экологичность, 
спортивные арены(а не ТРЦ) Благоустройство в каждом районе(а не только в дорогих районах, центр, притомский) 
туризм ")</f>
        <v>Транспорт( который нормально ходит), Экологичность, 
спортивные арены(а не ТРЦ) Благоустройство в каждом районе(а не только в дорогих районах, центр, притомский) 
туризм </v>
      </c>
      <c r="O1133" s="6" t="str">
        <f>IFERROR(__xludf.DUMMYFUNCTION("""COMPUTED_VALUE"""),"Благоустройство в каждом районе(а не только в дорогих районах, центр, притомский) ")</f>
        <v>Благоустройство в каждом районе(а не только в дорогих районах, центр, притомский) </v>
      </c>
      <c r="P1133" s="6" t="str">
        <f>IFERROR(__xludf.DUMMYFUNCTION("""COMPUTED_VALUE"""),"Дубльгис ")</f>
        <v>Дубльгис </v>
      </c>
      <c r="Q1133"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ме"&amp;"стных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133" s="6" t="str">
        <f>IFERROR(__xludf.DUMMYFUNCTION("""COMPUTED_VALUE"""),"Все значимые события. ")</f>
        <v>Все значимые события. </v>
      </c>
      <c r="S1133" s="6" t="str">
        <f>IFERROR(__xludf.DUMMYFUNCTION("""COMPUTED_VALUE"""),"Через социальные сети (Какие? Укажите в графе другое)")</f>
        <v>Через социальные сети (Какие? Укажите в графе другое)</v>
      </c>
      <c r="T1133" s="6" t="str">
        <f>IFERROR(__xludf.DUMMYFUNCTION("""COMPUTED_VALUE"""),"УГОЛЬ (дурацкий)")</f>
        <v>УГОЛЬ (дурацкий)</v>
      </c>
      <c r="U1133" s="6" t="str">
        <f>IFERROR(__xludf.DUMMYFUNCTION("""COMPUTED_VALUE"""),"Ничего")</f>
        <v>Ничего</v>
      </c>
      <c r="V1133" s="6" t="str">
        <f>IFERROR(__xludf.DUMMYFUNCTION("""COMPUTED_VALUE"""),"Спросите у нашей власти( у них всегда все хорошо)")</f>
        <v>Спросите у нашей власти( у них всегда все хорошо)</v>
      </c>
      <c r="W1133" s="6" t="str">
        <f>IFERROR(__xludf.DUMMYFUNCTION("""COMPUTED_VALUE"""),"Добрые и очень удивляюсь какие терпеливые ")</f>
        <v>Добрые и очень удивляюсь какие терпеливые </v>
      </c>
      <c r="X1133" s="6" t="str">
        <f>IFERROR(__xludf.DUMMYFUNCTION("""COMPUTED_VALUE"""),"Никакой")</f>
        <v>Никакой</v>
      </c>
      <c r="Y1133" s="6" t="str">
        <f>IFERROR(__xludf.DUMMYFUNCTION("""COMPUTED_VALUE"""),"Пока никакого ")</f>
        <v>Пока никакого </v>
      </c>
      <c r="Z1133" s="6" t="str">
        <f>IFERROR(__xludf.DUMMYFUNCTION("""COMPUTED_VALUE"""),"Никаких")</f>
        <v>Никаких</v>
      </c>
      <c r="AA1133" s="6" t="str">
        <f>IFERROR(__xludf.DUMMYFUNCTION("""COMPUTED_VALUE"""),"Их очень много")</f>
        <v>Их очень много</v>
      </c>
      <c r="AB1133" s="6" t="str">
        <f>IFERROR(__xludf.DUMMYFUNCTION("""COMPUTED_VALUE"""),"Зачем нам сообщества?")</f>
        <v>Зачем нам сообщества?</v>
      </c>
      <c r="AC1133" s="6" t="str">
        <f>IFERROR(__xludf.DUMMYFUNCTION("""COMPUTED_VALUE"""),"Развивать спорт, чтоб к нам ездили с разных стран, туризм")</f>
        <v>Развивать спорт, чтоб к нам ездили с разных стран, туризм</v>
      </c>
      <c r="AD113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v>
      </c>
      <c r="AE1133" s="6" t="str">
        <f>IFERROR(__xludf.DUMMYFUNCTION("""COMPUTED_VALUE"""),"Женский")</f>
        <v>Женский</v>
      </c>
      <c r="AF1133" s="6" t="str">
        <f>IFERROR(__xludf.DUMMYFUNCTION("""COMPUTED_VALUE"""),"30-44")</f>
        <v>30-44</v>
      </c>
      <c r="AG1133" s="6"/>
      <c r="AH1133" s="6"/>
      <c r="AI1133" s="6"/>
      <c r="AJ1133" s="6"/>
      <c r="AK1133" s="6"/>
      <c r="AL1133" s="6"/>
      <c r="AM1133" s="6"/>
    </row>
    <row r="1134">
      <c r="A1134" s="6">
        <v>1133.0</v>
      </c>
      <c r="B1134" s="6" t="str">
        <f>IFERROR(__xludf.DUMMYFUNCTION("""COMPUTED_VALUE"""),"Продавец продовольственных товаров")</f>
        <v>Продавец продовольственных товаров</v>
      </c>
      <c r="C1134" s="6" t="str">
        <f>IFERROR(__xludf.DUMMYFUNCTION("""COMPUTED_VALUE"""),"Рисование")</f>
        <v>Рисование</v>
      </c>
      <c r="D1134" s="6" t="str">
        <f>IFERROR(__xludf.DUMMYFUNCTION("""COMPUTED_VALUE"""),"Рудничный")</f>
        <v>Рудничный</v>
      </c>
      <c r="E1134" s="6" t="str">
        <f>IFERROR(__xludf.DUMMYFUNCTION("""COMPUTED_VALUE"""),"В нашем районе красная горка памятник павшим солдатам")</f>
        <v>В нашем районе красная горка памятник павшим солдатам</v>
      </c>
      <c r="F1134" s="6" t="str">
        <f>IFERROR(__xludf.DUMMYFUNCTION("""COMPUTED_VALUE"""),"Живу здесь с рождения")</f>
        <v>Живу здесь с рождения</v>
      </c>
      <c r="G1134" s="6" t="str">
        <f>IFERROR(__xludf.DUMMYFUNCTION("""COMPUTED_VALUE"""),"Горсад, набережная, парк жукова")</f>
        <v>Горсад, набережная, парк жукова</v>
      </c>
      <c r="H1134" s="6" t="str">
        <f>IFERROR(__xludf.DUMMYFUNCTION("""COMPUTED_VALUE"""),"Завод, магазин, парк, троллейбус, администрация")</f>
        <v>Завод, магазин, парк, троллейбус, администрация</v>
      </c>
      <c r="I1134" s="6" t="str">
        <f>IFERROR(__xludf.DUMMYFUNCTION("""COMPUTED_VALUE"""),"Алексей Леонов, Михайло Волков, Вера Волошина, Ермак")</f>
        <v>Алексей Леонов, Михайло Волков, Вера Волошина, Ермак</v>
      </c>
      <c r="J1134" s="6" t="str">
        <f>IFERROR(__xludf.DUMMYFUNCTION("""COMPUTED_VALUE"""),"Тулеев")</f>
        <v>Тулеев</v>
      </c>
      <c r="K1134" s="6" t="str">
        <f>IFERROR(__xludf.DUMMYFUNCTION("""COMPUTED_VALUE"""),"Аллея героев")</f>
        <v>Аллея героев</v>
      </c>
      <c r="L1134" s="6" t="str">
        <f>IFERROR(__xludf.DUMMYFUNCTION("""COMPUTED_VALUE"""),"Не знаю ничего")</f>
        <v>Не знаю ничего</v>
      </c>
      <c r="M1134" s="6" t="str">
        <f>IFERROR(__xludf.DUMMYFUNCTION("""COMPUTED_VALUE"""),"Не знаю")</f>
        <v>Не знаю</v>
      </c>
      <c r="N1134" s="6" t="str">
        <f>IFERROR(__xludf.DUMMYFUNCTION("""COMPUTED_VALUE"""),"Чистота, красивые газоны с цветами, кафе небольшие уличные, транспорта много, магазинов много")</f>
        <v>Чистота, красивые газоны с цветами, кафе небольшие уличные, транспорта много, магазинов много</v>
      </c>
      <c r="O1134" s="6" t="str">
        <f>IFERROR(__xludf.DUMMYFUNCTION("""COMPUTED_VALUE"""),"Дома некрашены во дворах")</f>
        <v>Дома некрашены во дворах</v>
      </c>
      <c r="P1134" s="6" t="str">
        <f>IFERROR(__xludf.DUMMYFUNCTION("""COMPUTED_VALUE"""),"По телефону в контакте либо по телевизору, газеты")</f>
        <v>По телефону в контакте либо по телевизору, газеты</v>
      </c>
      <c r="Q1134"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1134" s="6" t="str">
        <f>IFERROR(__xludf.DUMMYFUNCTION("""COMPUTED_VALUE"""),"День города, день Победы")</f>
        <v>День города, день Победы</v>
      </c>
      <c r="S1134" s="6" t="str">
        <f>IFERROR(__xludf.DUMMYFUNCTION("""COMPUTED_VALUE"""),"Нет, не приходилось")</f>
        <v>Нет, не приходилось</v>
      </c>
      <c r="T1134" s="6" t="str">
        <f>IFERROR(__xludf.DUMMYFUNCTION("""COMPUTED_VALUE"""),"Кемерово знаменит углем, очень много солдат ушло на войну и в тылу люди работали не жалея себя")</f>
        <v>Кемерово знаменит углем, очень много солдат ушло на войну и в тылу люди работали не жалея себя</v>
      </c>
      <c r="U1134" s="6" t="str">
        <f>IFERROR(__xludf.DUMMYFUNCTION("""COMPUTED_VALUE"""),"Аллея героев")</f>
        <v>Аллея героев</v>
      </c>
      <c r="V1134" s="6" t="str">
        <f>IFERROR(__xludf.DUMMYFUNCTION("""COMPUTED_VALUE"""),"Облагораживали кемерово, садили деревья")</f>
        <v>Облагораживали кемерово, садили деревья</v>
      </c>
      <c r="W1134" s="6" t="str">
        <f>IFERROR(__xludf.DUMMYFUNCTION("""COMPUTED_VALUE"""),"Всякие есть ")</f>
        <v>Всякие есть </v>
      </c>
      <c r="X1134" s="6" t="str">
        <f>IFERROR(__xludf.DUMMYFUNCTION("""COMPUTED_VALUE"""),"Набережная")</f>
        <v>Набережная</v>
      </c>
      <c r="Y1134" s="6" t="str">
        <f>IFERROR(__xludf.DUMMYFUNCTION("""COMPUTED_VALUE"""),"Приезжают артисты в цирк филармонии, театры")</f>
        <v>Приезжают артисты в цирк филармонии, театры</v>
      </c>
      <c r="Z1134" s="6" t="str">
        <f>IFERROR(__xludf.DUMMYFUNCTION("""COMPUTED_VALUE"""),"Купили дорогую елку")</f>
        <v>Купили дорогую елку</v>
      </c>
      <c r="AA1134" s="6" t="str">
        <f>IFERROR(__xludf.DUMMYFUNCTION("""COMPUTED_VALUE"""),"Маски заставляют одевать люди ругаются с кондукторами")</f>
        <v>Маски заставляют одевать люди ругаются с кондукторами</v>
      </c>
      <c r="AB1134" s="6" t="str">
        <f>IFERROR(__xludf.DUMMYFUNCTION("""COMPUTED_VALUE"""),"Все хватает ")</f>
        <v>Все хватает </v>
      </c>
      <c r="AC1134" s="6" t="str">
        <f>IFERROR(__xludf.DUMMYFUNCTION("""COMPUTED_VALUE"""),"Сделать любые мероприятия дешевле или бесплатно")</f>
        <v>Сделать любые мероприятия дешевле или бесплатно</v>
      </c>
      <c r="AD113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34" s="6" t="str">
        <f>IFERROR(__xludf.DUMMYFUNCTION("""COMPUTED_VALUE"""),"Женский")</f>
        <v>Женский</v>
      </c>
      <c r="AF1134" s="6" t="str">
        <f>IFERROR(__xludf.DUMMYFUNCTION("""COMPUTED_VALUE"""),"45-55")</f>
        <v>45-55</v>
      </c>
      <c r="AG1134" s="6"/>
      <c r="AH1134" s="6"/>
      <c r="AI1134" s="6"/>
      <c r="AJ1134" s="6"/>
      <c r="AK1134" s="6"/>
      <c r="AL1134" s="6"/>
      <c r="AM1134" s="6"/>
    </row>
    <row r="1135">
      <c r="A1135" s="6">
        <v>1134.0</v>
      </c>
      <c r="B1135" s="6" t="str">
        <f>IFERROR(__xludf.DUMMYFUNCTION("""COMPUTED_VALUE"""),"домохозяйка")</f>
        <v>домохозяйка</v>
      </c>
      <c r="C1135" s="6" t="str">
        <f>IFERROR(__xludf.DUMMYFUNCTION("""COMPUTED_VALUE"""),"шитье и фото")</f>
        <v>шитье и фото</v>
      </c>
      <c r="D1135" s="6" t="str">
        <f>IFERROR(__xludf.DUMMYFUNCTION("""COMPUTED_VALUE"""),"рудничный")</f>
        <v>рудничный</v>
      </c>
      <c r="E1135" s="6" t="str">
        <f>IFERROR(__xludf.DUMMYFUNCTION("""COMPUTED_VALUE"""),"дк, стадион")</f>
        <v>дк, стадион</v>
      </c>
      <c r="F1135" s="6" t="str">
        <f>IFERROR(__xludf.DUMMYFUNCTION("""COMPUTED_VALUE"""),"Живу здесь с рождения")</f>
        <v>Живу здесь с рождения</v>
      </c>
      <c r="G1135" s="6" t="str">
        <f>IFERROR(__xludf.DUMMYFUNCTION("""COMPUTED_VALUE"""),"набережная, кафе, торговый центр, парк Антошка")</f>
        <v>набережная, кафе, торговый центр, парк Антошка</v>
      </c>
      <c r="H1135" s="6" t="str">
        <f>IFERROR(__xludf.DUMMYFUNCTION("""COMPUTED_VALUE"""),"шахты. стройка, развитие, зимняя вишня")</f>
        <v>шахты. стройка, развитие, зимняя вишня</v>
      </c>
      <c r="I1135" s="6" t="str">
        <f>IFERROR(__xludf.DUMMYFUNCTION("""COMPUTED_VALUE"""),"Леонов")</f>
        <v>Леонов</v>
      </c>
      <c r="J1135" s="6" t="str">
        <f>IFERROR(__xludf.DUMMYFUNCTION("""COMPUTED_VALUE"""),"Тулеев, Цивилев, Середюк")</f>
        <v>Тулеев, Цивилев, Середюк</v>
      </c>
      <c r="K1135" s="6" t="str">
        <f>IFERROR(__xludf.DUMMYFUNCTION("""COMPUTED_VALUE"""),"памятник Шахтерам,")</f>
        <v>памятник Шахтерам,</v>
      </c>
      <c r="L1135" s="6" t="str">
        <f>IFERROR(__xludf.DUMMYFUNCTION("""COMPUTED_VALUE"""),"не знаю")</f>
        <v>не знаю</v>
      </c>
      <c r="M1135" s="6" t="str">
        <f>IFERROR(__xludf.DUMMYFUNCTION("""COMPUTED_VALUE"""),"не знаю")</f>
        <v>не знаю</v>
      </c>
      <c r="N1135" s="6" t="str">
        <f>IFERROR(__xludf.DUMMYFUNCTION("""COMPUTED_VALUE"""),"чистый воздух, развитая инфраструктура,  высокая зарплата, хорошие дороги, доступное образование и спорт")</f>
        <v>чистый воздух, развитая инфраструктура,  высокая зарплата, хорошие дороги, доступное образование и спорт</v>
      </c>
      <c r="O1135" s="6" t="str">
        <f>IFERROR(__xludf.DUMMYFUNCTION("""COMPUTED_VALUE"""),"экологию")</f>
        <v>экологию</v>
      </c>
      <c r="P1135" s="6" t="str">
        <f>IFERROR(__xludf.DUMMYFUNCTION("""COMPUTED_VALUE"""),"афиша яндекс, инстаграм")</f>
        <v>афиша яндекс, инстаграм</v>
      </c>
      <c r="Q1135" s="6" t="str">
        <f>IFERROR(__xludf.DUMMYFUNCTION("""COMPUTED_VALUE"""),"где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135" s="6" t="str">
        <f>IFERROR(__xludf.DUMMYFUNCTION("""COMPUTED_VALUE"""),"парад 9 мая")</f>
        <v>парад 9 мая</v>
      </c>
      <c r="S1135" s="6" t="str">
        <f>IFERROR(__xludf.DUMMYFUNCTION("""COMPUTED_VALUE"""),"Нет, не приходилось")</f>
        <v>Нет, не приходилось</v>
      </c>
      <c r="T1135" s="6" t="str">
        <f>IFERROR(__xludf.DUMMYFUNCTION("""COMPUTED_VALUE"""),"парк Ангелов, набережная, ")</f>
        <v>парк Ангелов, набережная, </v>
      </c>
      <c r="U1135" s="6" t="str">
        <f>IFERROR(__xludf.DUMMYFUNCTION("""COMPUTED_VALUE"""),"площадь советов")</f>
        <v>площадь советов</v>
      </c>
      <c r="V1135" s="6" t="str">
        <f>IFERROR(__xludf.DUMMYFUNCTION("""COMPUTED_VALUE"""),"работали и строили")</f>
        <v>работали и строили</v>
      </c>
      <c r="W1135" s="6" t="str">
        <f>IFERROR(__xludf.DUMMYFUNCTION("""COMPUTED_VALUE"""),"уставшие, недоверчивые")</f>
        <v>уставшие, недоверчивые</v>
      </c>
      <c r="X1135" s="6" t="str">
        <f>IFERROR(__xludf.DUMMYFUNCTION("""COMPUTED_VALUE"""),"лесная поляна, ")</f>
        <v>лесная поляна, </v>
      </c>
      <c r="Y1135" s="6" t="str">
        <f>IFERROR(__xludf.DUMMYFUNCTION("""COMPUTED_VALUE"""),"пожар Зимняя вишня")</f>
        <v>пожар Зимняя вишня</v>
      </c>
      <c r="Z1135" s="6" t="str">
        <f>IFERROR(__xludf.DUMMYFUNCTION("""COMPUTED_VALUE"""),"строительство ")</f>
        <v>строительство </v>
      </c>
      <c r="AA1135" s="6" t="str">
        <f>IFERROR(__xludf.DUMMYFUNCTION("""COMPUTED_VALUE"""),"сложно сказать")</f>
        <v>сложно сказать</v>
      </c>
      <c r="AB1135" s="6" t="str">
        <f>IFERROR(__xludf.DUMMYFUNCTION("""COMPUTED_VALUE"""),"доступных спортивных")</f>
        <v>доступных спортивных</v>
      </c>
      <c r="AC1135" s="6" t="str">
        <f>IFERROR(__xludf.DUMMYFUNCTION("""COMPUTED_VALUE"""),"доступные творческие, концерты мировых звезд")</f>
        <v>доступные творческие, концерты мировых звезд</v>
      </c>
      <c r="AD113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35" s="6" t="str">
        <f>IFERROR(__xludf.DUMMYFUNCTION("""COMPUTED_VALUE"""),"Женский")</f>
        <v>Женский</v>
      </c>
      <c r="AF1135" s="6" t="str">
        <f>IFERROR(__xludf.DUMMYFUNCTION("""COMPUTED_VALUE"""),"30-44")</f>
        <v>30-44</v>
      </c>
      <c r="AG1135" s="6"/>
      <c r="AH1135" s="6"/>
      <c r="AI1135" s="6"/>
      <c r="AJ1135" s="6"/>
      <c r="AK1135" s="6"/>
      <c r="AL1135" s="6"/>
      <c r="AM1135" s="6"/>
    </row>
    <row r="1136">
      <c r="A1136" s="6">
        <v>1135.0</v>
      </c>
      <c r="B1136" s="6" t="str">
        <f>IFERROR(__xludf.DUMMYFUNCTION("""COMPUTED_VALUE"""),"учусь в 4 классе")</f>
        <v>учусь в 4 классе</v>
      </c>
      <c r="C1136" s="6" t="str">
        <f>IFERROR(__xludf.DUMMYFUNCTION("""COMPUTED_VALUE"""),"играю в футбол,комп. игры")</f>
        <v>играю в футбол,комп. игры</v>
      </c>
      <c r="D1136" s="6" t="str">
        <f>IFERROR(__xludf.DUMMYFUNCTION("""COMPUTED_VALUE"""),"Заводской")</f>
        <v>Заводской</v>
      </c>
      <c r="E1136" s="6" t="str">
        <f>IFERROR(__xludf.DUMMYFUNCTION("""COMPUTED_VALUE"""),"дом молитвы, детская площадка")</f>
        <v>дом молитвы, детская площадка</v>
      </c>
      <c r="F1136" s="6" t="str">
        <f>IFERROR(__xludf.DUMMYFUNCTION("""COMPUTED_VALUE"""),"Живу здесь с рождения")</f>
        <v>Живу здесь с рождения</v>
      </c>
      <c r="G1136" s="6" t="str">
        <f>IFERROR(__xludf.DUMMYFUNCTION("""COMPUTED_VALUE"""),"хожу в парк Чудес, в парк им. Жукова")</f>
        <v>хожу в парк Чудес, в парк им. Жукова</v>
      </c>
      <c r="H1136" s="6" t="str">
        <f>IFERROR(__xludf.DUMMYFUNCTION("""COMPUTED_VALUE"""),"уголь,трубы,дым,шахты,тайга")</f>
        <v>уголь,трубы,дым,шахты,тайга</v>
      </c>
      <c r="I1136" s="6" t="str">
        <f>IFERROR(__xludf.DUMMYFUNCTION("""COMPUTED_VALUE"""),"Леонов, Волков")</f>
        <v>Леонов, Волков</v>
      </c>
      <c r="J1136" s="6" t="str">
        <f>IFERROR(__xludf.DUMMYFUNCTION("""COMPUTED_VALUE"""),"незнаю")</f>
        <v>незнаю</v>
      </c>
      <c r="K1136" s="6" t="str">
        <f>IFERROR(__xludf.DUMMYFUNCTION("""COMPUTED_VALUE"""),"вечный огонь,краеведческий музей,музей ИЗО,музей Красная Горка
")</f>
        <v>вечный огонь,краеведческий музей,музей ИЗО,музей Красная Горка
</v>
      </c>
      <c r="L1136" s="6" t="str">
        <f>IFERROR(__xludf.DUMMYFUNCTION("""COMPUTED_VALUE"""),"я незнаю")</f>
        <v>я незнаю</v>
      </c>
      <c r="M1136" s="6" t="str">
        <f>IFERROR(__xludf.DUMMYFUNCTION("""COMPUTED_VALUE"""),"незнаю")</f>
        <v>незнаю</v>
      </c>
      <c r="N1136" s="6" t="str">
        <f>IFERROR(__xludf.DUMMYFUNCTION("""COMPUTED_VALUE"""),"мне в моем городе не комфортно")</f>
        <v>мне в моем городе не комфортно</v>
      </c>
      <c r="O1136" s="6" t="str">
        <f>IFERROR(__xludf.DUMMYFUNCTION("""COMPUTED_VALUE"""),"убрать дым,построить бассейны,построить спортивные комплексы,очистить воздух")</f>
        <v>убрать дым,построить бассейны,построить спортивные комплексы,очистить воздух</v>
      </c>
      <c r="P1136" s="6" t="str">
        <f>IFERROR(__xludf.DUMMYFUNCTION("""COMPUTED_VALUE""")," телевизор,интернет")</f>
        <v> телевизор,интернет</v>
      </c>
      <c r="Q113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136" s="6" t="str">
        <f>IFERROR(__xludf.DUMMYFUNCTION("""COMPUTED_VALUE"""),"Пасха,день Победы,масленница")</f>
        <v>Пасха,день Победы,масленница</v>
      </c>
      <c r="S1136" s="6" t="str">
        <f>IFERROR(__xludf.DUMMYFUNCTION("""COMPUTED_VALUE"""),"Нет, не приходилось")</f>
        <v>Нет, не приходилось</v>
      </c>
      <c r="T1136" s="6" t="str">
        <f>IFERROR(__xludf.DUMMYFUNCTION("""COMPUTED_VALUE"""),"угольная промышленность")</f>
        <v>угольная промышленность</v>
      </c>
      <c r="U1136" s="6" t="str">
        <f>IFERROR(__xludf.DUMMYFUNCTION("""COMPUTED_VALUE"""),"площадь Советов")</f>
        <v>площадь Советов</v>
      </c>
      <c r="V1136" s="6" t="str">
        <f>IFERROR(__xludf.DUMMYFUNCTION("""COMPUTED_VALUE"""),"добыли первый уголь")</f>
        <v>добыли первый уголь</v>
      </c>
      <c r="W1136" s="6" t="str">
        <f>IFERROR(__xludf.DUMMYFUNCTION("""COMPUTED_VALUE"""),"добрые,трудолюбивые")</f>
        <v>добрые,трудолюбивые</v>
      </c>
      <c r="X1136" s="6" t="str">
        <f>IFERROR(__xludf.DUMMYFUNCTION("""COMPUTED_VALUE"""),"Красная Горка")</f>
        <v>Красная Горка</v>
      </c>
      <c r="Y1136" s="6" t="str">
        <f>IFERROR(__xludf.DUMMYFUNCTION("""COMPUTED_VALUE"""),"не знаю")</f>
        <v>не знаю</v>
      </c>
      <c r="Z1136" s="6" t="str">
        <f>IFERROR(__xludf.DUMMYFUNCTION("""COMPUTED_VALUE"""),"не знаю")</f>
        <v>не знаю</v>
      </c>
      <c r="AA1136" s="6" t="str">
        <f>IFERROR(__xludf.DUMMYFUNCTION("""COMPUTED_VALUE"""),"сгорела Зимняя вишня")</f>
        <v>сгорела Зимняя вишня</v>
      </c>
      <c r="AB1136" s="6" t="str">
        <f>IFERROR(__xludf.DUMMYFUNCTION("""COMPUTED_VALUE"""),"курорта,море,бассейна,футбольного клуба")</f>
        <v>курорта,море,бассейна,футбольного клуба</v>
      </c>
      <c r="AC1136" s="6" t="str">
        <f>IFERROR(__xludf.DUMMYFUNCTION("""COMPUTED_VALUE"""),"аквапарк")</f>
        <v>аквапарк</v>
      </c>
      <c r="AD113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36" s="6" t="str">
        <f>IFERROR(__xludf.DUMMYFUNCTION("""COMPUTED_VALUE"""),"Мужской")</f>
        <v>Мужской</v>
      </c>
      <c r="AF1136" s="6" t="str">
        <f>IFERROR(__xludf.DUMMYFUNCTION("""COMPUTED_VALUE"""),"18-29")</f>
        <v>18-29</v>
      </c>
      <c r="AG1136" s="6"/>
      <c r="AH1136" s="6"/>
      <c r="AI1136" s="6"/>
      <c r="AJ1136" s="6"/>
      <c r="AK1136" s="6"/>
      <c r="AL1136" s="6"/>
      <c r="AM1136" s="6"/>
    </row>
    <row r="1137">
      <c r="A1137" s="6">
        <v>1136.0</v>
      </c>
      <c r="B1137" s="6" t="str">
        <f>IFERROR(__xludf.DUMMYFUNCTION("""COMPUTED_VALUE"""),"Я учусь в школе ")</f>
        <v>Я учусь в школе </v>
      </c>
      <c r="C1137" s="6" t="str">
        <f>IFERROR(__xludf.DUMMYFUNCTION("""COMPUTED_VALUE"""),"Вышивание")</f>
        <v>Вышивание</v>
      </c>
      <c r="D1137" s="6" t="str">
        <f>IFERROR(__xludf.DUMMYFUNCTION("""COMPUTED_VALUE"""),"Рудничный район. Я называю его ""Радуга"" ")</f>
        <v>Рудничный район. Я называю его "Радуга" </v>
      </c>
      <c r="E1137" s="6" t="str">
        <f>IFERROR(__xludf.DUMMYFUNCTION("""COMPUTED_VALUE"""),"Красная горка, Парк Победы, Лесная поляна. ")</f>
        <v>Красная горка, Парк Победы, Лесная поляна. </v>
      </c>
      <c r="F1137" s="6" t="str">
        <f>IFERROR(__xludf.DUMMYFUNCTION("""COMPUTED_VALUE"""),"Живу здесь с рождения")</f>
        <v>Живу здесь с рождения</v>
      </c>
      <c r="G1137" s="6" t="str">
        <f>IFERROR(__xludf.DUMMYFUNCTION("""COMPUTED_VALUE"""),"В Парк Победы. ")</f>
        <v>В Парк Победы. </v>
      </c>
      <c r="H1137" s="6" t="str">
        <f>IFERROR(__xludf.DUMMYFUNCTION("""COMPUTED_VALUE"""),"Уголь, Шахтёр, Томь, Набережная, Антошка. ")</f>
        <v>Уголь, Шахтёр, Томь, Набережная, Антошка. </v>
      </c>
      <c r="I1137" s="6" t="str">
        <f>IFERROR(__xludf.DUMMYFUNCTION("""COMPUTED_VALUE"""),"Волошина В. Д., Волков М., Назаров И. С. ")</f>
        <v>Волошина В. Д., Волков М., Назаров И. С. </v>
      </c>
      <c r="J1137" s="6" t="str">
        <f>IFERROR(__xludf.DUMMYFUNCTION("""COMPUTED_VALUE"""),"Булгаков А. И., Вдовин Н. М., Подгорбунский М. А. ")</f>
        <v>Булгаков А. И., Вдовин Н. М., Подгорбунский М. А. </v>
      </c>
      <c r="K1137" s="6" t="str">
        <f>IFERROR(__xludf.DUMMYFUNCTION("""COMPUTED_VALUE"""),"Парк Победы, Лесная поляна, памятник Пушкину. ")</f>
        <v>Парк Победы, Лесная поляна, памятник Пушкину. </v>
      </c>
      <c r="L1137" s="6" t="str">
        <f>IFERROR(__xludf.DUMMYFUNCTION("""COMPUTED_VALUE"""),"18млн-это же не 30 млн")</f>
        <v>18млн-это же не 30 млн</v>
      </c>
      <c r="M1137" s="6" t="str">
        <f>IFERROR(__xludf.DUMMYFUNCTION("""COMPUTED_VALUE"""),"Нет. Я не знаю")</f>
        <v>Нет. Я не знаю</v>
      </c>
      <c r="N1137" s="6" t="str">
        <f>IFERROR(__xludf.DUMMYFUNCTION("""COMPUTED_VALUE"""),"В шаговой доступности школа, поликлиника, дворы, парки, памятники. ")</f>
        <v>В шаговой доступности школа, поликлиника, дворы, парки, памятники. </v>
      </c>
      <c r="O1137" s="6" t="str">
        <f>IFERROR(__xludf.DUMMYFUNCTION("""COMPUTED_VALUE"""),"Построить бассейн. ")</f>
        <v>Построить бассейн. </v>
      </c>
      <c r="P1137" s="6" t="str">
        <f>IFERROR(__xludf.DUMMYFUNCTION("""COMPUTED_VALUE"""),"По телевиденью ")</f>
        <v>По телевиденью </v>
      </c>
      <c r="Q1137"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1137" s="6" t="str">
        <f>IFERROR(__xludf.DUMMYFUNCTION("""COMPUTED_VALUE"""),"Новый год, день Щахтера, Масленница. ")</f>
        <v>Новый год, день Щахтера, Масленница. </v>
      </c>
      <c r="S1137" s="6" t="str">
        <f>IFERROR(__xludf.DUMMYFUNCTION("""COMPUTED_VALUE"""),"Нет, не приходилось")</f>
        <v>Нет, не приходилось</v>
      </c>
      <c r="T1137" s="6" t="str">
        <f>IFERROR(__xludf.DUMMYFUNCTION("""COMPUTED_VALUE"""),"Добыча угля. Уникальные достопримечательности. ")</f>
        <v>Добыча угля. Уникальные достопримечательности. </v>
      </c>
      <c r="U1137" s="6" t="str">
        <f>IFERROR(__xludf.DUMMYFUNCTION("""COMPUTED_VALUE"""),"Площадь Советов. ")</f>
        <v>Площадь Советов. </v>
      </c>
      <c r="V1137" s="6" t="str">
        <f>IFERROR(__xludf.DUMMYFUNCTION("""COMPUTED_VALUE"""),"Защищали город. ")</f>
        <v>Защищали город. </v>
      </c>
      <c r="W1137" s="6" t="str">
        <f>IFERROR(__xludf.DUMMYFUNCTION("""COMPUTED_VALUE"""),"Добрые, отзывчатые, внимательные. ")</f>
        <v>Добрые, отзывчатые, внимательные. </v>
      </c>
      <c r="X1137" s="6" t="str">
        <f>IFERROR(__xludf.DUMMYFUNCTION("""COMPUTED_VALUE"""),"Экскурсия по центральному району. ")</f>
        <v>Экскурсия по центральному району. </v>
      </c>
      <c r="Y1137" s="6" t="str">
        <f>IFERROR(__xludf.DUMMYFUNCTION("""COMPUTED_VALUE"""),"Згорела Зимняя вишня ")</f>
        <v>Згорела Зимняя вишня </v>
      </c>
      <c r="Z1137" s="6" t="str">
        <f>IFERROR(__xludf.DUMMYFUNCTION("""COMPUTED_VALUE"""),"Побывала в цирке, поситила много парков. ")</f>
        <v>Побывала в цирке, поситила много парков. </v>
      </c>
      <c r="AA1137" s="6" t="str">
        <f>IFERROR(__xludf.DUMMYFUNCTION("""COMPUTED_VALUE"""),"Згорела Зимняя вишня в 2018 году ")</f>
        <v>Згорела Зимняя вишня в 2018 году </v>
      </c>
      <c r="AB1137" s="6" t="str">
        <f>IFERROR(__xludf.DUMMYFUNCTION("""COMPUTED_VALUE"""),"Я не знаю. ")</f>
        <v>Я не знаю. </v>
      </c>
      <c r="AC1137" s="6" t="str">
        <f>IFERROR(__xludf.DUMMYFUNCTION("""COMPUTED_VALUE"""),"Построение зоопарка и аквопарка. ")</f>
        <v>Построение зоопарка и аквопарка. </v>
      </c>
      <c r="AD1137"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137" s="6" t="str">
        <f>IFERROR(__xludf.DUMMYFUNCTION("""COMPUTED_VALUE"""),"Женский")</f>
        <v>Женский</v>
      </c>
      <c r="AF1137" s="6" t="str">
        <f>IFERROR(__xludf.DUMMYFUNCTION("""COMPUTED_VALUE"""),"18-29")</f>
        <v>18-29</v>
      </c>
      <c r="AG1137" s="6"/>
      <c r="AH1137" s="6"/>
      <c r="AI1137" s="6"/>
      <c r="AJ1137" s="6"/>
      <c r="AK1137" s="6"/>
      <c r="AL1137" s="6"/>
      <c r="AM1137" s="6"/>
    </row>
    <row r="1138">
      <c r="A1138" s="6">
        <v>1137.0</v>
      </c>
      <c r="B1138" s="6" t="str">
        <f>IFERROR(__xludf.DUMMYFUNCTION("""COMPUTED_VALUE"""),"Государственная служба")</f>
        <v>Государственная служба</v>
      </c>
      <c r="C1138" s="6" t="str">
        <f>IFERROR(__xludf.DUMMYFUNCTION("""COMPUTED_VALUE"""),"Графический дизайн")</f>
        <v>Графический дизайн</v>
      </c>
      <c r="D1138" s="6" t="str">
        <f>IFERROR(__xludf.DUMMYFUNCTION("""COMPUTED_VALUE"""),"Центральный район, ""Родные просторы""")</f>
        <v>Центральный район, "Родные просторы"</v>
      </c>
      <c r="E1138" s="6" t="str">
        <f>IFERROR(__xludf.DUMMYFUNCTION("""COMPUTED_VALUE"""),"Кадетское училище")</f>
        <v>Кадетское училище</v>
      </c>
      <c r="F1138" s="6" t="str">
        <f>IFERROR(__xludf.DUMMYFUNCTION("""COMPUTED_VALUE"""),"Переехал сюда из другого места (откуда? укажите в графе другое), из Берёзовского")</f>
        <v>Переехал сюда из другого места (откуда? укажите в графе другое), из Берёзовского</v>
      </c>
      <c r="G1138" s="6" t="str">
        <f>IFERROR(__xludf.DUMMYFUNCTION("""COMPUTED_VALUE"""),"Бульвар Строителей, Красное Озеро, Сосновый Бор")</f>
        <v>Бульвар Строителей, Красное Озеро, Сосновый Бор</v>
      </c>
      <c r="H1138" s="6" t="str">
        <f>IFERROR(__xludf.DUMMYFUNCTION("""COMPUTED_VALUE"""),"Стройка, режим черного неба, Белый Дом, Зимняя Вишня, холод")</f>
        <v>Стройка, режим черного неба, Белый Дом, Зимняя Вишня, холод</v>
      </c>
      <c r="I1138" s="6" t="str">
        <f>IFERROR(__xludf.DUMMYFUNCTION("""COMPUTED_VALUE"""),"Волошина, Двужильный, Михайло Волков")</f>
        <v>Волошина, Двужильный, Михайло Волков</v>
      </c>
      <c r="J1138" s="6" t="str">
        <f>IFERROR(__xludf.DUMMYFUNCTION("""COMPUTED_VALUE"""),"Гришковец, Михайлов ")</f>
        <v>Гришковец, Михайлов </v>
      </c>
      <c r="K1138" s="6" t="str">
        <f>IFERROR(__xludf.DUMMYFUNCTION("""COMPUTED_VALUE"""),"Набережная в Кировском, Ленин в женском пальто")</f>
        <v>Набережная в Кировском, Ленин в женском пальто</v>
      </c>
      <c r="L1138" s="6" t="str">
        <f>IFERROR(__xludf.DUMMYFUNCTION("""COMPUTED_VALUE"""),"Если хоть одна девственница окончит политех, то Михайло Волков сойдет с пьедестала на площади Волкова")</f>
        <v>Если хоть одна девственница окончит политех, то Михайло Волков сойдет с пьедестала на площади Волкова</v>
      </c>
      <c r="M1138" s="6" t="str">
        <f>IFERROR(__xludf.DUMMYFUNCTION("""COMPUTED_VALUE"""),"только общие сибирские: мультифора, вехотка, толченка и т.д.")</f>
        <v>только общие сибирские: мультифора, вехотка, толченка и т.д.</v>
      </c>
      <c r="N1138" s="6" t="str">
        <f>IFERROR(__xludf.DUMMYFUNCTION("""COMPUTED_VALUE"""),"чистый, светлый, просторный, творческий, добрый")</f>
        <v>чистый, светлый, просторный, творческий, добрый</v>
      </c>
      <c r="O1138" s="6" t="str">
        <f>IFERROR(__xludf.DUMMYFUNCTION("""COMPUTED_VALUE"""),"сделать большую прогулочную зону вне потока автомобилей ")</f>
        <v>сделать большую прогулочную зону вне потока автомобилей </v>
      </c>
      <c r="P1138" s="6" t="str">
        <f>IFERROR(__xludf.DUMMYFUNCTION("""COMPUTED_VALUE"""),"подписана на конкретные заведения и организации, которые проводят эти мероприятия ")</f>
        <v>подписана на конкретные заведения и организации, которые проводят эти мероприятия </v>
      </c>
      <c r="Q1138" s="6" t="str">
        <f>IFERROR(__xludf.DUMMYFUNCTION("""COMPUTED_VALUE"""),"куда пойти в свободное время, интервью с местными творческими личностями, результаты местных исследований (рейтинги/аналитика/тенденции)")</f>
        <v>куда пойти в свободное время, интервью с местными творческими личностями, результаты местных исследований (рейтинги/аналитика/тенденции)</v>
      </c>
      <c r="R1138" s="6" t="str">
        <f>IFERROR(__xludf.DUMMYFUNCTION("""COMPUTED_VALUE"""),"День города, День Победы ")</f>
        <v>День города, День Победы </v>
      </c>
      <c r="S1138" s="6" t="str">
        <f>IFERROR(__xludf.DUMMYFUNCTION("""COMPUTED_VALUE"""),"Через социальные сети (Какие? Укажите в графе другое)")</f>
        <v>Через социальные сети (Какие? Укажите в графе другое)</v>
      </c>
      <c r="T1138" s="6" t="str">
        <f>IFERROR(__xludf.DUMMYFUNCTION("""COMPUTED_VALUE"""),"К сожалению, трагедией в Зимней Вишне. ")</f>
        <v>К сожалению, трагедией в Зимней Вишне. </v>
      </c>
      <c r="U1138" s="6" t="str">
        <f>IFERROR(__xludf.DUMMYFUNCTION("""COMPUTED_VALUE"""),"Площадь Советов")</f>
        <v>Площадь Советов</v>
      </c>
      <c r="V1138" s="6" t="str">
        <f>IFERROR(__xludf.DUMMYFUNCTION("""COMPUTED_VALUE"""),"Терпеливо трудились")</f>
        <v>Терпеливо трудились</v>
      </c>
      <c r="W1138" s="6" t="str">
        <f>IFERROR(__xludf.DUMMYFUNCTION("""COMPUTED_VALUE"""),"Пугающиеся всего нового, неизбалованные интересными мероприятиями ")</f>
        <v>Пугающиеся всего нового, неизбалованные интересными мероприятиями </v>
      </c>
      <c r="X1138" s="6" t="str">
        <f>IFERROR(__xludf.DUMMYFUNCTION("""COMPUTED_VALUE"""),"Красная горка - Советский - Площадь Советов - Набережная")</f>
        <v>Красная горка - Советский - Площадь Советов - Набережная</v>
      </c>
      <c r="Y1138" s="6" t="str">
        <f>IFERROR(__xludf.DUMMYFUNCTION("""COMPUTED_VALUE"""),"Надеюсь, оно еще впереди")</f>
        <v>Надеюсь, оно еще впереди</v>
      </c>
      <c r="Z1138" s="6" t="str">
        <f>IFERROR(__xludf.DUMMYFUNCTION("""COMPUTED_VALUE"""),"Открытие кадетского корпуса и благоустройство территории около него, открытие памятника блокадникам в Шалготарьяне и благоустройство территории около него")</f>
        <v>Открытие кадетского корпуса и благоустройство территории около него, открытие памятника блокадникам в Шалготарьяне и благоустройство территории около него</v>
      </c>
      <c r="AA1138" s="6" t="str">
        <f>IFERROR(__xludf.DUMMYFUNCTION("""COMPUTED_VALUE"""),"Режим черного неба")</f>
        <v>Режим черного неба</v>
      </c>
      <c r="AB1138" s="6" t="str">
        <f>IFERROR(__xludf.DUMMYFUNCTION("""COMPUTED_VALUE"""),"Общедомовых - не чатиков соседей, а именно общие мероприятия с соседями ")</f>
        <v>Общедомовых - не чатиков соседей, а именно общие мероприятия с соседями </v>
      </c>
      <c r="AC1138" s="6" t="str">
        <f>IFERROR(__xludf.DUMMYFUNCTION("""COMPUTED_VALUE"""),"Фестивали, концерты кавер-групп на улицах, кино под открытом небом ")</f>
        <v>Фестивали, концерты кавер-групп на улицах, кино под открытом небом </v>
      </c>
      <c r="AD113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38" s="6" t="str">
        <f>IFERROR(__xludf.DUMMYFUNCTION("""COMPUTED_VALUE"""),"Женский")</f>
        <v>Женский</v>
      </c>
      <c r="AF1138" s="6" t="str">
        <f>IFERROR(__xludf.DUMMYFUNCTION("""COMPUTED_VALUE"""),"30-44")</f>
        <v>30-44</v>
      </c>
      <c r="AG1138" s="6"/>
      <c r="AH1138" s="6"/>
      <c r="AI1138" s="6"/>
      <c r="AJ1138" s="6"/>
      <c r="AK1138" s="6"/>
      <c r="AL1138" s="6"/>
      <c r="AM1138" s="6"/>
    </row>
    <row r="1139">
      <c r="A1139" s="6">
        <v>1138.0</v>
      </c>
      <c r="B1139" s="6" t="str">
        <f>IFERROR(__xludf.DUMMYFUNCTION("""COMPUTED_VALUE"""),"Индивидуальный предпрениматель. Строим детские и спортивные площадки. ")</f>
        <v>Индивидуальный предпрениматель. Строим детские и спортивные площадки. </v>
      </c>
      <c r="C1139" s="6" t="str">
        <f>IFERROR(__xludf.DUMMYFUNCTION("""COMPUTED_VALUE"""),"Моя работа как хобби. А отдыхаю я прогулкой на велосипеде по лесу и по набережной.")</f>
        <v>Моя работа как хобби. А отдыхаю я прогулкой на велосипеде по лесу и по набережной.</v>
      </c>
      <c r="D1139" s="6" t="str">
        <f>IFERROR(__xludf.DUMMYFUNCTION("""COMPUTED_VALUE"""),"Центральный.  Так и называю.")</f>
        <v>Центральный.  Так и называю.</v>
      </c>
      <c r="E1139" s="6" t="str">
        <f>IFERROR(__xludf.DUMMYFUNCTION("""COMPUTED_VALUE"""),"Парк Ангелов, изумительно архитекторы постарались. Так же нравиться набережная  очень, аллея Славы, площадь Пушкина.")</f>
        <v>Парк Ангелов, изумительно архитекторы постарались. Так же нравиться набережная  очень, аллея Славы, площадь Пушкина.</v>
      </c>
      <c r="F1139" s="6" t="str">
        <f>IFERROR(__xludf.DUMMYFUNCTION("""COMPUTED_VALUE"""),"Переехал сюда из другого места (откуда? укажите в графе другое), Приехал из Барнаула ради бизнеса.")</f>
        <v>Переехал сюда из другого места (откуда? укажите в графе другое), Приехал из Барнаула ради бизнеса.</v>
      </c>
      <c r="G1139" s="6" t="str">
        <f>IFERROR(__xludf.DUMMYFUNCTION("""COMPUTED_VALUE"""),"Парк Ангелов, аллея Славы, набережная, различные скверы и парки.")</f>
        <v>Парк Ангелов, аллея Славы, набережная, различные скверы и парки.</v>
      </c>
      <c r="H1139" s="6" t="str">
        <f>IFERROR(__xludf.DUMMYFUNCTION("""COMPUTED_VALUE"""),"По Питерски,  международное будущее,  центр углепромышленности, чистые и ровные дороги,  на современный лад.")</f>
        <v>По Питерски,  международное будущее,  центр углепромышленности, чистые и ровные дороги,  на современный лад.</v>
      </c>
      <c r="I1139" s="6" t="str">
        <f>IFERROR(__xludf.DUMMYFUNCTION("""COMPUTED_VALUE"""),"Леонов")</f>
        <v>Леонов</v>
      </c>
      <c r="J1139" s="6" t="str">
        <f>IFERROR(__xludf.DUMMYFUNCTION("""COMPUTED_VALUE"""),"Прошлый и действующий губернаторы. Больше не могу сказать об этом, так как на Кузбассе чуть больше года.")</f>
        <v>Прошлый и действующий губернаторы. Больше не могу сказать об этом, так как на Кузбассе чуть больше года.</v>
      </c>
      <c r="K1139" s="6" t="str">
        <f>IFERROR(__xludf.DUMMYFUNCTION("""COMPUTED_VALUE"""),"Монумент ""Память шахтёрам Кузбасса"",  район набережной,  смотровая площадка и место где надпись ""Кузбасс""")</f>
        <v>Монумент "Память шахтёрам Кузбасса",  район набережной,  смотровая площадка и место где надпись "Кузбасс"</v>
      </c>
      <c r="L1139" s="6" t="str">
        <f>IFERROR(__xludf.DUMMYFUNCTION("""COMPUTED_VALUE"""),"на ум только и приходит песня Гребенщикова - ""Человек из Кемерово"".   ""Он придет и молча поправит все , человек из Кемерово""")</f>
        <v>на ум только и приходит песня Гребенщикова - "Человек из Кемерово".   "Он придет и молча поправит все , человек из Кемерово"</v>
      </c>
      <c r="M1139" s="6" t="str">
        <f>IFERROR(__xludf.DUMMYFUNCTION("""COMPUTED_VALUE"""),"нет")</f>
        <v>нет</v>
      </c>
      <c r="N1139" s="6" t="str">
        <f>IFERROR(__xludf.DUMMYFUNCTION("""COMPUTED_VALUE"""),"1.  Чистые, ровные и без ухабин дороги без мусора и пыли. 
2.  Меджугородные и сельские хорошие дороги.
3.  Облагороженные парки и скверы.
4.  Наличие дворовых спртивных и детских площадок
5.  Общая эстетика города, без разрушенных домов,  с чистыми стена"&amp;"ми, витринами.
6.  Комфортный общественный транспорт")</f>
        <v>1.  Чистые, ровные и без ухабин дороги без мусора и пыли. 
2.  Меджугородные и сельские хорошие дороги.
3.  Облагороженные парки и скверы.
4.  Наличие дворовых спртивных и детских площадок
5.  Общая эстетика города, без разрушенных домов,  с чистыми стенами, витринами.
6.  Комфортный общественный транспорт</v>
      </c>
      <c r="O1139" s="6" t="str">
        <f>IFERROR(__xludf.DUMMYFUNCTION("""COMPUTED_VALUE"""),"1.Пыль после зим конечно остается, но если бы проводили влажную уборку улиц автотехникой еще,  было бы здорово! Но когда проезжает машина-техничка по уборки дорог от пыли, и эта пыль как из трубы летит от нее и тут же осаждается в радиусе 50 метров, то эт"&amp;"о не есть хорошо.   Есть более современная техника, которая убирает полностью грязь с мусором с дорог и тротуаров.
2.  В связи моей профессиональной деятельности я бы изменил детские плащадки, которые концептуально напоминают Советское время - столбы, кры"&amp;"ша и отходящая от этого всего горка. Ну есть же современные стильные детские городки! Да это дороже, но мы стремимся строить современный город или дабы как?   Приедут иностранцы на чемпионат мира по волейболу, посмотрят на все это дело...   На уличные  """&amp;"тренажеры"" из труб посмотрите!  (ставлю в кавычках, как металоломом это не назовешь, посмотрите на тренажеры на набережной, ужас , ни одно упражнение сделать не возможно и ни какой эстетики).  ")</f>
        <v>1.Пыль после зим конечно остается, но если бы проводили влажную уборку улиц автотехникой еще,  было бы здорово! Но когда проезжает машина-техничка по уборки дорог от пыли, и эта пыль как из трубы летит от нее и тут же осаждается в радиусе 50 метров, то это не есть хорошо.   Есть более современная техника, которая убирает полностью грязь с мусором с дорог и тротуаров.
2.  В связи моей профессиональной деятельности я бы изменил детские плащадки, которые концептуально напоминают Советское время - столбы, крыша и отходящая от этого всего горка. Ну есть же современные стильные детские городки! Да это дороже, но мы стремимся строить современный город или дабы как?   Приедут иностранцы на чемпионат мира по волейболу, посмотрят на все это дело...   На уличные  "тренажеры" из труб посмотрите!  (ставлю в кавычках, как металоломом это не назовешь, посмотрите на тренажеры на набережной, ужас , ни одно упражнение сделать не возможно и ни какой эстетики).  </v>
      </c>
      <c r="P1139" s="6" t="str">
        <f>IFERROR(__xludf.DUMMYFUNCTION("""COMPUTED_VALUE"""),"Инстаграмм Губернатора, ВК.")</f>
        <v>Инстаграмм Губернатора, ВК.</v>
      </c>
      <c r="Q1139" s="6" t="str">
        <f>IFERROR(__xludf.DUMMYFUNCTION("""COMPUTED_VALUE"""),"интервью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f>
        <v>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v>
      </c>
      <c r="R1139" s="6" t="str">
        <f>IFERROR(__xludf.DUMMYFUNCTION("""COMPUTED_VALUE"""),"300 лет Кузбассу, парад на 9 мая")</f>
        <v>300 лет Кузбассу, парад на 9 мая</v>
      </c>
      <c r="S1139" s="6" t="str">
        <f>IFERROR(__xludf.DUMMYFUNCTION("""COMPUTED_VALUE"""),"Делал рассылку по электронной почте")</f>
        <v>Делал рассылку по электронной почте</v>
      </c>
      <c r="T1139" s="6" t="str">
        <f>IFERROR(__xludf.DUMMYFUNCTION("""COMPUTED_VALUE"""),"Зарождением углепромышленности в этом крае.")</f>
        <v>Зарождением углепромышленности в этом крае.</v>
      </c>
      <c r="U1139" s="6" t="str">
        <f>IFERROR(__xludf.DUMMYFUNCTION("""COMPUTED_VALUE"""),"Красная горка как символ зарождения. И монумент ""Память шахтёрам Кузбасса"".")</f>
        <v>Красная горка как символ зарождения. И монумент "Память шахтёрам Кузбасса".</v>
      </c>
      <c r="V1139" s="6" t="str">
        <f>IFERROR(__xludf.DUMMYFUNCTION("""COMPUTED_VALUE"""),"Прошли через огромный и опасный труд развития  угледобычи.")</f>
        <v>Прошли через огромный и опасный труд развития  угледобычи.</v>
      </c>
      <c r="W1139" s="6" t="str">
        <f>IFERROR(__xludf.DUMMYFUNCTION("""COMPUTED_VALUE"""),"По приезду в город заметил отзывчивость у местных жителей, добороту и простоту.")</f>
        <v>По приезду в город заметил отзывчивость у местных жителей, добороту и простоту.</v>
      </c>
      <c r="X1139" s="6" t="str">
        <f>IFERROR(__xludf.DUMMYFUNCTION("""COMPUTED_VALUE"""),"Притомская набережная - монумент ""Память шахтёрам Кузбасса"" - Красная горка")</f>
        <v>Притомская набережная - монумент "Память шахтёрам Кузбасса" - Красная горка</v>
      </c>
      <c r="Y1139" s="6" t="str">
        <f>IFERROR(__xludf.DUMMYFUNCTION("""COMPUTED_VALUE"""),"Михайлом Волковым был открыт пласт каменного угля на ""Красной горке"" в 1721г.")</f>
        <v>Михайлом Волковым был открыт пласт каменного угля на "Красной горке" в 1721г.</v>
      </c>
      <c r="Z1139" s="6" t="str">
        <f>IFERROR(__xludf.DUMMYFUNCTION("""COMPUTED_VALUE"""),"затрудняюсь ответить")</f>
        <v>затрудняюсь ответить</v>
      </c>
      <c r="AA1139" s="6" t="str">
        <f>IFERROR(__xludf.DUMMYFUNCTION("""COMPUTED_VALUE"""),"Карантин")</f>
        <v>Карантин</v>
      </c>
      <c r="AB1139" s="6" t="str">
        <f>IFERROR(__xludf.DUMMYFUNCTION("""COMPUTED_VALUE"""),"В Барнауле есть движение ""Скажи наркотикам НЕТ"", в котором принимал участие. Было бы полезно и здесь заняться профилактикой наркомании.")</f>
        <v>В Барнауле есть движение "Скажи наркотикам НЕТ", в котором принимал участие. Было бы полезно и здесь заняться профилактикой наркомании.</v>
      </c>
      <c r="AC1139" s="6" t="str">
        <f>IFERROR(__xludf.DUMMYFUNCTION("""COMPUTED_VALUE"""),"Международные спортивные  соревнования, волейбол, футбол, хоккей и др.  Выступления знаменитых музыкантов  групп. Съемки Российских и международных фильмов.")</f>
        <v>Международные спортивные  соревнования, волейбол, футбол, хоккей и др.  Выступления знаменитых музыкантов  групп. Съемки Российских и международных фильмов.</v>
      </c>
      <c r="AD113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 Запустить свой предпринимательский проект, организовать компанию.")</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139" s="6" t="str">
        <f>IFERROR(__xludf.DUMMYFUNCTION("""COMPUTED_VALUE"""),"Мужской")</f>
        <v>Мужской</v>
      </c>
      <c r="AF1139" s="6" t="str">
        <f>IFERROR(__xludf.DUMMYFUNCTION("""COMPUTED_VALUE"""),"30-44")</f>
        <v>30-44</v>
      </c>
      <c r="AG1139" s="6"/>
      <c r="AH1139" s="6"/>
      <c r="AI1139" s="6"/>
      <c r="AJ1139" s="6"/>
      <c r="AK1139" s="6"/>
      <c r="AL1139" s="6"/>
      <c r="AM1139" s="6"/>
    </row>
    <row r="1140">
      <c r="A1140" s="6">
        <v>1139.0</v>
      </c>
      <c r="B1140" s="6" t="str">
        <f>IFERROR(__xludf.DUMMYFUNCTION("""COMPUTED_VALUE"""),"преподаватель")</f>
        <v>преподаватель</v>
      </c>
      <c r="C1140" s="6" t="str">
        <f>IFERROR(__xludf.DUMMYFUNCTION("""COMPUTED_VALUE"""),"программирую")</f>
        <v>программирую</v>
      </c>
      <c r="D1140" s="6" t="str">
        <f>IFERROR(__xludf.DUMMYFUNCTION("""COMPUTED_VALUE"""),"ленинский")</f>
        <v>ленинский</v>
      </c>
      <c r="E1140" s="6" t="str">
        <f>IFERROR(__xludf.DUMMYFUNCTION("""COMPUTED_VALUE"""),"бульвар строителей")</f>
        <v>бульвар строителей</v>
      </c>
      <c r="F1140" s="6" t="str">
        <f>IFERROR(__xludf.DUMMYFUNCTION("""COMPUTED_VALUE"""),"Живу здесь с рождения")</f>
        <v>Живу здесь с рождения</v>
      </c>
      <c r="G1140" s="6" t="str">
        <f>IFERROR(__xludf.DUMMYFUNCTION("""COMPUTED_VALUE"""),"в сосновый бор на радуге")</f>
        <v>в сосновый бор на радуге</v>
      </c>
      <c r="H1140" s="6" t="str">
        <f>IFERROR(__xludf.DUMMYFUNCTION("""COMPUTED_VALUE"""),"шахтеры, гопники, набережная, улица весенняя, лесная поляна")</f>
        <v>шахтеры, гопники, набережная, улица весенняя, лесная поляна</v>
      </c>
      <c r="I1140" s="6" t="str">
        <f>IFERROR(__xludf.DUMMYFUNCTION("""COMPUTED_VALUE"""),"креков, леонов, тулеев")</f>
        <v>креков, леонов, тулеев</v>
      </c>
      <c r="J1140" s="6" t="str">
        <f>IFERROR(__xludf.DUMMYFUNCTION("""COMPUTED_VALUE"""),"не знаю")</f>
        <v>не знаю</v>
      </c>
      <c r="K1140" s="6" t="str">
        <f>IFERROR(__xludf.DUMMYFUNCTION("""COMPUTED_VALUE"""),"вид на город с горы на правом берегу, где стоит крест")</f>
        <v>вид на город с горы на правом берегу, где стоит крест</v>
      </c>
      <c r="L1140" s="6" t="str">
        <f>IFERROR(__xludf.DUMMYFUNCTION("""COMPUTED_VALUE"""),"не знаю")</f>
        <v>не знаю</v>
      </c>
      <c r="M1140" s="6" t="str">
        <f>IFERROR(__xludf.DUMMYFUNCTION("""COMPUTED_VALUE"""),"мультифора")</f>
        <v>мультифора</v>
      </c>
      <c r="N1140" s="6" t="str">
        <f>IFERROR(__xludf.DUMMYFUNCTION("""COMPUTED_VALUE"""),"озеленение, чистые дворы, асфальтированные дорожки для пешеходов")</f>
        <v>озеленение, чистые дворы, асфальтированные дорожки для пешеходов</v>
      </c>
      <c r="O1140" s="6" t="str">
        <f>IFERROR(__xludf.DUMMYFUNCTION("""COMPUTED_VALUE"""),"пешеходные переходы - убрать бордюры, сделать разметку, освещение в ночное время, чтобы не было луж на них, и чтобы к ним можно было подойти по удобной асфальтированной дорожке")</f>
        <v>пешеходные переходы - убрать бордюры, сделать разметку, освещение в ночное время, чтобы не было луж на них, и чтобы к ним можно было подойти по удобной асфальтированной дорожке</v>
      </c>
      <c r="P1140" s="7" t="str">
        <f>IFERROR(__xludf.DUMMYFUNCTION("""COMPUTED_VALUE"""),"vk.com")</f>
        <v>vk.com</v>
      </c>
      <c r="Q1140" s="6" t="str">
        <f>IFERROR(__xludf.DUMMYFUNCTION("""COMPUTED_VALUE"""),"куда пойти в свободное время, новости про новые профессии/куда поступать/вакансии, результаты местных исследований (рейтинги/аналитика/тенденции)")</f>
        <v>куда пойти в свободное время, новости про новые профессии/куда поступать/вакансии, результаты местных исследований (рейтинги/аналитика/тенденции)</v>
      </c>
      <c r="R1140" s="6" t="str">
        <f>IFERROR(__xludf.DUMMYFUNCTION("""COMPUTED_VALUE"""),"день города")</f>
        <v>день города</v>
      </c>
      <c r="S1140" s="6" t="str">
        <f>IFERROR(__xludf.DUMMYFUNCTION("""COMPUTED_VALUE"""),"Нет, не приходилось")</f>
        <v>Нет, не приходилось</v>
      </c>
      <c r="T1140" s="6" t="str">
        <f>IFERROR(__xludf.DUMMYFUNCTION("""COMPUTED_VALUE"""),"пожарами")</f>
        <v>пожарами</v>
      </c>
      <c r="U1140" s="6" t="str">
        <f>IFERROR(__xludf.DUMMYFUNCTION("""COMPUTED_VALUE"""),"проспект Советский и улица Весенняя")</f>
        <v>проспект Советский и улица Весенняя</v>
      </c>
      <c r="V1140" s="6" t="str">
        <f>IFERROR(__xludf.DUMMYFUNCTION("""COMPUTED_VALUE"""),"просто жили")</f>
        <v>просто жили</v>
      </c>
      <c r="W1140" s="6" t="str">
        <f>IFERROR(__xludf.DUMMYFUNCTION("""COMPUTED_VALUE"""),"молодые кемеровчане - малообразованные, пьющие, курящие, плюющие и ругающиеся матом на улицах; молодые кемеровчанки - озабоченные, как прожить и где достать денег на еду")</f>
        <v>молодые кемеровчане - малообразованные, пьющие, курящие, плюющие и ругающиеся матом на улицах; молодые кемеровчанки - озабоченные, как прожить и где достать денег на еду</v>
      </c>
      <c r="X1140" s="6" t="str">
        <f>IFERROR(__xludf.DUMMYFUNCTION("""COMPUTED_VALUE"""),"вокзал - касса - поезд - Москва")</f>
        <v>вокзал - касса - поезд - Москва</v>
      </c>
      <c r="Y1140" s="6" t="str">
        <f>IFERROR(__xludf.DUMMYFUNCTION("""COMPUTED_VALUE"""),"Зимняя вишня")</f>
        <v>Зимняя вишня</v>
      </c>
      <c r="Z1140" s="6" t="str">
        <f>IFERROR(__xludf.DUMMYFUNCTION("""COMPUTED_VALUE"""),"не знаю")</f>
        <v>не знаю</v>
      </c>
      <c r="AA1140" s="6" t="str">
        <f>IFERROR(__xludf.DUMMYFUNCTION("""COMPUTED_VALUE"""),"не знаю")</f>
        <v>не знаю</v>
      </c>
      <c r="AB1140" s="6" t="str">
        <f>IFERROR(__xludf.DUMMYFUNCTION("""COMPUTED_VALUE"""),"умных людей")</f>
        <v>умных людей</v>
      </c>
      <c r="AC1140" s="6" t="str">
        <f>IFERROR(__xludf.DUMMYFUNCTION("""COMPUTED_VALUE"""),"музыкальные фестивали")</f>
        <v>музыкальные фестивали</v>
      </c>
      <c r="AD114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140" s="6" t="str">
        <f>IFERROR(__xludf.DUMMYFUNCTION("""COMPUTED_VALUE"""),"Женский")</f>
        <v>Женский</v>
      </c>
      <c r="AF1140" s="6" t="str">
        <f>IFERROR(__xludf.DUMMYFUNCTION("""COMPUTED_VALUE"""),"45-55")</f>
        <v>45-55</v>
      </c>
      <c r="AG1140" s="6"/>
      <c r="AH1140" s="6"/>
      <c r="AI1140" s="6"/>
      <c r="AJ1140" s="6"/>
      <c r="AK1140" s="6"/>
      <c r="AL1140" s="6"/>
      <c r="AM1140" s="6"/>
    </row>
    <row r="1141">
      <c r="A1141" s="6">
        <v>1140.0</v>
      </c>
      <c r="B1141" s="6" t="str">
        <f>IFERROR(__xludf.DUMMYFUNCTION("""COMPUTED_VALUE"""),"Служащий")</f>
        <v>Служащий</v>
      </c>
      <c r="C1141" s="6" t="str">
        <f>IFERROR(__xludf.DUMMYFUNCTION("""COMPUTED_VALUE"""),"Спорт")</f>
        <v>Спорт</v>
      </c>
      <c r="D1141" s="6" t="str">
        <f>IFERROR(__xludf.DUMMYFUNCTION("""COMPUTED_VALUE"""),"Центральный")</f>
        <v>Центральный</v>
      </c>
      <c r="E1141" s="6" t="str">
        <f>IFERROR(__xludf.DUMMYFUNCTION("""COMPUTED_VALUE"""),"Парк имени Жукова")</f>
        <v>Парк имени Жукова</v>
      </c>
      <c r="F1141" s="6" t="str">
        <f>IFERROR(__xludf.DUMMYFUNCTION("""COMPUTED_VALUE"""),"Переехал сюда из другого места (откуда? укажите в графе другое), Томск")</f>
        <v>Переехал сюда из другого места (откуда? укажите в графе другое), Томск</v>
      </c>
      <c r="G1141" s="6" t="str">
        <f>IFERROR(__xludf.DUMMYFUNCTION("""COMPUTED_VALUE"""),"Набережная, сосновый Бор")</f>
        <v>Набережная, сосновый Бор</v>
      </c>
      <c r="H1141" s="6" t="str">
        <f>IFERROR(__xludf.DUMMYFUNCTION("""COMPUTED_VALUE"""),"Промышленность, дом, студенчество, друзья, холод")</f>
        <v>Промышленность, дом, студенчество, друзья, холод</v>
      </c>
      <c r="I1141" s="6" t="str">
        <f>IFERROR(__xludf.DUMMYFUNCTION("""COMPUTED_VALUE"""),"Владимир Михайлов ")</f>
        <v>Владимир Михайлов </v>
      </c>
      <c r="J1141" s="6" t="str">
        <f>IFERROR(__xludf.DUMMYFUNCTION("""COMPUTED_VALUE"""),"Леонид Барбараш")</f>
        <v>Леонид Барбараш</v>
      </c>
      <c r="K1141" s="6" t="str">
        <f>IFERROR(__xludf.DUMMYFUNCTION("""COMPUTED_VALUE"""),"Лесная поляна")</f>
        <v>Лесная поляна</v>
      </c>
      <c r="L1141" s="6" t="str">
        <f>IFERROR(__xludf.DUMMYFUNCTION("""COMPUTED_VALUE"""),"Про красное озеро")</f>
        <v>Про красное озеро</v>
      </c>
      <c r="M1141" s="6" t="str">
        <f>IFERROR(__xludf.DUMMYFUNCTION("""COMPUTED_VALUE"""),"Нет")</f>
        <v>Нет</v>
      </c>
      <c r="N1141" s="6" t="str">
        <f>IFERROR(__xludf.DUMMYFUNCTION("""COMPUTED_VALUE"""),"Хорошие дороги, здравоохранение, экология, рабочие места, образование")</f>
        <v>Хорошие дороги, здравоохранение, экология, рабочие места, образование</v>
      </c>
      <c r="O1141" s="6" t="str">
        <f>IFERROR(__xludf.DUMMYFUNCTION("""COMPUTED_VALUE"""),"Объездную дорогу")</f>
        <v>Объездную дорогу</v>
      </c>
      <c r="P1141" s="6" t="str">
        <f>IFERROR(__xludf.DUMMYFUNCTION("""COMPUTED_VALUE"""),"Интернет")</f>
        <v>Интернет</v>
      </c>
      <c r="Q1141" s="6" t="str">
        <f>IFERROR(__xludf.DUMMYFUNCTION("""COMPUTED_VALUE"""),"городская афиша (кино/театр/концерты), интервью с местными политиками, бизнес-новости (средний чек/рекламные акции/запуск новых предприятий)")</f>
        <v>городская афиша (кино/театр/концерты), интервью с местными политиками, бизнес-новости (средний чек/рекламные акции/запуск новых предприятий)</v>
      </c>
      <c r="R1141" s="6" t="str">
        <f>IFERROR(__xludf.DUMMYFUNCTION("""COMPUTED_VALUE"""),"День города")</f>
        <v>День города</v>
      </c>
      <c r="S1141" s="6" t="str">
        <f>IFERROR(__xludf.DUMMYFUNCTION("""COMPUTED_VALUE"""),"Нет, не приходилось")</f>
        <v>Нет, не приходилось</v>
      </c>
      <c r="T1141" s="6" t="str">
        <f>IFERROR(__xludf.DUMMYFUNCTION("""COMPUTED_VALUE"""),"Уголь")</f>
        <v>Уголь</v>
      </c>
      <c r="U1141" s="6" t="str">
        <f>IFERROR(__xludf.DUMMYFUNCTION("""COMPUTED_VALUE"""),"Советский проспект")</f>
        <v>Советский проспект</v>
      </c>
      <c r="V1141" s="6" t="str">
        <f>IFERROR(__xludf.DUMMYFUNCTION("""COMPUTED_VALUE"""),"Много работали")</f>
        <v>Много работали</v>
      </c>
      <c r="W1141" s="6" t="str">
        <f>IFERROR(__xludf.DUMMYFUNCTION("""COMPUTED_VALUE"""),"Суровые, справедливые, работящие")</f>
        <v>Суровые, справедливые, работящие</v>
      </c>
      <c r="X1141" s="6" t="str">
        <f>IFERROR(__xludf.DUMMYFUNCTION("""COMPUTED_VALUE"""),"Набережная, улица Весенняя")</f>
        <v>Набережная, улица Весенняя</v>
      </c>
      <c r="Y1141" s="6" t="str">
        <f>IFERROR(__xludf.DUMMYFUNCTION("""COMPUTED_VALUE"""),"Открытие угольных месторождений ")</f>
        <v>Открытие угольных месторождений </v>
      </c>
      <c r="Z1141" s="6" t="str">
        <f>IFERROR(__xludf.DUMMYFUNCTION("""COMPUTED_VALUE"""),"Строительство Президентского кадетского Училища, ледового дворца.")</f>
        <v>Строительство Президентского кадетского Училища, ледового дворца.</v>
      </c>
      <c r="AA1141" s="6" t="str">
        <f>IFERROR(__xludf.DUMMYFUNCTION("""COMPUTED_VALUE"""),"Пандемия")</f>
        <v>Пандемия</v>
      </c>
      <c r="AB1141" s="6" t="str">
        <f>IFERROR(__xludf.DUMMYFUNCTION("""COMPUTED_VALUE"""),"Спортивных")</f>
        <v>Спортивных</v>
      </c>
      <c r="AC1141" s="6" t="str">
        <f>IFERROR(__xludf.DUMMYFUNCTION("""COMPUTED_VALUE"""),"Спортивных соревнований мирового уровня")</f>
        <v>Спортивных соревнований мирового уровня</v>
      </c>
      <c r="AD114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41" s="6" t="str">
        <f>IFERROR(__xludf.DUMMYFUNCTION("""COMPUTED_VALUE"""),"Мужской")</f>
        <v>Мужской</v>
      </c>
      <c r="AF1141" s="6" t="str">
        <f>IFERROR(__xludf.DUMMYFUNCTION("""COMPUTED_VALUE"""),"30-44")</f>
        <v>30-44</v>
      </c>
      <c r="AG1141" s="6"/>
      <c r="AH1141" s="6"/>
      <c r="AI1141" s="6"/>
      <c r="AJ1141" s="6"/>
      <c r="AK1141" s="6"/>
      <c r="AL1141" s="6"/>
      <c r="AM1141" s="6"/>
    </row>
    <row r="1142">
      <c r="A1142" s="6">
        <v>1141.0</v>
      </c>
      <c r="B1142" s="6" t="str">
        <f>IFERROR(__xludf.DUMMYFUNCTION("""COMPUTED_VALUE"""),"Учусь на первом курсе, занимаюсь общественной деятельностью ")</f>
        <v>Учусь на первом курсе, занимаюсь общественной деятельностью </v>
      </c>
      <c r="C1142" s="6" t="str">
        <f>IFERROR(__xludf.DUMMYFUNCTION("""COMPUTED_VALUE"""),"Хожу в театр, на выставки, занимаюсь спортом на открытом воздухе")</f>
        <v>Хожу в театр, на выставки, занимаюсь спортом на открытом воздухе</v>
      </c>
      <c r="D1142" s="6" t="str">
        <f>IFERROR(__xludf.DUMMYFUNCTION("""COMPUTED_VALUE"""),"Ленинский, сама называю бульвар ")</f>
        <v>Ленинский, сама называю бульвар </v>
      </c>
      <c r="E1142" s="6" t="str">
        <f>IFERROR(__xludf.DUMMYFUNCTION("""COMPUTED_VALUE"""),"Парк Ангелов, театр Ложа, площадь Советов, музей-заповедник Красная горка ")</f>
        <v>Парк Ангелов, театр Ложа, площадь Советов, музей-заповедник Красная горка </v>
      </c>
      <c r="F1142" s="6" t="str">
        <f>IFERROR(__xludf.DUMMYFUNCTION("""COMPUTED_VALUE"""),"Переехал сюда из другого места (откуда? укажите в графе другое), переехала из Анжеро-Судженска")</f>
        <v>Переехал сюда из другого места (откуда? укажите в графе другое), переехала из Анжеро-Судженска</v>
      </c>
      <c r="G1142" s="6" t="str">
        <f>IFERROR(__xludf.DUMMYFUNCTION("""COMPUTED_VALUE"""),"улица Весенняя, проспект Советский, набережная")</f>
        <v>улица Весенняя, проспект Советский, набережная</v>
      </c>
      <c r="H1142" s="6" t="str">
        <f>IFERROR(__xludf.DUMMYFUNCTION("""COMPUTED_VALUE"""),"Тулеев, Томь,")</f>
        <v>Тулеев, Томь,</v>
      </c>
      <c r="I1142" s="6" t="str">
        <f>IFERROR(__xludf.DUMMYFUNCTION("""COMPUTED_VALUE"""),"Алексей Леонов, Михайло Волков, Вера Волошина ")</f>
        <v>Алексей Леонов, Михайло Волков, Вера Волошина </v>
      </c>
      <c r="J1142" s="6" t="str">
        <f>IFERROR(__xludf.DUMMYFUNCTION("""COMPUTED_VALUE"""),"Анна Евгеньевна Цивилёва, всегда вижу работу Михаила Беляева, который делает много для развития общепита в городе")</f>
        <v>Анна Евгеньевна Цивилёва, всегда вижу работу Михаила Беляева, который делает много для развития общепита в городе</v>
      </c>
      <c r="K1142" s="6" t="str">
        <f>IFERROR(__xludf.DUMMYFUNCTION("""COMPUTED_VALUE"""),"арт-пространство Клумба  ")</f>
        <v>арт-пространство Клумба  </v>
      </c>
      <c r="L1142" s="6" t="str">
        <f>IFERROR(__xludf.DUMMYFUNCTION("""COMPUTED_VALUE"""),"затрудняюсь ответить ")</f>
        <v>затрудняюсь ответить </v>
      </c>
      <c r="M1142" s="6" t="str">
        <f>IFERROR(__xludf.DUMMYFUNCTION("""COMPUTED_VALUE"""),"не знаю ")</f>
        <v>не знаю </v>
      </c>
      <c r="N1142" s="6" t="str">
        <f>IFERROR(__xludf.DUMMYFUNCTION("""COMPUTED_VALUE"""),"доступность спортивных площадок, транспорт в позднее время суток, озеленение, парки, многообразие выставок")</f>
        <v>доступность спортивных площадок, транспорт в позднее время суток, озеленение, парки, многообразие выставок</v>
      </c>
      <c r="O1142" s="6" t="str">
        <f>IFERROR(__xludf.DUMMYFUNCTION("""COMPUTED_VALUE"""),"Район вокзала, покрасить фасады домов на Кузнецком проспекте ")</f>
        <v>Район вокзала, покрасить фасады домов на Кузнецком проспекте </v>
      </c>
      <c r="P1142" s="6" t="str">
        <f>IFERROR(__xludf.DUMMYFUNCTION("""COMPUTED_VALUE"""),"Яндекс. Афиша")</f>
        <v>Яндекс. Афиша</v>
      </c>
      <c r="Q1142" s="6" t="str">
        <f>IFERROR(__xludf.DUMMYFUNCTION("""COMPUTED_VALUE"""),"куда пойти в свободное время, городская афиша (кино/театр/концерты), интервью с местными творческими личностями, интервью с местными предпринимателями")</f>
        <v>куда пойти в свободное время, городская афиша (кино/театр/концерты), интервью с местными творческими личностями, интервью с местными предпринимателями</v>
      </c>
      <c r="R1142" s="6" t="str">
        <f>IFERROR(__xludf.DUMMYFUNCTION("""COMPUTED_VALUE"""),"День Победы, День города ")</f>
        <v>День Победы, День города </v>
      </c>
      <c r="S1142" s="6" t="str">
        <f>IFERROR(__xludf.DUMMYFUNCTION("""COMPUTED_VALUE"""),"Нет, не приходилось")</f>
        <v>Нет, не приходилось</v>
      </c>
      <c r="T1142" s="6" t="str">
        <f>IFERROR(__xludf.DUMMYFUNCTION("""COMPUTED_VALUE"""),"арт-пространство Клумба")</f>
        <v>арт-пространство Клумба</v>
      </c>
      <c r="U1142" s="6" t="str">
        <f>IFERROR(__xludf.DUMMYFUNCTION("""COMPUTED_VALUE"""),"Весенняя улица ")</f>
        <v>Весенняя улица </v>
      </c>
      <c r="V1142" s="6" t="str">
        <f>IFERROR(__xludf.DUMMYFUNCTION("""COMPUTED_VALUE"""),"Отличный пример - театр Ложа ")</f>
        <v>Отличный пример - театр Ложа </v>
      </c>
      <c r="W1142" s="6" t="str">
        <f>IFERROR(__xludf.DUMMYFUNCTION("""COMPUTED_VALUE"""),"Рискованные, открытые, закаленные ")</f>
        <v>Рискованные, открытые, закаленные </v>
      </c>
      <c r="X1142" s="6" t="str">
        <f>IFERROR(__xludf.DUMMYFUNCTION("""COMPUTED_VALUE"""),"зайти за кофе в Port на Весенней, через Советский пойти на колесо обозрения, пройтись по набережной и завершить на площади Советов ")</f>
        <v>зайти за кофе в Port на Весенней, через Советский пойти на колесо обозрения, пройтись по набережной и завершить на площади Советов </v>
      </c>
      <c r="Y1142" s="6" t="str">
        <f>IFERROR(__xludf.DUMMYFUNCTION("""COMPUTED_VALUE"""),"Сентябрь 1721 Михайло Волков нашел уголь ")</f>
        <v>Сентябрь 1721 Михайло Волков нашел уголь </v>
      </c>
      <c r="Z1142" s="6" t="str">
        <f>IFERROR(__xludf.DUMMYFUNCTION("""COMPUTED_VALUE"""),"100-летие Кемерово, празднование 9 мая в 2019 году")</f>
        <v>100-летие Кемерово, празднование 9 мая в 2019 году</v>
      </c>
      <c r="AA1142" s="6" t="str">
        <f>IFERROR(__xludf.DUMMYFUNCTION("""COMPUTED_VALUE"""),"Вопрос чистоты воздуха вызывает негодование ")</f>
        <v>Вопрос чистоты воздуха вызывает негодование </v>
      </c>
      <c r="AB1142" s="6" t="str">
        <f>IFERROR(__xludf.DUMMYFUNCTION("""COMPUTED_VALUE"""),"затрудняюсь дать ответ ")</f>
        <v>затрудняюсь дать ответ </v>
      </c>
      <c r="AC1142" s="6" t="str">
        <f>IFERROR(__xludf.DUMMYFUNCTION("""COMPUTED_VALUE"""),"Выставки современного искусства, встречи с экспертами разных областей  ")</f>
        <v>Выставки современного искусства, встречи с экспертами разных областей  </v>
      </c>
      <c r="AD114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142" s="6" t="str">
        <f>IFERROR(__xludf.DUMMYFUNCTION("""COMPUTED_VALUE"""),"Женский")</f>
        <v>Женский</v>
      </c>
      <c r="AF1142" s="6" t="str">
        <f>IFERROR(__xludf.DUMMYFUNCTION("""COMPUTED_VALUE"""),"18-29")</f>
        <v>18-29</v>
      </c>
      <c r="AG1142" s="6"/>
      <c r="AH1142" s="6"/>
      <c r="AI1142" s="6"/>
      <c r="AJ1142" s="6"/>
      <c r="AK1142" s="6"/>
      <c r="AL1142" s="6"/>
      <c r="AM1142" s="6"/>
    </row>
    <row r="1143">
      <c r="A1143" s="6">
        <v>1142.0</v>
      </c>
      <c r="B1143" s="6" t="str">
        <f>IFERROR(__xludf.DUMMYFUNCTION("""COMPUTED_VALUE"""),"Политика")</f>
        <v>Политика</v>
      </c>
      <c r="C1143" s="6" t="str">
        <f>IFERROR(__xludf.DUMMYFUNCTION("""COMPUTED_VALUE"""),"Чтение")</f>
        <v>Чтение</v>
      </c>
      <c r="D1143" s="6" t="str">
        <f>IFERROR(__xludf.DUMMYFUNCTION("""COMPUTED_VALUE"""),"Кировский")</f>
        <v>Кировский</v>
      </c>
      <c r="E1143" s="6" t="str">
        <f>IFERROR(__xludf.DUMMYFUNCTION("""COMPUTED_VALUE"""),"Березовая роща, набережная, бассейн")</f>
        <v>Березовая роща, набережная, бассейн</v>
      </c>
      <c r="F1143" s="6" t="str">
        <f>IFERROR(__xludf.DUMMYFUNCTION("""COMPUTED_VALUE"""),"Живу здесь с рождения")</f>
        <v>Живу здесь с рождения</v>
      </c>
      <c r="G1143" s="6" t="str">
        <f>IFERROR(__xludf.DUMMYFUNCTION("""COMPUTED_VALUE"""),"Набережная кировского района")</f>
        <v>Набережная кировского района</v>
      </c>
      <c r="H1143" s="6" t="str">
        <f>IFERROR(__xludf.DUMMYFUNCTION("""COMPUTED_VALUE"""),"Угольная промышленностиь,Грязный воздух, ")</f>
        <v>Угольная промышленностиь,Грязный воздух, </v>
      </c>
      <c r="I1143" s="6" t="str">
        <f>IFERROR(__xludf.DUMMYFUNCTION("""COMPUTED_VALUE"""),"В. Михайлов, А. Леонов")</f>
        <v>В. Михайлов, А. Леонов</v>
      </c>
      <c r="J1143" s="6" t="str">
        <f>IFERROR(__xludf.DUMMYFUNCTION("""COMPUTED_VALUE"""),"Горожане сейчас не равняются ни на кого(")</f>
        <v>Горожане сейчас не равняются ни на кого(</v>
      </c>
      <c r="K1143" s="6" t="str">
        <f>IFERROR(__xludf.DUMMYFUNCTION("""COMPUTED_VALUE"""),"Э. Неизвестный монумент шахтерам, музей заповедник ""красная горка""")</f>
        <v>Э. Неизвестный монумент шахтерам, музей заповедник "красная горка"</v>
      </c>
      <c r="L1143" s="6" t="str">
        <f>IFERROR(__xludf.DUMMYFUNCTION("""COMPUTED_VALUE"""),"-")</f>
        <v>-</v>
      </c>
      <c r="M1143" s="6" t="str">
        <f>IFERROR(__xludf.DUMMYFUNCTION("""COMPUTED_VALUE"""),"-")</f>
        <v>-</v>
      </c>
      <c r="N1143" s="6" t="str">
        <f>IFERROR(__xludf.DUMMYFUNCTION("""COMPUTED_VALUE"""),"Общественный транспорт, торговые центры , досуговые центры, которых очень мало в городе. ")</f>
        <v>Общественный транспорт, торговые центры , досуговые центры, которых очень мало в городе. </v>
      </c>
      <c r="O1143" s="6" t="str">
        <f>IFERROR(__xludf.DUMMYFUNCTION("""COMPUTED_VALUE"""),"Эстетический вид жилых домов , как вид на проезжую часть , так и дворовый вид. . ")</f>
        <v>Эстетический вид жилых домов , как вид на проезжую часть , так и дворовый вид. . </v>
      </c>
      <c r="P1143" s="6" t="str">
        <f>IFERROR(__xludf.DUMMYFUNCTION("""COMPUTED_VALUE"""),"Яндекс новости")</f>
        <v>Яндекс новости</v>
      </c>
      <c r="Q1143"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f>
        <v>куда пойти в свободное время,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v>
      </c>
      <c r="R1143" s="6" t="str">
        <f>IFERROR(__xludf.DUMMYFUNCTION("""COMPUTED_VALUE"""),"День шахтера, 9 мая")</f>
        <v>День шахтера, 9 мая</v>
      </c>
      <c r="S1143" s="6" t="str">
        <f>IFERROR(__xludf.DUMMYFUNCTION("""COMPUTED_VALUE"""),"Делал рассылку по электронной почте")</f>
        <v>Делал рассылку по электронной почте</v>
      </c>
      <c r="T1143" s="6" t="str">
        <f>IFERROR(__xludf.DUMMYFUNCTION("""COMPUTED_VALUE"""),"Трагическая зимняя вишня")</f>
        <v>Трагическая зимняя вишня</v>
      </c>
      <c r="U1143" s="6" t="str">
        <f>IFERROR(__xludf.DUMMYFUNCTION("""COMPUTED_VALUE"""),"Красная горка")</f>
        <v>Красная горка</v>
      </c>
      <c r="V1143" s="6" t="str">
        <f>IFERROR(__xludf.DUMMYFUNCTION("""COMPUTED_VALUE"""),"-")</f>
        <v>-</v>
      </c>
      <c r="W1143" s="6" t="str">
        <f>IFERROR(__xludf.DUMMYFUNCTION("""COMPUTED_VALUE"""),"Добрые")</f>
        <v>Добрые</v>
      </c>
      <c r="X1143" s="6" t="str">
        <f>IFERROR(__xludf.DUMMYFUNCTION("""COMPUTED_VALUE"""),"От драм театра по набережной до филармонии - в теплое время года, красная Горка - в любое")</f>
        <v>От драм театра по набережной до филармонии - в теплое время года, красная Горка - в любое</v>
      </c>
      <c r="Y1143" s="6" t="str">
        <f>IFERROR(__xludf.DUMMYFUNCTION("""COMPUTED_VALUE"""),"Бэнди")</f>
        <v>Бэнди</v>
      </c>
      <c r="Z1143" s="6" t="str">
        <f>IFERROR(__xludf.DUMMYFUNCTION("""COMPUTED_VALUE"""),"К сожалению , не запомнилось ничего")</f>
        <v>К сожалению , не запомнилось ничего</v>
      </c>
      <c r="AA1143" s="6" t="str">
        <f>IFERROR(__xludf.DUMMYFUNCTION("""COMPUTED_VALUE"""),"Закрытие бассейна лазурный")</f>
        <v>Закрытие бассейна лазурный</v>
      </c>
      <c r="AB1143" s="6" t="str">
        <f>IFERROR(__xludf.DUMMYFUNCTION("""COMPUTED_VALUE"""),"--")</f>
        <v>--</v>
      </c>
      <c r="AC1143" s="6" t="str">
        <f>IFERROR(__xludf.DUMMYFUNCTION("""COMPUTED_VALUE"""),"-")</f>
        <v>-</v>
      </c>
      <c r="AD114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43" s="6" t="str">
        <f>IFERROR(__xludf.DUMMYFUNCTION("""COMPUTED_VALUE"""),"Женский")</f>
        <v>Женский</v>
      </c>
      <c r="AF1143" s="6" t="str">
        <f>IFERROR(__xludf.DUMMYFUNCTION("""COMPUTED_VALUE"""),"30-44")</f>
        <v>30-44</v>
      </c>
      <c r="AG1143" s="6"/>
      <c r="AH1143" s="6"/>
      <c r="AI1143" s="6"/>
      <c r="AJ1143" s="6"/>
      <c r="AK1143" s="6"/>
      <c r="AL1143" s="6"/>
      <c r="AM1143" s="6"/>
    </row>
    <row r="1144">
      <c r="A1144" s="6">
        <v>1143.0</v>
      </c>
      <c r="B1144" s="6" t="str">
        <f>IFERROR(__xludf.DUMMYFUNCTION("""COMPUTED_VALUE"""),"Работаю в университете")</f>
        <v>Работаю в университете</v>
      </c>
      <c r="C1144" s="6" t="str">
        <f>IFERROR(__xludf.DUMMYFUNCTION("""COMPUTED_VALUE"""),"Спорт")</f>
        <v>Спорт</v>
      </c>
      <c r="D1144" s="6" t="str">
        <f>IFERROR(__xludf.DUMMYFUNCTION("""COMPUTED_VALUE"""),"ФПК")</f>
        <v>ФПК</v>
      </c>
      <c r="E1144" s="6" t="str">
        <f>IFERROR(__xludf.DUMMYFUNCTION("""COMPUTED_VALUE"""),"ТЦ")</f>
        <v>ТЦ</v>
      </c>
      <c r="F1144" s="6" t="str">
        <f>IFERROR(__xludf.DUMMYFUNCTION("""COMPUTED_VALUE"""),"Переехал сюда из другого места (откуда? укажите в графе другое), Яшкино, приехал учиться в ВУЗе")</f>
        <v>Переехал сюда из другого места (откуда? укажите в графе другое), Яшкино, приехал учиться в ВУЗе</v>
      </c>
      <c r="G1144" s="6" t="str">
        <f>IFERROR(__xludf.DUMMYFUNCTION("""COMPUTED_VALUE"""),"Набережная")</f>
        <v>Набережная</v>
      </c>
      <c r="H1144" s="6" t="str">
        <f>IFERROR(__xludf.DUMMYFUNCTION("""COMPUTED_VALUE"""),"Уютно, работа, хорошие дороги, плохая экология, режим чёрного неба")</f>
        <v>Уютно, работа, хорошие дороги, плохая экология, режим чёрного неба</v>
      </c>
      <c r="I1144" s="6" t="str">
        <f>IFERROR(__xludf.DUMMYFUNCTION("""COMPUTED_VALUE"""),"Михайло Волков, Аман Тулеев")</f>
        <v>Михайло Волков, Аман Тулеев</v>
      </c>
      <c r="J1144" s="6" t="str">
        <f>IFERROR(__xludf.DUMMYFUNCTION("""COMPUTED_VALUE"""),"Нет ориентиров ")</f>
        <v>Нет ориентиров </v>
      </c>
      <c r="K1144" s="6" t="str">
        <f>IFERROR(__xludf.DUMMYFUNCTION("""COMPUTED_VALUE"""),"Набережная, красная горка.")</f>
        <v>Набережная, красная горка.</v>
      </c>
      <c r="L1144" s="6" t="str">
        <f>IFERROR(__xludf.DUMMYFUNCTION("""COMPUTED_VALUE"""),"Затрудняюсь ")</f>
        <v>Затрудняюсь </v>
      </c>
      <c r="M1144" s="6" t="str">
        <f>IFERROR(__xludf.DUMMYFUNCTION("""COMPUTED_VALUE"""),"Затрудняюсь ")</f>
        <v>Затрудняюсь </v>
      </c>
      <c r="N1144" s="6" t="str">
        <f>IFERROR(__xludf.DUMMYFUNCTION("""COMPUTED_VALUE"""),"Дороги, парковочные места, места прогулки, доступные детские сады и школы. ")</f>
        <v>Дороги, парковочные места, места прогулки, доступные детские сады и школы. </v>
      </c>
      <c r="O1144" s="6" t="str">
        <f>IFERROR(__xludf.DUMMYFUNCTION("""COMPUTED_VALUE"""),"Экологическую обстановку")</f>
        <v>Экологическую обстановку</v>
      </c>
      <c r="P1144" s="6" t="str">
        <f>IFERROR(__xludf.DUMMYFUNCTION("""COMPUTED_VALUE"""),"Паблики в вк. ")</f>
        <v>Паблики в вк. </v>
      </c>
      <c r="Q1144" s="6" t="str">
        <f>IFERROR(__xludf.DUMMYFUNCTION("""COMPUTED_VALUE"""),"где вкусно поесть/открытие новых кафе/ресторанов, городская афиша (кино/театр/концерты), результаты местных исследований (рейтинги/аналитика/тенденции)")</f>
        <v>где вкусно поесть/открытие новых кафе/ресторанов, городская афиша (кино/театр/концерты), результаты местных исследований (рейтинги/аналитика/тенденции)</v>
      </c>
      <c r="R1144" s="6" t="str">
        <f>IFERROR(__xludf.DUMMYFUNCTION("""COMPUTED_VALUE"""),"День города, День Победы ")</f>
        <v>День города, День Победы </v>
      </c>
      <c r="S1144" s="6" t="str">
        <f>IFERROR(__xludf.DUMMYFUNCTION("""COMPUTED_VALUE"""),"Участвовал в праздничных городских мероприятиях ")</f>
        <v>Участвовал в праздничных городских мероприятиях </v>
      </c>
      <c r="T1144" s="6" t="str">
        <f>IFERROR(__xludf.DUMMYFUNCTION("""COMPUTED_VALUE"""),"Волейбольный клуб, трагедия в Зимней вишне, режим чёрного неба, серебряный Бор. ")</f>
        <v>Волейбольный клуб, трагедия в Зимней вишне, режим чёрного неба, серебряный Бор. </v>
      </c>
      <c r="U1144" s="6" t="str">
        <f>IFERROR(__xludf.DUMMYFUNCTION("""COMPUTED_VALUE"""),"Площадь советов. ")</f>
        <v>Площадь советов. </v>
      </c>
      <c r="V1144" s="6" t="str">
        <f>IFERROR(__xludf.DUMMYFUNCTION("""COMPUTED_VALUE"""),"Радовались и развивались вопреки всему")</f>
        <v>Радовались и развивались вопреки всему</v>
      </c>
      <c r="W1144" s="6" t="str">
        <f>IFERROR(__xludf.DUMMYFUNCTION("""COMPUTED_VALUE"""),"Отзывчивые, терпеливые, трудолюбивые, заводчане")</f>
        <v>Отзывчивые, терпеливые, трудолюбивые, заводчане</v>
      </c>
      <c r="X1144" s="6" t="str">
        <f>IFERROR(__xludf.DUMMYFUNCTION("""COMPUTED_VALUE"""),"К сожалению такого нет ")</f>
        <v>К сожалению такого нет </v>
      </c>
      <c r="Y1144" s="6" t="str">
        <f>IFERROR(__xludf.DUMMYFUNCTION("""COMPUTED_VALUE"""),"Затрудняюсь ответить")</f>
        <v>Затрудняюсь ответить</v>
      </c>
      <c r="Z1144" s="6" t="str">
        <f>IFERROR(__xludf.DUMMYFUNCTION("""COMPUTED_VALUE"""),"Победа волейбольного клуба, начала строительства культурных и спортивных объектов")</f>
        <v>Победа волейбольного клуба, начала строительства культурных и спортивных объектов</v>
      </c>
      <c r="AA1144" s="6" t="str">
        <f>IFERROR(__xludf.DUMMYFUNCTION("""COMPUTED_VALUE"""),"Всё что связано с экологией ")</f>
        <v>Всё что связано с экологией </v>
      </c>
      <c r="AB1144" s="6" t="str">
        <f>IFERROR(__xludf.DUMMYFUNCTION("""COMPUTED_VALUE"""),"Всего хватает ")</f>
        <v>Всего хватает </v>
      </c>
      <c r="AC1144" s="6" t="str">
        <f>IFERROR(__xludf.DUMMYFUNCTION("""COMPUTED_VALUE"""),"Затрудняюсь ответить")</f>
        <v>Затрудняюсь ответить</v>
      </c>
      <c r="AD1144"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144" s="6" t="str">
        <f>IFERROR(__xludf.DUMMYFUNCTION("""COMPUTED_VALUE"""),"Мужской")</f>
        <v>Мужской</v>
      </c>
      <c r="AF1144" s="6" t="str">
        <f>IFERROR(__xludf.DUMMYFUNCTION("""COMPUTED_VALUE"""),"18-29")</f>
        <v>18-29</v>
      </c>
      <c r="AG1144" s="6"/>
      <c r="AH1144" s="6"/>
      <c r="AI1144" s="6"/>
      <c r="AJ1144" s="6"/>
      <c r="AK1144" s="6"/>
      <c r="AL1144" s="6"/>
      <c r="AM1144" s="6"/>
    </row>
    <row r="1145">
      <c r="A1145" s="6">
        <v>1144.0</v>
      </c>
      <c r="B1145" s="6" t="str">
        <f>IFERROR(__xludf.DUMMYFUNCTION("""COMPUTED_VALUE"""),"Общественная деятельность ")</f>
        <v>Общественная деятельность </v>
      </c>
      <c r="C1145" s="6" t="str">
        <f>IFERROR(__xludf.DUMMYFUNCTION("""COMPUTED_VALUE"""),"Да. Спорт ")</f>
        <v>Да. Спорт </v>
      </c>
      <c r="D1145" s="6" t="str">
        <f>IFERROR(__xludf.DUMMYFUNCTION("""COMPUTED_VALUE"""),"Рудничный. Радуга ")</f>
        <v>Рудничный. Радуга </v>
      </c>
      <c r="E1145" s="6" t="str">
        <f>IFERROR(__xludf.DUMMYFUNCTION("""COMPUTED_VALUE"""),"Бор ")</f>
        <v>Бор </v>
      </c>
      <c r="F1145" s="6" t="str">
        <f>IFERROR(__xludf.DUMMYFUNCTION("""COMPUTED_VALUE"""),"Переехал сюда из другого места (откуда? укажите в графе другое), Юргинский район ")</f>
        <v>Переехал сюда из другого места (откуда? укажите в графе другое), Юргинский район </v>
      </c>
      <c r="G1145" s="6" t="str">
        <f>IFERROR(__xludf.DUMMYFUNCTION("""COMPUTED_VALUE"""),"Бор")</f>
        <v>Бор</v>
      </c>
      <c r="H1145" s="6" t="str">
        <f>IFERROR(__xludf.DUMMYFUNCTION("""COMPUTED_VALUE"""),"Шахта, уголь, набережная, центр, радуга ")</f>
        <v>Шахта, уголь, набережная, центр, радуга </v>
      </c>
      <c r="I1145" s="6" t="str">
        <f>IFERROR(__xludf.DUMMYFUNCTION("""COMPUTED_VALUE"""),"Волков, Машков")</f>
        <v>Волков, Машков</v>
      </c>
      <c r="J1145" s="6" t="str">
        <f>IFERROR(__xludf.DUMMYFUNCTION("""COMPUTED_VALUE"""),"Аман")</f>
        <v>Аман</v>
      </c>
      <c r="K1145" s="6" t="str">
        <f>IFERROR(__xludf.DUMMYFUNCTION("""COMPUTED_VALUE"""),"Никакие")</f>
        <v>Никакие</v>
      </c>
      <c r="L1145" s="6" t="str">
        <f>IFERROR(__xludf.DUMMYFUNCTION("""COMPUTED_VALUE"""),"Затрудняюсь ответить ")</f>
        <v>Затрудняюсь ответить </v>
      </c>
      <c r="M1145" s="6" t="str">
        <f>IFERROR(__xludf.DUMMYFUNCTION("""COMPUTED_VALUE"""),"Угольщики ")</f>
        <v>Угольщики </v>
      </c>
      <c r="N1145" s="6" t="str">
        <f>IFERROR(__xludf.DUMMYFUNCTION("""COMPUTED_VALUE"""),"Экология, без пробок, много цветов по городу, цены")</f>
        <v>Экология, без пробок, много цветов по городу, цены</v>
      </c>
      <c r="O1145" s="6" t="str">
        <f>IFERROR(__xludf.DUMMYFUNCTION("""COMPUTED_VALUE"""),"Пробки городские ")</f>
        <v>Пробки городские </v>
      </c>
      <c r="P1145" s="6" t="str">
        <f>IFERROR(__xludf.DUMMYFUNCTION("""COMPUTED_VALUE"""),"Сайт ")</f>
        <v>Сайт </v>
      </c>
      <c r="Q1145" s="6" t="str">
        <f>IFERROR(__xludf.DUMMYFUNCTION("""COMPUTED_VALUE"""),"интервью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предложения)")</f>
        <v>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предложения)</v>
      </c>
      <c r="R1145" s="6" t="str">
        <f>IFERROR(__xludf.DUMMYFUNCTION("""COMPUTED_VALUE"""),"День шахтёра, день города ")</f>
        <v>День шахтёра, день города </v>
      </c>
      <c r="S1145" s="6" t="str">
        <f>IFERROR(__xludf.DUMMYFUNCTION("""COMPUTED_VALUE"""),"Нет, не приходилось")</f>
        <v>Нет, не приходилось</v>
      </c>
      <c r="T1145" s="6" t="str">
        <f>IFERROR(__xludf.DUMMYFUNCTION("""COMPUTED_VALUE"""),"Разрезы угольные")</f>
        <v>Разрезы угольные</v>
      </c>
      <c r="U1145" s="6" t="str">
        <f>IFERROR(__xludf.DUMMYFUNCTION("""COMPUTED_VALUE"""),"У")</f>
        <v>У</v>
      </c>
      <c r="V1145" s="6" t="str">
        <f>IFERROR(__xludf.DUMMYFUNCTION("""COMPUTED_VALUE"""),"Затрудняюсь ")</f>
        <v>Затрудняюсь </v>
      </c>
      <c r="W1145" s="6" t="str">
        <f>IFERROR(__xludf.DUMMYFUNCTION("""COMPUTED_VALUE"""),"Милые, но озабоченные проблемами ")</f>
        <v>Милые, но озабоченные проблемами </v>
      </c>
      <c r="X1145" s="6" t="str">
        <f>IFERROR(__xludf.DUMMYFUNCTION("""COMPUTED_VALUE"""),"Красная горка")</f>
        <v>Красная горка</v>
      </c>
      <c r="Y1145" s="6" t="str">
        <f>IFERROR(__xludf.DUMMYFUNCTION("""COMPUTED_VALUE"""),"Затрудняюсь ")</f>
        <v>Затрудняюсь </v>
      </c>
      <c r="Z1145" s="6" t="str">
        <f>IFERROR(__xludf.DUMMYFUNCTION("""COMPUTED_VALUE"""),"Спортивные центры ")</f>
        <v>Спортивные центры </v>
      </c>
      <c r="AA1145" s="6" t="str">
        <f>IFERROR(__xludf.DUMMYFUNCTION("""COMPUTED_VALUE"""),"Проезд по городу ")</f>
        <v>Проезд по городу </v>
      </c>
      <c r="AB1145" s="6" t="str">
        <f>IFERROR(__xludf.DUMMYFUNCTION("""COMPUTED_VALUE"""),"Нет")</f>
        <v>Нет</v>
      </c>
      <c r="AC1145" s="6" t="str">
        <f>IFERROR(__xludf.DUMMYFUNCTION("""COMPUTED_VALUE"""),"Больше позитивных мероприятий в каждом районе города ")</f>
        <v>Больше позитивных мероприятий в каждом районе города </v>
      </c>
      <c r="AD114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45" s="6" t="str">
        <f>IFERROR(__xludf.DUMMYFUNCTION("""COMPUTED_VALUE"""),"Женский")</f>
        <v>Женский</v>
      </c>
      <c r="AF1145" s="6" t="str">
        <f>IFERROR(__xludf.DUMMYFUNCTION("""COMPUTED_VALUE"""),"30-44")</f>
        <v>30-44</v>
      </c>
      <c r="AG1145" s="6"/>
      <c r="AH1145" s="6"/>
      <c r="AI1145" s="6"/>
      <c r="AJ1145" s="6"/>
      <c r="AK1145" s="6"/>
      <c r="AL1145" s="6"/>
      <c r="AM1145" s="6"/>
    </row>
    <row r="1146">
      <c r="A1146" s="6">
        <v>1145.0</v>
      </c>
      <c r="B1146" s="6" t="str">
        <f>IFERROR(__xludf.DUMMYFUNCTION("""COMPUTED_VALUE"""),"Пенсионерка")</f>
        <v>Пенсионерка</v>
      </c>
      <c r="C1146" s="6" t="str">
        <f>IFERROR(__xludf.DUMMYFUNCTION("""COMPUTED_VALUE"""),"Чтение книг")</f>
        <v>Чтение книг</v>
      </c>
      <c r="D1146" s="6" t="str">
        <f>IFERROR(__xludf.DUMMYFUNCTION("""COMPUTED_VALUE"""),"Ленинский")</f>
        <v>Ленинский</v>
      </c>
      <c r="E1146" s="6" t="str">
        <f>IFERROR(__xludf.DUMMYFUNCTION("""COMPUTED_VALUE"""),"Площадь Советов, Кемгу,  Комсомольский парк")</f>
        <v>Площадь Советов, Кемгу,  Комсомольский парк</v>
      </c>
      <c r="F1146"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146" s="6" t="str">
        <f>IFERROR(__xludf.DUMMYFUNCTION("""COMPUTED_VALUE"""),"Комсомольский парк")</f>
        <v>Комсомольский парк</v>
      </c>
      <c r="H1146" s="6" t="str">
        <f>IFERROR(__xludf.DUMMYFUNCTION("""COMPUTED_VALUE"""),"Смог, люди, река Томь,  гора со словом ""Кузбасс "",  улица 2 Заречная")</f>
        <v>Смог, люди, река Томь,  гора со словом "Кузбасс ",  улица 2 Заречная</v>
      </c>
      <c r="I1146" s="6" t="str">
        <f>IFERROR(__xludf.DUMMYFUNCTION("""COMPUTED_VALUE"""),"Подгорбунский, Бобров (театр оперетты) Бобков А.В (завгороно), Михайлов (глава города)")</f>
        <v>Подгорбунский, Бобров (театр оперетты) Бобков А.В (завгороно), Михайлов (глава города)</v>
      </c>
      <c r="J1146" s="6" t="str">
        <f>IFERROR(__xludf.DUMMYFUNCTION("""COMPUTED_VALUE"""),"Я, к сожалению  таких не знаю.")</f>
        <v>Я, к сожалению  таких не знаю.</v>
      </c>
      <c r="K1146" s="6" t="str">
        <f>IFERROR(__xludf.DUMMYFUNCTION("""COMPUTED_VALUE"""),"Краеведческий музей,  Президентское училище, набережная Томи")</f>
        <v>Краеведческий музей,  Президентское училище, набережная Томи</v>
      </c>
      <c r="L1146" s="6" t="str">
        <f>IFERROR(__xludf.DUMMYFUNCTION("""COMPUTED_VALUE"""),"Бог терпел и нам велел")</f>
        <v>Бог терпел и нам велел</v>
      </c>
      <c r="M1146" s="6" t="str">
        <f>IFERROR(__xludf.DUMMYFUNCTION("""COMPUTED_VALUE"""),"Нет, не знаю")</f>
        <v>Нет, не знаю</v>
      </c>
      <c r="N1146" s="6" t="str">
        <f>IFERROR(__xludf.DUMMYFUNCTION("""COMPUTED_VALUE"""),"Чистота,  работа общественного транспорта, безопасность, возможность получения образования, медицинское обслуживание.")</f>
        <v>Чистота,  работа общественного транспорта, безопасность, возможность получения образования, медицинское обслуживание.</v>
      </c>
      <c r="O1146" s="6" t="str">
        <f>IFERROR(__xludf.DUMMYFUNCTION("""COMPUTED_VALUE"""),"Изменить отношение к молодёжи.  Дать возможность иметь им такую работу, которая могла бы им не менять местожительство.")</f>
        <v>Изменить отношение к молодёжи.  Дать возможность иметь им такую работу, которая могла бы им не менять местожительство.</v>
      </c>
      <c r="P1146" s="6" t="str">
        <f>IFERROR(__xludf.DUMMYFUNCTION("""COMPUTED_VALUE"""),"Региональные новости по ТВ, ")</f>
        <v>Региональные новости по ТВ, </v>
      </c>
      <c r="Q1146" s="6" t="str">
        <f>IFERROR(__xludf.DUMMYFUNCTION("""COMPUTED_VALUE"""),"интервью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146" s="6" t="str">
        <f>IFERROR(__xludf.DUMMYFUNCTION("""COMPUTED_VALUE"""),"Парад Победы, шествие ""Бесмертного полка"", день Города, день Молодёжи. ")</f>
        <v>Парад Победы, шествие "Бесмертного полка", день Города, день Молодёжи. </v>
      </c>
      <c r="S1146" s="6" t="str">
        <f>IFERROR(__xludf.DUMMYFUNCTION("""COMPUTED_VALUE"""),"Нет, не приходилось")</f>
        <v>Нет, не приходилось</v>
      </c>
      <c r="T1146" s="6" t="str">
        <f>IFERROR(__xludf.DUMMYFUNCTION("""COMPUTED_VALUE"""),"Наличием химических предприятий, в последнее время - уникальными медицинскими исследованими, строительством новых грандиозных сооружений. ")</f>
        <v>Наличием химических предприятий, в последнее время - уникальными медицинскими исследованими, строительством новых грандиозных сооружений. </v>
      </c>
      <c r="U1146" s="6" t="str">
        <f>IFERROR(__xludf.DUMMYFUNCTION("""COMPUTED_VALUE"""),"Площадь Советов, бульвар Строителей")</f>
        <v>Площадь Советов, бульвар Строителей</v>
      </c>
      <c r="V1146" s="6" t="str">
        <f>IFERROR(__xludf.DUMMYFUNCTION("""COMPUTED_VALUE"""),"Строили город, воевали в годы войны,  учили детей,  занимались спортом, как и все .")</f>
        <v>Строили город, воевали в годы войны,  учили детей,  занимались спортом, как и все .</v>
      </c>
      <c r="W1146" s="6" t="str">
        <f>IFERROR(__xludf.DUMMYFUNCTION("""COMPUTED_VALUE"""),"Доброжелательность, оптимизм")</f>
        <v>Доброжелательность, оптимизм</v>
      </c>
      <c r="X1146" s="6" t="str">
        <f>IFERROR(__xludf.DUMMYFUNCTION("""COMPUTED_VALUE"""),"Музей ""Красная горка - Лесная поляна- Президентское училище")</f>
        <v>Музей "Красная горка - Лесная поляна- Президентское училище</v>
      </c>
      <c r="Y1146" s="6" t="str">
        <f>IFERROR(__xludf.DUMMYFUNCTION("""COMPUTED_VALUE"""),"Открытие театров, цирка, троллейбус ной линии. Очень много")</f>
        <v>Открытие театров, цирка, троллейбус ной линии. Очень много</v>
      </c>
      <c r="Z1146" s="6" t="str">
        <f>IFERROR(__xludf.DUMMYFUNCTION("""COMPUTED_VALUE"""),"Открты иен Президентского училища")</f>
        <v>Открты иен Президентского училища</v>
      </c>
      <c r="AA1146" s="6" t="str">
        <f>IFERROR(__xludf.DUMMYFUNCTION("""COMPUTED_VALUE"""),"Строительство на месте гибели детей из ""Зимней вишни"" катка.")</f>
        <v>Строительство на месте гибели детей из "Зимней вишни" катка.</v>
      </c>
      <c r="AB1146" s="6" t="str">
        <f>IFERROR(__xludf.DUMMYFUNCTION("""COMPUTED_VALUE"""),"Их предостаточно")</f>
        <v>Их предостаточно</v>
      </c>
      <c r="AC1146" s="6" t="str">
        <f>IFERROR(__xludf.DUMMYFUNCTION("""COMPUTED_VALUE"""),"Встречи с интересными людьми, организация молодежи на участие в этих встречах")</f>
        <v>Встречи с интересными людьми, организация молодежи на участие в этих встречах</v>
      </c>
      <c r="AD114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46" s="6" t="str">
        <f>IFERROR(__xludf.DUMMYFUNCTION("""COMPUTED_VALUE"""),"Женский")</f>
        <v>Женский</v>
      </c>
      <c r="AF1146" s="6" t="str">
        <f>IFERROR(__xludf.DUMMYFUNCTION("""COMPUTED_VALUE"""),"старше 55")</f>
        <v>старше 55</v>
      </c>
      <c r="AG1146" s="6"/>
      <c r="AH1146" s="6"/>
      <c r="AI1146" s="6"/>
      <c r="AJ1146" s="6"/>
      <c r="AK1146" s="6"/>
      <c r="AL1146" s="6"/>
      <c r="AM1146" s="6"/>
    </row>
    <row r="1147">
      <c r="A1147" s="6">
        <v>1146.0</v>
      </c>
      <c r="B1147" s="6" t="str">
        <f>IFERROR(__xludf.DUMMYFUNCTION("""COMPUTED_VALUE"""),"Социальный работник")</f>
        <v>Социальный работник</v>
      </c>
      <c r="C1147" s="6" t="str">
        <f>IFERROR(__xludf.DUMMYFUNCTION("""COMPUTED_VALUE"""),"Нет ")</f>
        <v>Нет </v>
      </c>
      <c r="D1147" s="6" t="str">
        <f>IFERROR(__xludf.DUMMYFUNCTION("""COMPUTED_VALUE"""),"Кедровке ")</f>
        <v>Кедровке </v>
      </c>
      <c r="E1147" s="6" t="str">
        <f>IFERROR(__xludf.DUMMYFUNCTION("""COMPUTED_VALUE"""),"Аллея ")</f>
        <v>Аллея </v>
      </c>
      <c r="F1147" s="6" t="str">
        <f>IFERROR(__xludf.DUMMYFUNCTION("""COMPUTED_VALUE"""),"Переехал сюда из другого места (откуда? укажите в графе другое), Барановка")</f>
        <v>Переехал сюда из другого места (откуда? укажите в графе другое), Барановка</v>
      </c>
      <c r="G1147" s="6" t="str">
        <f>IFERROR(__xludf.DUMMYFUNCTION("""COMPUTED_VALUE"""),"В парк")</f>
        <v>В парк</v>
      </c>
      <c r="H1147" s="6" t="str">
        <f>IFERROR(__xludf.DUMMYFUNCTION("""COMPUTED_VALUE"""),"Разрез, ")</f>
        <v>Разрез, </v>
      </c>
      <c r="I1147" s="6" t="str">
        <f>IFERROR(__xludf.DUMMYFUNCTION("""COMPUTED_VALUE"""),"Не помню ")</f>
        <v>Не помню </v>
      </c>
      <c r="J1147" s="6" t="str">
        <f>IFERROR(__xludf.DUMMYFUNCTION("""COMPUTED_VALUE"""),"Нет таких")</f>
        <v>Нет таких</v>
      </c>
      <c r="K1147" s="6" t="str">
        <f>IFERROR(__xludf.DUMMYFUNCTION("""COMPUTED_VALUE"""),"Азот")</f>
        <v>Азот</v>
      </c>
      <c r="L1147" s="6" t="str">
        <f>IFERROR(__xludf.DUMMYFUNCTION("""COMPUTED_VALUE"""),"4")</f>
        <v>4</v>
      </c>
      <c r="M1147" s="6" t="str">
        <f>IFERROR(__xludf.DUMMYFUNCTION("""COMPUTED_VALUE"""),"Нет")</f>
        <v>Нет</v>
      </c>
      <c r="N1147" s="6" t="str">
        <f>IFERROR(__xludf.DUMMYFUNCTION("""COMPUTED_VALUE"""),"Транспорт ")</f>
        <v>Транспорт </v>
      </c>
      <c r="O1147" s="6" t="str">
        <f>IFERROR(__xludf.DUMMYFUNCTION("""COMPUTED_VALUE"""),"Досуг нет кинотеатра")</f>
        <v>Досуг нет кинотеатра</v>
      </c>
      <c r="P1147" s="6" t="str">
        <f>IFERROR(__xludf.DUMMYFUNCTION("""COMPUTED_VALUE"""),"Инстограм ")</f>
        <v>Инстограм </v>
      </c>
      <c r="Q1147"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v>
      </c>
      <c r="R1147" s="6" t="str">
        <f>IFERROR(__xludf.DUMMYFUNCTION("""COMPUTED_VALUE"""),"Все Сейчас ничем доброе")</f>
        <v>Все Сейчас ничем доброе</v>
      </c>
      <c r="S1147" s="6" t="str">
        <f>IFERROR(__xludf.DUMMYFUNCTION("""COMPUTED_VALUE"""),"Нет, не приходилось")</f>
        <v>Нет, не приходилось</v>
      </c>
      <c r="T1147" s="6" t="str">
        <f>IFERROR(__xludf.DUMMYFUNCTION("""COMPUTED_VALUE"""),"Углем")</f>
        <v>Углем</v>
      </c>
      <c r="U1147" s="6" t="str">
        <f>IFERROR(__xludf.DUMMYFUNCTION("""COMPUTED_VALUE"""),"Ком Комсомольский парк")</f>
        <v>Ком Комсомольский парк</v>
      </c>
      <c r="V1147" s="6" t="str">
        <f>IFERROR(__xludf.DUMMYFUNCTION("""COMPUTED_VALUE"""),"Сохранили ")</f>
        <v>Сохранили </v>
      </c>
      <c r="W1147" s="6" t="str">
        <f>IFERROR(__xludf.DUMMYFUNCTION("""COMPUTED_VALUE"""),"Добрые. Отзывчивые 
")</f>
        <v>Добрые. Отзывчивые 
</v>
      </c>
      <c r="X1147" s="6" t="str">
        <f>IFERROR(__xludf.DUMMYFUNCTION("""COMPUTED_VALUE""")," Нет такого ")</f>
        <v> Нет такого </v>
      </c>
      <c r="Y1147" s="6" t="str">
        <f>IFERROR(__xludf.DUMMYFUNCTION("""COMPUTED_VALUE"""),"Не знаю ")</f>
        <v>Не знаю </v>
      </c>
      <c r="Z1147" s="6" t="str">
        <f>IFERROR(__xludf.DUMMYFUNCTION("""COMPUTED_VALUE"""),"Нет таких")</f>
        <v>Нет таких</v>
      </c>
      <c r="AA1147" s="6" t="str">
        <f>IFERROR(__xludf.DUMMYFUNCTION("""COMPUTED_VALUE"""),"Не знаю ")</f>
        <v>Не знаю </v>
      </c>
      <c r="AB1147" s="6" t="str">
        <f>IFERROR(__xludf.DUMMYFUNCTION("""COMPUTED_VALUE"""),"З
")</f>
        <v>З
</v>
      </c>
      <c r="AC1147" s="6" t="str">
        <f>IFERROR(__xludf.DUMMYFUNCTION("""COMPUTED_VALUE"""),"В")</f>
        <v>В</v>
      </c>
      <c r="AD114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147" s="6" t="str">
        <f>IFERROR(__xludf.DUMMYFUNCTION("""COMPUTED_VALUE"""),"Женский")</f>
        <v>Женский</v>
      </c>
      <c r="AF1147" s="6" t="str">
        <f>IFERROR(__xludf.DUMMYFUNCTION("""COMPUTED_VALUE"""),"30-44")</f>
        <v>30-44</v>
      </c>
      <c r="AG1147" s="6"/>
      <c r="AH1147" s="6"/>
      <c r="AI1147" s="6"/>
      <c r="AJ1147" s="6"/>
      <c r="AK1147" s="6"/>
      <c r="AL1147" s="6"/>
      <c r="AM1147" s="6"/>
    </row>
    <row r="1148">
      <c r="A1148" s="6">
        <v>1147.0</v>
      </c>
      <c r="B1148" s="6" t="str">
        <f>IFERROR(__xludf.DUMMYFUNCTION("""COMPUTED_VALUE"""),"Общественно-политическая")</f>
        <v>Общественно-политическая</v>
      </c>
      <c r="C1148" s="6" t="str">
        <f>IFERROR(__xludf.DUMMYFUNCTION("""COMPUTED_VALUE"""),"Сноубординг ")</f>
        <v>Сноубординг </v>
      </c>
      <c r="D1148" s="6" t="str">
        <f>IFERROR(__xludf.DUMMYFUNCTION("""COMPUTED_VALUE"""),"Центральный ")</f>
        <v>Центральный </v>
      </c>
      <c r="E1148" s="6" t="str">
        <f>IFERROR(__xludf.DUMMYFUNCTION("""COMPUTED_VALUE"""),"Парк Жукова")</f>
        <v>Парк Жукова</v>
      </c>
      <c r="F1148"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1148" s="6" t="str">
        <f>IFERROR(__xludf.DUMMYFUNCTION("""COMPUTED_VALUE"""),"Набережная")</f>
        <v>Набережная</v>
      </c>
      <c r="H1148" s="6" t="str">
        <f>IFERROR(__xludf.DUMMYFUNCTION("""COMPUTED_VALUE"""),"Ленин, набережная, центр, север, КемТИПП")</f>
        <v>Ленин, набережная, центр, север, КемТИПП</v>
      </c>
      <c r="I1148" s="6" t="str">
        <f>IFERROR(__xludf.DUMMYFUNCTION("""COMPUTED_VALUE"""),"Волошина, Бабенко, Волков ")</f>
        <v>Волошина, Бабенко, Волков </v>
      </c>
      <c r="J1148" s="6" t="str">
        <f>IFERROR(__xludf.DUMMYFUNCTION("""COMPUTED_VALUE"""),"Синицын Алексей Владимирович")</f>
        <v>Синицын Алексей Владимирович</v>
      </c>
      <c r="K1148" s="6" t="str">
        <f>IFERROR(__xludf.DUMMYFUNCTION("""COMPUTED_VALUE"""),"Набережная")</f>
        <v>Набережная</v>
      </c>
      <c r="L1148" s="6" t="str">
        <f>IFERROR(__xludf.DUMMYFUNCTION("""COMPUTED_VALUE"""),"Северная столица ")</f>
        <v>Северная столица </v>
      </c>
      <c r="M1148" s="6" t="str">
        <f>IFERROR(__xludf.DUMMYFUNCTION("""COMPUTED_VALUE"""),"Нет")</f>
        <v>Нет</v>
      </c>
      <c r="N1148" s="6" t="str">
        <f>IFERROR(__xludf.DUMMYFUNCTION("""COMPUTED_VALUE"""),"Чистота, уют, хорошие дороги и транспорт, свежий воздух ")</f>
        <v>Чистота, уют, хорошие дороги и транспорт, свежий воздух </v>
      </c>
      <c r="O1148" s="6" t="str">
        <f>IFERROR(__xludf.DUMMYFUNCTION("""COMPUTED_VALUE"""),"Воздух")</f>
        <v>Воздух</v>
      </c>
      <c r="P1148" s="6" t="str">
        <f>IFERROR(__xludf.DUMMYFUNCTION("""COMPUTED_VALUE"""),"Вк, инста, телега")</f>
        <v>Вк, инста, телега</v>
      </c>
      <c r="Q1148" s="6" t="str">
        <f>IFERROR(__xludf.DUMMYFUNCTION("""COMPUTED_VALUE"""),"где вкусно поесть/открытие новых кафе/ресторанов, интервью с местными политиками, новости про новые профессии/куда поступать/вакансии")</f>
        <v>где вкусно поесть/открытие новых кафе/ресторанов, интервью с местными политиками, новости про новые профессии/куда поступать/вакансии</v>
      </c>
      <c r="R1148" s="6" t="str">
        <f>IFERROR(__xludf.DUMMYFUNCTION("""COMPUTED_VALUE"""),"День шахтера")</f>
        <v>День шахтера</v>
      </c>
      <c r="S1148" s="6" t="str">
        <f>IFERROR(__xludf.DUMMYFUNCTION("""COMPUTED_VALUE"""),"Делал рассылку по электронной почте")</f>
        <v>Делал рассылку по электронной почте</v>
      </c>
      <c r="T1148" s="6" t="str">
        <f>IFERROR(__xludf.DUMMYFUNCTION("""COMPUTED_VALUE""")," Столица ")</f>
        <v> Столица </v>
      </c>
      <c r="U1148" s="6" t="str">
        <f>IFERROR(__xludf.DUMMYFUNCTION("""COMPUTED_VALUE"""),"Ленин ")</f>
        <v>Ленин </v>
      </c>
      <c r="V1148" s="6" t="str">
        <f>IFERROR(__xludf.DUMMYFUNCTION("""COMPUTED_VALUE"""),"Открыли угольное месторождение")</f>
        <v>Открыли угольное месторождение</v>
      </c>
      <c r="W1148" s="6" t="str">
        <f>IFERROR(__xludf.DUMMYFUNCTION("""COMPUTED_VALUE"""),"Неулыбчивые")</f>
        <v>Неулыбчивые</v>
      </c>
      <c r="X1148" s="6" t="str">
        <f>IFERROR(__xludf.DUMMYFUNCTION("""COMPUTED_VALUE"""),"Набережная ")</f>
        <v>Набережная </v>
      </c>
      <c r="Y1148" s="6" t="str">
        <f>IFERROR(__xludf.DUMMYFUNCTION("""COMPUTED_VALUE"""),"Приезд президента")</f>
        <v>Приезд президента</v>
      </c>
      <c r="Z1148" s="6" t="str">
        <f>IFERROR(__xludf.DUMMYFUNCTION("""COMPUTED_VALUE"""),"Приезд Федука ")</f>
        <v>Приезд Федука </v>
      </c>
      <c r="AA1148" s="6" t="str">
        <f>IFERROR(__xludf.DUMMYFUNCTION("""COMPUTED_VALUE"""),"Зимняя вишня, митинги")</f>
        <v>Зимняя вишня, митинги</v>
      </c>
      <c r="AB1148" s="6" t="str">
        <f>IFERROR(__xludf.DUMMYFUNCTION("""COMPUTED_VALUE"""),"-")</f>
        <v>-</v>
      </c>
      <c r="AC1148" s="6" t="str">
        <f>IFERROR(__xludf.DUMMYFUNCTION("""COMPUTED_VALUE"""),"Бесплатные концерты популярных звёзд для молодёжи ")</f>
        <v>Бесплатные концерты популярных звёзд для молодёжи </v>
      </c>
      <c r="AD114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148" s="6" t="str">
        <f>IFERROR(__xludf.DUMMYFUNCTION("""COMPUTED_VALUE"""),"Женский")</f>
        <v>Женский</v>
      </c>
      <c r="AF1148" s="6" t="str">
        <f>IFERROR(__xludf.DUMMYFUNCTION("""COMPUTED_VALUE"""),"18-29")</f>
        <v>18-29</v>
      </c>
      <c r="AG1148" s="6"/>
      <c r="AH1148" s="6"/>
      <c r="AI1148" s="6"/>
      <c r="AJ1148" s="6"/>
      <c r="AK1148" s="6"/>
      <c r="AL1148" s="6"/>
      <c r="AM1148" s="6"/>
    </row>
    <row r="1149">
      <c r="A1149" s="6">
        <v>1148.0</v>
      </c>
      <c r="B1149" s="6" t="str">
        <f>IFERROR(__xludf.DUMMYFUNCTION("""COMPUTED_VALUE"""),"Педагог")</f>
        <v>Педагог</v>
      </c>
      <c r="C1149" s="6" t="str">
        <f>IFERROR(__xludf.DUMMYFUNCTION("""COMPUTED_VALUE"""),"Туризм")</f>
        <v>Туризм</v>
      </c>
      <c r="D1149" s="6" t="str">
        <f>IFERROR(__xludf.DUMMYFUNCTION("""COMPUTED_VALUE"""),"Радуга (Рудничный район)")</f>
        <v>Радуга (Рудничный район)</v>
      </c>
      <c r="E1149" s="6" t="str">
        <f>IFERROR(__xludf.DUMMYFUNCTION("""COMPUTED_VALUE"""),"Серебряный бор")</f>
        <v>Серебряный бор</v>
      </c>
      <c r="F1149" s="6" t="str">
        <f>IFERROR(__xludf.DUMMYFUNCTION("""COMPUTED_VALUE"""),"Переехал в Кемерово в 2011 году, выучился и остался жить.")</f>
        <v>Переехал в Кемерово в 2011 году, выучился и остался жить.</v>
      </c>
      <c r="G1149" s="6" t="str">
        <f>IFERROR(__xludf.DUMMYFUNCTION("""COMPUTED_VALUE"""),"Серебряный бор, ТРЦ Радуга, ТРЦ Север, ТРЦ Рио")</f>
        <v>Серебряный бор, ТРЦ Радуга, ТРЦ Север, ТРЦ Рио</v>
      </c>
      <c r="H1149" s="6" t="str">
        <f>IFERROR(__xludf.DUMMYFUNCTION("""COMPUTED_VALUE"""),"Сибирский, дымный, угольный, суровый, наш")</f>
        <v>Сибирский, дымный, угольный, суровый, наш</v>
      </c>
      <c r="I1149" s="6" t="str">
        <f>IFERROR(__xludf.DUMMYFUNCTION("""COMPUTED_VALUE"""),"И.Л. Курочкин, Михайлов, Налётов, Васильев, Толстиков, Сырельщиков...")</f>
        <v>И.Л. Курочкин, Михайлов, Налётов, Васильев, Толстиков, Сырельщиков...</v>
      </c>
      <c r="J1149" s="6" t="str">
        <f>IFERROR(__xludf.DUMMYFUNCTION("""COMPUTED_VALUE"""),"Середюк")</f>
        <v>Середюк</v>
      </c>
      <c r="K1149" s="6" t="str">
        <f>IFERROR(__xludf.DUMMYFUNCTION("""COMPUTED_VALUE"""),"Красная горка, Советский проспект, Парк Чудес, Музыкальный театр, Театр Драмы, Сосновый бор, Парк Ангелов")</f>
        <v>Красная горка, Советский проспект, Парк Чудес, Музыкальный театр, Театр Драмы, Сосновый бор, Парк Ангелов</v>
      </c>
      <c r="L1149" s="6" t="str">
        <f>IFERROR(__xludf.DUMMYFUNCTION("""COMPUTED_VALUE"""),"-")</f>
        <v>-</v>
      </c>
      <c r="M1149" s="6" t="str">
        <f>IFERROR(__xludf.DUMMYFUNCTION("""COMPUTED_VALUE"""),"Цвет настроения Кемерово")</f>
        <v>Цвет настроения Кемерово</v>
      </c>
      <c r="N1149" s="6" t="str">
        <f>IFERROR(__xludf.DUMMYFUNCTION("""COMPUTED_VALUE"""),"Удобный и современный общественный транспорт, озеленение дворов, расширение трамвайной сети по городу, отсутствие мусора в городе, хорошие дороги и тратуары, уютные парки.")</f>
        <v>Удобный и современный общественный транспорт, озеленение дворов, расширение трамвайной сети по городу, отсутствие мусора в городе, хорошие дороги и тратуары, уютные парки.</v>
      </c>
      <c r="O1149" s="6" t="str">
        <f>IFERROR(__xludf.DUMMYFUNCTION("""COMPUTED_VALUE"""),"Расширить трамвайную сеть, сделать так чтобы горожанам было удобнее и легче использовать общественный транспорт нежели автомобили, сразу сократится уровень пробок и выбросы.")</f>
        <v>Расширить трамвайную сеть, сделать так чтобы горожанам было удобнее и легче использовать общественный транспорт нежели автомобили, сразу сократится уровень пробок и выбросы.</v>
      </c>
      <c r="P1149" s="6" t="str">
        <f>IFERROR(__xludf.DUMMYFUNCTION("""COMPUTED_VALUE"""),"Официальные сайты и группы учрежден й культуры и паблики о городе.")</f>
        <v>Официальные сайты и группы учрежден й культуры и паблики о городе.</v>
      </c>
      <c r="Q1149"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149" s="6" t="str">
        <f>IFERROR(__xludf.DUMMYFUNCTION("""COMPUTED_VALUE"""),"День города, День Победы, День Шахтера, Новый Год")</f>
        <v>День города, День Победы, День Шахтера, Новый Год</v>
      </c>
      <c r="S1149" s="6" t="str">
        <f>IFERROR(__xludf.DUMMYFUNCTION("""COMPUTED_VALUE"""),"Через социальные сети (Какие? Укажите в графе другое), Делал рассылку по электронной почте, Инстаграм, ВК")</f>
        <v>Через социальные сети (Какие? Укажите в графе другое), Делал рассылку по электронной почте, Инстаграм, ВК</v>
      </c>
      <c r="T1149" s="6" t="str">
        <f>IFERROR(__xludf.DUMMYFUNCTION("""COMPUTED_VALUE"""),"-")</f>
        <v>-</v>
      </c>
      <c r="U1149" s="6" t="str">
        <f>IFERROR(__xludf.DUMMYFUNCTION("""COMPUTED_VALUE"""),"Советский проспект")</f>
        <v>Советский проспект</v>
      </c>
      <c r="V1149" s="6" t="str">
        <f>IFERROR(__xludf.DUMMYFUNCTION("""COMPUTED_VALUE"""),"Трудовые заслуги и стахановское рвение ради светлого будущего, которое оказалось под вопросом.")</f>
        <v>Трудовые заслуги и стахановское рвение ради светлого будущего, которое оказалось под вопросом.</v>
      </c>
      <c r="W1149" s="6" t="str">
        <f>IFERROR(__xludf.DUMMYFUNCTION("""COMPUTED_VALUE"""),"Неприветливые, наглые, беспардонный, равнодушные к окружающему пространству.")</f>
        <v>Неприветливые, наглые, беспардонный, равнодушные к окружающему пространству.</v>
      </c>
      <c r="X1149" s="6" t="str">
        <f>IFERROR(__xludf.DUMMYFUNCTION("""COMPUTED_VALUE"""),"Советский проспект")</f>
        <v>Советский проспект</v>
      </c>
      <c r="Y1149" s="6" t="str">
        <f>IFERROR(__xludf.DUMMYFUNCTION("""COMPUTED_VALUE"""),"День победы 2014 года. Настроение было поистине патриотическое.")</f>
        <v>День победы 2014 года. Настроение было поистине патриотическое.</v>
      </c>
      <c r="Z1149" s="6" t="str">
        <f>IFERROR(__xludf.DUMMYFUNCTION("""COMPUTED_VALUE"""),"Что будут реализовывать масштабные и интересные градостроительные проекты.")</f>
        <v>Что будут реализовывать масштабные и интересные градостроительные проекты.</v>
      </c>
      <c r="AA1149" s="6" t="str">
        <f>IFERROR(__xludf.DUMMYFUNCTION("""COMPUTED_VALUE"""),"И очень много, в основном связанны с пандемий и неспособностью системы здравоохранения нормально функционировать.")</f>
        <v>И очень много, в основном связанны с пандемий и неспособностью системы здравоохранения нормально функционировать.</v>
      </c>
      <c r="AB1149" s="6" t="str">
        <f>IFERROR(__xludf.DUMMYFUNCTION("""COMPUTED_VALUE"""),"Сообщества урбанистов, которые реально участвуют в логистике и проектировании городских пространств.")</f>
        <v>Сообщества урбанистов, которые реально участвуют в логистике и проектировании городских пространств.</v>
      </c>
      <c r="AC1149" s="6" t="str">
        <f>IFERROR(__xludf.DUMMYFUNCTION("""COMPUTED_VALUE"""),"Культурные туры, развитие тарифной системы на посещений учреждений культуры, бонусная система")</f>
        <v>Культурные туры, развитие тарифной системы на посещений учреждений культуры, бонусная система</v>
      </c>
      <c r="AD1149"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149" s="6" t="str">
        <f>IFERROR(__xludf.DUMMYFUNCTION("""COMPUTED_VALUE"""),"Мужской")</f>
        <v>Мужской</v>
      </c>
      <c r="AF1149" s="6" t="str">
        <f>IFERROR(__xludf.DUMMYFUNCTION("""COMPUTED_VALUE"""),"18-29")</f>
        <v>18-29</v>
      </c>
      <c r="AG1149" s="6"/>
      <c r="AH1149" s="6"/>
      <c r="AI1149" s="6"/>
      <c r="AJ1149" s="6"/>
      <c r="AK1149" s="6"/>
      <c r="AL1149" s="6"/>
      <c r="AM1149" s="6"/>
    </row>
    <row r="1150">
      <c r="A1150" s="6">
        <v>1149.0</v>
      </c>
      <c r="B1150" s="6" t="str">
        <f>IFERROR(__xludf.DUMMYFUNCTION("""COMPUTED_VALUE"""),"Студентка")</f>
        <v>Студентка</v>
      </c>
      <c r="C1150" s="6" t="str">
        <f>IFERROR(__xludf.DUMMYFUNCTION("""COMPUTED_VALUE"""),"Общественная деятельность ")</f>
        <v>Общественная деятельность </v>
      </c>
      <c r="D1150" s="6" t="str">
        <f>IFERROR(__xludf.DUMMYFUNCTION("""COMPUTED_VALUE"""),"Центральный ")</f>
        <v>Центральный </v>
      </c>
      <c r="E1150" s="6" t="str">
        <f>IFERROR(__xludf.DUMMYFUNCTION("""COMPUTED_VALUE"""),"Набережная ")</f>
        <v>Набережная </v>
      </c>
      <c r="F1150" s="6" t="str">
        <f>IFERROR(__xludf.DUMMYFUNCTION("""COMPUTED_VALUE"""),"Живу здесь с рождения")</f>
        <v>Живу здесь с рождения</v>
      </c>
      <c r="G1150" s="6" t="str">
        <f>IFERROR(__xludf.DUMMYFUNCTION("""COMPUTED_VALUE"""),"Парк,природа")</f>
        <v>Парк,природа</v>
      </c>
      <c r="H1150" s="6" t="str">
        <f>IFERROR(__xludf.DUMMYFUNCTION("""COMPUTED_VALUE"""),"-")</f>
        <v>-</v>
      </c>
      <c r="I1150" s="6" t="str">
        <f>IFERROR(__xludf.DUMMYFUNCTION("""COMPUTED_VALUE"""),"Леонов")</f>
        <v>Леонов</v>
      </c>
      <c r="J1150" s="6" t="str">
        <f>IFERROR(__xludf.DUMMYFUNCTION("""COMPUTED_VALUE"""),"-")</f>
        <v>-</v>
      </c>
      <c r="K1150" s="6" t="str">
        <f>IFERROR(__xludf.DUMMYFUNCTION("""COMPUTED_VALUE"""),"Томская писаница ")</f>
        <v>Томская писаница </v>
      </c>
      <c r="L1150" s="6" t="str">
        <f>IFERROR(__xludf.DUMMYFUNCTION("""COMPUTED_VALUE"""),"-")</f>
        <v>-</v>
      </c>
      <c r="M1150" s="6" t="str">
        <f>IFERROR(__xludf.DUMMYFUNCTION("""COMPUTED_VALUE"""),"-")</f>
        <v>-</v>
      </c>
      <c r="N1150" s="6" t="str">
        <f>IFERROR(__xludf.DUMMYFUNCTION("""COMPUTED_VALUE"""),"Чистота,хорошие дороги,экология,досуг ")</f>
        <v>Чистота,хорошие дороги,экология,досуг </v>
      </c>
      <c r="O1150" s="6" t="str">
        <f>IFERROR(__xludf.DUMMYFUNCTION("""COMPUTED_VALUE"""),"Дороги")</f>
        <v>Дороги</v>
      </c>
      <c r="P1150" s="6" t="str">
        <f>IFERROR(__xludf.DUMMYFUNCTION("""COMPUTED_VALUE"""),"Новости Яндекс ")</f>
        <v>Новости Яндекс </v>
      </c>
      <c r="Q1150"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150" s="6" t="str">
        <f>IFERROR(__xludf.DUMMYFUNCTION("""COMPUTED_VALUE"""),"9 мая ,день города ")</f>
        <v>9 мая ,день города </v>
      </c>
      <c r="S1150" s="6" t="str">
        <f>IFERROR(__xludf.DUMMYFUNCTION("""COMPUTED_VALUE"""),"Через социальные сети (Какие? Укажите в графе другое), Вк,инст ")</f>
        <v>Через социальные сети (Какие? Укажите в графе другое), Вк,инст </v>
      </c>
      <c r="T1150" s="6" t="str">
        <f>IFERROR(__xludf.DUMMYFUNCTION("""COMPUTED_VALUE"""),"Шахтерский город ")</f>
        <v>Шахтерский город </v>
      </c>
      <c r="U1150" s="6" t="str">
        <f>IFERROR(__xludf.DUMMYFUNCTION("""COMPUTED_VALUE"""),"Набережная ")</f>
        <v>Набережная </v>
      </c>
      <c r="V1150" s="6" t="str">
        <f>IFERROR(__xludf.DUMMYFUNCTION("""COMPUTED_VALUE"""),"История ")</f>
        <v>История </v>
      </c>
      <c r="W1150" s="6" t="str">
        <f>IFERROR(__xludf.DUMMYFUNCTION("""COMPUTED_VALUE"""),"Добрые,открытые ")</f>
        <v>Добрые,открытые </v>
      </c>
      <c r="X1150" s="6" t="str">
        <f>IFERROR(__xludf.DUMMYFUNCTION("""COMPUTED_VALUE"""),"Центр,парк ангелов")</f>
        <v>Центр,парк ангелов</v>
      </c>
      <c r="Y1150" s="6" t="str">
        <f>IFERROR(__xludf.DUMMYFUNCTION("""COMPUTED_VALUE"""),"-")</f>
        <v>-</v>
      </c>
      <c r="Z1150" s="6" t="str">
        <f>IFERROR(__xludf.DUMMYFUNCTION("""COMPUTED_VALUE"""),"Строительство новых объектов ")</f>
        <v>Строительство новых объектов </v>
      </c>
      <c r="AA1150" s="6" t="str">
        <f>IFERROR(__xludf.DUMMYFUNCTION("""COMPUTED_VALUE"""),"-")</f>
        <v>-</v>
      </c>
      <c r="AB1150" s="6" t="str">
        <f>IFERROR(__xludf.DUMMYFUNCTION("""COMPUTED_VALUE"""),"-")</f>
        <v>-</v>
      </c>
      <c r="AC1150" s="6" t="str">
        <f>IFERROR(__xludf.DUMMYFUNCTION("""COMPUTED_VALUE"""),"Расширить афишу театра ")</f>
        <v>Расширить афишу театра </v>
      </c>
      <c r="AD115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150" s="6" t="str">
        <f>IFERROR(__xludf.DUMMYFUNCTION("""COMPUTED_VALUE"""),"Женский")</f>
        <v>Женский</v>
      </c>
      <c r="AF1150" s="6" t="str">
        <f>IFERROR(__xludf.DUMMYFUNCTION("""COMPUTED_VALUE"""),"18-29")</f>
        <v>18-29</v>
      </c>
      <c r="AG1150" s="6"/>
      <c r="AH1150" s="6"/>
      <c r="AI1150" s="6"/>
      <c r="AJ1150" s="6"/>
      <c r="AK1150" s="6"/>
      <c r="AL1150" s="6"/>
      <c r="AM1150" s="6"/>
    </row>
    <row r="1151">
      <c r="A1151" s="6">
        <v>1150.0</v>
      </c>
      <c r="B1151" s="6" t="str">
        <f>IFERROR(__xludf.DUMMYFUNCTION("""COMPUTED_VALUE"""),"SMM - специалист, дизайнер ")</f>
        <v>SMM - специалист, дизайнер </v>
      </c>
      <c r="C1151" s="6" t="str">
        <f>IFERROR(__xludf.DUMMYFUNCTION("""COMPUTED_VALUE"""),"Велопоездки, катание на роликах, коньках, роспись предметов, волонтерство ")</f>
        <v>Велопоездки, катание на роликах, коньках, роспись предметов, волонтерство </v>
      </c>
      <c r="D1151" s="6" t="str">
        <f>IFERROR(__xludf.DUMMYFUNCTION("""COMPUTED_VALUE"""),"Центральный ")</f>
        <v>Центральный </v>
      </c>
      <c r="E1151" s="6" t="str">
        <f>IFERROR(__xludf.DUMMYFUNCTION("""COMPUTED_VALUE"""),"Парк чудес, парк ангелов")</f>
        <v>Парк чудес, парк ангелов</v>
      </c>
      <c r="F1151" s="6" t="str">
        <f>IFERROR(__xludf.DUMMYFUNCTION("""COMPUTED_VALUE"""),"Переехал сюда из другого места (откуда? укажите в графе другое), В 2015 из Юрги")</f>
        <v>Переехал сюда из другого места (откуда? укажите в графе другое), В 2015 из Юрги</v>
      </c>
      <c r="G1151" s="6" t="str">
        <f>IFERROR(__xludf.DUMMYFUNCTION("""COMPUTED_VALUE"""),"Набережная, драмтеатр ")</f>
        <v>Набережная, драмтеатр </v>
      </c>
      <c r="H1151" s="6" t="str">
        <f>IFERROR(__xludf.DUMMYFUNCTION("""COMPUTED_VALUE"""),"Маленький, уютный, спокойный, грязный (воздух), удобный ")</f>
        <v>Маленький, уютный, спокойный, грязный (воздух), удобный </v>
      </c>
      <c r="I1151" s="6" t="str">
        <f>IFERROR(__xludf.DUMMYFUNCTION("""COMPUTED_VALUE"""),"Михайло Волков, вообще их много, на домах очень много табличек с данной информацией, порой интересно читать проходя мимо, и как правило большинство улиц названы в честь кого то ")</f>
        <v>Михайло Волков, вообще их много, на домах очень много табличек с данной информацией, порой интересно читать проходя мимо, и как правило большинство улиц названы в честь кого то </v>
      </c>
      <c r="J1151" s="6" t="str">
        <f>IFERROR(__xludf.DUMMYFUNCTION("""COMPUTED_VALUE"""),"Я бы назвала руководителей волонтерских организаций, как правило это хорошие люди, которые помогают другим")</f>
        <v>Я бы назвала руководителей волонтерских организаций, как правило это хорошие люди, которые помогают другим</v>
      </c>
      <c r="K1151" s="6" t="str">
        <f>IFERROR(__xludf.DUMMYFUNCTION("""COMPUTED_VALUE"""),"К сожалению, особо нечего показать, если даже в магазин не куда сходить, набережной мало кого удивишь уже ")</f>
        <v>К сожалению, особо нечего показать, если даже в магазин не куда сходить, набережной мало кого удивишь уже </v>
      </c>
      <c r="L1151" s="6" t="str">
        <f>IFERROR(__xludf.DUMMYFUNCTION("""COMPUTED_VALUE"""),"Анекдот: Людям не все равно на чужие проблемы ")</f>
        <v>Анекдот: Людям не все равно на чужие проблемы </v>
      </c>
      <c r="M1151" s="6" t="str">
        <f>IFERROR(__xludf.DUMMYFUNCTION("""COMPUTED_VALUE"""),"Мультифора ")</f>
        <v>Мультифора </v>
      </c>
      <c r="N1151" s="6" t="str">
        <f>IFERROR(__xludf.DUMMYFUNCTION("""COMPUTED_VALUE"""),"1. Ровный асфальт, особенно на тратуарах, комфортные спуски (велосипеды, коляски) 2. Тепло 3. Есть куда сходить (арт пространства, аквапарк, в целом досуг для молодёжи)
4. Чистый воздух 5. Магазины (что бы обновить гардероб более выгодно, качественно и т."&amp;"д проще съездить в другой город) ")</f>
        <v>1. Ровный асфальт, особенно на тратуарах, комфортные спуски (велосипеды, коляски) 2. Тепло 3. Есть куда сходить (арт пространства, аквапарк, в целом досуг для молодёжи)
4. Чистый воздух 5. Магазины (что бы обновить гардероб более выгодно, качественно и т.д проще съездить в другой город) </v>
      </c>
      <c r="O1151" s="6" t="str">
        <f>IFERROR(__xludf.DUMMYFUNCTION("""COMPUTED_VALUE"""),"Отношение к людям или систему, после 40, даже с высшим образованием никуда не возьмут, везде требуются молодые и красивые, из этого возникает вопрос, какой толк высшего образования (в среднем его получают в 24, потом долго не могут найти работу по специал"&amp;"ьности, нет опыта и т.д, уже занято, из-за этого уезжают люди, предприятий нет, людям даже негде работать, хотят рабочие руки, а негде применить
")</f>
        <v>Отношение к людям или систему, после 40, даже с высшим образованием никуда не возьмут, везде требуются молодые и красивые, из этого возникает вопрос, какой толк высшего образования (в среднем его получают в 24, потом долго не могут найти работу по специальности, нет опыта и т.д, уже занято, из-за этого уезжают люди, предприятий нет, людям даже негде работать, хотят рабочие руки, а негде применить
</v>
      </c>
      <c r="P1151" s="6" t="str">
        <f>IFERROR(__xludf.DUMMYFUNCTION("""COMPUTED_VALUE"""),"Telegram, Вконтакте, Яндекс новости, таргетированная реклама в Инстаграм, Вконтакте ")</f>
        <v>Telegram, Вконтакте, Яндекс новости, таргетированная реклама в Инстаграм, Вконтакте </v>
      </c>
      <c r="Q1151" s="6" t="str">
        <f>IFERROR(__xludf.DUMMYFUNCTION("""COMPUTED_VALUE"""),"куда пойти в свободное время, криминальные новости (происшествия/преступления), новости про новые профессии/куда поступать/вакансии")</f>
        <v>куда пойти в свободное время, криминальные новости (происшествия/преступления), новости про новые профессии/куда поступать/вакансии</v>
      </c>
      <c r="R1151" s="6" t="str">
        <f>IFERROR(__xludf.DUMMYFUNCTION("""COMPUTED_VALUE"""),"Таких нет, про близких сказать не могу, скорее всего ярмарка (продукты) ")</f>
        <v>Таких нет, про близких сказать не могу, скорее всего ярмарка (продукты) </v>
      </c>
      <c r="S1151" s="6" t="str">
        <f>IFERROR(__xludf.DUMMYFUNCTION("""COMPUTED_VALUE"""),"Волонтерство в общественных организациях")</f>
        <v>Волонтерство в общественных организациях</v>
      </c>
      <c r="T1151" s="6" t="str">
        <f>IFERROR(__xludf.DUMMYFUNCTION("""COMPUTED_VALUE"""),"Ну известен и знаменит, к сожалению плохими вещами (Зиимняя вишня, 1 место по ВИЧ, туберкулёз, вечные выбросы с заводов) 
Уникальное только создаётся - культурный кластер, интересно, что из этого выйдет ")</f>
        <v>Ну известен и знаменит, к сожалению плохими вещами (Зиимняя вишня, 1 место по ВИЧ, туберкулёз, вечные выбросы с заводов) 
Уникальное только создаётся - культурный кластер, интересно, что из этого выйдет </v>
      </c>
      <c r="U1151" s="6" t="str">
        <f>IFERROR(__xludf.DUMMYFUNCTION("""COMPUTED_VALUE"""),"Набережная ")</f>
        <v>Набережная </v>
      </c>
      <c r="V1151" s="6" t="str">
        <f>IFERROR(__xludf.DUMMYFUNCTION("""COMPUTED_VALUE"""),"Как правило переезд ")</f>
        <v>Как правило переезд </v>
      </c>
      <c r="W1151" s="6" t="str">
        <f>IFERROR(__xludf.DUMMYFUNCTION("""COMPUTED_VALUE"""),"Всегда считала, что это добрые и отзывчивые люди, как оказалось далеко не все, к моему удивлению в Новокузнецке люди намного добрее
1. Хмурые 
2. Непонимание, осуждение 
3. Хамство 
Подавляющее большинство подходят под эти критерии, безусловно есть добр"&amp;"ые и отзывчивые, но таких мало
")</f>
        <v>Всегда считала, что это добрые и отзывчивые люди, как оказалось далеко не все, к моему удивлению в Новокузнецке люди намного добрее
1. Хмурые 
2. Непонимание, осуждение 
3. Хамство 
Подавляющее большинство подходят под эти критерии, безусловно есть добрые и отзывчивые, но таких мало
</v>
      </c>
      <c r="X1151" s="6" t="str">
        <f>IFERROR(__xludf.DUMMYFUNCTION("""COMPUTED_VALUE"""),"Цирк - искитимский мост - парк Антошка - парк победы - филармония - набережная - весенняя - драмтеатр - Площадь советов - универ. Мост - цирк")</f>
        <v>Цирк - искитимский мост - парк Антошка - парк победы - филармония - набережная - весенняя - драмтеатр - Площадь советов - универ. Мост - цирк</v>
      </c>
      <c r="Y1151" s="6" t="str">
        <f>IFERROR(__xludf.DUMMYFUNCTION("""COMPUTED_VALUE"""),"Затрудняюсь ответить на данный вопрос ")</f>
        <v>Затрудняюсь ответить на данный вопрос </v>
      </c>
      <c r="Z1151" s="6" t="str">
        <f>IFERROR(__xludf.DUMMYFUNCTION("""COMPUTED_VALUE"""),"Ленинский и Южный благоустроили ")</f>
        <v>Ленинский и Южный благоустроили </v>
      </c>
      <c r="AA1151" s="6" t="str">
        <f>IFERROR(__xludf.DUMMYFUNCTION("""COMPUTED_VALUE"""),"Таких нет, но могу отметить большие отвратительные вывески магазинов , которые портят восприятие города, хорошо было бы взять пример с Питера в этом плане, ну и конечно выборчная покраска зданий (обновление фасада с лицевой стороны, это ужасно) Должно быт"&amp;"ь одинаково комфортно что с улицы, что со двора, центр Кемерова очень красив, но очень потрепан уже и испорчен вывесками")</f>
        <v>Таких нет, но могу отметить большие отвратительные вывески магазинов , которые портят восприятие города, хорошо было бы взять пример с Питера в этом плане, ну и конечно выборчная покраска зданий (обновление фасада с лицевой стороны, это ужасно) Должно быть одинаково комфортно что с улицы, что со двора, центр Кемерова очень красив, но очень потрепан уже и испорчен вывесками</v>
      </c>
      <c r="AB1151" s="6" t="str">
        <f>IFERROR(__xludf.DUMMYFUNCTION("""COMPUTED_VALUE"""),"Некорректно задан вопрос, что имеется в виду под ""сообществами""? ")</f>
        <v>Некорректно задан вопрос, что имеется в виду под "сообществами"? </v>
      </c>
      <c r="AC1151" s="6" t="str">
        <f>IFERROR(__xludf.DUMMYFUNCTION("""COMPUTED_VALUE"""),"VK фест хороший ориентир, большой фестиваль, хорошая программа и площадки, даже реализация части из такого проекта было бы интересным
Кинотеатры под открытым небом, открытые уличные соревнования с призами, как и десткие, так и более серьёзные (скейт, рол"&amp;"ики) нечто подобное кажется уже было 
")</f>
        <v>VK фест хороший ориентир, большой фестиваль, хорошая программа и площадки, даже реализация части из такого проекта было бы интересным
Кинотеатры под открытым небом, открытые уличные соревнования с призами, как и десткие, так и более серьёзные (скейт, ролики) нечто подобное кажется уже было 
</v>
      </c>
      <c r="AD1151" s="6" t="str">
        <f>IFERROR(__xludf.DUMMYFUNCTION("""COMPUTED_VALUE"""),"Не готов принимать личное участие (укажите, пожалуйста, причину в поле «Другое»), К сожалению, нет времени, но возможно некоторые инициативы и выделенные проблемы будут полезны ")</f>
        <v>Не готов принимать личное участие (укажите, пожалуйста, причину в поле «Другое»), К сожалению, нет времени, но возможно некоторые инициативы и выделенные проблемы будут полезны </v>
      </c>
      <c r="AE1151" s="6" t="str">
        <f>IFERROR(__xludf.DUMMYFUNCTION("""COMPUTED_VALUE"""),"Женский")</f>
        <v>Женский</v>
      </c>
      <c r="AF1151" s="6" t="str">
        <f>IFERROR(__xludf.DUMMYFUNCTION("""COMPUTED_VALUE"""),"18-29")</f>
        <v>18-29</v>
      </c>
      <c r="AG1151" s="6"/>
      <c r="AH1151" s="6"/>
      <c r="AI1151" s="6"/>
      <c r="AJ1151" s="6"/>
      <c r="AK1151" s="6"/>
      <c r="AL1151" s="6"/>
      <c r="AM1151" s="6"/>
    </row>
    <row r="1152">
      <c r="A1152" s="6">
        <v>1151.0</v>
      </c>
      <c r="B1152" s="6" t="str">
        <f>IFERROR(__xludf.DUMMYFUNCTION("""COMPUTED_VALUE"""),"Продакт-менеджер мобильного приложения")</f>
        <v>Продакт-менеджер мобильного приложения</v>
      </c>
      <c r="C1152" s="6" t="str">
        <f>IFERROR(__xludf.DUMMYFUNCTION("""COMPUTED_VALUE"""),"Бег")</f>
        <v>Бег</v>
      </c>
      <c r="D1152" s="6" t="str">
        <f>IFERROR(__xludf.DUMMYFUNCTION("""COMPUTED_VALUE"""),"Центральный р-н, но называю свой район ""Московский"", т.к. рядом Московский проспект")</f>
        <v>Центральный р-н, но называю свой район "Московский", т.к. рядом Московский проспект</v>
      </c>
      <c r="E1152" s="6" t="str">
        <f>IFERROR(__xludf.DUMMYFUNCTION("""COMPUTED_VALUE"""),"Президентское кадетское училище, несколько новых красивых ЖК с фасадами, непохожими на другие ЖК в городе")</f>
        <v>Президентское кадетское училище, несколько новых красивых ЖК с фасадами, непохожими на другие ЖК в городе</v>
      </c>
      <c r="F1152" s="6" t="str">
        <f>IFERROR(__xludf.DUMMYFUNCTION("""COMPUTED_VALUE"""),"Переехал сюда из другого места (откуда? укажите в графе другое), город Берёзовский")</f>
        <v>Переехал сюда из другого места (откуда? укажите в графе другое), город Берёзовский</v>
      </c>
      <c r="G1152" s="6" t="str">
        <f>IFERROR(__xludf.DUMMYFUNCTION("""COMPUTED_VALUE"""),"Люблю гулять рядом с Президентским кадетским училищем, в Парке им. Веры Волошиной, в парке им. Жукова, в ""старом"" центре - по проспекту Советскому, улице Весенней, по Притомской набережной, бегать и гулять в жилом районе Лесная Поляна, по территории Руд"&amp;"ничного бора ")</f>
        <v>Люблю гулять рядом с Президентским кадетским училищем, в Парке им. Веры Волошиной, в парке им. Жукова, в "старом" центре - по проспекту Советскому, улице Весенней, по Притомской набережной, бегать и гулять в жилом районе Лесная Поляна, по территории Рудничного бора </v>
      </c>
      <c r="H1152" s="6" t="str">
        <f>IFERROR(__xludf.DUMMYFUNCTION("""COMPUTED_VALUE"""),"Промышленность, труд, река, колоннады, театр, сталинки")</f>
        <v>Промышленность, труд, река, колоннады, театр, сталинки</v>
      </c>
      <c r="I1152" s="6" t="str">
        <f>IFERROR(__xludf.DUMMYFUNCTION("""COMPUTED_VALUE"""),"Себальд Юстинус Рутгерс, Алексей Архипович Леонов, Вера Даниловна Волошина, Владимир Давыдович Мартемьянов, Михайло Волков ")</f>
        <v>Себальд Юстинус Рутгерс, Алексей Архипович Леонов, Вера Даниловна Волошина, Владимир Давыдович Мартемьянов, Михайло Волков </v>
      </c>
      <c r="J1152" s="6" t="str">
        <f>IFERROR(__xludf.DUMMYFUNCTION("""COMPUTED_VALUE"""),"Владимир Васильевич Михайлов, Евгений Гришковец")</f>
        <v>Владимир Васильевич Михайлов, Евгений Гришковец</v>
      </c>
      <c r="K1152" s="6" t="str">
        <f>IFERROR(__xludf.DUMMYFUNCTION("""COMPUTED_VALUE"""),"Старый центр (набережную, площадь Пушкина, драматический театр и улицу Весеннюю, сквер коксохимиков на ул. Арочной, ул. Ноградскую), Проспект Московский, дом кино Москва (ныне закрытый), жилой район Лесная Поляна ")</f>
        <v>Старый центр (набережную, площадь Пушкина, драматический театр и улицу Весеннюю, сквер коксохимиков на ул. Арочной, ул. Ноградскую), Проспект Московский, дом кино Москва (ныне закрытый), жилой район Лесная Поляна </v>
      </c>
      <c r="L1152" s="6" t="str">
        <f>IFERROR(__xludf.DUMMYFUNCTION("""COMPUTED_VALUE"""),"""Кемеровчанин везде найдёт Томь и набережную""")</f>
        <v>"Кемеровчанин везде найдёт Томь и набережную"</v>
      </c>
      <c r="M1152" s="6" t="str">
        <f>IFERROR(__xludf.DUMMYFUNCTION("""COMPUTED_VALUE"""),"Мультифора, колба, виктория (клубника)")</f>
        <v>Мультифора, колба, виктория (клубника)</v>
      </c>
      <c r="N1152" s="6" t="str">
        <f>IFERROR(__xludf.DUMMYFUNCTION("""COMPUTED_VALUE"""),"Чистота, уважение к историческому облику, планирование городского пространства, индивидуальный архитектурный код города, отсутствие ярких рекламных конструкций, единый стиль вывесок магазинов и ресторанов, наличие комфортных общественных пространств")</f>
        <v>Чистота, уважение к историческому облику, планирование городского пространства, индивидуальный архитектурный код города, отсутствие ярких рекламных конструкций, единый стиль вывесок магазинов и ресторанов, наличие комфортных общественных пространств</v>
      </c>
      <c r="O1152" s="6" t="str">
        <f>IFERROR(__xludf.DUMMYFUNCTION("""COMPUTED_VALUE"""),"Подход к очистке улиц от пыли, подход к организации общественных пространств")</f>
        <v>Подход к очистке улиц от пыли, подход к организации общественных пространств</v>
      </c>
      <c r="P1152" s="6" t="str">
        <f>IFERROR(__xludf.DUMMYFUNCTION("""COMPUTED_VALUE"""),"a42.ru, Типичный Кемерово (группа ВК), профессиональные и дружеские чаты")</f>
        <v>a42.ru, Типичный Кемерово (группа ВК), профессиональные и дружеские чаты</v>
      </c>
      <c r="Q1152" s="6" t="str">
        <f>IFERROR(__xludf.DUMMYFUNCTION("""COMPUTED_VALUE"""),"городская афиша (кино/театр/концерты),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152" s="6" t="str">
        <f>IFERROR(__xludf.DUMMYFUNCTION("""COMPUTED_VALUE"""),"День города (праздник очень хороший, организация - сомнительная)")</f>
        <v>День города (праздник очень хороший, организация - сомнительная)</v>
      </c>
      <c r="S1152" s="6" t="str">
        <f>IFERROR(__xludf.DUMMYFUNCTION("""COMPUTED_VALUE"""),"Обращался в редакции городских газет, телевидения, радио")</f>
        <v>Обращался в редакции городских газет, телевидения, радио</v>
      </c>
      <c r="T1152" s="6" t="str">
        <f>IFERROR(__xludf.DUMMYFUNCTION("""COMPUTED_VALUE"""),"Уютный провинциальный город, со своей уникальной историей, включающей и развитие химической и горнорудной промышленности, и определённый уклад жизни, и концепцию ""зелёного"" города (множество парковых зон, бор на территории города), и мощный бизнес-секто"&amp;"р (который поднялся и просел в ""лихие 90-е"") ")</f>
        <v>Уютный провинциальный город, со своей уникальной историей, включающей и развитие химической и горнорудной промышленности, и определённый уклад жизни, и концепцию "зелёного" города (множество парковых зон, бор на территории города), и мощный бизнес-сектор (который поднялся и просел в "лихие 90-е") </v>
      </c>
      <c r="U1152" s="6" t="str">
        <f>IFERROR(__xludf.DUMMYFUNCTION("""COMPUTED_VALUE"""),"Площадь Советов, площадь Волкова, вечный огонь на Притомской набережной, Театр драмы им. Луначарского")</f>
        <v>Площадь Советов, площадь Волкова, вечный огонь на Притомской набережной, Театр драмы им. Луначарского</v>
      </c>
      <c r="V1152" s="6" t="str">
        <f>IFERROR(__xludf.DUMMYFUNCTION("""COMPUTED_VALUE"""),"Спланировали общественные и культурные пространства так, чтобы город был уютным")</f>
        <v>Спланировали общественные и культурные пространства так, чтобы город был уютным</v>
      </c>
      <c r="W1152" s="6" t="str">
        <f>IFERROR(__xludf.DUMMYFUNCTION("""COMPUTED_VALUE"""),"Суровые, закрытые, но добрые, доверчивые и даже наивные ")</f>
        <v>Суровые, закрытые, но добрые, доверчивые и даже наивные </v>
      </c>
      <c r="X1152" s="6" t="str">
        <f>IFERROR(__xludf.DUMMYFUNCTION("""COMPUTED_VALUE"""),"Начать с Красной горки, затем по Кузнецкому добраться до улицы Н.Островского, затем дойти до набережной, пройти до площади Пушкина, посмотреть Арочную, дойти до площади Советов, по Советскому добраться до Театра драмы им. Луначарского, свернуть на улицу В"&amp;"есеннюю и, далее, пройти её до площади Волкова. Затем вернуться по Весенней до Ноградской, свернуть и дойти до стадиона ""Химик"" и ЦУМа. ")</f>
        <v>Начать с Красной горки, затем по Кузнецкому добраться до улицы Н.Островского, затем дойти до набережной, пройти до площади Пушкина, посмотреть Арочную, дойти до площади Советов, по Советскому добраться до Театра драмы им. Луначарского, свернуть на улицу Весеннюю и, далее, пройти её до площади Волкова. Затем вернуться по Весенней до Ноградской, свернуть и дойти до стадиона "Химик" и ЦУМа. </v>
      </c>
      <c r="Y1152" s="6" t="str">
        <f>IFERROR(__xludf.DUMMYFUNCTION("""COMPUTED_VALUE"""),"Образование АИК ""Кузбасс""")</f>
        <v>Образование АИК "Кузбасс"</v>
      </c>
      <c r="Z1152" s="6" t="str">
        <f>IFERROR(__xludf.DUMMYFUNCTION("""COMPUTED_VALUE"""),"Строительство Кадетского училища, открытие проспекта Московского")</f>
        <v>Строительство Кадетского училища, открытие проспекта Московского</v>
      </c>
      <c r="AA1152" s="6" t="str">
        <f>IFERROR(__xludf.DUMMYFUNCTION("""COMPUTED_VALUE"""),"Закрытие единственного 50-метрового бассейна в городе на долгосрочный ремонт, пыль и грязь на дорогах из-за строящегося спортивного центра на проспекте Притомском, сомнительного качества и красоты скульптура ""Сердце"" напротив городского цирка")</f>
        <v>Закрытие единственного 50-метрового бассейна в городе на долгосрочный ремонт, пыль и грязь на дорогах из-за строящегося спортивного центра на проспекте Притомском, сомнительного качества и красоты скульптура "Сердце" напротив городского цирка</v>
      </c>
      <c r="AB1152" s="6" t="str">
        <f>IFERROR(__xludf.DUMMYFUNCTION("""COMPUTED_VALUE"""),"Киноведческих, литературных, музыкальных. Культурных, одним словом. Ну и урбанистских, конечно же")</f>
        <v>Киноведческих, литературных, музыкальных. Культурных, одним словом. Ну и урбанистских, конечно же</v>
      </c>
      <c r="AC1152" s="6" t="str">
        <f>IFERROR(__xludf.DUMMYFUNCTION("""COMPUTED_VALUE"""),"Концерты, форумы, бизнес-мероприятия, спортивные мероприятия")</f>
        <v>Концерты, форумы, бизнес-мероприятия, спортивные мероприятия</v>
      </c>
      <c r="AD1152"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152" s="6" t="str">
        <f>IFERROR(__xludf.DUMMYFUNCTION("""COMPUTED_VALUE"""),"Женский")</f>
        <v>Женский</v>
      </c>
      <c r="AF1152" s="6" t="str">
        <f>IFERROR(__xludf.DUMMYFUNCTION("""COMPUTED_VALUE"""),"18-29")</f>
        <v>18-29</v>
      </c>
      <c r="AG1152" s="6"/>
      <c r="AH1152" s="6"/>
      <c r="AI1152" s="6"/>
      <c r="AJ1152" s="6"/>
      <c r="AK1152" s="6"/>
      <c r="AL1152" s="6"/>
      <c r="AM1152" s="6"/>
    </row>
    <row r="1153">
      <c r="A1153" s="6">
        <v>1152.0</v>
      </c>
      <c r="B1153" s="6" t="str">
        <f>IFERROR(__xludf.DUMMYFUNCTION("""COMPUTED_VALUE"""),"Студент")</f>
        <v>Студент</v>
      </c>
      <c r="C1153" s="6" t="str">
        <f>IFERROR(__xludf.DUMMYFUNCTION("""COMPUTED_VALUE"""),"Езда на велосипеде/ сноуборде, спидкубинг, космос, астрономия, анализ данных")</f>
        <v>Езда на велосипеде/ сноуборде, спидкубинг, космос, астрономия, анализ данных</v>
      </c>
      <c r="D1153" s="6" t="str">
        <f>IFERROR(__xludf.DUMMYFUNCTION("""COMPUTED_VALUE"""),"Ленинский, Ленинский")</f>
        <v>Ленинский, Ленинский</v>
      </c>
      <c r="E1153" s="6" t="str">
        <f>IFERROR(__xludf.DUMMYFUNCTION("""COMPUTED_VALUE"""),"Бульвар, памятник мать медведицы, памятнтк мать и дитя, подарки семьи Тулеевых, мечеть")</f>
        <v>Бульвар, памятник мать медведицы, памятнтк мать и дитя, подарки семьи Тулеевых, мечеть</v>
      </c>
      <c r="F1153" s="6" t="str">
        <f>IFERROR(__xludf.DUMMYFUNCTION("""COMPUTED_VALUE"""),"Живу здесь с рождения")</f>
        <v>Живу здесь с рождения</v>
      </c>
      <c r="G1153" s="6" t="str">
        <f>IFERROR(__xludf.DUMMYFUNCTION("""COMPUTED_VALUE"""),"Комсомольчкий парк, набережная")</f>
        <v>Комсомольчкий парк, набережная</v>
      </c>
      <c r="H1153" s="6" t="str">
        <f>IFERROR(__xludf.DUMMYFUNCTION("""COMPUTED_VALUE"""),"Грязный, дымный, уголь, кузбасс, шахты")</f>
        <v>Грязный, дымный, уголь, кузбасс, шахты</v>
      </c>
      <c r="I1153" s="6" t="str">
        <f>IFERROR(__xludf.DUMMYFUNCTION("""COMPUTED_VALUE"""),"Вера Волошина, Юрий Гагарин, Аман Гумирович Тулеев, Алексей Леонов")</f>
        <v>Вера Волошина, Юрий Гагарин, Аман Гумирович Тулеев, Алексей Леонов</v>
      </c>
      <c r="J1153" s="6" t="str">
        <f>IFERROR(__xludf.DUMMYFUNCTION("""COMPUTED_VALUE"""),"Владипир Михайлов, Виталий Раздаев, Георгий Дрозд")</f>
        <v>Владипир Михайлов, Виталий Раздаев, Георгий Дрозд</v>
      </c>
      <c r="K1153" s="6" t="str">
        <f>IFERROR(__xludf.DUMMYFUNCTION("""COMPUTED_VALUE"""),"Сосновый бор, крест, филармония, драмтеатр, вечно дымыщиеся трубы, плавающие пакеты в Томи")</f>
        <v>Сосновый бор, крест, филармония, драмтеатр, вечно дымыщиеся трубы, плавающие пакеты в Томи</v>
      </c>
      <c r="L1153" s="6" t="str">
        <f>IFERROR(__xludf.DUMMYFUNCTION("""COMPUTED_VALUE"""),"-")</f>
        <v>-</v>
      </c>
      <c r="M1153" s="6" t="str">
        <f>IFERROR(__xludf.DUMMYFUNCTION("""COMPUTED_VALUE"""),"-")</f>
        <v>-</v>
      </c>
      <c r="N1153" s="6" t="str">
        <f>IFERROR(__xludf.DUMMYFUNCTION("""COMPUTED_VALUE"""),"Не могу сформулировать, данные не найдены")</f>
        <v>Не могу сформулировать, данные не найдены</v>
      </c>
      <c r="O1153" s="6" t="str">
        <f>IFERROR(__xludf.DUMMYFUNCTION("""COMPUTED_VALUE"""),"ДОРОГИ, ОСОБЕННО ВО ДВОРАХ, убрать пивнухи, улучшить экологию")</f>
        <v>ДОРОГИ, ОСОБЕННО ВО ДВОРАХ, убрать пивнухи, улучшить экологию</v>
      </c>
      <c r="P1153" s="6" t="str">
        <f>IFERROR(__xludf.DUMMYFUNCTION("""COMPUTED_VALUE""")," Vk")</f>
        <v> Vk</v>
      </c>
      <c r="Q1153" s="6" t="str">
        <f>IFERROR(__xludf.DUMMYFUNCTION("""COMPUTED_VALUE"""),"интервью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f>
        <v>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v>
      </c>
      <c r="R1153" s="6" t="str">
        <f>IFERROR(__xludf.DUMMYFUNCTION("""COMPUTED_VALUE"""),"День города, день победы, день студента, день шахтёра, новый год")</f>
        <v>День города, день победы, день студента, день шахтёра, новый год</v>
      </c>
      <c r="S1153" s="6" t="str">
        <f>IFERROR(__xludf.DUMMYFUNCTION("""COMPUTED_VALUE"""),"Нет, не приходилось")</f>
        <v>Нет, не приходилось</v>
      </c>
      <c r="T1153" s="6" t="str">
        <f>IFERROR(__xludf.DUMMYFUNCTION("""COMPUTED_VALUE"""),"-")</f>
        <v>-</v>
      </c>
      <c r="U1153" s="6" t="str">
        <f>IFERROR(__xludf.DUMMYFUNCTION("""COMPUTED_VALUE"""),"Нулевой километр")</f>
        <v>Нулевой километр</v>
      </c>
      <c r="V1153" s="6" t="str">
        <f>IFERROR(__xludf.DUMMYFUNCTION("""COMPUTED_VALUE"""),"ДОБЫЧА УГЛЯ")</f>
        <v>ДОБЫЧА УГЛЯ</v>
      </c>
      <c r="W1153" s="6" t="str">
        <f>IFERROR(__xludf.DUMMYFUNCTION("""COMPUTED_VALUE"""),"Добрые, отзывчивые")</f>
        <v>Добрые, отзывчивые</v>
      </c>
      <c r="X1153" s="6" t="str">
        <f>IFERROR(__xludf.DUMMYFUNCTION("""COMPUTED_VALUE"""),"Променад 2- Радуга, через крест- Южный")</f>
        <v>Променад 2- Радуга, через крест- Южный</v>
      </c>
      <c r="Y1153" s="6" t="str">
        <f>IFERROR(__xludf.DUMMYFUNCTION("""COMPUTED_VALUE"""),"Добыча угля")</f>
        <v>Добыча угля</v>
      </c>
      <c r="Z1153" s="6" t="str">
        <f>IFERROR(__xludf.DUMMYFUNCTION("""COMPUTED_VALUE"""),"День города, рок концерт")</f>
        <v>День города, рок концерт</v>
      </c>
      <c r="AA1153" s="6" t="str">
        <f>IFERROR(__xludf.DUMMYFUNCTION("""COMPUTED_VALUE"""),"Зимняч вишня, митинги Навального")</f>
        <v>Зимняч вишня, митинги Навального</v>
      </c>
      <c r="AB1153" s="6" t="str">
        <f>IFERROR(__xludf.DUMMYFUNCTION("""COMPUTED_VALUE"""),"Сходки спидкуберов, клуба метания ножей, танцы")</f>
        <v>Сходки спидкуберов, клуба метания ножей, танцы</v>
      </c>
      <c r="AC1153" s="6" t="str">
        <f>IFERROR(__xludf.DUMMYFUNCTION("""COMPUTED_VALUE"""),"Молодёжные дискотеки, рабочие места для молодёжи, особенно для физиков-математиков- аналитиков, расширить список стран/мест куда можно будет улететь ПРЯМЫМ РЕЙСОМ!!!!")</f>
        <v>Молодёжные дискотеки, рабочие места для молодёжи, особенно для физиков-математиков- аналитиков, расширить список стран/мест куда можно будет улететь ПРЯМЫМ РЕЙСОМ!!!!</v>
      </c>
      <c r="AD1153"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Мастер класс по сборке кубика Рубика,"&amp;" мастер класс по вязанию узлов")</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Мастер класс по сборке кубика Рубика, мастер класс по вязанию узлов</v>
      </c>
      <c r="AE1153" s="6" t="str">
        <f>IFERROR(__xludf.DUMMYFUNCTION("""COMPUTED_VALUE"""),"Мужской")</f>
        <v>Мужской</v>
      </c>
      <c r="AF1153" s="6" t="str">
        <f>IFERROR(__xludf.DUMMYFUNCTION("""COMPUTED_VALUE"""),"18-29")</f>
        <v>18-29</v>
      </c>
      <c r="AG1153" s="6"/>
      <c r="AH1153" s="6"/>
      <c r="AI1153" s="6"/>
      <c r="AJ1153" s="6"/>
      <c r="AK1153" s="6"/>
      <c r="AL1153" s="6"/>
      <c r="AM1153" s="6"/>
    </row>
    <row r="1154">
      <c r="A1154" s="6">
        <v>1153.0</v>
      </c>
      <c r="B1154" s="6" t="str">
        <f>IFERROR(__xludf.DUMMYFUNCTION("""COMPUTED_VALUE"""),"Сельского ")</f>
        <v>Сельского </v>
      </c>
      <c r="C1154" s="6" t="str">
        <f>IFERROR(__xludf.DUMMYFUNCTION("""COMPUTED_VALUE"""),"Работа")</f>
        <v>Работа</v>
      </c>
      <c r="D1154" s="6" t="str">
        <f>IFERROR(__xludf.DUMMYFUNCTION("""COMPUTED_VALUE"""),"За вокзалом")</f>
        <v>За вокзалом</v>
      </c>
      <c r="E1154" s="6" t="str">
        <f>IFERROR(__xludf.DUMMYFUNCTION("""COMPUTED_VALUE"""),"Парк ангелов ")</f>
        <v>Парк ангелов </v>
      </c>
      <c r="F1154" s="6" t="str">
        <f>IFERROR(__xludf.DUMMYFUNCTION("""COMPUTED_VALUE"""),"Живу здесь с рождения")</f>
        <v>Живу здесь с рождения</v>
      </c>
      <c r="G1154" s="6" t="str">
        <f>IFERROR(__xludf.DUMMYFUNCTION("""COMPUTED_VALUE"""),"Не знаю ")</f>
        <v>Не знаю </v>
      </c>
      <c r="H1154" s="6" t="str">
        <f>IFERROR(__xludf.DUMMYFUNCTION("""COMPUTED_VALUE"""),"Не знаю ")</f>
        <v>Не знаю </v>
      </c>
      <c r="I1154" s="6" t="str">
        <f>IFERROR(__xludf.DUMMYFUNCTION("""COMPUTED_VALUE"""),"Не знаю ")</f>
        <v>Не знаю </v>
      </c>
      <c r="J1154" s="6" t="str">
        <f>IFERROR(__xludf.DUMMYFUNCTION("""COMPUTED_VALUE"""),"Не знаю ")</f>
        <v>Не знаю </v>
      </c>
      <c r="K1154" s="6" t="str">
        <f>IFERROR(__xludf.DUMMYFUNCTION("""COMPUTED_VALUE"""),"Не знаю ")</f>
        <v>Не знаю </v>
      </c>
      <c r="L1154" s="6" t="str">
        <f>IFERROR(__xludf.DUMMYFUNCTION("""COMPUTED_VALUE"""),"Не знаю ")</f>
        <v>Не знаю </v>
      </c>
      <c r="M1154" s="6" t="str">
        <f>IFERROR(__xludf.DUMMYFUNCTION("""COMPUTED_VALUE"""),"Не знаю ")</f>
        <v>Не знаю </v>
      </c>
      <c r="N1154" s="6" t="str">
        <f>IFERROR(__xludf.DUMMYFUNCTION("""COMPUTED_VALUE"""),"Не знаю ")</f>
        <v>Не знаю </v>
      </c>
      <c r="O1154" s="6" t="str">
        <f>IFERROR(__xludf.DUMMYFUNCTION("""COMPUTED_VALUE"""),"Не знаю ")</f>
        <v>Не знаю </v>
      </c>
      <c r="P1154" s="6" t="str">
        <f>IFERROR(__xludf.DUMMYFUNCTION("""COMPUTED_VALUE"""),"Не знаю ")</f>
        <v>Не знаю </v>
      </c>
      <c r="Q1154" s="6" t="str">
        <f>IFERROR(__xludf.DUMMYFUNCTION("""COMPUTED_VALUE"""),"куда пойти в свободное время, где вкусно поесть/открытие новых кафе/ресторанов, культурные новинки (что почитать/что послушать), интервью с местными предпринимателями, новости про новые профессии/куда поступать/вакансии, результаты местных исследований (р"&amp;"ейтинги/аналитика/тенденции), Не знаю ")</f>
        <v>куда пойти в свободное время, где вкусно поесть/открытие новых кафе/ресторанов, культурные новинки (что почитать/что послушать),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 Не знаю </v>
      </c>
      <c r="R1154" s="6" t="str">
        <f>IFERROR(__xludf.DUMMYFUNCTION("""COMPUTED_VALUE"""),"Не знаю ")</f>
        <v>Не знаю </v>
      </c>
      <c r="S1154" s="6" t="str">
        <f>IFERROR(__xludf.DUMMYFUNCTION("""COMPUTED_VALUE"""),"Не знаю ")</f>
        <v>Не знаю </v>
      </c>
      <c r="T1154" s="6" t="str">
        <f>IFERROR(__xludf.DUMMYFUNCTION("""COMPUTED_VALUE"""),"Не знаю ")</f>
        <v>Не знаю </v>
      </c>
      <c r="U1154" s="6" t="str">
        <f>IFERROR(__xludf.DUMMYFUNCTION("""COMPUTED_VALUE"""),"Не знаю ")</f>
        <v>Не знаю </v>
      </c>
      <c r="V1154" s="6" t="str">
        <f>IFERROR(__xludf.DUMMYFUNCTION("""COMPUTED_VALUE"""),"Не знаю ")</f>
        <v>Не знаю </v>
      </c>
      <c r="W1154" s="6" t="str">
        <f>IFERROR(__xludf.DUMMYFUNCTION("""COMPUTED_VALUE"""),"Не знаю ")</f>
        <v>Не знаю </v>
      </c>
      <c r="X1154" s="6" t="str">
        <f>IFERROR(__xludf.DUMMYFUNCTION("""COMPUTED_VALUE"""),"Не знаю ")</f>
        <v>Не знаю </v>
      </c>
      <c r="Y1154" s="6" t="str">
        <f>IFERROR(__xludf.DUMMYFUNCTION("""COMPUTED_VALUE"""),"Не знаю ")</f>
        <v>Не знаю </v>
      </c>
      <c r="Z1154" s="6" t="str">
        <f>IFERROR(__xludf.DUMMYFUNCTION("""COMPUTED_VALUE"""),"Не знаю ")</f>
        <v>Не знаю </v>
      </c>
      <c r="AA1154" s="6" t="str">
        <f>IFERROR(__xludf.DUMMYFUNCTION("""COMPUTED_VALUE"""),"Не знаю ")</f>
        <v>Не знаю </v>
      </c>
      <c r="AB1154" s="6" t="str">
        <f>IFERROR(__xludf.DUMMYFUNCTION("""COMPUTED_VALUE"""),"Не знаю ")</f>
        <v>Не знаю </v>
      </c>
      <c r="AC1154" s="6" t="str">
        <f>IFERROR(__xludf.DUMMYFUNCTION("""COMPUTED_VALUE"""),"Не знаю ")</f>
        <v>Не знаю </v>
      </c>
      <c r="AD1154" s="6" t="str">
        <f>IFERROR(__xludf.DUMMYFUNCTION("""COMPUTED_VALUE"""),"Не знаю ")</f>
        <v>Не знаю </v>
      </c>
      <c r="AE1154" s="6" t="str">
        <f>IFERROR(__xludf.DUMMYFUNCTION("""COMPUTED_VALUE"""),"Мужской")</f>
        <v>Мужской</v>
      </c>
      <c r="AF1154" s="6" t="str">
        <f>IFERROR(__xludf.DUMMYFUNCTION("""COMPUTED_VALUE"""),"18-29")</f>
        <v>18-29</v>
      </c>
      <c r="AG1154" s="6"/>
      <c r="AH1154" s="6"/>
      <c r="AI1154" s="6"/>
      <c r="AJ1154" s="6"/>
      <c r="AK1154" s="6"/>
      <c r="AL1154" s="6"/>
      <c r="AM1154" s="6"/>
    </row>
    <row r="1155">
      <c r="A1155" s="6">
        <v>1154.0</v>
      </c>
      <c r="B1155" s="6" t="str">
        <f>IFERROR(__xludf.DUMMYFUNCTION("""COMPUTED_VALUE"""),"Домохозяйка")</f>
        <v>Домохозяйка</v>
      </c>
      <c r="C1155" s="6" t="str">
        <f>IFERROR(__xludf.DUMMYFUNCTION("""COMPUTED_VALUE"""),"Нету")</f>
        <v>Нету</v>
      </c>
      <c r="D1155" s="6" t="str">
        <f>IFERROR(__xludf.DUMMYFUNCTION("""COMPUTED_VALUE"""),"Рудничный район ")</f>
        <v>Рудничный район </v>
      </c>
      <c r="E1155" s="6" t="str">
        <f>IFERROR(__xludf.DUMMYFUNCTION("""COMPUTED_VALUE"""),"Красная горка")</f>
        <v>Красная горка</v>
      </c>
      <c r="F1155" s="6" t="str">
        <f>IFERROR(__xludf.DUMMYFUNCTION("""COMPUTED_VALUE"""),"Переехал сюда из другого места (откуда? укажите в графе другое), Кыргызстан ")</f>
        <v>Переехал сюда из другого места (откуда? укажите в графе другое), Кыргызстан </v>
      </c>
      <c r="G1155" s="6" t="str">
        <f>IFERROR(__xludf.DUMMYFUNCTION("""COMPUTED_VALUE"""),"В Торговый центр ")</f>
        <v>В Торговый центр </v>
      </c>
      <c r="H1155" s="6" t="str">
        <f>IFERROR(__xludf.DUMMYFUNCTION("""COMPUTED_VALUE"""),"Нету таких ")</f>
        <v>Нету таких </v>
      </c>
      <c r="I1155" s="6" t="str">
        <f>IFERROR(__xludf.DUMMYFUNCTION("""COMPUTED_VALUE"""),"Михайло Волков ")</f>
        <v>Михайло Волков </v>
      </c>
      <c r="J1155" s="6" t="str">
        <f>IFERROR(__xludf.DUMMYFUNCTION("""COMPUTED_VALUE"""),"Арбачаков ")</f>
        <v>Арбачаков </v>
      </c>
      <c r="K1155" s="6" t="str">
        <f>IFERROR(__xludf.DUMMYFUNCTION("""COMPUTED_VALUE"""),"Парк чудес")</f>
        <v>Парк чудес</v>
      </c>
      <c r="L1155" s="6" t="str">
        <f>IFERROR(__xludf.DUMMYFUNCTION("""COMPUTED_VALUE"""),"Незнаю ")</f>
        <v>Незнаю </v>
      </c>
      <c r="M1155" s="6" t="str">
        <f>IFERROR(__xludf.DUMMYFUNCTION("""COMPUTED_VALUE"""),"Нет ")</f>
        <v>Нет </v>
      </c>
      <c r="N1155" s="6" t="str">
        <f>IFERROR(__xludf.DUMMYFUNCTION("""COMPUTED_VALUE"""),"Незнаю ")</f>
        <v>Незнаю </v>
      </c>
      <c r="O1155" s="6" t="str">
        <f>IFERROR(__xludf.DUMMYFUNCTION("""COMPUTED_VALUE"""),"Зарплата, пенсия ")</f>
        <v>Зарплата, пенсия </v>
      </c>
      <c r="P1155" s="6" t="str">
        <f>IFERROR(__xludf.DUMMYFUNCTION("""COMPUTED_VALUE"""),"Google")</f>
        <v>Google</v>
      </c>
      <c r="Q115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155" s="6" t="str">
        <f>IFERROR(__xludf.DUMMYFUNCTION("""COMPUTED_VALUE"""),"9 мая, День защиты детей, Новый год ")</f>
        <v>9 мая, День защиты детей, Новый год </v>
      </c>
      <c r="S1155" s="6" t="str">
        <f>IFERROR(__xludf.DUMMYFUNCTION("""COMPUTED_VALUE"""),"Нет, не приходилось")</f>
        <v>Нет, не приходилось</v>
      </c>
      <c r="T1155" s="6" t="str">
        <f>IFERROR(__xludf.DUMMYFUNCTION("""COMPUTED_VALUE"""),"Уголь ")</f>
        <v>Уголь </v>
      </c>
      <c r="U1155" s="6" t="str">
        <f>IFERROR(__xludf.DUMMYFUNCTION("""COMPUTED_VALUE"""),"Надпись КУЗБАСС")</f>
        <v>Надпись КУЗБАСС</v>
      </c>
      <c r="V1155" s="6" t="str">
        <f>IFERROR(__xludf.DUMMYFUNCTION("""COMPUTED_VALUE"""),"Достопримечательности ")</f>
        <v>Достопримечательности </v>
      </c>
      <c r="W1155" s="6" t="str">
        <f>IFERROR(__xludf.DUMMYFUNCTION("""COMPUTED_VALUE"""),"Хорошие ")</f>
        <v>Хорошие </v>
      </c>
      <c r="X1155" s="6" t="str">
        <f>IFERROR(__xludf.DUMMYFUNCTION("""COMPUTED_VALUE"""),"Незнаю ")</f>
        <v>Незнаю </v>
      </c>
      <c r="Y1155" s="6" t="str">
        <f>IFERROR(__xludf.DUMMYFUNCTION("""COMPUTED_VALUE"""),"Незгаю
")</f>
        <v>Незгаю
</v>
      </c>
      <c r="Z1155" s="6" t="str">
        <f>IFERROR(__xludf.DUMMYFUNCTION("""COMPUTED_VALUE"""),"Никаких ")</f>
        <v>Никаких </v>
      </c>
      <c r="AA1155" s="6" t="str">
        <f>IFERROR(__xludf.DUMMYFUNCTION("""COMPUTED_VALUE"""),"Пожар Зимней вишни ")</f>
        <v>Пожар Зимней вишни </v>
      </c>
      <c r="AB1155" s="6" t="str">
        <f>IFERROR(__xludf.DUMMYFUNCTION("""COMPUTED_VALUE"""),"Все хватает
")</f>
        <v>Все хватает
</v>
      </c>
      <c r="AC1155" s="6" t="str">
        <f>IFERROR(__xludf.DUMMYFUNCTION("""COMPUTED_VALUE"""),"Бесплатные концерты ")</f>
        <v>Бесплатные концерты </v>
      </c>
      <c r="AD115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55" s="6" t="str">
        <f>IFERROR(__xludf.DUMMYFUNCTION("""COMPUTED_VALUE"""),"Женский")</f>
        <v>Женский</v>
      </c>
      <c r="AF1155" s="6" t="str">
        <f>IFERROR(__xludf.DUMMYFUNCTION("""COMPUTED_VALUE"""),"30-44")</f>
        <v>30-44</v>
      </c>
      <c r="AG1155" s="6"/>
      <c r="AH1155" s="6"/>
      <c r="AI1155" s="6"/>
      <c r="AJ1155" s="6"/>
      <c r="AK1155" s="6"/>
      <c r="AL1155" s="6"/>
      <c r="AM1155" s="6"/>
    </row>
    <row r="1156">
      <c r="A1156" s="6">
        <v>1155.0</v>
      </c>
      <c r="B1156" s="6" t="str">
        <f>IFERROR(__xludf.DUMMYFUNCTION("""COMPUTED_VALUE"""),"Здравоохранение")</f>
        <v>Здравоохранение</v>
      </c>
      <c r="C1156" s="6" t="str">
        <f>IFERROR(__xludf.DUMMYFUNCTION("""COMPUTED_VALUE"""),"Спортивная гимнастика ")</f>
        <v>Спортивная гимнастика </v>
      </c>
      <c r="D1156" s="6" t="str">
        <f>IFERROR(__xludf.DUMMYFUNCTION("""COMPUTED_VALUE"""),"ФПК")</f>
        <v>ФПК</v>
      </c>
      <c r="E1156" s="6" t="str">
        <f>IFERROR(__xludf.DUMMYFUNCTION("""COMPUTED_VALUE"""),"Сквер новорожденных")</f>
        <v>Сквер новорожденных</v>
      </c>
      <c r="F1156" s="6" t="str">
        <f>IFERROR(__xludf.DUMMYFUNCTION("""COMPUTED_VALUE"""),"Переехал сюда из другого места (откуда? укажите в графе другое), Яшкино ")</f>
        <v>Переехал сюда из другого места (откуда? укажите в графе другое), Яшкино </v>
      </c>
      <c r="G1156" s="6" t="str">
        <f>IFERROR(__xludf.DUMMYFUNCTION("""COMPUTED_VALUE"""),"Центральная набережная")</f>
        <v>Центральная набережная</v>
      </c>
      <c r="H1156" s="6" t="str">
        <f>IFERROR(__xludf.DUMMYFUNCTION("""COMPUTED_VALUE"""),"Угрюмый, суровый и бескомпромиссный. 
Мрачный, серый и безрадостный.")</f>
        <v>Угрюмый, суровый и бескомпромиссный. 
Мрачный, серый и безрадостный.</v>
      </c>
      <c r="I1156" s="6" t="str">
        <f>IFERROR(__xludf.DUMMYFUNCTION("""COMPUTED_VALUE"""),"Подгорбунский Михаил Алексеевич, Леонов Алексей Архипович, Решетова Любовь Александровна")</f>
        <v>Подгорбунский Михаил Алексеевич, Леонов Алексей Архипович, Решетова Любовь Александровна</v>
      </c>
      <c r="J1156" s="6" t="str">
        <f>IFERROR(__xludf.DUMMYFUNCTION("""COMPUTED_VALUE"""),"Гришковец Евгений Валерьевич, Малышева Елена Васильевна, 
Логинов Виктор Александрович")</f>
        <v>Гришковец Евгений Валерьевич, Малышева Елена Васильевна, 
Логинов Виктор Александрович</v>
      </c>
      <c r="K1156" s="6" t="str">
        <f>IFERROR(__xludf.DUMMYFUNCTION("""COMPUTED_VALUE"""),"Бульвар строителей,
Музей-заповедник «Красная горка»")</f>
        <v>Бульвар строителей,
Музей-заповедник «Красная горка»</v>
      </c>
      <c r="L1156" s="6" t="str">
        <f>IFERROR(__xludf.DUMMYFUNCTION("""COMPUTED_VALUE"""),"АНЕКДОТ:
-Здравствуйте, я из Кемерово. 
-А что это Вы сразу угрожаете?")</f>
        <v>АНЕКДОТ:
-Здравствуйте, я из Кемерово. 
-А что это Вы сразу угрожаете?</v>
      </c>
      <c r="M1156" s="6" t="str">
        <f>IFERROR(__xludf.DUMMYFUNCTION("""COMPUTED_VALUE"""),"Нет")</f>
        <v>Нет</v>
      </c>
      <c r="N1156" s="6" t="str">
        <f>IFERROR(__xludf.DUMMYFUNCTION("""COMPUTED_VALUE"""),"Отсутствие «серых» домов")</f>
        <v>Отсутствие «серых» домов</v>
      </c>
      <c r="O1156" s="6" t="str">
        <f>IFERROR(__xludf.DUMMYFUNCTION("""COMPUTED_VALUE"""),"Поработать над фасадом и внешним видом домов в спальных и других  районах города")</f>
        <v>Поработать над фасадом и внешним видом домов в спальных и других  районах города</v>
      </c>
      <c r="P1156" s="6" t="str">
        <f>IFERROR(__xludf.DUMMYFUNCTION("""COMPUTED_VALUE"""),"VSE42")</f>
        <v>VSE42</v>
      </c>
      <c r="Q1156" s="6" t="str">
        <f>IFERROR(__xludf.DUMMYFUNCTION("""COMPUTED_VALUE"""),"где вкусно поесть/открытие новых кафе/ресторанов, 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где вкусно поесть/открытие новых кафе/ресторанов, 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1156" s="6" t="str">
        <f>IFERROR(__xludf.DUMMYFUNCTION("""COMPUTED_VALUE"""),"День Молодёжи, День города, день Шахтёра")</f>
        <v>День Молодёжи, День города, день Шахтёра</v>
      </c>
      <c r="S1156" s="6" t="str">
        <f>IFERROR(__xludf.DUMMYFUNCTION("""COMPUTED_VALUE"""),"Через социальные сети (Какие? Укажите в графе другое), Instagram ")</f>
        <v>Через социальные сети (Какие? Укажите в графе другое), Instagram </v>
      </c>
      <c r="T1156" s="6" t="str">
        <f>IFERROR(__xludf.DUMMYFUNCTION("""COMPUTED_VALUE"""),".")</f>
        <v>.</v>
      </c>
      <c r="U1156" s="6" t="str">
        <f>IFERROR(__xludf.DUMMYFUNCTION("""COMPUTED_VALUE"""),"Парк ангелов")</f>
        <v>Парк ангелов</v>
      </c>
      <c r="V1156" s="6" t="str">
        <f>IFERROR(__xludf.DUMMYFUNCTION("""COMPUTED_VALUE"""),"Добросовестно трудились")</f>
        <v>Добросовестно трудились</v>
      </c>
      <c r="W1156" s="6" t="str">
        <f>IFERROR(__xludf.DUMMYFUNCTION("""COMPUTED_VALUE"""),"В зависимости от возраста:
Большинство -прямые, бескомпромиссные, конкретные, суровые , работящие, закрытые")</f>
        <v>В зависимости от возраста:
Большинство -прямые, бескомпромиссные, конкретные, суровые , работящие, закрытые</v>
      </c>
      <c r="X1156" s="6" t="str">
        <f>IFERROR(__xludf.DUMMYFUNCTION("""COMPUTED_VALUE"""),"Центральная набережная (притомская)")</f>
        <v>Центральная набережная (притомская)</v>
      </c>
      <c r="Y1156" s="6" t="str">
        <f>IFERROR(__xludf.DUMMYFUNCTION("""COMPUTED_VALUE"""),".")</f>
        <v>.</v>
      </c>
      <c r="Z1156" s="6" t="str">
        <f>IFERROR(__xludf.DUMMYFUNCTION("""COMPUTED_VALUE"""),"Рок-фестиваль")</f>
        <v>Рок-фестиваль</v>
      </c>
      <c r="AA1156" s="6" t="str">
        <f>IFERROR(__xludf.DUMMYFUNCTION("""COMPUTED_VALUE"""),".")</f>
        <v>.</v>
      </c>
      <c r="AB1156" s="6" t="str">
        <f>IFERROR(__xludf.DUMMYFUNCTION("""COMPUTED_VALUE"""),".")</f>
        <v>.</v>
      </c>
      <c r="AC1156" s="6" t="str">
        <f>IFERROR(__xludf.DUMMYFUNCTION("""COMPUTED_VALUE"""),"Ярмарки,  выставки, мастер-классы, лекции")</f>
        <v>Ярмарки,  выставки, мастер-классы, лекции</v>
      </c>
      <c r="AD1156" s="6" t="str">
        <f>IFERROR(__xludf.DUMMYFUNCTION("""COMPUTED_VALUE"""),"Профессионала.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v>
      </c>
      <c r="AE1156" s="6" t="str">
        <f>IFERROR(__xludf.DUMMYFUNCTION("""COMPUTED_VALUE"""),"Женский")</f>
        <v>Женский</v>
      </c>
      <c r="AF1156" s="6" t="str">
        <f>IFERROR(__xludf.DUMMYFUNCTION("""COMPUTED_VALUE"""),"30-44")</f>
        <v>30-44</v>
      </c>
      <c r="AG1156" s="6"/>
      <c r="AH1156" s="6"/>
      <c r="AI1156" s="6"/>
      <c r="AJ1156" s="6"/>
      <c r="AK1156" s="6"/>
      <c r="AL1156" s="6"/>
      <c r="AM1156" s="6"/>
    </row>
    <row r="1157">
      <c r="A1157" s="6">
        <v>1156.0</v>
      </c>
      <c r="B1157" s="6" t="str">
        <f>IFERROR(__xludf.DUMMYFUNCTION("""COMPUTED_VALUE"""),"Работа в банковской сфере")</f>
        <v>Работа в банковской сфере</v>
      </c>
      <c r="C1157" s="6" t="str">
        <f>IFERROR(__xludf.DUMMYFUNCTION("""COMPUTED_VALUE"""),"Рисование")</f>
        <v>Рисование</v>
      </c>
      <c r="D1157" s="6" t="str">
        <f>IFERROR(__xludf.DUMMYFUNCTION("""COMPUTED_VALUE"""),"Центральный")</f>
        <v>Центральный</v>
      </c>
      <c r="E1157" s="6" t="str">
        <f>IFERROR(__xludf.DUMMYFUNCTION("""COMPUTED_VALUE"""),"Парк Веры Волошиной")</f>
        <v>Парк Веры Волошиной</v>
      </c>
      <c r="F1157" s="6" t="str">
        <f>IFERROR(__xludf.DUMMYFUNCTION("""COMPUTED_VALUE"""),"Переехал сюда из другого места (откуда? укажите в графе другое), Переехала из Ленинск-Кузнецкого")</f>
        <v>Переехал сюда из другого места (откуда? укажите в графе другое), Переехала из Ленинск-Кузнецкого</v>
      </c>
      <c r="G1157" s="6" t="str">
        <f>IFERROR(__xludf.DUMMYFUNCTION("""COMPUTED_VALUE"""),"Набережная, парк Веры Волошиной, парк Чудес, сосновый бор ")</f>
        <v>Набережная, парк Веры Волошиной, парк Чудес, сосновый бор </v>
      </c>
      <c r="H1157" s="6" t="str">
        <f>IFERROR(__xludf.DUMMYFUNCTION("""COMPUTED_VALUE"""),"Улицы, люди, движение, развитие, ")</f>
        <v>Улицы, люди, движение, развитие, </v>
      </c>
      <c r="I1157" s="6" t="str">
        <f>IFERROR(__xludf.DUMMYFUNCTION("""COMPUTED_VALUE"""),"Волошина,Заузелкова, Волков")</f>
        <v>Волошина,Заузелкова, Волков</v>
      </c>
      <c r="J1157" s="6" t="str">
        <f>IFERROR(__xludf.DUMMYFUNCTION("""COMPUTED_VALUE"""),"Цивелев")</f>
        <v>Цивелев</v>
      </c>
      <c r="K1157" s="6" t="str">
        <f>IFERROR(__xludf.DUMMYFUNCTION("""COMPUTED_VALUE"""),"Труженица Томь, памятник бездомной собаке")</f>
        <v>Труженица Томь, памятник бездомной собаке</v>
      </c>
      <c r="L1157" s="6" t="str">
        <f>IFERROR(__xludf.DUMMYFUNCTION("""COMPUTED_VALUE"""),"Затрудняюсь ответить")</f>
        <v>Затрудняюсь ответить</v>
      </c>
      <c r="M1157" s="6" t="str">
        <f>IFERROR(__xludf.DUMMYFUNCTION("""COMPUTED_VALUE"""),"Нет")</f>
        <v>Нет</v>
      </c>
      <c r="N1157" s="6" t="str">
        <f>IFERROR(__xludf.DUMMYFUNCTION("""COMPUTED_VALUE"""),"Транспорт, места отдыха, природа")</f>
        <v>Транспорт, места отдыха, природа</v>
      </c>
      <c r="O1157" s="6" t="str">
        <f>IFERROR(__xludf.DUMMYFUNCTION("""COMPUTED_VALUE"""),"Экологию")</f>
        <v>Экологию</v>
      </c>
      <c r="P1157" s="6" t="str">
        <f>IFERROR(__xludf.DUMMYFUNCTION("""COMPUTED_VALUE"""),"Инцидент Кемерово, Кузбасс ")</f>
        <v>Инцидент Кемерово, Кузбасс </v>
      </c>
      <c r="Q115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157" s="6" t="str">
        <f>IFERROR(__xludf.DUMMYFUNCTION("""COMPUTED_VALUE"""),"День победы, день города ")</f>
        <v>День победы, день города </v>
      </c>
      <c r="S1157" s="6" t="str">
        <f>IFERROR(__xludf.DUMMYFUNCTION("""COMPUTED_VALUE"""),"Нет, не приходилось")</f>
        <v>Нет, не приходилось</v>
      </c>
      <c r="T1157" s="6" t="str">
        <f>IFERROR(__xludf.DUMMYFUNCTION("""COMPUTED_VALUE"""),"Углем, Томь")</f>
        <v>Углем, Томь</v>
      </c>
      <c r="U1157" s="6" t="str">
        <f>IFERROR(__xludf.DUMMYFUNCTION("""COMPUTED_VALUE"""),"Площадь Советов")</f>
        <v>Площадь Советов</v>
      </c>
      <c r="V1157" s="6" t="str">
        <f>IFERROR(__xludf.DUMMYFUNCTION("""COMPUTED_VALUE"""),"Развивали, строили что-то новое ")</f>
        <v>Развивали, строили что-то новое </v>
      </c>
      <c r="W1157" s="6" t="str">
        <f>IFERROR(__xludf.DUMMYFUNCTION("""COMPUTED_VALUE"""),"Добрые, простые ")</f>
        <v>Добрые, простые </v>
      </c>
      <c r="X1157" s="6" t="str">
        <f>IFERROR(__xludf.DUMMYFUNCTION("""COMPUTED_VALUE"""),"Набережная - площадь Советов - сосновый бор ")</f>
        <v>Набережная - площадь Советов - сосновый бор </v>
      </c>
      <c r="Y1157" s="6" t="str">
        <f>IFERROR(__xludf.DUMMYFUNCTION("""COMPUTED_VALUE"""),"Пожар в зимний вишни")</f>
        <v>Пожар в зимний вишни</v>
      </c>
      <c r="Z1157" s="6" t="str">
        <f>IFERROR(__xludf.DUMMYFUNCTION("""COMPUTED_VALUE"""),"Смена власти, строительство больший проектов ")</f>
        <v>Смена власти, строительство больший проектов </v>
      </c>
      <c r="AA1157" s="6" t="str">
        <f>IFERROR(__xludf.DUMMYFUNCTION("""COMPUTED_VALUE"""),"Пожар зимний вишни ")</f>
        <v>Пожар зимний вишни </v>
      </c>
      <c r="AB1157" s="6" t="str">
        <f>IFERROR(__xludf.DUMMYFUNCTION("""COMPUTED_VALUE"""),"Собаководов")</f>
        <v>Собаководов</v>
      </c>
      <c r="AC1157" s="6" t="str">
        <f>IFERROR(__xludf.DUMMYFUNCTION("""COMPUTED_VALUE"""),"Не знаю ")</f>
        <v>Не знаю </v>
      </c>
      <c r="AD115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157" s="6" t="str">
        <f>IFERROR(__xludf.DUMMYFUNCTION("""COMPUTED_VALUE"""),"Женский")</f>
        <v>Женский</v>
      </c>
      <c r="AF1157" s="6" t="str">
        <f>IFERROR(__xludf.DUMMYFUNCTION("""COMPUTED_VALUE"""),"18-29")</f>
        <v>18-29</v>
      </c>
      <c r="AG1157" s="6"/>
      <c r="AH1157" s="6"/>
      <c r="AI1157" s="6"/>
      <c r="AJ1157" s="6"/>
      <c r="AK1157" s="6"/>
      <c r="AL1157" s="6"/>
      <c r="AM1157" s="6"/>
    </row>
    <row r="1158">
      <c r="A1158" s="6">
        <v>1157.0</v>
      </c>
      <c r="B1158" s="6" t="str">
        <f>IFERROR(__xludf.DUMMYFUNCTION("""COMPUTED_VALUE"""),"Инженер")</f>
        <v>Инженер</v>
      </c>
      <c r="C1158" s="6" t="str">
        <f>IFERROR(__xludf.DUMMYFUNCTION("""COMPUTED_VALUE"""),"Игра на муз. инструментах")</f>
        <v>Игра на муз. инструментах</v>
      </c>
      <c r="D1158" s="6" t="str">
        <f>IFERROR(__xludf.DUMMYFUNCTION("""COMPUTED_VALUE"""),"Центральный")</f>
        <v>Центральный</v>
      </c>
      <c r="E1158" s="6" t="str">
        <f>IFERROR(__xludf.DUMMYFUNCTION("""COMPUTED_VALUE"""),"Ул. Весенняя, Притомская Набережная")</f>
        <v>Ул. Весенняя, Притомская Набережная</v>
      </c>
      <c r="F1158" s="6" t="str">
        <f>IFERROR(__xludf.DUMMYFUNCTION("""COMPUTED_VALUE"""),"Живу здесь с рождения")</f>
        <v>Живу здесь с рождения</v>
      </c>
      <c r="G1158" s="6" t="str">
        <f>IFERROR(__xludf.DUMMYFUNCTION("""COMPUTED_VALUE"""),"Сосновый бор")</f>
        <v>Сосновый бор</v>
      </c>
      <c r="H1158" s="6" t="str">
        <f>IFERROR(__xludf.DUMMYFUNCTION("""COMPUTED_VALUE"""),"Родина, друзья, семья, родители, дети")</f>
        <v>Родина, друзья, семья, родители, дети</v>
      </c>
      <c r="I1158" s="6" t="str">
        <f>IFERROR(__xludf.DUMMYFUNCTION("""COMPUTED_VALUE"""),"Алексей Леонов")</f>
        <v>Алексей Леонов</v>
      </c>
      <c r="J1158" s="6" t="str">
        <f>IFERROR(__xludf.DUMMYFUNCTION("""COMPUTED_VALUE"""),"Моя семья")</f>
        <v>Моя семья</v>
      </c>
      <c r="K1158" s="6" t="str">
        <f>IFERROR(__xludf.DUMMYFUNCTION("""COMPUTED_VALUE"""),"Сквер возле станции космической связи ""Орбита""")</f>
        <v>Сквер возле станции космической связи "Орбита"</v>
      </c>
      <c r="L1158" s="6" t="str">
        <f>IFERROR(__xludf.DUMMYFUNCTION("""COMPUTED_VALUE"""),"Сибирь - не Канары!")</f>
        <v>Сибирь - не Канары!</v>
      </c>
      <c r="M1158" s="6" t="str">
        <f>IFERROR(__xludf.DUMMYFUNCTION("""COMPUTED_VALUE"""),"Девятый квАртал")</f>
        <v>Девятый квАртал</v>
      </c>
      <c r="N1158" s="6" t="str">
        <f>IFERROR(__xludf.DUMMYFUNCTION("""COMPUTED_VALUE"""),"Дороги, транспорт, экологическая обстановка, ЖКХ, городские службы (01,02,03)")</f>
        <v>Дороги, транспорт, экологическая обстановка, ЖКХ, городские службы (01,02,03)</v>
      </c>
      <c r="O1158" s="6" t="str">
        <f>IFERROR(__xludf.DUMMYFUNCTION("""COMPUTED_VALUE"""),"Прекратить стройки века, от нового губера! Направить, высвободившиеся, средства на улучшения окружающей среды.")</f>
        <v>Прекратить стройки века, от нового губера! Направить, высвободившиеся, средства на улучшения окружающей среды.</v>
      </c>
      <c r="P1158" s="6" t="str">
        <f>IFERROR(__xludf.DUMMYFUNCTION("""COMPUTED_VALUE"""),"По сарафанному радио, по афишам")</f>
        <v>По сарафанному радио, по афишам</v>
      </c>
      <c r="Q1158" s="6" t="str">
        <f>IFERROR(__xludf.DUMMYFUNCTION("""COMPUTED_VALUE"""),"городская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f>
        <v>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158" s="6" t="str">
        <f>IFERROR(__xludf.DUMMYFUNCTION("""COMPUTED_VALUE"""),"9 мая")</f>
        <v>9 мая</v>
      </c>
      <c r="S1158" s="6" t="str">
        <f>IFERROR(__xludf.DUMMYFUNCTION("""COMPUTED_VALUE"""),"Нет, не приходилось")</f>
        <v>Нет, не приходилось</v>
      </c>
      <c r="T1158" s="6" t="str">
        <f>IFERROR(__xludf.DUMMYFUNCTION("""COMPUTED_VALUE"""),"Сейчас, почти ничем")</f>
        <v>Сейчас, почти ничем</v>
      </c>
      <c r="U1158" s="6" t="str">
        <f>IFERROR(__xludf.DUMMYFUNCTION("""COMPUTED_VALUE"""),"Руины завода в Кировском районе")</f>
        <v>Руины завода в Кировском районе</v>
      </c>
      <c r="V1158" s="6" t="str">
        <f>IFERROR(__xludf.DUMMYFUNCTION("""COMPUTED_VALUE"""),"Просто трудились, на закрытых в наше время производсвах")</f>
        <v>Просто трудились, на закрытых в наше время производсвах</v>
      </c>
      <c r="W1158" s="6" t="str">
        <f>IFERROR(__xludf.DUMMYFUNCTION("""COMPUTED_VALUE"""),"Элиты в том числе СМИ неинтересны и несвободны. Простой народ нищ и несвободен, отюда все вытекающие человеческие качества")</f>
        <v>Элиты в том числе СМИ неинтересны и несвободны. Простой народ нищ и несвободен, отюда все вытекающие человеческие качества</v>
      </c>
      <c r="X1158" s="6" t="str">
        <f>IFERROR(__xludf.DUMMYFUNCTION("""COMPUTED_VALUE"""),"Притомская набережная, рудничный бор")</f>
        <v>Притомская набережная, рудничный бор</v>
      </c>
      <c r="Y1158" s="6" t="str">
        <f>IFERROR(__xludf.DUMMYFUNCTION("""COMPUTED_VALUE"""),"Чемпионат мира по хоккею с мячём")</f>
        <v>Чемпионат мира по хоккею с мячём</v>
      </c>
      <c r="Z1158" s="6" t="str">
        <f>IFERROR(__xludf.DUMMYFUNCTION("""COMPUTED_VALUE"""),"Нет таких")</f>
        <v>Нет таких</v>
      </c>
      <c r="AA1158" s="6" t="str">
        <f>IFERROR(__xludf.DUMMYFUNCTION("""COMPUTED_VALUE"""),"Пожар в Зимней Вишне")</f>
        <v>Пожар в Зимней Вишне</v>
      </c>
      <c r="AB1158" s="6" t="str">
        <f>IFERROR(__xludf.DUMMYFUNCTION("""COMPUTED_VALUE"""),"Нет таких сообществ сейчас уже нигде в стране")</f>
        <v>Нет таких сообществ сейчас уже нигде в стране</v>
      </c>
      <c r="AC1158" s="6" t="str">
        <f>IFERROR(__xludf.DUMMYFUNCTION("""COMPUTED_VALUE"""),"Затрудняюсь с ответом")</f>
        <v>Затрудняюсь с ответом</v>
      </c>
      <c r="AD1158"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158" s="6" t="str">
        <f>IFERROR(__xludf.DUMMYFUNCTION("""COMPUTED_VALUE"""),"Мужской")</f>
        <v>Мужской</v>
      </c>
      <c r="AF1158" s="6" t="str">
        <f>IFERROR(__xludf.DUMMYFUNCTION("""COMPUTED_VALUE"""),"45-55")</f>
        <v>45-55</v>
      </c>
      <c r="AG1158" s="6"/>
      <c r="AH1158" s="6"/>
      <c r="AI1158" s="6"/>
      <c r="AJ1158" s="6"/>
      <c r="AK1158" s="6"/>
      <c r="AL1158" s="6"/>
      <c r="AM1158" s="6"/>
    </row>
    <row r="1159">
      <c r="A1159" s="6">
        <v>1158.0</v>
      </c>
      <c r="B1159" s="6" t="str">
        <f>IFERROR(__xludf.DUMMYFUNCTION("""COMPUTED_VALUE"""),"Студент")</f>
        <v>Студент</v>
      </c>
      <c r="C1159" s="6" t="str">
        <f>IFERROR(__xludf.DUMMYFUNCTION("""COMPUTED_VALUE"""),"Нет")</f>
        <v>Нет</v>
      </c>
      <c r="D1159" s="6" t="str">
        <f>IFERROR(__xludf.DUMMYFUNCTION("""COMPUTED_VALUE"""),"Ленинский")</f>
        <v>Ленинский</v>
      </c>
      <c r="E1159" s="6" t="str">
        <f>IFERROR(__xludf.DUMMYFUNCTION("""COMPUTED_VALUE"""),"Медведи")</f>
        <v>Медведи</v>
      </c>
      <c r="F1159" s="6" t="str">
        <f>IFERROR(__xludf.DUMMYFUNCTION("""COMPUTED_VALUE"""),"Живу здесь с рождения")</f>
        <v>Живу здесь с рождения</v>
      </c>
      <c r="G1159" s="6" t="str">
        <f>IFERROR(__xludf.DUMMYFUNCTION("""COMPUTED_VALUE"""),"Ни куда")</f>
        <v>Ни куда</v>
      </c>
      <c r="H1159" s="6" t="str">
        <f>IFERROR(__xludf.DUMMYFUNCTION("""COMPUTED_VALUE"""),"Их нет")</f>
        <v>Их нет</v>
      </c>
      <c r="I1159" s="6" t="str">
        <f>IFERROR(__xludf.DUMMYFUNCTION("""COMPUTED_VALUE"""),"Гагарин. ")</f>
        <v>Гагарин. </v>
      </c>
      <c r="J1159" s="6" t="str">
        <f>IFERROR(__xludf.DUMMYFUNCTION("""COMPUTED_VALUE"""),"Середюк, Цевелев")</f>
        <v>Середюк, Цевелев</v>
      </c>
      <c r="K1159" s="6" t="str">
        <f>IFERROR(__xludf.DUMMYFUNCTION("""COMPUTED_VALUE"""),"Не какие")</f>
        <v>Не какие</v>
      </c>
      <c r="L1159" s="6" t="str">
        <f>IFERROR(__xludf.DUMMYFUNCTION("""COMPUTED_VALUE"""),"Их нет")</f>
        <v>Их нет</v>
      </c>
      <c r="M1159" s="6" t="str">
        <f>IFERROR(__xludf.DUMMYFUNCTION("""COMPUTED_VALUE"""),"Нет")</f>
        <v>Нет</v>
      </c>
      <c r="N1159" s="6" t="str">
        <f>IFERROR(__xludf.DUMMYFUNCTION("""COMPUTED_VALUE"""),"Не знаю")</f>
        <v>Не знаю</v>
      </c>
      <c r="O1159" s="6" t="str">
        <f>IFERROR(__xludf.DUMMYFUNCTION("""COMPUTED_VALUE"""),"Не знаю")</f>
        <v>Не знаю</v>
      </c>
      <c r="P1159" s="6" t="str">
        <f>IFERROR(__xludf.DUMMYFUNCTION("""COMPUTED_VALUE"""),"Радио")</f>
        <v>Радио</v>
      </c>
      <c r="Q1159" s="6" t="str">
        <f>IFERROR(__xludf.DUMMYFUNCTION("""COMPUTED_VALUE"""),"куда пойти в свободное время")</f>
        <v>куда пойти в свободное время</v>
      </c>
      <c r="R1159" s="6" t="str">
        <f>IFERROR(__xludf.DUMMYFUNCTION("""COMPUTED_VALUE"""),"Не какие")</f>
        <v>Не какие</v>
      </c>
      <c r="S1159" s="6" t="str">
        <f>IFERROR(__xludf.DUMMYFUNCTION("""COMPUTED_VALUE"""),"Нет, не приходилось")</f>
        <v>Нет, не приходилось</v>
      </c>
      <c r="T1159" s="6" t="str">
        <f>IFERROR(__xludf.DUMMYFUNCTION("""COMPUTED_VALUE"""),"Не знаю")</f>
        <v>Не знаю</v>
      </c>
      <c r="U1159" s="6" t="str">
        <f>IFERROR(__xludf.DUMMYFUNCTION("""COMPUTED_VALUE"""),"Не знаю")</f>
        <v>Не знаю</v>
      </c>
      <c r="V1159" s="6" t="str">
        <f>IFERROR(__xludf.DUMMYFUNCTION("""COMPUTED_VALUE"""),"Не знаю")</f>
        <v>Не знаю</v>
      </c>
      <c r="W1159" s="6" t="str">
        <f>IFERROR(__xludf.DUMMYFUNCTION("""COMPUTED_VALUE"""),"Не знаю")</f>
        <v>Не знаю</v>
      </c>
      <c r="X1159" s="6" t="str">
        <f>IFERROR(__xludf.DUMMYFUNCTION("""COMPUTED_VALUE"""),"Не знаю")</f>
        <v>Не знаю</v>
      </c>
      <c r="Y1159" s="6" t="str">
        <f>IFERROR(__xludf.DUMMYFUNCTION("""COMPUTED_VALUE"""),"Не знаю")</f>
        <v>Не знаю</v>
      </c>
      <c r="Z1159" s="6" t="str">
        <f>IFERROR(__xludf.DUMMYFUNCTION("""COMPUTED_VALUE"""),"Их нет")</f>
        <v>Их нет</v>
      </c>
      <c r="AA1159" s="6" t="str">
        <f>IFERROR(__xludf.DUMMYFUNCTION("""COMPUTED_VALUE"""),"Нет")</f>
        <v>Нет</v>
      </c>
      <c r="AB1159" s="6" t="str">
        <f>IFERROR(__xludf.DUMMYFUNCTION("""COMPUTED_VALUE"""),"Нет")</f>
        <v>Нет</v>
      </c>
      <c r="AC1159" s="6" t="str">
        <f>IFERROR(__xludf.DUMMYFUNCTION("""COMPUTED_VALUE"""),"Нет")</f>
        <v>Нет</v>
      </c>
      <c r="AD115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159" s="6" t="str">
        <f>IFERROR(__xludf.DUMMYFUNCTION("""COMPUTED_VALUE"""),"Мужской")</f>
        <v>Мужской</v>
      </c>
      <c r="AF1159" s="6" t="str">
        <f>IFERROR(__xludf.DUMMYFUNCTION("""COMPUTED_VALUE"""),"18-29")</f>
        <v>18-29</v>
      </c>
      <c r="AG1159" s="6"/>
      <c r="AH1159" s="6"/>
      <c r="AI1159" s="6"/>
      <c r="AJ1159" s="6"/>
      <c r="AK1159" s="6"/>
      <c r="AL1159" s="6"/>
      <c r="AM1159" s="6"/>
    </row>
    <row r="1160">
      <c r="A1160" s="6">
        <v>1159.0</v>
      </c>
      <c r="B1160" s="6" t="str">
        <f>IFERROR(__xludf.DUMMYFUNCTION("""COMPUTED_VALUE"""),"Волонтёрство, добровольчество, состою в Студенческом корпусе спасателей КузГТУ ")</f>
        <v>Волонтёрство, добровольчество, состою в Студенческом корпусе спасателей КузГТУ </v>
      </c>
      <c r="C1160" s="6" t="str">
        <f>IFERROR(__xludf.DUMMYFUNCTION("""COMPUTED_VALUE"""),"Танцы, вокал, снимать и монтировать видео, пожарно-спасательный спорт ")</f>
        <v>Танцы, вокал, снимать и монтировать видео, пожарно-спасательный спорт </v>
      </c>
      <c r="D1160" s="6" t="str">
        <f>IFERROR(__xludf.DUMMYFUNCTION("""COMPUTED_VALUE"""),"Центральный. Центральный-парк ангелов ")</f>
        <v>Центральный. Центральный-парк ангелов </v>
      </c>
      <c r="E1160" s="6" t="str">
        <f>IFERROR(__xludf.DUMMYFUNCTION("""COMPUTED_VALUE"""),"Парк ангелов, вокзал, стадион Химиков, набережная, парк победы и Антошка, администрация, драм театр, филармония")</f>
        <v>Парк ангелов, вокзал, стадион Химиков, набережная, парк победы и Антошка, администрация, драм театр, филармония</v>
      </c>
      <c r="F1160" s="6" t="str">
        <f>IFERROR(__xludf.DUMMYFUNCTION("""COMPUTED_VALUE"""),"Переехал сюда из другого места (откуда? укажите в графе другое), Полысаево ")</f>
        <v>Переехал сюда из другого места (откуда? укажите в графе другое), Полысаево </v>
      </c>
      <c r="G1160" s="6" t="str">
        <f>IFERROR(__xludf.DUMMYFUNCTION("""COMPUTED_VALUE"""),"Парк ангелов, парк победы и антошка ")</f>
        <v>Парк ангелов, парк победы и антошка </v>
      </c>
      <c r="H1160" s="6" t="str">
        <f>IFERROR(__xludf.DUMMYFUNCTION("""COMPUTED_VALUE"""),"Экология, достопримечательности, учеба, развитие, спокойствие ")</f>
        <v>Экология, достопримечательности, учеба, развитие, спокойствие </v>
      </c>
      <c r="I1160" s="6" t="str">
        <f>IFERROR(__xludf.DUMMYFUNCTION("""COMPUTED_VALUE"""),"-")</f>
        <v>-</v>
      </c>
      <c r="J1160" s="6" t="str">
        <f>IFERROR(__xludf.DUMMYFUNCTION("""COMPUTED_VALUE"""),"-")</f>
        <v>-</v>
      </c>
      <c r="K1160" s="6" t="str">
        <f>IFERROR(__xludf.DUMMYFUNCTION("""COMPUTED_VALUE"""),"Арт-пространство клумба")</f>
        <v>Арт-пространство клумба</v>
      </c>
      <c r="L1160" s="6" t="str">
        <f>IFERROR(__xludf.DUMMYFUNCTION("""COMPUTED_VALUE"""),"-")</f>
        <v>-</v>
      </c>
      <c r="M1160" s="6" t="str">
        <f>IFERROR(__xludf.DUMMYFUNCTION("""COMPUTED_VALUE"""),"Нет")</f>
        <v>Нет</v>
      </c>
      <c r="N1160" s="6" t="str">
        <f>IFERROR(__xludf.DUMMYFUNCTION("""COMPUTED_VALUE"""),"Должна быть: чистота, доступная зарплата(в связи с ценами, чтобы отдохнуть в выходной день), экология, площадка для пожарно-спасательных тренировок")</f>
        <v>Должна быть: чистота, доступная зарплата(в связи с ценами, чтобы отдохнуть в выходной день), экология, площадка для пожарно-спасательных тренировок</v>
      </c>
      <c r="O1160" s="6" t="str">
        <f>IFERROR(__xludf.DUMMYFUNCTION("""COMPUTED_VALUE"""),"Экологиииияяяя")</f>
        <v>Экологиииияяяя</v>
      </c>
      <c r="P1160" s="6" t="str">
        <f>IFERROR(__xludf.DUMMYFUNCTION("""COMPUTED_VALUE"""),"Инстаграмм, новости Яндекс ")</f>
        <v>Инстаграмм, новости Яндекс </v>
      </c>
      <c r="Q1160" s="6" t="str">
        <f>IFERROR(__xludf.DUMMYFUNCTION("""COMPUTED_VALUE"""),"криминальные новости (происшествия/преступления), новости про новые профессии/куда поступать/вакансии")</f>
        <v>криминальные новости (происшествия/преступления), новости про новые профессии/куда поступать/вакансии</v>
      </c>
      <c r="R1160" s="6" t="str">
        <f>IFERROR(__xludf.DUMMYFUNCTION("""COMPUTED_VALUE"""),"Празднование дня победы, дня пожарной охраны")</f>
        <v>Празднование дня победы, дня пожарной охраны</v>
      </c>
      <c r="S1160" s="6" t="str">
        <f>IFERROR(__xludf.DUMMYFUNCTION("""COMPUTED_VALUE"""),"Нет, не приходилось")</f>
        <v>Нет, не приходилось</v>
      </c>
      <c r="T1160" s="6" t="str">
        <f>IFERROR(__xludf.DUMMYFUNCTION("""COMPUTED_VALUE"""),"Столица Кузбасса")</f>
        <v>Столица Кузбасса</v>
      </c>
      <c r="U1160" s="6" t="str">
        <f>IFERROR(__xludf.DUMMYFUNCTION("""COMPUTED_VALUE"""),"Администрация ")</f>
        <v>Администрация </v>
      </c>
      <c r="V1160" s="6" t="str">
        <f>IFERROR(__xludf.DUMMYFUNCTION("""COMPUTED_VALUE"""),"Развивали промышленность")</f>
        <v>Развивали промышленность</v>
      </c>
      <c r="W1160" s="6" t="str">
        <f>IFERROR(__xludf.DUMMYFUNCTION("""COMPUTED_VALUE"""),"Спокойные, творческие ")</f>
        <v>Спокойные, творческие </v>
      </c>
      <c r="X1160" s="6" t="str">
        <f>IFERROR(__xludf.DUMMYFUNCTION("""COMPUTED_VALUE"""),"Вокзал-парк ангелов-администрация-набережная ")</f>
        <v>Вокзал-парк ангелов-администрация-набережная </v>
      </c>
      <c r="Y1160" s="6" t="str">
        <f>IFERROR(__xludf.DUMMYFUNCTION("""COMPUTED_VALUE"""),"-")</f>
        <v>-</v>
      </c>
      <c r="Z1160" s="6" t="str">
        <f>IFERROR(__xludf.DUMMYFUNCTION("""COMPUTED_VALUE"""),"-")</f>
        <v>-</v>
      </c>
      <c r="AA1160" s="6" t="str">
        <f>IFERROR(__xludf.DUMMYFUNCTION("""COMPUTED_VALUE"""),"Митинги Навального ")</f>
        <v>Митинги Навального </v>
      </c>
      <c r="AB1160" s="6" t="str">
        <f>IFERROR(__xludf.DUMMYFUNCTION("""COMPUTED_VALUE"""),"Что-то по типу корпуса студентов правоохранительной деятельности ")</f>
        <v>Что-то по типу корпуса студентов правоохранительной деятельности </v>
      </c>
      <c r="AC1160" s="6" t="str">
        <f>IFERROR(__xludf.DUMMYFUNCTION("""COMPUTED_VALUE"""),"Творческие выступления вечером на набережной ")</f>
        <v>Творческие выступления вечером на набережной </v>
      </c>
      <c r="AD1160"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160" s="6" t="str">
        <f>IFERROR(__xludf.DUMMYFUNCTION("""COMPUTED_VALUE"""),"Женский")</f>
        <v>Женский</v>
      </c>
      <c r="AF1160" s="6" t="str">
        <f>IFERROR(__xludf.DUMMYFUNCTION("""COMPUTED_VALUE"""),"18-29")</f>
        <v>18-29</v>
      </c>
      <c r="AG1160" s="6"/>
      <c r="AH1160" s="6"/>
      <c r="AI1160" s="6"/>
      <c r="AJ1160" s="6"/>
      <c r="AK1160" s="6"/>
      <c r="AL1160" s="6"/>
      <c r="AM1160" s="6"/>
    </row>
    <row r="1161">
      <c r="A1161" s="6">
        <v>1160.0</v>
      </c>
      <c r="B1161" s="6" t="str">
        <f>IFERROR(__xludf.DUMMYFUNCTION("""COMPUTED_VALUE"""),"Ведущий юрист ГБУ «Центр КО и ТИ Кузбасса»")</f>
        <v>Ведущий юрист ГБУ «Центр КО и ТИ Кузбасса»</v>
      </c>
      <c r="C1161" s="6" t="str">
        <f>IFERROR(__xludf.DUMMYFUNCTION("""COMPUTED_VALUE"""),"Музыка")</f>
        <v>Музыка</v>
      </c>
      <c r="D1161" s="6" t="str">
        <f>IFERROR(__xludf.DUMMYFUNCTION("""COMPUTED_VALUE"""),"Ленинский район ")</f>
        <v>Ленинский район </v>
      </c>
      <c r="E1161" s="6" t="str">
        <f>IFERROR(__xludf.DUMMYFUNCTION("""COMPUTED_VALUE"""),"Бульварское кольцо")</f>
        <v>Бульварское кольцо</v>
      </c>
      <c r="F1161" s="6" t="str">
        <f>IFERROR(__xludf.DUMMYFUNCTION("""COMPUTED_VALUE"""),"Живу здесь с рождения")</f>
        <v>Живу здесь с рождения</v>
      </c>
      <c r="G1161" s="6" t="str">
        <f>IFERROR(__xludf.DUMMYFUNCTION("""COMPUTED_VALUE"""),"Аллея «Бульвар Строителей»")</f>
        <v>Аллея «Бульвар Строителей»</v>
      </c>
      <c r="H1161" s="6" t="str">
        <f>IFERROR(__xludf.DUMMYFUNCTION("""COMPUTED_VALUE"""),"1)Смог 
2)Шум
3)Холод
4)Статичность 
5)Молодость ")</f>
        <v>1)Смог 
2)Шум
3)Холод
4)Статичность 
5)Молодость </v>
      </c>
      <c r="I1161" s="6" t="str">
        <f>IFERROR(__xludf.DUMMYFUNCTION("""COMPUTED_VALUE"""),"А.А. Леонов,В.Д. Волошина ")</f>
        <v>А.А. Леонов,В.Д. Волошина </v>
      </c>
      <c r="J1161" s="6" t="str">
        <f>IFERROR(__xludf.DUMMYFUNCTION("""COMPUTED_VALUE"""),"А.В. Синицын")</f>
        <v>А.В. Синицын</v>
      </c>
      <c r="K1161" s="6" t="str">
        <f>IFERROR(__xludf.DUMMYFUNCTION("""COMPUTED_VALUE"""),"Арт-пространство «Клумба»")</f>
        <v>Арт-пространство «Клумба»</v>
      </c>
      <c r="L1161" s="6" t="str">
        <f>IFERROR(__xludf.DUMMYFUNCTION("""COMPUTED_VALUE"""),"-")</f>
        <v>-</v>
      </c>
      <c r="M1161" s="6" t="str">
        <f>IFERROR(__xludf.DUMMYFUNCTION("""COMPUTED_VALUE"""),"Мультифора")</f>
        <v>Мультифора</v>
      </c>
      <c r="N1161" s="6" t="str">
        <f>IFERROR(__xludf.DUMMYFUNCTION("""COMPUTED_VALUE"""),"1)Чистота города
2)Экология
3)Возможность профессиональной реализации
4) Развитая транспортная инфраструктура
5) Доступное жильё")</f>
        <v>1)Чистота города
2)Экология
3)Возможность профессиональной реализации
4) Развитая транспортная инфраструктура
5) Доступное жильё</v>
      </c>
      <c r="O1161" s="6" t="str">
        <f>IFERROR(__xludf.DUMMYFUNCTION("""COMPUTED_VALUE"""),"Улучшить экологическую ситуацию")</f>
        <v>Улучшить экологическую ситуацию</v>
      </c>
      <c r="P1161" s="6" t="str">
        <f>IFERROR(__xludf.DUMMYFUNCTION("""COMPUTED_VALUE"""),"Социальные сети ")</f>
        <v>Социальные сети </v>
      </c>
      <c r="Q1161"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проф"&amp;"ессии/куда поступать/вакансии, бизнес-новости (средний чек/рекламные акции/запуск новых предприятий)")</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161" s="6" t="str">
        <f>IFERROR(__xludf.DUMMYFUNCTION("""COMPUTED_VALUE"""),"День народного единства ")</f>
        <v>День народного единства </v>
      </c>
      <c r="S1161" s="6" t="str">
        <f>IFERROR(__xludf.DUMMYFUNCTION("""COMPUTED_VALUE"""),"Писал и расклеивал объявления/афиши")</f>
        <v>Писал и расклеивал объявления/афиши</v>
      </c>
      <c r="T1161" s="6" t="str">
        <f>IFERROR(__xludf.DUMMYFUNCTION("""COMPUTED_VALUE"""),"Освещенность ночью (об этом часто говорят приезжие)")</f>
        <v>Освещенность ночью (об этом часто говорят приезжие)</v>
      </c>
      <c r="U1161" s="6" t="str">
        <f>IFERROR(__xludf.DUMMYFUNCTION("""COMPUTED_VALUE"""),"Стадион Химик")</f>
        <v>Стадион Химик</v>
      </c>
      <c r="V1161" s="6" t="str">
        <f>IFERROR(__xludf.DUMMYFUNCTION("""COMPUTED_VALUE"""),"-")</f>
        <v>-</v>
      </c>
      <c r="W1161" s="6" t="str">
        <f>IFERROR(__xludf.DUMMYFUNCTION("""COMPUTED_VALUE"""),"Суровые, но в тоже время отзывчивые при необходимости")</f>
        <v>Суровые, но в тоже время отзывчивые при необходимости</v>
      </c>
      <c r="X1161" s="6" t="str">
        <f>IFERROR(__xludf.DUMMYFUNCTION("""COMPUTED_VALUE"""),"По трамвайным путям от ТЦ Я до Кировского ")</f>
        <v>По трамвайным путям от ТЦ Я до Кировского </v>
      </c>
      <c r="Y1161" s="6" t="str">
        <f>IFERROR(__xludf.DUMMYFUNCTION("""COMPUTED_VALUE"""),"-")</f>
        <v>-</v>
      </c>
      <c r="Z1161" s="6" t="str">
        <f>IFERROR(__xludf.DUMMYFUNCTION("""COMPUTED_VALUE"""),"Хор Турецкого ")</f>
        <v>Хор Турецкого </v>
      </c>
      <c r="AA1161" s="6" t="str">
        <f>IFERROR(__xludf.DUMMYFUNCTION("""COMPUTED_VALUE"""),"Нет таких событий ")</f>
        <v>Нет таких событий </v>
      </c>
      <c r="AB1161" s="6" t="str">
        <f>IFERROR(__xludf.DUMMYFUNCTION("""COMPUTED_VALUE"""),"Нет таких")</f>
        <v>Нет таких</v>
      </c>
      <c r="AC1161" s="6" t="str">
        <f>IFERROR(__xludf.DUMMYFUNCTION("""COMPUTED_VALUE"""),"Культурных")</f>
        <v>Культурных</v>
      </c>
      <c r="AD116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161" s="6" t="str">
        <f>IFERROR(__xludf.DUMMYFUNCTION("""COMPUTED_VALUE"""),"Мужской")</f>
        <v>Мужской</v>
      </c>
      <c r="AF1161" s="6" t="str">
        <f>IFERROR(__xludf.DUMMYFUNCTION("""COMPUTED_VALUE"""),"18-29")</f>
        <v>18-29</v>
      </c>
      <c r="AG1161" s="6"/>
      <c r="AH1161" s="6"/>
      <c r="AI1161" s="6"/>
      <c r="AJ1161" s="6"/>
      <c r="AK1161" s="6"/>
      <c r="AL1161" s="6"/>
      <c r="AM1161" s="6"/>
    </row>
    <row r="1162">
      <c r="A1162" s="6">
        <v>1161.0</v>
      </c>
      <c r="B1162" s="6" t="str">
        <f>IFERROR(__xludf.DUMMYFUNCTION("""COMPUTED_VALUE"""),"Репетитор")</f>
        <v>Репетитор</v>
      </c>
      <c r="C1162" s="6" t="str">
        <f>IFERROR(__xludf.DUMMYFUNCTION("""COMPUTED_VALUE"""),"Нет")</f>
        <v>Нет</v>
      </c>
      <c r="D1162" s="6" t="str">
        <f>IFERROR(__xludf.DUMMYFUNCTION("""COMPUTED_VALUE"""),"Ленинский ")</f>
        <v>Ленинский </v>
      </c>
      <c r="E1162" s="6" t="str">
        <f>IFERROR(__xludf.DUMMYFUNCTION("""COMPUTED_VALUE"""),"Парк ""бульвар строителей""")</f>
        <v>Парк "бульвар строителей"</v>
      </c>
      <c r="F1162" s="6" t="str">
        <f>IFERROR(__xludf.DUMMYFUNCTION("""COMPUTED_VALUE"""),"Переехал сюда из другого места (откуда? укажите в графе другое), Топки")</f>
        <v>Переехал сюда из другого места (откуда? укажите в графе другое), Топки</v>
      </c>
      <c r="G1162" s="6" t="str">
        <f>IFERROR(__xludf.DUMMYFUNCTION("""COMPUTED_VALUE"""),"Парк")</f>
        <v>Парк</v>
      </c>
      <c r="H1162" s="6" t="str">
        <f>IFERROR(__xludf.DUMMYFUNCTION("""COMPUTED_VALUE"""),"Смог, маршрутки, движение, учёба, пыль")</f>
        <v>Смог, маршрутки, движение, учёба, пыль</v>
      </c>
      <c r="I1162" s="6" t="str">
        <f>IFERROR(__xludf.DUMMYFUNCTION("""COMPUTED_VALUE"""),"Волошина")</f>
        <v>Волошина</v>
      </c>
      <c r="J1162" s="6" t="str">
        <f>IFERROR(__xludf.DUMMYFUNCTION("""COMPUTED_VALUE"""),"Синицын А. В. ")</f>
        <v>Синицын А. В. </v>
      </c>
      <c r="K1162" s="6" t="str">
        <f>IFERROR(__xludf.DUMMYFUNCTION("""COMPUTED_VALUE"""),"Арт-пространства")</f>
        <v>Арт-пространства</v>
      </c>
      <c r="L1162" s="6" t="str">
        <f>IFERROR(__xludf.DUMMYFUNCTION("""COMPUTED_VALUE"""),"-")</f>
        <v>-</v>
      </c>
      <c r="M1162" s="6" t="str">
        <f>IFERROR(__xludf.DUMMYFUNCTION("""COMPUTED_VALUE"""),"Нет")</f>
        <v>Нет</v>
      </c>
      <c r="N1162" s="6" t="str">
        <f>IFERROR(__xludf.DUMMYFUNCTION("""COMPUTED_VALUE"""),"Нет")</f>
        <v>Нет</v>
      </c>
      <c r="O1162" s="6" t="str">
        <f>IFERROR(__xludf.DUMMYFUNCTION("""COMPUTED_VALUE"""),"Очистить воздух, воду ")</f>
        <v>Очистить воздух, воду </v>
      </c>
      <c r="P1162" s="6" t="str">
        <f>IFERROR(__xludf.DUMMYFUNCTION("""COMPUTED_VALUE"""),"Соц сети ")</f>
        <v>Соц сети </v>
      </c>
      <c r="Q1162" s="6" t="str">
        <f>IFERROR(__xludf.DUMMYFUNCTION("""COMPUTED_VALUE"""),"Не интересует ")</f>
        <v>Не интересует </v>
      </c>
      <c r="R1162" s="6" t="str">
        <f>IFERROR(__xludf.DUMMYFUNCTION("""COMPUTED_VALUE"""),"Не интересуют")</f>
        <v>Не интересуют</v>
      </c>
      <c r="S1162" s="6" t="str">
        <f>IFERROR(__xludf.DUMMYFUNCTION("""COMPUTED_VALUE"""),"Нет, не приходилось")</f>
        <v>Нет, не приходилось</v>
      </c>
      <c r="T1162" s="6" t="str">
        <f>IFERROR(__xludf.DUMMYFUNCTION("""COMPUTED_VALUE"""),"Сгоревшая ""Зимняя Вишня"" ")</f>
        <v>Сгоревшая "Зимняя Вишня" </v>
      </c>
      <c r="U1162" s="6" t="str">
        <f>IFERROR(__xludf.DUMMYFUNCTION("""COMPUTED_VALUE"""),"КемГУ")</f>
        <v>КемГУ</v>
      </c>
      <c r="V1162" s="6" t="str">
        <f>IFERROR(__xludf.DUMMYFUNCTION("""COMPUTED_VALUE"""),"-")</f>
        <v>-</v>
      </c>
      <c r="W1162" s="6" t="str">
        <f>IFERROR(__xludf.DUMMYFUNCTION("""COMPUTED_VALUE"""),"Общительные")</f>
        <v>Общительные</v>
      </c>
      <c r="X1162" s="6" t="str">
        <f>IFERROR(__xludf.DUMMYFUNCTION("""COMPUTED_VALUE"""),"-")</f>
        <v>-</v>
      </c>
      <c r="Y1162" s="6" t="str">
        <f>IFERROR(__xludf.DUMMYFUNCTION("""COMPUTED_VALUE"""),"-")</f>
        <v>-</v>
      </c>
      <c r="Z1162" s="6" t="str">
        <f>IFERROR(__xludf.DUMMYFUNCTION("""COMPUTED_VALUE"""),"-")</f>
        <v>-</v>
      </c>
      <c r="AA1162" s="6" t="str">
        <f>IFERROR(__xludf.DUMMYFUNCTION("""COMPUTED_VALUE"""),"-")</f>
        <v>-</v>
      </c>
      <c r="AB1162" s="6" t="str">
        <f>IFERROR(__xludf.DUMMYFUNCTION("""COMPUTED_VALUE"""),"-")</f>
        <v>-</v>
      </c>
      <c r="AC1162" s="6" t="str">
        <f>IFERROR(__xludf.DUMMYFUNCTION("""COMPUTED_VALUE"""),"-")</f>
        <v>-</v>
      </c>
      <c r="AD116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62" s="6" t="str">
        <f>IFERROR(__xludf.DUMMYFUNCTION("""COMPUTED_VALUE"""),"Женский")</f>
        <v>Женский</v>
      </c>
      <c r="AF1162" s="6" t="str">
        <f>IFERROR(__xludf.DUMMYFUNCTION("""COMPUTED_VALUE"""),"18-29")</f>
        <v>18-29</v>
      </c>
      <c r="AG1162" s="6"/>
      <c r="AH1162" s="6"/>
      <c r="AI1162" s="6"/>
      <c r="AJ1162" s="6"/>
      <c r="AK1162" s="6"/>
      <c r="AL1162" s="6"/>
      <c r="AM1162" s="6"/>
    </row>
    <row r="1163">
      <c r="A1163" s="6">
        <v>1162.0</v>
      </c>
      <c r="B1163" s="6" t="str">
        <f>IFERROR(__xludf.DUMMYFUNCTION("""COMPUTED_VALUE"""),"Пресс секретарь ")</f>
        <v>Пресс секретарь </v>
      </c>
      <c r="C1163" s="6" t="str">
        <f>IFERROR(__xludf.DUMMYFUNCTION("""COMPUTED_VALUE"""),"КВН")</f>
        <v>КВН</v>
      </c>
      <c r="D1163" s="6" t="str">
        <f>IFERROR(__xludf.DUMMYFUNCTION("""COMPUTED_VALUE"""),"Заводский (центр)")</f>
        <v>Заводский (центр)</v>
      </c>
      <c r="E1163" s="6" t="str">
        <f>IFERROR(__xludf.DUMMYFUNCTION("""COMPUTED_VALUE"""),"набережная")</f>
        <v>набережная</v>
      </c>
      <c r="F1163" s="6" t="str">
        <f>IFERROR(__xludf.DUMMYFUNCTION("""COMPUTED_VALUE"""),"Переехал сюда из другого места (откуда? укажите в графе другое), Киселевск")</f>
        <v>Переехал сюда из другого места (откуда? укажите в графе другое), Киселевск</v>
      </c>
      <c r="G1163" s="6" t="str">
        <f>IFERROR(__xludf.DUMMYFUNCTION("""COMPUTED_VALUE"""),"Весенняя, советский")</f>
        <v>Весенняя, советский</v>
      </c>
      <c r="H1163" s="6" t="str">
        <f>IFERROR(__xludf.DUMMYFUNCTION("""COMPUTED_VALUE"""),"столица, ноградская, друзья, переезд, праздник")</f>
        <v>столица, ноградская, друзья, переезд, праздник</v>
      </c>
      <c r="I1163" s="6" t="str">
        <f>IFERROR(__xludf.DUMMYFUNCTION("""COMPUTED_VALUE"""),"-")</f>
        <v>-</v>
      </c>
      <c r="J1163" s="6" t="str">
        <f>IFERROR(__xludf.DUMMYFUNCTION("""COMPUTED_VALUE""")," руководитель Ложи (не гришковец)")</f>
        <v> руководитель Ложи (не гришковец)</v>
      </c>
      <c r="K1163" s="6" t="str">
        <f>IFERROR(__xludf.DUMMYFUNCTION("""COMPUTED_VALUE"""),"Ноградская")</f>
        <v>Ноградская</v>
      </c>
      <c r="L1163" s="6" t="str">
        <f>IFERROR(__xludf.DUMMYFUNCTION("""COMPUTED_VALUE"""),"-")</f>
        <v>-</v>
      </c>
      <c r="M1163" s="6" t="str">
        <f>IFERROR(__xludf.DUMMYFUNCTION("""COMPUTED_VALUE"""),"-")</f>
        <v>-</v>
      </c>
      <c r="N1163" s="6" t="str">
        <f>IFERROR(__xludf.DUMMYFUNCTION("""COMPUTED_VALUE"""),"Транспорт, друзья, заведения, цены, парки")</f>
        <v>Транспорт, друзья, заведения, цены, парки</v>
      </c>
      <c r="O1163" s="6" t="str">
        <f>IFERROR(__xludf.DUMMYFUNCTION("""COMPUTED_VALUE"""),"Транспорт, пробки")</f>
        <v>Транспорт, пробки</v>
      </c>
      <c r="P1163" s="6" t="str">
        <f>IFERROR(__xludf.DUMMYFUNCTION("""COMPUTED_VALUE"""),"Являюсь организатором")</f>
        <v>Являюсь организатором</v>
      </c>
      <c r="Q1163"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 бизнес-новости (средний чек/рекламные акции/запуск новых предприятий)")</f>
        <v>куда пойти в свободное время, где вкусно поесть/открытие новых кафе/ресторанов, криминальные новости (происшествия/преступления), бизнес-новости (средний чек/рекламные акции/запуск новых предприятий)</v>
      </c>
      <c r="R1163" s="6" t="str">
        <f>IFERROR(__xludf.DUMMYFUNCTION("""COMPUTED_VALUE"""),"-")</f>
        <v>-</v>
      </c>
      <c r="S1163"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v>
      </c>
      <c r="T1163" s="6" t="str">
        <f>IFERROR(__xludf.DUMMYFUNCTION("""COMPUTED_VALUE"""),"Ноградской")</f>
        <v>Ноградской</v>
      </c>
      <c r="U1163" s="6" t="str">
        <f>IFERROR(__xludf.DUMMYFUNCTION("""COMPUTED_VALUE"""),"Белый дом")</f>
        <v>Белый дом</v>
      </c>
      <c r="V1163" s="6" t="str">
        <f>IFERROR(__xludf.DUMMYFUNCTION("""COMPUTED_VALUE"""),"не война. нет ассоциации ")</f>
        <v>не война. нет ассоциации </v>
      </c>
      <c r="W1163" s="6" t="str">
        <f>IFERROR(__xludf.DUMMYFUNCTION("""COMPUTED_VALUE"""),"Добрые, молодые, модные, пьющие кофе")</f>
        <v>Добрые, молодые, модные, пьющие кофе</v>
      </c>
      <c r="X1163" s="6" t="str">
        <f>IFERROR(__xludf.DUMMYFUNCTION("""COMPUTED_VALUE"""),"Ноградская-весенняя-советский ")</f>
        <v>Ноградская-весенняя-советский </v>
      </c>
      <c r="Y1163" s="6" t="str">
        <f>IFERROR(__xludf.DUMMYFUNCTION("""COMPUTED_VALUE"""),"-")</f>
        <v>-</v>
      </c>
      <c r="Z1163" s="6" t="str">
        <f>IFERROR(__xludf.DUMMYFUNCTION("""COMPUTED_VALUE"""),"75 из машин на московской площади, массовая тренировка по боксу на химике")</f>
        <v>75 из машин на московской площади, массовая тренировка по боксу на химике</v>
      </c>
      <c r="AA1163" s="6" t="str">
        <f>IFERROR(__xludf.DUMMYFUNCTION("""COMPUTED_VALUE"""),"нет")</f>
        <v>нет</v>
      </c>
      <c r="AB1163" s="6" t="str">
        <f>IFERROR(__xludf.DUMMYFUNCTION("""COMPUTED_VALUE"""),"бесплатных пробежек, клуб поиска друзей")</f>
        <v>бесплатных пробежек, клуб поиска друзей</v>
      </c>
      <c r="AC1163" s="6" t="str">
        <f>IFERROR(__xludf.DUMMYFUNCTION("""COMPUTED_VALUE"""),"открытых концертов, дискотек на улице")</f>
        <v>открытых концертов, дискотек на улице</v>
      </c>
      <c r="AD116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163" s="6" t="str">
        <f>IFERROR(__xludf.DUMMYFUNCTION("""COMPUTED_VALUE"""),"Мужской")</f>
        <v>Мужской</v>
      </c>
      <c r="AF1163" s="6" t="str">
        <f>IFERROR(__xludf.DUMMYFUNCTION("""COMPUTED_VALUE"""),"18-29")</f>
        <v>18-29</v>
      </c>
      <c r="AG1163" s="6"/>
      <c r="AH1163" s="6"/>
      <c r="AI1163" s="6"/>
      <c r="AJ1163" s="6"/>
      <c r="AK1163" s="6"/>
      <c r="AL1163" s="6"/>
      <c r="AM1163" s="6"/>
    </row>
    <row r="1164">
      <c r="A1164" s="6">
        <v>1163.0</v>
      </c>
      <c r="B1164" s="6" t="str">
        <f>IFERROR(__xludf.DUMMYFUNCTION("""COMPUTED_VALUE"""),"муниципальная служба")</f>
        <v>муниципальная служба</v>
      </c>
      <c r="C1164" s="6" t="str">
        <f>IFERROR(__xludf.DUMMYFUNCTION("""COMPUTED_VALUE"""),"садоводство")</f>
        <v>садоводство</v>
      </c>
      <c r="D1164" s="6" t="str">
        <f>IFERROR(__xludf.DUMMYFUNCTION("""COMPUTED_VALUE"""),"центральный район")</f>
        <v>центральный район</v>
      </c>
      <c r="E1164" s="6" t="str">
        <f>IFERROR(__xludf.DUMMYFUNCTION("""COMPUTED_VALUE"""),"парк Жукова, парк Антошка, Лазурный, филармония, КемГУ, СК ""Динамо"", центральная школа искусств")</f>
        <v>парк Жукова, парк Антошка, Лазурный, филармония, КемГУ, СК "Динамо", центральная школа искусств</v>
      </c>
      <c r="F1164" s="6" t="str">
        <f>IFERROR(__xludf.DUMMYFUNCTION("""COMPUTED_VALUE"""),"причина: развитый город, переехали из г. Березовского")</f>
        <v>причина: развитый город, переехали из г. Березовского</v>
      </c>
      <c r="G1164" s="6" t="str">
        <f>IFERROR(__xludf.DUMMYFUNCTION("""COMPUTED_VALUE"""),"краеведческий музей, кинотеатр ""Космос"", парк Ангелов, Антошка, Жукова")</f>
        <v>краеведческий музей, кинотеатр "Космос", парк Ангелов, Антошка, Жукова</v>
      </c>
      <c r="H1164" s="6" t="str">
        <f>IFERROR(__xludf.DUMMYFUNCTION("""COMPUTED_VALUE"""),"промышленность, экономика, культура, комфорт, развитие")</f>
        <v>промышленность, экономика, культура, комфорт, развитие</v>
      </c>
      <c r="I1164" s="6" t="str">
        <f>IFERROR(__xludf.DUMMYFUNCTION("""COMPUTED_VALUE"""),"Васильев И.Р., Волков М.,Финкельштейн В.М.")</f>
        <v>Васильев И.Р., Волков М.,Финкельштейн В.М.</v>
      </c>
      <c r="J1164" s="6" t="str">
        <f>IFERROR(__xludf.DUMMYFUNCTION("""COMPUTED_VALUE"""),"Тулеев А.Г., Середюк И.В.")</f>
        <v>Тулеев А.Г., Середюк И.В.</v>
      </c>
      <c r="K1164" s="6" t="str">
        <f>IFERROR(__xludf.DUMMYFUNCTION("""COMPUTED_VALUE"""),"Рудничный бор, ж.р. Лесная Поляна, Ботанический сад")</f>
        <v>Рудничный бор, ж.р. Лесная Поляна, Ботанический сад</v>
      </c>
      <c r="L1164" s="6" t="str">
        <f>IFERROR(__xludf.DUMMYFUNCTION("""COMPUTED_VALUE"""),"В  чужом  глазу  соринку  видим,  а  в  своём  бревна  не  видим.")</f>
        <v>В  чужом  глазу  соринку  видим,  а  в  своём  бревна  не  видим.</v>
      </c>
      <c r="M1164" s="6" t="str">
        <f>IFERROR(__xludf.DUMMYFUNCTION("""COMPUTED_VALUE"""),"-")</f>
        <v>-</v>
      </c>
      <c r="N1164" s="6" t="str">
        <f>IFERROR(__xludf.DUMMYFUNCTION("""COMPUTED_VALUE"""),"дороги, дворовые территории, доступность жилья, обеспеченность рабочими местами, уровень заработной платы")</f>
        <v>дороги, дворовые территории, доступность жилья, обеспеченность рабочими местами, уровень заработной платы</v>
      </c>
      <c r="O1164" s="6" t="str">
        <f>IFERROR(__xludf.DUMMYFUNCTION("""COMPUTED_VALUE"""),"экологическую обстановку")</f>
        <v>экологическую обстановку</v>
      </c>
      <c r="P1164" s="7" t="str">
        <f>IFERROR(__xludf.DUMMYFUNCTION("""COMPUTED_VALUE"""),"https://kemerovo.ru/")</f>
        <v>https://kemerovo.ru/</v>
      </c>
      <c r="Q1164" s="6" t="str">
        <f>IFERROR(__xludf.DUMMYFUNCTION("""COMPUTED_VALUE"""),"интервью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f>
        <v>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1164" s="6" t="str">
        <f>IFERROR(__xludf.DUMMYFUNCTION("""COMPUTED_VALUE"""),"День города и день шахтера")</f>
        <v>День города и день шахтера</v>
      </c>
      <c r="S1164" s="6" t="str">
        <f>IFERROR(__xludf.DUMMYFUNCTION("""COMPUTED_VALUE"""),"Нет, не приходилось")</f>
        <v>Нет, не приходилось</v>
      </c>
      <c r="T1164" s="6" t="str">
        <f>IFERROR(__xludf.DUMMYFUNCTION("""COMPUTED_VALUE"""),"Кемерово - крупный исторический, угольный, культурный центр Кузбасса. Уникален город единством народа и любовью к родному краю!")</f>
        <v>Кемерово - крупный исторический, угольный, культурный центр Кузбасса. Уникален город единством народа и любовью к родному краю!</v>
      </c>
      <c r="U1164" s="6" t="str">
        <f>IFERROR(__xludf.DUMMYFUNCTION("""COMPUTED_VALUE"""),"Площадь Советов")</f>
        <v>Площадь Советов</v>
      </c>
      <c r="V1164" s="6" t="str">
        <f>IFERROR(__xludf.DUMMYFUNCTION("""COMPUTED_VALUE"""),"ежедневно работали и благоустраивали город")</f>
        <v>ежедневно работали и благоустраивали город</v>
      </c>
      <c r="W1164" s="6" t="str">
        <f>IFERROR(__xludf.DUMMYFUNCTION("""COMPUTED_VALUE"""),"добрые, жизнерадостные, веселые, отзывчивые, ")</f>
        <v>добрые, жизнерадостные, веселые, отзывчивые, </v>
      </c>
      <c r="X1164" s="6" t="str">
        <f>IFERROR(__xludf.DUMMYFUNCTION("""COMPUTED_VALUE"""),"Монумент ""Память погибшим шахтерам""-Красная горка-ж.р. Лесная Поляна-Ботанический сад - ул. Весенняя")</f>
        <v>Монумент "Память погибшим шахтерам"-Красная горка-ж.р. Лесная Поляна-Ботанический сад - ул. Весенняя</v>
      </c>
      <c r="Y1164" s="6" t="str">
        <f>IFERROR(__xludf.DUMMYFUNCTION("""COMPUTED_VALUE"""),"реконструкция краеведческого музея")</f>
        <v>реконструкция краеведческого музея</v>
      </c>
      <c r="Z1164" s="6" t="str">
        <f>IFERROR(__xludf.DUMMYFUNCTION("""COMPUTED_VALUE"""),"концерт ""Звезды мирового рока""")</f>
        <v>концерт "Звезды мирового рока"</v>
      </c>
      <c r="AA1164" s="6" t="str">
        <f>IFERROR(__xludf.DUMMYFUNCTION("""COMPUTED_VALUE"""),"недавние митинги")</f>
        <v>недавние митинги</v>
      </c>
      <c r="AB1164" s="6" t="str">
        <f>IFERROR(__xludf.DUMMYFUNCTION("""COMPUTED_VALUE"""),"-")</f>
        <v>-</v>
      </c>
      <c r="AC1164" s="6" t="str">
        <f>IFERROR(__xludf.DUMMYFUNCTION("""COMPUTED_VALUE"""),"-")</f>
        <v>-</v>
      </c>
      <c r="AD1164" s="6" t="str">
        <f>IFERROR(__xludf.DUMMYFUNCTION("""COMPUTED_VALUE"""),"подготовка детей к школе, занятия с детьми дошкольного возраста")</f>
        <v>подготовка детей к школе, занятия с детьми дошкольного возраста</v>
      </c>
      <c r="AE1164" s="6" t="str">
        <f>IFERROR(__xludf.DUMMYFUNCTION("""COMPUTED_VALUE"""),"Женский")</f>
        <v>Женский</v>
      </c>
      <c r="AF1164" s="6" t="str">
        <f>IFERROR(__xludf.DUMMYFUNCTION("""COMPUTED_VALUE"""),"30-44")</f>
        <v>30-44</v>
      </c>
      <c r="AG1164" s="6"/>
      <c r="AH1164" s="6"/>
      <c r="AI1164" s="6"/>
      <c r="AJ1164" s="6"/>
      <c r="AK1164" s="6"/>
      <c r="AL1164" s="6"/>
      <c r="AM1164" s="6"/>
    </row>
    <row r="1165">
      <c r="A1165" s="6">
        <v>1164.0</v>
      </c>
      <c r="B1165" s="6" t="str">
        <f>IFERROR(__xludf.DUMMYFUNCTION("""COMPUTED_VALUE"""),"Образование")</f>
        <v>Образование</v>
      </c>
      <c r="C1165" s="6" t="str">
        <f>IFERROR(__xludf.DUMMYFUNCTION("""COMPUTED_VALUE"""),"Спорт")</f>
        <v>Спорт</v>
      </c>
      <c r="D1165" s="6" t="str">
        <f>IFERROR(__xludf.DUMMYFUNCTION("""COMPUTED_VALUE"""),"Южный")</f>
        <v>Южный</v>
      </c>
      <c r="E1165" s="6" t="str">
        <f>IFERROR(__xludf.DUMMYFUNCTION("""COMPUTED_VALUE"""),"Кладбище")</f>
        <v>Кладбище</v>
      </c>
      <c r="F1165"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1165" s="6" t="str">
        <f>IFERROR(__xludf.DUMMYFUNCTION("""COMPUTED_VALUE"""),"Сады на южном")</f>
        <v>Сады на южном</v>
      </c>
      <c r="H1165" s="6" t="str">
        <f>IFERROR(__xludf.DUMMYFUNCTION("""COMPUTED_VALUE"""),"Шахтёры, зимняя вишня, плохая экология, грязь, плохие дороги")</f>
        <v>Шахтёры, зимняя вишня, плохая экология, грязь, плохие дороги</v>
      </c>
      <c r="I1165" s="6" t="str">
        <f>IFERROR(__xludf.DUMMYFUNCTION("""COMPUTED_VALUE"""),"Волков, двужильный, волошин, леонов, щеглов")</f>
        <v>Волков, двужильный, волошин, леонов, щеглов</v>
      </c>
      <c r="J1165" s="6" t="str">
        <f>IFERROR(__xludf.DUMMYFUNCTION("""COMPUTED_VALUE"""),"Тулеев, кислюк, михайлов, ")</f>
        <v>Тулеев, кислюк, михайлов, </v>
      </c>
      <c r="K1165" s="6" t="str">
        <f>IFERROR(__xludf.DUMMYFUNCTION("""COMPUTED_VALUE"""),"Набережная")</f>
        <v>Набережная</v>
      </c>
      <c r="L1165" s="6" t="str">
        <f>IFERROR(__xludf.DUMMYFUNCTION("""COMPUTED_VALUE"""),"Не знаю")</f>
        <v>Не знаю</v>
      </c>
      <c r="M1165" s="6" t="str">
        <f>IFERROR(__xludf.DUMMYFUNCTION("""COMPUTED_VALUE"""),"Не знаю")</f>
        <v>Не знаю</v>
      </c>
      <c r="N1165" s="6" t="str">
        <f>IFERROR(__xludf.DUMMYFUNCTION("""COMPUTED_VALUE"""),"Экология, карьера, транспорт, культура, спорт")</f>
        <v>Экология, карьера, транспорт, культура, спорт</v>
      </c>
      <c r="O1165" s="6" t="str">
        <f>IFERROR(__xludf.DUMMYFUNCTION("""COMPUTED_VALUE"""),"Экология")</f>
        <v>Экология</v>
      </c>
      <c r="P1165" s="6" t="str">
        <f>IFERROR(__xludf.DUMMYFUNCTION("""COMPUTED_VALUE"""),"От знакомых")</f>
        <v>От знакомых</v>
      </c>
      <c r="Q1165" s="6" t="str">
        <f>IFERROR(__xludf.DUMMYFUNCTION("""COMPUTED_VALUE"""),"криминальные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f>
        <v>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1165" s="6" t="str">
        <f>IFERROR(__xludf.DUMMYFUNCTION("""COMPUTED_VALUE"""),"Нет таких")</f>
        <v>Нет таких</v>
      </c>
      <c r="S1165" s="6" t="str">
        <f>IFERROR(__xludf.DUMMYFUNCTION("""COMPUTED_VALUE"""),"Нет, не приходилось")</f>
        <v>Нет, не приходилось</v>
      </c>
      <c r="T1165" s="6" t="str">
        <f>IFERROR(__xludf.DUMMYFUNCTION("""COMPUTED_VALUE"""),"Зимняя вишня(")</f>
        <v>Зимняя вишня(</v>
      </c>
      <c r="U1165" s="6" t="str">
        <f>IFERROR(__xludf.DUMMYFUNCTION("""COMPUTED_VALUE"""),"Ул весенняя, набережная, пр советский")</f>
        <v>Ул весенняя, набережная, пр советский</v>
      </c>
      <c r="V1165" s="6" t="str">
        <f>IFERROR(__xludf.DUMMYFUNCTION("""COMPUTED_VALUE"""),"Ничего")</f>
        <v>Ничего</v>
      </c>
      <c r="W1165" s="6" t="str">
        <f>IFERROR(__xludf.DUMMYFUNCTION("""COMPUTED_VALUE"""),"Обычные")</f>
        <v>Обычные</v>
      </c>
      <c r="X1165" s="6" t="str">
        <f>IFERROR(__xludf.DUMMYFUNCTION("""COMPUTED_VALUE"""),"До вокзала")</f>
        <v>До вокзала</v>
      </c>
      <c r="Y1165" s="6" t="str">
        <f>IFERROR(__xludf.DUMMYFUNCTION("""COMPUTED_VALUE"""),"Не знаю")</f>
        <v>Не знаю</v>
      </c>
      <c r="Z1165" s="6" t="str">
        <f>IFERROR(__xludf.DUMMYFUNCTION("""COMPUTED_VALUE"""),"Нет таких")</f>
        <v>Нет таких</v>
      </c>
      <c r="AA1165" s="6" t="str">
        <f>IFERROR(__xludf.DUMMYFUNCTION("""COMPUTED_VALUE"""),"Зимняя вишня")</f>
        <v>Зимняя вишня</v>
      </c>
      <c r="AB1165" s="6" t="str">
        <f>IFERROR(__xludf.DUMMYFUNCTION("""COMPUTED_VALUE"""),"Спортивных")</f>
        <v>Спортивных</v>
      </c>
      <c r="AC1165" s="6" t="str">
        <f>IFERROR(__xludf.DUMMYFUNCTION("""COMPUTED_VALUE"""),"Открытие новых рабочих мест")</f>
        <v>Открытие новых рабочих мест</v>
      </c>
      <c r="AD1165"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165" s="6" t="str">
        <f>IFERROR(__xludf.DUMMYFUNCTION("""COMPUTED_VALUE"""),"Мужской")</f>
        <v>Мужской</v>
      </c>
      <c r="AF1165" s="6" t="str">
        <f>IFERROR(__xludf.DUMMYFUNCTION("""COMPUTED_VALUE"""),"30-44")</f>
        <v>30-44</v>
      </c>
      <c r="AG1165" s="6"/>
      <c r="AH1165" s="6"/>
      <c r="AI1165" s="6"/>
      <c r="AJ1165" s="6"/>
      <c r="AK1165" s="6"/>
      <c r="AL1165" s="6"/>
      <c r="AM1165" s="6"/>
    </row>
    <row r="1166">
      <c r="A1166" s="6">
        <v>1165.0</v>
      </c>
      <c r="B1166" s="6" t="str">
        <f>IFERROR(__xludf.DUMMYFUNCTION("""COMPUTED_VALUE"""),"школьник")</f>
        <v>школьник</v>
      </c>
      <c r="C1166" s="6" t="str">
        <f>IFERROR(__xludf.DUMMYFUNCTION("""COMPUTED_VALUE"""),"катание на самокате")</f>
        <v>катание на самокате</v>
      </c>
      <c r="D1166" s="6" t="str">
        <f>IFERROR(__xludf.DUMMYFUNCTION("""COMPUTED_VALUE"""),"Ленинский")</f>
        <v>Ленинский</v>
      </c>
      <c r="E1166" s="6" t="str">
        <f>IFERROR(__xludf.DUMMYFUNCTION("""COMPUTED_VALUE"""),"Бульвар Строителей")</f>
        <v>Бульвар Строителей</v>
      </c>
      <c r="F1166" s="6" t="str">
        <f>IFERROR(__xludf.DUMMYFUNCTION("""COMPUTED_VALUE"""),"Живу здесь с рождения")</f>
        <v>Живу здесь с рождения</v>
      </c>
      <c r="G1166" s="6" t="str">
        <f>IFERROR(__xludf.DUMMYFUNCTION("""COMPUTED_VALUE"""),"в ТЦ ""Лапландия"", тц ""Лето сити"", летом на Красное озеро")</f>
        <v>в ТЦ "Лапландия", тц "Лето сити", летом на Красное озеро</v>
      </c>
      <c r="H1166" s="6" t="str">
        <f>IFERROR(__xludf.DUMMYFUNCTION("""COMPUTED_VALUE"""),"Уголь, экология ,спокойствие")</f>
        <v>Уголь, экология ,спокойствие</v>
      </c>
      <c r="I1166" s="6" t="str">
        <f>IFERROR(__xludf.DUMMYFUNCTION("""COMPUTED_VALUE"""),"Михайло Волков ,Вера Волошина")</f>
        <v>Михайло Волков ,Вера Волошина</v>
      </c>
      <c r="J1166" s="6" t="str">
        <f>IFERROR(__xludf.DUMMYFUNCTION("""COMPUTED_VALUE"""),"Алексей Леонов, Аман Тулеев, Евгений Цивилёв")</f>
        <v>Алексей Леонов, Аман Тулеев, Евгений Цивилёв</v>
      </c>
      <c r="K1166" s="6" t="str">
        <f>IFERROR(__xludf.DUMMYFUNCTION("""COMPUTED_VALUE"""),"Музей ""Красная горка"", площадь Советов, парк Победы, парк Антошка")</f>
        <v>Музей "Красная горка", площадь Советов, парк Победы, парк Антошка</v>
      </c>
      <c r="L1166" s="6" t="str">
        <f>IFERROR(__xludf.DUMMYFUNCTION("""COMPUTED_VALUE"""),"Чтобы шахтёром называться, мало углём замараться.")</f>
        <v>Чтобы шахтёром называться, мало углём замараться.</v>
      </c>
      <c r="M1166" s="6" t="str">
        <f>IFERROR(__xludf.DUMMYFUNCTION("""COMPUTED_VALUE"""),"нет")</f>
        <v>нет</v>
      </c>
      <c r="N1166" s="6" t="str">
        <f>IFERROR(__xludf.DUMMYFUNCTION("""COMPUTED_VALUE"""),"Спокойный, чистый, безопасный, современный, уютный.")</f>
        <v>Спокойный, чистый, безопасный, современный, уютный.</v>
      </c>
      <c r="O1166" s="6" t="str">
        <f>IFERROR(__xludf.DUMMYFUNCTION("""COMPUTED_VALUE"""),"Отремонтировать дороги, школы, детские сады, открыть бесплатные секции для детей")</f>
        <v>Отремонтировать дороги, школы, детские сады, открыть бесплатные секции для детей</v>
      </c>
      <c r="P1166" s="6" t="str">
        <f>IFERROR(__xludf.DUMMYFUNCTION("""COMPUTED_VALUE"""),"Телеканал Россия 24 Кузбасс, газета А.42.ру")</f>
        <v>Телеканал Россия 24 Кузбасс, газета А.42.ру</v>
      </c>
      <c r="Q116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166" s="6" t="str">
        <f>IFERROR(__xludf.DUMMYFUNCTION("""COMPUTED_VALUE"""),"День Победы, день Шахтёра")</f>
        <v>День Победы, день Шахтёра</v>
      </c>
      <c r="S1166" s="6" t="str">
        <f>IFERROR(__xludf.DUMMYFUNCTION("""COMPUTED_VALUE"""),"Нет, не приходилось")</f>
        <v>Нет, не приходилось</v>
      </c>
      <c r="T1166" s="6" t="str">
        <f>IFERROR(__xludf.DUMMYFUNCTION("""COMPUTED_VALUE"""),"Кемерово- столица Кузбасса")</f>
        <v>Кемерово- столица Кузбасса</v>
      </c>
      <c r="U1166" s="6" t="str">
        <f>IFERROR(__xludf.DUMMYFUNCTION("""COMPUTED_VALUE"""),"площадь Советов")</f>
        <v>площадь Советов</v>
      </c>
      <c r="V1166" s="6" t="str">
        <f>IFERROR(__xludf.DUMMYFUNCTION("""COMPUTED_VALUE"""),"У нас много прославленных людей- шахтёров, врачей, космонавтов, военных")</f>
        <v>У нас много прославленных людей- шахтёров, врачей, космонавтов, военных</v>
      </c>
      <c r="W1166" s="6" t="str">
        <f>IFERROR(__xludf.DUMMYFUNCTION("""COMPUTED_VALUE"""),"Радушные")</f>
        <v>Радушные</v>
      </c>
      <c r="X1166" s="6" t="str">
        <f>IFERROR(__xludf.DUMMYFUNCTION("""COMPUTED_VALUE"""),"пр. Московский, Лесная Поляна")</f>
        <v>пр. Московский, Лесная Поляна</v>
      </c>
      <c r="Y1166" s="6" t="str">
        <f>IFERROR(__xludf.DUMMYFUNCTION("""COMPUTED_VALUE"""),"Был построен первый в Сибири коксохимический завод")</f>
        <v>Был построен первый в Сибири коксохимический завод</v>
      </c>
      <c r="Z1166" s="6" t="str">
        <f>IFERROR(__xludf.DUMMYFUNCTION("""COMPUTED_VALUE"""),"Открыли новый бульвар Строителей, достроили пр. Московский, открыли кадетское училище")</f>
        <v>Открыли новый бульвар Строителей, достроили пр. Московский, открыли кадетское училище</v>
      </c>
      <c r="AA1166" s="6" t="str">
        <f>IFERROR(__xludf.DUMMYFUNCTION("""COMPUTED_VALUE"""),"  Митинг за Навального")</f>
        <v>  Митинг за Навального</v>
      </c>
      <c r="AB1166" s="6" t="str">
        <f>IFERROR(__xludf.DUMMYFUNCTION("""COMPUTED_VALUE"""),"все хватает")</f>
        <v>все хватает</v>
      </c>
      <c r="AC1166" s="6" t="str">
        <f>IFERROR(__xludf.DUMMYFUNCTION("""COMPUTED_VALUE"""),"Фестивали, редко проходят праздники.")</f>
        <v>Фестивали, редко проходят праздники.</v>
      </c>
      <c r="AD116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166" s="6" t="str">
        <f>IFERROR(__xludf.DUMMYFUNCTION("""COMPUTED_VALUE"""),"Женский")</f>
        <v>Женский</v>
      </c>
      <c r="AF1166" s="6" t="str">
        <f>IFERROR(__xludf.DUMMYFUNCTION("""COMPUTED_VALUE"""),"30-44")</f>
        <v>30-44</v>
      </c>
      <c r="AG1166" s="6"/>
      <c r="AH1166" s="6"/>
      <c r="AI1166" s="6"/>
      <c r="AJ1166" s="6"/>
      <c r="AK1166" s="6"/>
      <c r="AL1166" s="6"/>
      <c r="AM1166" s="6"/>
    </row>
    <row r="1167">
      <c r="A1167" s="6">
        <v>1166.0</v>
      </c>
      <c r="B1167" s="6" t="str">
        <f>IFERROR(__xludf.DUMMYFUNCTION("""COMPUTED_VALUE"""),"Предприниматель ")</f>
        <v>Предприниматель </v>
      </c>
      <c r="C1167" s="6" t="str">
        <f>IFERROR(__xludf.DUMMYFUNCTION("""COMPUTED_VALUE"""),"Пазлы / раскраски Антистресс ")</f>
        <v>Пазлы / раскраски Антистресс </v>
      </c>
      <c r="D1167" s="6" t="str">
        <f>IFERROR(__xludf.DUMMYFUNCTION("""COMPUTED_VALUE"""),"Жилой район ягуновский /ягуновка. Сейчас переехала в заводский , называю «центр»")</f>
        <v>Жилой район ягуновский /ягуновка. Сейчас переехала в заводский , называю «центр»</v>
      </c>
      <c r="E1167" s="6" t="str">
        <f>IFERROR(__xludf.DUMMYFUNCTION("""COMPUTED_VALUE"""),"Полиция , парк ")</f>
        <v>Полиция , парк </v>
      </c>
      <c r="F1167" s="6" t="str">
        <f>IFERROR(__xludf.DUMMYFUNCTION("""COMPUTED_VALUE"""),"Живу здесь с рождения")</f>
        <v>Живу здесь с рождения</v>
      </c>
      <c r="G1167" s="6" t="str">
        <f>IFERROR(__xludf.DUMMYFUNCTION("""COMPUTED_VALUE"""),"Набережная, парк ангелов, сосновый Бор")</f>
        <v>Набережная, парк ангелов, сосновый Бор</v>
      </c>
      <c r="H1167" s="6" t="str">
        <f>IFERROR(__xludf.DUMMYFUNCTION("""COMPUTED_VALUE"""),"Шахта/уголь/грязь/огонь/темнота ")</f>
        <v>Шахта/уголь/грязь/огонь/темнота </v>
      </c>
      <c r="I1167" s="6" t="str">
        <f>IFERROR(__xludf.DUMMYFUNCTION("""COMPUTED_VALUE"""),"Волков ")</f>
        <v>Волков </v>
      </c>
      <c r="J1167" s="6" t="str">
        <f>IFERROR(__xludf.DUMMYFUNCTION("""COMPUTED_VALUE"""),"Тулеев")</f>
        <v>Тулеев</v>
      </c>
      <c r="K1167" s="6" t="str">
        <f>IFERROR(__xludf.DUMMYFUNCTION("""COMPUTED_VALUE"""),"Посоветовала бы уехать")</f>
        <v>Посоветовала бы уехать</v>
      </c>
      <c r="L1167" s="6" t="str">
        <f>IFERROR(__xludf.DUMMYFUNCTION("""COMPUTED_VALUE"""),".")</f>
        <v>.</v>
      </c>
      <c r="M1167" s="6" t="str">
        <f>IFERROR(__xludf.DUMMYFUNCTION("""COMPUTED_VALUE"""),"Кирыч")</f>
        <v>Кирыч</v>
      </c>
      <c r="N1167" s="6" t="str">
        <f>IFERROR(__xludf.DUMMYFUNCTION("""COMPUTED_VALUE"""),"Удобная инфраструктура (я инвалид и порой даже в больницу не попасть), освещение (на моей улице нет освещения), доступность транспортной развязки в любой точке города (от моего дома до остановки 2 километра , а я инвалид , напоминаю), возможность получать"&amp;" медицинское услуги не по знакомству , а по закону ")</f>
        <v>Удобная инфраструктура (я инвалид и порой даже в больницу не попасть), освещение (на моей улице нет освещения), доступность транспортной развязки в любой точке города (от моего дома до остановки 2 километра , а я инвалид , напоминаю), возможность получать медицинское услуги не по знакомству , а по закону </v>
      </c>
      <c r="O1167" s="6" t="str">
        <f>IFERROR(__xludf.DUMMYFUNCTION("""COMPUTED_VALUE"""),"Нужно просто начать слушать жителей. 
Все делается через письмо Путину, хотя решается на региональном уровне. В моём районе проблема с транспортом , дорогами и светом. Ко мне даже пожарная не проехала , когда был пожар.")</f>
        <v>Нужно просто начать слушать жителей. 
Все делается через письмо Путину, хотя решается на региональном уровне. В моём районе проблема с транспортом , дорогами и светом. Ко мне даже пожарная не проехала , когда был пожар.</v>
      </c>
      <c r="P1167" s="6" t="str">
        <f>IFERROR(__xludf.DUMMYFUNCTION("""COMPUTED_VALUE"""),"От друзей ")</f>
        <v>От друзей </v>
      </c>
      <c r="Q1167" s="6" t="str">
        <f>IFERROR(__xludf.DUMMYFUNCTION("""COMPUTED_VALUE"""),"культурные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1167" s="6" t="str">
        <f>IFERROR(__xludf.DUMMYFUNCTION("""COMPUTED_VALUE"""),"День защитника Отечества ")</f>
        <v>День защитника Отечества </v>
      </c>
      <c r="S1167" s="6" t="str">
        <f>IFERROR(__xludf.DUMMYFUNCTION("""COMPUTED_VALUE"""),"Нет, не приходилось")</f>
        <v>Нет, не приходилось</v>
      </c>
      <c r="T1167" s="6" t="str">
        <f>IFERROR(__xludf.DUMMYFUNCTION("""COMPUTED_VALUE"""),"Шахтами ")</f>
        <v>Шахтами </v>
      </c>
      <c r="U1167" s="6" t="str">
        <f>IFERROR(__xludf.DUMMYFUNCTION("""COMPUTED_VALUE"""),"Площадь советов ")</f>
        <v>Площадь советов </v>
      </c>
      <c r="V1167" s="6" t="str">
        <f>IFERROR(__xludf.DUMMYFUNCTION("""COMPUTED_VALUE"""),".")</f>
        <v>.</v>
      </c>
      <c r="W1167" s="6" t="str">
        <f>IFERROR(__xludf.DUMMYFUNCTION("""COMPUTED_VALUE"""),"Трудолюбивые ")</f>
        <v>Трудолюбивые </v>
      </c>
      <c r="X1167" s="6" t="str">
        <f>IFERROR(__xludf.DUMMYFUNCTION("""COMPUTED_VALUE"""),"От конца Зашахтовой до Масальской")</f>
        <v>От конца Зашахтовой до Масальской</v>
      </c>
      <c r="Y1167" s="6" t="str">
        <f>IFERROR(__xludf.DUMMYFUNCTION("""COMPUTED_VALUE"""),".")</f>
        <v>.</v>
      </c>
      <c r="Z1167" s="6" t="str">
        <f>IFERROR(__xludf.DUMMYFUNCTION("""COMPUTED_VALUE"""),".")</f>
        <v>.</v>
      </c>
      <c r="AA1167" s="6" t="str">
        <f>IFERROR(__xludf.DUMMYFUNCTION("""COMPUTED_VALUE"""),"Митинг в защищу Новального. Очень некрасиво себя повели власти ")</f>
        <v>Митинг в защищу Новального. Очень некрасиво себя повели власти </v>
      </c>
      <c r="AB1167" s="6" t="str">
        <f>IFERROR(__xludf.DUMMYFUNCTION("""COMPUTED_VALUE"""),".")</f>
        <v>.</v>
      </c>
      <c r="AC1167" s="6" t="str">
        <f>IFERROR(__xludf.DUMMYFUNCTION("""COMPUTED_VALUE"""),"Доступных мастер-классов")</f>
        <v>Доступных мастер-классов</v>
      </c>
      <c r="AD116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167" s="6" t="str">
        <f>IFERROR(__xludf.DUMMYFUNCTION("""COMPUTED_VALUE"""),"Женский")</f>
        <v>Женский</v>
      </c>
      <c r="AF1167" s="6" t="str">
        <f>IFERROR(__xludf.DUMMYFUNCTION("""COMPUTED_VALUE"""),"18-29")</f>
        <v>18-29</v>
      </c>
      <c r="AG1167" s="6"/>
      <c r="AH1167" s="6"/>
      <c r="AI1167" s="6"/>
      <c r="AJ1167" s="6"/>
      <c r="AK1167" s="6"/>
      <c r="AL1167" s="6"/>
      <c r="AM1167" s="6"/>
    </row>
    <row r="1168">
      <c r="A1168" s="6">
        <v>1167.0</v>
      </c>
      <c r="B1168" s="6" t="str">
        <f>IFERROR(__xludf.DUMMYFUNCTION("""COMPUTED_VALUE"""),"проектирование")</f>
        <v>проектирование</v>
      </c>
      <c r="C1168" s="6" t="str">
        <f>IFERROR(__xludf.DUMMYFUNCTION("""COMPUTED_VALUE"""),"фотогравия, шитье")</f>
        <v>фотогравия, шитье</v>
      </c>
      <c r="D1168" s="6" t="str">
        <f>IFERROR(__xludf.DUMMYFUNCTION("""COMPUTED_VALUE"""),"Заводский")</f>
        <v>Заводский</v>
      </c>
      <c r="E1168" s="6" t="str">
        <f>IFERROR(__xludf.DUMMYFUNCTION("""COMPUTED_VALUE"""),"никаких")</f>
        <v>никаких</v>
      </c>
      <c r="F1168" s="6" t="str">
        <f>IFERROR(__xludf.DUMMYFUNCTION("""COMPUTED_VALUE"""),"Переехал сюда из другого места (откуда? укажите в графе другое), Киселевск")</f>
        <v>Переехал сюда из другого места (откуда? укажите в графе другое), Киселевск</v>
      </c>
      <c r="G1168" s="6" t="str">
        <f>IFERROR(__xludf.DUMMYFUNCTION("""COMPUTED_VALUE"""),"проспект советский, набережная, комсомольский парк, сосновый бор, парк ангелов")</f>
        <v>проспект советский, набережная, комсомольский парк, сосновый бор, парк ангелов</v>
      </c>
      <c r="H1168" s="6" t="str">
        <f>IFERROR(__xludf.DUMMYFUNCTION("""COMPUTED_VALUE"""),"трубы, дым, уголь")</f>
        <v>трубы, дым, уголь</v>
      </c>
      <c r="I1168" s="6" t="str">
        <f>IFERROR(__xludf.DUMMYFUNCTION("""COMPUTED_VALUE"""),"Михайло Волков, Вера Волошина, Двужильный, ")</f>
        <v>Михайло Волков, Вера Волошина, Двужильный, </v>
      </c>
      <c r="J1168" s="6" t="str">
        <f>IFERROR(__xludf.DUMMYFUNCTION("""COMPUTED_VALUE"""),"затрудняюсь ответить")</f>
        <v>затрудняюсь ответить</v>
      </c>
      <c r="K1168" s="6" t="str">
        <f>IFERROR(__xludf.DUMMYFUNCTION("""COMPUTED_VALUE"""),"Шахтер с горящим сердцем, Томская писаница, парк ангелов, фонтан возле филармонии, музей на красной горке")</f>
        <v>Шахтер с горящим сердцем, Томская писаница, парк ангелов, фонтан возле филармонии, музей на красной горке</v>
      </c>
      <c r="L1168" s="6" t="str">
        <f>IFERROR(__xludf.DUMMYFUNCTION("""COMPUTED_VALUE"""),"затрудняюсь ответить")</f>
        <v>затрудняюсь ответить</v>
      </c>
      <c r="M1168" s="6" t="str">
        <f>IFERROR(__xludf.DUMMYFUNCTION("""COMPUTED_VALUE"""),"колба")</f>
        <v>колба</v>
      </c>
      <c r="N1168" s="6" t="str">
        <f>IFERROR(__xludf.DUMMYFUNCTION("""COMPUTED_VALUE"""),"экологичность, наличие парков, скверов, мест отдыха, забота об инвалидах и пожилых людях, наличие площадок для занятия спортом, комфортный и доступный городской транспорт")</f>
        <v>экологичность, наличие парков, скверов, мест отдыха, забота об инвалидах и пожилых людях, наличие площадок для занятия спортом, комфортный и доступный городской транспорт</v>
      </c>
      <c r="O1168" s="6" t="str">
        <f>IFERROR(__xludf.DUMMYFUNCTION("""COMPUTED_VALUE"""),"не хватает мест для отдыха и прогулок; городская среда не продумана для инвалидов, пожилым людям трудно передвигаться и нет мест для их отдыха, мало мест для занятия спортом самостоятельно - нет дорожек для бега, нехватка бассейнов, мало секций для заняти"&amp;"я спортом пожилым. Ремонт дорог не затрагивает окраины города. Изменить схему движения автобусов, в частности по ул. Сибиряков-Гвардейцев ходят только 35, 13 и 37 маршруты и только по части улицы, когда проспект Ленина перегружен автобусами и маршруты 22,"&amp;" 6 и 81 ходят почти пустые. Не хватает мест для отдыха летом - городские пляжи грязные и переполненные. Томь стала заметно грязнее.")</f>
        <v>не хватает мест для отдыха и прогулок; городская среда не продумана для инвалидов, пожилым людям трудно передвигаться и нет мест для их отдыха, мало мест для занятия спортом самостоятельно - нет дорожек для бега, нехватка бассейнов, мало секций для занятия спортом пожилым. Ремонт дорог не затрагивает окраины города. Изменить схему движения автобусов, в частности по ул. Сибиряков-Гвардейцев ходят только 35, 13 и 37 маршруты и только по части улицы, когда проспект Ленина перегружен автобусами и маршруты 22, 6 и 81 ходят почти пустые. Не хватает мест для отдыха летом - городские пляжи грязные и переполненные. Томь стала заметно грязнее.</v>
      </c>
      <c r="P1168" s="6" t="str">
        <f>IFERROR(__xludf.DUMMYFUNCTION("""COMPUTED_VALUE"""),"все42")</f>
        <v>все42</v>
      </c>
      <c r="Q1168"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1168" s="6" t="str">
        <f>IFERROR(__xludf.DUMMYFUNCTION("""COMPUTED_VALUE"""),"Новый год, 9 мая")</f>
        <v>Новый год, 9 мая</v>
      </c>
      <c r="S1168" s="6" t="str">
        <f>IFERROR(__xludf.DUMMYFUNCTION("""COMPUTED_VALUE"""),"Нет, не приходилось")</f>
        <v>Нет, не приходилось</v>
      </c>
      <c r="T1168" s="6" t="str">
        <f>IFERROR(__xludf.DUMMYFUNCTION("""COMPUTED_VALUE"""),"открытие угля, его добыча")</f>
        <v>открытие угля, его добыча</v>
      </c>
      <c r="U1168" s="6" t="str">
        <f>IFERROR(__xludf.DUMMYFUNCTION("""COMPUTED_VALUE"""),"памятник Михайло Волкову, площадь Советов и шахтер с горящим сердцем")</f>
        <v>памятник Михайло Волкову, площадь Советов и шахтер с горящим сердцем</v>
      </c>
      <c r="V1168" s="6" t="str">
        <f>IFERROR(__xludf.DUMMYFUNCTION("""COMPUTED_VALUE"""),"копикуз")</f>
        <v>копикуз</v>
      </c>
      <c r="W1168" s="6" t="str">
        <f>IFERROR(__xludf.DUMMYFUNCTION("""COMPUTED_VALUE"""),"обычные люди")</f>
        <v>обычные люди</v>
      </c>
      <c r="X1168" s="6" t="str">
        <f>IFERROR(__xludf.DUMMYFUNCTION("""COMPUTED_VALUE"""),"красная горка - по мосту до парка чудес- проспект советсвий до филармонии потом по парку Жукова и Антошки до парка ангелов и к памятнику Михайло Волкову")</f>
        <v>красная горка - по мосту до парка чудес- проспект советсвий до филармонии потом по парку Жукова и Антошки до парка ангелов и к памятнику Михайло Волкову</v>
      </c>
      <c r="Y1168" s="6" t="str">
        <f>IFERROR(__xludf.DUMMYFUNCTION("""COMPUTED_VALUE"""),"пожар в Зимней вишне")</f>
        <v>пожар в Зимней вишне</v>
      </c>
      <c r="Z1168" s="6" t="str">
        <f>IFERROR(__xludf.DUMMYFUNCTION("""COMPUTED_VALUE"""),"открытие парка ангелов, расчистка искитимки, реконструкция бульвара строителей")</f>
        <v>открытие парка ангелов, расчистка искитимки, реконструкция бульвара строителей</v>
      </c>
      <c r="AA1168" s="6" t="str">
        <f>IFERROR(__xludf.DUMMYFUNCTION("""COMPUTED_VALUE"""),"закрытие бассейна Лазурный, снос старого ботанического сада")</f>
        <v>закрытие бассейна Лазурный, снос старого ботанического сада</v>
      </c>
      <c r="AB1168" s="6" t="str">
        <f>IFERROR(__xludf.DUMMYFUNCTION("""COMPUTED_VALUE"""),"затрудняюсь ответить")</f>
        <v>затрудняюсь ответить</v>
      </c>
      <c r="AC1168" s="6" t="str">
        <f>IFERROR(__xludf.DUMMYFUNCTION("""COMPUTED_VALUE"""),"украшение города к праздникам не только в центре, но и на окраинах, открытие новых парков и скверов, реконструкция старых, создание рекортановых беговых дорожек для население, а не только возле школ, расчистка и строительство набережной Искитимки. Создани"&amp;"е парка в Заводском районе")</f>
        <v>украшение города к праздникам не только в центре, но и на окраинах, открытие новых парков и скверов, реконструкция старых, создание рекортановых беговых дорожек для население, а не только возле школ, расчистка и строительство набережной Искитимки. Создание парка в Заводском районе</v>
      </c>
      <c r="AD116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68" s="6" t="str">
        <f>IFERROR(__xludf.DUMMYFUNCTION("""COMPUTED_VALUE"""),"Женский")</f>
        <v>Женский</v>
      </c>
      <c r="AF1168" s="6" t="str">
        <f>IFERROR(__xludf.DUMMYFUNCTION("""COMPUTED_VALUE"""),"30-44")</f>
        <v>30-44</v>
      </c>
      <c r="AG1168" s="6"/>
      <c r="AH1168" s="6"/>
      <c r="AI1168" s="6"/>
      <c r="AJ1168" s="6"/>
      <c r="AK1168" s="6"/>
      <c r="AL1168" s="6"/>
      <c r="AM1168" s="6"/>
    </row>
    <row r="1169">
      <c r="A1169" s="6">
        <v>1168.0</v>
      </c>
      <c r="B1169" s="6" t="str">
        <f>IFERROR(__xludf.DUMMYFUNCTION("""COMPUTED_VALUE"""),"Школа")</f>
        <v>Школа</v>
      </c>
      <c r="C1169" s="6" t="str">
        <f>IFERROR(__xludf.DUMMYFUNCTION("""COMPUTED_VALUE"""),"спорт воздушная гимнастика")</f>
        <v>спорт воздушная гимнастика</v>
      </c>
      <c r="D1169" s="6" t="str">
        <f>IFERROR(__xludf.DUMMYFUNCTION("""COMPUTED_VALUE"""),"Город Кемерово")</f>
        <v>Город Кемерово</v>
      </c>
      <c r="E1169" s="6" t="str">
        <f>IFERROR(__xludf.DUMMYFUNCTION("""COMPUTED_VALUE"""),"Школа24")</f>
        <v>Школа24</v>
      </c>
      <c r="F1169" s="6" t="str">
        <f>IFERROR(__xludf.DUMMYFUNCTION("""COMPUTED_VALUE"""),"Живу здесь с рождения, Родился здесь,но сейчас живу в другом городе")</f>
        <v>Живу здесь с рождения, Родился здесь,но сейчас живу в другом городе</v>
      </c>
      <c r="G1169" s="6" t="str">
        <f>IFERROR(__xludf.DUMMYFUNCTION("""COMPUTED_VALUE"""),"В спорт")</f>
        <v>В спорт</v>
      </c>
      <c r="H1169" s="6" t="str">
        <f>IFERROR(__xludf.DUMMYFUNCTION("""COMPUTED_VALUE"""),"Спорт")</f>
        <v>Спорт</v>
      </c>
      <c r="I1169" s="6" t="str">
        <f>IFERROR(__xludf.DUMMYFUNCTION("""COMPUTED_VALUE"""),"Алексей Леонов")</f>
        <v>Алексей Леонов</v>
      </c>
      <c r="J1169" s="6" t="str">
        <f>IFERROR(__xludf.DUMMYFUNCTION("""COMPUTED_VALUE"""),"Дк ш")</f>
        <v>Дк ш</v>
      </c>
      <c r="K1169" s="6" t="str">
        <f>IFERROR(__xludf.DUMMYFUNCTION("""COMPUTED_VALUE"""),"Михайло Волков")</f>
        <v>Михайло Волков</v>
      </c>
      <c r="L1169" s="6" t="str">
        <f>IFERROR(__xludf.DUMMYFUNCTION("""COMPUTED_VALUE"""),"кто не работает тот и не ест")</f>
        <v>кто не работает тот и не ест</v>
      </c>
      <c r="M1169" s="6" t="str">
        <f>IFERROR(__xludf.DUMMYFUNCTION("""COMPUTED_VALUE"""),"нет")</f>
        <v>нет</v>
      </c>
      <c r="N1169" s="6" t="str">
        <f>IFERROR(__xludf.DUMMYFUNCTION("""COMPUTED_VALUE"""),"тц,магазин,центр,")</f>
        <v>тц,магазин,центр,</v>
      </c>
      <c r="O1169" s="6" t="str">
        <f>IFERROR(__xludf.DUMMYFUNCTION("""COMPUTED_VALUE"""),"Площядь Советов")</f>
        <v>Площядь Советов</v>
      </c>
      <c r="P1169" s="6" t="str">
        <f>IFERROR(__xludf.DUMMYFUNCTION("""COMPUTED_VALUE"""),"Алиса")</f>
        <v>Алиса</v>
      </c>
      <c r="Q116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крим"&amp;"инальные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169" s="6" t="str">
        <f>IFERROR(__xludf.DUMMYFUNCTION("""COMPUTED_VALUE"""),"Дни рождения")</f>
        <v>Дни рождения</v>
      </c>
      <c r="S1169" s="6" t="str">
        <f>IFERROR(__xludf.DUMMYFUNCTION("""COMPUTED_VALUE"""),"Писал и расклеивал объявления/афиши, Через социальные сети (Какие? Укажите в графе другое)")</f>
        <v>Писал и расклеивал объявления/афиши, Через социальные сети (Какие? Укажите в графе другое)</v>
      </c>
      <c r="T1169" s="6" t="str">
        <f>IFERROR(__xludf.DUMMYFUNCTION("""COMPUTED_VALUE"""),"Вера Волошина")</f>
        <v>Вера Волошина</v>
      </c>
      <c r="U1169" s="6" t="str">
        <f>IFERROR(__xludf.DUMMYFUNCTION("""COMPUTED_VALUE"""),"памятник Михайло Волкова")</f>
        <v>памятник Михайло Волкова</v>
      </c>
      <c r="V1169" s="6" t="str">
        <f>IFERROR(__xludf.DUMMYFUNCTION("""COMPUTED_VALUE"""),"лапландия")</f>
        <v>лапландия</v>
      </c>
      <c r="W1169" s="6" t="str">
        <f>IFERROR(__xludf.DUMMYFUNCTION("""COMPUTED_VALUE"""),"добрые")</f>
        <v>добрые</v>
      </c>
      <c r="X1169" s="6" t="str">
        <f>IFERROR(__xludf.DUMMYFUNCTION("""COMPUTED_VALUE"""),"не знаю")</f>
        <v>не знаю</v>
      </c>
      <c r="Y1169" s="6" t="str">
        <f>IFERROR(__xludf.DUMMYFUNCTION("""COMPUTED_VALUE"""),"Михайло Волков ")</f>
        <v>Михайло Волков </v>
      </c>
      <c r="Z1169" s="6" t="str">
        <f>IFERROR(__xludf.DUMMYFUNCTION("""COMPUTED_VALUE"""),"Съездила за гроницу")</f>
        <v>Съездила за гроницу</v>
      </c>
      <c r="AA1169" s="6" t="str">
        <f>IFERROR(__xludf.DUMMYFUNCTION("""COMPUTED_VALUE"""),"никаких")</f>
        <v>никаких</v>
      </c>
      <c r="AB1169" s="6" t="str">
        <f>IFERROR(__xludf.DUMMYFUNCTION("""COMPUTED_VALUE"""),"такси")</f>
        <v>такси</v>
      </c>
      <c r="AC1169" s="6" t="str">
        <f>IFERROR(__xludf.DUMMYFUNCTION("""COMPUTED_VALUE"""),"Кемерово сити")</f>
        <v>Кемерово сити</v>
      </c>
      <c r="AD116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Не готов принимать личное участие (укажите, пожалуйста, причину в поле «Другое»)")</f>
        <v>Организатора. Собрать соседей/знакомых для обсуждения и решения районных и городских проблем, собрать подписи, поучаствовать в организации., Не готов принимать личное участие (укажите, пожалуйста, причину в поле «Другое»)</v>
      </c>
      <c r="AE1169" s="6" t="str">
        <f>IFERROR(__xludf.DUMMYFUNCTION("""COMPUTED_VALUE"""),"Женский")</f>
        <v>Женский</v>
      </c>
      <c r="AF1169" s="6" t="str">
        <f>IFERROR(__xludf.DUMMYFUNCTION("""COMPUTED_VALUE"""),"18-29")</f>
        <v>18-29</v>
      </c>
      <c r="AG1169" s="6"/>
      <c r="AH1169" s="6"/>
      <c r="AI1169" s="6"/>
      <c r="AJ1169" s="6"/>
      <c r="AK1169" s="6"/>
      <c r="AL1169" s="6"/>
      <c r="AM1169" s="6"/>
    </row>
    <row r="1170">
      <c r="A1170" s="6">
        <v>1169.0</v>
      </c>
      <c r="B1170" s="6" t="str">
        <f>IFERROR(__xludf.DUMMYFUNCTION("""COMPUTED_VALUE"""),"Образование")</f>
        <v>Образование</v>
      </c>
      <c r="C1170" s="6" t="str">
        <f>IFERROR(__xludf.DUMMYFUNCTION("""COMPUTED_VALUE"""),"Спорт, микология, чтение, музыка")</f>
        <v>Спорт, микология, чтение, музыка</v>
      </c>
      <c r="D1170" s="6" t="str">
        <f>IFERROR(__xludf.DUMMYFUNCTION("""COMPUTED_VALUE"""),"Заводский, Южный")</f>
        <v>Заводский, Южный</v>
      </c>
      <c r="E1170" s="6" t="str">
        <f>IFERROR(__xludf.DUMMYFUNCTION("""COMPUTED_VALUE"""),"Памятники Гагарину, Якунину, церковь")</f>
        <v>Памятники Гагарину, Якунину, церковь</v>
      </c>
      <c r="F1170" s="6" t="str">
        <f>IFERROR(__xludf.DUMMYFUNCTION("""COMPUTED_VALUE"""),"Переехал сюда из другого места (откуда? укажите в графе другое), П. Тяжин")</f>
        <v>Переехал сюда из другого места (откуда? укажите в графе другое), П. Тяжин</v>
      </c>
      <c r="G1170" s="6" t="str">
        <f>IFERROR(__xludf.DUMMYFUNCTION("""COMPUTED_VALUE"""),"Парки, набережная")</f>
        <v>Парки, набережная</v>
      </c>
      <c r="H1170" s="6" t="str">
        <f>IFERROR(__xludf.DUMMYFUNCTION("""COMPUTED_VALUE"""),"Уголь, металлургия, заводы, производство, Томь")</f>
        <v>Уголь, металлургия, заводы, производство, Томь</v>
      </c>
      <c r="I1170" s="6" t="str">
        <f>IFERROR(__xludf.DUMMYFUNCTION("""COMPUTED_VALUE"""),"Волошина, Двужильный, Мартемьянов")</f>
        <v>Волошина, Двужильный, Мартемьянов</v>
      </c>
      <c r="J1170" s="6" t="str">
        <f>IFERROR(__xludf.DUMMYFUNCTION("""COMPUTED_VALUE"""),"Цивилёв, Тулеев")</f>
        <v>Цивилёв, Тулеев</v>
      </c>
      <c r="K1170" s="6" t="str">
        <f>IFERROR(__xludf.DUMMYFUNCTION("""COMPUTED_VALUE"""),"Памятник Шахтерам, набережная")</f>
        <v>Памятник Шахтерам, набережная</v>
      </c>
      <c r="L1170" s="6" t="str">
        <f>IFERROR(__xludf.DUMMYFUNCTION("""COMPUTED_VALUE"""),"Хороший город Кемерово, но все уехать хотят, потому что дышать нечем")</f>
        <v>Хороший город Кемерово, но все уехать хотят, потому что дышать нечем</v>
      </c>
      <c r="M1170" s="6" t="str">
        <f>IFERROR(__xludf.DUMMYFUNCTION("""COMPUTED_VALUE"""),"Котлета")</f>
        <v>Котлета</v>
      </c>
      <c r="N1170" s="6" t="str">
        <f>IFERROR(__xludf.DUMMYFUNCTION("""COMPUTED_VALUE"""),"Инфраструктура, доступность, компактность, медицина, дороги")</f>
        <v>Инфраструктура, доступность, компактность, медицина, дороги</v>
      </c>
      <c r="O1170" s="6" t="str">
        <f>IFERROR(__xludf.DUMMYFUNCTION("""COMPUTED_VALUE"""),"Экологию")</f>
        <v>Экологию</v>
      </c>
      <c r="P1170" s="6" t="str">
        <f>IFERROR(__xludf.DUMMYFUNCTION("""COMPUTED_VALUE"""),"Из комплекса ресурсов")</f>
        <v>Из комплекса ресурсов</v>
      </c>
      <c r="Q1170" s="6" t="str">
        <f>IFERROR(__xludf.DUMMYFUNCTION("""COMPUTED_VALUE"""),"городская афиша (кино/театр/концерты), интервью с местными творческими личностями, криминальные новости (происшествия/преступления)")</f>
        <v>городская афиша (кино/театр/концерты), интервью с местными творческими личностями, криминальные новости (происшествия/преступления)</v>
      </c>
      <c r="R1170" s="6" t="str">
        <f>IFERROR(__xludf.DUMMYFUNCTION("""COMPUTED_VALUE"""),"День города")</f>
        <v>День города</v>
      </c>
      <c r="S1170" s="6" t="str">
        <f>IFERROR(__xludf.DUMMYFUNCTION("""COMPUTED_VALUE"""),"Соорганизатор масляницы")</f>
        <v>Соорганизатор масляницы</v>
      </c>
      <c r="T1170" s="6" t="str">
        <f>IFERROR(__xludf.DUMMYFUNCTION("""COMPUTED_VALUE"""),"Промышленностью. Компактность и доступность инфраструктуры")</f>
        <v>Промышленностью. Компактность и доступность инфраструктуры</v>
      </c>
      <c r="U1170" s="6" t="str">
        <f>IFERROR(__xludf.DUMMYFUNCTION("""COMPUTED_VALUE"""),"Вечный огонь")</f>
        <v>Вечный огонь</v>
      </c>
      <c r="V1170" s="6" t="str">
        <f>IFERROR(__xludf.DUMMYFUNCTION("""COMPUTED_VALUE"""),"Построили заводы, спортобъекты, медучреждения, дороги и мосты, парки")</f>
        <v>Построили заводы, спортобъекты, медучреждения, дороги и мосты, парки</v>
      </c>
      <c r="W1170" s="6" t="str">
        <f>IFERROR(__xludf.DUMMYFUNCTION("""COMPUTED_VALUE""")," Жители работоспособны, со стержнем в нутри")</f>
        <v> Жители работоспособны, со стержнем в нутри</v>
      </c>
      <c r="X1170" s="6" t="str">
        <f>IFERROR(__xludf.DUMMYFUNCTION("""COMPUTED_VALUE"""),"Набережная - Красная горка")</f>
        <v>Набережная - Красная горка</v>
      </c>
      <c r="Y1170" s="6" t="str">
        <f>IFERROR(__xludf.DUMMYFUNCTION("""COMPUTED_VALUE"""),"Смена Губернатора")</f>
        <v>Смена Губернатора</v>
      </c>
      <c r="Z1170" s="6" t="str">
        <f>IFERROR(__xludf.DUMMYFUNCTION("""COMPUTED_VALUE"""),"Строительство спортобъектов")</f>
        <v>Строительство спортобъектов</v>
      </c>
      <c r="AA1170" s="6" t="str">
        <f>IFERROR(__xludf.DUMMYFUNCTION("""COMPUTED_VALUE"""),"Акции протеста")</f>
        <v>Акции протеста</v>
      </c>
      <c r="AB1170" s="6" t="str">
        <f>IFERROR(__xludf.DUMMYFUNCTION("""COMPUTED_VALUE"""),"Всего достаточно")</f>
        <v>Всего достаточно</v>
      </c>
      <c r="AC1170" s="6" t="str">
        <f>IFERROR(__xludf.DUMMYFUNCTION("""COMPUTED_VALUE"""),"Экологические мероприятия, позволяющие нормы ЗВ сделать в пределах ПДК")</f>
        <v>Экологические мероприятия, позволяющие нормы ЗВ сделать в пределах ПДК</v>
      </c>
      <c r="AD1170"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непосредств"&amp;"енно во время реализации проекта, Коммуникатора: Готов задействовать свои знакомства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170" s="6" t="str">
        <f>IFERROR(__xludf.DUMMYFUNCTION("""COMPUTED_VALUE"""),"Мужской")</f>
        <v>Мужской</v>
      </c>
      <c r="AF1170" s="6" t="str">
        <f>IFERROR(__xludf.DUMMYFUNCTION("""COMPUTED_VALUE"""),"30-44")</f>
        <v>30-44</v>
      </c>
      <c r="AG1170" s="6"/>
      <c r="AH1170" s="6"/>
      <c r="AI1170" s="6"/>
      <c r="AJ1170" s="6"/>
      <c r="AK1170" s="6"/>
      <c r="AL1170" s="6"/>
      <c r="AM1170" s="6"/>
    </row>
    <row r="1171">
      <c r="A1171" s="6">
        <v>1170.0</v>
      </c>
      <c r="B1171" s="6" t="str">
        <f>IFERROR(__xludf.DUMMYFUNCTION("""COMPUTED_VALUE"""),"Медицина")</f>
        <v>Медицина</v>
      </c>
      <c r="C1171" s="6" t="str">
        <f>IFERROR(__xludf.DUMMYFUNCTION("""COMPUTED_VALUE"""),"Да, шитье. Туризм. Рисование. ")</f>
        <v>Да, шитье. Туризм. Рисование. </v>
      </c>
      <c r="D1171" s="6" t="str">
        <f>IFERROR(__xludf.DUMMYFUNCTION("""COMPUTED_VALUE"""),"Андреевка. Кузбасс")</f>
        <v>Андреевка. Кузбасс</v>
      </c>
      <c r="E1171" s="6" t="str">
        <f>IFERROR(__xludf.DUMMYFUNCTION("""COMPUTED_VALUE"""),"Лес. Церковь")</f>
        <v>Лес. Церковь</v>
      </c>
      <c r="F1171" s="6" t="str">
        <f>IFERROR(__xludf.DUMMYFUNCTION("""COMPUTED_VALUE"""),"Живу здесь с рождения")</f>
        <v>Живу здесь с рождения</v>
      </c>
      <c r="G1171" s="6" t="str">
        <f>IFERROR(__xludf.DUMMYFUNCTION("""COMPUTED_VALUE"""),"Сосновый бор. Набережная кировского района. Городской сад(парк чудес) ")</f>
        <v>Сосновый бор. Набережная кировского района. Городской сад(парк чудес) </v>
      </c>
      <c r="H1171" s="6" t="str">
        <f>IFERROR(__xludf.DUMMYFUNCTION("""COMPUTED_VALUE"""),"Чисто, уютно, красиво, скучно, ")</f>
        <v>Чисто, уютно, красиво, скучно, </v>
      </c>
      <c r="I1171" s="6" t="str">
        <f>IFERROR(__xludf.DUMMYFUNCTION("""COMPUTED_VALUE"""),"Волков, Подгорбунский, Леонов. ")</f>
        <v>Волков, Подгорбунский, Леонов. </v>
      </c>
      <c r="J1171" s="6" t="str">
        <f>IFERROR(__xludf.DUMMYFUNCTION("""COMPUTED_VALUE"""),"Незнаю")</f>
        <v>Незнаю</v>
      </c>
      <c r="K1171" s="6" t="str">
        <f>IFERROR(__xludf.DUMMYFUNCTION("""COMPUTED_VALUE"""),"Фонтан, драм.театр, филармония. Парк Жукова. Сердце шахтёра, красная горка. Краееведческий музей. ")</f>
        <v>Фонтан, драм.театр, филармония. Парк Жукова. Сердце шахтёра, красная горка. Краееведческий музей. </v>
      </c>
      <c r="L1171" s="6" t="str">
        <f>IFERROR(__xludf.DUMMYFUNCTION("""COMPUTED_VALUE"""),"Незнаю")</f>
        <v>Незнаю</v>
      </c>
      <c r="M1171" s="6" t="str">
        <f>IFERROR(__xludf.DUMMYFUNCTION("""COMPUTED_VALUE"""),"Нет")</f>
        <v>Нет</v>
      </c>
      <c r="N1171" s="6" t="str">
        <f>IFERROR(__xludf.DUMMYFUNCTION("""COMPUTED_VALUE"""),"Все в близкой доступности, т к город маленький. Пробки. Много заводов. Мало достойных высших учебных заведений. Мало мест для реализации себч")</f>
        <v>Все в близкой доступности, т к город маленький. Пробки. Много заводов. Мало достойных высших учебных заведений. Мало мест для реализации себч</v>
      </c>
      <c r="O1171" s="6" t="str">
        <f>IFERROR(__xludf.DUMMYFUNCTION("""COMPUTED_VALUE"""),"Больше мест для семейного отдыха")</f>
        <v>Больше мест для семейного отдыха</v>
      </c>
      <c r="P1171" s="6" t="str">
        <f>IFERROR(__xludf.DUMMYFUNCTION("""COMPUTED_VALUE"""),"Новости 42.ру")</f>
        <v>Новости 42.ру</v>
      </c>
      <c r="Q1171" s="6" t="str">
        <f>IFERROR(__xludf.DUMMYFUNCTION("""COMPUTED_VALUE"""),"городская афиша (кино/театр/концерты)")</f>
        <v>городская афиша (кино/театр/концерты)</v>
      </c>
      <c r="R1171" s="6" t="str">
        <f>IFERROR(__xludf.DUMMYFUNCTION("""COMPUTED_VALUE"""),"День города, 9 мая. ")</f>
        <v>День города, 9 мая. </v>
      </c>
      <c r="S1171" s="6" t="str">
        <f>IFERROR(__xludf.DUMMYFUNCTION("""COMPUTED_VALUE"""),"Нет, не приходилось")</f>
        <v>Нет, не приходилось</v>
      </c>
      <c r="T1171" s="6" t="str">
        <f>IFERROR(__xludf.DUMMYFUNCTION("""COMPUTED_VALUE"""),"Красная горка. Уголь")</f>
        <v>Красная горка. Уголь</v>
      </c>
      <c r="U1171" s="6" t="str">
        <f>IFERROR(__xludf.DUMMYFUNCTION("""COMPUTED_VALUE"""),"Кирова, Советский")</f>
        <v>Кирова, Советский</v>
      </c>
      <c r="V1171" s="6" t="str">
        <f>IFERROR(__xludf.DUMMYFUNCTION("""COMPUTED_VALUE"""),"памятник сердце шахтера")</f>
        <v>памятник сердце шахтера</v>
      </c>
      <c r="W1171" s="6" t="str">
        <f>IFERROR(__xludf.DUMMYFUNCTION("""COMPUTED_VALUE"""),"Добрые, суетливые. Трудоголики ")</f>
        <v>Добрые, суетливые. Трудоголики </v>
      </c>
      <c r="X1171" s="6" t="str">
        <f>IFERROR(__xludf.DUMMYFUNCTION("""COMPUTED_VALUE"""),"Парк чудес")</f>
        <v>Парк чудес</v>
      </c>
      <c r="Y1171" s="6" t="str">
        <f>IFERROR(__xludf.DUMMYFUNCTION("""COMPUTED_VALUE"""),"75 лет победе")</f>
        <v>75 лет победе</v>
      </c>
      <c r="Z1171" s="6" t="str">
        <f>IFERROR(__xludf.DUMMYFUNCTION("""COMPUTED_VALUE"""),"Никакие")</f>
        <v>Никакие</v>
      </c>
      <c r="AA1171" s="6" t="str">
        <f>IFERROR(__xludf.DUMMYFUNCTION("""COMPUTED_VALUE"""),"Пожар в зимней вишне")</f>
        <v>Пожар в зимней вишне</v>
      </c>
      <c r="AB1171" s="6" t="str">
        <f>IFERROR(__xludf.DUMMYFUNCTION("""COMPUTED_VALUE"""),"Я интроверт")</f>
        <v>Я интроверт</v>
      </c>
      <c r="AC1171" s="6" t="str">
        <f>IFERROR(__xludf.DUMMYFUNCTION("""COMPUTED_VALUE"""),"Больше праздника. ")</f>
        <v>Больше праздника. </v>
      </c>
      <c r="AD117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71" s="6" t="str">
        <f>IFERROR(__xludf.DUMMYFUNCTION("""COMPUTED_VALUE"""),"Женский")</f>
        <v>Женский</v>
      </c>
      <c r="AF1171" s="6" t="str">
        <f>IFERROR(__xludf.DUMMYFUNCTION("""COMPUTED_VALUE"""),"30-44")</f>
        <v>30-44</v>
      </c>
      <c r="AG1171" s="6"/>
      <c r="AH1171" s="6"/>
      <c r="AI1171" s="6"/>
      <c r="AJ1171" s="6"/>
      <c r="AK1171" s="6"/>
      <c r="AL1171" s="6"/>
      <c r="AM1171" s="6"/>
    </row>
    <row r="1172">
      <c r="A1172" s="6">
        <v>1171.0</v>
      </c>
      <c r="B1172" s="6" t="str">
        <f>IFERROR(__xludf.DUMMYFUNCTION("""COMPUTED_VALUE"""),"Учёба")</f>
        <v>Учёба</v>
      </c>
      <c r="C1172" s="6" t="str">
        <f>IFERROR(__xludf.DUMMYFUNCTION("""COMPUTED_VALUE"""),"Нет")</f>
        <v>Нет</v>
      </c>
      <c r="D1172" s="6" t="str">
        <f>IFERROR(__xludf.DUMMYFUNCTION("""COMPUTED_VALUE"""),"В жилом районе Кедровка")</f>
        <v>В жилом районе Кедровка</v>
      </c>
      <c r="E1172" s="6" t="str">
        <f>IFERROR(__xludf.DUMMYFUNCTION("""COMPUTED_VALUE"""),"Дворец культуры ""Содружество"" ")</f>
        <v>Дворец культуры "Содружество" </v>
      </c>
      <c r="F1172" s="6" t="str">
        <f>IFERROR(__xludf.DUMMYFUNCTION("""COMPUTED_VALUE"""),"Живу здесь с рождения")</f>
        <v>Живу здесь с рождения</v>
      </c>
      <c r="G1172" s="6" t="str">
        <f>IFERROR(__xludf.DUMMYFUNCTION("""COMPUTED_VALUE"""),"На стадион ""Горняк""")</f>
        <v>На стадион "Горняк"</v>
      </c>
      <c r="H1172" s="6" t="str">
        <f>IFERROR(__xludf.DUMMYFUNCTION("""COMPUTED_VALUE"""),"300 лет Кузбасс ")</f>
        <v>300 лет Кузбасс </v>
      </c>
      <c r="I1172" s="6" t="str">
        <f>IFERROR(__xludf.DUMMYFUNCTION("""COMPUTED_VALUE"""),"Алла Пугачёва, Алексей Леонов")</f>
        <v>Алла Пугачёва, Алексей Леонов</v>
      </c>
      <c r="J1172" s="6" t="str">
        <f>IFERROR(__xludf.DUMMYFUNCTION("""COMPUTED_VALUE"""),"Не знаю")</f>
        <v>Не знаю</v>
      </c>
      <c r="K1172" s="6" t="str">
        <f>IFERROR(__xludf.DUMMYFUNCTION("""COMPUTED_VALUE"""),"Не знаю, я там редко бываю")</f>
        <v>Не знаю, я там редко бываю</v>
      </c>
      <c r="L1172" s="6" t="str">
        <f>IFERROR(__xludf.DUMMYFUNCTION("""COMPUTED_VALUE"""),"Не знаю ")</f>
        <v>Не знаю </v>
      </c>
      <c r="M1172" s="6" t="str">
        <f>IFERROR(__xludf.DUMMYFUNCTION("""COMPUTED_VALUE"""),"Нет")</f>
        <v>Нет</v>
      </c>
      <c r="N1172" s="6" t="str">
        <f>IFERROR(__xludf.DUMMYFUNCTION("""COMPUTED_VALUE"""),"Чистота, уют, комфорт, красота")</f>
        <v>Чистота, уют, комфорт, красота</v>
      </c>
      <c r="O1172" s="6" t="str">
        <f>IFERROR(__xludf.DUMMYFUNCTION("""COMPUTED_VALUE"""),"Дома")</f>
        <v>Дома</v>
      </c>
      <c r="P1172" s="6" t="str">
        <f>IFERROR(__xludf.DUMMYFUNCTION("""COMPUTED_VALUE"""),"В Контакте ""Всё нормально, это Кемерово"". ")</f>
        <v>В Контакте "Всё нормально, это Кемерово". </v>
      </c>
      <c r="Q1172"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1172" s="6" t="str">
        <f>IFERROR(__xludf.DUMMYFUNCTION("""COMPUTED_VALUE"""),"День города, 12 июня")</f>
        <v>День города, 12 июня</v>
      </c>
      <c r="S1172" s="6" t="str">
        <f>IFERROR(__xludf.DUMMYFUNCTION("""COMPUTED_VALUE"""),"Нет, не приходилось")</f>
        <v>Нет, не приходилось</v>
      </c>
      <c r="T1172" s="6" t="str">
        <f>IFERROR(__xludf.DUMMYFUNCTION("""COMPUTED_VALUE"""),"Кемерово, Кузбасс, известен своей угле добычей ")</f>
        <v>Кемерово, Кузбасс, известен своей угле добычей </v>
      </c>
      <c r="U1172" s="6" t="str">
        <f>IFERROR(__xludf.DUMMYFUNCTION("""COMPUTED_VALUE"""),"Нет")</f>
        <v>Нет</v>
      </c>
      <c r="V1172" s="6" t="str">
        <f>IFERROR(__xludf.DUMMYFUNCTION("""COMPUTED_VALUE"""),"Не знаю ")</f>
        <v>Не знаю </v>
      </c>
      <c r="W1172" s="6" t="str">
        <f>IFERROR(__xludf.DUMMYFUNCTION("""COMPUTED_VALUE"""),"Не знаю ")</f>
        <v>Не знаю </v>
      </c>
      <c r="X1172" s="6" t="str">
        <f>IFERROR(__xludf.DUMMYFUNCTION("""COMPUTED_VALUE"""),"Через серебряный, сосновый бор")</f>
        <v>Через серебряный, сосновый бор</v>
      </c>
      <c r="Y1172" s="6" t="str">
        <f>IFERROR(__xludf.DUMMYFUNCTION("""COMPUTED_VALUE"""),"Пожар ""ТРЦ Зимняя вишня""")</f>
        <v>Пожар "ТРЦ Зимняя вишня"</v>
      </c>
      <c r="Z1172" s="6" t="str">
        <f>IFERROR(__xludf.DUMMYFUNCTION("""COMPUTED_VALUE"""),"Не знаю ")</f>
        <v>Не знаю </v>
      </c>
      <c r="AA1172" s="6" t="str">
        <f>IFERROR(__xludf.DUMMYFUNCTION("""COMPUTED_VALUE"""),"Не знаю ")</f>
        <v>Не знаю </v>
      </c>
      <c r="AB1172" s="6" t="str">
        <f>IFERROR(__xludf.DUMMYFUNCTION("""COMPUTED_VALUE"""),"Не понимаю ")</f>
        <v>Не понимаю </v>
      </c>
      <c r="AC1172" s="6" t="str">
        <f>IFERROR(__xludf.DUMMYFUNCTION("""COMPUTED_VALUE"""),"Не знаю ")</f>
        <v>Не знаю </v>
      </c>
      <c r="AD1172"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172" s="6" t="str">
        <f>IFERROR(__xludf.DUMMYFUNCTION("""COMPUTED_VALUE"""),"Мужской")</f>
        <v>Мужской</v>
      </c>
      <c r="AF1172" s="6" t="str">
        <f>IFERROR(__xludf.DUMMYFUNCTION("""COMPUTED_VALUE"""),"18-29")</f>
        <v>18-29</v>
      </c>
      <c r="AG1172" s="6"/>
      <c r="AH1172" s="6"/>
      <c r="AI1172" s="6"/>
      <c r="AJ1172" s="6"/>
      <c r="AK1172" s="6"/>
      <c r="AL1172" s="6"/>
      <c r="AM1172" s="6"/>
    </row>
    <row r="1173">
      <c r="A1173" s="6">
        <v>1172.0</v>
      </c>
      <c r="B1173" s="6" t="str">
        <f>IFERROR(__xludf.DUMMYFUNCTION("""COMPUTED_VALUE"""),"рабочий")</f>
        <v>рабочий</v>
      </c>
      <c r="C1173" s="6" t="str">
        <f>IFERROR(__xludf.DUMMYFUNCTION("""COMPUTED_VALUE"""),"нет")</f>
        <v>нет</v>
      </c>
      <c r="D1173" s="6" t="str">
        <f>IFERROR(__xludf.DUMMYFUNCTION("""COMPUTED_VALUE"""),"ФПК")</f>
        <v>ФПК</v>
      </c>
      <c r="E1173" s="6" t="str">
        <f>IFERROR(__xludf.DUMMYFUNCTION("""COMPUTED_VALUE"""),"сквер новорожденных, гринвич, микрорайон Березовая роща")</f>
        <v>сквер новорожденных, гринвич, микрорайон Березовая роща</v>
      </c>
      <c r="F1173" s="6" t="str">
        <f>IFERROR(__xludf.DUMMYFUNCTION("""COMPUTED_VALUE"""),"Живу здесь с рождения")</f>
        <v>Живу здесь с рождения</v>
      </c>
      <c r="G1173" s="6" t="str">
        <f>IFERROR(__xludf.DUMMYFUNCTION("""COMPUTED_VALUE"""),"школьный двор школы 97, микрорайон Березовая роща, комсомольский парк")</f>
        <v>школьный двор школы 97, микрорайон Березовая роща, комсомольский парк</v>
      </c>
      <c r="H1173" s="6" t="str">
        <f>IFERROR(__xludf.DUMMYFUNCTION("""COMPUTED_VALUE"""),"родной, зелёный, душный")</f>
        <v>родной, зелёный, душный</v>
      </c>
      <c r="I1173" s="6" t="str">
        <f>IFERROR(__xludf.DUMMYFUNCTION("""COMPUTED_VALUE"""),"Леонов, Волков, ")</f>
        <v>Леонов, Волков, </v>
      </c>
      <c r="J1173" s="6" t="str">
        <f>IFERROR(__xludf.DUMMYFUNCTION("""COMPUTED_VALUE"""),"Тулеев")</f>
        <v>Тулеев</v>
      </c>
      <c r="K1173" s="6" t="str">
        <f>IFERROR(__xludf.DUMMYFUNCTION("""COMPUTED_VALUE"""),"набережная")</f>
        <v>набережная</v>
      </c>
      <c r="L1173" s="6" t="str">
        <f>IFERROR(__xludf.DUMMYFUNCTION("""COMPUTED_VALUE"""),"-")</f>
        <v>-</v>
      </c>
      <c r="M1173" s="6" t="str">
        <f>IFERROR(__xludf.DUMMYFUNCTION("""COMPUTED_VALUE"""),"-
")</f>
        <v>-
</v>
      </c>
      <c r="N1173" s="6" t="str">
        <f>IFERROR(__xludf.DUMMYFUNCTION("""COMPUTED_VALUE"""),"доступность площадок для активного спорта, прогулок")</f>
        <v>доступность площадок для активного спорта, прогулок</v>
      </c>
      <c r="O1173" s="6" t="str">
        <f>IFERROR(__xludf.DUMMYFUNCTION("""COMPUTED_VALUE"""),"организация открытых площадок для активного спорта ")</f>
        <v>организация открытых площадок для активного спорта </v>
      </c>
      <c r="P1173" s="6" t="str">
        <f>IFERROR(__xludf.DUMMYFUNCTION("""COMPUTED_VALUE"""),"группы, чаты, сайт города, новостные сайты")</f>
        <v>группы, чаты, сайт города, новостные сайты</v>
      </c>
      <c r="Q1173" s="6" t="str">
        <f>IFERROR(__xludf.DUMMYFUNCTION("""COMPUTED_VALUE"""),"городская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f>
        <v>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173" s="6" t="str">
        <f>IFERROR(__xludf.DUMMYFUNCTION("""COMPUTED_VALUE"""),"9 мая")</f>
        <v>9 мая</v>
      </c>
      <c r="S1173" s="6" t="str">
        <f>IFERROR(__xludf.DUMMYFUNCTION("""COMPUTED_VALUE"""),"Нет, не приходилось")</f>
        <v>Нет, не приходилось</v>
      </c>
      <c r="T1173" s="6" t="str">
        <f>IFERROR(__xludf.DUMMYFUNCTION("""COMPUTED_VALUE"""),"-")</f>
        <v>-</v>
      </c>
      <c r="U1173" s="6" t="str">
        <f>IFERROR(__xludf.DUMMYFUNCTION("""COMPUTED_VALUE"""),"Драматический театр")</f>
        <v>Драматический театр</v>
      </c>
      <c r="V1173" s="6" t="str">
        <f>IFERROR(__xludf.DUMMYFUNCTION("""COMPUTED_VALUE"""),"-")</f>
        <v>-</v>
      </c>
      <c r="W1173" s="6" t="str">
        <f>IFERROR(__xludf.DUMMYFUNCTION("""COMPUTED_VALUE"""),"Красивые, трудолюбивые")</f>
        <v>Красивые, трудолюбивые</v>
      </c>
      <c r="X1173" s="6" t="str">
        <f>IFERROR(__xludf.DUMMYFUNCTION("""COMPUTED_VALUE"""),"площадь Советов, набережная, городской Парк чудес")</f>
        <v>площадь Советов, набережная, городской Парк чудес</v>
      </c>
      <c r="Y1173" s="6" t="str">
        <f>IFERROR(__xludf.DUMMYFUNCTION("""COMPUTED_VALUE"""),"запуск шаров")</f>
        <v>запуск шаров</v>
      </c>
      <c r="Z1173" s="6" t="str">
        <f>IFERROR(__xludf.DUMMYFUNCTION("""COMPUTED_VALUE"""),"никакие")</f>
        <v>никакие</v>
      </c>
      <c r="AA1173" s="6" t="str">
        <f>IFERROR(__xludf.DUMMYFUNCTION("""COMPUTED_VALUE"""),"увеличение преступности")</f>
        <v>увеличение преступности</v>
      </c>
      <c r="AB1173" s="6" t="str">
        <f>IFERROR(__xludf.DUMMYFUNCTION("""COMPUTED_VALUE"""),"доступного активного спорта ")</f>
        <v>доступного активного спорта </v>
      </c>
      <c r="AC1173" s="6" t="str">
        <f>IFERROR(__xludf.DUMMYFUNCTION("""COMPUTED_VALUE"""),"народные праздники и гуляния")</f>
        <v>народные праздники и гуляния</v>
      </c>
      <c r="AD117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73" s="6" t="str">
        <f>IFERROR(__xludf.DUMMYFUNCTION("""COMPUTED_VALUE"""),"Женский")</f>
        <v>Женский</v>
      </c>
      <c r="AF1173" s="6" t="str">
        <f>IFERROR(__xludf.DUMMYFUNCTION("""COMPUTED_VALUE"""),"30-44")</f>
        <v>30-44</v>
      </c>
      <c r="AG1173" s="6"/>
      <c r="AH1173" s="6"/>
      <c r="AI1173" s="6"/>
      <c r="AJ1173" s="6"/>
      <c r="AK1173" s="6"/>
      <c r="AL1173" s="6"/>
      <c r="AM1173" s="6"/>
    </row>
    <row r="1174">
      <c r="A1174" s="6">
        <v>1173.0</v>
      </c>
      <c r="B1174" s="6" t="str">
        <f>IFERROR(__xludf.DUMMYFUNCTION("""COMPUTED_VALUE"""),"Педагогика")</f>
        <v>Педагогика</v>
      </c>
      <c r="C1174" s="6" t="str">
        <f>IFERROR(__xludf.DUMMYFUNCTION("""COMPUTED_VALUE"""),"Футбол, чтение книг")</f>
        <v>Футбол, чтение книг</v>
      </c>
      <c r="D1174" s="6" t="str">
        <f>IFERROR(__xludf.DUMMYFUNCTION("""COMPUTED_VALUE"""),"Центральный")</f>
        <v>Центральный</v>
      </c>
      <c r="E1174" s="6" t="str">
        <f>IFERROR(__xludf.DUMMYFUNCTION("""COMPUTED_VALUE"""),"Парк В. Волошиной, набережная ")</f>
        <v>Парк В. Волошиной, набережная </v>
      </c>
      <c r="F1174" s="6" t="str">
        <f>IFERROR(__xludf.DUMMYFUNCTION("""COMPUTED_VALUE"""),"Переехал сюда из другого места (откуда? укажите в графе другое), Прокопьевск ")</f>
        <v>Переехал сюда из другого места (откуда? укажите в графе другое), Прокопьевск </v>
      </c>
      <c r="G1174" s="6" t="str">
        <f>IFERROR(__xludf.DUMMYFUNCTION("""COMPUTED_VALUE"""),"Парки ")</f>
        <v>Парки </v>
      </c>
      <c r="H1174" s="6" t="str">
        <f>IFERROR(__xludf.DUMMYFUNCTION("""COMPUTED_VALUE"""),"Учёба, химия, работа, Михайло-Волков, Весенька")</f>
        <v>Учёба, химия, работа, Михайло-Волков, Весенька</v>
      </c>
      <c r="I1174" s="6" t="str">
        <f>IFERROR(__xludf.DUMMYFUNCTION("""COMPUTED_VALUE"""),"Тулеев")</f>
        <v>Тулеев</v>
      </c>
      <c r="J1174" s="6" t="str">
        <f>IFERROR(__xludf.DUMMYFUNCTION("""COMPUTED_VALUE"""),"Чем отличается от предыдущего пункта? ")</f>
        <v>Чем отличается от предыдущего пункта? </v>
      </c>
      <c r="K1174" s="6" t="str">
        <f>IFERROR(__xludf.DUMMYFUNCTION("""COMPUTED_VALUE"""),"Парк Веры Волошиной ")</f>
        <v>Парк Веры Волошиной </v>
      </c>
      <c r="L1174" s="6" t="str">
        <f>IFERROR(__xludf.DUMMYFUNCTION("""COMPUTED_VALUE"""),"Не знаю")</f>
        <v>Не знаю</v>
      </c>
      <c r="M1174" s="6" t="str">
        <f>IFERROR(__xludf.DUMMYFUNCTION("""COMPUTED_VALUE"""),"Нет")</f>
        <v>Нет</v>
      </c>
      <c r="N1174" s="6" t="str">
        <f>IFERROR(__xludf.DUMMYFUNCTION("""COMPUTED_VALUE"""),"Чистота, доступная среда, работа, уютно, места досуга")</f>
        <v>Чистота, доступная среда, работа, уютно, места досуга</v>
      </c>
      <c r="O1174" s="6" t="str">
        <f>IFERROR(__xludf.DUMMYFUNCTION("""COMPUTED_VALUE"""),"Не знаю")</f>
        <v>Не знаю</v>
      </c>
      <c r="P1174" s="6" t="str">
        <f>IFERROR(__xludf.DUMMYFUNCTION("""COMPUTED_VALUE"""),"А42")</f>
        <v>А42</v>
      </c>
      <c r="Q1174" s="6" t="str">
        <f>IFERROR(__xludf.DUMMYFUNCTION("""COMPUTED_VALUE"""),"куда пойти в свободное время, где вкусно поесть/открытие новых кафе/ресторанов,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интервью с экспертами на разные темы (напишите в разделе Другое свои предложения)</v>
      </c>
      <c r="R1174" s="6" t="str">
        <f>IFERROR(__xludf.DUMMYFUNCTION("""COMPUTED_VALUE"""),"День России, ЛэДень Победы, День Шахтера")</f>
        <v>День России, ЛэДень Победы, День Шахтера</v>
      </c>
      <c r="S1174" s="6" t="str">
        <f>IFERROR(__xludf.DUMMYFUNCTION("""COMPUTED_VALUE"""),"Через социальные сети (Какие? Укажите в графе другое), Делал рассылку по электронной почте, Обращался в редакции городских газет, телевидения, радио")</f>
        <v>Через социальные сети (Какие? Укажите в графе другое), Делал рассылку по электронной почте, Обращался в редакции городских газет, телевидения, радио</v>
      </c>
      <c r="T1174" s="6" t="str">
        <f>IFERROR(__xludf.DUMMYFUNCTION("""COMPUTED_VALUE"""),"Людьми")</f>
        <v>Людьми</v>
      </c>
      <c r="U1174" s="6" t="str">
        <f>IFERROR(__xludf.DUMMYFUNCTION("""COMPUTED_VALUE"""),"Набережная")</f>
        <v>Набережная</v>
      </c>
      <c r="V1174" s="6" t="str">
        <f>IFERROR(__xludf.DUMMYFUNCTION("""COMPUTED_VALUE"""),"Построили город")</f>
        <v>Построили город</v>
      </c>
      <c r="W1174" s="6" t="str">
        <f>IFERROR(__xludf.DUMMYFUNCTION("""COMPUTED_VALUE"""),"Пафосные")</f>
        <v>Пафосные</v>
      </c>
      <c r="X1174" s="6" t="str">
        <f>IFERROR(__xludf.DUMMYFUNCTION("""COMPUTED_VALUE"""),"Набережная - бульвар Строителей")</f>
        <v>Набережная - бульвар Строителей</v>
      </c>
      <c r="Y1174" s="6" t="str">
        <f>IFERROR(__xludf.DUMMYFUNCTION("""COMPUTED_VALUE"""),"Ещё впереди ")</f>
        <v>Ещё впереди </v>
      </c>
      <c r="Z1174" s="6" t="str">
        <f>IFERROR(__xludf.DUMMYFUNCTION("""COMPUTED_VALUE"""),"Не скажу")</f>
        <v>Не скажу</v>
      </c>
      <c r="AA1174" s="6" t="str">
        <f>IFERROR(__xludf.DUMMYFUNCTION("""COMPUTED_VALUE"""),"Пандемия")</f>
        <v>Пандемия</v>
      </c>
      <c r="AB1174" s="6" t="str">
        <f>IFERROR(__xludf.DUMMYFUNCTION("""COMPUTED_VALUE"""),"Футбольных")</f>
        <v>Футбольных</v>
      </c>
      <c r="AC1174" s="6" t="str">
        <f>IFERROR(__xludf.DUMMYFUNCTION("""COMPUTED_VALUE"""),"Чемпионаты всероссийские различные")</f>
        <v>Чемпионаты всероссийские различные</v>
      </c>
      <c r="AD1174"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Коммуникатора: Готов задействовать свои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174" s="6" t="str">
        <f>IFERROR(__xludf.DUMMYFUNCTION("""COMPUTED_VALUE"""),"Мужской")</f>
        <v>Мужской</v>
      </c>
      <c r="AF1174" s="6" t="str">
        <f>IFERROR(__xludf.DUMMYFUNCTION("""COMPUTED_VALUE"""),"30-44")</f>
        <v>30-44</v>
      </c>
      <c r="AG1174" s="6"/>
      <c r="AH1174" s="6"/>
      <c r="AI1174" s="6"/>
      <c r="AJ1174" s="6"/>
      <c r="AK1174" s="6"/>
      <c r="AL1174" s="6"/>
      <c r="AM1174" s="6"/>
    </row>
    <row r="1175">
      <c r="A1175" s="6">
        <v>1174.0</v>
      </c>
      <c r="B1175" s="6" t="str">
        <f>IFERROR(__xludf.DUMMYFUNCTION("""COMPUTED_VALUE"""),"Наталья")</f>
        <v>Наталья</v>
      </c>
      <c r="C1175" s="6" t="str">
        <f>IFERROR(__xludf.DUMMYFUNCTION("""COMPUTED_VALUE"""),"Чтение")</f>
        <v>Чтение</v>
      </c>
      <c r="D1175" s="6" t="str">
        <f>IFERROR(__xludf.DUMMYFUNCTION("""COMPUTED_VALUE"""),"Кировский")</f>
        <v>Кировский</v>
      </c>
      <c r="E1175" s="6" t="str">
        <f>IFERROR(__xludf.DUMMYFUNCTION("""COMPUTED_VALUE"""),"нет знаковых мест вообще")</f>
        <v>нет знаковых мест вообще</v>
      </c>
      <c r="F1175" s="6" t="str">
        <f>IFERROR(__xludf.DUMMYFUNCTION("""COMPUTED_VALUE"""),"Живу здесь с рождения")</f>
        <v>Живу здесь с рождения</v>
      </c>
      <c r="G1175" s="6" t="str">
        <f>IFERROR(__xludf.DUMMYFUNCTION("""COMPUTED_VALUE"""),"отдыхаю дома")</f>
        <v>отдыхаю дома</v>
      </c>
      <c r="H1175" s="6" t="str">
        <f>IFERROR(__xludf.DUMMYFUNCTION("""COMPUTED_VALUE"""),"Тулеев, Зимняя вишня")</f>
        <v>Тулеев, Зимняя вишня</v>
      </c>
      <c r="I1175" s="6" t="str">
        <f>IFERROR(__xludf.DUMMYFUNCTION("""COMPUTED_VALUE"""),"В. Михайлов, А.Тулеев, А. Леонов.")</f>
        <v>В. Михайлов, А.Тулеев, А. Леонов.</v>
      </c>
      <c r="J1175" s="6" t="str">
        <f>IFERROR(__xludf.DUMMYFUNCTION("""COMPUTED_VALUE"""),"сейчас горожане не равняются ни на кого, к сожалению. все хотят быть индивидуальными")</f>
        <v>сейчас горожане не равняются ни на кого, к сожалению. все хотят быть индивидуальными</v>
      </c>
      <c r="K1175" s="6" t="str">
        <f>IFERROR(__xludf.DUMMYFUNCTION("""COMPUTED_VALUE"""),"красная горка")</f>
        <v>красная горка</v>
      </c>
      <c r="L1175" s="6" t="str">
        <f>IFERROR(__xludf.DUMMYFUNCTION("""COMPUTED_VALUE"""),"-")</f>
        <v>-</v>
      </c>
      <c r="M1175" s="6" t="str">
        <f>IFERROR(__xludf.DUMMYFUNCTION("""COMPUTED_VALUE"""),"-")</f>
        <v>-</v>
      </c>
      <c r="N1175" s="6" t="str">
        <f>IFERROR(__xludf.DUMMYFUNCTION("""COMPUTED_VALUE"""),"доступность общественного транспорта. ")</f>
        <v>доступность общественного транспорта. </v>
      </c>
      <c r="O1175" s="6" t="str">
        <f>IFERROR(__xludf.DUMMYFUNCTION("""COMPUTED_VALUE"""),"эстетический вид многоквартиных домов не только со  стороны улицы но и с придворовой терриротии, особенно чуть дальше от пр. Советского....")</f>
        <v>эстетический вид многоквартиных домов не только со  стороны улицы но и с придворовой терриротии, особенно чуть дальше от пр. Советского....</v>
      </c>
      <c r="P1175" s="6" t="str">
        <f>IFERROR(__xludf.DUMMYFUNCTION("""COMPUTED_VALUE"""),"-")</f>
        <v>-</v>
      </c>
      <c r="Q1175" s="6" t="str">
        <f>IFERROR(__xludf.DUMMYFUNCTION("""COMPUTED_VALUE"""),"-")</f>
        <v>-</v>
      </c>
      <c r="R1175" s="6" t="str">
        <f>IFERROR(__xludf.DUMMYFUNCTION("""COMPUTED_VALUE"""),"день шахтера и 9 мая")</f>
        <v>день шахтера и 9 мая</v>
      </c>
      <c r="S1175" s="6" t="str">
        <f>IFERROR(__xludf.DUMMYFUNCTION("""COMPUTED_VALUE"""),"Через социальные сети (Какие? Укажите в графе другое)")</f>
        <v>Через социальные сети (Какие? Укажите в графе другое)</v>
      </c>
      <c r="T1175" s="6" t="str">
        <f>IFERROR(__xludf.DUMMYFUNCTION("""COMPUTED_VALUE"""),"трагическим событием Зимняя вишня")</f>
        <v>трагическим событием Зимняя вишня</v>
      </c>
      <c r="U1175" s="6" t="str">
        <f>IFERROR(__xludf.DUMMYFUNCTION("""COMPUTED_VALUE"""),"драмтеатр")</f>
        <v>драмтеатр</v>
      </c>
      <c r="V1175" s="6" t="str">
        <f>IFERROR(__xludf.DUMMYFUNCTION("""COMPUTED_VALUE"""),"-")</f>
        <v>-</v>
      </c>
      <c r="W1175" s="6" t="str">
        <f>IFERROR(__xludf.DUMMYFUNCTION("""COMPUTED_VALUE"""),"-")</f>
        <v>-</v>
      </c>
      <c r="X1175" s="6" t="str">
        <f>IFERROR(__xludf.DUMMYFUNCTION("""COMPUTED_VALUE"""),"музей заповедник Красная горка. ")</f>
        <v>музей заповедник Красная горка. </v>
      </c>
      <c r="Y1175" s="6" t="str">
        <f>IFERROR(__xludf.DUMMYFUNCTION("""COMPUTED_VALUE"""),"забастовка шахтеров. Бенди.")</f>
        <v>забастовка шахтеров. Бенди.</v>
      </c>
      <c r="Z1175" s="6" t="str">
        <f>IFERROR(__xludf.DUMMYFUNCTION("""COMPUTED_VALUE"""),"-")</f>
        <v>-</v>
      </c>
      <c r="AA1175" s="6" t="str">
        <f>IFERROR(__xludf.DUMMYFUNCTION("""COMPUTED_VALUE"""),"-")</f>
        <v>-</v>
      </c>
      <c r="AB1175" s="6" t="str">
        <f>IFERROR(__xludf.DUMMYFUNCTION("""COMPUTED_VALUE"""),"всего достаточно")</f>
        <v>всего достаточно</v>
      </c>
      <c r="AC1175" s="6" t="str">
        <f>IFERROR(__xludf.DUMMYFUNCTION("""COMPUTED_VALUE"""),"-")</f>
        <v>-</v>
      </c>
      <c r="AD117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75" s="6" t="str">
        <f>IFERROR(__xludf.DUMMYFUNCTION("""COMPUTED_VALUE"""),"Женский")</f>
        <v>Женский</v>
      </c>
      <c r="AF1175" s="6" t="str">
        <f>IFERROR(__xludf.DUMMYFUNCTION("""COMPUTED_VALUE"""),"30-44")</f>
        <v>30-44</v>
      </c>
      <c r="AG1175" s="6"/>
      <c r="AH1175" s="6"/>
      <c r="AI1175" s="6"/>
      <c r="AJ1175" s="6"/>
      <c r="AK1175" s="6"/>
      <c r="AL1175" s="6"/>
      <c r="AM1175" s="6"/>
    </row>
    <row r="1176">
      <c r="A1176" s="6">
        <v>1175.0</v>
      </c>
      <c r="B1176" s="6" t="str">
        <f>IFERROR(__xludf.DUMMYFUNCTION("""COMPUTED_VALUE"""),"Общественная деятельность")</f>
        <v>Общественная деятельность</v>
      </c>
      <c r="C1176" s="6" t="str">
        <f>IFERROR(__xludf.DUMMYFUNCTION("""COMPUTED_VALUE"""),"нет")</f>
        <v>нет</v>
      </c>
      <c r="D1176" s="6" t="str">
        <f>IFERROR(__xludf.DUMMYFUNCTION("""COMPUTED_VALUE"""),"Южный")</f>
        <v>Южный</v>
      </c>
      <c r="E1176" s="6" t="str">
        <f>IFERROR(__xludf.DUMMYFUNCTION("""COMPUTED_VALUE"""),"Памятник космонавту")</f>
        <v>Памятник космонавту</v>
      </c>
      <c r="F1176" s="6" t="str">
        <f>IFERROR(__xludf.DUMMYFUNCTION("""COMPUTED_VALUE"""),"Живу здесь с рождения")</f>
        <v>Живу здесь с рождения</v>
      </c>
      <c r="G1176" s="6" t="str">
        <f>IFERROR(__xludf.DUMMYFUNCTION("""COMPUTED_VALUE"""),"Музей Красная горка. Набережная города")</f>
        <v>Музей Красная горка. Набережная города</v>
      </c>
      <c r="H1176" s="6" t="str">
        <f>IFERROR(__xludf.DUMMYFUNCTION("""COMPUTED_VALUE"""),"Светлый, просторный, молодой")</f>
        <v>Светлый, просторный, молодой</v>
      </c>
      <c r="I1176" s="6" t="str">
        <f>IFERROR(__xludf.DUMMYFUNCTION("""COMPUTED_VALUE"""),"Вдовин Николай Михайлович")</f>
        <v>Вдовин Николай Михайлович</v>
      </c>
      <c r="J1176" s="6" t="str">
        <f>IFERROR(__xludf.DUMMYFUNCTION("""COMPUTED_VALUE"""),"В.В.Михайлов")</f>
        <v>В.В.Михайлов</v>
      </c>
      <c r="K1176" s="6" t="str">
        <f>IFERROR(__xludf.DUMMYFUNCTION("""COMPUTED_VALUE"""),"Бывший Дворец труда на Карболитовской")</f>
        <v>Бывший Дворец труда на Карболитовской</v>
      </c>
      <c r="L1176" s="6" t="str">
        <f>IFERROR(__xludf.DUMMYFUNCTION("""COMPUTED_VALUE"""),"Рассказ Теодора Драйзера ""Эрнита""")</f>
        <v>Рассказ Теодора Драйзера "Эрнита"</v>
      </c>
      <c r="M1176" s="6" t="str">
        <f>IFERROR(__xludf.DUMMYFUNCTION("""COMPUTED_VALUE"""),"человек их Кемерова")</f>
        <v>человек их Кемерова</v>
      </c>
      <c r="N1176" s="6" t="str">
        <f>IFERROR(__xludf.DUMMYFUNCTION("""COMPUTED_VALUE"""),"Дороги и транспорт, не высокие здания, много парковых зон")</f>
        <v>Дороги и транспорт, не высокие здания, много парковых зон</v>
      </c>
      <c r="O1176" s="6" t="str">
        <f>IFERROR(__xludf.DUMMYFUNCTION("""COMPUTED_VALUE"""),"Перестать делать зоны отдыха между дорог, как на бульваре строителей и ли Патриотов. Рядом с зоной отдыха не должно быть машин")</f>
        <v>Перестать делать зоны отдыха между дорог, как на бульваре строителей и ли Патриотов. Рядом с зоной отдыха не должно быть машин</v>
      </c>
      <c r="P1176" s="6" t="str">
        <f>IFERROR(__xludf.DUMMYFUNCTION("""COMPUTED_VALUE"""),"Разные источники")</f>
        <v>Разные источники</v>
      </c>
      <c r="Q1176" s="6" t="str">
        <f>IFERROR(__xludf.DUMMYFUNCTION("""COMPUTED_VALUE"""),"интервью с местными творческими личностями, интервью с экспертами на разные темы (напишите в разделе Другое свои предложения)")</f>
        <v>интервью с местными творческими личностями, интервью с экспертами на разные темы (напишите в разделе Другое свои предложения)</v>
      </c>
      <c r="R1176" s="6" t="str">
        <f>IFERROR(__xludf.DUMMYFUNCTION("""COMPUTED_VALUE"""),"День колбы - надо популяризировать местные традиции")</f>
        <v>День колбы - надо популяризировать местные традиции</v>
      </c>
      <c r="S1176" s="6" t="str">
        <f>IFERROR(__xludf.DUMMYFUNCTION("""COMPUTED_VALUE"""),"Делал рассылку по электронной почте")</f>
        <v>Делал рассылку по электронной почте</v>
      </c>
      <c r="T1176" s="6" t="str">
        <f>IFERROR(__xludf.DUMMYFUNCTION("""COMPUTED_VALUE"""),"АИК")</f>
        <v>АИК</v>
      </c>
      <c r="U1176" s="6" t="str">
        <f>IFERROR(__xludf.DUMMYFUNCTION("""COMPUTED_VALUE"""),"ул.Весенняя")</f>
        <v>ул.Весенняя</v>
      </c>
      <c r="V1176" s="6" t="str">
        <f>IFERROR(__xludf.DUMMYFUNCTION("""COMPUTED_VALUE"""),"Работали, строили, производили")</f>
        <v>Работали, строили, производили</v>
      </c>
      <c r="W1176" s="6" t="str">
        <f>IFERROR(__xludf.DUMMYFUNCTION("""COMPUTED_VALUE"""),"с широкой душой, гостеприимные")</f>
        <v>с широкой душой, гостеприимные</v>
      </c>
      <c r="X1176" s="6" t="str">
        <f>IFERROR(__xludf.DUMMYFUNCTION("""COMPUTED_VALUE"""),"на трамвае")</f>
        <v>на трамвае</v>
      </c>
      <c r="Y1176" s="6" t="str">
        <f>IFERROR(__xludf.DUMMYFUNCTION("""COMPUTED_VALUE"""),"переселение жителей из районов вокруг заводов в новые районы")</f>
        <v>переселение жителей из районов вокруг заводов в новые районы</v>
      </c>
      <c r="Z1176" s="6" t="str">
        <f>IFERROR(__xludf.DUMMYFUNCTION("""COMPUTED_VALUE"""),"нет")</f>
        <v>нет</v>
      </c>
      <c r="AA1176" s="6" t="str">
        <f>IFERROR(__xludf.DUMMYFUNCTION("""COMPUTED_VALUE"""),"пожар Зимней вишни - долго будет помнится")</f>
        <v>пожар Зимней вишни - долго будет помнится</v>
      </c>
      <c r="AB1176" s="6" t="str">
        <f>IFERROR(__xludf.DUMMYFUNCTION("""COMPUTED_VALUE"""),"Главное, чтобы эти сообщества и их деятельность поддерживались")</f>
        <v>Главное, чтобы эти сообщества и их деятельность поддерживались</v>
      </c>
      <c r="AC1176" s="6" t="str">
        <f>IFERROR(__xludf.DUMMYFUNCTION("""COMPUTED_VALUE"""),"больше доверять мнению жителей")</f>
        <v>больше доверять мнению жителей</v>
      </c>
      <c r="AD117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76" s="6" t="str">
        <f>IFERROR(__xludf.DUMMYFUNCTION("""COMPUTED_VALUE"""),"Женский")</f>
        <v>Женский</v>
      </c>
      <c r="AF1176" s="6" t="str">
        <f>IFERROR(__xludf.DUMMYFUNCTION("""COMPUTED_VALUE"""),"45-55")</f>
        <v>45-55</v>
      </c>
      <c r="AG1176" s="6"/>
      <c r="AH1176" s="6"/>
      <c r="AI1176" s="6"/>
      <c r="AJ1176" s="6"/>
      <c r="AK1176" s="6"/>
      <c r="AL1176" s="6"/>
      <c r="AM1176" s="6"/>
    </row>
    <row r="1177">
      <c r="A1177" s="6">
        <v>1176.0</v>
      </c>
      <c r="B1177" s="6" t="str">
        <f>IFERROR(__xludf.DUMMYFUNCTION("""COMPUTED_VALUE"""),"Ведение домашнего хозяйства")</f>
        <v>Ведение домашнего хозяйства</v>
      </c>
      <c r="C1177" s="6" t="str">
        <f>IFERROR(__xludf.DUMMYFUNCTION("""COMPUTED_VALUE"""),"Нет")</f>
        <v>Нет</v>
      </c>
      <c r="D1177" s="6" t="str">
        <f>IFERROR(__xludf.DUMMYFUNCTION("""COMPUTED_VALUE"""),"Заводский. Почти центр. Вокзал.")</f>
        <v>Заводский. Почти центр. Вокзал.</v>
      </c>
      <c r="E1177" s="6" t="str">
        <f>IFERROR(__xludf.DUMMYFUNCTION("""COMPUTED_VALUE"""),"Затрудняюсь ответить.... Знаковых мест не припомню.")</f>
        <v>Затрудняюсь ответить.... Знаковых мест не припомню.</v>
      </c>
      <c r="F1177" s="6" t="str">
        <f>IFERROR(__xludf.DUMMYFUNCTION("""COMPUTED_VALUE"""),"Живу здесь с рождения")</f>
        <v>Живу здесь с рождения</v>
      </c>
      <c r="G1177" s="6" t="str">
        <f>IFERROR(__xludf.DUMMYFUNCTION("""COMPUTED_VALUE"""),"Бродим с ребёнком по чужим дворам, где есть детские площадки.")</f>
        <v>Бродим с ребёнком по чужим дворам, где есть детские площадки.</v>
      </c>
      <c r="H1177" s="6" t="str">
        <f>IFERROR(__xludf.DUMMYFUNCTION("""COMPUTED_VALUE"""),"Угольный бассейн, Драматический театр, город-спутник Лесная Поляна")</f>
        <v>Угольный бассейн, Драматический театр, город-спутник Лесная Поляна</v>
      </c>
      <c r="I1177" s="6" t="str">
        <f>IFERROR(__xludf.DUMMYFUNCTION("""COMPUTED_VALUE"""),"Алексей Архипович Леонов")</f>
        <v>Алексей Архипович Леонов</v>
      </c>
      <c r="J1177" s="6" t="str">
        <f>IFERROR(__xludf.DUMMYFUNCTION("""COMPUTED_VALUE"""),"М. Б. Кислюк, А. Г. Тулеев")</f>
        <v>М. Б. Кислюк, А. Г. Тулеев</v>
      </c>
      <c r="K1177" s="6" t="str">
        <f>IFERROR(__xludf.DUMMYFUNCTION("""COMPUTED_VALUE"""),"Памятник Шахтёрам, Ботанический сад")</f>
        <v>Памятник Шахтёрам, Ботанический сад</v>
      </c>
      <c r="L1177" s="6" t="str">
        <f>IFERROR(__xludf.DUMMYFUNCTION("""COMPUTED_VALUE"""),"Сибиряк - это не тот, кто не мерзнет, а тот, кто тепло одевается.")</f>
        <v>Сибиряк - это не тот, кто не мерзнет, а тот, кто тепло одевается.</v>
      </c>
      <c r="M1177" s="6" t="str">
        <f>IFERROR(__xludf.DUMMYFUNCTION("""COMPUTED_VALUE"""),"НМУ, режим ""чёрного неба""")</f>
        <v>НМУ, режим "чёрного неба"</v>
      </c>
      <c r="N1177" s="6" t="str">
        <f>IFERROR(__xludf.DUMMYFUNCTION("""COMPUTED_VALUE"""),"1) Высокий уровень системы здравоохранения; 2) высокий уровень начального, среднего, высшего и профессионального образования; 3) доступность и разнонаправленность секций, кружков ДО; 4) порядок, ухоженность и чистота улиц, дворовых территорий; 5) доступно"&amp;"сть, без чрезмерной бумажной волокиты и унижения, и возможность получения при необходимости помощи гражданам от органов государственной, муниципальной и других представителей законной власти.")</f>
        <v>1) Высокий уровень системы здравоохранения; 2) высокий уровень начального, среднего, высшего и профессионального образования; 3) доступность и разнонаправленность секций, кружков ДО; 4) порядок, ухоженность и чистота улиц, дворовых территорий; 5) доступность, без чрезмерной бумажной волокиты и унижения, и возможность получения при необходимости помощи гражданам от органов государственной, муниципальной и других представителей законной власти.</v>
      </c>
      <c r="O1177" s="6" t="str">
        <f>IFERROR(__xludf.DUMMYFUNCTION("""COMPUTED_VALUE"""),"ЭКОЛОГИЮ!!! Уменьшить выброс ядовитых веществ в атмосферный воздух!")</f>
        <v>ЭКОЛОГИЮ!!! Уменьшить выброс ядовитых веществ в атмосферный воздух!</v>
      </c>
      <c r="P1177" s="6" t="str">
        <f>IFERROR(__xludf.DUMMYFUNCTION("""COMPUTED_VALUE"""),"Яндекс Новости")</f>
        <v>Яндекс Новости</v>
      </c>
      <c r="Q1177" s="6" t="str">
        <f>IFERROR(__xludf.DUMMYFUNCTION("""COMPUTED_VALUE"""),"культурные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 экология, развития ж/д пассажирского направления")</f>
        <v>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 экология, развития ж/д пассажирского направления</v>
      </c>
      <c r="R1177" s="6" t="str">
        <f>IFERROR(__xludf.DUMMYFUNCTION("""COMPUTED_VALUE"""),"День Победы, День города.")</f>
        <v>День Победы, День города.</v>
      </c>
      <c r="S1177" s="6" t="str">
        <f>IFERROR(__xludf.DUMMYFUNCTION("""COMPUTED_VALUE"""),"Нет, не приходилось")</f>
        <v>Нет, не приходилось</v>
      </c>
      <c r="T1177" s="6" t="str">
        <f>IFERROR(__xludf.DUMMYFUNCTION("""COMPUTED_VALUE"""),"Кузбасс - крупнейший поставщик каменного угля. В регионе обнаружены целые скелеты динозавров и мамонтов. К сожалению, знаменит Кемерово трагедией ""Зимняя Вишня""")</f>
        <v>Кузбасс - крупнейший поставщик каменного угля. В регионе обнаружены целые скелеты динозавров и мамонтов. К сожалению, знаменит Кемерово трагедией "Зимняя Вишня"</v>
      </c>
      <c r="U1177" s="6" t="str">
        <f>IFERROR(__xludf.DUMMYFUNCTION("""COMPUTED_VALUE"""),"Драматический театр с фонтаном, памятник Ленину на площади Советов.")</f>
        <v>Драматический театр с фонтаном, памятник Ленину на площади Советов.</v>
      </c>
      <c r="V1177" s="6" t="str">
        <f>IFERROR(__xludf.DUMMYFUNCTION("""COMPUTED_VALUE"""),"Уехали и вернулись назад.")</f>
        <v>Уехали и вернулись назад.</v>
      </c>
      <c r="W1177" s="6" t="str">
        <f>IFERROR(__xludf.DUMMYFUNCTION("""COMPUTED_VALUE"""),"Терпеливые, открытые, крепкие духом.")</f>
        <v>Терпеливые, открытые, крепкие духом.</v>
      </c>
      <c r="X1177" s="6" t="str">
        <f>IFERROR(__xludf.DUMMYFUNCTION("""COMPUTED_VALUE"""),"Памятник шахтёрам - Красная Горка - Томская Писаница.")</f>
        <v>Памятник шахтёрам - Красная Горка - Томская Писаница.</v>
      </c>
      <c r="Y1177" s="6" t="str">
        <f>IFERROR(__xludf.DUMMYFUNCTION("""COMPUTED_VALUE"""),"Затрудняюсь ответить.")</f>
        <v>Затрудняюсь ответить.</v>
      </c>
      <c r="Z1177" s="6" t="str">
        <f>IFERROR(__xludf.DUMMYFUNCTION("""COMPUTED_VALUE"""),"К сожалению, позитивных событий не припоминаю ")</f>
        <v>К сожалению, позитивных событий не припоминаю </v>
      </c>
      <c r="AA1177" s="6" t="str">
        <f>IFERROR(__xludf.DUMMYFUNCTION("""COMPUTED_VALUE"""),"Повышение тарифов ЖКХ, введение обязательного масочного режима")</f>
        <v>Повышение тарифов ЖКХ, введение обязательного масочного режима</v>
      </c>
      <c r="AB1177" s="6" t="str">
        <f>IFERROR(__xludf.DUMMYFUNCTION("""COMPUTED_VALUE"""),"Глас народа.")</f>
        <v>Глас народа.</v>
      </c>
      <c r="AC1177" s="6" t="str">
        <f>IFERROR(__xludf.DUMMYFUNCTION("""COMPUTED_VALUE"""),"Конец пандемии!!!")</f>
        <v>Конец пандемии!!!</v>
      </c>
      <c r="AD1177"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 Запустить свой предпринимательский проект, организовать компанию.")</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177" s="6" t="str">
        <f>IFERROR(__xludf.DUMMYFUNCTION("""COMPUTED_VALUE"""),"Женский")</f>
        <v>Женский</v>
      </c>
      <c r="AF1177" s="6" t="str">
        <f>IFERROR(__xludf.DUMMYFUNCTION("""COMPUTED_VALUE"""),"30-44")</f>
        <v>30-44</v>
      </c>
      <c r="AG1177" s="6"/>
      <c r="AH1177" s="6"/>
      <c r="AI1177" s="6"/>
      <c r="AJ1177" s="6"/>
      <c r="AK1177" s="6"/>
      <c r="AL1177" s="6"/>
      <c r="AM1177" s="6"/>
    </row>
    <row r="1178">
      <c r="A1178" s="6">
        <v>1177.0</v>
      </c>
      <c r="B1178" s="6" t="str">
        <f>IFERROR(__xludf.DUMMYFUNCTION("""COMPUTED_VALUE"""),"учусь в 68 школе,хожу на баскетбол")</f>
        <v>учусь в 68 школе,хожу на баскетбол</v>
      </c>
      <c r="C1178" s="6" t="str">
        <f>IFERROR(__xludf.DUMMYFUNCTION("""COMPUTED_VALUE"""),"нет")</f>
        <v>нет</v>
      </c>
      <c r="D1178" s="6" t="str">
        <f>IFERROR(__xludf.DUMMYFUNCTION("""COMPUTED_VALUE"""),"на южном ")</f>
        <v>на южном </v>
      </c>
      <c r="E1178" s="6" t="str">
        <f>IFERROR(__xludf.DUMMYFUNCTION("""COMPUTED_VALUE"""),"аллея на Тюленина")</f>
        <v>аллея на Тюленина</v>
      </c>
      <c r="F1178"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178" s="6" t="str">
        <f>IFERROR(__xludf.DUMMYFUNCTION("""COMPUTED_VALUE"""),"летом ходим на р.Томь. Можно сходить на проспект Советский")</f>
        <v>летом ходим на р.Томь. Можно сходить на проспект Советский</v>
      </c>
      <c r="H1178" s="6" t="str">
        <f>IFERROR(__xludf.DUMMYFUNCTION("""COMPUTED_VALUE"""),"игры,цветы,солнце,велосипед,стройка")</f>
        <v>игры,цветы,солнце,велосипед,стройка</v>
      </c>
      <c r="I1178" s="6" t="str">
        <f>IFERROR(__xludf.DUMMYFUNCTION("""COMPUTED_VALUE"""),"С.Тюленин,В.Волошина,А.Леонов")</f>
        <v>С.Тюленин,В.Волошина,А.Леонов</v>
      </c>
      <c r="J1178" s="6" t="str">
        <f>IFERROR(__xludf.DUMMYFUNCTION("""COMPUTED_VALUE"""),"театр Боброва")</f>
        <v>театр Боброва</v>
      </c>
      <c r="K1178" s="6" t="str">
        <f>IFERROR(__xludf.DUMMYFUNCTION("""COMPUTED_VALUE"""),"Михайло Волков")</f>
        <v>Михайло Волков</v>
      </c>
      <c r="L1178" s="6" t="str">
        <f>IFERROR(__xludf.DUMMYFUNCTION("""COMPUTED_VALUE"""),"жить поживать, да  добра наживать")</f>
        <v>жить поживать, да  добра наживать</v>
      </c>
      <c r="M1178" s="6" t="str">
        <f>IFERROR(__xludf.DUMMYFUNCTION("""COMPUTED_VALUE"""),"азот,токем,кокс")</f>
        <v>азот,токем,кокс</v>
      </c>
      <c r="N1178" s="6" t="str">
        <f>IFERROR(__xludf.DUMMYFUNCTION("""COMPUTED_VALUE"""),"томская писаница,подравнять дороги,чтобы было много игровых площадок,спортивные залы,бассеин")</f>
        <v>томская писаница,подравнять дороги,чтобы было много игровых площадок,спортивные залы,бассеин</v>
      </c>
      <c r="O1178" s="6" t="str">
        <f>IFERROR(__xludf.DUMMYFUNCTION("""COMPUTED_VALUE"""),"дороги ")</f>
        <v>дороги </v>
      </c>
      <c r="P1178" s="6" t="str">
        <f>IFERROR(__xludf.DUMMYFUNCTION("""COMPUTED_VALUE"""),"телевизор,телефон,")</f>
        <v>телевизор,телефон,</v>
      </c>
      <c r="Q1178"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1178" s="6" t="str">
        <f>IFERROR(__xludf.DUMMYFUNCTION("""COMPUTED_VALUE"""),"день молодежи,день победы,")</f>
        <v>день молодежи,день победы,</v>
      </c>
      <c r="S1178" s="6" t="str">
        <f>IFERROR(__xludf.DUMMYFUNCTION("""COMPUTED_VALUE"""),"Нет, не приходилось")</f>
        <v>Нет, не приходилось</v>
      </c>
      <c r="T1178" s="6" t="str">
        <f>IFERROR(__xludf.DUMMYFUNCTION("""COMPUTED_VALUE"""),"вечный огонь")</f>
        <v>вечный огонь</v>
      </c>
      <c r="U1178" s="6" t="str">
        <f>IFERROR(__xludf.DUMMYFUNCTION("""COMPUTED_VALUE"""),"театры ")</f>
        <v>театры </v>
      </c>
      <c r="V1178" s="6" t="str">
        <f>IFERROR(__xludf.DUMMYFUNCTION("""COMPUTED_VALUE"""),"автотрасса Кемерово-Новокузнецк")</f>
        <v>автотрасса Кемерово-Новокузнецк</v>
      </c>
      <c r="W1178" s="6" t="str">
        <f>IFERROR(__xludf.DUMMYFUNCTION("""COMPUTED_VALUE"""),"доброжилательные")</f>
        <v>доброжилательные</v>
      </c>
      <c r="X1178" s="6" t="str">
        <f>IFERROR(__xludf.DUMMYFUNCTION("""COMPUTED_VALUE"""),"вокзал")</f>
        <v>вокзал</v>
      </c>
      <c r="Y1178" s="6" t="str">
        <f>IFERROR(__xludf.DUMMYFUNCTION("""COMPUTED_VALUE"""),"1979 состоялась закладка микрорайона Шалготорьян")</f>
        <v>1979 состоялась закладка микрорайона Шалготорьян</v>
      </c>
      <c r="Z1178" s="6" t="str">
        <f>IFERROR(__xludf.DUMMYFUNCTION("""COMPUTED_VALUE"""),"нынче у нас выпустили новые автобусы")</f>
        <v>нынче у нас выпустили новые автобусы</v>
      </c>
      <c r="AA1178" s="6" t="str">
        <f>IFERROR(__xludf.DUMMYFUNCTION("""COMPUTED_VALUE"""),"пожар в зимней вишне")</f>
        <v>пожар в зимней вишне</v>
      </c>
      <c r="AB1178" s="6" t="str">
        <f>IFERROR(__xludf.DUMMYFUNCTION("""COMPUTED_VALUE"""),"с друзьями")</f>
        <v>с друзьями</v>
      </c>
      <c r="AC1178" s="6" t="str">
        <f>IFERROR(__xludf.DUMMYFUNCTION("""COMPUTED_VALUE"""),"кино, соревнований")</f>
        <v>кино, соревнований</v>
      </c>
      <c r="AD117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178" s="6" t="str">
        <f>IFERROR(__xludf.DUMMYFUNCTION("""COMPUTED_VALUE"""),"Мужской")</f>
        <v>Мужской</v>
      </c>
      <c r="AF1178" s="6" t="str">
        <f>IFERROR(__xludf.DUMMYFUNCTION("""COMPUTED_VALUE"""),"18-29")</f>
        <v>18-29</v>
      </c>
      <c r="AG1178" s="6"/>
      <c r="AH1178" s="6"/>
      <c r="AI1178" s="6"/>
      <c r="AJ1178" s="6"/>
      <c r="AK1178" s="6"/>
      <c r="AL1178" s="6"/>
      <c r="AM1178" s="6"/>
    </row>
    <row r="1179">
      <c r="A1179" s="6">
        <v>1178.0</v>
      </c>
      <c r="B1179" s="6" t="str">
        <f>IFERROR(__xludf.DUMMYFUNCTION("""COMPUTED_VALUE"""),"Читаю книги")</f>
        <v>Читаю книги</v>
      </c>
      <c r="C1179" s="6" t="str">
        <f>IFERROR(__xludf.DUMMYFUNCTION("""COMPUTED_VALUE"""),"Чтение")</f>
        <v>Чтение</v>
      </c>
      <c r="D1179" s="6" t="str">
        <f>IFERROR(__xludf.DUMMYFUNCTION("""COMPUTED_VALUE"""),"Кемеровская область")</f>
        <v>Кемеровская область</v>
      </c>
      <c r="E1179" s="6" t="str">
        <f>IFERROR(__xludf.DUMMYFUNCTION("""COMPUTED_VALUE"""),"ДК Шахтёров")</f>
        <v>ДК Шахтёров</v>
      </c>
      <c r="F1179" s="6" t="str">
        <f>IFERROR(__xludf.DUMMYFUNCTION("""COMPUTED_VALUE"""),"Живу здесь с рождения")</f>
        <v>Живу здесь с рождения</v>
      </c>
      <c r="G1179" s="6" t="str">
        <f>IFERROR(__xludf.DUMMYFUNCTION("""COMPUTED_VALUE"""),"В парк ""чудес""")</f>
        <v>В парк "чудес"</v>
      </c>
      <c r="H1179" s="6" t="str">
        <f>IFERROR(__xludf.DUMMYFUNCTION("""COMPUTED_VALUE"""),"Мечты,город,дом, Обь,ТЦ")</f>
        <v>Мечты,город,дом, Обь,ТЦ</v>
      </c>
      <c r="I1179" s="6" t="str">
        <f>IFERROR(__xludf.DUMMYFUNCTION("""COMPUTED_VALUE"""),"Алексей Леонов")</f>
        <v>Алексей Леонов</v>
      </c>
      <c r="J1179" s="6" t="str">
        <f>IFERROR(__xludf.DUMMYFUNCTION("""COMPUTED_VALUE"""),"Михайло Волков")</f>
        <v>Михайло Волков</v>
      </c>
      <c r="K1179" s="6" t="str">
        <f>IFERROR(__xludf.DUMMYFUNCTION("""COMPUTED_VALUE"""),"Памятник шахтёрам")</f>
        <v>Памятник шахтёрам</v>
      </c>
      <c r="L1179" s="6" t="str">
        <f>IFERROR(__xludf.DUMMYFUNCTION("""COMPUTED_VALUE"""),"Не знаю")</f>
        <v>Не знаю</v>
      </c>
      <c r="M1179" s="6" t="str">
        <f>IFERROR(__xludf.DUMMYFUNCTION("""COMPUTED_VALUE"""),"Не знаю")</f>
        <v>Не знаю</v>
      </c>
      <c r="N1179" s="6" t="str">
        <f>IFERROR(__xludf.DUMMYFUNCTION("""COMPUTED_VALUE"""),"Не знаю")</f>
        <v>Не знаю</v>
      </c>
      <c r="O1179" s="6" t="str">
        <f>IFERROR(__xludf.DUMMYFUNCTION("""COMPUTED_VALUE"""),"Не знаю")</f>
        <v>Не знаю</v>
      </c>
      <c r="P1179" s="6" t="str">
        <f>IFERROR(__xludf.DUMMYFUNCTION("""COMPUTED_VALUE"""),"Ин-т")</f>
        <v>Ин-т</v>
      </c>
      <c r="Q1179" s="6" t="str">
        <f>IFERROR(__xludf.DUMMYFUNCTION("""COMPUTED_VALUE"""),"куда пойти в свободное время, где вкусно поесть/открытие новых кафе/ресторанов,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интервью с экспертами на разные темы (напишите в разделе Другое свои предложения)</v>
      </c>
      <c r="R1179" s="6" t="str">
        <f>IFERROR(__xludf.DUMMYFUNCTION("""COMPUTED_VALUE"""),"День рождения")</f>
        <v>День рождения</v>
      </c>
      <c r="S1179" s="6" t="str">
        <f>IFERROR(__xludf.DUMMYFUNCTION("""COMPUTED_VALUE"""),"Обращался в редакции городских газет, телевидения, радио")</f>
        <v>Обращался в редакции городских газет, телевидения, радио</v>
      </c>
      <c r="T1179" s="6" t="str">
        <f>IFERROR(__xludf.DUMMYFUNCTION("""COMPUTED_VALUE"""),"Углём")</f>
        <v>Углём</v>
      </c>
      <c r="U1179" s="6" t="str">
        <f>IFERROR(__xludf.DUMMYFUNCTION("""COMPUTED_VALUE"""),"Не знаю")</f>
        <v>Не знаю</v>
      </c>
      <c r="V1179" s="6" t="str">
        <f>IFERROR(__xludf.DUMMYFUNCTION("""COMPUTED_VALUE"""),"Не знаю")</f>
        <v>Не знаю</v>
      </c>
      <c r="W1179" s="6" t="str">
        <f>IFERROR(__xludf.DUMMYFUNCTION("""COMPUTED_VALUE"""),"Не знаю")</f>
        <v>Не знаю</v>
      </c>
      <c r="X1179" s="6" t="str">
        <f>IFERROR(__xludf.DUMMYFUNCTION("""COMPUTED_VALUE"""),"Не знаю")</f>
        <v>Не знаю</v>
      </c>
      <c r="Y1179" s="6" t="str">
        <f>IFERROR(__xludf.DUMMYFUNCTION("""COMPUTED_VALUE"""),"Не знаю")</f>
        <v>Не знаю</v>
      </c>
      <c r="Z1179" s="6" t="str">
        <f>IFERROR(__xludf.DUMMYFUNCTION("""COMPUTED_VALUE"""),"Не знаю")</f>
        <v>Не знаю</v>
      </c>
      <c r="AA1179" s="6" t="str">
        <f>IFERROR(__xludf.DUMMYFUNCTION("""COMPUTED_VALUE"""),"Не знаю")</f>
        <v>Не знаю</v>
      </c>
      <c r="AB1179" s="6" t="str">
        <f>IFERROR(__xludf.DUMMYFUNCTION("""COMPUTED_VALUE"""),"Радости")</f>
        <v>Радости</v>
      </c>
      <c r="AC1179" s="6" t="str">
        <f>IFERROR(__xludf.DUMMYFUNCTION("""COMPUTED_VALUE"""),"Не знаю")</f>
        <v>Не знаю</v>
      </c>
      <c r="AD1179" s="6" t="str">
        <f>IFERROR(__xludf.DUMMYFUNCTION("""COMPUTED_VALUE"""),"Волонтера: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179" s="6" t="str">
        <f>IFERROR(__xludf.DUMMYFUNCTION("""COMPUTED_VALUE"""),"Мужской")</f>
        <v>Мужской</v>
      </c>
      <c r="AF1179" s="6" t="str">
        <f>IFERROR(__xludf.DUMMYFUNCTION("""COMPUTED_VALUE"""),"18-29")</f>
        <v>18-29</v>
      </c>
      <c r="AG1179" s="6"/>
      <c r="AH1179" s="6"/>
      <c r="AI1179" s="6"/>
      <c r="AJ1179" s="6"/>
      <c r="AK1179" s="6"/>
      <c r="AL1179" s="6"/>
      <c r="AM1179" s="6"/>
    </row>
    <row r="1180">
      <c r="A1180" s="6">
        <v>1179.0</v>
      </c>
      <c r="B1180" s="6" t="str">
        <f>IFERROR(__xludf.DUMMYFUNCTION("""COMPUTED_VALUE"""),"Домохозяйка")</f>
        <v>Домохозяйка</v>
      </c>
      <c r="C1180" s="6" t="str">
        <f>IFERROR(__xludf.DUMMYFUNCTION("""COMPUTED_VALUE"""),"Рисование по номерам")</f>
        <v>Рисование по номерам</v>
      </c>
      <c r="D1180" s="6" t="str">
        <f>IFERROR(__xludf.DUMMYFUNCTION("""COMPUTED_VALUE"""),"Рудничный, район музея Красная горка ")</f>
        <v>Рудничный, район музея Красная горка </v>
      </c>
      <c r="E1180" s="6" t="str">
        <f>IFERROR(__xludf.DUMMYFUNCTION("""COMPUTED_VALUE"""),"Музей «Красная горка»")</f>
        <v>Музей «Красная горка»</v>
      </c>
      <c r="F1180" s="6" t="str">
        <f>IFERROR(__xludf.DUMMYFUNCTION("""COMPUTED_VALUE"""),"Переехал сюда из другого места (откуда? укажите в графе другое), Братск Иркутской области")</f>
        <v>Переехал сюда из другого места (откуда? укажите в графе другое), Братск Иркутской области</v>
      </c>
      <c r="G1180" s="6" t="str">
        <f>IFERROR(__xludf.DUMMYFUNCTION("""COMPUTED_VALUE"""),"Набережная, сосновый бор")</f>
        <v>Набережная, сосновый бор</v>
      </c>
      <c r="H1180" s="6" t="str">
        <f>IFERROR(__xludf.DUMMYFUNCTION("""COMPUTED_VALUE"""),"Столица, шахты, набережная, кузнецкий мост, вокзал")</f>
        <v>Столица, шахты, набережная, кузнецкий мост, вокзал</v>
      </c>
      <c r="I1180" s="6" t="str">
        <f>IFERROR(__xludf.DUMMYFUNCTION("""COMPUTED_VALUE"""),"Не скажу")</f>
        <v>Не скажу</v>
      </c>
      <c r="J1180" s="6" t="str">
        <f>IFERROR(__xludf.DUMMYFUNCTION("""COMPUTED_VALUE"""),"Не скажу")</f>
        <v>Не скажу</v>
      </c>
      <c r="K1180" s="6" t="str">
        <f>IFERROR(__xludf.DUMMYFUNCTION("""COMPUTED_VALUE"""),"Памятник шахтерам, набережная, ")</f>
        <v>Памятник шахтерам, набережная, </v>
      </c>
      <c r="L1180" s="6" t="str">
        <f>IFERROR(__xludf.DUMMYFUNCTION("""COMPUTED_VALUE"""),"Не скажу")</f>
        <v>Не скажу</v>
      </c>
      <c r="M1180" s="6" t="str">
        <f>IFERROR(__xludf.DUMMYFUNCTION("""COMPUTED_VALUE"""),"Нет")</f>
        <v>Нет</v>
      </c>
      <c r="N1180" s="6" t="str">
        <f>IFERROR(__xludf.DUMMYFUNCTION("""COMPUTED_VALUE"""),"Места отдыха, обустроенные районы, магазины аптеки под рукой")</f>
        <v>Места отдыха, обустроенные районы, магазины аптеки под рукой</v>
      </c>
      <c r="O1180" s="6" t="str">
        <f>IFERROR(__xludf.DUMMYFUNCTION("""COMPUTED_VALUE"""),"Снести жилье ветхое, дороги")</f>
        <v>Снести жилье ветхое, дороги</v>
      </c>
      <c r="P1180" s="6" t="str">
        <f>IFERROR(__xludf.DUMMYFUNCTION("""COMPUTED_VALUE"""),"Инстаграмм")</f>
        <v>Инстаграмм</v>
      </c>
      <c r="Q1180"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180" s="6" t="str">
        <f>IFERROR(__xludf.DUMMYFUNCTION("""COMPUTED_VALUE"""),"День города, 9 мая")</f>
        <v>День города, 9 мая</v>
      </c>
      <c r="S1180" s="6" t="str">
        <f>IFERROR(__xludf.DUMMYFUNCTION("""COMPUTED_VALUE"""),"Нет, не приходилось")</f>
        <v>Нет, не приходилось</v>
      </c>
      <c r="T1180" s="6" t="str">
        <f>IFERROR(__xludf.DUMMYFUNCTION("""COMPUTED_VALUE"""),"Затрудняюсь ответить")</f>
        <v>Затрудняюсь ответить</v>
      </c>
      <c r="U1180" s="6" t="str">
        <f>IFERROR(__xludf.DUMMYFUNCTION("""COMPUTED_VALUE"""),"Площадь советов")</f>
        <v>Площадь советов</v>
      </c>
      <c r="V1180" s="6" t="str">
        <f>IFERROR(__xludf.DUMMYFUNCTION("""COMPUTED_VALUE"""),"Затрудняюсь ответить")</f>
        <v>Затрудняюсь ответить</v>
      </c>
      <c r="W1180" s="6" t="str">
        <f>IFERROR(__xludf.DUMMYFUNCTION("""COMPUTED_VALUE"""),"Добродушие, отзывчивость, ")</f>
        <v>Добродушие, отзывчивость, </v>
      </c>
      <c r="X1180" s="6" t="str">
        <f>IFERROR(__xludf.DUMMYFUNCTION("""COMPUTED_VALUE"""),"По центру города")</f>
        <v>По центру города</v>
      </c>
      <c r="Y1180" s="6" t="str">
        <f>IFERROR(__xludf.DUMMYFUNCTION("""COMPUTED_VALUE"""),"Затрудняюсь ответить")</f>
        <v>Затрудняюсь ответить</v>
      </c>
      <c r="Z1180" s="6" t="str">
        <f>IFERROR(__xludf.DUMMYFUNCTION("""COMPUTED_VALUE"""),"Затрудняюсь ответить")</f>
        <v>Затрудняюсь ответить</v>
      </c>
      <c r="AA1180" s="6" t="str">
        <f>IFERROR(__xludf.DUMMYFUNCTION("""COMPUTED_VALUE"""),"Затрудняюсь ответить")</f>
        <v>Затрудняюсь ответить</v>
      </c>
      <c r="AB1180" s="6" t="str">
        <f>IFERROR(__xludf.DUMMYFUNCTION("""COMPUTED_VALUE"""),"Книголюбов")</f>
        <v>Книголюбов</v>
      </c>
      <c r="AC1180" s="6" t="str">
        <f>IFERROR(__xludf.DUMMYFUNCTION("""COMPUTED_VALUE"""),"Всего хватает")</f>
        <v>Всего хватает</v>
      </c>
      <c r="AD118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180" s="6" t="str">
        <f>IFERROR(__xludf.DUMMYFUNCTION("""COMPUTED_VALUE"""),"Женский")</f>
        <v>Женский</v>
      </c>
      <c r="AF1180" s="6" t="str">
        <f>IFERROR(__xludf.DUMMYFUNCTION("""COMPUTED_VALUE"""),"30-44")</f>
        <v>30-44</v>
      </c>
      <c r="AG1180" s="6"/>
      <c r="AH1180" s="6"/>
      <c r="AI1180" s="6"/>
      <c r="AJ1180" s="6"/>
      <c r="AK1180" s="6"/>
      <c r="AL1180" s="6"/>
      <c r="AM1180" s="6"/>
    </row>
    <row r="1181">
      <c r="A1181" s="6">
        <v>1180.0</v>
      </c>
      <c r="B1181" s="6" t="str">
        <f>IFERROR(__xludf.DUMMYFUNCTION("""COMPUTED_VALUE"""),"работа")</f>
        <v>работа</v>
      </c>
      <c r="C1181" s="6" t="str">
        <f>IFERROR(__xludf.DUMMYFUNCTION("""COMPUTED_VALUE"""),"дача")</f>
        <v>дача</v>
      </c>
      <c r="D1181" s="6" t="str">
        <f>IFERROR(__xludf.DUMMYFUNCTION("""COMPUTED_VALUE"""),"ленинский")</f>
        <v>ленинский</v>
      </c>
      <c r="E1181" s="6" t="str">
        <f>IFERROR(__xludf.DUMMYFUNCTION("""COMPUTED_VALUE"""),"центр, набережная")</f>
        <v>центр, набережная</v>
      </c>
      <c r="F1181" s="6" t="str">
        <f>IFERROR(__xludf.DUMMYFUNCTION("""COMPUTED_VALUE"""),"Живу здесь с рождения")</f>
        <v>Живу здесь с рождения</v>
      </c>
      <c r="G1181" s="6" t="str">
        <f>IFERROR(__xludf.DUMMYFUNCTION("""COMPUTED_VALUE"""),"театр, филармония")</f>
        <v>театр, филармония</v>
      </c>
      <c r="H1181" s="6" t="str">
        <f>IFERROR(__xludf.DUMMYFUNCTION("""COMPUTED_VALUE"""),"родной, уютный, холодный, уголь ")</f>
        <v>родной, уютный, холодный, уголь </v>
      </c>
      <c r="I1181" s="6" t="str">
        <f>IFERROR(__xludf.DUMMYFUNCTION("""COMPUTED_VALUE"""),"Волков, Рутгерс")</f>
        <v>Волков, Рутгерс</v>
      </c>
      <c r="J1181" s="6" t="str">
        <f>IFERROR(__xludf.DUMMYFUNCTION("""COMPUTED_VALUE"""),"-")</f>
        <v>-</v>
      </c>
      <c r="K1181" s="6" t="str">
        <f>IFERROR(__xludf.DUMMYFUNCTION("""COMPUTED_VALUE"""),"-")</f>
        <v>-</v>
      </c>
      <c r="L1181" s="6" t="str">
        <f>IFERROR(__xludf.DUMMYFUNCTION("""COMPUTED_VALUE"""),"-")</f>
        <v>-</v>
      </c>
      <c r="M1181" s="6" t="str">
        <f>IFERROR(__xludf.DUMMYFUNCTION("""COMPUTED_VALUE"""),"-")</f>
        <v>-</v>
      </c>
      <c r="N1181" s="6" t="str">
        <f>IFERROR(__xludf.DUMMYFUNCTION("""COMPUTED_VALUE"""),"доступное жилье, чистая экология")</f>
        <v>доступное жилье, чистая экология</v>
      </c>
      <c r="O1181" s="6" t="str">
        <f>IFERROR(__xludf.DUMMYFUNCTION("""COMPUTED_VALUE"""),"экология")</f>
        <v>экология</v>
      </c>
      <c r="P1181" s="6" t="str">
        <f>IFERROR(__xludf.DUMMYFUNCTION("""COMPUTED_VALUE"""),"-")</f>
        <v>-</v>
      </c>
      <c r="Q1181" s="6" t="str">
        <f>IFERROR(__xludf.DUMMYFUNCTION("""COMPUTED_VALUE"""),"городская афиша (кино/театр/концерты), культурные новинки (что почитать/что послушать)")</f>
        <v>городская афиша (кино/театр/концерты), культурные новинки (что почитать/что послушать)</v>
      </c>
      <c r="R1181" s="6" t="str">
        <f>IFERROR(__xludf.DUMMYFUNCTION("""COMPUTED_VALUE"""),"9 мая")</f>
        <v>9 мая</v>
      </c>
      <c r="S1181" s="6" t="str">
        <f>IFERROR(__xludf.DUMMYFUNCTION("""COMPUTED_VALUE"""),"Нет, не приходилось")</f>
        <v>Нет, не приходилось</v>
      </c>
      <c r="T1181" s="6" t="str">
        <f>IFERROR(__xludf.DUMMYFUNCTION("""COMPUTED_VALUE"""),"история")</f>
        <v>история</v>
      </c>
      <c r="U1181" s="6" t="str">
        <f>IFERROR(__xludf.DUMMYFUNCTION("""COMPUTED_VALUE"""),"набережнач")</f>
        <v>набережнач</v>
      </c>
      <c r="V1181" s="6" t="str">
        <f>IFERROR(__xludf.DUMMYFUNCTION("""COMPUTED_VALUE"""),"-")</f>
        <v>-</v>
      </c>
      <c r="W1181" s="6" t="str">
        <f>IFERROR(__xludf.DUMMYFUNCTION("""COMPUTED_VALUE"""),"-")</f>
        <v>-</v>
      </c>
      <c r="X1181" s="6" t="str">
        <f>IFERROR(__xludf.DUMMYFUNCTION("""COMPUTED_VALUE"""),"весь старый центр")</f>
        <v>весь старый центр</v>
      </c>
      <c r="Y1181" s="6" t="str">
        <f>IFERROR(__xludf.DUMMYFUNCTION("""COMPUTED_VALUE"""),"-")</f>
        <v>-</v>
      </c>
      <c r="Z1181" s="6" t="str">
        <f>IFERROR(__xludf.DUMMYFUNCTION("""COMPUTED_VALUE"""),"-")</f>
        <v>-</v>
      </c>
      <c r="AA1181" s="6" t="str">
        <f>IFERROR(__xludf.DUMMYFUNCTION("""COMPUTED_VALUE"""),"зимняя вишня")</f>
        <v>зимняя вишня</v>
      </c>
      <c r="AB1181" s="6" t="str">
        <f>IFERROR(__xludf.DUMMYFUNCTION("""COMPUTED_VALUE"""),"-")</f>
        <v>-</v>
      </c>
      <c r="AC1181" s="6" t="str">
        <f>IFERROR(__xludf.DUMMYFUNCTION("""COMPUTED_VALUE"""),"-")</f>
        <v>-</v>
      </c>
      <c r="AD118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81" s="6" t="str">
        <f>IFERROR(__xludf.DUMMYFUNCTION("""COMPUTED_VALUE"""),"Мужской")</f>
        <v>Мужской</v>
      </c>
      <c r="AF1181" s="6" t="str">
        <f>IFERROR(__xludf.DUMMYFUNCTION("""COMPUTED_VALUE"""),"45-55")</f>
        <v>45-55</v>
      </c>
      <c r="AG1181" s="6"/>
      <c r="AH1181" s="6"/>
      <c r="AI1181" s="6"/>
      <c r="AJ1181" s="6"/>
      <c r="AK1181" s="6"/>
      <c r="AL1181" s="6"/>
      <c r="AM1181" s="6"/>
    </row>
    <row r="1182">
      <c r="A1182" s="6">
        <v>1181.0</v>
      </c>
      <c r="B1182" s="6" t="str">
        <f>IFERROR(__xludf.DUMMYFUNCTION("""COMPUTED_VALUE"""),"пенсионер")</f>
        <v>пенсионер</v>
      </c>
      <c r="C1182" s="6" t="str">
        <f>IFERROR(__xludf.DUMMYFUNCTION("""COMPUTED_VALUE"""),"-")</f>
        <v>-</v>
      </c>
      <c r="D1182" s="6" t="str">
        <f>IFERROR(__xludf.DUMMYFUNCTION("""COMPUTED_VALUE"""),"кировский")</f>
        <v>кировский</v>
      </c>
      <c r="E1182" s="6" t="str">
        <f>IFERROR(__xludf.DUMMYFUNCTION("""COMPUTED_VALUE"""),"набережная, роща")</f>
        <v>набережная, роща</v>
      </c>
      <c r="F1182" s="6" t="str">
        <f>IFERROR(__xludf.DUMMYFUNCTION("""COMPUTED_VALUE"""),"Живу здесь с рождения")</f>
        <v>Живу здесь с рождения</v>
      </c>
      <c r="G1182" s="6" t="str">
        <f>IFERROR(__xludf.DUMMYFUNCTION("""COMPUTED_VALUE"""),"роща")</f>
        <v>роща</v>
      </c>
      <c r="H1182" s="6" t="str">
        <f>IFERROR(__xludf.DUMMYFUNCTION("""COMPUTED_VALUE"""),"угольный, шахты, хоккей,зима, снег")</f>
        <v>угольный, шахты, хоккей,зима, снег</v>
      </c>
      <c r="I1182" s="6" t="str">
        <f>IFERROR(__xludf.DUMMYFUNCTION("""COMPUTED_VALUE"""),"Рутгерс, Леонов, Волков")</f>
        <v>Рутгерс, Леонов, Волков</v>
      </c>
      <c r="J1182" s="6" t="str">
        <f>IFERROR(__xludf.DUMMYFUNCTION("""COMPUTED_VALUE"""),"Гришковец")</f>
        <v>Гришковец</v>
      </c>
      <c r="K1182" s="6" t="str">
        <f>IFERROR(__xludf.DUMMYFUNCTION("""COMPUTED_VALUE"""),"сердце шахтера")</f>
        <v>сердце шахтера</v>
      </c>
      <c r="L1182" s="6" t="str">
        <f>IFERROR(__xludf.DUMMYFUNCTION("""COMPUTED_VALUE"""),"-")</f>
        <v>-</v>
      </c>
      <c r="M1182" s="6" t="str">
        <f>IFERROR(__xludf.DUMMYFUNCTION("""COMPUTED_VALUE"""),"-")</f>
        <v>-</v>
      </c>
      <c r="N1182" s="6" t="str">
        <f>IFERROR(__xludf.DUMMYFUNCTION("""COMPUTED_VALUE"""),"уют, чистота, дороги, адекватная власть")</f>
        <v>уют, чистота, дороги, адекватная власть</v>
      </c>
      <c r="O1182" s="6" t="str">
        <f>IFERROR(__xludf.DUMMYFUNCTION("""COMPUTED_VALUE"""),"-")</f>
        <v>-</v>
      </c>
      <c r="P1182" s="6" t="str">
        <f>IFERROR(__xludf.DUMMYFUNCTION("""COMPUTED_VALUE"""),"-")</f>
        <v>-</v>
      </c>
      <c r="Q1182" s="6" t="str">
        <f>IFERROR(__xludf.DUMMYFUNCTION("""COMPUTED_VALUE"""),"интервью с местными политиками")</f>
        <v>интервью с местными политиками</v>
      </c>
      <c r="R1182" s="6" t="str">
        <f>IFERROR(__xludf.DUMMYFUNCTION("""COMPUTED_VALUE"""),"день шахтера, 9 мая")</f>
        <v>день шахтера, 9 мая</v>
      </c>
      <c r="S1182" s="6" t="str">
        <f>IFERROR(__xludf.DUMMYFUNCTION("""COMPUTED_VALUE"""),"Нет, не приходилось")</f>
        <v>Нет, не приходилось</v>
      </c>
      <c r="T1182" s="6" t="str">
        <f>IFERROR(__xludf.DUMMYFUNCTION("""COMPUTED_VALUE"""),"-")</f>
        <v>-</v>
      </c>
      <c r="U1182" s="6" t="str">
        <f>IFERROR(__xludf.DUMMYFUNCTION("""COMPUTED_VALUE"""),"советский")</f>
        <v>советский</v>
      </c>
      <c r="V1182" s="6" t="str">
        <f>IFERROR(__xludf.DUMMYFUNCTION("""COMPUTED_VALUE"""),"построили город")</f>
        <v>построили город</v>
      </c>
      <c r="W1182" s="6" t="str">
        <f>IFERROR(__xludf.DUMMYFUNCTION("""COMPUTED_VALUE"""),"-")</f>
        <v>-</v>
      </c>
      <c r="X1182" s="6" t="str">
        <f>IFERROR(__xludf.DUMMYFUNCTION("""COMPUTED_VALUE"""),"-")</f>
        <v>-</v>
      </c>
      <c r="Y1182" s="6" t="str">
        <f>IFERROR(__xludf.DUMMYFUNCTION("""COMPUTED_VALUE"""),"-")</f>
        <v>-</v>
      </c>
      <c r="Z1182" s="6" t="str">
        <f>IFERROR(__xludf.DUMMYFUNCTION("""COMPUTED_VALUE"""),"концерт около лампландии")</f>
        <v>концерт около лампландии</v>
      </c>
      <c r="AA1182" s="6" t="str">
        <f>IFERROR(__xludf.DUMMYFUNCTION("""COMPUTED_VALUE"""),"ЗВ")</f>
        <v>ЗВ</v>
      </c>
      <c r="AB1182" s="6" t="str">
        <f>IFERROR(__xludf.DUMMYFUNCTION("""COMPUTED_VALUE"""),"-")</f>
        <v>-</v>
      </c>
      <c r="AC1182" s="6" t="str">
        <f>IFERROR(__xludf.DUMMYFUNCTION("""COMPUTED_VALUE"""),"большой хоккей")</f>
        <v>большой хоккей</v>
      </c>
      <c r="AD118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82" s="6" t="str">
        <f>IFERROR(__xludf.DUMMYFUNCTION("""COMPUTED_VALUE"""),"Мужской")</f>
        <v>Мужской</v>
      </c>
      <c r="AF1182" s="6" t="str">
        <f>IFERROR(__xludf.DUMMYFUNCTION("""COMPUTED_VALUE"""),"30-44")</f>
        <v>30-44</v>
      </c>
      <c r="AG1182" s="6"/>
      <c r="AH1182" s="6"/>
      <c r="AI1182" s="6"/>
      <c r="AJ1182" s="6"/>
      <c r="AK1182" s="6"/>
      <c r="AL1182" s="6"/>
      <c r="AM1182" s="6"/>
    </row>
    <row r="1183">
      <c r="A1183" s="6">
        <v>1182.0</v>
      </c>
      <c r="B1183" s="6" t="str">
        <f>IFERROR(__xludf.DUMMYFUNCTION("""COMPUTED_VALUE"""),"инженер")</f>
        <v>инженер</v>
      </c>
      <c r="C1183" s="6" t="str">
        <f>IFERROR(__xludf.DUMMYFUNCTION("""COMPUTED_VALUE"""),"спорт")</f>
        <v>спорт</v>
      </c>
      <c r="D1183" s="6" t="str">
        <f>IFERROR(__xludf.DUMMYFUNCTION("""COMPUTED_VALUE"""),"рудничный")</f>
        <v>рудничный</v>
      </c>
      <c r="E1183" s="6" t="str">
        <f>IFERROR(__xludf.DUMMYFUNCTION("""COMPUTED_VALUE"""),"памчятник шахтеру")</f>
        <v>памчятник шахтеру</v>
      </c>
      <c r="F1183" s="6" t="str">
        <f>IFERROR(__xludf.DUMMYFUNCTION("""COMPUTED_VALUE"""),"Переехал сюда из другого места (откуда? укажите в графе другое), Белово")</f>
        <v>Переехал сюда из другого места (откуда? укажите в графе другое), Белово</v>
      </c>
      <c r="G1183" s="6" t="str">
        <f>IFERROR(__xludf.DUMMYFUNCTION("""COMPUTED_VALUE"""),"бор")</f>
        <v>бор</v>
      </c>
      <c r="H1183" s="6" t="str">
        <f>IFERROR(__xludf.DUMMYFUNCTION("""COMPUTED_VALUE"""),"бор,  горы")</f>
        <v>бор,  горы</v>
      </c>
      <c r="I1183" s="6" t="str">
        <f>IFERROR(__xludf.DUMMYFUNCTION("""COMPUTED_VALUE"""),"Рутгерс")</f>
        <v>Рутгерс</v>
      </c>
      <c r="J1183" s="6" t="str">
        <f>IFERROR(__xludf.DUMMYFUNCTION("""COMPUTED_VALUE"""),"-")</f>
        <v>-</v>
      </c>
      <c r="K1183" s="6" t="str">
        <f>IFERROR(__xludf.DUMMYFUNCTION("""COMPUTED_VALUE"""),"бор")</f>
        <v>бор</v>
      </c>
      <c r="L1183" s="6" t="str">
        <f>IFERROR(__xludf.DUMMYFUNCTION("""COMPUTED_VALUE"""),"
-")</f>
        <v>
-</v>
      </c>
      <c r="M1183" s="6" t="str">
        <f>IFERROR(__xludf.DUMMYFUNCTION("""COMPUTED_VALUE"""),"-")</f>
        <v>-</v>
      </c>
      <c r="N1183" s="6" t="str">
        <f>IFERROR(__xludf.DUMMYFUNCTION("""COMPUTED_VALUE"""),"чистый,  спортивный, экологичный")</f>
        <v>чистый,  спортивный, экологичный</v>
      </c>
      <c r="O1183" s="6" t="str">
        <f>IFERROR(__xludf.DUMMYFUNCTION("""COMPUTED_VALUE"""),"дороги")</f>
        <v>дороги</v>
      </c>
      <c r="P1183" s="6" t="str">
        <f>IFERROR(__xludf.DUMMYFUNCTION("""COMPUTED_VALUE"""),"телевидение")</f>
        <v>телевидение</v>
      </c>
      <c r="Q1183" s="6" t="str">
        <f>IFERROR(__xludf.DUMMYFUNCTION("""COMPUTED_VALUE"""),"интервью с местными предпринимателями")</f>
        <v>интервью с местными предпринимателями</v>
      </c>
      <c r="R1183" s="6" t="str">
        <f>IFERROR(__xludf.DUMMYFUNCTION("""COMPUTED_VALUE"""),"-")</f>
        <v>-</v>
      </c>
      <c r="S1183" s="6" t="str">
        <f>IFERROR(__xludf.DUMMYFUNCTION("""COMPUTED_VALUE"""),"Нет, не приходилось")</f>
        <v>Нет, не приходилось</v>
      </c>
      <c r="T1183" s="6" t="str">
        <f>IFERROR(__xludf.DUMMYFUNCTION("""COMPUTED_VALUE"""),"-")</f>
        <v>-</v>
      </c>
      <c r="U1183" s="6" t="str">
        <f>IFERROR(__xludf.DUMMYFUNCTION("""COMPUTED_VALUE"""),"площадь советов, фонтан")</f>
        <v>площадь советов, фонтан</v>
      </c>
      <c r="V1183" s="6" t="str">
        <f>IFERROR(__xludf.DUMMYFUNCTION("""COMPUTED_VALUE"""),"-")</f>
        <v>-</v>
      </c>
      <c r="W1183" s="6" t="str">
        <f>IFERROR(__xludf.DUMMYFUNCTION("""COMPUTED_VALUE"""),"-")</f>
        <v>-</v>
      </c>
      <c r="X1183" s="6" t="str">
        <f>IFERROR(__xludf.DUMMYFUNCTION("""COMPUTED_VALUE"""),"-")</f>
        <v>-</v>
      </c>
      <c r="Y1183" s="6" t="str">
        <f>IFERROR(__xludf.DUMMYFUNCTION("""COMPUTED_VALUE"""),"-")</f>
        <v>-</v>
      </c>
      <c r="Z1183" s="6" t="str">
        <f>IFERROR(__xludf.DUMMYFUNCTION("""COMPUTED_VALUE"""),"-")</f>
        <v>-</v>
      </c>
      <c r="AA1183" s="6" t="str">
        <f>IFERROR(__xludf.DUMMYFUNCTION("""COMPUTED_VALUE"""),"-")</f>
        <v>-</v>
      </c>
      <c r="AB1183" s="6" t="str">
        <f>IFERROR(__xludf.DUMMYFUNCTION("""COMPUTED_VALUE"""),"-")</f>
        <v>-</v>
      </c>
      <c r="AC1183" s="6" t="str">
        <f>IFERROR(__xludf.DUMMYFUNCTION("""COMPUTED_VALUE"""),"-")</f>
        <v>-</v>
      </c>
      <c r="AD118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83" s="6" t="str">
        <f>IFERROR(__xludf.DUMMYFUNCTION("""COMPUTED_VALUE"""),"Мужской")</f>
        <v>Мужской</v>
      </c>
      <c r="AF1183" s="6" t="str">
        <f>IFERROR(__xludf.DUMMYFUNCTION("""COMPUTED_VALUE"""),"45-55")</f>
        <v>45-55</v>
      </c>
      <c r="AG1183" s="6"/>
      <c r="AH1183" s="6"/>
      <c r="AI1183" s="6"/>
      <c r="AJ1183" s="6"/>
      <c r="AK1183" s="6"/>
      <c r="AL1183" s="6"/>
      <c r="AM1183" s="6"/>
    </row>
    <row r="1184">
      <c r="A1184" s="6">
        <v>1183.0</v>
      </c>
      <c r="B1184" s="6" t="str">
        <f>IFERROR(__xludf.DUMMYFUNCTION("""COMPUTED_VALUE"""),"артист")</f>
        <v>артист</v>
      </c>
      <c r="C1184" s="6" t="str">
        <f>IFERROR(__xludf.DUMMYFUNCTION("""COMPUTED_VALUE"""),"работа")</f>
        <v>работа</v>
      </c>
      <c r="D1184" s="6" t="str">
        <f>IFERROR(__xludf.DUMMYFUNCTION("""COMPUTED_VALUE"""),"центральный")</f>
        <v>центральный</v>
      </c>
      <c r="E1184" s="6" t="str">
        <f>IFERROR(__xludf.DUMMYFUNCTION("""COMPUTED_VALUE"""),"фонтан, набережная, театр драмы, театр для детей и молодежи")</f>
        <v>фонтан, набережная, театр драмы, театр для детей и молодежи</v>
      </c>
      <c r="F1184" s="6" t="str">
        <f>IFERROR(__xludf.DUMMYFUNCTION("""COMPUTED_VALUE"""),"Живу здесь с рождения")</f>
        <v>Живу здесь с рождения</v>
      </c>
      <c r="G1184" s="6" t="str">
        <f>IFERROR(__xludf.DUMMYFUNCTION("""COMPUTED_VALUE"""),"прогулки по центру, дачка")</f>
        <v>прогулки по центру, дачка</v>
      </c>
      <c r="H1184" s="6" t="str">
        <f>IFERROR(__xludf.DUMMYFUNCTION("""COMPUTED_VALUE"""),"растущий, развивающийся, светлый, зимний, уютный")</f>
        <v>растущий, развивающийся, светлый, зимний, уютный</v>
      </c>
      <c r="I1184" s="6" t="str">
        <f>IFERROR(__xludf.DUMMYFUNCTION("""COMPUTED_VALUE"""),"-")</f>
        <v>-</v>
      </c>
      <c r="J1184" s="6" t="str">
        <f>IFERROR(__xludf.DUMMYFUNCTION("""COMPUTED_VALUE"""),"Гришковец")</f>
        <v>Гришковец</v>
      </c>
      <c r="K1184" s="6" t="str">
        <f>IFERROR(__xludf.DUMMYFUNCTION("""COMPUTED_VALUE"""),"историчекский центр города")</f>
        <v>историчекский центр города</v>
      </c>
      <c r="L1184" s="6" t="str">
        <f>IFERROR(__xludf.DUMMYFUNCTION("""COMPUTED_VALUE""")," -")</f>
        <v> -</v>
      </c>
      <c r="M1184" s="6" t="str">
        <f>IFERROR(__xludf.DUMMYFUNCTION("""COMPUTED_VALUE"""),"--")</f>
        <v>--</v>
      </c>
      <c r="N1184" s="6" t="str">
        <f>IFERROR(__xludf.DUMMYFUNCTION("""COMPUTED_VALUE"""),"важно чтобы город не стоял на месте")</f>
        <v>важно чтобы город не стоял на месте</v>
      </c>
      <c r="O1184" s="6" t="str">
        <f>IFERROR(__xludf.DUMMYFUNCTION("""COMPUTED_VALUE"""),"отношение жителей к городу и себе")</f>
        <v>отношение жителей к городу и себе</v>
      </c>
      <c r="P1184" s="6" t="str">
        <f>IFERROR(__xludf.DUMMYFUNCTION("""COMPUTED_VALUE"""),"-")</f>
        <v>-</v>
      </c>
      <c r="Q1184" s="6" t="str">
        <f>IFERROR(__xludf.DUMMYFUNCTION("""COMPUTED_VALUE"""),"куда пойти в свободное время, 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1184" s="6" t="str">
        <f>IFERROR(__xludf.DUMMYFUNCTION("""COMPUTED_VALUE"""),"-")</f>
        <v>-</v>
      </c>
      <c r="S1184" s="6" t="str">
        <f>IFERROR(__xludf.DUMMYFUNCTION("""COMPUTED_VALUE"""),"Нет, не приходилось")</f>
        <v>Нет, не приходилось</v>
      </c>
      <c r="T1184" s="6" t="str">
        <f>IFERROR(__xludf.DUMMYFUNCTION("""COMPUTED_VALUE"""),"-")</f>
        <v>-</v>
      </c>
      <c r="U1184" s="6" t="str">
        <f>IFERROR(__xludf.DUMMYFUNCTION("""COMPUTED_VALUE"""),"старый центр")</f>
        <v>старый центр</v>
      </c>
      <c r="V1184" s="6" t="str">
        <f>IFERROR(__xludf.DUMMYFUNCTION("""COMPUTED_VALUE"""),"-")</f>
        <v>-</v>
      </c>
      <c r="W1184" s="6" t="str">
        <f>IFERROR(__xludf.DUMMYFUNCTION("""COMPUTED_VALUE"""),"злые, закрытые, творческие, боязливые")</f>
        <v>злые, закрытые, творческие, боязливые</v>
      </c>
      <c r="X1184" s="6" t="str">
        <f>IFERROR(__xludf.DUMMYFUNCTION("""COMPUTED_VALUE"""),"по центру")</f>
        <v>по центру</v>
      </c>
      <c r="Y1184" s="6" t="str">
        <f>IFERROR(__xludf.DUMMYFUNCTION("""COMPUTED_VALUE"""),"-")</f>
        <v>-</v>
      </c>
      <c r="Z1184" s="6" t="str">
        <f>IFERROR(__xludf.DUMMYFUNCTION("""COMPUTED_VALUE"""),"ночь музеев и концерт рок")</f>
        <v>ночь музеев и концерт рок</v>
      </c>
      <c r="AA1184" s="6" t="str">
        <f>IFERROR(__xludf.DUMMYFUNCTION("""COMPUTED_VALUE"""),"вишня")</f>
        <v>вишня</v>
      </c>
      <c r="AB1184" s="6" t="str">
        <f>IFERROR(__xludf.DUMMYFUNCTION("""COMPUTED_VALUE"""),"-")</f>
        <v>-</v>
      </c>
      <c r="AC1184" s="6" t="str">
        <f>IFERROR(__xludf.DUMMYFUNCTION("""COMPUTED_VALUE"""),"-")</f>
        <v>-</v>
      </c>
      <c r="AD118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84" s="6" t="str">
        <f>IFERROR(__xludf.DUMMYFUNCTION("""COMPUTED_VALUE"""),"Мужской")</f>
        <v>Мужской</v>
      </c>
      <c r="AF1184" s="6" t="str">
        <f>IFERROR(__xludf.DUMMYFUNCTION("""COMPUTED_VALUE"""),"45-55")</f>
        <v>45-55</v>
      </c>
      <c r="AG1184" s="6"/>
      <c r="AH1184" s="6"/>
      <c r="AI1184" s="6"/>
      <c r="AJ1184" s="6"/>
      <c r="AK1184" s="6"/>
      <c r="AL1184" s="6"/>
      <c r="AM1184" s="6"/>
    </row>
    <row r="1185">
      <c r="A1185" s="6">
        <v>1184.0</v>
      </c>
      <c r="B1185" s="6" t="str">
        <f>IFERROR(__xludf.DUMMYFUNCTION("""COMPUTED_VALUE"""),"работа")</f>
        <v>работа</v>
      </c>
      <c r="C1185" s="6" t="str">
        <f>IFERROR(__xludf.DUMMYFUNCTION("""COMPUTED_VALUE"""),"прогулки")</f>
        <v>прогулки</v>
      </c>
      <c r="D1185" s="6" t="str">
        <f>IFERROR(__xludf.DUMMYFUNCTION("""COMPUTED_VALUE"""),"рудничном")</f>
        <v>рудничном</v>
      </c>
      <c r="E1185" s="6" t="str">
        <f>IFERROR(__xludf.DUMMYFUNCTION("""COMPUTED_VALUE"""),"сосновый бор, памятник шахтерам")</f>
        <v>сосновый бор, памятник шахтерам</v>
      </c>
      <c r="F1185" s="6" t="str">
        <f>IFERROR(__xludf.DUMMYFUNCTION("""COMPUTED_VALUE"""),"Живу здесь с рождения")</f>
        <v>Живу здесь с рождения</v>
      </c>
      <c r="G1185" s="6" t="str">
        <f>IFERROR(__xludf.DUMMYFUNCTION("""COMPUTED_VALUE"""),"в бор на прогулки")</f>
        <v>в бор на прогулки</v>
      </c>
      <c r="H1185" s="6" t="str">
        <f>IFERROR(__xludf.DUMMYFUNCTION("""COMPUTED_VALUE"""),"чистый, уютный, родной")</f>
        <v>чистый, уютный, родной</v>
      </c>
      <c r="I1185" s="6" t="str">
        <f>IFERROR(__xludf.DUMMYFUNCTION("""COMPUTED_VALUE"""),"Волоков")</f>
        <v>Волоков</v>
      </c>
      <c r="J1185" s="6" t="str">
        <f>IFERROR(__xludf.DUMMYFUNCTION("""COMPUTED_VALUE"""),"Гришковец")</f>
        <v>Гришковец</v>
      </c>
      <c r="K1185" s="6" t="str">
        <f>IFERROR(__xludf.DUMMYFUNCTION("""COMPUTED_VALUE"""),"Центр, бор, комсомольский парк")</f>
        <v>Центр, бор, комсомольский парк</v>
      </c>
      <c r="L1185" s="6" t="str">
        <f>IFERROR(__xludf.DUMMYFUNCTION("""COMPUTED_VALUE"""),"-")</f>
        <v>-</v>
      </c>
      <c r="M1185" s="6" t="str">
        <f>IFERROR(__xludf.DUMMYFUNCTION("""COMPUTED_VALUE"""),"мультифора")</f>
        <v>мультифора</v>
      </c>
      <c r="N1185" s="6" t="str">
        <f>IFERROR(__xludf.DUMMYFUNCTION("""COMPUTED_VALUE"""),"чистота, спокойствие, развитые ифраструктуры")</f>
        <v>чистота, спокойствие, развитые ифраструктуры</v>
      </c>
      <c r="O1185" s="6" t="str">
        <f>IFERROR(__xludf.DUMMYFUNCTION("""COMPUTED_VALUE"""),"-")</f>
        <v>-</v>
      </c>
      <c r="P1185" s="6" t="str">
        <f>IFERROR(__xludf.DUMMYFUNCTION("""COMPUTED_VALUE"""),"вк, инста")</f>
        <v>вк, инста</v>
      </c>
      <c r="Q1185" s="6" t="str">
        <f>IFERROR(__xludf.DUMMYFUNCTION("""COMPUTED_VALUE"""),"куда пойти в свободное время, культурные новинки (что почитать/что послушать)")</f>
        <v>куда пойти в свободное время, культурные новинки (что почитать/что послушать)</v>
      </c>
      <c r="R1185" s="6" t="str">
        <f>IFERROR(__xludf.DUMMYFUNCTION("""COMPUTED_VALUE"""),"день молодежи")</f>
        <v>день молодежи</v>
      </c>
      <c r="S1185" s="6" t="str">
        <f>IFERROR(__xludf.DUMMYFUNCTION("""COMPUTED_VALUE"""),"Нет, не приходилось")</f>
        <v>Нет, не приходилось</v>
      </c>
      <c r="T1185" s="6" t="str">
        <f>IFERROR(__xludf.DUMMYFUNCTION("""COMPUTED_VALUE"""),"-")</f>
        <v>-</v>
      </c>
      <c r="U1185" s="6" t="str">
        <f>IFERROR(__xludf.DUMMYFUNCTION("""COMPUTED_VALUE"""),"фонтан")</f>
        <v>фонтан</v>
      </c>
      <c r="V1185" s="6" t="str">
        <f>IFERROR(__xludf.DUMMYFUNCTION("""COMPUTED_VALUE"""),"-")</f>
        <v>-</v>
      </c>
      <c r="W1185" s="6" t="str">
        <f>IFERROR(__xludf.DUMMYFUNCTION("""COMPUTED_VALUE"""),"добрый, отзывчивые")</f>
        <v>добрый, отзывчивые</v>
      </c>
      <c r="X1185" s="6" t="str">
        <f>IFERROR(__xludf.DUMMYFUNCTION("""COMPUTED_VALUE"""),"по центру до площади советов")</f>
        <v>по центру до площади советов</v>
      </c>
      <c r="Y1185" s="6" t="str">
        <f>IFERROR(__xludf.DUMMYFUNCTION("""COMPUTED_VALUE"""),"концерт")</f>
        <v>концерт</v>
      </c>
      <c r="Z1185" s="6" t="str">
        <f>IFERROR(__xludf.DUMMYFUNCTION("""COMPUTED_VALUE"""),"концерт")</f>
        <v>концерт</v>
      </c>
      <c r="AA1185" s="6" t="str">
        <f>IFERROR(__xludf.DUMMYFUNCTION("""COMPUTED_VALUE"""),"вишня")</f>
        <v>вишня</v>
      </c>
      <c r="AB1185" s="6" t="str">
        <f>IFERROR(__xludf.DUMMYFUNCTION("""COMPUTED_VALUE"""),"культурных")</f>
        <v>культурных</v>
      </c>
      <c r="AC1185" s="6" t="str">
        <f>IFERROR(__xludf.DUMMYFUNCTION("""COMPUTED_VALUE"""),"больше мероприятий для молодежи")</f>
        <v>больше мероприятий для молодежи</v>
      </c>
      <c r="AD118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85" s="6" t="str">
        <f>IFERROR(__xludf.DUMMYFUNCTION("""COMPUTED_VALUE"""),"Женский")</f>
        <v>Женский</v>
      </c>
      <c r="AF1185" s="6" t="str">
        <f>IFERROR(__xludf.DUMMYFUNCTION("""COMPUTED_VALUE"""),"30-44")</f>
        <v>30-44</v>
      </c>
      <c r="AG1185" s="6"/>
      <c r="AH1185" s="6"/>
      <c r="AI1185" s="6"/>
      <c r="AJ1185" s="6"/>
      <c r="AK1185" s="6"/>
      <c r="AL1185" s="6"/>
      <c r="AM1185" s="6"/>
    </row>
    <row r="1186">
      <c r="A1186" s="6">
        <v>1185.0</v>
      </c>
      <c r="B1186" s="6" t="str">
        <f>IFERROR(__xludf.DUMMYFUNCTION("""COMPUTED_VALUE"""),"председатель совета ветеранов п. Боровой")</f>
        <v>председатель совета ветеранов п. Боровой</v>
      </c>
      <c r="C1186" s="6" t="str">
        <f>IFERROR(__xludf.DUMMYFUNCTION("""COMPUTED_VALUE"""),"лауреат конкурса чтецов")</f>
        <v>лауреат конкурса чтецов</v>
      </c>
      <c r="D1186" s="6" t="str">
        <f>IFERROR(__xludf.DUMMYFUNCTION("""COMPUTED_VALUE"""),"п. Боровой")</f>
        <v>п. Боровой</v>
      </c>
      <c r="E1186" s="6" t="str">
        <f>IFERROR(__xludf.DUMMYFUNCTION("""COMPUTED_VALUE"""),"памятник погибшим комсомольцам")</f>
        <v>памятник погибшим комсомольцам</v>
      </c>
      <c r="F1186" s="6" t="str">
        <f>IFERROR(__xludf.DUMMYFUNCTION("""COMPUTED_VALUE"""),"Живу здесь с рождения")</f>
        <v>Живу здесь с рождения</v>
      </c>
      <c r="G1186" s="6" t="str">
        <f>IFERROR(__xludf.DUMMYFUNCTION("""COMPUTED_VALUE"""),"лесной бор
")</f>
        <v>лесной бор
</v>
      </c>
      <c r="H1186" s="6" t="str">
        <f>IFERROR(__xludf.DUMMYFUNCTION("""COMPUTED_VALUE"""),"шахтер, красная горка, горр сад, малая родина, внуки")</f>
        <v>шахтер, красная горка, горр сад, малая родина, внуки</v>
      </c>
      <c r="I1186" s="6" t="str">
        <f>IFERROR(__xludf.DUMMYFUNCTION("""COMPUTED_VALUE"""),"Леонов АВ ")</f>
        <v>Леонов АВ </v>
      </c>
      <c r="J1186" s="6" t="str">
        <f>IFERROR(__xludf.DUMMYFUNCTION("""COMPUTED_VALUE"""),"Пономарева Эльвира Петровна")</f>
        <v>Пономарева Эльвира Петровна</v>
      </c>
      <c r="K1186" s="6" t="str">
        <f>IFERROR(__xludf.DUMMYFUNCTION("""COMPUTED_VALUE"""),"красеая горка, бор
")</f>
        <v>красеая горка, бор
</v>
      </c>
      <c r="L1186" s="6" t="str">
        <f>IFERROR(__xludf.DUMMYFUNCTION("""COMPUTED_VALUE"""),"-")</f>
        <v>-</v>
      </c>
      <c r="M1186" s="6" t="str">
        <f>IFERROR(__xludf.DUMMYFUNCTION("""COMPUTED_VALUE"""),"-")</f>
        <v>-</v>
      </c>
      <c r="N1186" s="6" t="str">
        <f>IFERROR(__xludf.DUMMYFUNCTION("""COMPUTED_VALUE"""),"транспорт, озеленение города")</f>
        <v>транспорт, озеленение города</v>
      </c>
      <c r="O1186" s="6" t="str">
        <f>IFERROR(__xludf.DUMMYFUNCTION("""COMPUTED_VALUE"""),"построить обьездную дорогу")</f>
        <v>построить обьездную дорогу</v>
      </c>
      <c r="P1186" s="6" t="str">
        <f>IFERROR(__xludf.DUMMYFUNCTION("""COMPUTED_VALUE"""),"газеты: кузбасс, кемерово")</f>
        <v>газеты: кузбасс, кемерово</v>
      </c>
      <c r="Q1186" s="6" t="str">
        <f>IFERROR(__xludf.DUMMYFUNCTION("""COMPUTED_VALUE"""),"городская афиша (кино/театр/концерты), интервью с местными политиками, интервью с местными творческими личностями")</f>
        <v>городская афиша (кино/театр/концерты), интервью с местными политиками, интервью с местными творческими личностями</v>
      </c>
      <c r="R1186" s="6" t="str">
        <f>IFERROR(__xludf.DUMMYFUNCTION("""COMPUTED_VALUE"""),"день победы, день шахтера, день города, день матери, день пожилого человека")</f>
        <v>день победы, день шахтера, день города, день матери, день пожилого человека</v>
      </c>
      <c r="S1186" s="6" t="str">
        <f>IFERROR(__xludf.DUMMYFUNCTION("""COMPUTED_VALUE"""),"Нет, не приходилось")</f>
        <v>Нет, не приходилось</v>
      </c>
      <c r="T1186" s="6" t="str">
        <f>IFERROR(__xludf.DUMMYFUNCTION("""COMPUTED_VALUE"""),"родина космонавтов, шахтеров, героев СССР")</f>
        <v>родина космонавтов, шахтеров, героев СССР</v>
      </c>
      <c r="U1186" s="6" t="str">
        <f>IFERROR(__xludf.DUMMYFUNCTION("""COMPUTED_VALUE"""),"весенняя")</f>
        <v>весенняя</v>
      </c>
      <c r="V1186" s="6" t="str">
        <f>IFERROR(__xludf.DUMMYFUNCTION("""COMPUTED_VALUE"""),"-")</f>
        <v>-</v>
      </c>
      <c r="W1186" s="6" t="str">
        <f>IFERROR(__xludf.DUMMYFUNCTION("""COMPUTED_VALUE"""),"трудолюбие")</f>
        <v>трудолюбие</v>
      </c>
      <c r="X1186" s="6" t="str">
        <f>IFERROR(__xludf.DUMMYFUNCTION("""COMPUTED_VALUE"""),"бор")</f>
        <v>бор</v>
      </c>
      <c r="Y1186" s="6" t="str">
        <f>IFERROR(__xludf.DUMMYFUNCTION("""COMPUTED_VALUE"""),"300 лет кузбассу, 100 лет городу
")</f>
        <v>300 лет кузбассу, 100 лет городу
</v>
      </c>
      <c r="Z1186" s="6" t="str">
        <f>IFERROR(__xludf.DUMMYFUNCTION("""COMPUTED_VALUE"""),"85 лет рудничеому району")</f>
        <v>85 лет рудничеому району</v>
      </c>
      <c r="AA1186" s="6" t="str">
        <f>IFERROR(__xludf.DUMMYFUNCTION("""COMPUTED_VALUE"""),"-")</f>
        <v>-</v>
      </c>
      <c r="AB1186" s="6" t="str">
        <f>IFERROR(__xludf.DUMMYFUNCTION("""COMPUTED_VALUE"""),"-")</f>
        <v>-</v>
      </c>
      <c r="AC1186" s="6" t="str">
        <f>IFERROR(__xludf.DUMMYFUNCTION("""COMPUTED_VALUE"""),"-")</f>
        <v>-</v>
      </c>
      <c r="AD118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86" s="6" t="str">
        <f>IFERROR(__xludf.DUMMYFUNCTION("""COMPUTED_VALUE"""),"Мужской")</f>
        <v>Мужской</v>
      </c>
      <c r="AF1186" s="6" t="str">
        <f>IFERROR(__xludf.DUMMYFUNCTION("""COMPUTED_VALUE"""),"старше 55")</f>
        <v>старше 55</v>
      </c>
      <c r="AG1186" s="6"/>
      <c r="AH1186" s="6"/>
      <c r="AI1186" s="6"/>
      <c r="AJ1186" s="6"/>
      <c r="AK1186" s="6"/>
      <c r="AL1186" s="6"/>
      <c r="AM1186" s="6"/>
    </row>
    <row r="1187">
      <c r="A1187" s="6">
        <v>1186.0</v>
      </c>
      <c r="B1187" s="6" t="str">
        <f>IFERROR(__xludf.DUMMYFUNCTION("""COMPUTED_VALUE"""),"работаю")</f>
        <v>работаю</v>
      </c>
      <c r="C1187" s="6" t="str">
        <f>IFERROR(__xludf.DUMMYFUNCTION("""COMPUTED_VALUE"""),"книги")</f>
        <v>книги</v>
      </c>
      <c r="D1187" s="6" t="str">
        <f>IFERROR(__xludf.DUMMYFUNCTION("""COMPUTED_VALUE"""),"рудник")</f>
        <v>рудник</v>
      </c>
      <c r="E1187" s="6" t="str">
        <f>IFERROR(__xludf.DUMMYFUNCTION("""COMPUTED_VALUE"""),"памятник шахтерам")</f>
        <v>памятник шахтерам</v>
      </c>
      <c r="F1187" s="6" t="str">
        <f>IFERROR(__xludf.DUMMYFUNCTION("""COMPUTED_VALUE"""),"Живу здесь с рождения")</f>
        <v>Живу здесь с рождения</v>
      </c>
      <c r="G1187" s="6" t="str">
        <f>IFERROR(__xludf.DUMMYFUNCTION("""COMPUTED_VALUE"""),"парк чудес, кинотеатры, писаница")</f>
        <v>парк чудес, кинотеатры, писаница</v>
      </c>
      <c r="H1187" s="6" t="str">
        <f>IFERROR(__xludf.DUMMYFUNCTION("""COMPUTED_VALUE"""),"-")</f>
        <v>-</v>
      </c>
      <c r="I1187" s="6" t="str">
        <f>IFERROR(__xludf.DUMMYFUNCTION("""COMPUTED_VALUE"""),"Рякитинский")</f>
        <v>Рякитинский</v>
      </c>
      <c r="J1187" s="6" t="str">
        <f>IFERROR(__xludf.DUMMYFUNCTION("""COMPUTED_VALUE"""),"-")</f>
        <v>-</v>
      </c>
      <c r="K1187" s="6" t="str">
        <f>IFERROR(__xludf.DUMMYFUNCTION("""COMPUTED_VALUE"""),"набережная, бор, красная горка")</f>
        <v>набережная, бор, красная горка</v>
      </c>
      <c r="L1187" s="6" t="str">
        <f>IFERROR(__xludf.DUMMYFUNCTION("""COMPUTED_VALUE"""),"-")</f>
        <v>-</v>
      </c>
      <c r="M1187" s="6" t="str">
        <f>IFERROR(__xludf.DUMMYFUNCTION("""COMPUTED_VALUE"""),"-")</f>
        <v>-</v>
      </c>
      <c r="N1187" s="6" t="str">
        <f>IFERROR(__xludf.DUMMYFUNCTION("""COMPUTED_VALUE"""),"инфраструктура, дороги, экология, медицина и образование")</f>
        <v>инфраструктура, дороги, экология, медицина и образование</v>
      </c>
      <c r="O1187" s="6" t="str">
        <f>IFERROR(__xludf.DUMMYFUNCTION("""COMPUTED_VALUE"""),"-")</f>
        <v>-</v>
      </c>
      <c r="P1187" s="6" t="str">
        <f>IFERROR(__xludf.DUMMYFUNCTION("""COMPUTED_VALUE"""),"-тв")</f>
        <v>-тв</v>
      </c>
      <c r="Q1187" s="6" t="str">
        <f>IFERROR(__xludf.DUMMYFUNCTION("""COMPUTED_VALUE"""),"куда пойти в свободное время, интервью с местными политиками")</f>
        <v>куда пойти в свободное время, интервью с местными политиками</v>
      </c>
      <c r="R1187" s="6" t="str">
        <f>IFERROR(__xludf.DUMMYFUNCTION("""COMPUTED_VALUE"""),"9 мая, день шахтера, новый год")</f>
        <v>9 мая, день шахтера, новый год</v>
      </c>
      <c r="S1187" s="6" t="str">
        <f>IFERROR(__xludf.DUMMYFUNCTION("""COMPUTED_VALUE"""),"Нет, не приходилось")</f>
        <v>Нет, не приходилось</v>
      </c>
      <c r="T1187" s="6" t="str">
        <f>IFERROR(__xludf.DUMMYFUNCTION("""COMPUTED_VALUE"""),"-")</f>
        <v>-</v>
      </c>
      <c r="U1187" s="6" t="str">
        <f>IFERROR(__xludf.DUMMYFUNCTION("""COMPUTED_VALUE"""),"-")</f>
        <v>-</v>
      </c>
      <c r="V1187" s="6" t="str">
        <f>IFERROR(__xludf.DUMMYFUNCTION("""COMPUTED_VALUE"""),"облагородили город")</f>
        <v>облагородили город</v>
      </c>
      <c r="W1187" s="6" t="str">
        <f>IFERROR(__xludf.DUMMYFUNCTION("""COMPUTED_VALUE"""),"дружелюбный")</f>
        <v>дружелюбный</v>
      </c>
      <c r="X1187" s="6" t="str">
        <f>IFERROR(__xludf.DUMMYFUNCTION("""COMPUTED_VALUE"""),"центр")</f>
        <v>центр</v>
      </c>
      <c r="Y1187" s="6" t="str">
        <f>IFERROR(__xludf.DUMMYFUNCTION("""COMPUTED_VALUE"""),"100 лет города")</f>
        <v>100 лет города</v>
      </c>
      <c r="Z1187" s="6" t="str">
        <f>IFERROR(__xludf.DUMMYFUNCTION("""COMPUTED_VALUE"""),"гор. праздники")</f>
        <v>гор. праздники</v>
      </c>
      <c r="AA1187" s="6" t="str">
        <f>IFERROR(__xludf.DUMMYFUNCTION("""COMPUTED_VALUE"""),"-")</f>
        <v>-</v>
      </c>
      <c r="AB1187" s="6" t="str">
        <f>IFERROR(__xludf.DUMMYFUNCTION("""COMPUTED_VALUE"""),"-")</f>
        <v>-</v>
      </c>
      <c r="AC1187" s="6" t="str">
        <f>IFERROR(__xludf.DUMMYFUNCTION("""COMPUTED_VALUE"""),"оздоровительные мероприятия")</f>
        <v>оздоровительные мероприятия</v>
      </c>
      <c r="AD118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 Запустить свой предпринимат"&amp;"ельский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187" s="6" t="str">
        <f>IFERROR(__xludf.DUMMYFUNCTION("""COMPUTED_VALUE"""),"Женский")</f>
        <v>Женский</v>
      </c>
      <c r="AF1187" s="6" t="str">
        <f>IFERROR(__xludf.DUMMYFUNCTION("""COMPUTED_VALUE"""),"18-29")</f>
        <v>18-29</v>
      </c>
      <c r="AG1187" s="6"/>
      <c r="AH1187" s="6"/>
      <c r="AI1187" s="6"/>
      <c r="AJ1187" s="6"/>
      <c r="AK1187" s="6"/>
      <c r="AL1187" s="6"/>
      <c r="AM1187" s="6"/>
    </row>
    <row r="1188">
      <c r="A1188" s="6">
        <v>1187.0</v>
      </c>
      <c r="B1188" s="6" t="str">
        <f>IFERROR(__xludf.DUMMYFUNCTION("""COMPUTED_VALUE"""),"работаю")</f>
        <v>работаю</v>
      </c>
      <c r="C1188" s="6" t="str">
        <f>IFERROR(__xludf.DUMMYFUNCTION("""COMPUTED_VALUE"""),"бомбочки для ванн")</f>
        <v>бомбочки для ванн</v>
      </c>
      <c r="D1188" s="6" t="str">
        <f>IFERROR(__xludf.DUMMYFUNCTION("""COMPUTED_VALUE"""),"рудничный")</f>
        <v>рудничный</v>
      </c>
      <c r="E1188" s="6" t="str">
        <f>IFERROR(__xludf.DUMMYFUNCTION("""COMPUTED_VALUE"""),"бор")</f>
        <v>бор</v>
      </c>
      <c r="F1188" s="6" t="str">
        <f>IFERROR(__xludf.DUMMYFUNCTION("""COMPUTED_VALUE"""),"Живу здесь с рождения")</f>
        <v>Живу здесь с рождения</v>
      </c>
      <c r="G1188" s="6" t="str">
        <f>IFERROR(__xludf.DUMMYFUNCTION("""COMPUTED_VALUE"""),"гор сад, кафе, рестораны, бор")</f>
        <v>гор сад, кафе, рестораны, бор</v>
      </c>
      <c r="H1188" s="6" t="str">
        <f>IFERROR(__xludf.DUMMYFUNCTION("""COMPUTED_VALUE"""),"родина, спокойствие, любовь")</f>
        <v>родина, спокойствие, любовь</v>
      </c>
      <c r="I1188" s="6" t="str">
        <f>IFERROR(__xludf.DUMMYFUNCTION("""COMPUTED_VALUE"""),"М. Волков")</f>
        <v>М. Волков</v>
      </c>
      <c r="J1188" s="6" t="str">
        <f>IFERROR(__xludf.DUMMYFUNCTION("""COMPUTED_VALUE"""),"Тулеев, Гришковец")</f>
        <v>Тулеев, Гришковец</v>
      </c>
      <c r="K1188" s="6" t="str">
        <f>IFERROR(__xludf.DUMMYFUNCTION("""COMPUTED_VALUE"""),"красная горка, томская писаница, гор сад")</f>
        <v>красная горка, томская писаница, гор сад</v>
      </c>
      <c r="L1188" s="6" t="str">
        <f>IFERROR(__xludf.DUMMYFUNCTION("""COMPUTED_VALUE"""),"-")</f>
        <v>-</v>
      </c>
      <c r="M1188" s="6" t="str">
        <f>IFERROR(__xludf.DUMMYFUNCTION("""COMPUTED_VALUE"""),"-")</f>
        <v>-</v>
      </c>
      <c r="N1188" s="6" t="str">
        <f>IFERROR(__xludf.DUMMYFUNCTION("""COMPUTED_VALUE"""),"-")</f>
        <v>-</v>
      </c>
      <c r="O1188" s="6" t="str">
        <f>IFERROR(__xludf.DUMMYFUNCTION("""COMPUTED_VALUE"""),"бассейн")</f>
        <v>бассейн</v>
      </c>
      <c r="P1188" s="6" t="str">
        <f>IFERROR(__xludf.DUMMYFUNCTION("""COMPUTED_VALUE"""),"инста")</f>
        <v>инста</v>
      </c>
      <c r="Q1188"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188" s="6" t="str">
        <f>IFERROR(__xludf.DUMMYFUNCTION("""COMPUTED_VALUE"""),"9 мая, день шахтера, день города")</f>
        <v>9 мая, день шахтера, день города</v>
      </c>
      <c r="S1188" s="6" t="str">
        <f>IFERROR(__xludf.DUMMYFUNCTION("""COMPUTED_VALUE"""),"Нет, не приходилось")</f>
        <v>Нет, не приходилось</v>
      </c>
      <c r="T1188" s="6" t="str">
        <f>IFERROR(__xludf.DUMMYFUNCTION("""COMPUTED_VALUE"""),"томская писааница")</f>
        <v>томская писааница</v>
      </c>
      <c r="U1188" s="6" t="str">
        <f>IFERROR(__xludf.DUMMYFUNCTION("""COMPUTED_VALUE"""),"кирова, площадь советов")</f>
        <v>кирова, площадь советов</v>
      </c>
      <c r="V1188" s="6" t="str">
        <f>IFERROR(__xludf.DUMMYFUNCTION("""COMPUTED_VALUE"""),"парки, скверы")</f>
        <v>парки, скверы</v>
      </c>
      <c r="W1188" s="6" t="str">
        <f>IFERROR(__xludf.DUMMYFUNCTION("""COMPUTED_VALUE"""),"-")</f>
        <v>-</v>
      </c>
      <c r="X1188" s="6" t="str">
        <f>IFERROR(__xludf.DUMMYFUNCTION("""COMPUTED_VALUE"""),"гор сад, советов, бор")</f>
        <v>гор сад, советов, бор</v>
      </c>
      <c r="Y1188" s="6" t="str">
        <f>IFERROR(__xludf.DUMMYFUNCTION("""COMPUTED_VALUE"""),"-")</f>
        <v>-</v>
      </c>
      <c r="Z1188" s="6" t="str">
        <f>IFERROR(__xludf.DUMMYFUNCTION("""COMPUTED_VALUE"""),"-")</f>
        <v>-</v>
      </c>
      <c r="AA1188" s="6" t="str">
        <f>IFERROR(__xludf.DUMMYFUNCTION("""COMPUTED_VALUE"""),"-")</f>
        <v>-</v>
      </c>
      <c r="AB1188" s="6" t="str">
        <f>IFERROR(__xludf.DUMMYFUNCTION("""COMPUTED_VALUE"""),"-")</f>
        <v>-</v>
      </c>
      <c r="AC1188" s="6" t="str">
        <f>IFERROR(__xludf.DUMMYFUNCTION("""COMPUTED_VALUE"""),"спортивные мероприячтия и бесплатные концерты")</f>
        <v>спортивные мероприячтия и бесплатные концерты</v>
      </c>
      <c r="AD1188"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188" s="6" t="str">
        <f>IFERROR(__xludf.DUMMYFUNCTION("""COMPUTED_VALUE"""),"Женский")</f>
        <v>Женский</v>
      </c>
      <c r="AF1188" s="6" t="str">
        <f>IFERROR(__xludf.DUMMYFUNCTION("""COMPUTED_VALUE"""),"18-29")</f>
        <v>18-29</v>
      </c>
      <c r="AG1188" s="6"/>
      <c r="AH1188" s="6"/>
      <c r="AI1188" s="6"/>
      <c r="AJ1188" s="6"/>
      <c r="AK1188" s="6"/>
      <c r="AL1188" s="6"/>
      <c r="AM1188" s="6"/>
    </row>
    <row r="1189">
      <c r="A1189" s="6">
        <v>1188.0</v>
      </c>
      <c r="B1189" s="6" t="str">
        <f>IFERROR(__xludf.DUMMYFUNCTION("""COMPUTED_VALUE"""),"специалист отдела ОМРН")</f>
        <v>специалист отдела ОМРН</v>
      </c>
      <c r="C1189" s="6" t="str">
        <f>IFERROR(__xludf.DUMMYFUNCTION("""COMPUTED_VALUE"""),"спорт")</f>
        <v>спорт</v>
      </c>
      <c r="D1189" s="6" t="str">
        <f>IFERROR(__xludf.DUMMYFUNCTION("""COMPUTED_VALUE"""),"радуга")</f>
        <v>радуга</v>
      </c>
      <c r="E1189" s="6" t="str">
        <f>IFERROR(__xludf.DUMMYFUNCTION("""COMPUTED_VALUE"""),"бор, красная горка")</f>
        <v>бор, красная горка</v>
      </c>
      <c r="F1189" s="6" t="str">
        <f>IFERROR(__xludf.DUMMYFUNCTION("""COMPUTED_VALUE"""),"Переехал сюда из другого места (откуда? укажите в графе другое), Березовский")</f>
        <v>Переехал сюда из другого места (откуда? укажите в графе другое), Березовский</v>
      </c>
      <c r="G1189" s="6" t="str">
        <f>IFERROR(__xludf.DUMMYFUNCTION("""COMPUTED_VALUE"""),"парк чудес, бульвар строителей")</f>
        <v>парк чудес, бульвар строителей</v>
      </c>
      <c r="H1189" s="6" t="str">
        <f>IFERROR(__xludf.DUMMYFUNCTION("""COMPUTED_VALUE"""),"чистота, молодость")</f>
        <v>чистота, молодость</v>
      </c>
      <c r="I1189" s="6" t="str">
        <f>IFERROR(__xludf.DUMMYFUNCTION("""COMPUTED_VALUE"""),"Волков, Двужильный, Волошина")</f>
        <v>Волков, Двужильный, Волошина</v>
      </c>
      <c r="J1189" s="6" t="str">
        <f>IFERROR(__xludf.DUMMYFUNCTION("""COMPUTED_VALUE"""),"Гришковец")</f>
        <v>Гришковец</v>
      </c>
      <c r="K1189" s="6" t="str">
        <f>IFERROR(__xludf.DUMMYFUNCTION("""COMPUTED_VALUE"""),"-")</f>
        <v>-</v>
      </c>
      <c r="L1189" s="6" t="str">
        <f>IFERROR(__xludf.DUMMYFUNCTION("""COMPUTED_VALUE"""),"-")</f>
        <v>-</v>
      </c>
      <c r="M1189" s="6" t="str">
        <f>IFERROR(__xludf.DUMMYFUNCTION("""COMPUTED_VALUE"""),"-")</f>
        <v>-</v>
      </c>
      <c r="N1189" s="6" t="str">
        <f>IFERROR(__xludf.DUMMYFUNCTION("""COMPUTED_VALUE"""),"-")</f>
        <v>-</v>
      </c>
      <c r="O1189" s="6" t="str">
        <f>IFERROR(__xludf.DUMMYFUNCTION("""COMPUTED_VALUE"""),"экологию")</f>
        <v>экологию</v>
      </c>
      <c r="P1189" s="6" t="str">
        <f>IFERROR(__xludf.DUMMYFUNCTION("""COMPUTED_VALUE"""),"инста")</f>
        <v>инста</v>
      </c>
      <c r="Q1189"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f>
        <v>где вкусно поесть/открытие новых кафе/ресторанов, городская афиша (кино/театр/концерты), культурные новинки (что почитать/что послушать)</v>
      </c>
      <c r="R1189" s="6" t="str">
        <f>IFERROR(__xludf.DUMMYFUNCTION("""COMPUTED_VALUE"""),"день города, новый год")</f>
        <v>день города, новый год</v>
      </c>
      <c r="S1189" s="6" t="str">
        <f>IFERROR(__xludf.DUMMYFUNCTION("""COMPUTED_VALUE"""),"Делал рассылку по электронной почте")</f>
        <v>Делал рассылку по электронной почте</v>
      </c>
      <c r="T1189" s="6" t="str">
        <f>IFERROR(__xludf.DUMMYFUNCTION("""COMPUTED_VALUE"""),"угольной предприниммательностью")</f>
        <v>угольной предприниммательностью</v>
      </c>
      <c r="U1189" s="6" t="str">
        <f>IFERROR(__xludf.DUMMYFUNCTION("""COMPUTED_VALUE"""),"пл советов")</f>
        <v>пл советов</v>
      </c>
      <c r="V1189" s="6" t="str">
        <f>IFERROR(__xludf.DUMMYFUNCTION("""COMPUTED_VALUE"""),"работали на опасных производственных обьектах")</f>
        <v>работали на опасных производственных обьектах</v>
      </c>
      <c r="W1189" s="6" t="str">
        <f>IFERROR(__xludf.DUMMYFUNCTION("""COMPUTED_VALUE"""),"отзывчивые, добрые")</f>
        <v>отзывчивые, добрые</v>
      </c>
      <c r="X1189" s="6" t="str">
        <f>IFERROR(__xludf.DUMMYFUNCTION("""COMPUTED_VALUE"""),"советский-весенняя")</f>
        <v>советский-весенняя</v>
      </c>
      <c r="Y1189" s="6" t="str">
        <f>IFERROR(__xludf.DUMMYFUNCTION("""COMPUTED_VALUE"""),"рок фест")</f>
        <v>рок фест</v>
      </c>
      <c r="Z1189" s="6" t="str">
        <f>IFERROR(__xludf.DUMMYFUNCTION("""COMPUTED_VALUE"""),"рок фест")</f>
        <v>рок фест</v>
      </c>
      <c r="AA1189" s="6" t="str">
        <f>IFERROR(__xludf.DUMMYFUNCTION("""COMPUTED_VALUE"""),"зимняя вишня")</f>
        <v>зимняя вишня</v>
      </c>
      <c r="AB1189" s="6" t="str">
        <f>IFERROR(__xludf.DUMMYFUNCTION("""COMPUTED_VALUE"""),"-")</f>
        <v>-</v>
      </c>
      <c r="AC1189" s="6" t="str">
        <f>IFERROR(__xludf.DUMMYFUNCTION("""COMPUTED_VALUE"""),"концерты на открытых площадках")</f>
        <v>концерты на открытых площадках</v>
      </c>
      <c r="AD118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89" s="6" t="str">
        <f>IFERROR(__xludf.DUMMYFUNCTION("""COMPUTED_VALUE"""),"Женский")</f>
        <v>Женский</v>
      </c>
      <c r="AF1189" s="6" t="str">
        <f>IFERROR(__xludf.DUMMYFUNCTION("""COMPUTED_VALUE"""),"30-44")</f>
        <v>30-44</v>
      </c>
      <c r="AG1189" s="6"/>
      <c r="AH1189" s="6"/>
      <c r="AI1189" s="6"/>
      <c r="AJ1189" s="6"/>
      <c r="AK1189" s="6"/>
      <c r="AL1189" s="6"/>
      <c r="AM1189" s="6"/>
    </row>
    <row r="1190">
      <c r="A1190" s="6">
        <v>1189.0</v>
      </c>
      <c r="B1190" s="6" t="str">
        <f>IFERROR(__xludf.DUMMYFUNCTION("""COMPUTED_VALUE"""),"служащий")</f>
        <v>служащий</v>
      </c>
      <c r="C1190" s="6" t="str">
        <f>IFERROR(__xludf.DUMMYFUNCTION("""COMPUTED_VALUE"""),"алмазная мозаика, пазлы")</f>
        <v>алмазная мозаика, пазлы</v>
      </c>
      <c r="D1190" s="6" t="str">
        <f>IFERROR(__xludf.DUMMYFUNCTION("""COMPUTED_VALUE"""),"ленинский")</f>
        <v>ленинский</v>
      </c>
      <c r="E1190" s="6" t="str">
        <f>IFERROR(__xludf.DUMMYFUNCTION("""COMPUTED_VALUE"""),"сквер на бульваре строителей")</f>
        <v>сквер на бульваре строителей</v>
      </c>
      <c r="F1190" s="6" t="str">
        <f>IFERROR(__xludf.DUMMYFUNCTION("""COMPUTED_VALUE"""),"Переехал сюда из другого места (откуда? укажите в графе другое), Киселевска")</f>
        <v>Переехал сюда из другого места (откуда? укажите в графе другое), Киселевска</v>
      </c>
      <c r="G1190" s="6" t="str">
        <f>IFERROR(__xludf.DUMMYFUNCTION("""COMPUTED_VALUE"""),"бульвар, кадетка")</f>
        <v>бульвар, кадетка</v>
      </c>
      <c r="H1190" s="6" t="str">
        <f>IFERROR(__xludf.DUMMYFUNCTION("""COMPUTED_VALUE"""),"стройка, развитие, столица, студент")</f>
        <v>стройка, развитие, столица, студент</v>
      </c>
      <c r="I1190" s="6" t="str">
        <f>IFERROR(__xludf.DUMMYFUNCTION("""COMPUTED_VALUE"""),"Рутгерс, Горлов")</f>
        <v>Рутгерс, Горлов</v>
      </c>
      <c r="J1190" s="6" t="str">
        <f>IFERROR(__xludf.DUMMYFUNCTION("""COMPUTED_VALUE"""),"Терехов")</f>
        <v>Терехов</v>
      </c>
      <c r="K1190" s="6" t="str">
        <f>IFERROR(__xludf.DUMMYFUNCTION("""COMPUTED_VALUE"""),"Жукова, набережная, озеро красное")</f>
        <v>Жукова, набережная, озеро красное</v>
      </c>
      <c r="L1190" s="6" t="str">
        <f>IFERROR(__xludf.DUMMYFUNCTION("""COMPUTED_VALUE"""),"родной край- сердцу рай")</f>
        <v>родной край- сердцу рай</v>
      </c>
      <c r="M1190" s="6" t="str">
        <f>IFERROR(__xludf.DUMMYFUNCTION("""COMPUTED_VALUE"""),"Бутовка")</f>
        <v>Бутовка</v>
      </c>
      <c r="N1190" s="6" t="str">
        <f>IFERROR(__xludf.DUMMYFUNCTION("""COMPUTED_VALUE"""),"транспорт и места для отдыха")</f>
        <v>транспорт и места для отдыха</v>
      </c>
      <c r="O1190" s="6" t="str">
        <f>IFERROR(__xludf.DUMMYFUNCTION("""COMPUTED_VALUE"""),"отремонтировать внуцтриквартальные проезды")</f>
        <v>отремонтировать внуцтриквартальные проезды</v>
      </c>
      <c r="P1190" s="6" t="str">
        <f>IFERROR(__xludf.DUMMYFUNCTION("""COMPUTED_VALUE"""),"инста")</f>
        <v>инста</v>
      </c>
      <c r="Q1190" s="6" t="str">
        <f>IFERROR(__xludf.DUMMYFUNCTION("""COMPUTED_VALUE"""),"городская афиша (кино/театр/концерты), культурные новинки (что почитать/что послушать)")</f>
        <v>городская афиша (кино/театр/концерты), культурные новинки (что почитать/что послушать)</v>
      </c>
      <c r="R1190" s="6" t="str">
        <f>IFERROR(__xludf.DUMMYFUNCTION("""COMPUTED_VALUE"""),"день города, 9 мая, день шахтера")</f>
        <v>день города, 9 мая, день шахтера</v>
      </c>
      <c r="S1190" s="6" t="str">
        <f>IFERROR(__xludf.DUMMYFUNCTION("""COMPUTED_VALUE"""),"Через социальные сети (Какие? Укажите в графе другое), Обращался в редакции городских газет, телевидения, радио")</f>
        <v>Через социальные сети (Какие? Укажите в графе другое), Обращался в редакции городских газет, телевидения, радио</v>
      </c>
      <c r="T1190" s="6" t="str">
        <f>IFERROR(__xludf.DUMMYFUNCTION("""COMPUTED_VALUE"""),"много уч заведений, театров, мест для прогулок")</f>
        <v>много уч заведений, театров, мест для прогулок</v>
      </c>
      <c r="U1190" s="6" t="str">
        <f>IFERROR(__xludf.DUMMYFUNCTION("""COMPUTED_VALUE"""),"советский")</f>
        <v>советский</v>
      </c>
      <c r="V1190" s="6" t="str">
        <f>IFERROR(__xludf.DUMMYFUNCTION("""COMPUTED_VALUE"""),"сохранить чистоту")</f>
        <v>сохранить чистоту</v>
      </c>
      <c r="W1190" s="6" t="str">
        <f>IFERROR(__xludf.DUMMYFUNCTION("""COMPUTED_VALUE"""),"серьезные, добрые")</f>
        <v>серьезные, добрые</v>
      </c>
      <c r="X1190" s="6" t="str">
        <f>IFERROR(__xludf.DUMMYFUNCTION("""COMPUTED_VALUE"""),"набережная, кадетка")</f>
        <v>набережная, кадетка</v>
      </c>
      <c r="Y1190" s="6" t="str">
        <f>IFERROR(__xludf.DUMMYFUNCTION("""COMPUTED_VALUE"""),"-")</f>
        <v>-</v>
      </c>
      <c r="Z1190" s="6" t="str">
        <f>IFERROR(__xludf.DUMMYFUNCTION("""COMPUTED_VALUE"""),"ремонт скверов")</f>
        <v>ремонт скверов</v>
      </c>
      <c r="AA1190" s="6" t="str">
        <f>IFERROR(__xludf.DUMMYFUNCTION("""COMPUTED_VALUE"""),"-")</f>
        <v>-</v>
      </c>
      <c r="AB1190" s="6" t="str">
        <f>IFERROR(__xludf.DUMMYFUNCTION("""COMPUTED_VALUE"""),"-")</f>
        <v>-</v>
      </c>
      <c r="AC1190" s="6" t="str">
        <f>IFERROR(__xludf.DUMMYFUNCTION("""COMPUTED_VALUE"""),"-")</f>
        <v>-</v>
      </c>
      <c r="AD1190" s="6" t="str">
        <f>IFERROR(__xludf.DUMMYFUNCTION("""COMPUTED_VALUE"""),"Партнера. Скинуться (деньгами, материалами, инструментом) с другими жителями на благоустройство двора, микрорайона, Коммуникатора: Готов задействовать свои знакомства для приглашения потенциально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Коммуникатора: Готов задействовать свои знакомства для приглашения потенциально заинтересованных участников</v>
      </c>
      <c r="AE1190" s="6" t="str">
        <f>IFERROR(__xludf.DUMMYFUNCTION("""COMPUTED_VALUE"""),"Женский")</f>
        <v>Женский</v>
      </c>
      <c r="AF1190" s="6" t="str">
        <f>IFERROR(__xludf.DUMMYFUNCTION("""COMPUTED_VALUE"""),"30-44")</f>
        <v>30-44</v>
      </c>
      <c r="AG1190" s="6"/>
      <c r="AH1190" s="6"/>
      <c r="AI1190" s="6"/>
      <c r="AJ1190" s="6"/>
      <c r="AK1190" s="6"/>
      <c r="AL1190" s="6"/>
      <c r="AM1190" s="6"/>
    </row>
    <row r="1191">
      <c r="A1191" s="6">
        <v>1190.0</v>
      </c>
      <c r="B1191" s="6" t="str">
        <f>IFERROR(__xludf.DUMMYFUNCTION("""COMPUTED_VALUE"""),"Школьник")</f>
        <v>Школьник</v>
      </c>
      <c r="C1191" s="6" t="str">
        <f>IFERROR(__xludf.DUMMYFUNCTION("""COMPUTED_VALUE"""),"Спорт")</f>
        <v>Спорт</v>
      </c>
      <c r="D1191" s="6" t="str">
        <f>IFERROR(__xludf.DUMMYFUNCTION("""COMPUTED_VALUE"""),"Радуга ")</f>
        <v>Радуга </v>
      </c>
      <c r="E1191" s="6" t="str">
        <f>IFERROR(__xludf.DUMMYFUNCTION("""COMPUTED_VALUE"""),"Торговый центр ")</f>
        <v>Торговый центр </v>
      </c>
      <c r="F119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191" s="6" t="str">
        <f>IFERROR(__xludf.DUMMYFUNCTION("""COMPUTED_VALUE"""),"Улица")</f>
        <v>Улица</v>
      </c>
      <c r="H1191" s="6" t="str">
        <f>IFERROR(__xludf.DUMMYFUNCTION("""COMPUTED_VALUE"""),"Уголь память Россия ")</f>
        <v>Уголь память Россия </v>
      </c>
      <c r="I1191" s="6" t="str">
        <f>IFERROR(__xludf.DUMMYFUNCTION("""COMPUTED_VALUE"""),"Михаил Волков")</f>
        <v>Михаил Волков</v>
      </c>
      <c r="J1191" s="6" t="str">
        <f>IFERROR(__xludf.DUMMYFUNCTION("""COMPUTED_VALUE"""),"Чивилихин ")</f>
        <v>Чивилихин </v>
      </c>
      <c r="K1191" s="6" t="str">
        <f>IFERROR(__xludf.DUMMYFUNCTION("""COMPUTED_VALUE"""),"Памятник картошки в Мариинске")</f>
        <v>Памятник картошки в Мариинске</v>
      </c>
      <c r="L1191" s="6" t="str">
        <f>IFERROR(__xludf.DUMMYFUNCTION("""COMPUTED_VALUE"""),"Горняк горняка видит из далека")</f>
        <v>Горняк горняка видит из далека</v>
      </c>
      <c r="M1191" s="6" t="str">
        <f>IFERROR(__xludf.DUMMYFUNCTION("""COMPUTED_VALUE"""),"Уголь")</f>
        <v>Уголь</v>
      </c>
      <c r="N1191" s="6" t="str">
        <f>IFERROR(__xludf.DUMMYFUNCTION("""COMPUTED_VALUE"""),"Общественный транспорт возможность отдыха и зарплата")</f>
        <v>Общественный транспорт возможность отдыха и зарплата</v>
      </c>
      <c r="O1191" s="6" t="str">
        <f>IFERROR(__xludf.DUMMYFUNCTION("""COMPUTED_VALUE"""),"Поменять экономику")</f>
        <v>Поменять экономику</v>
      </c>
      <c r="P1191" s="6" t="str">
        <f>IFERROR(__xludf.DUMMYFUNCTION("""COMPUTED_VALUE"""),"Новости")</f>
        <v>Новости</v>
      </c>
      <c r="Q1191" s="6" t="str">
        <f>IFERROR(__xludf.DUMMYFUNCTION("""COMPUTED_VALUE"""),"криминальные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191" s="6" t="str">
        <f>IFERROR(__xludf.DUMMYFUNCTION("""COMPUTED_VALUE"""),"Новый год")</f>
        <v>Новый год</v>
      </c>
      <c r="S1191" s="6" t="str">
        <f>IFERROR(__xludf.DUMMYFUNCTION("""COMPUTED_VALUE"""),"Нет, не приходилось")</f>
        <v>Нет, не приходилось</v>
      </c>
      <c r="T1191" s="6" t="str">
        <f>IFERROR(__xludf.DUMMYFUNCTION("""COMPUTED_VALUE"""),"Уголь")</f>
        <v>Уголь</v>
      </c>
      <c r="U1191" s="6" t="str">
        <f>IFERROR(__xludf.DUMMYFUNCTION("""COMPUTED_VALUE"""),"Шахты")</f>
        <v>Шахты</v>
      </c>
      <c r="V1191" s="6" t="str">
        <f>IFERROR(__xludf.DUMMYFUNCTION("""COMPUTED_VALUE"""),"Экономика основанная на угле")</f>
        <v>Экономика основанная на угле</v>
      </c>
      <c r="W1191" s="6" t="str">
        <f>IFERROR(__xludf.DUMMYFUNCTION("""COMPUTED_VALUE"""),"Люди")</f>
        <v>Люди</v>
      </c>
      <c r="X1191" s="6" t="str">
        <f>IFERROR(__xludf.DUMMYFUNCTION("""COMPUTED_VALUE"""),"Не знаю ")</f>
        <v>Не знаю </v>
      </c>
      <c r="Y1191" s="6" t="str">
        <f>IFERROR(__xludf.DUMMYFUNCTION("""COMPUTED_VALUE"""),"Щегловск переименовали в Кемерово")</f>
        <v>Щегловск переименовали в Кемерово</v>
      </c>
      <c r="Z1191" s="6" t="str">
        <f>IFERROR(__xludf.DUMMYFUNCTION("""COMPUTED_VALUE"""),"Ничего ")</f>
        <v>Ничего </v>
      </c>
      <c r="AA1191" s="6" t="str">
        <f>IFERROR(__xludf.DUMMYFUNCTION("""COMPUTED_VALUE"""),"Никаких ")</f>
        <v>Никаких </v>
      </c>
      <c r="AB1191" s="6" t="str">
        <f>IFERROR(__xludf.DUMMYFUNCTION("""COMPUTED_VALUE"""),"Никаких")</f>
        <v>Никаких</v>
      </c>
      <c r="AC1191" s="6" t="str">
        <f>IFERROR(__xludf.DUMMYFUNCTION("""COMPUTED_VALUE"""),"Всё нормально")</f>
        <v>Всё нормально</v>
      </c>
      <c r="AD119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91" s="6" t="str">
        <f>IFERROR(__xludf.DUMMYFUNCTION("""COMPUTED_VALUE"""),"Мужской")</f>
        <v>Мужской</v>
      </c>
      <c r="AF1191" s="6" t="str">
        <f>IFERROR(__xludf.DUMMYFUNCTION("""COMPUTED_VALUE"""),"18-29")</f>
        <v>18-29</v>
      </c>
      <c r="AG1191" s="6"/>
      <c r="AH1191" s="6"/>
      <c r="AI1191" s="6"/>
      <c r="AJ1191" s="6"/>
      <c r="AK1191" s="6"/>
      <c r="AL1191" s="6"/>
      <c r="AM1191" s="6"/>
    </row>
    <row r="1192">
      <c r="A1192" s="6">
        <v>1191.0</v>
      </c>
      <c r="B1192" s="6" t="str">
        <f>IFERROR(__xludf.DUMMYFUNCTION("""COMPUTED_VALUE"""),"пенсионер")</f>
        <v>пенсионер</v>
      </c>
      <c r="C1192" s="6" t="str">
        <f>IFERROR(__xludf.DUMMYFUNCTION("""COMPUTED_VALUE"""),"рукоделие, активный отдых")</f>
        <v>рукоделие, активный отдых</v>
      </c>
      <c r="D1192" s="6" t="str">
        <f>IFERROR(__xludf.DUMMYFUNCTION("""COMPUTED_VALUE"""),"Ленинский")</f>
        <v>Ленинский</v>
      </c>
      <c r="E1192" s="6" t="str">
        <f>IFERROR(__xludf.DUMMYFUNCTION("""COMPUTED_VALUE"""),"Кузбасский парк, храм Святой троицы")</f>
        <v>Кузбасский парк, храм Святой троицы</v>
      </c>
      <c r="F1192" s="6" t="str">
        <f>IFERROR(__xludf.DUMMYFUNCTION("""COMPUTED_VALUE"""),"Живу здесь с рождения")</f>
        <v>Живу здесь с рождения</v>
      </c>
      <c r="G1192" s="6" t="str">
        <f>IFERROR(__xludf.DUMMYFUNCTION("""COMPUTED_VALUE"""),"сосновый бор, Кузбасский парк, Весенняя с набережной, Городской парк, Комсомольский парк, Красное озеро, ")</f>
        <v>сосновый бор, Кузбасский парк, Весенняя с набережной, Городской парк, Комсомольский парк, Красное озеро, </v>
      </c>
      <c r="H1192" s="6" t="str">
        <f>IFERROR(__xludf.DUMMYFUNCTION("""COMPUTED_VALUE"""),"город пустых торгово развлекательных магазинов и пивных, скукота, вымирание. Волейбол")</f>
        <v>город пустых торгово развлекательных магазинов и пивных, скукота, вымирание. Волейбол</v>
      </c>
      <c r="I1192" s="6" t="str">
        <f>IFERROR(__xludf.DUMMYFUNCTION("""COMPUTED_VALUE"""),"Тулеев, Леонов, Подгорбунский, Волошина, Бобров, Сергей и Татьяна Внуковы, Зевакин,  ...")</f>
        <v>Тулеев, Леонов, Подгорбунский, Волошина, Бобров, Сергей и Татьяна Внуковы, Зевакин,  ...</v>
      </c>
      <c r="J1192" s="6" t="str">
        <f>IFERROR(__xludf.DUMMYFUNCTION("""COMPUTED_VALUE"""),"Вихрецкий, Мартынов")</f>
        <v>Вихрецкий, Мартынов</v>
      </c>
      <c r="K1192" s="6" t="str">
        <f>IFERROR(__xludf.DUMMYFUNCTION("""COMPUTED_VALUE"""),"всё то, что люблю + обязательно театры, музеи,  уничтоженный КВВКУС")</f>
        <v>всё то, что люблю + обязательно театры, музеи,  уничтоженный КВВКУС</v>
      </c>
      <c r="L1192" s="6" t="str">
        <f>IFERROR(__xludf.DUMMYFUNCTION("""COMPUTED_VALUE"""),"7 июня 1991 года Тулеев, помог освободить девочку, захваченную террористом в автобусе возле Красной площади в Москве. 19 августа 1995 года, уговорил террориста освободить заложников, пассажиров автобуса, захваченного на вокзале в Кемерове. 27 августа 2001"&amp;" года губернатор Кузбасса принял участие в обезвреживании 23-летнего террориста, захватившего в городском аэропорту Кемерова такси и взявшего в заложники водителя. После переговоров с Аманом Тулеевым террорист сдался. 30 ноября 2007 года в Новокузнецке Ам"&amp;"ан Тулеев принял участие в переговорах с прапорщиком милиции Александром Шаталовым")</f>
        <v>7 июня 1991 года Тулеев, помог освободить девочку, захваченную террористом в автобусе возле Красной площади в Москве. 19 августа 1995 года, уговорил террориста освободить заложников, пассажиров автобуса, захваченного на вокзале в Кемерове. 27 августа 2001 года губернатор Кузбасса принял участие в обезвреживании 23-летнего террориста, захватившего в городском аэропорту Кемерова такси и взявшего в заложники водителя. После переговоров с Аманом Тулеевым террорист сдался. 30 ноября 2007 года в Новокузнецке Аман Тулеев принял участие в переговорах с прапорщиком милиции Александром Шаталовым</v>
      </c>
      <c r="M1192" s="6" t="str">
        <f>IFERROR(__xludf.DUMMYFUNCTION("""COMPUTED_VALUE"""),"нет")</f>
        <v>нет</v>
      </c>
      <c r="N1192" s="6" t="str">
        <f>IFERROR(__xludf.DUMMYFUNCTION("""COMPUTED_VALUE"""),"чистота, широкие улицы, парки")</f>
        <v>чистота, широкие улицы, парки</v>
      </c>
      <c r="O1192" s="6" t="str">
        <f>IFERROR(__xludf.DUMMYFUNCTION("""COMPUTED_VALUE"""),"транспортную систему, уменьшить количество пивных, проведение праздников вернуть в город, в каждый район по бассейну, вернуть в школы детские спортивные клубы, вернуть в городской сад духовой оркестр, создать клубы для пенсионеров.")</f>
        <v>транспортную систему, уменьшить количество пивных, проведение праздников вернуть в город, в каждый район по бассейну, вернуть в школы детские спортивные клубы, вернуть в городской сад духовой оркестр, создать клубы для пенсионеров.</v>
      </c>
      <c r="P1192" s="6" t="str">
        <f>IFERROR(__xludf.DUMMYFUNCTION("""COMPUTED_VALUE"""),"различным образом: тумбы, остановочные павильоны, реклама по тв и по запросу в поисковике (любом).")</f>
        <v>различным образом: тумбы, остановочные павильоны, реклама по тв и по запросу в поисковике (любом).</v>
      </c>
      <c r="Q1192" s="6" t="str">
        <f>IFERROR(__xludf.DUMMYFUNCTION("""COMPUTED_VALUE"""),"куда пойти в свободное время,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документ"&amp;"альные фильмы о людях Кемерово, Кузбасса, страны, очерки об истории Кузбасса, ")</f>
        <v>куда пойти в свободное время,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документальные фильмы о людях Кемерово, Кузбасса, страны, очерки об истории Кузбасса, </v>
      </c>
      <c r="R1192" s="6" t="str">
        <f>IFERROR(__xludf.DUMMYFUNCTION("""COMPUTED_VALUE"""),"Новый год, день Советской Армии, день памяти КВВКУС, 8 марта, Масленица,  день театра, малый ""Арбат"" на весенней, праздник осени, но только не хэллоуин, праздник Нептуна - Ивана Купалы, 1 сентября - здравствуй школа, Выпускной для 11-ов города, парады н"&amp;"а 7 ноября, 1 мая и 9 мая с полосами препятствия и т.д.")</f>
        <v>Новый год, день Советской Армии, день памяти КВВКУС, 8 марта, Масленица,  день театра, малый "Арбат" на весенней, праздник осени, но только не хэллоуин, праздник Нептуна - Ивана Купалы, 1 сентября - здравствуй школа, Выпускной для 11-ов города, парады на 7 ноября, 1 мая и 9 мая с полосами препятствия и т.д.</v>
      </c>
      <c r="S1192" s="6" t="str">
        <f>IFERROR(__xludf.DUMMYFUNCTION("""COMPUTED_VALUE"""),"занималась на уровне школы")</f>
        <v>занималась на уровне школы</v>
      </c>
      <c r="T1192" s="6" t="str">
        <f>IFERROR(__xludf.DUMMYFUNCTION("""COMPUTED_VALUE"""),"был знаменит углём, ""бандитский Кемерово"", уничтожением индустрии. Уникальное - Красная горка и АИК,")</f>
        <v>был знаменит углём, "бандитский Кемерово", уничтожением индустрии. Уникальное - Красная горка и АИК,</v>
      </c>
      <c r="U1192" s="6" t="str">
        <f>IFERROR(__xludf.DUMMYFUNCTION("""COMPUTED_VALUE"""),"Весенняя, мемориал погибшим и театральная площадь")</f>
        <v>Весенняя, мемориал погибшим и театральная площадь</v>
      </c>
      <c r="V1192" s="6" t="str">
        <f>IFERROR(__xludf.DUMMYFUNCTION("""COMPUTED_VALUE"""),"работали")</f>
        <v>работали</v>
      </c>
      <c r="W1192" s="6" t="str">
        <f>IFERROR(__xludf.DUMMYFUNCTION("""COMPUTED_VALUE"""),"разные. как и везде.")</f>
        <v>разные. как и везде.</v>
      </c>
      <c r="X1192" s="6" t="str">
        <f>IFERROR(__xludf.DUMMYFUNCTION("""COMPUTED_VALUE"""),"начиная от Красной горки по Кузнецкому мосту. через городской сад, памятник погибших к театрам и музеям. ")</f>
        <v>начиная от Красной горки по Кузнецкому мосту. через городской сад, памятник погибших к театрам и музеям. </v>
      </c>
      <c r="Y1192" s="6" t="str">
        <f>IFERROR(__xludf.DUMMYFUNCTION("""COMPUTED_VALUE"""),"1991 как Театр драмы и комедии для детей и молодежи ""На Весенней"" под руководством Внуковых.")</f>
        <v>1991 как Театр драмы и комедии для детей и молодежи "На Весенней" под руководством Внуковых.</v>
      </c>
      <c r="Z1192" s="6" t="str">
        <f>IFERROR(__xludf.DUMMYFUNCTION("""COMPUTED_VALUE"""),"никаких")</f>
        <v>никаких</v>
      </c>
      <c r="AA1192" s="6" t="str">
        <f>IFERROR(__xludf.DUMMYFUNCTION("""COMPUTED_VALUE"""),"строительство парка ""Ангелов"" - безобразное и бездушное нагромождение земли, камней и ""виселиц"". В память погибших лапушек вся страна создавала ""Дерево памяти"" выкованное Ульяновской гильдией кузнецов, где оно? ")</f>
        <v>строительство парка "Ангелов" - безобразное и бездушное нагромождение земли, камней и "виселиц". В память погибших лапушек вся страна создавала "Дерево памяти" выкованное Ульяновской гильдией кузнецов, где оно? </v>
      </c>
      <c r="AB1192" s="6" t="str">
        <f>IFERROR(__xludf.DUMMYFUNCTION("""COMPUTED_VALUE"""),"бесплатная программа для пенсионеров: спорт; занятия творчеством; танцевальные кружки; языковые курсы; компьютерная грамотность; здоровый образ жизни.")</f>
        <v>бесплатная программа для пенсионеров: спорт; занятия творчеством; танцевальные кружки; языковые курсы; компьютерная грамотность; здоровый образ жизни.</v>
      </c>
      <c r="AC1192" s="6" t="str">
        <f>IFERROR(__xludf.DUMMYFUNCTION("""COMPUTED_VALUE"""),"Новый год ледяные горки с катанием на санях, день Советской Армии, день памяти КВВКУС, 8 марта, Масленица с блинами и конями, столбами и боями и т.д.,  день театра, малый ""Арбат"" на весенней, праздник осени, но только не хэллоуин, праздник Нептуна - Ива"&amp;"на Купалы, 1 сентября - здравствуй школа, Выпускной для 11-ов города, парады на 7 ноября, 1 мая и 9 мая с полосами препятствия и т.д.")</f>
        <v>Новый год ледяные горки с катанием на санях, день Советской Армии, день памяти КВВКУС, 8 марта, Масленица с блинами и конями, столбами и боями и т.д.,  день театра, малый "Арбат" на весенней, праздник осени, но только не хэллоуин, праздник Нептуна - Ивана Купалы, 1 сентября - здравствуй школа, Выпускной для 11-ов города, парады на 7 ноября, 1 мая и 9 мая с полосами препятствия и т.д.</v>
      </c>
      <c r="AD1192"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компьютерная грамотность")</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компьютерная грамотность</v>
      </c>
      <c r="AE1192" s="6" t="str">
        <f>IFERROR(__xludf.DUMMYFUNCTION("""COMPUTED_VALUE"""),"Женский")</f>
        <v>Женский</v>
      </c>
      <c r="AF1192" s="6" t="str">
        <f>IFERROR(__xludf.DUMMYFUNCTION("""COMPUTED_VALUE"""),"старше 55")</f>
        <v>старше 55</v>
      </c>
      <c r="AG1192" s="6"/>
      <c r="AH1192" s="6"/>
      <c r="AI1192" s="6"/>
      <c r="AJ1192" s="6"/>
      <c r="AK1192" s="6"/>
      <c r="AL1192" s="6"/>
      <c r="AM1192" s="6"/>
    </row>
    <row r="1193">
      <c r="A1193" s="6">
        <v>1192.0</v>
      </c>
      <c r="B1193" s="6" t="str">
        <f>IFERROR(__xludf.DUMMYFUNCTION("""COMPUTED_VALUE"""),"Домохозяйка")</f>
        <v>Домохозяйка</v>
      </c>
      <c r="C1193" s="6" t="str">
        <f>IFERROR(__xludf.DUMMYFUNCTION("""COMPUTED_VALUE"""),"Йога")</f>
        <v>Йога</v>
      </c>
      <c r="D1193" s="6" t="str">
        <f>IFERROR(__xludf.DUMMYFUNCTION("""COMPUTED_VALUE"""),"Заводской.ФПК")</f>
        <v>Заводской.ФПК</v>
      </c>
      <c r="E1193" s="6" t="str">
        <f>IFERROR(__xludf.DUMMYFUNCTION("""COMPUTED_VALUE"""),"Сквер новорожденных")</f>
        <v>Сквер новорожденных</v>
      </c>
      <c r="F1193" s="6" t="str">
        <f>IFERROR(__xludf.DUMMYFUNCTION("""COMPUTED_VALUE"""),"Переехал сюда из другого места (откуда? укажите в графе другое), Киров")</f>
        <v>Переехал сюда из другого места (откуда? укажите в графе другое), Киров</v>
      </c>
      <c r="G1193" s="6" t="str">
        <f>IFERROR(__xludf.DUMMYFUNCTION("""COMPUTED_VALUE"""),"Комсомольский парк.Сквер новорожденных")</f>
        <v>Комсомольский парк.Сквер новорожденных</v>
      </c>
      <c r="H1193" s="6" t="str">
        <f>IFERROR(__xludf.DUMMYFUNCTION("""COMPUTED_VALUE"""),"Промышленность.смог.уголь.дом.азот.")</f>
        <v>Промышленность.смог.уголь.дом.азот.</v>
      </c>
      <c r="I1193" s="6" t="str">
        <f>IFERROR(__xludf.DUMMYFUNCTION("""COMPUTED_VALUE"""),"ВОЛКОВ.")</f>
        <v>ВОЛКОВ.</v>
      </c>
      <c r="J1193" s="6" t="str">
        <f>IFERROR(__xludf.DUMMYFUNCTION("""COMPUTED_VALUE"""),"Нет")</f>
        <v>Нет</v>
      </c>
      <c r="K1193" s="6" t="str">
        <f>IFERROR(__xludf.DUMMYFUNCTION("""COMPUTED_VALUE"""),"Красная горка.")</f>
        <v>Красная горка.</v>
      </c>
      <c r="L1193" s="6" t="str">
        <f>IFERROR(__xludf.DUMMYFUNCTION("""COMPUTED_VALUE"""),"Нет")</f>
        <v>Нет</v>
      </c>
      <c r="M1193" s="6" t="str">
        <f>IFERROR(__xludf.DUMMYFUNCTION("""COMPUTED_VALUE"""),"Нет")</f>
        <v>Нет</v>
      </c>
      <c r="N1193" s="6" t="str">
        <f>IFERROR(__xludf.DUMMYFUNCTION("""COMPUTED_VALUE"""),"Экология.транспорт.озеленение.здравоохранение.парки.")</f>
        <v>Экология.транспорт.озеленение.здравоохранение.парки.</v>
      </c>
      <c r="O1193" s="6" t="str">
        <f>IFERROR(__xludf.DUMMYFUNCTION("""COMPUTED_VALUE"""),"Экология.")</f>
        <v>Экология.</v>
      </c>
      <c r="P1193" s="6" t="str">
        <f>IFERROR(__xludf.DUMMYFUNCTION("""COMPUTED_VALUE"""),"Городские паблики интернет на которые подписана В контакте и телеграмм.")</f>
        <v>Городские паблики интернет на которые подписана В контакте и телеграмм.</v>
      </c>
      <c r="Q1193" s="6" t="str">
        <f>IFERROR(__xludf.DUMMYFUNCTION("""COMPUTED_VALUE"""),"городская афиша (кино/театр/концерты), криминальные новости (происшествия/преступления), интервью с экспертами на разные темы (напишите в разделе Другое свои предложения)")</f>
        <v>городская афиша (кино/театр/концерты), криминальные новости (происшествия/преступления), интервью с экспертами на разные темы (напишите в разделе Другое свои предложения)</v>
      </c>
      <c r="R1193" s="6" t="str">
        <f>IFERROR(__xludf.DUMMYFUNCTION("""COMPUTED_VALUE"""),"Новый год.")</f>
        <v>Новый год.</v>
      </c>
      <c r="S1193" s="6" t="str">
        <f>IFERROR(__xludf.DUMMYFUNCTION("""COMPUTED_VALUE"""),"Нет, не приходилось")</f>
        <v>Нет, не приходилось</v>
      </c>
      <c r="T1193" s="6" t="str">
        <f>IFERROR(__xludf.DUMMYFUNCTION("""COMPUTED_VALUE"""),"Печально известен Зимней вишней.")</f>
        <v>Печально известен Зимней вишней.</v>
      </c>
      <c r="U1193" s="6" t="str">
        <f>IFERROR(__xludf.DUMMYFUNCTION("""COMPUTED_VALUE"""),"Площадь Волкова.")</f>
        <v>Площадь Волкова.</v>
      </c>
      <c r="V1193" s="6" t="str">
        <f>IFERROR(__xludf.DUMMYFUNCTION("""COMPUTED_VALUE"""),"Не знаю")</f>
        <v>Не знаю</v>
      </c>
      <c r="W1193" s="6" t="str">
        <f>IFERROR(__xludf.DUMMYFUNCTION("""COMPUTED_VALUE"""),"Терпеливые.")</f>
        <v>Терпеливые.</v>
      </c>
      <c r="X1193" s="6" t="str">
        <f>IFERROR(__xludf.DUMMYFUNCTION("""COMPUTED_VALUE"""),"Весенняя,Притомская набережеая.Лесная поляна.")</f>
        <v>Весенняя,Притомская набережеая.Лесная поляна.</v>
      </c>
      <c r="Y1193" s="6" t="str">
        <f>IFERROR(__xludf.DUMMYFUNCTION("""COMPUTED_VALUE"""),"Не знаю.")</f>
        <v>Не знаю.</v>
      </c>
      <c r="Z1193" s="6" t="str">
        <f>IFERROR(__xludf.DUMMYFUNCTION("""COMPUTED_VALUE"""),"Строительство культурного кластера")</f>
        <v>Строительство культурного кластера</v>
      </c>
      <c r="AA1193" s="6" t="str">
        <f>IFERROR(__xludf.DUMMYFUNCTION("""COMPUTED_VALUE"""),"Экология ухудшение")</f>
        <v>Экология ухудшение</v>
      </c>
      <c r="AB1193" s="6" t="str">
        <f>IFERROR(__xludf.DUMMYFUNCTION("""COMPUTED_VALUE"""),"Не знаю")</f>
        <v>Не знаю</v>
      </c>
      <c r="AC1193" s="6" t="str">
        <f>IFERROR(__xludf.DUMMYFUNCTION("""COMPUTED_VALUE"""),"Не знаю")</f>
        <v>Не знаю</v>
      </c>
      <c r="AD119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93" s="6" t="str">
        <f>IFERROR(__xludf.DUMMYFUNCTION("""COMPUTED_VALUE"""),"Женский")</f>
        <v>Женский</v>
      </c>
      <c r="AF1193" s="6" t="str">
        <f>IFERROR(__xludf.DUMMYFUNCTION("""COMPUTED_VALUE"""),"30-44")</f>
        <v>30-44</v>
      </c>
      <c r="AG1193" s="6"/>
      <c r="AH1193" s="6"/>
      <c r="AI1193" s="6"/>
      <c r="AJ1193" s="6"/>
      <c r="AK1193" s="6"/>
      <c r="AL1193" s="6"/>
      <c r="AM1193" s="6"/>
    </row>
    <row r="1194">
      <c r="A1194" s="6">
        <v>1193.0</v>
      </c>
      <c r="B1194" s="6" t="str">
        <f>IFERROR(__xludf.DUMMYFUNCTION("""COMPUTED_VALUE"""),"менеджер")</f>
        <v>менеджер</v>
      </c>
      <c r="C1194" s="6" t="str">
        <f>IFERROR(__xludf.DUMMYFUNCTION("""COMPUTED_VALUE"""),"ролики")</f>
        <v>ролики</v>
      </c>
      <c r="D1194" s="6" t="str">
        <f>IFERROR(__xludf.DUMMYFUNCTION("""COMPUTED_VALUE"""),"Серебряный бор")</f>
        <v>Серебряный бор</v>
      </c>
      <c r="E1194" s="6" t="str">
        <f>IFERROR(__xludf.DUMMYFUNCTION("""COMPUTED_VALUE"""),"Серебряный бор")</f>
        <v>Серебряный бор</v>
      </c>
      <c r="F1194" s="6" t="str">
        <f>IFERROR(__xludf.DUMMYFUNCTION("""COMPUTED_VALUE"""),"Живу здесь с рождения")</f>
        <v>Живу здесь с рождения</v>
      </c>
      <c r="G1194" s="6" t="str">
        <f>IFERROR(__xludf.DUMMYFUNCTION("""COMPUTED_VALUE"""),"на набережную ")</f>
        <v>на набережную </v>
      </c>
      <c r="H1194" s="6" t="str">
        <f>IFERROR(__xludf.DUMMYFUNCTION("""COMPUTED_VALUE"""),"Кузбасс, Михайло Волков, Томь, Весенняя, Бульвар")</f>
        <v>Кузбасс, Михайло Волков, Томь, Весенняя, Бульвар</v>
      </c>
      <c r="I1194" s="6" t="str">
        <f>IFERROR(__xludf.DUMMYFUNCTION("""COMPUTED_VALUE"""),"Алексей Леонов, Михайло Волков, Рутгерс, Вера Волошина, Достоевский")</f>
        <v>Алексей Леонов, Михайло Волков, Рутгерс, Вера Волошина, Достоевский</v>
      </c>
      <c r="J1194" s="6" t="str">
        <f>IFERROR(__xludf.DUMMYFUNCTION("""COMPUTED_VALUE"""),"Подгорбунский, Михайлов бывш.Мэр, Тулеев, Логинов Виктор")</f>
        <v>Подгорбунский, Михайлов бывш.Мэр, Тулеев, Логинов Виктор</v>
      </c>
      <c r="K1194" s="6" t="str">
        <f>IFERROR(__xludf.DUMMYFUNCTION("""COMPUTED_VALUE"""),"колледж Культуры, сквер Молодежи,Обл библиотека")</f>
        <v>колледж Культуры, сквер Молодежи,Обл библиотека</v>
      </c>
      <c r="L1194" s="6" t="str">
        <f>IFERROR(__xludf.DUMMYFUNCTION("""COMPUTED_VALUE"""),"не знаем")</f>
        <v>не знаем</v>
      </c>
      <c r="M1194" s="6" t="str">
        <f>IFERROR(__xludf.DUMMYFUNCTION("""COMPUTED_VALUE"""),"он придет и молча поправит все- человек из Кемерово")</f>
        <v>он придет и молча поправит все- человек из Кемерово</v>
      </c>
      <c r="N1194" s="6" t="str">
        <f>IFERROR(__xludf.DUMMYFUNCTION("""COMPUTED_VALUE"""),"чистый воздух, тепло, красиво, доступная среда")</f>
        <v>чистый воздух, тепло, красиво, доступная среда</v>
      </c>
      <c r="O1194" s="6" t="str">
        <f>IFERROR(__xludf.DUMMYFUNCTION("""COMPUTED_VALUE"""),"систему школьного образования и досуг детей")</f>
        <v>систему школьного образования и досуг детей</v>
      </c>
      <c r="P1194" s="6" t="str">
        <f>IFERROR(__xludf.DUMMYFUNCTION("""COMPUTED_VALUE"""),"от людей , инцидент Кемерово(инстаграмм)")</f>
        <v>от людей , инцидент Кемерово(инстаграмм)</v>
      </c>
      <c r="Q1194"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194" s="6" t="str">
        <f>IFERROR(__xludf.DUMMYFUNCTION("""COMPUTED_VALUE"""),"день Победы, день города, день Шахтера")</f>
        <v>день Победы, день города, день Шахтера</v>
      </c>
      <c r="S1194" s="6" t="str">
        <f>IFERROR(__xludf.DUMMYFUNCTION("""COMPUTED_VALUE"""),"Делал рассылку по электронной почте")</f>
        <v>Делал рассылку по электронной почте</v>
      </c>
      <c r="T1194" s="6" t="str">
        <f>IFERROR(__xludf.DUMMYFUNCTION("""COMPUTED_VALUE"""),"углем!")</f>
        <v>углем!</v>
      </c>
      <c r="U1194" s="6" t="str">
        <f>IFERROR(__xludf.DUMMYFUNCTION("""COMPUTED_VALUE"""),"набережная, театр Драмы, фонтан")</f>
        <v>набережная, театр Драмы, фонтан</v>
      </c>
      <c r="V1194" s="6" t="str">
        <f>IFERROR(__xludf.DUMMYFUNCTION("""COMPUTED_VALUE"""),"стройка")</f>
        <v>стройка</v>
      </c>
      <c r="W1194" s="6" t="str">
        <f>IFERROR(__xludf.DUMMYFUNCTION("""COMPUTED_VALUE"""),"скупые на улыбку, гостеприимные, щедрые, сибиряки")</f>
        <v>скупые на улыбку, гостеприимные, щедрые, сибиряки</v>
      </c>
      <c r="X1194" s="6" t="str">
        <f>IFERROR(__xludf.DUMMYFUNCTION("""COMPUTED_VALUE"""),"весенняя-набержная, площадь пушкина,театры")</f>
        <v>весенняя-набержная, площадь пушкина,театры</v>
      </c>
      <c r="Y1194" s="6" t="str">
        <f>IFERROR(__xludf.DUMMYFUNCTION("""COMPUTED_VALUE"""),"зимние игры по хоккею с мячом")</f>
        <v>зимние игры по хоккею с мячом</v>
      </c>
      <c r="Z1194" s="6" t="str">
        <f>IFERROR(__xludf.DUMMYFUNCTION("""COMPUTED_VALUE"""),"рок концерт - Фестиваль герои мирового рока 2019")</f>
        <v>рок концерт - Фестиваль герои мирового рока 2019</v>
      </c>
      <c r="AA1194" s="6" t="str">
        <f>IFERROR(__xludf.DUMMYFUNCTION("""COMPUTED_VALUE"""),"зимняя вишня")</f>
        <v>зимняя вишня</v>
      </c>
      <c r="AB1194" s="6" t="str">
        <f>IFERROR(__xludf.DUMMYFUNCTION("""COMPUTED_VALUE"""),"инициатив городских и молодежных форумов")</f>
        <v>инициатив городских и молодежных форумов</v>
      </c>
      <c r="AC1194" s="6" t="str">
        <f>IFERROR(__xludf.DUMMYFUNCTION("""COMPUTED_VALUE"""),"фестивали музыкальные, молод волонтерства, привлечение молодежи к труду")</f>
        <v>фестивали музыкальные, молод волонтерства, привлечение молодежи к труду</v>
      </c>
      <c r="AD119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94" s="6" t="str">
        <f>IFERROR(__xludf.DUMMYFUNCTION("""COMPUTED_VALUE"""),"Женский")</f>
        <v>Женский</v>
      </c>
      <c r="AF1194" s="6" t="str">
        <f>IFERROR(__xludf.DUMMYFUNCTION("""COMPUTED_VALUE"""),"30-44")</f>
        <v>30-44</v>
      </c>
      <c r="AG1194" s="6"/>
      <c r="AH1194" s="6"/>
      <c r="AI1194" s="6"/>
      <c r="AJ1194" s="6"/>
      <c r="AK1194" s="6"/>
      <c r="AL1194" s="6"/>
      <c r="AM1194" s="6"/>
    </row>
    <row r="1195">
      <c r="A1195" s="6">
        <v>1194.0</v>
      </c>
      <c r="B1195" s="6" t="str">
        <f>IFERROR(__xludf.DUMMYFUNCTION("""COMPUTED_VALUE"""),"муниципальный служащий")</f>
        <v>муниципальный служащий</v>
      </c>
      <c r="C1195" s="6" t="str">
        <f>IFERROR(__xludf.DUMMYFUNCTION("""COMPUTED_VALUE"""),"спорт, фитнес")</f>
        <v>спорт, фитнес</v>
      </c>
      <c r="D1195" s="6" t="str">
        <f>IFERROR(__xludf.DUMMYFUNCTION("""COMPUTED_VALUE"""),"рудник")</f>
        <v>рудник</v>
      </c>
      <c r="E1195" s="6" t="str">
        <f>IFERROR(__xludf.DUMMYFUNCTION("""COMPUTED_VALUE"""),"красная горка
")</f>
        <v>красная горка
</v>
      </c>
      <c r="F1195" s="6" t="str">
        <f>IFERROR(__xludf.DUMMYFUNCTION("""COMPUTED_VALUE"""),"Переехал сюда из другого места (откуда? укажите в графе другое), с. Пача")</f>
        <v>Переехал сюда из другого места (откуда? укажите в графе другое), с. Пача</v>
      </c>
      <c r="G1195" s="6" t="str">
        <f>IFERROR(__xludf.DUMMYFUNCTION("""COMPUTED_VALUE"""),"парк чудес, набережная")</f>
        <v>парк чудес, набережная</v>
      </c>
      <c r="H1195" s="6" t="str">
        <f>IFERROR(__xludf.DUMMYFUNCTION("""COMPUTED_VALUE"""),"современный, чистый, родной")</f>
        <v>современный, чистый, родной</v>
      </c>
      <c r="I1195" s="6" t="str">
        <f>IFERROR(__xludf.DUMMYFUNCTION("""COMPUTED_VALUE"""),"Мартемьянов")</f>
        <v>Мартемьянов</v>
      </c>
      <c r="J1195" s="6" t="str">
        <f>IFERROR(__xludf.DUMMYFUNCTION("""COMPUTED_VALUE"""),"Гришковец,Середюк")</f>
        <v>Гришковец,Середюк</v>
      </c>
      <c r="K1195" s="6" t="str">
        <f>IFERROR(__xludf.DUMMYFUNCTION("""COMPUTED_VALUE"""),"красная горка")</f>
        <v>красная горка</v>
      </c>
      <c r="L1195" s="6" t="str">
        <f>IFERROR(__xludf.DUMMYFUNCTION("""COMPUTED_VALUE"""),"-")</f>
        <v>-</v>
      </c>
      <c r="M1195" s="6" t="str">
        <f>IFERROR(__xludf.DUMMYFUNCTION("""COMPUTED_VALUE"""),"-")</f>
        <v>-</v>
      </c>
      <c r="N1195" s="6" t="str">
        <f>IFERROR(__xludf.DUMMYFUNCTION("""COMPUTED_VALUE"""),"парковые зоны, развитая инфраструктура, доступность для маломобильных граждан")</f>
        <v>парковые зоны, развитая инфраструктура, доступность для маломобильных граждан</v>
      </c>
      <c r="O1195" s="6" t="str">
        <f>IFERROR(__xludf.DUMMYFUNCTION("""COMPUTED_VALUE"""),"-")</f>
        <v>-</v>
      </c>
      <c r="P1195" s="6" t="str">
        <f>IFERROR(__xludf.DUMMYFUNCTION("""COMPUTED_VALUE"""),"яндекс новости")</f>
        <v>яндекс новости</v>
      </c>
      <c r="Q1195" s="6" t="str">
        <f>IFERROR(__xludf.DUMMYFUNCTION("""COMPUTED_VALUE"""),"куда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v>
      </c>
      <c r="R1195" s="6" t="str">
        <f>IFERROR(__xludf.DUMMYFUNCTION("""COMPUTED_VALUE"""),"день города, денб победы")</f>
        <v>день города, денб победы</v>
      </c>
      <c r="S1195" s="6" t="str">
        <f>IFERROR(__xludf.DUMMYFUNCTION("""COMPUTED_VALUE"""),"Через социальные сети (Какие? Укажите в графе другое)")</f>
        <v>Через социальные сети (Какие? Укажите в графе другое)</v>
      </c>
      <c r="T1195" s="6" t="str">
        <f>IFERROR(__xludf.DUMMYFUNCTION("""COMPUTED_VALUE"""),"молодой город")</f>
        <v>молодой город</v>
      </c>
      <c r="U1195" s="6" t="str">
        <f>IFERROR(__xludf.DUMMYFUNCTION("""COMPUTED_VALUE"""),"драма, весенняя")</f>
        <v>драма, весенняя</v>
      </c>
      <c r="V1195" s="6" t="str">
        <f>IFERROR(__xludf.DUMMYFUNCTION("""COMPUTED_VALUE"""),"заводы, культурные центры строили")</f>
        <v>заводы, культурные центры строили</v>
      </c>
      <c r="W1195" s="6" t="str">
        <f>IFERROR(__xludf.DUMMYFUNCTION("""COMPUTED_VALUE"""),"серьезные")</f>
        <v>серьезные</v>
      </c>
      <c r="X1195" s="6" t="str">
        <f>IFERROR(__xludf.DUMMYFUNCTION("""COMPUTED_VALUE"""),"центр и красная горка")</f>
        <v>центр и красная горка</v>
      </c>
      <c r="Y1195" s="6" t="str">
        <f>IFERROR(__xludf.DUMMYFUNCTION("""COMPUTED_VALUE"""),"-")</f>
        <v>-</v>
      </c>
      <c r="Z1195" s="6" t="str">
        <f>IFERROR(__xludf.DUMMYFUNCTION("""COMPUTED_VALUE"""),"концерт звезды мирового рока")</f>
        <v>концерт звезды мирового рока</v>
      </c>
      <c r="AA1195" s="6" t="str">
        <f>IFERROR(__xludf.DUMMYFUNCTION("""COMPUTED_VALUE"""),"-")</f>
        <v>-</v>
      </c>
      <c r="AB1195" s="6" t="str">
        <f>IFERROR(__xludf.DUMMYFUNCTION("""COMPUTED_VALUE"""),"-")</f>
        <v>-</v>
      </c>
      <c r="AC1195" s="6" t="str">
        <f>IFERROR(__xludf.DUMMYFUNCTION("""COMPUTED_VALUE"""),"выстуаления звезд")</f>
        <v>выстуаления звезд</v>
      </c>
      <c r="AD119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95" s="6" t="str">
        <f>IFERROR(__xludf.DUMMYFUNCTION("""COMPUTED_VALUE"""),"Женский")</f>
        <v>Женский</v>
      </c>
      <c r="AF1195" s="6" t="str">
        <f>IFERROR(__xludf.DUMMYFUNCTION("""COMPUTED_VALUE"""),"18-29")</f>
        <v>18-29</v>
      </c>
      <c r="AG1195" s="6"/>
      <c r="AH1195" s="6"/>
      <c r="AI1195" s="6"/>
      <c r="AJ1195" s="6"/>
      <c r="AK1195" s="6"/>
      <c r="AL1195" s="6"/>
      <c r="AM1195" s="6"/>
    </row>
    <row r="1196">
      <c r="A1196" s="6">
        <v>1195.0</v>
      </c>
      <c r="B1196" s="6" t="str">
        <f>IFERROR(__xludf.DUMMYFUNCTION("""COMPUTED_VALUE"""),"работа в бюджетной сфере")</f>
        <v>работа в бюджетной сфере</v>
      </c>
      <c r="C1196" s="6" t="str">
        <f>IFERROR(__xludf.DUMMYFUNCTION("""COMPUTED_VALUE"""),"туризм")</f>
        <v>туризм</v>
      </c>
      <c r="D1196" s="6" t="str">
        <f>IFERROR(__xludf.DUMMYFUNCTION("""COMPUTED_VALUE"""),"в рудничном районе")</f>
        <v>в рудничном районе</v>
      </c>
      <c r="E1196" s="6" t="str">
        <f>IFERROR(__xludf.DUMMYFUNCTION("""COMPUTED_VALUE"""),"сосновый бор, дк шахтеров")</f>
        <v>сосновый бор, дк шахтеров</v>
      </c>
      <c r="F1196" s="6" t="str">
        <f>IFERROR(__xludf.DUMMYFUNCTION("""COMPUTED_VALUE"""),"Живу здесь с рождения, Переехал сюда из другого места (откуда? укажите в графе другое), из Ленинска")</f>
        <v>Живу здесь с рождения, Переехал сюда из другого места (откуда? укажите в графе другое), из Ленинска</v>
      </c>
      <c r="G1196" s="6" t="str">
        <f>IFERROR(__xludf.DUMMYFUNCTION("""COMPUTED_VALUE"""),"бор")</f>
        <v>бор</v>
      </c>
      <c r="H1196" s="6" t="str">
        <f>IFERROR(__xludf.DUMMYFUNCTION("""COMPUTED_VALUE"""),"уголь, дороги")</f>
        <v>уголь, дороги</v>
      </c>
      <c r="I1196" s="6" t="str">
        <f>IFERROR(__xludf.DUMMYFUNCTION("""COMPUTED_VALUE"""),"Михайлов, Рякитинский")</f>
        <v>Михайлов, Рякитинский</v>
      </c>
      <c r="J1196" s="6" t="str">
        <f>IFERROR(__xludf.DUMMYFUNCTION("""COMPUTED_VALUE"""),"Тулеев")</f>
        <v>Тулеев</v>
      </c>
      <c r="K1196" s="6" t="str">
        <f>IFERROR(__xludf.DUMMYFUNCTION("""COMPUTED_VALUE"""),"красаня горка, лесная поляна, бор")</f>
        <v>красаня горка, лесная поляна, бор</v>
      </c>
      <c r="L1196" s="6" t="str">
        <f>IFERROR(__xludf.DUMMYFUNCTION("""COMPUTED_VALUE"""),"сердцу милый уголок")</f>
        <v>сердцу милый уголок</v>
      </c>
      <c r="M1196" s="6" t="str">
        <f>IFERROR(__xludf.DUMMYFUNCTION("""COMPUTED_VALUE"""),"-")</f>
        <v>-</v>
      </c>
      <c r="N1196" s="6" t="str">
        <f>IFERROR(__xludf.DUMMYFUNCTION("""COMPUTED_VALUE"""),"чистота")</f>
        <v>чистота</v>
      </c>
      <c r="O1196" s="6" t="str">
        <f>IFERROR(__xludf.DUMMYFUNCTION("""COMPUTED_VALUE"""),"экология")</f>
        <v>экология</v>
      </c>
      <c r="P1196" s="6" t="str">
        <f>IFERROR(__xludf.DUMMYFUNCTION("""COMPUTED_VALUE"""),"инстаграм")</f>
        <v>инстаграм</v>
      </c>
      <c r="Q1196" s="6" t="str">
        <f>IFERROR(__xludf.DUMMYFUNCTION("""COMPUTED_VALUE"""),"городская афиша (кино/театр/концерты), результаты местных исследований (рейтинги/аналитика/тенденции)")</f>
        <v>городская афиша (кино/театр/концерты), результаты местных исследований (рейтинги/аналитика/тенденции)</v>
      </c>
      <c r="R1196" s="6" t="str">
        <f>IFERROR(__xludf.DUMMYFUNCTION("""COMPUTED_VALUE"""),"9 мая, масленница, новый год")</f>
        <v>9 мая, масленница, новый год</v>
      </c>
      <c r="S1196" s="6" t="str">
        <f>IFERROR(__xludf.DUMMYFUNCTION("""COMPUTED_VALUE"""),"Писал и расклеивал объявления/афиши, Делал рассылку по электронной почте")</f>
        <v>Писал и расклеивал объявления/афиши, Делал рассылку по электронной почте</v>
      </c>
      <c r="T1196" s="6" t="str">
        <f>IFERROR(__xludf.DUMMYFUNCTION("""COMPUTED_VALUE"""),"людьми")</f>
        <v>людьми</v>
      </c>
      <c r="U1196" s="6" t="str">
        <f>IFERROR(__xludf.DUMMYFUNCTION("""COMPUTED_VALUE"""),"пл советов")</f>
        <v>пл советов</v>
      </c>
      <c r="V1196" s="6" t="str">
        <f>IFERROR(__xludf.DUMMYFUNCTION("""COMPUTED_VALUE"""),"-")</f>
        <v>-</v>
      </c>
      <c r="W1196" s="6" t="str">
        <f>IFERROR(__xludf.DUMMYFUNCTION("""COMPUTED_VALUE"""),"веселые, отзывачивые")</f>
        <v>веселые, отзывачивые</v>
      </c>
      <c r="X1196" s="6" t="str">
        <f>IFERROR(__xludf.DUMMYFUNCTION("""COMPUTED_VALUE"""),"весенняя, набережная")</f>
        <v>весенняя, набережная</v>
      </c>
      <c r="Y1196" s="6" t="str">
        <f>IFERROR(__xludf.DUMMYFUNCTION("""COMPUTED_VALUE"""),"чм по бенди")</f>
        <v>чм по бенди</v>
      </c>
      <c r="Z1196" s="6" t="str">
        <f>IFERROR(__xludf.DUMMYFUNCTION("""COMPUTED_VALUE"""),"открытие трассы кемерово-новокузнецк")</f>
        <v>открытие трассы кемерово-новокузнецк</v>
      </c>
      <c r="AA1196" s="6" t="str">
        <f>IFERROR(__xludf.DUMMYFUNCTION("""COMPUTED_VALUE"""),"ковид")</f>
        <v>ковид</v>
      </c>
      <c r="AB1196" s="6" t="str">
        <f>IFERROR(__xludf.DUMMYFUNCTION("""COMPUTED_VALUE"""),"-")</f>
        <v>-</v>
      </c>
      <c r="AC1196" s="6" t="str">
        <f>IFERROR(__xludf.DUMMYFUNCTION("""COMPUTED_VALUE"""),"-")</f>
        <v>-</v>
      </c>
      <c r="AD119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196" s="6" t="str">
        <f>IFERROR(__xludf.DUMMYFUNCTION("""COMPUTED_VALUE"""),"Женский")</f>
        <v>Женский</v>
      </c>
      <c r="AF1196" s="6" t="str">
        <f>IFERROR(__xludf.DUMMYFUNCTION("""COMPUTED_VALUE"""),"45-55")</f>
        <v>45-55</v>
      </c>
      <c r="AG1196" s="6"/>
      <c r="AH1196" s="6"/>
      <c r="AI1196" s="6"/>
      <c r="AJ1196" s="6"/>
      <c r="AK1196" s="6"/>
      <c r="AL1196" s="6"/>
      <c r="AM1196" s="6"/>
    </row>
    <row r="1197">
      <c r="A1197" s="6">
        <v>1196.0</v>
      </c>
      <c r="B1197" s="6" t="str">
        <f>IFERROR(__xludf.DUMMYFUNCTION("""COMPUTED_VALUE"""),"муниципальный служащий")</f>
        <v>муниципальный служащий</v>
      </c>
      <c r="C1197" s="6" t="str">
        <f>IFERROR(__xludf.DUMMYFUNCTION("""COMPUTED_VALUE"""),"картины из страз")</f>
        <v>картины из страз</v>
      </c>
      <c r="D1197" s="6" t="str">
        <f>IFERROR(__xludf.DUMMYFUNCTION("""COMPUTED_VALUE"""),"заводский")</f>
        <v>заводский</v>
      </c>
      <c r="E1197" s="6" t="str">
        <f>IFERROR(__xludf.DUMMYFUNCTION("""COMPUTED_VALUE"""),"гринвич")</f>
        <v>гринвич</v>
      </c>
      <c r="F1197" s="6" t="str">
        <f>IFERROR(__xludf.DUMMYFUNCTION("""COMPUTED_VALUE"""),"Живу здесь с рождения")</f>
        <v>Живу здесь с рождения</v>
      </c>
      <c r="G1197" s="6" t="str">
        <f>IFERROR(__xludf.DUMMYFUNCTION("""COMPUTED_VALUE"""),"молодежный проспект")</f>
        <v>молодежный проспект</v>
      </c>
      <c r="H1197" s="6" t="str">
        <f>IFERROR(__xludf.DUMMYFUNCTION("""COMPUTED_VALUE"""),"уголь, шахты, дом")</f>
        <v>уголь, шахты, дом</v>
      </c>
      <c r="I1197" s="6" t="str">
        <f>IFERROR(__xludf.DUMMYFUNCTION("""COMPUTED_VALUE"""),"Леонов")</f>
        <v>Леонов</v>
      </c>
      <c r="J1197" s="6" t="str">
        <f>IFERROR(__xludf.DUMMYFUNCTION("""COMPUTED_VALUE"""),"Цивилев")</f>
        <v>Цивилев</v>
      </c>
      <c r="K1197" s="6" t="str">
        <f>IFERROR(__xludf.DUMMYFUNCTION("""COMPUTED_VALUE"""),"парк ангелов, писаница")</f>
        <v>парк ангелов, писаница</v>
      </c>
      <c r="L1197" s="6" t="str">
        <f>IFERROR(__xludf.DUMMYFUNCTION("""COMPUTED_VALUE"""),"-")</f>
        <v>-</v>
      </c>
      <c r="M1197" s="6" t="str">
        <f>IFERROR(__xludf.DUMMYFUNCTION("""COMPUTED_VALUE"""),"-")</f>
        <v>-</v>
      </c>
      <c r="N1197" s="6" t="str">
        <f>IFERROR(__xludf.DUMMYFUNCTION("""COMPUTED_VALUE"""),"дороги, чистота")</f>
        <v>дороги, чистота</v>
      </c>
      <c r="O1197" s="6" t="str">
        <f>IFERROR(__xludf.DUMMYFUNCTION("""COMPUTED_VALUE"""),"ремонт фасадов")</f>
        <v>ремонт фасадов</v>
      </c>
      <c r="P1197" s="6" t="str">
        <f>IFERROR(__xludf.DUMMYFUNCTION("""COMPUTED_VALUE"""),"инстаграм")</f>
        <v>инстаграм</v>
      </c>
      <c r="Q1197" s="6" t="str">
        <f>IFERROR(__xludf.DUMMYFUNCTION("""COMPUTED_VALUE"""),"куда пойти в свободное время, результаты местных исследований (рейтинги/аналитика/тенденции)")</f>
        <v>куда пойти в свободное время, результаты местных исследований (рейтинги/аналитика/тенденции)</v>
      </c>
      <c r="R1197" s="6" t="str">
        <f>IFERROR(__xludf.DUMMYFUNCTION("""COMPUTED_VALUE"""),"день шахтера")</f>
        <v>день шахтера</v>
      </c>
      <c r="S1197" s="6" t="str">
        <f>IFERROR(__xludf.DUMMYFUNCTION("""COMPUTED_VALUE"""),"Нет, не приходилось")</f>
        <v>Нет, не приходилось</v>
      </c>
      <c r="T1197" s="6" t="str">
        <f>IFERROR(__xludf.DUMMYFUNCTION("""COMPUTED_VALUE"""),"уголная отрасль")</f>
        <v>уголная отрасль</v>
      </c>
      <c r="U1197" s="6" t="str">
        <f>IFERROR(__xludf.DUMMYFUNCTION("""COMPUTED_VALUE"""),"набережная")</f>
        <v>набережная</v>
      </c>
      <c r="V1197" s="6" t="str">
        <f>IFERROR(__xludf.DUMMYFUNCTION("""COMPUTED_VALUE"""),"-")</f>
        <v>-</v>
      </c>
      <c r="W1197" s="6" t="str">
        <f>IFERROR(__xludf.DUMMYFUNCTION("""COMPUTED_VALUE"""),"трудяги")</f>
        <v>трудяги</v>
      </c>
      <c r="X1197" s="6" t="str">
        <f>IFERROR(__xludf.DUMMYFUNCTION("""COMPUTED_VALUE"""),"парк ангелов")</f>
        <v>парк ангелов</v>
      </c>
      <c r="Y1197" s="6" t="str">
        <f>IFERROR(__xludf.DUMMYFUNCTION("""COMPUTED_VALUE"""),"-")</f>
        <v>-</v>
      </c>
      <c r="Z1197" s="6" t="str">
        <f>IFERROR(__xludf.DUMMYFUNCTION("""COMPUTED_VALUE"""),"-")</f>
        <v>-</v>
      </c>
      <c r="AA1197" s="6" t="str">
        <f>IFERROR(__xludf.DUMMYFUNCTION("""COMPUTED_VALUE"""),"-")</f>
        <v>-</v>
      </c>
      <c r="AB1197" s="6" t="str">
        <f>IFERROR(__xludf.DUMMYFUNCTION("""COMPUTED_VALUE"""),"-")</f>
        <v>-</v>
      </c>
      <c r="AC1197" s="6" t="str">
        <f>IFERROR(__xludf.DUMMYFUNCTION("""COMPUTED_VALUE"""),"-")</f>
        <v>-</v>
      </c>
      <c r="AD119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97" s="6" t="str">
        <f>IFERROR(__xludf.DUMMYFUNCTION("""COMPUTED_VALUE"""),"Женский")</f>
        <v>Женский</v>
      </c>
      <c r="AF1197" s="6" t="str">
        <f>IFERROR(__xludf.DUMMYFUNCTION("""COMPUTED_VALUE"""),"30-44")</f>
        <v>30-44</v>
      </c>
      <c r="AG1197" s="6"/>
      <c r="AH1197" s="6"/>
      <c r="AI1197" s="6"/>
      <c r="AJ1197" s="6"/>
      <c r="AK1197" s="6"/>
      <c r="AL1197" s="6"/>
      <c r="AM1197" s="6"/>
    </row>
    <row r="1198">
      <c r="A1198" s="6">
        <v>1197.0</v>
      </c>
      <c r="B1198" s="6" t="str">
        <f>IFERROR(__xludf.DUMMYFUNCTION("""COMPUTED_VALUE"""),"работаю")</f>
        <v>работаю</v>
      </c>
      <c r="C1198" s="6" t="str">
        <f>IFERROR(__xludf.DUMMYFUNCTION("""COMPUTED_VALUE"""),"футбол")</f>
        <v>футбол</v>
      </c>
      <c r="D1198" s="6" t="str">
        <f>IFERROR(__xludf.DUMMYFUNCTION("""COMPUTED_VALUE"""),"радуга")</f>
        <v>радуга</v>
      </c>
      <c r="E1198" s="6" t="str">
        <f>IFERROR(__xludf.DUMMYFUNCTION("""COMPUTED_VALUE"""),"бор")</f>
        <v>бор</v>
      </c>
      <c r="F1198" s="6" t="str">
        <f>IFERROR(__xludf.DUMMYFUNCTION("""COMPUTED_VALUE"""),"Живу здесь с рождения")</f>
        <v>Живу здесь с рождения</v>
      </c>
      <c r="G1198" s="6" t="str">
        <f>IFERROR(__xludf.DUMMYFUNCTION("""COMPUTED_VALUE"""),"бор")</f>
        <v>бор</v>
      </c>
      <c r="H1198" s="6" t="str">
        <f>IFERROR(__xludf.DUMMYFUNCTION("""COMPUTED_VALUE"""),"бор, стадион, набережная")</f>
        <v>бор, стадион, набережная</v>
      </c>
      <c r="I1198" s="6" t="str">
        <f>IFERROR(__xludf.DUMMYFUNCTION("""COMPUTED_VALUE"""),"В. Раздаев")</f>
        <v>В. Раздаев</v>
      </c>
      <c r="J1198" s="6" t="str">
        <f>IFERROR(__xludf.DUMMYFUNCTION("""COMPUTED_VALUE"""),"Тулеев")</f>
        <v>Тулеев</v>
      </c>
      <c r="K1198" s="6" t="str">
        <f>IFERROR(__xludf.DUMMYFUNCTION("""COMPUTED_VALUE"""),"писаница")</f>
        <v>писаница</v>
      </c>
      <c r="L1198" s="6" t="str">
        <f>IFERROR(__xludf.DUMMYFUNCTION("""COMPUTED_VALUE"""),"-")</f>
        <v>-</v>
      </c>
      <c r="M1198" s="6" t="str">
        <f>IFERROR(__xludf.DUMMYFUNCTION("""COMPUTED_VALUE"""),"ЕКЛМНЭ")</f>
        <v>ЕКЛМНЭ</v>
      </c>
      <c r="N1198" s="6" t="str">
        <f>IFERROR(__xludf.DUMMYFUNCTION("""COMPUTED_VALUE"""),"чмстота")</f>
        <v>чмстота</v>
      </c>
      <c r="O1198" s="6" t="str">
        <f>IFERROR(__xludf.DUMMYFUNCTION("""COMPUTED_VALUE"""),"губернатора")</f>
        <v>губернатора</v>
      </c>
      <c r="P1198" s="6" t="str">
        <f>IFERROR(__xludf.DUMMYFUNCTION("""COMPUTED_VALUE"""),"инет")</f>
        <v>инет</v>
      </c>
      <c r="Q1198" s="6" t="str">
        <f>IFERROR(__xludf.DUMMYFUNCTION("""COMPUTED_VALUE"""),"куда пойти в свободное время")</f>
        <v>куда пойти в свободное время</v>
      </c>
      <c r="R1198" s="6" t="str">
        <f>IFERROR(__xludf.DUMMYFUNCTION("""COMPUTED_VALUE"""),"день шахтера")</f>
        <v>день шахтера</v>
      </c>
      <c r="S1198" s="6" t="str">
        <f>IFERROR(__xludf.DUMMYFUNCTION("""COMPUTED_VALUE"""),"Нет, не приходилось")</f>
        <v>Нет, не приходилось</v>
      </c>
      <c r="T1198" s="6" t="str">
        <f>IFERROR(__xludf.DUMMYFUNCTION("""COMPUTED_VALUE"""),"угольная про-ность")</f>
        <v>угольная про-ность</v>
      </c>
      <c r="U1198" s="6" t="str">
        <f>IFERROR(__xludf.DUMMYFUNCTION("""COMPUTED_VALUE"""),"красная горка")</f>
        <v>красная горка</v>
      </c>
      <c r="V1198" s="6" t="str">
        <f>IFERROR(__xludf.DUMMYFUNCTION("""COMPUTED_VALUE"""),"работали")</f>
        <v>работали</v>
      </c>
      <c r="W1198" s="6" t="str">
        <f>IFERROR(__xludf.DUMMYFUNCTION("""COMPUTED_VALUE"""),"отдыхать")</f>
        <v>отдыхать</v>
      </c>
      <c r="X1198" s="6" t="str">
        <f>IFERROR(__xludf.DUMMYFUNCTION("""COMPUTED_VALUE"""),"бор")</f>
        <v>бор</v>
      </c>
      <c r="Y1198" s="6" t="str">
        <f>IFERROR(__xludf.DUMMYFUNCTION("""COMPUTED_VALUE"""),"уголь")</f>
        <v>уголь</v>
      </c>
      <c r="Z1198" s="6" t="str">
        <f>IFERROR(__xludf.DUMMYFUNCTION("""COMPUTED_VALUE"""),"-")</f>
        <v>-</v>
      </c>
      <c r="AA1198" s="6" t="str">
        <f>IFERROR(__xludf.DUMMYFUNCTION("""COMPUTED_VALUE"""),"ЗВ")</f>
        <v>ЗВ</v>
      </c>
      <c r="AB1198" s="6" t="str">
        <f>IFERROR(__xludf.DUMMYFUNCTION("""COMPUTED_VALUE"""),"-")</f>
        <v>-</v>
      </c>
      <c r="AC1198" s="6" t="str">
        <f>IFERROR(__xludf.DUMMYFUNCTION("""COMPUTED_VALUE"""),"-")</f>
        <v>-</v>
      </c>
      <c r="AD119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198" s="6" t="str">
        <f>IFERROR(__xludf.DUMMYFUNCTION("""COMPUTED_VALUE"""),"Мужской")</f>
        <v>Мужской</v>
      </c>
      <c r="AF1198" s="6" t="str">
        <f>IFERROR(__xludf.DUMMYFUNCTION("""COMPUTED_VALUE"""),"старше 55")</f>
        <v>старше 55</v>
      </c>
      <c r="AG1198" s="6"/>
      <c r="AH1198" s="6"/>
      <c r="AI1198" s="6"/>
      <c r="AJ1198" s="6"/>
      <c r="AK1198" s="6"/>
      <c r="AL1198" s="6"/>
      <c r="AM1198" s="6"/>
    </row>
    <row r="1199">
      <c r="A1199" s="6">
        <v>1198.0</v>
      </c>
      <c r="B1199" s="6" t="str">
        <f>IFERROR(__xludf.DUMMYFUNCTION("""COMPUTED_VALUE"""),"слежу, чтобы люди выполняли работу")</f>
        <v>слежу, чтобы люди выполняли работу</v>
      </c>
      <c r="C1199" s="6" t="str">
        <f>IFERROR(__xludf.DUMMYFUNCTION("""COMPUTED_VALUE"""),"слесарное")</f>
        <v>слесарное</v>
      </c>
      <c r="D1199" s="6" t="str">
        <f>IFERROR(__xludf.DUMMYFUNCTION("""COMPUTED_VALUE"""),"радуга")</f>
        <v>радуга</v>
      </c>
      <c r="E1199" s="6" t="str">
        <f>IFERROR(__xludf.DUMMYFUNCTION("""COMPUTED_VALUE"""),"бор, музей, аллея")</f>
        <v>бор, музей, аллея</v>
      </c>
      <c r="F1199" s="6" t="str">
        <f>IFERROR(__xludf.DUMMYFUNCTION("""COMPUTED_VALUE"""),"Переехал сюда из другого места (откуда? укажите в графе другое), иркутская обл")</f>
        <v>Переехал сюда из другого места (откуда? укажите в графе другое), иркутская обл</v>
      </c>
      <c r="G1199" s="6" t="str">
        <f>IFERROR(__xludf.DUMMYFUNCTION("""COMPUTED_VALUE"""),"в бор")</f>
        <v>в бор</v>
      </c>
      <c r="H1199" s="6" t="str">
        <f>IFERROR(__xludf.DUMMYFUNCTION("""COMPUTED_VALUE"""),"уголь, слава, дружба, любовь")</f>
        <v>уголь, слава, дружба, любовь</v>
      </c>
      <c r="I1199" s="6" t="str">
        <f>IFERROR(__xludf.DUMMYFUNCTION("""COMPUTED_VALUE"""),"Волков, Тулеев")</f>
        <v>Волков, Тулеев</v>
      </c>
      <c r="J1199" s="6" t="str">
        <f>IFERROR(__xludf.DUMMYFUNCTION("""COMPUTED_VALUE"""),"Рякитинский")</f>
        <v>Рякитинский</v>
      </c>
      <c r="K1199" s="6" t="str">
        <f>IFERROR(__xludf.DUMMYFUNCTION("""COMPUTED_VALUE"""),"красная горка")</f>
        <v>красная горка</v>
      </c>
      <c r="L1199" s="6" t="str">
        <f>IFERROR(__xludf.DUMMYFUNCTION("""COMPUTED_VALUE"""),"ты лучше голодай, чем  что попало ешь и лучше будь один чем вместе с кем попало")</f>
        <v>ты лучше голодай, чем  что попало ешь и лучше будь один чем вместе с кем попало</v>
      </c>
      <c r="M1199" s="6" t="str">
        <f>IFERROR(__xludf.DUMMYFUNCTION("""COMPUTED_VALUE"""),"радужный")</f>
        <v>радужный</v>
      </c>
      <c r="N1199" s="6" t="str">
        <f>IFERROR(__xludf.DUMMYFUNCTION("""COMPUTED_VALUE"""),"освещение и детские площадки1")</f>
        <v>освещение и детские площадки1</v>
      </c>
      <c r="O1199" s="6" t="str">
        <f>IFERROR(__xludf.DUMMYFUNCTION("""COMPUTED_VALUE"""),"спорт комплекс")</f>
        <v>спорт комплекс</v>
      </c>
      <c r="P1199" s="6" t="str">
        <f>IFERROR(__xludf.DUMMYFUNCTION("""COMPUTED_VALUE"""),"тв и интернет")</f>
        <v>тв и интернет</v>
      </c>
      <c r="Q1199"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199" s="6" t="str">
        <f>IFERROR(__xludf.DUMMYFUNCTION("""COMPUTED_VALUE"""),"день города и день шахтера")</f>
        <v>день города и день шахтера</v>
      </c>
      <c r="S1199" s="6" t="str">
        <f>IFERROR(__xludf.DUMMYFUNCTION("""COMPUTED_VALUE"""),"Нет, не приходилось")</f>
        <v>Нет, не приходилось</v>
      </c>
      <c r="T1199" s="6" t="str">
        <f>IFERROR(__xludf.DUMMYFUNCTION("""COMPUTED_VALUE"""),"угольная пром-ность")</f>
        <v>угольная пром-ность</v>
      </c>
      <c r="U1199" s="6" t="str">
        <f>IFERROR(__xludf.DUMMYFUNCTION("""COMPUTED_VALUE"""),"бор
красная горка")</f>
        <v>бор
красная горка</v>
      </c>
      <c r="V1199" s="6" t="str">
        <f>IFERROR(__xludf.DUMMYFUNCTION("""COMPUTED_VALUE"""),"застройка города")</f>
        <v>застройка города</v>
      </c>
      <c r="W1199" s="6" t="str">
        <f>IFERROR(__xludf.DUMMYFUNCTION("""COMPUTED_VALUE"""),"трудолюбивые")</f>
        <v>трудолюбивые</v>
      </c>
      <c r="X1199" s="6" t="str">
        <f>IFERROR(__xludf.DUMMYFUNCTION("""COMPUTED_VALUE"""),"бор")</f>
        <v>бор</v>
      </c>
      <c r="Y1199" s="6" t="str">
        <f>IFERROR(__xludf.DUMMYFUNCTION("""COMPUTED_VALUE"""),"-")</f>
        <v>-</v>
      </c>
      <c r="Z1199" s="6" t="str">
        <f>IFERROR(__xludf.DUMMYFUNCTION("""COMPUTED_VALUE"""),"-")</f>
        <v>-</v>
      </c>
      <c r="AA1199" s="6" t="str">
        <f>IFERROR(__xludf.DUMMYFUNCTION("""COMPUTED_VALUE"""),"закрытые на ремонт базыв бору")</f>
        <v>закрытые на ремонт базыв бору</v>
      </c>
      <c r="AB1199" s="6" t="str">
        <f>IFERROR(__xludf.DUMMYFUNCTION("""COMPUTED_VALUE"""),"-")</f>
        <v>-</v>
      </c>
      <c r="AC1199" s="6" t="str">
        <f>IFERROR(__xludf.DUMMYFUNCTION("""COMPUTED_VALUE"""),"-")</f>
        <v>-</v>
      </c>
      <c r="AD119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199" s="6" t="str">
        <f>IFERROR(__xludf.DUMMYFUNCTION("""COMPUTED_VALUE"""),"Мужской")</f>
        <v>Мужской</v>
      </c>
      <c r="AF1199" s="6" t="str">
        <f>IFERROR(__xludf.DUMMYFUNCTION("""COMPUTED_VALUE"""),"старше 55")</f>
        <v>старше 55</v>
      </c>
      <c r="AG1199" s="6"/>
      <c r="AH1199" s="6"/>
      <c r="AI1199" s="6"/>
      <c r="AJ1199" s="6"/>
      <c r="AK1199" s="6"/>
      <c r="AL1199" s="6"/>
      <c r="AM1199" s="6"/>
    </row>
    <row r="1200">
      <c r="A1200" s="6">
        <v>1199.0</v>
      </c>
      <c r="B1200" s="6" t="str">
        <f>IFERROR(__xludf.DUMMYFUNCTION("""COMPUTED_VALUE"""),"Работаю ")</f>
        <v>Работаю </v>
      </c>
      <c r="C1200" s="6" t="str">
        <f>IFERROR(__xludf.DUMMYFUNCTION("""COMPUTED_VALUE"""),"Нет")</f>
        <v>Нет</v>
      </c>
      <c r="D1200" s="6" t="str">
        <f>IFERROR(__xludf.DUMMYFUNCTION("""COMPUTED_VALUE"""),"Заводском ")</f>
        <v>Заводском </v>
      </c>
      <c r="E1200" s="6" t="str">
        <f>IFERROR(__xludf.DUMMYFUNCTION("""COMPUTED_VALUE"""),"Парк Победы ")</f>
        <v>Парк Победы </v>
      </c>
      <c r="F1200" s="6" t="str">
        <f>IFERROR(__xludf.DUMMYFUNCTION("""COMPUTED_VALUE"""),"Живу здесь с рождения")</f>
        <v>Живу здесь с рождения</v>
      </c>
      <c r="G1200" s="6" t="str">
        <f>IFERROR(__xludf.DUMMYFUNCTION("""COMPUTED_VALUE"""),"КФС")</f>
        <v>КФС</v>
      </c>
      <c r="H1200" s="6" t="str">
        <f>IFERROR(__xludf.DUMMYFUNCTION("""COMPUTED_VALUE"""),"Город")</f>
        <v>Город</v>
      </c>
      <c r="I1200" s="6" t="str">
        <f>IFERROR(__xludf.DUMMYFUNCTION("""COMPUTED_VALUE"""),"Волков, Леонов, ")</f>
        <v>Волков, Леонов, </v>
      </c>
      <c r="J1200" s="6" t="str">
        <f>IFERROR(__xludf.DUMMYFUNCTION("""COMPUTED_VALUE"""),"Не знаю ")</f>
        <v>Не знаю </v>
      </c>
      <c r="K1200" s="6" t="str">
        <f>IFERROR(__xludf.DUMMYFUNCTION("""COMPUTED_VALUE"""),"Алея героев. Алея Ангелов")</f>
        <v>Алея героев. Алея Ангелов</v>
      </c>
      <c r="L1200" s="6" t="str">
        <f>IFERROR(__xludf.DUMMYFUNCTION("""COMPUTED_VALUE"""),"Тише едешь , дальше будешь ")</f>
        <v>Тише едешь , дальше будешь </v>
      </c>
      <c r="M1200" s="6" t="str">
        <f>IFERROR(__xludf.DUMMYFUNCTION("""COMPUTED_VALUE"""),"Нет")</f>
        <v>Нет</v>
      </c>
      <c r="N1200" s="6" t="str">
        <f>IFERROR(__xludf.DUMMYFUNCTION("""COMPUTED_VALUE"""),"Не знаю ")</f>
        <v>Не знаю </v>
      </c>
      <c r="O1200" s="6" t="str">
        <f>IFERROR(__xludf.DUMMYFUNCTION("""COMPUTED_VALUE"""),"Не надо изменять ")</f>
        <v>Не надо изменять </v>
      </c>
      <c r="P1200" s="6" t="str">
        <f>IFERROR(__xludf.DUMMYFUNCTION("""COMPUTED_VALUE"""),"Интернет")</f>
        <v>Интернет</v>
      </c>
      <c r="Q1200" s="6" t="str">
        <f>IFERROR(__xludf.DUMMYFUNCTION("""COMPUTED_VALUE"""),"куда пойти в свободное время")</f>
        <v>куда пойти в свободное время</v>
      </c>
      <c r="R1200" s="6" t="str">
        <f>IFERROR(__xludf.DUMMYFUNCTION("""COMPUTED_VALUE"""),"Все")</f>
        <v>Все</v>
      </c>
      <c r="S1200" s="6" t="str">
        <f>IFERROR(__xludf.DUMMYFUNCTION("""COMPUTED_VALUE"""),"Нет, не приходилось")</f>
        <v>Нет, не приходилось</v>
      </c>
      <c r="T1200" s="6" t="str">
        <f>IFERROR(__xludf.DUMMYFUNCTION("""COMPUTED_VALUE"""),"Не знаю ")</f>
        <v>Не знаю </v>
      </c>
      <c r="U1200" s="6" t="str">
        <f>IFERROR(__xludf.DUMMYFUNCTION("""COMPUTED_VALUE"""),"Не знаю")</f>
        <v>Не знаю</v>
      </c>
      <c r="V1200" s="6" t="str">
        <f>IFERROR(__xludf.DUMMYFUNCTION("""COMPUTED_VALUE"""),"Благоустройство ")</f>
        <v>Благоустройство </v>
      </c>
      <c r="W1200" s="6" t="str">
        <f>IFERROR(__xludf.DUMMYFUNCTION("""COMPUTED_VALUE"""),"Добрые, веселые, хорошие люди ")</f>
        <v>Добрые, веселые, хорошие люди </v>
      </c>
      <c r="X1200" s="6" t="str">
        <f>IFERROR(__xludf.DUMMYFUNCTION("""COMPUTED_VALUE"""),"Центр ")</f>
        <v>Центр </v>
      </c>
      <c r="Y1200" s="6" t="str">
        <f>IFERROR(__xludf.DUMMYFUNCTION("""COMPUTED_VALUE"""),"Не знаю ")</f>
        <v>Не знаю </v>
      </c>
      <c r="Z1200" s="6" t="str">
        <f>IFERROR(__xludf.DUMMYFUNCTION("""COMPUTED_VALUE"""),"Не знаю")</f>
        <v>Не знаю</v>
      </c>
      <c r="AA1200" s="6" t="str">
        <f>IFERROR(__xludf.DUMMYFUNCTION("""COMPUTED_VALUE"""),"Не знаю")</f>
        <v>Не знаю</v>
      </c>
      <c r="AB1200" s="6" t="str">
        <f>IFERROR(__xludf.DUMMYFUNCTION("""COMPUTED_VALUE"""),"Ни каких ")</f>
        <v>Ни каких </v>
      </c>
      <c r="AC1200" s="6" t="str">
        <f>IFERROR(__xludf.DUMMYFUNCTION("""COMPUTED_VALUE"""),"Не знаю")</f>
        <v>Не знаю</v>
      </c>
      <c r="AD1200" s="6" t="str">
        <f>IFERROR(__xludf.DUMMYFUNCTION("""COMPUTED_VALUE"""),"Нет времени работаю ")</f>
        <v>Нет времени работаю </v>
      </c>
      <c r="AE1200" s="6" t="str">
        <f>IFERROR(__xludf.DUMMYFUNCTION("""COMPUTED_VALUE"""),"Женский")</f>
        <v>Женский</v>
      </c>
      <c r="AF1200" s="6" t="str">
        <f>IFERROR(__xludf.DUMMYFUNCTION("""COMPUTED_VALUE"""),"45-55")</f>
        <v>45-55</v>
      </c>
      <c r="AG1200" s="6"/>
      <c r="AH1200" s="6"/>
      <c r="AI1200" s="6"/>
      <c r="AJ1200" s="6"/>
      <c r="AK1200" s="6"/>
      <c r="AL1200" s="6"/>
      <c r="AM1200" s="6"/>
    </row>
    <row r="1201">
      <c r="A1201" s="6">
        <v>1200.0</v>
      </c>
      <c r="B1201" s="6" t="str">
        <f>IFERROR(__xludf.DUMMYFUNCTION("""COMPUTED_VALUE"""),"Учеба")</f>
        <v>Учеба</v>
      </c>
      <c r="C1201" s="6" t="str">
        <f>IFERROR(__xludf.DUMMYFUNCTION("""COMPUTED_VALUE"""),"Нет")</f>
        <v>Нет</v>
      </c>
      <c r="D1201" s="6" t="str">
        <f>IFERROR(__xludf.DUMMYFUNCTION("""COMPUTED_VALUE"""),"Ленинский ")</f>
        <v>Ленинский </v>
      </c>
      <c r="E1201" s="6" t="str">
        <f>IFERROR(__xludf.DUMMYFUNCTION("""COMPUTED_VALUE"""),"Парк Кузбасский")</f>
        <v>Парк Кузбасский</v>
      </c>
      <c r="F1201" s="6" t="str">
        <f>IFERROR(__xludf.DUMMYFUNCTION("""COMPUTED_VALUE"""),"Живу здесь с рождения")</f>
        <v>Живу здесь с рождения</v>
      </c>
      <c r="G1201" s="6" t="str">
        <f>IFERROR(__xludf.DUMMYFUNCTION("""COMPUTED_VALUE"""),"На реку Томь")</f>
        <v>На реку Томь</v>
      </c>
      <c r="H1201" s="6" t="str">
        <f>IFERROR(__xludf.DUMMYFUNCTION("""COMPUTED_VALUE"""),"Коксовый уголь, бурый уголь, химия, малая родина, Кемерово.")</f>
        <v>Коксовый уголь, бурый уголь, химия, малая родина, Кемерово.</v>
      </c>
      <c r="I1201" s="6" t="str">
        <f>IFERROR(__xludf.DUMMYFUNCTION("""COMPUTED_VALUE"""),"Михайло Волков")</f>
        <v>Михайло Волков</v>
      </c>
      <c r="J1201" s="6" t="str">
        <f>IFERROR(__xludf.DUMMYFUNCTION("""COMPUTED_VALUE"""),"Алексей Архипович Леонов")</f>
        <v>Алексей Архипович Леонов</v>
      </c>
      <c r="K1201" s="6" t="str">
        <f>IFERROR(__xludf.DUMMYFUNCTION("""COMPUTED_VALUE"""),"Площадь Пушкина.")</f>
        <v>Площадь Пушкина.</v>
      </c>
      <c r="L1201" s="6" t="str">
        <f>IFERROR(__xludf.DUMMYFUNCTION("""COMPUTED_VALUE"""),"Нет.")</f>
        <v>Нет.</v>
      </c>
      <c r="M1201" s="6" t="str">
        <f>IFERROR(__xludf.DUMMYFUNCTION("""COMPUTED_VALUE"""),"Нет")</f>
        <v>Нет</v>
      </c>
      <c r="N1201" s="6" t="str">
        <f>IFERROR(__xludf.DUMMYFUNCTION("""COMPUTED_VALUE"""),"Удобство, красота, чистота, ")</f>
        <v>Удобство, красота, чистота, </v>
      </c>
      <c r="O1201" s="6" t="str">
        <f>IFERROR(__xludf.DUMMYFUNCTION("""COMPUTED_VALUE"""),"Дороги.")</f>
        <v>Дороги.</v>
      </c>
      <c r="P1201" s="6" t="str">
        <f>IFERROR(__xludf.DUMMYFUNCTION("""COMPUTED_VALUE"""),"Новости.")</f>
        <v>Новости.</v>
      </c>
      <c r="Q1201" s="6" t="str">
        <f>IFERROR(__xludf.DUMMYFUNCTION("""COMPUTED_VALUE"""),"культурные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f>
        <v>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v>
      </c>
      <c r="R1201" s="6" t="str">
        <f>IFERROR(__xludf.DUMMYFUNCTION("""COMPUTED_VALUE"""),"День города")</f>
        <v>День города</v>
      </c>
      <c r="S1201" s="6" t="str">
        <f>IFERROR(__xludf.DUMMYFUNCTION("""COMPUTED_VALUE"""),"Нет, не приходилось")</f>
        <v>Нет, не приходилось</v>
      </c>
      <c r="T1201" s="6" t="str">
        <f>IFERROR(__xludf.DUMMYFUNCTION("""COMPUTED_VALUE"""),"Краеведческий музей.")</f>
        <v>Краеведческий музей.</v>
      </c>
      <c r="U1201" s="6" t="str">
        <f>IFERROR(__xludf.DUMMYFUNCTION("""COMPUTED_VALUE"""),"Центральная площадь")</f>
        <v>Центральная площадь</v>
      </c>
      <c r="V1201" s="6" t="str">
        <f>IFERROR(__xludf.DUMMYFUNCTION("""COMPUTED_VALUE"""),"Построили город Кемерово.")</f>
        <v>Построили город Кемерово.</v>
      </c>
      <c r="W1201" s="6" t="str">
        <f>IFERROR(__xludf.DUMMYFUNCTION("""COMPUTED_VALUE"""),"Трудолюбие, доброта, честность.")</f>
        <v>Трудолюбие, доброта, честность.</v>
      </c>
      <c r="X1201" s="6" t="str">
        <f>IFERROR(__xludf.DUMMYFUNCTION("""COMPUTED_VALUE"""),"Маршрут автобуса 77т.")</f>
        <v>Маршрут автобуса 77т.</v>
      </c>
      <c r="Y1201" s="6" t="str">
        <f>IFERROR(__xludf.DUMMYFUNCTION("""COMPUTED_VALUE"""),"Переименование его из Щегловски в Щегловск, а затем в Кемерово.")</f>
        <v>Переименование его из Щегловски в Щегловск, а затем в Кемерово.</v>
      </c>
      <c r="Z1201" s="6" t="str">
        <f>IFERROR(__xludf.DUMMYFUNCTION("""COMPUTED_VALUE"""),"Нет")</f>
        <v>Нет</v>
      </c>
      <c r="AA1201" s="6" t="str">
        <f>IFERROR(__xludf.DUMMYFUNCTION("""COMPUTED_VALUE"""),"Нет")</f>
        <v>Нет</v>
      </c>
      <c r="AB1201" s="6" t="str">
        <f>IFERROR(__xludf.DUMMYFUNCTION("""COMPUTED_VALUE"""),"Нет")</f>
        <v>Нет</v>
      </c>
      <c r="AC1201" s="6" t="str">
        <f>IFERROR(__xludf.DUMMYFUNCTION("""COMPUTED_VALUE"""),"Нет")</f>
        <v>Нет</v>
      </c>
      <c r="AD120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01" s="6" t="str">
        <f>IFERROR(__xludf.DUMMYFUNCTION("""COMPUTED_VALUE"""),"Мужской")</f>
        <v>Мужской</v>
      </c>
      <c r="AF1201" s="6" t="str">
        <f>IFERROR(__xludf.DUMMYFUNCTION("""COMPUTED_VALUE"""),"18-29")</f>
        <v>18-29</v>
      </c>
      <c r="AG1201" s="6"/>
      <c r="AH1201" s="6"/>
      <c r="AI1201" s="6"/>
      <c r="AJ1201" s="6"/>
      <c r="AK1201" s="6"/>
      <c r="AL1201" s="6"/>
      <c r="AM1201" s="6"/>
    </row>
    <row r="1202">
      <c r="A1202" s="6">
        <v>1201.0</v>
      </c>
      <c r="B1202" s="6" t="str">
        <f>IFERROR(__xludf.DUMMYFUNCTION("""COMPUTED_VALUE"""),"Менеджер")</f>
        <v>Менеджер</v>
      </c>
      <c r="C1202" s="6" t="str">
        <f>IFERROR(__xludf.DUMMYFUNCTION("""COMPUTED_VALUE"""),"Фотография")</f>
        <v>Фотография</v>
      </c>
      <c r="D1202" s="6" t="str">
        <f>IFERROR(__xludf.DUMMYFUNCTION("""COMPUTED_VALUE"""),"Заводский")</f>
        <v>Заводский</v>
      </c>
      <c r="E1202" s="6" t="str">
        <f>IFERROR(__xludf.DUMMYFUNCTION("""COMPUTED_VALUE"""),"Набережная")</f>
        <v>Набережная</v>
      </c>
      <c r="F1202" s="6" t="str">
        <f>IFERROR(__xludf.DUMMYFUNCTION("""COMPUTED_VALUE"""),"Живу здесь с рождения")</f>
        <v>Живу здесь с рождения</v>
      </c>
      <c r="G1202" s="6" t="str">
        <f>IFERROR(__xludf.DUMMYFUNCTION("""COMPUTED_VALUE"""),"Бульвар,центр")</f>
        <v>Бульвар,центр</v>
      </c>
      <c r="H1202" s="6" t="str">
        <f>IFERROR(__xludf.DUMMYFUNCTION("""COMPUTED_VALUE"""),"Смог,азот,шахтёр,томь,зимняя вишня")</f>
        <v>Смог,азот,шахтёр,томь,зимняя вишня</v>
      </c>
      <c r="I1202" s="6" t="str">
        <f>IFERROR(__xludf.DUMMYFUNCTION("""COMPUTED_VALUE"""),"Леонов")</f>
        <v>Леонов</v>
      </c>
      <c r="J1202" s="6" t="str">
        <f>IFERROR(__xludf.DUMMYFUNCTION("""COMPUTED_VALUE"""),"Таких нет")</f>
        <v>Таких нет</v>
      </c>
      <c r="K1202" s="6" t="str">
        <f>IFERROR(__xludf.DUMMYFUNCTION("""COMPUTED_VALUE"""),"Фонтан,лесная поляна")</f>
        <v>Фонтан,лесная поляна</v>
      </c>
      <c r="L1202" s="6" t="str">
        <f>IFERROR(__xludf.DUMMYFUNCTION("""COMPUTED_VALUE"""),"Не знаю(")</f>
        <v>Не знаю(</v>
      </c>
      <c r="M1202" s="6" t="str">
        <f>IFERROR(__xludf.DUMMYFUNCTION("""COMPUTED_VALUE"""),"Шалго,швейка")</f>
        <v>Шалго,швейка</v>
      </c>
      <c r="N1202" s="6" t="str">
        <f>IFERROR(__xludf.DUMMYFUNCTION("""COMPUTED_VALUE"""),"Хорошая экология,чистый город,качественные  дороги,низкий уровень безработицы,социальное благополучие")</f>
        <v>Хорошая экология,чистый город,качественные  дороги,низкий уровень безработицы,социальное благополучие</v>
      </c>
      <c r="O1202" s="6" t="str">
        <f>IFERROR(__xludf.DUMMYFUNCTION("""COMPUTED_VALUE"""),"Дом на набережной на улице арочная,выглядит он ужасно")</f>
        <v>Дом на набережной на улице арочная,выглядит он ужасно</v>
      </c>
      <c r="P1202" s="6" t="str">
        <f>IFERROR(__xludf.DUMMYFUNCTION("""COMPUTED_VALUE"""),"Инстаграмм")</f>
        <v>Инстаграмм</v>
      </c>
      <c r="Q1202" s="6" t="str">
        <f>IFERROR(__xludf.DUMMYFUNCTION("""COMPUTED_VALUE"""),"где вкусно поесть/открытие новых кафе/ресторанов, культурные новинки (что почитать/что послушать), криминальные новости (происшествия/преступления), новости про новые профессии/куда поступать/вакансии, бизнес-новости (средний чек/рекламные акции/запуск но"&amp;"вых предприятий)")</f>
        <v>где вкусно поесть/открытие новых кафе/ресторанов, культурные новинки (что почитать/что послушать),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202" s="6" t="str">
        <f>IFERROR(__xludf.DUMMYFUNCTION("""COMPUTED_VALUE"""),"День города,9 мая ")</f>
        <v>День города,9 мая </v>
      </c>
      <c r="S1202" s="6" t="str">
        <f>IFERROR(__xludf.DUMMYFUNCTION("""COMPUTED_VALUE"""),"Нет, не приходилось")</f>
        <v>Нет, не приходилось</v>
      </c>
      <c r="T1202" s="6" t="str">
        <f>IFERROR(__xludf.DUMMYFUNCTION("""COMPUTED_VALUE"""),"Зимней вишней,плохой экологией")</f>
        <v>Зимней вишней,плохой экологией</v>
      </c>
      <c r="U1202" s="6" t="str">
        <f>IFERROR(__xludf.DUMMYFUNCTION("""COMPUTED_VALUE"""),"Набережная")</f>
        <v>Набережная</v>
      </c>
      <c r="V1202" s="6" t="str">
        <f>IFERROR(__xludf.DUMMYFUNCTION("""COMPUTED_VALUE"""),"Ничего")</f>
        <v>Ничего</v>
      </c>
      <c r="W1202" s="6" t="str">
        <f>IFERROR(__xludf.DUMMYFUNCTION("""COMPUTED_VALUE"""),"Хмурые)")</f>
        <v>Хмурые)</v>
      </c>
      <c r="X1202" s="6" t="str">
        <f>IFERROR(__xludf.DUMMYFUNCTION("""COMPUTED_VALUE"""),"Фонтан,площадь,набережная ")</f>
        <v>Фонтан,площадь,набережная </v>
      </c>
      <c r="Y1202" s="6" t="str">
        <f>IFERROR(__xludf.DUMMYFUNCTION("""COMPUTED_VALUE"""),"День шахтёра,когда приезжали артисты")</f>
        <v>День шахтёра,когда приезжали артисты</v>
      </c>
      <c r="Z1202" s="6" t="str">
        <f>IFERROR(__xludf.DUMMYFUNCTION("""COMPUTED_VALUE"""),"Ничего такого не припомню")</f>
        <v>Ничего такого не припомню</v>
      </c>
      <c r="AA1202" s="6" t="str">
        <f>IFERROR(__xludf.DUMMYFUNCTION("""COMPUTED_VALUE"""),"Митинги за навального ")</f>
        <v>Митинги за навального </v>
      </c>
      <c r="AB1202" s="6" t="str">
        <f>IFERROR(__xludf.DUMMYFUNCTION("""COMPUTED_VALUE"""),"Не могу ответить")</f>
        <v>Не могу ответить</v>
      </c>
      <c r="AC1202" s="6" t="str">
        <f>IFERROR(__xludf.DUMMYFUNCTION("""COMPUTED_VALUE"""),"Открытые концерты ")</f>
        <v>Открытые концерты </v>
      </c>
      <c r="AD120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02" s="6" t="str">
        <f>IFERROR(__xludf.DUMMYFUNCTION("""COMPUTED_VALUE"""),"Женский")</f>
        <v>Женский</v>
      </c>
      <c r="AF1202" s="6" t="str">
        <f>IFERROR(__xludf.DUMMYFUNCTION("""COMPUTED_VALUE"""),"18-29")</f>
        <v>18-29</v>
      </c>
      <c r="AG1202" s="6"/>
      <c r="AH1202" s="6"/>
      <c r="AI1202" s="6"/>
      <c r="AJ1202" s="6"/>
      <c r="AK1202" s="6"/>
      <c r="AL1202" s="6"/>
      <c r="AM1202" s="6"/>
    </row>
    <row r="1203">
      <c r="A1203" s="6">
        <v>1202.0</v>
      </c>
      <c r="B1203" s="6" t="str">
        <f>IFERROR(__xludf.DUMMYFUNCTION("""COMPUTED_VALUE"""),"Охранник")</f>
        <v>Охранник</v>
      </c>
      <c r="C1203" s="6" t="str">
        <f>IFERROR(__xludf.DUMMYFUNCTION("""COMPUTED_VALUE"""),"Рукоделие. Вязание, бисер. ")</f>
        <v>Рукоделие. Вязание, бисер. </v>
      </c>
      <c r="D1203" s="6" t="str">
        <f>IFERROR(__xludf.DUMMYFUNCTION("""COMPUTED_VALUE"""),"Заводский. Ягуновка")</f>
        <v>Заводский. Ягуновка</v>
      </c>
      <c r="E1203" s="6" t="str">
        <f>IFERROR(__xludf.DUMMYFUNCTION("""COMPUTED_VALUE"""),"Парк, стадион")</f>
        <v>Парк, стадион</v>
      </c>
      <c r="F1203" s="6" t="str">
        <f>IFERROR(__xludf.DUMMYFUNCTION("""COMPUTED_VALUE"""),"Живу здесь с рождения")</f>
        <v>Живу здесь с рождения</v>
      </c>
      <c r="G1203" s="6" t="str">
        <f>IFERROR(__xludf.DUMMYFUNCTION("""COMPUTED_VALUE"""),"Набережная, парк чудес, парк Жукова")</f>
        <v>Набережная, парк чудес, парк Жукова</v>
      </c>
      <c r="H1203" s="6" t="str">
        <f>IFERROR(__xludf.DUMMYFUNCTION("""COMPUTED_VALUE"""),"Фонтан, капусель, центр, парк, грязь")</f>
        <v>Фонтан, капусель, центр, парк, грязь</v>
      </c>
      <c r="I1203" s="6" t="str">
        <f>IFERROR(__xludf.DUMMYFUNCTION("""COMPUTED_VALUE"""),"Сарыгин, Федоров. Волков. ")</f>
        <v>Сарыгин, Федоров. Волков. </v>
      </c>
      <c r="J1203" s="6" t="str">
        <f>IFERROR(__xludf.DUMMYFUNCTION("""COMPUTED_VALUE"""),"Тулеев")</f>
        <v>Тулеев</v>
      </c>
      <c r="K1203" s="6" t="str">
        <f>IFERROR(__xludf.DUMMYFUNCTION("""COMPUTED_VALUE"""),"Парк Ангелов. ")</f>
        <v>Парк Ангелов. </v>
      </c>
      <c r="L1203" s="6" t="str">
        <f>IFERROR(__xludf.DUMMYFUNCTION("""COMPUTED_VALUE"""),"Тише едешь, дальше будешь. ")</f>
        <v>Тише едешь, дальше будешь. </v>
      </c>
      <c r="M1203" s="6" t="str">
        <f>IFERROR(__xludf.DUMMYFUNCTION("""COMPUTED_VALUE"""),"Нет")</f>
        <v>Нет</v>
      </c>
      <c r="N1203" s="6" t="str">
        <f>IFERROR(__xludf.DUMMYFUNCTION("""COMPUTED_VALUE"""),"Все в шаговой доступности, красивые места, отзывчивые люди")</f>
        <v>Все в шаговой доступности, красивые места, отзывчивые люди</v>
      </c>
      <c r="O1203" s="6" t="str">
        <f>IFERROR(__xludf.DUMMYFUNCTION("""COMPUTED_VALUE"""),"Качество дорог, качество медицины, уровень жизни, экология ")</f>
        <v>Качество дорог, качество медицины, уровень жизни, экология </v>
      </c>
      <c r="P1203" s="6" t="str">
        <f>IFERROR(__xludf.DUMMYFUNCTION("""COMPUTED_VALUE"""),"Интернет-инцидент Кузбасс, телевидение-новости")</f>
        <v>Интернет-инцидент Кузбасс, телевидение-новости</v>
      </c>
      <c r="Q1203" s="6" t="str">
        <f>IFERROR(__xludf.DUMMYFUNCTION("""COMPUTED_VALUE"""),"культурные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f>
        <v>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v>
      </c>
      <c r="R1203" s="6" t="str">
        <f>IFERROR(__xludf.DUMMYFUNCTION("""COMPUTED_VALUE"""),"День победы, день шахтера, день города")</f>
        <v>День победы, день шахтера, день города</v>
      </c>
      <c r="S1203" s="6" t="str">
        <f>IFERROR(__xludf.DUMMYFUNCTION("""COMPUTED_VALUE"""),"Нет, не приходилось")</f>
        <v>Нет, не приходилось</v>
      </c>
      <c r="T1203" s="6" t="str">
        <f>IFERROR(__xludf.DUMMYFUNCTION("""COMPUTED_VALUE"""),"Парк Ангелов, музей,, Красная горка,, ")</f>
        <v>Парк Ангелов, музей,, Красная горка,, </v>
      </c>
      <c r="U1203" s="6" t="str">
        <f>IFERROR(__xludf.DUMMYFUNCTION("""COMPUTED_VALUE"""),"Фонтан, парк Ангелов, бульвар Строителей")</f>
        <v>Фонтан, парк Ангелов, бульвар Строителей</v>
      </c>
      <c r="V1203" s="6" t="str">
        <f>IFERROR(__xludf.DUMMYFUNCTION("""COMPUTED_VALUE"""),"Озеленение города, создание музеев и театров, архитектурные объекты")</f>
        <v>Озеленение города, создание музеев и театров, архитектурные объекты</v>
      </c>
      <c r="W1203" s="6" t="str">
        <f>IFERROR(__xludf.DUMMYFUNCTION("""COMPUTED_VALUE"""),"Отзывчивые, вежливые, ")</f>
        <v>Отзывчивые, вежливые, </v>
      </c>
      <c r="X1203" s="6" t="str">
        <f>IFERROR(__xludf.DUMMYFUNCTION("""COMPUTED_VALUE"""),"Парк Чулес, парк Ангелов ")</f>
        <v>Парк Чулес, парк Ангелов </v>
      </c>
      <c r="Y1203" s="6" t="str">
        <f>IFERROR(__xludf.DUMMYFUNCTION("""COMPUTED_VALUE"""),"Затрудняюсь ответить")</f>
        <v>Затрудняюсь ответить</v>
      </c>
      <c r="Z1203" s="6" t="str">
        <f>IFERROR(__xludf.DUMMYFUNCTION("""COMPUTED_VALUE"""),"Салют")</f>
        <v>Салют</v>
      </c>
      <c r="AA1203" s="6" t="str">
        <f>IFERROR(__xludf.DUMMYFUNCTION("""COMPUTED_VALUE"""),"Отмена шествия,, Бессмертный полк,, на 9 мая")</f>
        <v>Отмена шествия,, Бессмертный полк,, на 9 мая</v>
      </c>
      <c r="AB1203" s="6" t="str">
        <f>IFERROR(__xludf.DUMMYFUNCTION("""COMPUTED_VALUE"""),"Все хватает")</f>
        <v>Все хватает</v>
      </c>
      <c r="AC1203" s="6" t="str">
        <f>IFERROR(__xludf.DUMMYFUNCTION("""COMPUTED_VALUE"""),"Затрудеяюсь ответить")</f>
        <v>Затрудеяюсь ответить</v>
      </c>
      <c r="AD120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203" s="6" t="str">
        <f>IFERROR(__xludf.DUMMYFUNCTION("""COMPUTED_VALUE"""),"Женский")</f>
        <v>Женский</v>
      </c>
      <c r="AF1203" s="6" t="str">
        <f>IFERROR(__xludf.DUMMYFUNCTION("""COMPUTED_VALUE"""),"45-55")</f>
        <v>45-55</v>
      </c>
      <c r="AG1203" s="6"/>
      <c r="AH1203" s="6"/>
      <c r="AI1203" s="6"/>
      <c r="AJ1203" s="6"/>
      <c r="AK1203" s="6"/>
      <c r="AL1203" s="6"/>
      <c r="AM1203" s="6"/>
    </row>
    <row r="1204">
      <c r="A1204" s="6">
        <v>1203.0</v>
      </c>
      <c r="B1204" s="6" t="str">
        <f>IFERROR(__xludf.DUMMYFUNCTION("""COMPUTED_VALUE"""),"Учусь")</f>
        <v>Учусь</v>
      </c>
      <c r="C1204" s="6" t="str">
        <f>IFERROR(__xludf.DUMMYFUNCTION("""COMPUTED_VALUE"""),"-")</f>
        <v>-</v>
      </c>
      <c r="D1204" s="6" t="str">
        <f>IFERROR(__xludf.DUMMYFUNCTION("""COMPUTED_VALUE"""),"ленинский")</f>
        <v>ленинский</v>
      </c>
      <c r="E1204" s="6" t="str">
        <f>IFERROR(__xludf.DUMMYFUNCTION("""COMPUTED_VALUE"""),"скейт-парк")</f>
        <v>скейт-парк</v>
      </c>
      <c r="F1204" s="6" t="str">
        <f>IFERROR(__xludf.DUMMYFUNCTION("""COMPUTED_VALUE"""),"Живу здесь с рождения")</f>
        <v>Живу здесь с рождения</v>
      </c>
      <c r="G1204" s="6" t="str">
        <f>IFERROR(__xludf.DUMMYFUNCTION("""COMPUTED_VALUE"""),"скейт-парк")</f>
        <v>скейт-парк</v>
      </c>
      <c r="H1204" s="6" t="str">
        <f>IFERROR(__xludf.DUMMYFUNCTION("""COMPUTED_VALUE"""),"-")</f>
        <v>-</v>
      </c>
      <c r="I1204" s="6" t="str">
        <f>IFERROR(__xludf.DUMMYFUNCTION("""COMPUTED_VALUE"""),"-")</f>
        <v>-</v>
      </c>
      <c r="J1204" s="6" t="str">
        <f>IFERROR(__xludf.DUMMYFUNCTION("""COMPUTED_VALUE"""),"-")</f>
        <v>-</v>
      </c>
      <c r="K1204" s="6" t="str">
        <f>IFERROR(__xludf.DUMMYFUNCTION("""COMPUTED_VALUE"""),"Бульвар строителей ")</f>
        <v>Бульвар строителей </v>
      </c>
      <c r="L1204" s="6" t="str">
        <f>IFERROR(__xludf.DUMMYFUNCTION("""COMPUTED_VALUE"""),"оп оп что-то там кемерово класс")</f>
        <v>оп оп что-то там кемерово класс</v>
      </c>
      <c r="M1204" s="6" t="str">
        <f>IFERROR(__xludf.DUMMYFUNCTION("""COMPUTED_VALUE"""),"да")</f>
        <v>да</v>
      </c>
      <c r="N1204" s="6" t="str">
        <f>IFERROR(__xludf.DUMMYFUNCTION("""COMPUTED_VALUE"""),"есть скейт-парк есть скейт-парк есть скейт-парк есть скейт-парк есть скейт-парк есть скейт-парк")</f>
        <v>есть скейт-парк есть скейт-парк есть скейт-парк есть скейт-парк есть скейт-парк есть скейт-парк</v>
      </c>
      <c r="O1204" s="6" t="str">
        <f>IFERROR(__xludf.DUMMYFUNCTION("""COMPUTED_VALUE"""),"количество скейт-парков")</f>
        <v>количество скейт-парков</v>
      </c>
      <c r="P1204" s="6" t="str">
        <f>IFERROR(__xludf.DUMMYFUNCTION("""COMPUTED_VALUE"""),"гуляю")</f>
        <v>гуляю</v>
      </c>
      <c r="Q1204" s="6" t="str">
        <f>IFERROR(__xludf.DUMMYFUNCTION("""COMPUTED_VALUE"""),"куда пойти в свободное время, где вкусно поесть/открытие новых кафе/ресторанов, создание новых скейт-парков")</f>
        <v>куда пойти в свободное время, где вкусно поесть/открытие новых кафе/ресторанов, создание новых скейт-парков</v>
      </c>
      <c r="R1204" s="6" t="str">
        <f>IFERROR(__xludf.DUMMYFUNCTION("""COMPUTED_VALUE"""),"создание есть скейт-парков")</f>
        <v>создание есть скейт-парков</v>
      </c>
      <c r="S1204" s="6" t="str">
        <f>IFERROR(__xludf.DUMMYFUNCTION("""COMPUTED_VALUE"""),"Нет, не приходилось")</f>
        <v>Нет, не приходилось</v>
      </c>
      <c r="T1204" s="6" t="str">
        <f>IFERROR(__xludf.DUMMYFUNCTION("""COMPUTED_VALUE"""),"самокатерами")</f>
        <v>самокатерами</v>
      </c>
      <c r="U1204" s="6" t="str">
        <f>IFERROR(__xludf.DUMMYFUNCTION("""COMPUTED_VALUE"""),"скейт-парк")</f>
        <v>скейт-парк</v>
      </c>
      <c r="V1204" s="6" t="str">
        <f>IFERROR(__xludf.DUMMYFUNCTION("""COMPUTED_VALUE"""),"создали скейт-парк")</f>
        <v>создали скейт-парк</v>
      </c>
      <c r="W1204" s="6" t="str">
        <f>IFERROR(__xludf.DUMMYFUNCTION("""COMPUTED_VALUE"""),"крутые, добрые, есть злые")</f>
        <v>крутые, добрые, есть злые</v>
      </c>
      <c r="X1204" s="6" t="str">
        <f>IFERROR(__xludf.DUMMYFUNCTION("""COMPUTED_VALUE"""),"по Бульвару Строителей")</f>
        <v>по Бульвару Строителей</v>
      </c>
      <c r="Y1204" s="6" t="str">
        <f>IFERROR(__xludf.DUMMYFUNCTION("""COMPUTED_VALUE"""),"-")</f>
        <v>-</v>
      </c>
      <c r="Z1204" s="6" t="str">
        <f>IFERROR(__xludf.DUMMYFUNCTION("""COMPUTED_VALUE"""),"-")</f>
        <v>-</v>
      </c>
      <c r="AA1204" s="6" t="str">
        <f>IFERROR(__xludf.DUMMYFUNCTION("""COMPUTED_VALUE"""),"-")</f>
        <v>-</v>
      </c>
      <c r="AB1204" s="6" t="str">
        <f>IFERROR(__xludf.DUMMYFUNCTION("""COMPUTED_VALUE"""),"-")</f>
        <v>-</v>
      </c>
      <c r="AC1204" s="6" t="str">
        <f>IFERROR(__xludf.DUMMYFUNCTION("""COMPUTED_VALUE"""),"строительство скейт-парков ")</f>
        <v>строительство скейт-парков </v>
      </c>
      <c r="AD1204"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204" s="6" t="str">
        <f>IFERROR(__xludf.DUMMYFUNCTION("""COMPUTED_VALUE"""),"Мужской")</f>
        <v>Мужской</v>
      </c>
      <c r="AF1204" s="6" t="str">
        <f>IFERROR(__xludf.DUMMYFUNCTION("""COMPUTED_VALUE"""),"18-29")</f>
        <v>18-29</v>
      </c>
      <c r="AG1204" s="6"/>
      <c r="AH1204" s="6"/>
      <c r="AI1204" s="6"/>
      <c r="AJ1204" s="6"/>
      <c r="AK1204" s="6"/>
      <c r="AL1204" s="6"/>
      <c r="AM1204" s="6"/>
    </row>
    <row r="1205">
      <c r="A1205" s="6">
        <v>1204.0</v>
      </c>
      <c r="B1205" s="6" t="str">
        <f>IFERROR(__xludf.DUMMYFUNCTION("""COMPUTED_VALUE"""),"Ученик ")</f>
        <v>Ученик </v>
      </c>
      <c r="C1205" s="6" t="str">
        <f>IFERROR(__xludf.DUMMYFUNCTION("""COMPUTED_VALUE"""),"Маникюр ")</f>
        <v>Маникюр </v>
      </c>
      <c r="D1205" s="6" t="str">
        <f>IFERROR(__xludf.DUMMYFUNCTION("""COMPUTED_VALUE"""),"Заводский (южный) ")</f>
        <v>Заводский (южный) </v>
      </c>
      <c r="E1205" s="6" t="str">
        <f>IFERROR(__xludf.DUMMYFUNCTION("""COMPUTED_VALUE"""),"Сквер и аллея ")</f>
        <v>Сквер и аллея </v>
      </c>
      <c r="F1205" s="6" t="str">
        <f>IFERROR(__xludf.DUMMYFUNCTION("""COMPUTED_VALUE"""),"Живу здесь с рождения")</f>
        <v>Живу здесь с рождения</v>
      </c>
      <c r="G1205" s="6" t="str">
        <f>IFERROR(__xludf.DUMMYFUNCTION("""COMPUTED_VALUE"""),"Гуляю в парках ")</f>
        <v>Гуляю в парках </v>
      </c>
      <c r="H1205" s="6" t="str">
        <f>IFERROR(__xludf.DUMMYFUNCTION("""COMPUTED_VALUE"""),"История, дома, заводы, грязь (к сожалению), парки ")</f>
        <v>История, дома, заводы, грязь (к сожалению), парки </v>
      </c>
      <c r="I1205" s="6" t="str">
        <f>IFERROR(__xludf.DUMMYFUNCTION("""COMPUTED_VALUE"""),"Вера Волошина")</f>
        <v>Вера Волошина</v>
      </c>
      <c r="J1205" s="6" t="str">
        <f>IFERROR(__xludf.DUMMYFUNCTION("""COMPUTED_VALUE"""),"-")</f>
        <v>-</v>
      </c>
      <c r="K1205" s="6" t="str">
        <f>IFERROR(__xludf.DUMMYFUNCTION("""COMPUTED_VALUE"""),"Парки, притомский и драмтеатр")</f>
        <v>Парки, притомский и драмтеатр</v>
      </c>
      <c r="L1205" s="6" t="str">
        <f>IFERROR(__xludf.DUMMYFUNCTION("""COMPUTED_VALUE"""),"-")</f>
        <v>-</v>
      </c>
      <c r="M1205" s="6" t="str">
        <f>IFERROR(__xludf.DUMMYFUNCTION("""COMPUTED_VALUE"""),"-")</f>
        <v>-</v>
      </c>
      <c r="N1205" s="6" t="str">
        <f>IFERROR(__xludf.DUMMYFUNCTION("""COMPUTED_VALUE"""),"Чистота, свежий воздух, большое количество досуговых мероприятий для детей и их родителей, большое количество парков, наличие рабочих мест ")</f>
        <v>Чистота, свежий воздух, большое количество досуговых мероприятий для детей и их родителей, большое количество парков, наличие рабочих мест </v>
      </c>
      <c r="O1205" s="6" t="str">
        <f>IFERROR(__xludf.DUMMYFUNCTION("""COMPUTED_VALUE"""),"Отомстить улицы от мусора и выбросов ")</f>
        <v>Отомстить улицы от мусора и выбросов </v>
      </c>
      <c r="P1205" s="6" t="str">
        <f>IFERROR(__xludf.DUMMYFUNCTION("""COMPUTED_VALUE"""),"Инстаграм, ВКонтакте, СибДепо и другие новостные каналы ")</f>
        <v>Инстаграм, ВКонтакте, СибДепо и другие новостные каналы </v>
      </c>
      <c r="Q1205" s="6" t="str">
        <f>IFERROR(__xludf.DUMMYFUNCTION("""COMPUTED_VALUE"""),"куда пойти в свободное время, где вкусно поесть/открытие новых кафе/ресторанов, новости про новые профессии/куда поступать/вакансии")</f>
        <v>куда пойти в свободное время, где вкусно поесть/открытие новых кафе/ресторанов, новости про новые профессии/куда поступать/вакансии</v>
      </c>
      <c r="R1205" s="6" t="str">
        <f>IFERROR(__xludf.DUMMYFUNCTION("""COMPUTED_VALUE"""),"День города ")</f>
        <v>День города </v>
      </c>
      <c r="S1205" s="6" t="str">
        <f>IFERROR(__xludf.DUMMYFUNCTION("""COMPUTED_VALUE"""),"Нет, не приходилось")</f>
        <v>Нет, не приходилось</v>
      </c>
      <c r="T1205" s="6" t="str">
        <f>IFERROR(__xludf.DUMMYFUNCTION("""COMPUTED_VALUE"""),"Добыча и открытие угля ")</f>
        <v>Добыча и открытие угля </v>
      </c>
      <c r="U1205" s="6" t="str">
        <f>IFERROR(__xludf.DUMMYFUNCTION("""COMPUTED_VALUE"""),"Площадь советов ")</f>
        <v>Площадь советов </v>
      </c>
      <c r="V1205" s="6" t="str">
        <f>IFERROR(__xludf.DUMMYFUNCTION("""COMPUTED_VALUE"""),"Добыча угля ")</f>
        <v>Добыча угля </v>
      </c>
      <c r="W1205" s="6" t="str">
        <f>IFERROR(__xludf.DUMMYFUNCTION("""COMPUTED_VALUE"""),"Злые, угрюмые, сердитые, серьёзные ")</f>
        <v>Злые, угрюмые, сердитые, серьёзные </v>
      </c>
      <c r="X1205" s="6" t="str">
        <f>IFERROR(__xludf.DUMMYFUNCTION("""COMPUTED_VALUE"""),"Набережнная")</f>
        <v>Набережнная</v>
      </c>
      <c r="Y1205" s="6" t="str">
        <f>IFERROR(__xludf.DUMMYFUNCTION("""COMPUTED_VALUE"""),"Пожар в ЗВ и открытие ""Парка Ангелов"" ")</f>
        <v>Пожар в ЗВ и открытие "Парка Ангелов" </v>
      </c>
      <c r="Z1205" s="6" t="str">
        <f>IFERROR(__xludf.DUMMYFUNCTION("""COMPUTED_VALUE"""),"Дни города ")</f>
        <v>Дни города </v>
      </c>
      <c r="AA1205" s="6" t="str">
        <f>IFERROR(__xludf.DUMMYFUNCTION("""COMPUTED_VALUE"""),"Выбросы и туман пл всему городу ")</f>
        <v>Выбросы и туман пл всему городу </v>
      </c>
      <c r="AB1205" s="6" t="str">
        <f>IFERROR(__xludf.DUMMYFUNCTION("""COMPUTED_VALUE"""),"Волонтерских, творческих ")</f>
        <v>Волонтерских, творческих </v>
      </c>
      <c r="AC1205" s="6" t="str">
        <f>IFERROR(__xludf.DUMMYFUNCTION("""COMPUTED_VALUE"""),"Дискотеки, квесты")</f>
        <v>Дискотеки, квесты</v>
      </c>
      <c r="AD120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205" s="6" t="str">
        <f>IFERROR(__xludf.DUMMYFUNCTION("""COMPUTED_VALUE"""),"Женский")</f>
        <v>Женский</v>
      </c>
      <c r="AF1205" s="6" t="str">
        <f>IFERROR(__xludf.DUMMYFUNCTION("""COMPUTED_VALUE"""),"18-29")</f>
        <v>18-29</v>
      </c>
      <c r="AG1205" s="6"/>
      <c r="AH1205" s="6"/>
      <c r="AI1205" s="6"/>
      <c r="AJ1205" s="6"/>
      <c r="AK1205" s="6"/>
      <c r="AL1205" s="6"/>
      <c r="AM1205" s="6"/>
    </row>
    <row r="1206">
      <c r="A1206" s="6">
        <v>1205.0</v>
      </c>
      <c r="B1206" s="6" t="str">
        <f>IFERROR(__xludf.DUMMYFUNCTION("""COMPUTED_VALUE"""),"работаю на декрет должн, управляющий гостиницей")</f>
        <v>работаю на декрет должн, управляющий гостиницей</v>
      </c>
      <c r="C1206" s="6" t="str">
        <f>IFERROR(__xludf.DUMMYFUNCTION("""COMPUTED_VALUE"""),"фитнес-аэробика, тренер")</f>
        <v>фитнес-аэробика, тренер</v>
      </c>
      <c r="D1206" s="6" t="str">
        <f>IFERROR(__xludf.DUMMYFUNCTION("""COMPUTED_VALUE"""),"Ленинский район")</f>
        <v>Ленинский район</v>
      </c>
      <c r="E1206" s="6" t="str">
        <f>IFERROR(__xludf.DUMMYFUNCTION("""COMPUTED_VALUE"""),"Линейный парк на бульваре Строителей")</f>
        <v>Линейный парк на бульваре Строителей</v>
      </c>
      <c r="F1206" s="6" t="str">
        <f>IFERROR(__xludf.DUMMYFUNCTION("""COMPUTED_VALUE"""),"Живу здесь с рождения")</f>
        <v>Живу здесь с рождения</v>
      </c>
      <c r="G1206" s="6" t="str">
        <f>IFERROR(__xludf.DUMMYFUNCTION("""COMPUTED_VALUE"""),"в Елыкаево на речку, Томская Писанница")</f>
        <v>в Елыкаево на речку, Томская Писанница</v>
      </c>
      <c r="H1206" s="6" t="str">
        <f>IFERROR(__xludf.DUMMYFUNCTION("""COMPUTED_VALUE"""),"уголь, Томь, химия, шахты, Тулеев")</f>
        <v>уголь, Томь, химия, шахты, Тулеев</v>
      </c>
      <c r="I1206" s="6" t="str">
        <f>IFERROR(__xludf.DUMMYFUNCTION("""COMPUTED_VALUE"""),"Леонов, В.Волошина, Тулеев, Панин и Бабенко актеры, Гришковец")</f>
        <v>Леонов, В.Волошина, Тулеев, Панин и Бабенко актеры, Гришковец</v>
      </c>
      <c r="J1206" s="6" t="str">
        <f>IFERROR(__xludf.DUMMYFUNCTION("""COMPUTED_VALUE"""),"Тулеев А., Гришковец")</f>
        <v>Тулеев А., Гришковец</v>
      </c>
      <c r="K1206" s="6" t="str">
        <f>IFERROR(__xludf.DUMMYFUNCTION("""COMPUTED_VALUE"""),"Красная горка, бульвар Строителей, Томская Писанница")</f>
        <v>Красная горка, бульвар Строителей, Томская Писанница</v>
      </c>
      <c r="L1206" s="6" t="str">
        <f>IFERROR(__xludf.DUMMYFUNCTION("""COMPUTED_VALUE"""),"не знаю")</f>
        <v>не знаю</v>
      </c>
      <c r="M1206" s="6" t="str">
        <f>IFERROR(__xludf.DUMMYFUNCTION("""COMPUTED_VALUE"""),"в городе Кемерово - Кемерово не склоняется (всегда так было)")</f>
        <v>в городе Кемерово - Кемерово не склоняется (всегда так было)</v>
      </c>
      <c r="N1206" s="6" t="str">
        <f>IFERROR(__xludf.DUMMYFUNCTION("""COMPUTED_VALUE"""),"не плохие дороги, правда не везде")</f>
        <v>не плохие дороги, правда не везде</v>
      </c>
      <c r="O1206" s="6" t="str">
        <f>IFERROR(__xludf.DUMMYFUNCTION("""COMPUTED_VALUE"""),"больше парков, игровых зон БЕСПЛАТНЫХ! Деревьев посадить больше! ")</f>
        <v>больше парков, игровых зон БЕСПЛАТНЫХ! Деревьев посадить больше! </v>
      </c>
      <c r="P1206" s="6" t="str">
        <f>IFERROR(__xludf.DUMMYFUNCTION("""COMPUTED_VALUE"""),"интернет, поисковик яндекс")</f>
        <v>интернет, поисковик яндекс</v>
      </c>
      <c r="Q1206" s="6" t="str">
        <f>IFERROR(__xludf.DUMMYFUNCTION("""COMPUTED_VALUE"""),"куда пойти в свободное время, городская афиша (кино/театр/концерты), спортивные мероприятия")</f>
        <v>куда пойти в свободное время, городская афиша (кино/театр/концерты), спортивные мероприятия</v>
      </c>
      <c r="R1206" s="6" t="str">
        <f>IFERROR(__xludf.DUMMYFUNCTION("""COMPUTED_VALUE"""),"День Пограничника, Новый год, 9 мая")</f>
        <v>День Пограничника, Новый год, 9 мая</v>
      </c>
      <c r="S1206"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организовывала спортивные мероприятия")</f>
        <v>Писал и расклеивал объявления/афиши, Через социальные сети (Какие? Укажите в графе другое), Делал рассылку по электронной почте, организовывала спортивные мероприятия</v>
      </c>
      <c r="T1206" s="6" t="str">
        <f>IFERROR(__xludf.DUMMYFUNCTION("""COMPUTED_VALUE"""),"Уголь, Тулеев, история создания города и Кузбасса. Очень любила передачи с Сухацким, жалко, что сейчас не показывают. Я бы детям в школе их показывала.")</f>
        <v>Уголь, Тулеев, история создания города и Кузбасса. Очень любила передачи с Сухацким, жалко, что сейчас не показывают. Я бы детям в школе их показывала.</v>
      </c>
      <c r="U1206" s="6" t="str">
        <f>IFERROR(__xludf.DUMMYFUNCTION("""COMPUTED_VALUE"""),"Лапландия, площадь Советов")</f>
        <v>Лапландия, площадь Советов</v>
      </c>
      <c r="V1206" s="6" t="str">
        <f>IFERROR(__xludf.DUMMYFUNCTION("""COMPUTED_VALUE"""),"Леонов космонавт, Гришковец")</f>
        <v>Леонов космонавт, Гришковец</v>
      </c>
      <c r="W1206" s="6" t="str">
        <f>IFERROR(__xludf.DUMMYFUNCTION("""COMPUTED_VALUE"""),"Гостеприимные, дружелюбные, энергичные и позитивные")</f>
        <v>Гостеприимные, дружелюбные, энергичные и позитивные</v>
      </c>
      <c r="X1206" s="6" t="str">
        <f>IFERROR(__xludf.DUMMYFUNCTION("""COMPUTED_VALUE"""),"Томская Писанница и Красная горка")</f>
        <v>Томская Писанница и Красная горка</v>
      </c>
      <c r="Y1206" s="6" t="str">
        <f>IFERROR(__xludf.DUMMYFUNCTION("""COMPUTED_VALUE"""),"Когда вместо Щегловска появился город Кемерово, строительство Цирка")</f>
        <v>Когда вместо Щегловска появился город Кемерово, строительство Цирка</v>
      </c>
      <c r="Z1206" s="6" t="str">
        <f>IFERROR(__xludf.DUMMYFUNCTION("""COMPUTED_VALUE"""),"спортивно-массовые праздники в 2019 году, было круто, их не хватает")</f>
        <v>спортивно-массовые праздники в 2019 году, было круто, их не хватает</v>
      </c>
      <c r="AA1206" s="6" t="str">
        <f>IFERROR(__xludf.DUMMYFUNCTION("""COMPUTED_VALUE"""),"митинги, когда их разгоняют, поведение полицейских -ужасное, в форме и курят. ")</f>
        <v>митинги, когда их разгоняют, поведение полицейских -ужасное, в форме и курят. </v>
      </c>
      <c r="AB1206" s="6" t="str">
        <f>IFERROR(__xludf.DUMMYFUNCTION("""COMPUTED_VALUE"""),"активных горожан с их идеями и требованиями по благоустройству, созданию комфортной жизни - не хватает. Нас старше 45 лет убрали от всюду, с чем не согласна, у меня 5 дипломов и я не могу найти работу из-за возраста. Хотя я очень креативна, хороший органи"&amp;"затор, все время учусь. Молодые - это здорово, но жизненного и профессионального опыта у них нет. А это имеется как раз у нашего возраста. ")</f>
        <v>активных горожан с их идеями и требованиями по благоустройству, созданию комфортной жизни - не хватает. Нас старше 45 лет убрали от всюду, с чем не согласна, у меня 5 дипломов и я не могу найти работу из-за возраста. Хотя я очень креативна, хороший организатор, все время учусь. Молодые - это здорово, но жизненного и профессионального опыта у них нет. А это имеется как раз у нашего возраста. </v>
      </c>
      <c r="AC1206" s="6" t="str">
        <f>IFERROR(__xludf.DUMMYFUNCTION("""COMPUTED_VALUE"""),"Строительство объектов, учреждений, чтобы горожане могли получать достойную зарплату.")</f>
        <v>Строительство объектов, учреждений, чтобы горожане могли получать достойную зарплату.</v>
      </c>
      <c r="AD120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206" s="6" t="str">
        <f>IFERROR(__xludf.DUMMYFUNCTION("""COMPUTED_VALUE"""),"Женский")</f>
        <v>Женский</v>
      </c>
      <c r="AF1206" s="6" t="str">
        <f>IFERROR(__xludf.DUMMYFUNCTION("""COMPUTED_VALUE"""),"45-55")</f>
        <v>45-55</v>
      </c>
      <c r="AG1206" s="6"/>
      <c r="AH1206" s="6"/>
      <c r="AI1206" s="6"/>
      <c r="AJ1206" s="6"/>
      <c r="AK1206" s="6"/>
      <c r="AL1206" s="6"/>
      <c r="AM1206" s="6"/>
    </row>
    <row r="1207">
      <c r="A1207" s="6">
        <v>1206.0</v>
      </c>
      <c r="B1207" s="6" t="str">
        <f>IFERROR(__xludf.DUMMYFUNCTION("""COMPUTED_VALUE"""),"Поиск работы")</f>
        <v>Поиск работы</v>
      </c>
      <c r="C1207" s="6" t="str">
        <f>IFERROR(__xludf.DUMMYFUNCTION("""COMPUTED_VALUE"""),"Велосипед, фотография, сноуборд")</f>
        <v>Велосипед, фотография, сноуборд</v>
      </c>
      <c r="D1207" s="6" t="str">
        <f>IFERROR(__xludf.DUMMYFUNCTION("""COMPUTED_VALUE"""),"Центральный")</f>
        <v>Центральный</v>
      </c>
      <c r="E1207" s="6" t="str">
        <f>IFERROR(__xludf.DUMMYFUNCTION("""COMPUTED_VALUE"""),"Весенняя, набережная, площадь Пушкина, площадь Советов, бульвар Строителей, Кадетское училище")</f>
        <v>Весенняя, набережная, площадь Пушкина, площадь Советов, бульвар Строителей, Кадетское училище</v>
      </c>
      <c r="F1207" s="6" t="str">
        <f>IFERROR(__xludf.DUMMYFUNCTION("""COMPUTED_VALUE"""),"Переехал сюда из другого места (откуда? укажите в графе другое), Междуреченск в 2002 году")</f>
        <v>Переехал сюда из другого места (откуда? укажите в графе другое), Междуреченск в 2002 году</v>
      </c>
      <c r="G1207" s="6" t="str">
        <f>IFERROR(__xludf.DUMMYFUNCTION("""COMPUTED_VALUE"""),"Бор, бульвар Строителей, набережная, парк Антошка, весенняя, советский")</f>
        <v>Бор, бульвар Строителей, набережная, парк Антошка, весенняя, советский</v>
      </c>
      <c r="H1207" s="6" t="str">
        <f>IFERROR(__xludf.DUMMYFUNCTION("""COMPUTED_VALUE"""),"Химический,развивающийся, разный, растущий, заурядный")</f>
        <v>Химический,развивающийся, разный, растущий, заурядный</v>
      </c>
      <c r="I1207" s="6" t="str">
        <f>IFERROR(__xludf.DUMMYFUNCTION("""COMPUTED_VALUE"""),"Леонов, Мартемьянов")</f>
        <v>Леонов, Мартемьянов</v>
      </c>
      <c r="J1207" s="6" t="str">
        <f>IFERROR(__xludf.DUMMYFUNCTION("""COMPUTED_VALUE"""),"Гришковец")</f>
        <v>Гришковец</v>
      </c>
      <c r="K1207" s="6" t="str">
        <f>IFERROR(__xludf.DUMMYFUNCTION("""COMPUTED_VALUE"""),"Набережная, вечный огонь, весенняя, советский, площадь советов, бульвар Строителей, Лесная поляна")</f>
        <v>Набережная, вечный огонь, весенняя, советский, площадь советов, бульвар Строителей, Лесная поляна</v>
      </c>
      <c r="L1207" s="6" t="str">
        <f>IFERROR(__xludf.DUMMYFUNCTION("""COMPUTED_VALUE"""),"---")</f>
        <v>---</v>
      </c>
      <c r="M1207" s="6" t="str">
        <f>IFERROR(__xludf.DUMMYFUNCTION("""COMPUTED_VALUE"""),"---")</f>
        <v>---</v>
      </c>
      <c r="N1207" s="6" t="str">
        <f>IFERROR(__xludf.DUMMYFUNCTION("""COMPUTED_VALUE"""),"Экология, развитие, культура, спорт, труд")</f>
        <v>Экология, развитие, культура, спорт, труд</v>
      </c>
      <c r="O1207" s="6" t="str">
        <f>IFERROR(__xludf.DUMMYFUNCTION("""COMPUTED_VALUE"""),"экологическую обстановку")</f>
        <v>экологическую обстановку</v>
      </c>
      <c r="P1207" s="6" t="str">
        <f>IFERROR(__xludf.DUMMYFUNCTION("""COMPUTED_VALUE"""),"Телеграм")</f>
        <v>Телеграм</v>
      </c>
      <c r="Q1207" s="6" t="str">
        <f>IFERROR(__xludf.DUMMYFUNCTION("""COMPUTED_VALUE"""),"интервью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f>
        <v>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v>
      </c>
      <c r="R1207" s="6" t="str">
        <f>IFERROR(__xludf.DUMMYFUNCTION("""COMPUTED_VALUE"""),"День Шахтёра, День города, День Кузбасса")</f>
        <v>День Шахтёра, День города, День Кузбасса</v>
      </c>
      <c r="S1207" s="6" t="str">
        <f>IFERROR(__xludf.DUMMYFUNCTION("""COMPUTED_VALUE"""),"Нет, не приходилось")</f>
        <v>Нет, не приходилось</v>
      </c>
      <c r="T1207" s="6" t="str">
        <f>IFERROR(__xludf.DUMMYFUNCTION("""COMPUTED_VALUE"""),"История и потенциал!")</f>
        <v>История и потенциал!</v>
      </c>
      <c r="U1207" s="6" t="str">
        <f>IFERROR(__xludf.DUMMYFUNCTION("""COMPUTED_VALUE"""),"Весенняя и Советский (старый центр), Кемерово-Сити (новый центр)")</f>
        <v>Весенняя и Советский (старый центр), Кемерово-Сити (новый центр)</v>
      </c>
      <c r="V1207" s="6" t="str">
        <f>IFERROR(__xludf.DUMMYFUNCTION("""COMPUTED_VALUE"""),"Трудились не покладая рук")</f>
        <v>Трудились не покладая рук</v>
      </c>
      <c r="W1207" s="6" t="str">
        <f>IFERROR(__xludf.DUMMYFUNCTION("""COMPUTED_VALUE"""),"вежливые, подозрительные")</f>
        <v>вежливые, подозрительные</v>
      </c>
      <c r="X1207" s="6" t="str">
        <f>IFERROR(__xludf.DUMMYFUNCTION("""COMPUTED_VALUE"""),"Набережная, вечный огонь, весенняя, советский, площадь советов, бульвар Строителей, Лесная поляна")</f>
        <v>Набережная, вечный огонь, весенняя, советский, площадь советов, бульвар Строителей, Лесная поляна</v>
      </c>
      <c r="Y1207" s="6" t="str">
        <f>IFERROR(__xludf.DUMMYFUNCTION("""COMPUTED_VALUE"""),"Создание Кузбасса!")</f>
        <v>Создание Кузбасса!</v>
      </c>
      <c r="Z1207" s="6" t="str">
        <f>IFERROR(__xludf.DUMMYFUNCTION("""COMPUTED_VALUE"""),"начало перемен")</f>
        <v>начало перемен</v>
      </c>
      <c r="AA1207" s="6" t="str">
        <f>IFERROR(__xludf.DUMMYFUNCTION("""COMPUTED_VALUE"""),"шахта Лапичевская")</f>
        <v>шахта Лапичевская</v>
      </c>
      <c r="AB1207" s="6" t="str">
        <f>IFERROR(__xludf.DUMMYFUNCTION("""COMPUTED_VALUE"""),"Культурных (опера)")</f>
        <v>Культурных (опера)</v>
      </c>
      <c r="AC1207" s="6" t="str">
        <f>IFERROR(__xludf.DUMMYFUNCTION("""COMPUTED_VALUE"""),"Бизнес встречи, тренинги, спортивные массовые мероприятия")</f>
        <v>Бизнес встречи, тренинги, спортивные массовые мероприятия</v>
      </c>
      <c r="AD1207" s="6" t="str">
        <f>IFERROR(__xludf.DUMMYFUNCTION("""COMPUTED_VALUE"""),"Профессионала. Обучать, проводить занятия, мастер-классы, лекции, тренинги, оказать консультацию (укажите тему в поле ""Другое""), широкий спектр тем")</f>
        <v>Профессионала. Обучать, проводить занятия, мастер-классы, лекции, тренинги, оказать консультацию (укажите тему в поле "Другое"), широкий спектр тем</v>
      </c>
      <c r="AE1207" s="6" t="str">
        <f>IFERROR(__xludf.DUMMYFUNCTION("""COMPUTED_VALUE"""),"Мужской")</f>
        <v>Мужской</v>
      </c>
      <c r="AF1207" s="6" t="str">
        <f>IFERROR(__xludf.DUMMYFUNCTION("""COMPUTED_VALUE"""),"30-44")</f>
        <v>30-44</v>
      </c>
      <c r="AG1207" s="6"/>
      <c r="AH1207" s="6"/>
      <c r="AI1207" s="6"/>
      <c r="AJ1207" s="6"/>
      <c r="AK1207" s="6"/>
      <c r="AL1207" s="6"/>
      <c r="AM1207" s="6"/>
    </row>
    <row r="1208">
      <c r="A1208" s="6">
        <v>1207.0</v>
      </c>
      <c r="B1208" s="6" t="str">
        <f>IFERROR(__xludf.DUMMYFUNCTION("""COMPUTED_VALUE"""),"Дворник ")</f>
        <v>Дворник </v>
      </c>
      <c r="C1208" s="6" t="str">
        <f>IFERROR(__xludf.DUMMYFUNCTION("""COMPUTED_VALUE"""),"Рыбалка")</f>
        <v>Рыбалка</v>
      </c>
      <c r="D1208" s="6" t="str">
        <f>IFERROR(__xludf.DUMMYFUNCTION("""COMPUTED_VALUE"""),"Андреевка.  Хорошо ")</f>
        <v>Андреевка.  Хорошо </v>
      </c>
      <c r="E1208" s="6" t="str">
        <f>IFERROR(__xludf.DUMMYFUNCTION("""COMPUTED_VALUE"""),"Лес, пруды")</f>
        <v>Лес, пруды</v>
      </c>
      <c r="F1208" s="6" t="str">
        <f>IFERROR(__xludf.DUMMYFUNCTION("""COMPUTED_VALUE"""),"Живу здесь с рождения")</f>
        <v>Живу здесь с рождения</v>
      </c>
      <c r="G1208" s="6" t="str">
        <f>IFERROR(__xludf.DUMMYFUNCTION("""COMPUTED_VALUE"""),"Горсад")</f>
        <v>Горсад</v>
      </c>
      <c r="H1208" s="6" t="str">
        <f>IFERROR(__xludf.DUMMYFUNCTION("""COMPUTED_VALUE"""),"Чистота, гостеприимство, красота, уют, благоустройство")</f>
        <v>Чистота, гостеприимство, красота, уют, благоустройство</v>
      </c>
      <c r="I1208" s="6" t="str">
        <f>IFERROR(__xludf.DUMMYFUNCTION("""COMPUTED_VALUE"""),"Татьяна, Михаил ")</f>
        <v>Татьяна, Михаил </v>
      </c>
      <c r="J1208" s="6" t="str">
        <f>IFERROR(__xludf.DUMMYFUNCTION("""COMPUTED_VALUE"""),"Аман")</f>
        <v>Аман</v>
      </c>
      <c r="K1208" s="6" t="str">
        <f>IFERROR(__xludf.DUMMYFUNCTION("""COMPUTED_VALUE"""),"Шахтёр, Парк победы ")</f>
        <v>Шахтёр, Парк победы </v>
      </c>
      <c r="L1208" s="6" t="str">
        <f>IFERROR(__xludf.DUMMYFUNCTION("""COMPUTED_VALUE"""),"Незнаю")</f>
        <v>Незнаю</v>
      </c>
      <c r="M1208" s="6" t="str">
        <f>IFERROR(__xludf.DUMMYFUNCTION("""COMPUTED_VALUE"""),"Колба")</f>
        <v>Колба</v>
      </c>
      <c r="N1208" s="6" t="str">
        <f>IFERROR(__xludf.DUMMYFUNCTION("""COMPUTED_VALUE"""),"Чистота, уют, красота, ")</f>
        <v>Чистота, уют, красота, </v>
      </c>
      <c r="O1208" s="6" t="str">
        <f>IFERROR(__xludf.DUMMYFUNCTION("""COMPUTED_VALUE"""),"Чистка прудов и рек, подъем сельского хозяйства")</f>
        <v>Чистка прудов и рек, подъем сельского хозяйства</v>
      </c>
      <c r="P1208" s="6" t="str">
        <f>IFERROR(__xludf.DUMMYFUNCTION("""COMPUTED_VALUE"""),"Одноклассники, контакт")</f>
        <v>Одноклассники, контакт</v>
      </c>
      <c r="Q1208" s="6" t="str">
        <f>IFERROR(__xludf.DUMMYFUNCTION("""COMPUTED_VALUE"""),"куда пойти в свободное время, криминальные новости (происшествия/преступления), результаты местных исследований (рейтинги/аналитика/тенденции)")</f>
        <v>куда пойти в свободное время, криминальные новости (происшествия/преступления), результаты местных исследований (рейтинги/аналитика/тенденции)</v>
      </c>
      <c r="R1208" s="6" t="str">
        <f>IFERROR(__xludf.DUMMYFUNCTION("""COMPUTED_VALUE"""),"День города, день шахтера")</f>
        <v>День города, день шахтера</v>
      </c>
      <c r="S1208" s="6" t="str">
        <f>IFERROR(__xludf.DUMMYFUNCTION("""COMPUTED_VALUE"""),"Нет, не приходилось")</f>
        <v>Нет, не приходилось</v>
      </c>
      <c r="T1208" s="6" t="str">
        <f>IFERROR(__xludf.DUMMYFUNCTION("""COMPUTED_VALUE"""),"Уголь, шахты, музеи")</f>
        <v>Уголь, шахты, музеи</v>
      </c>
      <c r="U1208" s="6" t="str">
        <f>IFERROR(__xludf.DUMMYFUNCTION("""COMPUTED_VALUE"""),"Шахты")</f>
        <v>Шахты</v>
      </c>
      <c r="V1208" s="6" t="str">
        <f>IFERROR(__xludf.DUMMYFUNCTION("""COMPUTED_VALUE"""),"Добыча угля, обогащение угля")</f>
        <v>Добыча угля, обогащение угля</v>
      </c>
      <c r="W1208" s="6" t="str">
        <f>IFERROR(__xludf.DUMMYFUNCTION("""COMPUTED_VALUE"""),"Добрые ")</f>
        <v>Добрые </v>
      </c>
      <c r="X1208" s="6" t="str">
        <f>IFERROR(__xludf.DUMMYFUNCTION("""COMPUTED_VALUE"""),"Ленина- вокзал- горсад ")</f>
        <v>Ленина- вокзал- горсад </v>
      </c>
      <c r="Y1208" s="6" t="str">
        <f>IFERROR(__xludf.DUMMYFUNCTION("""COMPUTED_VALUE"""),"Развитие угольной промышленности ")</f>
        <v>Развитие угольной промышленности </v>
      </c>
      <c r="Z1208" s="6" t="str">
        <f>IFERROR(__xludf.DUMMYFUNCTION("""COMPUTED_VALUE"""),"Ремонт дорог, стройка школ и детских садов")</f>
        <v>Ремонт дорог, стройка школ и детских садов</v>
      </c>
      <c r="AA1208" s="6" t="str">
        <f>IFERROR(__xludf.DUMMYFUNCTION("""COMPUTED_VALUE"""),"Закрытие школ и детских садов в сельских населённых пунктах")</f>
        <v>Закрытие школ и детских садов в сельских населённых пунктах</v>
      </c>
      <c r="AB1208" s="6" t="str">
        <f>IFERROR(__xludf.DUMMYFUNCTION("""COMPUTED_VALUE"""),"Все хватает")</f>
        <v>Все хватает</v>
      </c>
      <c r="AC1208" s="6" t="str">
        <f>IFERROR(__xludf.DUMMYFUNCTION("""COMPUTED_VALUE"""),"Культурных и спортивных мероприятий ")</f>
        <v>Культурных и спортивных мероприятий </v>
      </c>
      <c r="AD120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08" s="6" t="str">
        <f>IFERROR(__xludf.DUMMYFUNCTION("""COMPUTED_VALUE"""),"Мужской")</f>
        <v>Мужской</v>
      </c>
      <c r="AF1208" s="6" t="str">
        <f>IFERROR(__xludf.DUMMYFUNCTION("""COMPUTED_VALUE"""),"30-44")</f>
        <v>30-44</v>
      </c>
      <c r="AG1208" s="6"/>
      <c r="AH1208" s="6"/>
      <c r="AI1208" s="6"/>
      <c r="AJ1208" s="6"/>
      <c r="AK1208" s="6"/>
      <c r="AL1208" s="6"/>
      <c r="AM1208" s="6"/>
    </row>
    <row r="1209">
      <c r="A1209" s="6">
        <v>1208.0</v>
      </c>
      <c r="B1209" s="6" t="str">
        <f>IFERROR(__xludf.DUMMYFUNCTION("""COMPUTED_VALUE"""),"Строительная компания ")</f>
        <v>Строительная компания </v>
      </c>
      <c r="C1209" s="6" t="str">
        <f>IFERROR(__xludf.DUMMYFUNCTION("""COMPUTED_VALUE"""),"Мотоциклы, спорт")</f>
        <v>Мотоциклы, спорт</v>
      </c>
      <c r="D1209" s="6" t="str">
        <f>IFERROR(__xludf.DUMMYFUNCTION("""COMPUTED_VALUE"""),"Рудничный район, радуга ")</f>
        <v>Рудничный район, радуга </v>
      </c>
      <c r="E1209" s="6" t="str">
        <f>IFERROR(__xludf.DUMMYFUNCTION("""COMPUTED_VALUE"""),"Проспект Шахтёров ")</f>
        <v>Проспект Шахтёров </v>
      </c>
      <c r="F1209" s="6" t="str">
        <f>IFERROR(__xludf.DUMMYFUNCTION("""COMPUTED_VALUE"""),"Живу здесь с рождения")</f>
        <v>Живу здесь с рождения</v>
      </c>
      <c r="G1209" s="6" t="str">
        <f>IFERROR(__xludf.DUMMYFUNCTION("""COMPUTED_VALUE"""),"Центральный район: парк Жукова, парк Антошка, парк Ангелов, парк Чудес")</f>
        <v>Центральный район: парк Жукова, парк Антошка, парк Ангелов, парк Чудес</v>
      </c>
      <c r="H1209" s="6" t="str">
        <f>IFERROR(__xludf.DUMMYFUNCTION("""COMPUTED_VALUE"""),"Заводы, Пафос в центре - ужас на окраинах, грязная река, много парков, вымирание ночью. ")</f>
        <v>Заводы, Пафос в центре - ужас на окраинах, грязная река, много парков, вымирание ночью. </v>
      </c>
      <c r="I1209" s="6" t="str">
        <f>IFERROR(__xludf.DUMMYFUNCTION("""COMPUTED_VALUE"""),"Леонов, Терешкова, Михайло Волков")</f>
        <v>Леонов, Терешкова, Михайло Волков</v>
      </c>
      <c r="J1209" s="6" t="str">
        <f>IFERROR(__xludf.DUMMYFUNCTION("""COMPUTED_VALUE"""),"-")</f>
        <v>-</v>
      </c>
      <c r="K1209" s="6" t="str">
        <f>IFERROR(__xludf.DUMMYFUNCTION("""COMPUTED_VALUE"""),"Драмтеатр, кинотетр космос, улица Весенняя, парк Чудес.")</f>
        <v>Драмтеатр, кинотетр космос, улица Весенняя, парк Чудес.</v>
      </c>
      <c r="L1209" s="6" t="str">
        <f>IFERROR(__xludf.DUMMYFUNCTION("""COMPUTED_VALUE"""),"-")</f>
        <v>-</v>
      </c>
      <c r="M1209" s="6" t="str">
        <f>IFERROR(__xludf.DUMMYFUNCTION("""COMPUTED_VALUE"""),"-")</f>
        <v>-</v>
      </c>
      <c r="N1209" s="6" t="str">
        <f>IFERROR(__xludf.DUMMYFUNCTION("""COMPUTED_VALUE"""),"Чистота: улицы, воздух, вода; Комфортное и быстрое перемещение из одного района в другой; Ночная жизнь города; Обустроенная инфраструктура; Интересные места для отдыха и досуга.")</f>
        <v>Чистота: улицы, воздух, вода; Комфортное и быстрое перемещение из одного района в другой; Ночная жизнь города; Обустроенная инфраструктура; Интересные места для отдыха и досуга.</v>
      </c>
      <c r="O1209" s="6" t="str">
        <f>IFERROR(__xludf.DUMMYFUNCTION("""COMPUTED_VALUE"""),"Сделать город чистым и открыть места для ночного досуга (отдыха).")</f>
        <v>Сделать город чистым и открыть места для ночного досуга (отдыха).</v>
      </c>
      <c r="P1209" s="6" t="str">
        <f>IFERROR(__xludf.DUMMYFUNCTION("""COMPUTED_VALUE"""),"ВКонтакте, Вести Кузбасс. ")</f>
        <v>ВКонтакте, Вести Кузбасс. </v>
      </c>
      <c r="Q1209" s="6" t="str">
        <f>IFERROR(__xludf.DUMMYFUNCTION("""COMPUTED_VALUE"""),"где вкусно поесть/открытие новых кафе/ресторанов, городская афиша (кино/театр/концерты), интервью с экспертами на разные темы (напишите в разделе Другое свои предложения)")</f>
        <v>где вкусно поесть/открытие новых кафе/ресторанов, городская афиша (кино/театр/концерты), интервью с экспертами на разные темы (напишите в разделе Другое свои предложения)</v>
      </c>
      <c r="R1209" s="6" t="str">
        <f>IFERROR(__xludf.DUMMYFUNCTION("""COMPUTED_VALUE"""),"Никакие ")</f>
        <v>Никакие </v>
      </c>
      <c r="S1209" s="6" t="str">
        <f>IFERROR(__xludf.DUMMYFUNCTION("""COMPUTED_VALUE"""),"Нет, не приходилось")</f>
        <v>Нет, не приходилось</v>
      </c>
      <c r="T1209" s="6" t="str">
        <f>IFERROR(__xludf.DUMMYFUNCTION("""COMPUTED_VALUE"""),"Зимняя Вишня, угольные разрезы...")</f>
        <v>Зимняя Вишня, угольные разрезы...</v>
      </c>
      <c r="U1209" s="6" t="str">
        <f>IFERROR(__xludf.DUMMYFUNCTION("""COMPUTED_VALUE"""),"Площадь Советов")</f>
        <v>Площадь Советов</v>
      </c>
      <c r="V1209" s="6" t="str">
        <f>IFERROR(__xludf.DUMMYFUNCTION("""COMPUTED_VALUE"""),"-")</f>
        <v>-</v>
      </c>
      <c r="W1209" s="6" t="str">
        <f>IFERROR(__xludf.DUMMYFUNCTION("""COMPUTED_VALUE"""),"-")</f>
        <v>-</v>
      </c>
      <c r="X1209" s="6" t="str">
        <f>IFERROR(__xludf.DUMMYFUNCTION("""COMPUTED_VALUE"""),"Центральный район")</f>
        <v>Центральный район</v>
      </c>
      <c r="Y1209" s="6" t="str">
        <f>IFERROR(__xludf.DUMMYFUNCTION("""COMPUTED_VALUE"""),"-")</f>
        <v>-</v>
      </c>
      <c r="Z1209" s="6" t="str">
        <f>IFERROR(__xludf.DUMMYFUNCTION("""COMPUTED_VALUE"""),"-")</f>
        <v>-</v>
      </c>
      <c r="AA1209" s="6" t="str">
        <f>IFERROR(__xludf.DUMMYFUNCTION("""COMPUTED_VALUE"""),"Разгон мирного митинга в поддержку Навального и избиение людей.")</f>
        <v>Разгон мирного митинга в поддержку Навального и избиение людей.</v>
      </c>
      <c r="AB1209" s="6" t="str">
        <f>IFERROR(__xludf.DUMMYFUNCTION("""COMPUTED_VALUE"""),"Предпринимательских, политических, профсоюзов, любителей автомобилей и мотоциклов.")</f>
        <v>Предпринимательских, политических, профсоюзов, любителей автомобилей и мотоциклов.</v>
      </c>
      <c r="AC1209" s="6" t="str">
        <f>IFERROR(__xludf.DUMMYFUNCTION("""COMPUTED_VALUE"""),"Праздники и открытия новых площадок и интересных мест.")</f>
        <v>Праздники и открытия новых площадок и интересных мест.</v>
      </c>
      <c r="AD1209" s="6" t="str">
        <f>IFERROR(__xludf.DUMMYFUNCTION("""COMPUTED_VALUE"""),"Коммуникатора: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209" s="6" t="str">
        <f>IFERROR(__xludf.DUMMYFUNCTION("""COMPUTED_VALUE"""),"Мужской")</f>
        <v>Мужской</v>
      </c>
      <c r="AF1209" s="6" t="str">
        <f>IFERROR(__xludf.DUMMYFUNCTION("""COMPUTED_VALUE"""),"18-29")</f>
        <v>18-29</v>
      </c>
      <c r="AG1209" s="6"/>
      <c r="AH1209" s="6"/>
      <c r="AI1209" s="6"/>
      <c r="AJ1209" s="6"/>
      <c r="AK1209" s="6"/>
      <c r="AL1209" s="6"/>
      <c r="AM1209" s="6"/>
    </row>
    <row r="1210">
      <c r="A1210" s="6">
        <v>1209.0</v>
      </c>
      <c r="B1210" s="6" t="str">
        <f>IFERROR(__xludf.DUMMYFUNCTION("""COMPUTED_VALUE"""),"Дизайнер")</f>
        <v>Дизайнер</v>
      </c>
      <c r="C1210" s="6" t="str">
        <f>IFERROR(__xludf.DUMMYFUNCTION("""COMPUTED_VALUE"""),"Скрапбукинг")</f>
        <v>Скрапбукинг</v>
      </c>
      <c r="D1210" s="6" t="str">
        <f>IFERROR(__xludf.DUMMYFUNCTION("""COMPUTED_VALUE"""),"В Центральном")</f>
        <v>В Центральном</v>
      </c>
      <c r="E1210" s="6" t="str">
        <f>IFERROR(__xludf.DUMMYFUNCTION("""COMPUTED_VALUE"""),"площадь Советов, площадь Пушкина, набережная, ул. Весенняя")</f>
        <v>площадь Советов, площадь Пушкина, набережная, ул. Весенняя</v>
      </c>
      <c r="F1210"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210" s="6" t="str">
        <f>IFERROR(__xludf.DUMMYFUNCTION("""COMPUTED_VALUE"""),"Набережная")</f>
        <v>Набережная</v>
      </c>
      <c r="H1210" s="6" t="str">
        <f>IFERROR(__xludf.DUMMYFUNCTION("""COMPUTED_VALUE"""),"Кузбасс, шахтёр, сосна, мост, река")</f>
        <v>Кузбасс, шахтёр, сосна, мост, река</v>
      </c>
      <c r="I1210" s="6" t="str">
        <f>IFERROR(__xludf.DUMMYFUNCTION("""COMPUTED_VALUE"""),"Михайло Волков,")</f>
        <v>Михайло Волков,</v>
      </c>
      <c r="J1210" s="6" t="str">
        <f>IFERROR(__xludf.DUMMYFUNCTION("""COMPUTED_VALUE"""),"Леонов, ")</f>
        <v>Леонов, </v>
      </c>
      <c r="K1210" s="6" t="str">
        <f>IFERROR(__xludf.DUMMYFUNCTION("""COMPUTED_VALUE"""),"памятник погибшим шахтёрам, парк ангелов, район Лесная поляна")</f>
        <v>памятник погибшим шахтёрам, парк ангелов, район Лесная поляна</v>
      </c>
      <c r="L1210" s="6" t="str">
        <f>IFERROR(__xludf.DUMMYFUNCTION("""COMPUTED_VALUE"""),"песня ""Человек из Кемерово""")</f>
        <v>песня "Человек из Кемерово"</v>
      </c>
      <c r="M1210" s="6" t="str">
        <f>IFERROR(__xludf.DUMMYFUNCTION("""COMPUTED_VALUE"""),"колба, мультифора")</f>
        <v>колба, мультифора</v>
      </c>
      <c r="N1210" s="6" t="str">
        <f>IFERROR(__xludf.DUMMYFUNCTION("""COMPUTED_VALUE"""),"транспортное сообщение как внутри, так и между другими городами")</f>
        <v>транспортное сообщение как внутри, так и между другими городами</v>
      </c>
      <c r="O1210" s="6" t="str">
        <f>IFERROR(__xludf.DUMMYFUNCTION("""COMPUTED_VALUE"""),"Заменить и поставить еще в парках  столы для настольного тенниса на улицах
То что есть совершенно не пригодно, для галочки.")</f>
        <v>Заменить и поставить еще в парках  столы для настольного тенниса на улицах
То что есть совершенно не пригодно, для галочки.</v>
      </c>
      <c r="P1210" s="6" t="str">
        <f>IFERROR(__xludf.DUMMYFUNCTION("""COMPUTED_VALUE"""),"новости по тв")</f>
        <v>новости по тв</v>
      </c>
      <c r="Q1210" s="6" t="str">
        <f>IFERROR(__xludf.DUMMYFUNCTION("""COMPUTED_VALUE"""),"куда пойти в свободное время, интервью с местными творческими личностями, интервью с победителями профессиональных соревнований (спортсмены, учителя, мастера красоты, врачи, повора и т.д)")</f>
        <v>куда пойти в свободное время, интервью с местными творческими личностями, интервью с победителями профессиональных соревнований (спортсмены, учителя, мастера красоты, врачи, повора и т.д)</v>
      </c>
      <c r="R1210" s="6" t="str">
        <f>IFERROR(__xludf.DUMMYFUNCTION("""COMPUTED_VALUE"""),"новый год, день города, день шахтера, парад победы")</f>
        <v>новый год, день города, день шахтера, парад победы</v>
      </c>
      <c r="S1210" s="6" t="str">
        <f>IFERROR(__xludf.DUMMYFUNCTION("""COMPUTED_VALUE"""),"Нет, не приходилось")</f>
        <v>Нет, не приходилось</v>
      </c>
      <c r="T1210" s="6" t="str">
        <f>IFERROR(__xludf.DUMMYFUNCTION("""COMPUTED_VALUE"""),"областной центр")</f>
        <v>областной центр</v>
      </c>
      <c r="U1210" s="6" t="str">
        <f>IFERROR(__xludf.DUMMYFUNCTION("""COMPUTED_VALUE"""),"центральная площадь")</f>
        <v>центральная площадь</v>
      </c>
      <c r="V1210" s="6" t="str">
        <f>IFERROR(__xludf.DUMMYFUNCTION("""COMPUTED_VALUE"""),"трудились в своей профессии и достигая высот прославляли место от куда родом")</f>
        <v>трудились в своей профессии и достигая высот прославляли место от куда родом</v>
      </c>
      <c r="W1210" s="6" t="str">
        <f>IFERROR(__xludf.DUMMYFUNCTION("""COMPUTED_VALUE"""),"хорошие друзья, всегда придут на помощь, веселые и закаленные, сильные духом")</f>
        <v>хорошие друзья, всегда придут на помощь, веселые и закаленные, сильные духом</v>
      </c>
      <c r="X1210" s="6" t="str">
        <f>IFERROR(__xludf.DUMMYFUNCTION("""COMPUTED_VALUE"""),"пл.Советов- пл. Пушкина - Набережная - весенняя- драм театр- фонтан")</f>
        <v>пл.Советов- пл. Пушкина - Набережная - весенняя- драм театр- фонтан</v>
      </c>
      <c r="Y1210" s="6" t="str">
        <f>IFERROR(__xludf.DUMMYFUNCTION("""COMPUTED_VALUE"""),"Чемпионат мира по хоккею с мечом")</f>
        <v>Чемпионат мира по хоккею с мечом</v>
      </c>
      <c r="Z1210" s="6" t="str">
        <f>IFERROR(__xludf.DUMMYFUNCTION("""COMPUTED_VALUE"""),"Начало строительства новых объектов, открытие кадетского училища")</f>
        <v>Начало строительства новых объектов, открытие кадетского училища</v>
      </c>
      <c r="AA1210" s="6" t="str">
        <f>IFERROR(__xludf.DUMMYFUNCTION("""COMPUTED_VALUE"""),"закрытие бассейна")</f>
        <v>закрытие бассейна</v>
      </c>
      <c r="AB1210" s="6" t="str">
        <f>IFERROR(__xludf.DUMMYFUNCTION("""COMPUTED_VALUE"""),"сообществ для людей среднего возраста, есть для детей и пенсионеров")</f>
        <v>сообществ для людей среднего возраста, есть для детей и пенсионеров</v>
      </c>
      <c r="AC1210" s="6" t="str">
        <f>IFERROR(__xludf.DUMMYFUNCTION("""COMPUTED_VALUE"""),"Волейбольные, футбольные, теннисные   турниры на улице на площадках города, выставки ДШИ с работами детей под открытым небом, не только в праздники. достижения кемеровчан должны видеть сами кемеровчане")</f>
        <v>Волейбольные, футбольные, теннисные   турниры на улице на площадках города, выставки ДШИ с работами детей под открытым небом, не только в праздники. достижения кемеровчан должны видеть сами кемеровчане</v>
      </c>
      <c r="AD121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10" s="6" t="str">
        <f>IFERROR(__xludf.DUMMYFUNCTION("""COMPUTED_VALUE"""),"Женский")</f>
        <v>Женский</v>
      </c>
      <c r="AF1210" s="6" t="str">
        <f>IFERROR(__xludf.DUMMYFUNCTION("""COMPUTED_VALUE"""),"45-55")</f>
        <v>45-55</v>
      </c>
      <c r="AG1210" s="6"/>
      <c r="AH1210" s="6"/>
      <c r="AI1210" s="6"/>
      <c r="AJ1210" s="6"/>
      <c r="AK1210" s="6"/>
      <c r="AL1210" s="6"/>
      <c r="AM1210" s="6"/>
    </row>
    <row r="1211">
      <c r="A1211" s="6">
        <v>1210.0</v>
      </c>
      <c r="B1211" s="6" t="str">
        <f>IFERROR(__xludf.DUMMYFUNCTION("""COMPUTED_VALUE"""),"Продажи, продаю")</f>
        <v>Продажи, продаю</v>
      </c>
      <c r="C1211" s="6" t="str">
        <f>IFERROR(__xludf.DUMMYFUNCTION("""COMPUTED_VALUE"""),"нет")</f>
        <v>нет</v>
      </c>
      <c r="D1211" s="6" t="str">
        <f>IFERROR(__xludf.DUMMYFUNCTION("""COMPUTED_VALUE"""),"Ленинский")</f>
        <v>Ленинский</v>
      </c>
      <c r="E1211" s="6" t="str">
        <f>IFERROR(__xludf.DUMMYFUNCTION("""COMPUTED_VALUE"""),"бульвар Строителей")</f>
        <v>бульвар Строителей</v>
      </c>
      <c r="F1211" s="6" t="str">
        <f>IFERROR(__xludf.DUMMYFUNCTION("""COMPUTED_VALUE"""),"Переехал сюда из другого места (откуда? укажите в графе другое), из Томска")</f>
        <v>Переехал сюда из другого места (откуда? укажите в графе другое), из Томска</v>
      </c>
      <c r="G1211" s="6" t="str">
        <f>IFERROR(__xludf.DUMMYFUNCTION("""COMPUTED_VALUE"""),"по бульвару строителей")</f>
        <v>по бульвару строителей</v>
      </c>
      <c r="H1211" s="6" t="str">
        <f>IFERROR(__xludf.DUMMYFUNCTION("""COMPUTED_VALUE"""),"грязь, вонь и смог в промзоне, облезлые фасады домов особенно со стороны дворов, ямы на дорогах")</f>
        <v>грязь, вонь и смог в промзоне, облезлые фасады домов особенно со стороны дворов, ямы на дорогах</v>
      </c>
      <c r="I1211" s="6" t="str">
        <f>IFERROR(__xludf.DUMMYFUNCTION("""COMPUTED_VALUE"""),"Волков")</f>
        <v>Волков</v>
      </c>
      <c r="J1211" s="6" t="str">
        <f>IFERROR(__xludf.DUMMYFUNCTION("""COMPUTED_VALUE"""),"я не могу сказать, на кого равняются горожане, я ни на кого не равняюсь")</f>
        <v>я не могу сказать, на кого равняются горожане, я ни на кого не равняюсь</v>
      </c>
      <c r="K1211" s="6" t="str">
        <f>IFERROR(__xludf.DUMMYFUNCTION("""COMPUTED_VALUE"""),"затрудняюсь, у нас нечем удивить гостей")</f>
        <v>затрудняюсь, у нас нечем удивить гостей</v>
      </c>
      <c r="L1211" s="6" t="str">
        <f>IFERROR(__xludf.DUMMYFUNCTION("""COMPUTED_VALUE"""),"на просьбу МЧС не выходить из дома в снегопад отреагировали только работники коммунальных служб")</f>
        <v>на просьбу МЧС не выходить из дома в снегопад отреагировали только работники коммунальных служб</v>
      </c>
      <c r="M1211" s="6" t="str">
        <f>IFERROR(__xludf.DUMMYFUNCTION("""COMPUTED_VALUE"""),"нет")</f>
        <v>нет</v>
      </c>
      <c r="N1211" s="6" t="str">
        <f>IFERROR(__xludf.DUMMYFUNCTION("""COMPUTED_VALUE"""),"нормальная парковка и подъезд к дому, вовремя убранный снег, отремонтированный подъезд дома, возможность записаться в врачу по ОМС, транспорт по расписанию")</f>
        <v>нормальная парковка и подъезд к дому, вовремя убранный снег, отремонтированный подъезд дома, возможность записаться в врачу по ОМС, транспорт по расписанию</v>
      </c>
      <c r="O1211" s="6" t="str">
        <f>IFERROR(__xludf.DUMMYFUNCTION("""COMPUTED_VALUE"""),"ремонт дорог, а то асфальт тает вместе со снегом, специальные места для выгула собак, а то зимой в подъезд пройти невозможно, все зассано, штрафы для владельцев животных, которые не следят за питомцем")</f>
        <v>ремонт дорог, а то асфальт тает вместе со снегом, специальные места для выгула собак, а то зимой в подъезд пройти невозможно, все зассано, штрафы для владельцев животных, которые не следят за питомцем</v>
      </c>
      <c r="P1211" s="6" t="str">
        <f>IFERROR(__xludf.DUMMYFUNCTION("""COMPUTED_VALUE"""),"яндекс, инстаграмм")</f>
        <v>яндекс, инстаграмм</v>
      </c>
      <c r="Q1211" s="6" t="str">
        <f>IFERROR(__xludf.DUMMYFUNCTION("""COMPUTED_VALUE"""),"городская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f>
        <v>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v>
      </c>
      <c r="R1211" s="6" t="str">
        <f>IFERROR(__xludf.DUMMYFUNCTION("""COMPUTED_VALUE"""),"День победы, день города")</f>
        <v>День победы, день города</v>
      </c>
      <c r="S1211" s="6" t="str">
        <f>IFERROR(__xludf.DUMMYFUNCTION("""COMPUTED_VALUE"""),"Нет, не приходилось")</f>
        <v>Нет, не приходилось</v>
      </c>
      <c r="T1211" s="6" t="str">
        <f>IFERROR(__xludf.DUMMYFUNCTION("""COMPUTED_VALUE"""),"ничего")</f>
        <v>ничего</v>
      </c>
      <c r="U1211" s="6" t="str">
        <f>IFERROR(__xludf.DUMMYFUNCTION("""COMPUTED_VALUE"""),"парк чудес, но он морально устарел")</f>
        <v>парк чудес, но он морально устарел</v>
      </c>
      <c r="V1211" s="6" t="str">
        <f>IFERROR(__xludf.DUMMYFUNCTION("""COMPUTED_VALUE"""),"возможно старались, но не получается, деревья где-то сажают, но в последнее время много вырубают из-за строек")</f>
        <v>возможно старались, но не получается, деревья где-то сажают, но в последнее время много вырубают из-за строек</v>
      </c>
      <c r="W1211" s="6" t="str">
        <f>IFERROR(__xludf.DUMMYFUNCTION("""COMPUTED_VALUE"""),"много матерятся")</f>
        <v>много матерятся</v>
      </c>
      <c r="X1211" s="6" t="str">
        <f>IFERROR(__xludf.DUMMYFUNCTION("""COMPUTED_VALUE"""),"на 4 троллейбусе до азота, но обязательно в -30 и еще дождаться на остановке, а потом умудриться доехать и  не окочурится от холода ")</f>
        <v>на 4 троллейбусе до азота, но обязательно в -30 и еще дождаться на остановке, а потом умудриться доехать и  не окочурится от холода </v>
      </c>
      <c r="Y1211" s="6" t="str">
        <f>IFERROR(__xludf.DUMMYFUNCTION("""COMPUTED_VALUE"""),"бесплатный живой концерт пару лет назад летом")</f>
        <v>бесплатный живой концерт пару лет назад летом</v>
      </c>
      <c r="Z1211" s="6" t="str">
        <f>IFERROR(__xludf.DUMMYFUNCTION("""COMPUTED_VALUE"""),"игры и развлечения в парке жукова на городской праздник")</f>
        <v>игры и развлечения в парке жукова на городской праздник</v>
      </c>
      <c r="AA1211" s="6" t="str">
        <f>IFERROR(__xludf.DUMMYFUNCTION("""COMPUTED_VALUE"""),"я с городом не конфликтую")</f>
        <v>я с городом не конфликтую</v>
      </c>
      <c r="AB1211" s="6" t="str">
        <f>IFERROR(__xludf.DUMMYFUNCTION("""COMPUTED_VALUE"""),"без разницы")</f>
        <v>без разницы</v>
      </c>
      <c r="AC1211" s="6" t="str">
        <f>IFERROR(__xludf.DUMMYFUNCTION("""COMPUTED_VALUE"""),"порядок надо навести")</f>
        <v>порядок надо навести</v>
      </c>
      <c r="AD121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211" s="6" t="str">
        <f>IFERROR(__xludf.DUMMYFUNCTION("""COMPUTED_VALUE"""),"Женский")</f>
        <v>Женский</v>
      </c>
      <c r="AF1211" s="6" t="str">
        <f>IFERROR(__xludf.DUMMYFUNCTION("""COMPUTED_VALUE"""),"30-44")</f>
        <v>30-44</v>
      </c>
      <c r="AG1211" s="6"/>
      <c r="AH1211" s="6"/>
      <c r="AI1211" s="6"/>
      <c r="AJ1211" s="6"/>
      <c r="AK1211" s="6"/>
      <c r="AL1211" s="6"/>
      <c r="AM1211" s="6"/>
    </row>
    <row r="1212">
      <c r="A1212" s="6">
        <v>1211.0</v>
      </c>
      <c r="B1212" s="6" t="str">
        <f>IFERROR(__xludf.DUMMYFUNCTION("""COMPUTED_VALUE"""),"Юрист")</f>
        <v>Юрист</v>
      </c>
      <c r="C1212" s="6" t="str">
        <f>IFERROR(__xludf.DUMMYFUNCTION("""COMPUTED_VALUE"""),"Что? Где? Когда?")</f>
        <v>Что? Где? Когда?</v>
      </c>
      <c r="D1212" s="6" t="str">
        <f>IFERROR(__xludf.DUMMYFUNCTION("""COMPUTED_VALUE"""),"ФПК")</f>
        <v>ФПК</v>
      </c>
      <c r="E1212" s="6" t="str">
        <f>IFERROR(__xludf.DUMMYFUNCTION("""COMPUTED_VALUE"""),"Нет таких (может Гринвич)")</f>
        <v>Нет таких (может Гринвич)</v>
      </c>
      <c r="F1212" s="6" t="str">
        <f>IFERROR(__xludf.DUMMYFUNCTION("""COMPUTED_VALUE"""),"Живу здесь с рождения")</f>
        <v>Живу здесь с рождения</v>
      </c>
      <c r="G1212" s="6" t="str">
        <f>IFERROR(__xludf.DUMMYFUNCTION("""COMPUTED_VALUE"""),"Прогуливаюсь по ФПК, по набережной.")</f>
        <v>Прогуливаюсь по ФПК, по набережной.</v>
      </c>
      <c r="H1212" s="6" t="str">
        <f>IFERROR(__xludf.DUMMYFUNCTION("""COMPUTED_VALUE"""),"Уголь, завод, Томь, бор, уныние")</f>
        <v>Уголь, завод, Томь, бор, уныние</v>
      </c>
      <c r="I1212" s="6" t="str">
        <f>IFERROR(__xludf.DUMMYFUNCTION("""COMPUTED_VALUE"""),"Леонов, Колчак, Волошина, Двужильный, Рутгерс")</f>
        <v>Леонов, Колчак, Волошина, Двужильный, Рутгерс</v>
      </c>
      <c r="J1212" s="6" t="str">
        <f>IFERROR(__xludf.DUMMYFUNCTION("""COMPUTED_VALUE"""),"Гришковец, Михайлов, Логинов, Тулеев до Зимней вишни")</f>
        <v>Гришковец, Михайлов, Логинов, Тулеев до Зимней вишни</v>
      </c>
      <c r="K1212" s="6" t="str">
        <f>IFERROR(__xludf.DUMMYFUNCTION("""COMPUTED_VALUE"""),"Набережная, Крест, бор, детская железная дорога")</f>
        <v>Набережная, Крест, бор, детская железная дорога</v>
      </c>
      <c r="L1212" s="6" t="str">
        <f>IFERROR(__xludf.DUMMYFUNCTION("""COMPUTED_VALUE"""),"не знаю")</f>
        <v>не знаю</v>
      </c>
      <c r="M1212" s="6" t="str">
        <f>IFERROR(__xludf.DUMMYFUNCTION("""COMPUTED_VALUE"""),"не знаю")</f>
        <v>не знаю</v>
      </c>
      <c r="N1212" s="6" t="str">
        <f>IFERROR(__xludf.DUMMYFUNCTION("""COMPUTED_VALUE"""),"Легкодоступность работы, транспорт,культура, экология, грамотная застройка")</f>
        <v>Легкодоступность работы, транспорт,культура, экология, грамотная застройка</v>
      </c>
      <c r="O1212" s="6" t="str">
        <f>IFERROR(__xludf.DUMMYFUNCTION("""COMPUTED_VALUE"""),"Привести в порядок экологию, прекратить хаотичную жилую застройку, привлекать бизнес, способствовать созданию рабочих мест, наладить общественный транспорт, начать реновацию частного сектора, ликвидировать пустыри, долгострои, озаботиться о культурном нас"&amp;"ледии, убрать колонии из черты города, проложить качественные трубы, чтобы не перекапывать каждый год.")</f>
        <v>Привести в порядок экологию, прекратить хаотичную жилую застройку, привлекать бизнес, способствовать созданию рабочих мест, наладить общественный транспорт, начать реновацию частного сектора, ликвидировать пустыри, долгострои, озаботиться о культурном наследии, убрать колонии из черты города, проложить качественные трубы, чтобы не перекапывать каждый год.</v>
      </c>
      <c r="P1212" s="6" t="str">
        <f>IFERROR(__xludf.DUMMYFUNCTION("""COMPUTED_VALUE"""),"Вконтакте, инстаграм.")</f>
        <v>Вконтакте, инстаграм.</v>
      </c>
      <c r="Q1212"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1212" s="6" t="str">
        <f>IFERROR(__xludf.DUMMYFUNCTION("""COMPUTED_VALUE"""),"День шахтера")</f>
        <v>День шахтера</v>
      </c>
      <c r="S1212" s="6" t="str">
        <f>IFERROR(__xludf.DUMMYFUNCTION("""COMPUTED_VALUE"""),"Через социальные сети (Какие? Укажите в графе другое), Делал рассылку по электронной почте, Вконтакте, инстаграм")</f>
        <v>Через социальные сети (Какие? Укажите в графе другое), Делал рассылку по электронной почте, Вконтакте, инстаграм</v>
      </c>
      <c r="T1212" s="6" t="str">
        <f>IFERROR(__xludf.DUMMYFUNCTION("""COMPUTED_VALUE"""),"Значимое культурное наследие, неизвестное большинству его жителей.")</f>
        <v>Значимое культурное наследие, неизвестное большинству его жителей.</v>
      </c>
      <c r="U1212" s="6" t="str">
        <f>IFERROR(__xludf.DUMMYFUNCTION("""COMPUTED_VALUE"""),"Театр драмы, Весенняя, набережная")</f>
        <v>Театр драмы, Весенняя, набережная</v>
      </c>
      <c r="V1212" s="6" t="str">
        <f>IFERROR(__xludf.DUMMYFUNCTION("""COMPUTED_VALUE"""),"Жили и работали, не уезжая из города")</f>
        <v>Жили и работали, не уезжая из города</v>
      </c>
      <c r="W1212" s="6" t="str">
        <f>IFERROR(__xludf.DUMMYFUNCTION("""COMPUTED_VALUE"""),"Неторопливые, вежливые")</f>
        <v>Неторопливые, вежливые</v>
      </c>
      <c r="X1212" s="6" t="str">
        <f>IFERROR(__xludf.DUMMYFUNCTION("""COMPUTED_VALUE"""),"Вокзал, парк Ангелов, Весенняя, набережная. ")</f>
        <v>Вокзал, парк Ангелов, Весенняя, набережная. </v>
      </c>
      <c r="Y1212" s="6" t="str">
        <f>IFERROR(__xludf.DUMMYFUNCTION("""COMPUTED_VALUE"""),"Пожар в Зимней вишне")</f>
        <v>Пожар в Зимней вишне</v>
      </c>
      <c r="Z1212" s="6" t="str">
        <f>IFERROR(__xludf.DUMMYFUNCTION("""COMPUTED_VALUE"""),"Рок фестиваль под открытым небом")</f>
        <v>Рок фестиваль под открытым небом</v>
      </c>
      <c r="AA1212" s="6" t="str">
        <f>IFERROR(__xludf.DUMMYFUNCTION("""COMPUTED_VALUE"""),"Пандеимя, масочный режим")</f>
        <v>Пандеимя, масочный режим</v>
      </c>
      <c r="AB1212" s="6" t="str">
        <f>IFERROR(__xludf.DUMMYFUNCTION("""COMPUTED_VALUE"""),"Сообществ по интересам, исторического, культурного, литературного, мультимедийного, гражданского, политического типа, не ангажированных какой-либо партией.")</f>
        <v>Сообществ по интересам, исторического, культурного, литературного, мультимедийного, гражданского, политического типа, не ангажированных какой-либо партией.</v>
      </c>
      <c r="AC1212" s="6" t="str">
        <f>IFERROR(__xludf.DUMMYFUNCTION("""COMPUTED_VALUE"""),"Культурные, гражданские, политические.")</f>
        <v>Культурные, гражданские, политические.</v>
      </c>
      <c r="AD1212"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212" s="6" t="str">
        <f>IFERROR(__xludf.DUMMYFUNCTION("""COMPUTED_VALUE"""),"Мужской")</f>
        <v>Мужской</v>
      </c>
      <c r="AF1212" s="6" t="str">
        <f>IFERROR(__xludf.DUMMYFUNCTION("""COMPUTED_VALUE"""),"18-29")</f>
        <v>18-29</v>
      </c>
      <c r="AG1212" s="6"/>
      <c r="AH1212" s="6"/>
      <c r="AI1212" s="6"/>
      <c r="AJ1212" s="6"/>
      <c r="AK1212" s="6"/>
      <c r="AL1212" s="6"/>
      <c r="AM1212" s="6"/>
    </row>
    <row r="1213">
      <c r="A1213" s="6">
        <v>1212.0</v>
      </c>
      <c r="B1213" s="6" t="str">
        <f>IFERROR(__xludf.DUMMYFUNCTION("""COMPUTED_VALUE"""),"учусь")</f>
        <v>учусь</v>
      </c>
      <c r="C1213" s="6" t="str">
        <f>IFERROR(__xludf.DUMMYFUNCTION("""COMPUTED_VALUE"""),"нет")</f>
        <v>нет</v>
      </c>
      <c r="D1213" s="6" t="str">
        <f>IFERROR(__xludf.DUMMYFUNCTION("""COMPUTED_VALUE"""),"Заводский")</f>
        <v>Заводский</v>
      </c>
      <c r="E1213" s="6" t="str">
        <f>IFERROR(__xludf.DUMMYFUNCTION("""COMPUTED_VALUE"""),"Набережная
Площадь Советов
Площадь Волкова
Парк Победы
")</f>
        <v>Набережная
Площадь Советов
Площадь Волкова
Парк Победы
</v>
      </c>
      <c r="F1213" s="6" t="str">
        <f>IFERROR(__xludf.DUMMYFUNCTION("""COMPUTED_VALUE"""),"Живу здесь с рождения")</f>
        <v>Живу здесь с рождения</v>
      </c>
      <c r="G1213" s="6" t="str">
        <f>IFERROR(__xludf.DUMMYFUNCTION("""COMPUTED_VALUE"""),"Советский 63")</f>
        <v>Советский 63</v>
      </c>
      <c r="H1213" s="6" t="str">
        <f>IFERROR(__xludf.DUMMYFUNCTION("""COMPUTED_VALUE"""),"Кузбасс")</f>
        <v>Кузбасс</v>
      </c>
      <c r="I1213" s="6" t="str">
        <f>IFERROR(__xludf.DUMMYFUNCTION("""COMPUTED_VALUE"""),"Дергач")</f>
        <v>Дергач</v>
      </c>
      <c r="J1213" s="6" t="str">
        <f>IFERROR(__xludf.DUMMYFUNCTION("""COMPUTED_VALUE"""),"А.Тулеев")</f>
        <v>А.Тулеев</v>
      </c>
      <c r="K1213" s="6" t="str">
        <f>IFERROR(__xludf.DUMMYFUNCTION("""COMPUTED_VALUE"""),"Памятник Волскову")</f>
        <v>Памятник Волскову</v>
      </c>
      <c r="L1213" s="6" t="str">
        <f>IFERROR(__xludf.DUMMYFUNCTION("""COMPUTED_VALUE"""),"Не знаю")</f>
        <v>Не знаю</v>
      </c>
      <c r="M1213" s="6" t="str">
        <f>IFERROR(__xludf.DUMMYFUNCTION("""COMPUTED_VALUE"""),"нет")</f>
        <v>нет</v>
      </c>
      <c r="N1213" s="6" t="str">
        <f>IFERROR(__xludf.DUMMYFUNCTION("""COMPUTED_VALUE"""),"Чистота на улицах
Хорошие дороги
Освещённость ")</f>
        <v>Чистота на улицах
Хорошие дороги
Освещённость </v>
      </c>
      <c r="O1213" s="6" t="str">
        <f>IFERROR(__xludf.DUMMYFUNCTION("""COMPUTED_VALUE"""),"помыть памятники и восстановить старые дома")</f>
        <v>помыть памятники и восстановить старые дома</v>
      </c>
      <c r="P1213" s="6" t="str">
        <f>IFERROR(__xludf.DUMMYFUNCTION("""COMPUTED_VALUE"""),"ВК")</f>
        <v>ВК</v>
      </c>
      <c r="Q1213" s="6" t="str">
        <f>IFERROR(__xludf.DUMMYFUNCTION("""COMPUTED_VALUE"""),"куда пойти в свободное время, городская афиша (кино/театр/концерты), интервью с местными предпринимателями, криминальные новости (происшествия/преступления)")</f>
        <v>куда пойти в свободное время, городская афиша (кино/театр/концерты), интервью с местными предпринимателями, криминальные новости (происшествия/преступления)</v>
      </c>
      <c r="R1213" s="6" t="str">
        <f>IFERROR(__xludf.DUMMYFUNCTION("""COMPUTED_VALUE"""),"День победы")</f>
        <v>День победы</v>
      </c>
      <c r="S1213" s="6" t="str">
        <f>IFERROR(__xludf.DUMMYFUNCTION("""COMPUTED_VALUE"""),"Нет, не приходилось")</f>
        <v>Нет, не приходилось</v>
      </c>
      <c r="T1213" s="6" t="str">
        <f>IFERROR(__xludf.DUMMYFUNCTION("""COMPUTED_VALUE"""),"Серебряный бор")</f>
        <v>Серебряный бор</v>
      </c>
      <c r="U1213" s="6" t="str">
        <f>IFERROR(__xludf.DUMMYFUNCTION("""COMPUTED_VALUE"""),"Филармония")</f>
        <v>Филармония</v>
      </c>
      <c r="V1213" s="6" t="str">
        <f>IFERROR(__xludf.DUMMYFUNCTION("""COMPUTED_VALUE"""),"Создали мемориалы и заповедники")</f>
        <v>Создали мемориалы и заповедники</v>
      </c>
      <c r="W1213" s="6" t="str">
        <f>IFERROR(__xludf.DUMMYFUNCTION("""COMPUTED_VALUE"""),"Весёлые ")</f>
        <v>Весёлые </v>
      </c>
      <c r="X1213" s="6" t="str">
        <f>IFERROR(__xludf.DUMMYFUNCTION("""COMPUTED_VALUE"""),"Набережная ")</f>
        <v>Набережная </v>
      </c>
      <c r="Y1213" s="6" t="str">
        <f>IFERROR(__xludf.DUMMYFUNCTION("""COMPUTED_VALUE"""),"Нашли уголь")</f>
        <v>Нашли уголь</v>
      </c>
      <c r="Z1213" s="6" t="str">
        <f>IFERROR(__xludf.DUMMYFUNCTION("""COMPUTED_VALUE"""),"Не знаю")</f>
        <v>Не знаю</v>
      </c>
      <c r="AA1213" s="6" t="str">
        <f>IFERROR(__xludf.DUMMYFUNCTION("""COMPUTED_VALUE"""),"Пожар в Зимней вишне")</f>
        <v>Пожар в Зимней вишне</v>
      </c>
      <c r="AB1213" s="6" t="str">
        <f>IFERROR(__xludf.DUMMYFUNCTION("""COMPUTED_VALUE"""),"Никаких")</f>
        <v>Никаких</v>
      </c>
      <c r="AC1213" s="6" t="str">
        <f>IFERROR(__xludf.DUMMYFUNCTION("""COMPUTED_VALUE"""),"Не знаю")</f>
        <v>Не знаю</v>
      </c>
      <c r="AD121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Коммуникатора: Готов задействовать свои знако"&amp;"мства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213" s="6" t="str">
        <f>IFERROR(__xludf.DUMMYFUNCTION("""COMPUTED_VALUE"""),"Женский")</f>
        <v>Женский</v>
      </c>
      <c r="AF1213" s="6" t="str">
        <f>IFERROR(__xludf.DUMMYFUNCTION("""COMPUTED_VALUE"""),"18-29")</f>
        <v>18-29</v>
      </c>
      <c r="AG1213" s="6"/>
      <c r="AH1213" s="6"/>
      <c r="AI1213" s="6"/>
      <c r="AJ1213" s="6"/>
      <c r="AK1213" s="6"/>
      <c r="AL1213" s="6"/>
      <c r="AM1213" s="6"/>
    </row>
    <row r="1214">
      <c r="A1214" s="6">
        <v>1213.0</v>
      </c>
      <c r="B1214" s="6" t="str">
        <f>IFERROR(__xludf.DUMMYFUNCTION("""COMPUTED_VALUE"""),"Студент")</f>
        <v>Студент</v>
      </c>
      <c r="C1214" s="6" t="str">
        <f>IFERROR(__xludf.DUMMYFUNCTION("""COMPUTED_VALUE"""),"Видеоигры, спорт")</f>
        <v>Видеоигры, спорт</v>
      </c>
      <c r="D1214" s="6" t="str">
        <f>IFERROR(__xludf.DUMMYFUNCTION("""COMPUTED_VALUE"""),"Ленинский")</f>
        <v>Ленинский</v>
      </c>
      <c r="E1214" s="6" t="str">
        <f>IFERROR(__xludf.DUMMYFUNCTION("""COMPUTED_VALUE"""),"Парк на бульваре строителей")</f>
        <v>Парк на бульваре строителей</v>
      </c>
      <c r="F1214" s="6" t="str">
        <f>IFERROR(__xludf.DUMMYFUNCTION("""COMPUTED_VALUE"""),"Переехал сюда из другого места (откуда? укажите в графе другое), ПГТ Верх-Чебула")</f>
        <v>Переехал сюда из другого места (откуда? укажите в графе другое), ПГТ Верх-Чебула</v>
      </c>
      <c r="G1214" s="6" t="str">
        <f>IFERROR(__xludf.DUMMYFUNCTION("""COMPUTED_VALUE"""),"Парк Веры Волошиной, парк Победы, ТЦ Лапландия")</f>
        <v>Парк Веры Волошиной, парк Победы, ТЦ Лапландия</v>
      </c>
      <c r="H1214" s="6" t="str">
        <f>IFERROR(__xludf.DUMMYFUNCTION("""COMPUTED_VALUE"""),"Институт, кардиоцентр, общежитие, суета, друзья")</f>
        <v>Институт, кардиоцентр, общежитие, суета, друзья</v>
      </c>
      <c r="I1214" s="6" t="str">
        <f>IFERROR(__xludf.DUMMYFUNCTION("""COMPUTED_VALUE"""),"Вера Волошина, Георгий Жуков, Андрей Панин")</f>
        <v>Вера Волошина, Георгий Жуков, Андрей Панин</v>
      </c>
      <c r="J1214" s="6" t="str">
        <f>IFERROR(__xludf.DUMMYFUNCTION("""COMPUTED_VALUE"""),"А. Тулеев")</f>
        <v>А. Тулеев</v>
      </c>
      <c r="K1214" s="6" t="str">
        <f>IFERROR(__xludf.DUMMYFUNCTION("""COMPUTED_VALUE"""),"Озеро ниже бульвара строителей")</f>
        <v>Озеро ниже бульвара строителей</v>
      </c>
      <c r="L1214" s="6" t="str">
        <f>IFERROR(__xludf.DUMMYFUNCTION("""COMPUTED_VALUE"""),"Дальше едешь - дальше будешь.")</f>
        <v>Дальше едешь - дальше будешь.</v>
      </c>
      <c r="M1214" s="6" t="str">
        <f>IFERROR(__xludf.DUMMYFUNCTION("""COMPUTED_VALUE"""),"Нет")</f>
        <v>Нет</v>
      </c>
      <c r="N1214" s="6" t="str">
        <f>IFERROR(__xludf.DUMMYFUNCTION("""COMPUTED_VALUE"""),"Экологичность, чистота, вежливость людей, обустроенность, поддержание зданий в отличном состоянии")</f>
        <v>Экологичность, чистота, вежливость людей, обустроенность, поддержание зданий в отличном состоянии</v>
      </c>
      <c r="O1214" s="6" t="str">
        <f>IFERROR(__xludf.DUMMYFUNCTION("""COMPUTED_VALUE"""),"Привести в порядок местные достопримечательности ")</f>
        <v>Привести в порядок местные достопримечательности </v>
      </c>
      <c r="P1214" s="6" t="str">
        <f>IFERROR(__xludf.DUMMYFUNCTION("""COMPUTED_VALUE"""),"Институт, друзья")</f>
        <v>Институт, друзья</v>
      </c>
      <c r="Q1214" s="6" t="str">
        <f>IFERROR(__xludf.DUMMYFUNCTION("""COMPUTED_VALUE"""),"куда пойти в свободное время, криминальные новости (происшествия/преступления), новости про новые профессии/куда поступать/вакансии")</f>
        <v>куда пойти в свободное время, криминальные новости (происшествия/преступления), новости про новые профессии/куда поступать/вакансии</v>
      </c>
      <c r="R1214" s="6" t="str">
        <f>IFERROR(__xludf.DUMMYFUNCTION("""COMPUTED_VALUE"""),"Таких нет")</f>
        <v>Таких нет</v>
      </c>
      <c r="S1214" s="6" t="str">
        <f>IFERROR(__xludf.DUMMYFUNCTION("""COMPUTED_VALUE"""),"Нет, не приходилось")</f>
        <v>Нет, не приходилось</v>
      </c>
      <c r="T1214" s="6" t="str">
        <f>IFERROR(__xludf.DUMMYFUNCTION("""COMPUTED_VALUE"""),"Центр угледобычи")</f>
        <v>Центр угледобычи</v>
      </c>
      <c r="U1214" s="6" t="str">
        <f>IFERROR(__xludf.DUMMYFUNCTION("""COMPUTED_VALUE"""),"Советский проспект")</f>
        <v>Советский проспект</v>
      </c>
      <c r="V1214" s="6" t="str">
        <f>IFERROR(__xludf.DUMMYFUNCTION("""COMPUTED_VALUE"""),"Во время войны снабжали углем ссср")</f>
        <v>Во время войны снабжали углем ссср</v>
      </c>
      <c r="W1214" s="6" t="str">
        <f>IFERROR(__xludf.DUMMYFUNCTION("""COMPUTED_VALUE"""),"Закрытость, индивидуализм, грубость")</f>
        <v>Закрытость, индивидуализм, грубость</v>
      </c>
      <c r="X1214" s="6" t="str">
        <f>IFERROR(__xludf.DUMMYFUNCTION("""COMPUTED_VALUE"""),"Проспект Ленина")</f>
        <v>Проспект Ленина</v>
      </c>
      <c r="Y1214" s="6" t="str">
        <f>IFERROR(__xludf.DUMMYFUNCTION("""COMPUTED_VALUE"""),"Не в курсе")</f>
        <v>Не в курсе</v>
      </c>
      <c r="Z1214" s="6" t="str">
        <f>IFERROR(__xludf.DUMMYFUNCTION("""COMPUTED_VALUE"""),"Таких нет")</f>
        <v>Таких нет</v>
      </c>
      <c r="AA1214" s="6" t="str">
        <f>IFERROR(__xludf.DUMMYFUNCTION("""COMPUTED_VALUE"""),"Массовый строительства")</f>
        <v>Массовый строительства</v>
      </c>
      <c r="AB1214" s="6" t="str">
        <f>IFERROR(__xludf.DUMMYFUNCTION("""COMPUTED_VALUE"""),"Не знаю")</f>
        <v>Не знаю</v>
      </c>
      <c r="AC1214" s="6" t="str">
        <f>IFERROR(__xludf.DUMMYFUNCTION("""COMPUTED_VALUE"""),"Изменить менталитет кемеровчан")</f>
        <v>Изменить менталитет кемеровчан</v>
      </c>
      <c r="AD121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14" s="6" t="str">
        <f>IFERROR(__xludf.DUMMYFUNCTION("""COMPUTED_VALUE"""),"Мужской")</f>
        <v>Мужской</v>
      </c>
      <c r="AF1214" s="6" t="str">
        <f>IFERROR(__xludf.DUMMYFUNCTION("""COMPUTED_VALUE"""),"18-29")</f>
        <v>18-29</v>
      </c>
      <c r="AG1214" s="6"/>
      <c r="AH1214" s="6"/>
      <c r="AI1214" s="6"/>
      <c r="AJ1214" s="6"/>
      <c r="AK1214" s="6"/>
      <c r="AL1214" s="6"/>
      <c r="AM1214" s="6"/>
    </row>
    <row r="1215">
      <c r="A1215" s="6">
        <v>1214.0</v>
      </c>
      <c r="B1215" s="6" t="str">
        <f>IFERROR(__xludf.DUMMYFUNCTION("""COMPUTED_VALUE"""),"Студент, Маркетолог, YT. ")</f>
        <v>Студент, Маркетолог, YT. </v>
      </c>
      <c r="C1215" s="6" t="str">
        <f>IFERROR(__xludf.DUMMYFUNCTION("""COMPUTED_VALUE"""),"Game, Майнер, торговля на фьючерах, Книги, Изучение написания ботов(для соц. сетей)")</f>
        <v>Game, Майнер, торговля на фьючерах, Книги, Изучение написания ботов(для соц. сетей)</v>
      </c>
      <c r="D1215" s="6" t="str">
        <f>IFERROR(__xludf.DUMMYFUNCTION("""COMPUTED_VALUE"""),"Ленинский ")</f>
        <v>Ленинский </v>
      </c>
      <c r="E1215" s="6" t="str">
        <f>IFERROR(__xludf.DUMMYFUNCTION("""COMPUTED_VALUE"""),"Бульвар строителей.")</f>
        <v>Бульвар строителей.</v>
      </c>
      <c r="F1215" s="6" t="str">
        <f>IFERROR(__xludf.DUMMYFUNCTION("""COMPUTED_VALUE"""),"Переехал сюда из другого места (откуда? укажите в графе другое), Мариинск - в 2016 поступил в кадетский корпус МВД , с того момента живу в Кемерово")</f>
        <v>Переехал сюда из другого места (откуда? укажите в графе другое), Мариинск - в 2016 поступил в кадетский корпус МВД , с того момента живу в Кемерово</v>
      </c>
      <c r="G1215" s="6" t="str">
        <f>IFERROR(__xludf.DUMMYFUNCTION("""COMPUTED_VALUE"""),"Кофе попить, на озеро, прогулка возле кадетского корпуса.(Московское)")</f>
        <v>Кофе попить, на озеро, прогулка возле кадетского корпуса.(Московское)</v>
      </c>
      <c r="H1215" s="6" t="str">
        <f>IFERROR(__xludf.DUMMYFUNCTION("""COMPUTED_VALUE"""),"Трубы, дым , теплотраса, центр,")</f>
        <v>Трубы, дым , теплотраса, центр,</v>
      </c>
      <c r="I1215" s="6" t="str">
        <f>IFERROR(__xludf.DUMMYFUNCTION("""COMPUTED_VALUE"""),"------")</f>
        <v>------</v>
      </c>
      <c r="J1215" s="6" t="str">
        <f>IFERROR(__xludf.DUMMYFUNCTION("""COMPUTED_VALUE"""),"Середюк, Тулеев. ")</f>
        <v>Середюк, Тулеев. </v>
      </c>
      <c r="K1215" s="6" t="str">
        <f>IFERROR(__xludf.DUMMYFUNCTION("""COMPUTED_VALUE"""),"------")</f>
        <v>------</v>
      </c>
      <c r="L1215" s="6" t="str">
        <f>IFERROR(__xludf.DUMMYFUNCTION("""COMPUTED_VALUE"""),"-----")</f>
        <v>-----</v>
      </c>
      <c r="M1215" s="6" t="str">
        <f>IFERROR(__xludf.DUMMYFUNCTION("""COMPUTED_VALUE"""),"-----")</f>
        <v>-----</v>
      </c>
      <c r="N1215" s="6" t="str">
        <f>IFERROR(__xludf.DUMMYFUNCTION("""COMPUTED_VALUE"""),"Нет дыма от труб, нет ларьков продающих самогон ,что бы бомжи не орали под окном =D , ")</f>
        <v>Нет дыма от труб, нет ларьков продающих самогон ,что бы бомжи не орали под окном =D , </v>
      </c>
      <c r="O1215" s="6" t="str">
        <f>IFERROR(__xludf.DUMMYFUNCTION("""COMPUTED_VALUE"""),"ТРУБЫ ,весь ландшафт портят , (и теплотраса) 
Конечно, этого не сделать= но беседок где можно посидеть над навесом на бульваре в полне не хватает (от дождя не спрятаться )")</f>
        <v>ТРУБЫ ,весь ландшафт портят , (и теплотраса) 
Конечно, этого не сделать= но беседок где можно посидеть над навесом на бульваре в полне не хватает (от дождя не спрятаться )</v>
      </c>
      <c r="P1215" s="6" t="str">
        <f>IFERROR(__xludf.DUMMYFUNCTION("""COMPUTED_VALUE"""),"Интернет , инцидент Кемерово, ")</f>
        <v>Интернет , инцидент Кемерово, </v>
      </c>
      <c r="Q1215" s="6" t="str">
        <f>IFERROR(__xludf.DUMMYFUNCTION("""COMPUTED_VALUE"""),"куда пойти в свободное время, интервью с местными предпринимателями, криминальные новости (происшествия/преступления), интервью с экспертами на разные темы (напишите в разделе Другое свои предложения)")</f>
        <v>куда пойти в свободное время, интервью с местными предпринимателями, криминальные новости (происшествия/преступления), интервью с экспертами на разные темы (напишите в разделе Другое свои предложения)</v>
      </c>
      <c r="R1215" s="6" t="str">
        <f>IFERROR(__xludf.DUMMYFUNCTION("""COMPUTED_VALUE"""),"-----")</f>
        <v>-----</v>
      </c>
      <c r="S1215" s="6" t="str">
        <f>IFERROR(__xludf.DUMMYFUNCTION("""COMPUTED_VALUE"""),"Через социальные сети (Какие? Укажите в графе другое), Делал рассылку по электронной почте")</f>
        <v>Через социальные сети (Какие? Укажите в графе другое), Делал рассылку по электронной почте</v>
      </c>
      <c r="T1215" s="6" t="str">
        <f>IFERROR(__xludf.DUMMYFUNCTION("""COMPUTED_VALUE"""),"-----")</f>
        <v>-----</v>
      </c>
      <c r="U1215" s="6" t="str">
        <f>IFERROR(__xludf.DUMMYFUNCTION("""COMPUTED_VALUE"""),"бульвар строителей, набережная. ")</f>
        <v>бульвар строителей, набережная. </v>
      </c>
      <c r="V1215" s="6" t="str">
        <f>IFERROR(__xludf.DUMMYFUNCTION("""COMPUTED_VALUE"""),"Памятники и музеи. ")</f>
        <v>Памятники и музеи. </v>
      </c>
      <c r="W1215" s="6" t="str">
        <f>IFERROR(__xludf.DUMMYFUNCTION("""COMPUTED_VALUE"""),"1 класс) пьянчуги 2) рабочий класс 3)Предприниматели 4) представители гос служб (и выше ) ")</f>
        <v>1 класс) пьянчуги 2) рабочий класс 3)Предприниматели 4) представители гос служб (и выше ) </v>
      </c>
      <c r="X1215" s="6" t="str">
        <f>IFERROR(__xludf.DUMMYFUNCTION("""COMPUTED_VALUE"""),"-----")</f>
        <v>-----</v>
      </c>
      <c r="Y1215" s="6" t="str">
        <f>IFERROR(__xludf.DUMMYFUNCTION("""COMPUTED_VALUE"""),"Зимняя вишня.Покупка елки. Отмена мэппинг шоу на дк  9 мая ")</f>
        <v>Зимняя вишня.Покупка елки. Отмена мэппинг шоу на дк  9 мая </v>
      </c>
      <c r="Z1215" s="6" t="str">
        <f>IFERROR(__xludf.DUMMYFUNCTION("""COMPUTED_VALUE"""),"-----")</f>
        <v>-----</v>
      </c>
      <c r="AA1215" s="6" t="str">
        <f>IFERROR(__xludf.DUMMYFUNCTION("""COMPUTED_VALUE"""),"Алкашня у поворотов, продажа алкоголя в ларьках у дома ")</f>
        <v>Алкашня у поворотов, продажа алкоголя в ларьках у дома </v>
      </c>
      <c r="AB1215" s="6" t="str">
        <f>IFERROR(__xludf.DUMMYFUNCTION("""COMPUTED_VALUE"""),"Красивые представления ")</f>
        <v>Красивые представления </v>
      </c>
      <c r="AC1215" s="6" t="str">
        <f>IFERROR(__xludf.DUMMYFUNCTION("""COMPUTED_VALUE"""),"Мэппинг шоу ")</f>
        <v>Мэппинг шоу </v>
      </c>
      <c r="AD121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215" s="6" t="str">
        <f>IFERROR(__xludf.DUMMYFUNCTION("""COMPUTED_VALUE"""),"Мужской")</f>
        <v>Мужской</v>
      </c>
      <c r="AF1215" s="6" t="str">
        <f>IFERROR(__xludf.DUMMYFUNCTION("""COMPUTED_VALUE"""),"18-29")</f>
        <v>18-29</v>
      </c>
      <c r="AG1215" s="6"/>
      <c r="AH1215" s="6"/>
      <c r="AI1215" s="6"/>
      <c r="AJ1215" s="6"/>
      <c r="AK1215" s="6"/>
      <c r="AL1215" s="6"/>
      <c r="AM1215" s="6"/>
    </row>
    <row r="1216">
      <c r="A1216" s="6">
        <v>1215.0</v>
      </c>
      <c r="B1216" s="6" t="str">
        <f>IFERROR(__xludf.DUMMYFUNCTION("""COMPUTED_VALUE"""),"Студент ")</f>
        <v>Студент </v>
      </c>
      <c r="C1216" s="6" t="str">
        <f>IFERROR(__xludf.DUMMYFUNCTION("""COMPUTED_VALUE"""),"Нет")</f>
        <v>Нет</v>
      </c>
      <c r="D1216" s="6" t="str">
        <f>IFERROR(__xludf.DUMMYFUNCTION("""COMPUTED_VALUE"""),"Ленинский ")</f>
        <v>Ленинский </v>
      </c>
      <c r="E1216" s="6" t="str">
        <f>IFERROR(__xludf.DUMMYFUNCTION("""COMPUTED_VALUE"""),"Сквер на бульваре Строителей ")</f>
        <v>Сквер на бульваре Строителей </v>
      </c>
      <c r="F1216" s="6" t="str">
        <f>IFERROR(__xludf.DUMMYFUNCTION("""COMPUTED_VALUE"""),"Переехал сюда из другого места (откуда? укажите в графе другое), Из г. Белово ")</f>
        <v>Переехал сюда из другого места (откуда? укажите в графе другое), Из г. Белово </v>
      </c>
      <c r="G1216" s="6" t="str">
        <f>IFERROR(__xludf.DUMMYFUNCTION("""COMPUTED_VALUE"""),"Парк Чудес ")</f>
        <v>Парк Чудес </v>
      </c>
      <c r="H1216" s="6" t="str">
        <f>IFERROR(__xludf.DUMMYFUNCTION("""COMPUTED_VALUE"""),"Серость, многолюдность, хрущёвки, дым")</f>
        <v>Серость, многолюдность, хрущёвки, дым</v>
      </c>
      <c r="I1216" s="6" t="str">
        <f>IFERROR(__xludf.DUMMYFUNCTION("""COMPUTED_VALUE"""),"Тулеев, Леонов")</f>
        <v>Тулеев, Леонов</v>
      </c>
      <c r="J1216" s="6" t="str">
        <f>IFERROR(__xludf.DUMMYFUNCTION("""COMPUTED_VALUE"""),"Середюк")</f>
        <v>Середюк</v>
      </c>
      <c r="K1216" s="6" t="str">
        <f>IFERROR(__xludf.DUMMYFUNCTION("""COMPUTED_VALUE"""),"Монумент «Память шахтёрам Кузбасса», Красная горка, Площадь Советов")</f>
        <v>Монумент «Память шахтёрам Кузбасса», Красная горка, Площадь Советов</v>
      </c>
      <c r="L1216" s="6" t="str">
        <f>IFERROR(__xludf.DUMMYFUNCTION("""COMPUTED_VALUE"""),"Лентяю день длинен, а работящему его не хватает")</f>
        <v>Лентяю день длинен, а работящему его не хватает</v>
      </c>
      <c r="M1216" s="6" t="str">
        <f>IFERROR(__xludf.DUMMYFUNCTION("""COMPUTED_VALUE"""),"Мультифора")</f>
        <v>Мультифора</v>
      </c>
      <c r="N1216" s="6" t="str">
        <f>IFERROR(__xludf.DUMMYFUNCTION("""COMPUTED_VALUE"""),"Озелененность, велосипедные дорожки, мойка дорог, сортировка мусора")</f>
        <v>Озелененность, велосипедные дорожки, мойка дорог, сортировка мусора</v>
      </c>
      <c r="O1216" s="6" t="str">
        <f>IFERROR(__xludf.DUMMYFUNCTION("""COMPUTED_VALUE"""),"Сомневаюсь в ответе ")</f>
        <v>Сомневаюсь в ответе </v>
      </c>
      <c r="P1216" s="6" t="str">
        <f>IFERROR(__xludf.DUMMYFUNCTION("""COMPUTED_VALUE"""),"От преподователей института ")</f>
        <v>От преподователей института </v>
      </c>
      <c r="Q121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16" s="6" t="str">
        <f>IFERROR(__xludf.DUMMYFUNCTION("""COMPUTED_VALUE"""),"День шахтёра")</f>
        <v>День шахтёра</v>
      </c>
      <c r="S1216" s="6" t="str">
        <f>IFERROR(__xludf.DUMMYFUNCTION("""COMPUTED_VALUE"""),"Нет, не приходилось")</f>
        <v>Нет, не приходилось</v>
      </c>
      <c r="T1216" s="6" t="str">
        <f>IFERROR(__xludf.DUMMYFUNCTION("""COMPUTED_VALUE"""),"Не знаю ")</f>
        <v>Не знаю </v>
      </c>
      <c r="U1216" s="6" t="str">
        <f>IFERROR(__xludf.DUMMYFUNCTION("""COMPUTED_VALUE"""),"Площадь Советов")</f>
        <v>Площадь Советов</v>
      </c>
      <c r="V1216" s="6" t="str">
        <f>IFERROR(__xludf.DUMMYFUNCTION("""COMPUTED_VALUE"""),"Не знаю ")</f>
        <v>Не знаю </v>
      </c>
      <c r="W1216" s="6" t="str">
        <f>IFERROR(__xludf.DUMMYFUNCTION("""COMPUTED_VALUE"""),"Отчуждённые")</f>
        <v>Отчуждённые</v>
      </c>
      <c r="X1216" s="6" t="str">
        <f>IFERROR(__xludf.DUMMYFUNCTION("""COMPUTED_VALUE"""),"По центру города ")</f>
        <v>По центру города </v>
      </c>
      <c r="Y1216" s="6" t="str">
        <f>IFERROR(__xludf.DUMMYFUNCTION("""COMPUTED_VALUE"""),"Множество важных для города событий ")</f>
        <v>Множество важных для города событий </v>
      </c>
      <c r="Z1216" s="6" t="str">
        <f>IFERROR(__xludf.DUMMYFUNCTION("""COMPUTED_VALUE"""),"Открытие парка ангелов")</f>
        <v>Открытие парка ангелов</v>
      </c>
      <c r="AA1216" s="6" t="str">
        <f>IFERROR(__xludf.DUMMYFUNCTION("""COMPUTED_VALUE"""),"Трагедия ""Зимний вишни"" ")</f>
        <v>Трагедия "Зимний вишни" </v>
      </c>
      <c r="AB1216" s="6" t="str">
        <f>IFERROR(__xludf.DUMMYFUNCTION("""COMPUTED_VALUE"""),"По интересам")</f>
        <v>По интересам</v>
      </c>
      <c r="AC1216" s="6" t="str">
        <f>IFERROR(__xludf.DUMMYFUNCTION("""COMPUTED_VALUE"""),"Музыкальных фестивалей")</f>
        <v>Музыкальных фестивалей</v>
      </c>
      <c r="AD121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216" s="6" t="str">
        <f>IFERROR(__xludf.DUMMYFUNCTION("""COMPUTED_VALUE"""),"Женский")</f>
        <v>Женский</v>
      </c>
      <c r="AF1216" s="6" t="str">
        <f>IFERROR(__xludf.DUMMYFUNCTION("""COMPUTED_VALUE"""),"18-29")</f>
        <v>18-29</v>
      </c>
      <c r="AG1216" s="6"/>
      <c r="AH1216" s="6"/>
      <c r="AI1216" s="6"/>
      <c r="AJ1216" s="6"/>
      <c r="AK1216" s="6"/>
      <c r="AL1216" s="6"/>
      <c r="AM1216" s="6"/>
    </row>
    <row r="1217">
      <c r="A1217" s="6">
        <v>1216.0</v>
      </c>
      <c r="B1217" s="6" t="str">
        <f>IFERROR(__xludf.DUMMYFUNCTION("""COMPUTED_VALUE"""),"Студент")</f>
        <v>Студент</v>
      </c>
      <c r="C1217" s="6" t="str">
        <f>IFERROR(__xludf.DUMMYFUNCTION("""COMPUTED_VALUE"""),"Нет")</f>
        <v>Нет</v>
      </c>
      <c r="D1217" s="6" t="str">
        <f>IFERROR(__xludf.DUMMYFUNCTION("""COMPUTED_VALUE"""),"Заводской ")</f>
        <v>Заводской </v>
      </c>
      <c r="E1217" s="6" t="str">
        <f>IFERROR(__xludf.DUMMYFUNCTION("""COMPUTED_VALUE"""),"Аллея ")</f>
        <v>Аллея </v>
      </c>
      <c r="F1217" s="6" t="str">
        <f>IFERROR(__xludf.DUMMYFUNCTION("""COMPUTED_VALUE"""),"Живу здесь с рождения")</f>
        <v>Живу здесь с рождения</v>
      </c>
      <c r="G1217" s="6" t="str">
        <f>IFERROR(__xludf.DUMMYFUNCTION("""COMPUTED_VALUE"""),"Парк чудес ")</f>
        <v>Парк чудес </v>
      </c>
      <c r="H1217" s="6" t="str">
        <f>IFERROR(__xludf.DUMMYFUNCTION("""COMPUTED_VALUE"""),"Дым, серость, зелень, многолюдность, хрущевки")</f>
        <v>Дым, серость, зелень, многолюдность, хрущевки</v>
      </c>
      <c r="I1217" s="6" t="str">
        <f>IFERROR(__xludf.DUMMYFUNCTION("""COMPUTED_VALUE"""),"Тулеев")</f>
        <v>Тулеев</v>
      </c>
      <c r="J1217" s="6" t="str">
        <f>IFERROR(__xludf.DUMMYFUNCTION("""COMPUTED_VALUE"""),"Середюк")</f>
        <v>Середюк</v>
      </c>
      <c r="K1217" s="6" t="str">
        <f>IFERROR(__xludf.DUMMYFUNCTION("""COMPUTED_VALUE"""),"Красная горка")</f>
        <v>Красная горка</v>
      </c>
      <c r="L1217" s="6" t="str">
        <f>IFERROR(__xludf.DUMMYFUNCTION("""COMPUTED_VALUE"""),"Лентяю день длинен, а работящему его не хватает")</f>
        <v>Лентяю день длинен, а работящему его не хватает</v>
      </c>
      <c r="M1217" s="6" t="str">
        <f>IFERROR(__xludf.DUMMYFUNCTION("""COMPUTED_VALUE"""),"Мультифора")</f>
        <v>Мультифора</v>
      </c>
      <c r="N1217" s="6" t="str">
        <f>IFERROR(__xludf.DUMMYFUNCTION("""COMPUTED_VALUE"""),"Чистота воздуха, зелень")</f>
        <v>Чистота воздуха, зелень</v>
      </c>
      <c r="O1217" s="6" t="str">
        <f>IFERROR(__xludf.DUMMYFUNCTION("""COMPUTED_VALUE"""),"Ничего ")</f>
        <v>Ничего </v>
      </c>
      <c r="P1217" s="6" t="str">
        <f>IFERROR(__xludf.DUMMYFUNCTION("""COMPUTED_VALUE"""),"Из рекламы ")</f>
        <v>Из рекламы </v>
      </c>
      <c r="Q121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17" s="6" t="str">
        <f>IFERROR(__xludf.DUMMYFUNCTION("""COMPUTED_VALUE"""),"День шахтёра ")</f>
        <v>День шахтёра </v>
      </c>
      <c r="S1217" s="6" t="str">
        <f>IFERROR(__xludf.DUMMYFUNCTION("""COMPUTED_VALUE"""),"Нет, не приходилось")</f>
        <v>Нет, не приходилось</v>
      </c>
      <c r="T1217" s="6" t="str">
        <f>IFERROR(__xludf.DUMMYFUNCTION("""COMPUTED_VALUE"""),"Не знаю ")</f>
        <v>Не знаю </v>
      </c>
      <c r="U1217" s="6" t="str">
        <f>IFERROR(__xludf.DUMMYFUNCTION("""COMPUTED_VALUE"""),"Площадь Советов")</f>
        <v>Площадь Советов</v>
      </c>
      <c r="V1217" s="6" t="str">
        <f>IFERROR(__xludf.DUMMYFUNCTION("""COMPUTED_VALUE"""),"Не знаю ")</f>
        <v>Не знаю </v>
      </c>
      <c r="W1217" s="6" t="str">
        <f>IFERROR(__xludf.DUMMYFUNCTION("""COMPUTED_VALUE"""),"Отчужденные ")</f>
        <v>Отчужденные </v>
      </c>
      <c r="X1217" s="6" t="str">
        <f>IFERROR(__xludf.DUMMYFUNCTION("""COMPUTED_VALUE"""),"По центру города ")</f>
        <v>По центру города </v>
      </c>
      <c r="Y1217" s="6" t="str">
        <f>IFERROR(__xludf.DUMMYFUNCTION("""COMPUTED_VALUE"""),"Много важных событий ")</f>
        <v>Много важных событий </v>
      </c>
      <c r="Z1217" s="6" t="str">
        <f>IFERROR(__xludf.DUMMYFUNCTION("""COMPUTED_VALUE"""),"Не знаю ")</f>
        <v>Не знаю </v>
      </c>
      <c r="AA1217" s="6" t="str">
        <f>IFERROR(__xludf.DUMMYFUNCTION("""COMPUTED_VALUE"""),"Не знаю ")</f>
        <v>Не знаю </v>
      </c>
      <c r="AB1217" s="6" t="str">
        <f>IFERROR(__xludf.DUMMYFUNCTION("""COMPUTED_VALUE"""),"Творческих ")</f>
        <v>Творческих </v>
      </c>
      <c r="AC1217" s="6" t="str">
        <f>IFERROR(__xludf.DUMMYFUNCTION("""COMPUTED_VALUE"""),"Мероприятия по интересам ")</f>
        <v>Мероприятия по интересам </v>
      </c>
      <c r="AD1217"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217" s="6" t="str">
        <f>IFERROR(__xludf.DUMMYFUNCTION("""COMPUTED_VALUE"""),"Женский")</f>
        <v>Женский</v>
      </c>
      <c r="AF1217" s="6" t="str">
        <f>IFERROR(__xludf.DUMMYFUNCTION("""COMPUTED_VALUE"""),"18-29")</f>
        <v>18-29</v>
      </c>
      <c r="AG1217" s="6"/>
      <c r="AH1217" s="6"/>
      <c r="AI1217" s="6"/>
      <c r="AJ1217" s="6"/>
      <c r="AK1217" s="6"/>
      <c r="AL1217" s="6"/>
      <c r="AM1217" s="6"/>
    </row>
    <row r="1218">
      <c r="A1218" s="6">
        <v>1217.0</v>
      </c>
      <c r="B1218" s="6" t="str">
        <f>IFERROR(__xludf.DUMMYFUNCTION("""COMPUTED_VALUE"""),"Преподаватель ")</f>
        <v>Преподаватель </v>
      </c>
      <c r="C1218" s="6" t="str">
        <f>IFERROR(__xludf.DUMMYFUNCTION("""COMPUTED_VALUE"""),"Спорт")</f>
        <v>Спорт</v>
      </c>
      <c r="D1218" s="6" t="str">
        <f>IFERROR(__xludf.DUMMYFUNCTION("""COMPUTED_VALUE"""),"Рудничный. Радуга ")</f>
        <v>Рудничный. Радуга </v>
      </c>
      <c r="E1218" s="6" t="str">
        <f>IFERROR(__xludf.DUMMYFUNCTION("""COMPUTED_VALUE"""),"Красная горка; Сосновый бор ")</f>
        <v>Красная горка; Сосновый бор </v>
      </c>
      <c r="F1218" s="6" t="str">
        <f>IFERROR(__xludf.DUMMYFUNCTION("""COMPUTED_VALUE"""),"Живу здесь с рождения")</f>
        <v>Живу здесь с рождения</v>
      </c>
      <c r="G1218" s="6" t="str">
        <f>IFERROR(__xludf.DUMMYFUNCTION("""COMPUTED_VALUE"""),"Часто езжу на Лесную поляну; гуляю в Сосновом бору")</f>
        <v>Часто езжу на Лесную поляну; гуляю в Сосновом бору</v>
      </c>
      <c r="H1218" s="6" t="str">
        <f>IFERROR(__xludf.DUMMYFUNCTION("""COMPUTED_VALUE"""),"Томь; Ван Лохем; Волков; шахтеры; карьеры")</f>
        <v>Томь; Ван Лохем; Волков; шахтеры; карьеры</v>
      </c>
      <c r="I1218" s="6" t="str">
        <f>IFERROR(__xludf.DUMMYFUNCTION("""COMPUTED_VALUE"""),"Рутгерс; Подгорбунский; Ван Лохем; Волков (хотя это скорее мифологический, а не исторический образ); Вучичевич-Сибирский")</f>
        <v>Рутгерс; Подгорбунский; Ван Лохем; Волков (хотя это скорее мифологический, а не исторический образ); Вучичевич-Сибирский</v>
      </c>
      <c r="J1218" s="6" t="str">
        <f>IFERROR(__xludf.DUMMYFUNCTION("""COMPUTED_VALUE"""),"Середюк; Тулеев; Гришковец; Балибалов; поэт Федоров; Забавин")</f>
        <v>Середюк; Тулеев; Гришковец; Балибалов; поэт Федоров; Забавин</v>
      </c>
      <c r="K1218" s="6" t="str">
        <f>IFERROR(__xludf.DUMMYFUNCTION("""COMPUTED_VALUE"""),"Памятник шахтёру Эрнста Неизвестного; графитти Кемерово; скульптуру Хмелевского; архитектурные объекты Ван Лохема; более дальние объекты - Томская Писаница и Ферма Лобановых")</f>
        <v>Памятник шахтёру Эрнста Неизвестного; графитти Кемерово; скульптуру Хмелевского; архитектурные объекты Ван Лохема; более дальние объекты - Томская Писаница и Ферма Лобановых</v>
      </c>
      <c r="L1218" s="6" t="str">
        <f>IFERROR(__xludf.DUMMYFUNCTION("""COMPUTED_VALUE"""),"У меня ассоциация музыкальная песня «Человек из Кемерово» ")</f>
        <v>У меня ассоциация музыкальная песня «Человек из Кемерово» </v>
      </c>
      <c r="M1218" s="6" t="str">
        <f>IFERROR(__xludf.DUMMYFUNCTION("""COMPUTED_VALUE"""),"Нет")</f>
        <v>Нет</v>
      </c>
      <c r="N1218" s="6" t="str">
        <f>IFERROR(__xludf.DUMMYFUNCTION("""COMPUTED_VALUE"""),"Удобство; доступность; чистота; многообразие культурных объектов и услуг; развитая инфраструктура ")</f>
        <v>Удобство; доступность; чистота; многообразие культурных объектов и услуг; развитая инфраструктура </v>
      </c>
      <c r="O1218" s="6" t="str">
        <f>IFERROR(__xludf.DUMMYFUNCTION("""COMPUTED_VALUE"""),"Условия экологии")</f>
        <v>Условия экологии</v>
      </c>
      <c r="P1218" s="6" t="str">
        <f>IFERROR(__xludf.DUMMYFUNCTION("""COMPUTED_VALUE"""),"Инстаграмм")</f>
        <v>Инстаграмм</v>
      </c>
      <c r="Q121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(рейтинги/а"&amp;"налитика/тенденции),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218" s="6" t="str">
        <f>IFERROR(__xludf.DUMMYFUNCTION("""COMPUTED_VALUE"""),"День города ")</f>
        <v>День города </v>
      </c>
      <c r="S1218" s="6" t="str">
        <f>IFERROR(__xludf.DUMMYFUNCTION("""COMPUTED_VALUE"""),"Через социальные сети (Какие? Укажите в графе другое), Инстаграмм ")</f>
        <v>Через социальные сети (Какие? Укажите в графе другое), Инстаграмм </v>
      </c>
      <c r="T1218" s="6" t="str">
        <f>IFERROR(__xludf.DUMMYFUNCTION("""COMPUTED_VALUE"""),"Кемерово знаменит Красной горкой и деятельностью АИК. А ещё Сосновый Бор наш тоже уникален!")</f>
        <v>Кемерово знаменит Красной горкой и деятельностью АИК. А ещё Сосновый Бор наш тоже уникален!</v>
      </c>
      <c r="U1218" s="6" t="str">
        <f>IFERROR(__xludf.DUMMYFUNCTION("""COMPUTED_VALUE"""),"Фонтан Драмтеатра; Горелая гора; Притомская набережная ")</f>
        <v>Фонтан Драмтеатра; Горелая гора; Притомская набережная </v>
      </c>
      <c r="V1218" s="6" t="str">
        <f>IFERROR(__xludf.DUMMYFUNCTION("""COMPUTED_VALUE"""),"Представители разных профессий - научных, творческих и рабочих - разных времён внесли свой вклад в развитие города")</f>
        <v>Представители разных профессий - научных, творческих и рабочих - разных времён внесли свой вклад в развитие города</v>
      </c>
      <c r="W1218" s="6" t="str">
        <f>IFERROR(__xludf.DUMMYFUNCTION("""COMPUTED_VALUE"""),"Любопытные; аполитичные; осторожные; не любители просвещать и просвещаться; ")</f>
        <v>Любопытные; аполитичные; осторожные; не любители просвещать и просвещаться; </v>
      </c>
      <c r="X1218" s="6" t="str">
        <f>IFERROR(__xludf.DUMMYFUNCTION("""COMPUTED_VALUE"""),"Проспект Советский, Улица Весенняя, набережная ")</f>
        <v>Проспект Советский, Улица Весенняя, набережная </v>
      </c>
      <c r="Y1218" s="6" t="str">
        <f>IFERROR(__xludf.DUMMYFUNCTION("""COMPUTED_VALUE"""),"Деятельность АИК")</f>
        <v>Деятельность АИК</v>
      </c>
      <c r="Z1218" s="6" t="str">
        <f>IFERROR(__xludf.DUMMYFUNCTION("""COMPUTED_VALUE"""),"К сожалению, коронавирус испортил все позитивные впечатления...")</f>
        <v>К сожалению, коронавирус испортил все позитивные впечатления...</v>
      </c>
      <c r="AA1218" s="6" t="str">
        <f>IFERROR(__xludf.DUMMYFUNCTION("""COMPUTED_VALUE"""),"Зимняя Вишня")</f>
        <v>Зимняя Вишня</v>
      </c>
      <c r="AB1218" s="6" t="str">
        <f>IFERROR(__xludf.DUMMYFUNCTION("""COMPUTED_VALUE"""),"Территории креативного кластера")</f>
        <v>Территории креативного кластера</v>
      </c>
      <c r="AC1218" s="6" t="str">
        <f>IFERROR(__xludf.DUMMYFUNCTION("""COMPUTED_VALUE"""),"Неформальные творческие мероприятия и события, инициированные самими жителями")</f>
        <v>Неформальные творческие мероприятия и события, инициированные самими жителями</v>
      </c>
      <c r="AD1218"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18" s="6" t="str">
        <f>IFERROR(__xludf.DUMMYFUNCTION("""COMPUTED_VALUE"""),"Женский")</f>
        <v>Женский</v>
      </c>
      <c r="AF1218" s="6" t="str">
        <f>IFERROR(__xludf.DUMMYFUNCTION("""COMPUTED_VALUE"""),"30-44")</f>
        <v>30-44</v>
      </c>
      <c r="AG1218" s="6"/>
      <c r="AH1218" s="6"/>
      <c r="AI1218" s="6"/>
      <c r="AJ1218" s="6"/>
      <c r="AK1218" s="6"/>
      <c r="AL1218" s="6"/>
      <c r="AM1218" s="6"/>
    </row>
    <row r="1219">
      <c r="A1219" s="6">
        <v>1218.0</v>
      </c>
      <c r="B1219" s="6" t="str">
        <f>IFERROR(__xludf.DUMMYFUNCTION("""COMPUTED_VALUE"""),"Я ученик")</f>
        <v>Я ученик</v>
      </c>
      <c r="C1219" s="6" t="str">
        <f>IFERROR(__xludf.DUMMYFUNCTION("""COMPUTED_VALUE"""),"Да, рисование")</f>
        <v>Да, рисование</v>
      </c>
      <c r="D1219" s="6" t="str">
        <f>IFERROR(__xludf.DUMMYFUNCTION("""COMPUTED_VALUE"""),"В заводском")</f>
        <v>В заводском</v>
      </c>
      <c r="E1219" s="6" t="str">
        <f>IFERROR(__xludf.DUMMYFUNCTION("""COMPUTED_VALUE"""),"Парк ангелов")</f>
        <v>Парк ангелов</v>
      </c>
      <c r="F1219" s="6" t="str">
        <f>IFERROR(__xludf.DUMMYFUNCTION("""COMPUTED_VALUE"""),"Живу здесь с рождения")</f>
        <v>Живу здесь с рождения</v>
      </c>
      <c r="G1219" s="6" t="str">
        <f>IFERROR(__xludf.DUMMYFUNCTION("""COMPUTED_VALUE"""),"В парк ангелов")</f>
        <v>В парк ангелов</v>
      </c>
      <c r="H1219" s="6" t="str">
        <f>IFERROR(__xludf.DUMMYFUNCTION("""COMPUTED_VALUE"""),"Уголь, бежевый, гора, малонаселённость, река")</f>
        <v>Уголь, бежевый, гора, малонаселённость, река</v>
      </c>
      <c r="I1219" s="6" t="str">
        <f>IFERROR(__xludf.DUMMYFUNCTION("""COMPUTED_VALUE"""),"М. Волков, В. Волошина, Л. Леонтьев")</f>
        <v>М. Волков, В. Волошина, Л. Леонтьев</v>
      </c>
      <c r="J1219" s="6" t="str">
        <f>IFERROR(__xludf.DUMMYFUNCTION("""COMPUTED_VALUE"""),"Я не знаю таких")</f>
        <v>Я не знаю таких</v>
      </c>
      <c r="K1219" s="6" t="str">
        <f>IFERROR(__xludf.DUMMYFUNCTION("""COMPUTED_VALUE"""),"Парк ангелов")</f>
        <v>Парк ангелов</v>
      </c>
      <c r="L1219" s="6" t="str">
        <f>IFERROR(__xludf.DUMMYFUNCTION("""COMPUTED_VALUE"""),"Не знаю таких, не слышала ")</f>
        <v>Не знаю таких, не слышала </v>
      </c>
      <c r="M1219" s="6" t="str">
        <f>IFERROR(__xludf.DUMMYFUNCTION("""COMPUTED_VALUE"""),"Нет")</f>
        <v>Нет</v>
      </c>
      <c r="N1219" s="6" t="str">
        <f>IFERROR(__xludf.DUMMYFUNCTION("""COMPUTED_VALUE"""),"1. В городе должны быть места для получения образования, 2. Должна быть доступность магазинов, школ, университетов и т.д, 3. Город должен быть экологичным, хотя бы в одном районе, 4. Каждому человеку хотелось бы видеть красивый город, поэтому качественнос"&amp;"ть и красоту фасадов, 5. Больше рабочих мест, чтобы найти работу было доступней.")</f>
        <v>1. В городе должны быть места для получения образования, 2. Должна быть доступность магазинов, школ, университетов и т.д, 3. Город должен быть экологичным, хотя бы в одном районе, 4. Каждому человеку хотелось бы видеть красивый город, поэтому качественность и красоту фасадов, 5. Больше рабочих мест, чтобы найти работу было доступней.</v>
      </c>
      <c r="O1219" s="6" t="str">
        <f>IFERROR(__xludf.DUMMYFUNCTION("""COMPUTED_VALUE"""),"Создать то, чтобы в городе появились рабочие места для людей, увеличилась заробная плата, ну и образование. Возможно экология и улучшение города как визуально, так и по другим критериям.")</f>
        <v>Создать то, чтобы в городе появились рабочие места для людей, увеличилась заробная плата, ну и образование. Возможно экология и улучшение города как визуально, так и по другим критериям.</v>
      </c>
      <c r="P1219" s="6" t="str">
        <f>IFERROR(__xludf.DUMMYFUNCTION("""COMPUTED_VALUE"""),"От знакомых")</f>
        <v>От знакомых</v>
      </c>
      <c r="Q1219" s="6" t="str">
        <f>IFERROR(__xludf.DUMMYFUNCTION("""COMPUTED_VALUE"""),"где вкусно поесть/открытие новых кафе/ресторанов, интервью с местными творческими личностями, криминальные новости (происшествия/преступления)")</f>
        <v>где вкусно поесть/открытие новых кафе/ресторанов, интервью с местными творческими личностями, криминальные новости (происшествия/преступления)</v>
      </c>
      <c r="R1219" s="6" t="str">
        <f>IFERROR(__xludf.DUMMYFUNCTION("""COMPUTED_VALUE"""),"Думаю, что день города")</f>
        <v>Думаю, что день города</v>
      </c>
      <c r="S1219" s="6" t="str">
        <f>IFERROR(__xludf.DUMMYFUNCTION("""COMPUTED_VALUE"""),"Нет, не приходилось")</f>
        <v>Нет, не приходилось</v>
      </c>
      <c r="T1219" s="6" t="str">
        <f>IFERROR(__xludf.DUMMYFUNCTION("""COMPUTED_VALUE"""),"Думаю история, то что многие выдающейся люди именно из нашего города. Еще если взять недавние события, то пожар в ""Зимняя вишня"" создал некую популярность для города, основалась она на плохих событий, но основалась. А что уникально? Если честно, то я не"&amp;" знаю.")</f>
        <v>Думаю история, то что многие выдающейся люди именно из нашего города. Еще если взять недавние события, то пожар в "Зимняя вишня" создал некую популярность для города, основалась она на плохих событий, но основалась. А что уникально? Если честно, то я не знаю.</v>
      </c>
      <c r="U1219" s="6" t="str">
        <f>IFERROR(__xludf.DUMMYFUNCTION("""COMPUTED_VALUE"""),"Площадь совета и улицу проходящую там. Там красивая архитектура и много доступностей.")</f>
        <v>Площадь совета и улицу проходящую там. Там красивая архитектура и много доступностей.</v>
      </c>
      <c r="V1219" s="6" t="str">
        <f>IFERROR(__xludf.DUMMYFUNCTION("""COMPUTED_VALUE"""),"Создали что-то по типу открытия, который прославил наш маленький регион.")</f>
        <v>Создали что-то по типу открытия, который прославил наш маленький регион.</v>
      </c>
      <c r="W1219" s="6" t="str">
        <f>IFERROR(__xludf.DUMMYFUNCTION("""COMPUTED_VALUE"""),"Я не общалась с многими, но знаю, что многие доброжелательны, но не все. В наше время много злых людей из-за нехватки денежных средств.")</f>
        <v>Я не общалась с многими, но знаю, что многие доброжелательны, но не все. В наше время много злых людей из-за нехватки денежных средств.</v>
      </c>
      <c r="X1219" s="6" t="str">
        <f>IFERROR(__xludf.DUMMYFUNCTION("""COMPUTED_VALUE"""),"Думаю, что музей ""Красная Горка"", так как там рассказывается об шахтерах, потом уже по самому городу. По центру, возможно по музеям.")</f>
        <v>Думаю, что музей "Красная Горка", так как там рассказывается об шахтерах, потом уже по самому городу. По центру, возможно по музеям.</v>
      </c>
      <c r="Y1219" s="6" t="str">
        <f>IFERROR(__xludf.DUMMYFUNCTION("""COMPUTED_VALUE"""),"Открытие угля")</f>
        <v>Открытие угля</v>
      </c>
      <c r="Z1219" s="6" t="str">
        <f>IFERROR(__xludf.DUMMYFUNCTION("""COMPUTED_VALUE"""),"Ремонт в школе номер ""7"")")</f>
        <v>Ремонт в школе номер "7")</v>
      </c>
      <c r="AA1219" s="6" t="str">
        <f>IFERROR(__xludf.DUMMYFUNCTION("""COMPUTED_VALUE"""),"Затрудняюсь ответить")</f>
        <v>Затрудняюсь ответить</v>
      </c>
      <c r="AB1219" s="6" t="str">
        <f>IFERROR(__xludf.DUMMYFUNCTION("""COMPUTED_VALUE"""),"Каких-то общественных мероприятий с творческими мастер классами")</f>
        <v>Каких-то общественных мероприятий с творческими мастер классами</v>
      </c>
      <c r="AC1219" s="6" t="str">
        <f>IFERROR(__xludf.DUMMYFUNCTION("""COMPUTED_VALUE"""),"Затрудняюсь ответить")</f>
        <v>Затрудняюсь ответить</v>
      </c>
      <c r="AD121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v>
      </c>
      <c r="AE1219" s="6" t="str">
        <f>IFERROR(__xludf.DUMMYFUNCTION("""COMPUTED_VALUE"""),"Женский")</f>
        <v>Женский</v>
      </c>
      <c r="AF1219" s="6" t="str">
        <f>IFERROR(__xludf.DUMMYFUNCTION("""COMPUTED_VALUE"""),"18-29")</f>
        <v>18-29</v>
      </c>
      <c r="AG1219" s="6"/>
      <c r="AH1219" s="6"/>
      <c r="AI1219" s="6"/>
      <c r="AJ1219" s="6"/>
      <c r="AK1219" s="6"/>
      <c r="AL1219" s="6"/>
      <c r="AM1219" s="6"/>
    </row>
    <row r="1220">
      <c r="A1220" s="6">
        <v>1219.0</v>
      </c>
      <c r="B1220" s="6" t="str">
        <f>IFERROR(__xludf.DUMMYFUNCTION("""COMPUTED_VALUE"""),"Работаю")</f>
        <v>Работаю</v>
      </c>
      <c r="C1220" s="6" t="str">
        <f>IFERROR(__xludf.DUMMYFUNCTION("""COMPUTED_VALUE"""),"Нет")</f>
        <v>Нет</v>
      </c>
      <c r="D1220" s="6" t="str">
        <f>IFERROR(__xludf.DUMMYFUNCTION("""COMPUTED_VALUE"""),"пгт Кедровка")</f>
        <v>пгт Кедровка</v>
      </c>
      <c r="E1220" s="6" t="str">
        <f>IFERROR(__xludf.DUMMYFUNCTION("""COMPUTED_VALUE"""),"Парк победы, Томская Писсаница, городской сад")</f>
        <v>Парк победы, Томская Писсаница, городской сад</v>
      </c>
      <c r="F1220" s="6" t="str">
        <f>IFERROR(__xludf.DUMMYFUNCTION("""COMPUTED_VALUE"""),"Живу здесь с рождения")</f>
        <v>Живу здесь с рождения</v>
      </c>
      <c r="G1220" s="6" t="str">
        <f>IFERROR(__xludf.DUMMYFUNCTION("""COMPUTED_VALUE"""),"Парк Победы")</f>
        <v>Парк Победы</v>
      </c>
      <c r="H1220" s="6" t="str">
        <f>IFERROR(__xludf.DUMMYFUNCTION("""COMPUTED_VALUE"""),"Домашний, семейный, уютный, доброжелательный, чистый")</f>
        <v>Домашний, семейный, уютный, доброжелательный, чистый</v>
      </c>
      <c r="I1220" s="6" t="str">
        <f>IFERROR(__xludf.DUMMYFUNCTION("""COMPUTED_VALUE"""),"****")</f>
        <v>****</v>
      </c>
      <c r="J1220" s="6" t="str">
        <f>IFERROR(__xludf.DUMMYFUNCTION("""COMPUTED_VALUE"""),"Леонов ")</f>
        <v>Леонов </v>
      </c>
      <c r="K1220" s="6" t="str">
        <f>IFERROR(__xludf.DUMMYFUNCTION("""COMPUTED_VALUE"""),"Парк победы, Городской сад")</f>
        <v>Парк победы, Городской сад</v>
      </c>
      <c r="L1220" s="6" t="str">
        <f>IFERROR(__xludf.DUMMYFUNCTION("""COMPUTED_VALUE"""),"***")</f>
        <v>***</v>
      </c>
      <c r="M1220" s="6" t="str">
        <f>IFERROR(__xludf.DUMMYFUNCTION("""COMPUTED_VALUE"""),"***")</f>
        <v>***</v>
      </c>
      <c r="N1220" s="6" t="str">
        <f>IFERROR(__xludf.DUMMYFUNCTION("""COMPUTED_VALUE"""),"***")</f>
        <v>***</v>
      </c>
      <c r="O1220" s="6" t="str">
        <f>IFERROR(__xludf.DUMMYFUNCTION("""COMPUTED_VALUE"""),"Порядок во дворах, на детских площадках, чтоб с собаками не гуляли")</f>
        <v>Порядок во дворах, на детских площадках, чтоб с собаками не гуляли</v>
      </c>
      <c r="P1220" s="6" t="str">
        <f>IFERROR(__xludf.DUMMYFUNCTION("""COMPUTED_VALUE"""),"все42,")</f>
        <v>все42,</v>
      </c>
      <c r="Q1220"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220" s="6" t="str">
        <f>IFERROR(__xludf.DUMMYFUNCTION("""COMPUTED_VALUE"""),"День шахтера, новый год")</f>
        <v>День шахтера, новый год</v>
      </c>
      <c r="S1220" s="6" t="str">
        <f>IFERROR(__xludf.DUMMYFUNCTION("""COMPUTED_VALUE"""),"Нет, не приходилось")</f>
        <v>Нет, не приходилось</v>
      </c>
      <c r="T1220" s="6" t="str">
        <f>IFERROR(__xludf.DUMMYFUNCTION("""COMPUTED_VALUE"""),"угледобычей")</f>
        <v>угледобычей</v>
      </c>
      <c r="U1220" s="6" t="str">
        <f>IFERROR(__xludf.DUMMYFUNCTION("""COMPUTED_VALUE"""),"Площадь Советов, Городской сад")</f>
        <v>Площадь Советов, Городской сад</v>
      </c>
      <c r="V1220" s="6" t="str">
        <f>IFERROR(__xludf.DUMMYFUNCTION("""COMPUTED_VALUE"""),"***")</f>
        <v>***</v>
      </c>
      <c r="W1220" s="6" t="str">
        <f>IFERROR(__xludf.DUMMYFUNCTION("""COMPUTED_VALUE"""),"***")</f>
        <v>***</v>
      </c>
      <c r="X1220" s="6" t="str">
        <f>IFERROR(__xludf.DUMMYFUNCTION("""COMPUTED_VALUE"""),"***")</f>
        <v>***</v>
      </c>
      <c r="Y1220" s="6" t="str">
        <f>IFERROR(__xludf.DUMMYFUNCTION("""COMPUTED_VALUE"""),"***")</f>
        <v>***</v>
      </c>
      <c r="Z1220" s="6" t="str">
        <f>IFERROR(__xludf.DUMMYFUNCTION("""COMPUTED_VALUE"""),"***")</f>
        <v>***</v>
      </c>
      <c r="AA1220" s="6" t="str">
        <f>IFERROR(__xludf.DUMMYFUNCTION("""COMPUTED_VALUE"""),"***")</f>
        <v>***</v>
      </c>
      <c r="AB1220" s="6" t="str">
        <f>IFERROR(__xludf.DUMMYFUNCTION("""COMPUTED_VALUE"""),"***")</f>
        <v>***</v>
      </c>
      <c r="AC1220" s="6" t="str">
        <f>IFERROR(__xludf.DUMMYFUNCTION("""COMPUTED_VALUE"""),"***")</f>
        <v>***</v>
      </c>
      <c r="AD122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220" s="6" t="str">
        <f>IFERROR(__xludf.DUMMYFUNCTION("""COMPUTED_VALUE"""),"Женский")</f>
        <v>Женский</v>
      </c>
      <c r="AF1220" s="6" t="str">
        <f>IFERROR(__xludf.DUMMYFUNCTION("""COMPUTED_VALUE"""),"30-44")</f>
        <v>30-44</v>
      </c>
      <c r="AG1220" s="6"/>
      <c r="AH1220" s="6"/>
      <c r="AI1220" s="6"/>
      <c r="AJ1220" s="6"/>
      <c r="AK1220" s="6"/>
      <c r="AL1220" s="6"/>
      <c r="AM1220" s="6"/>
    </row>
    <row r="1221">
      <c r="A1221" s="6">
        <v>1220.0</v>
      </c>
      <c r="B1221" s="6" t="str">
        <f>IFERROR(__xludf.DUMMYFUNCTION("""COMPUTED_VALUE"""),"Учитель ")</f>
        <v>Учитель </v>
      </c>
      <c r="C1221" s="6" t="str">
        <f>IFERROR(__xludf.DUMMYFUNCTION("""COMPUTED_VALUE"""),"Чтение, путешествия")</f>
        <v>Чтение, путешествия</v>
      </c>
      <c r="D1221" s="6" t="str">
        <f>IFERROR(__xludf.DUMMYFUNCTION("""COMPUTED_VALUE"""),"Кедровка")</f>
        <v>Кедровка</v>
      </c>
      <c r="E1221" s="6" t="str">
        <f>IFERROR(__xludf.DUMMYFUNCTION("""COMPUTED_VALUE"""),"Парк Победы, стадион, спорт комплекс, ДК. Греческая деревня. ")</f>
        <v>Парк Победы, стадион, спорт комплекс, ДК. Греческая деревня. </v>
      </c>
      <c r="F1221" s="6" t="str">
        <f>IFERROR(__xludf.DUMMYFUNCTION("""COMPUTED_VALUE"""),"Живу здесь с рождения")</f>
        <v>Живу здесь с рождения</v>
      </c>
      <c r="G1221" s="6" t="str">
        <f>IFERROR(__xludf.DUMMYFUNCTION("""COMPUTED_VALUE"""),"Парк Чудес, набережная, бульвар. ")</f>
        <v>Парк Чудес, набережная, бульвар. </v>
      </c>
      <c r="H1221" s="6" t="str">
        <f>IFERROR(__xludf.DUMMYFUNCTION("""COMPUTED_VALUE"""),"Красная горка, Томь, Михайло Волков, Томская Писаница, добыча угля. ")</f>
        <v>Красная горка, Томь, Михайло Волков, Томская Писаница, добыча угля. </v>
      </c>
      <c r="I1221" s="6" t="str">
        <f>IFERROR(__xludf.DUMMYFUNCTION("""COMPUTED_VALUE"""),"Михайло Волков, Леонов. ")</f>
        <v>Михайло Волков, Леонов. </v>
      </c>
      <c r="J1221" s="6" t="str">
        <f>IFERROR(__xludf.DUMMYFUNCTION("""COMPUTED_VALUE"""),"Анатолий Приставка. Бывший директор разреза Кедровский. ")</f>
        <v>Анатолий Приставка. Бывший директор разреза Кедровский. </v>
      </c>
      <c r="K1221" s="6" t="str">
        <f>IFERROR(__xludf.DUMMYFUNCTION("""COMPUTED_VALUE"""),"Набережная, Томская Писаница, Спорткомплекс Олимп, Площадь Волкова, Весення улица, Драмтеатр. ")</f>
        <v>Набережная, Томская Писаница, Спорткомплекс Олимп, Площадь Волкова, Весення улица, Драмтеатр. </v>
      </c>
      <c r="L1221" s="6" t="str">
        <f>IFERROR(__xludf.DUMMYFUNCTION("""COMPUTED_VALUE"""),"Мороз не велик, а стоять не велит. Гори гори ясно, чтобы не погасло. ")</f>
        <v>Мороз не велик, а стоять не велит. Гори гори ясно, чтобы не погасло. </v>
      </c>
      <c r="M1221" s="6" t="str">
        <f>IFERROR(__xludf.DUMMYFUNCTION("""COMPUTED_VALUE"""),"Зимняя вишня")</f>
        <v>Зимняя вишня</v>
      </c>
      <c r="N1221" s="6" t="str">
        <f>IFERROR(__xludf.DUMMYFUNCTION("""COMPUTED_VALUE"""),"1)Чистый воздух, 2)много зелени(лес и  парки для прогулок) , 3)доступное жильё и цены на жкх, 4)отсутствие преступности, 5) Достойная медицина и образование. ")</f>
        <v>1)Чистый воздух, 2)много зелени(лес и  парки для прогулок) , 3)доступное жильё и цены на жкх, 4)отсутствие преступности, 5) Достойная медицина и образование. </v>
      </c>
      <c r="O1221" s="6" t="str">
        <f>IFERROR(__xludf.DUMMYFUNCTION("""COMPUTED_VALUE"""),"Выбросы вредных веществ в атмосферу и водоёмы. ")</f>
        <v>Выбросы вредных веществ в атмосферу и водоёмы. </v>
      </c>
      <c r="P1221" s="6" t="str">
        <f>IFERROR(__xludf.DUMMYFUNCTION("""COMPUTED_VALUE"""),"Афиша Кемерово, Vse42, группа вк. ")</f>
        <v>Афиша Кемерово, Vse42, группа вк. </v>
      </c>
      <c r="Q1221"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21" s="6" t="str">
        <f>IFERROR(__xludf.DUMMYFUNCTION("""COMPUTED_VALUE"""),"День победы, день Шахтеров, Новый год. ")</f>
        <v>День победы, день Шахтеров, Новый год. </v>
      </c>
      <c r="S1221" s="6" t="str">
        <f>IFERROR(__xludf.DUMMYFUNCTION("""COMPUTED_VALUE"""),"Нет, не приходилось")</f>
        <v>Нет, не приходилось</v>
      </c>
      <c r="T1221" s="6" t="str">
        <f>IFERROR(__xludf.DUMMYFUNCTION("""COMPUTED_VALUE"""),"Угольная столица. ")</f>
        <v>Угольная столица. </v>
      </c>
      <c r="U1221" s="6" t="str">
        <f>IFERROR(__xludf.DUMMYFUNCTION("""COMPUTED_VALUE"""),"Драмтеатр, площадь Советов. ")</f>
        <v>Драмтеатр, площадь Советов. </v>
      </c>
      <c r="V1221" s="6" t="str">
        <f>IFERROR(__xludf.DUMMYFUNCTION("""COMPUTED_VALUE"""),"Выучились на профессиональных специалистов, которые добросовестно трудились и поднимали промышленность в наших суровых условиях. ")</f>
        <v>Выучились на профессиональных специалистов, которые добросовестно трудились и поднимали промышленность в наших суровых условиях. </v>
      </c>
      <c r="W1221" s="6" t="str">
        <f>IFERROR(__xludf.DUMMYFUNCTION("""COMPUTED_VALUE"""),"Стойкие, сильные, гостиприимные, сплоченные, своих в беде не бросают. ")</f>
        <v>Стойкие, сильные, гостиприимные, сплоченные, своих в беде не бросают. </v>
      </c>
      <c r="X1221" s="6" t="str">
        <f>IFERROR(__xludf.DUMMYFUNCTION("""COMPUTED_VALUE"""),"Набережная")</f>
        <v>Набережная</v>
      </c>
      <c r="Y1221" s="6" t="str">
        <f>IFERROR(__xludf.DUMMYFUNCTION("""COMPUTED_VALUE"""),"Нахождение угля на Красной горке. Рок фестиваль около Лапландии ")</f>
        <v>Нахождение угля на Красной горке. Рок фестиваль около Лапландии </v>
      </c>
      <c r="Z1221" s="6" t="str">
        <f>IFERROR(__xludf.DUMMYFUNCTION("""COMPUTED_VALUE"""),"Рок фестиваль на проспекте Октябрьском. ")</f>
        <v>Рок фестиваль на проспекте Октябрьском. </v>
      </c>
      <c r="AA1221" s="6" t="str">
        <f>IFERROR(__xludf.DUMMYFUNCTION("""COMPUTED_VALUE"""),"В период пандемии, основная масса учеников не усвоила программу 2019-2020 года в нужном объёме. ")</f>
        <v>В период пандемии, основная масса учеников не усвоила программу 2019-2020 года в нужном объёме. </v>
      </c>
      <c r="AB1221" s="6" t="str">
        <f>IFERROR(__xludf.DUMMYFUNCTION("""COMPUTED_VALUE"""),"Все хватает. ")</f>
        <v>Все хватает. </v>
      </c>
      <c r="AC1221" s="6" t="str">
        <f>IFERROR(__xludf.DUMMYFUNCTION("""COMPUTED_VALUE""")," Аквапарк. ")</f>
        <v> Аквапарк. </v>
      </c>
      <c r="AD1221" s="6" t="str">
        <f>IFERROR(__xludf.DUMMYFUNCTION("""COMPUTED_VALUE"""),"Не готов принимать личное участие (укажите, пожалуйста, причину в поле «Другое»), Уеду на лето в другой город. ")</f>
        <v>Не готов принимать личное участие (укажите, пожалуйста, причину в поле «Другое»), Уеду на лето в другой город. </v>
      </c>
      <c r="AE1221" s="6" t="str">
        <f>IFERROR(__xludf.DUMMYFUNCTION("""COMPUTED_VALUE"""),"Женский")</f>
        <v>Женский</v>
      </c>
      <c r="AF1221" s="6" t="str">
        <f>IFERROR(__xludf.DUMMYFUNCTION("""COMPUTED_VALUE"""),"30-44")</f>
        <v>30-44</v>
      </c>
      <c r="AG1221" s="6"/>
      <c r="AH1221" s="6"/>
      <c r="AI1221" s="6"/>
      <c r="AJ1221" s="6"/>
      <c r="AK1221" s="6"/>
      <c r="AL1221" s="6"/>
      <c r="AM1221" s="6"/>
    </row>
    <row r="1222">
      <c r="A1222" s="6">
        <v>1221.0</v>
      </c>
      <c r="B1222" s="6" t="str">
        <f>IFERROR(__xludf.DUMMYFUNCTION("""COMPUTED_VALUE"""),"пенсионер")</f>
        <v>пенсионер</v>
      </c>
      <c r="C1222" s="6" t="str">
        <f>IFERROR(__xludf.DUMMYFUNCTION("""COMPUTED_VALUE"""),"краеведение")</f>
        <v>краеведение</v>
      </c>
      <c r="D1222" s="6" t="str">
        <f>IFERROR(__xludf.DUMMYFUNCTION("""COMPUTED_VALUE"""),"кировский")</f>
        <v>кировский</v>
      </c>
      <c r="E1222" s="6" t="str">
        <f>IFERROR(__xludf.DUMMYFUNCTION("""COMPUTED_VALUE"""),"набережная")</f>
        <v>набережная</v>
      </c>
      <c r="F1222" s="6" t="str">
        <f>IFERROR(__xludf.DUMMYFUNCTION("""COMPUTED_VALUE"""),"Живу здесь с рождения")</f>
        <v>Живу здесь с рождения</v>
      </c>
      <c r="G1222" s="6" t="str">
        <f>IFERROR(__xludf.DUMMYFUNCTION("""COMPUTED_VALUE"""),"набережная")</f>
        <v>набережная</v>
      </c>
      <c r="H1222" s="6" t="str">
        <f>IFERROR(__xludf.DUMMYFUNCTION("""COMPUTED_VALUE"""),"грязь, запущенность, формализм, безразличие к истории, экономичность.")</f>
        <v>грязь, запущенность, формализм, безразличие к истории, экономичность.</v>
      </c>
      <c r="I1222" s="6" t="str">
        <f>IFERROR(__xludf.DUMMYFUNCTION("""COMPUTED_VALUE"""),"очень много, но помним и говорим только о партийных чиновниках")</f>
        <v>очень много, но помним и говорим только о партийных чиновниках</v>
      </c>
      <c r="J1222" s="6" t="str">
        <f>IFERROR(__xludf.DUMMYFUNCTION("""COMPUTED_VALUE"""),"в моём словаре более 50 человек")</f>
        <v>в моём словаре более 50 человек</v>
      </c>
      <c r="K1222" s="6" t="str">
        <f>IFERROR(__xludf.DUMMYFUNCTION("""COMPUTED_VALUE"""),"Красная Горка, Рудник, но с большим стыдом")</f>
        <v>Красная Горка, Рудник, но с большим стыдом</v>
      </c>
      <c r="L1222" s="6" t="str">
        <f>IFERROR(__xludf.DUMMYFUNCTION("""COMPUTED_VALUE"""),"нет")</f>
        <v>нет</v>
      </c>
      <c r="M1222" s="6" t="str">
        <f>IFERROR(__xludf.DUMMYFUNCTION("""COMPUTED_VALUE"""),"нет")</f>
        <v>нет</v>
      </c>
      <c r="N1222" s="6" t="str">
        <f>IFERROR(__xludf.DUMMYFUNCTION("""COMPUTED_VALUE"""),"историзм, чистота, зелёные насаждения, красивые фасады зданий, уличные диваны и урны.")</f>
        <v>историзм, чистота, зелёные насаждения, красивые фасады зданий, уличные диваны и урны.</v>
      </c>
      <c r="O1222" s="6" t="str">
        <f>IFERROR(__xludf.DUMMYFUNCTION("""COMPUTED_VALUE"""),"реставрация фасадов зданий")</f>
        <v>реставрация фасадов зданий</v>
      </c>
      <c r="P1222" s="6" t="str">
        <f>IFERROR(__xludf.DUMMYFUNCTION("""COMPUTED_VALUE"""),"газета Кемерово")</f>
        <v>газета Кемерово</v>
      </c>
      <c r="Q1222" s="6" t="str">
        <f>IFERROR(__xludf.DUMMYFUNCTION("""COMPUTED_VALUE"""),"городская афиша (кино/театр/концерты), интервью с местными творческими личностями, интервью с местными предпринимателями, краеведческие статьи")</f>
        <v>городская афиша (кино/театр/концерты), интервью с местными творческими личностями, интервью с местными предпринимателями, краеведческие статьи</v>
      </c>
      <c r="R1222" s="6" t="str">
        <f>IFERROR(__xludf.DUMMYFUNCTION("""COMPUTED_VALUE"""),"нет")</f>
        <v>нет</v>
      </c>
      <c r="S1222" s="6" t="str">
        <f>IFERROR(__xludf.DUMMYFUNCTION("""COMPUTED_VALUE"""),"Через социальные сети (Какие? Укажите в графе другое)")</f>
        <v>Через социальные сети (Какие? Укажите в графе другое)</v>
      </c>
      <c r="T1222" s="6" t="str">
        <f>IFERROR(__xludf.DUMMYFUNCTION("""COMPUTED_VALUE"""),"уголь, химия")</f>
        <v>уголь, химия</v>
      </c>
      <c r="U1222" s="6" t="str">
        <f>IFERROR(__xludf.DUMMYFUNCTION("""COMPUTED_VALUE"""),"Красная Горка, Рудник")</f>
        <v>Красная Горка, Рудник</v>
      </c>
      <c r="V1222" s="6" t="str">
        <f>IFERROR(__xludf.DUMMYFUNCTION("""COMPUTED_VALUE"""),"Серебряный Бор")</f>
        <v>Серебряный Бор</v>
      </c>
      <c r="W1222" s="6" t="str">
        <f>IFERROR(__xludf.DUMMYFUNCTION("""COMPUTED_VALUE"""),"нет ничего особенного, как все")</f>
        <v>нет ничего особенного, как все</v>
      </c>
      <c r="X1222" s="6" t="str">
        <f>IFERROR(__xludf.DUMMYFUNCTION("""COMPUTED_VALUE"""),"Красная Горка, Рудник")</f>
        <v>Красная Горка, Рудник</v>
      </c>
      <c r="Y1222" s="6" t="str">
        <f>IFERROR(__xludf.DUMMYFUNCTION("""COMPUTED_VALUE"""),"Кот да Винчи и Ольга Васильева")</f>
        <v>Кот да Винчи и Ольга Васильева</v>
      </c>
      <c r="Z1222" s="6" t="str">
        <f>IFERROR(__xludf.DUMMYFUNCTION("""COMPUTED_VALUE"""),"ничего особенного")</f>
        <v>ничего особенного</v>
      </c>
      <c r="AA1222" s="6" t="str">
        <f>IFERROR(__xludf.DUMMYFUNCTION("""COMPUTED_VALUE"""),"создание комфортной среды эконом-класса")</f>
        <v>создание комфортной среды эконом-класса</v>
      </c>
      <c r="AB1222" s="6" t="str">
        <f>IFERROR(__xludf.DUMMYFUNCTION("""COMPUTED_VALUE"""),"да каких только нет")</f>
        <v>да каких только нет</v>
      </c>
      <c r="AC1222" s="6" t="str">
        <f>IFERROR(__xludf.DUMMYFUNCTION("""COMPUTED_VALUE"""),"поддержать Ольгу Васильеву")</f>
        <v>поддержать Ольгу Васильеву</v>
      </c>
      <c r="AD122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v>
      </c>
      <c r="AE1222" s="6" t="str">
        <f>IFERROR(__xludf.DUMMYFUNCTION("""COMPUTED_VALUE"""),"Мужской")</f>
        <v>Мужской</v>
      </c>
      <c r="AF1222" s="6" t="str">
        <f>IFERROR(__xludf.DUMMYFUNCTION("""COMPUTED_VALUE"""),"старше 55")</f>
        <v>старше 55</v>
      </c>
      <c r="AG1222" s="6"/>
      <c r="AH1222" s="6"/>
      <c r="AI1222" s="6"/>
      <c r="AJ1222" s="6"/>
      <c r="AK1222" s="6"/>
      <c r="AL1222" s="6"/>
      <c r="AM1222" s="6"/>
    </row>
    <row r="1223">
      <c r="A1223" s="6">
        <v>1222.0</v>
      </c>
      <c r="B1223" s="6" t="str">
        <f>IFERROR(__xludf.DUMMYFUNCTION("""COMPUTED_VALUE"""),"Учитель математики")</f>
        <v>Учитель математики</v>
      </c>
      <c r="C1223" s="6" t="str">
        <f>IFERROR(__xludf.DUMMYFUNCTION("""COMPUTED_VALUE"""),"Читать, путешествовать")</f>
        <v>Читать, путешествовать</v>
      </c>
      <c r="D1223" s="6" t="str">
        <f>IFERROR(__xludf.DUMMYFUNCTION("""COMPUTED_VALUE"""),"Кедровка")</f>
        <v>Кедровка</v>
      </c>
      <c r="E1223" s="6" t="str">
        <f>IFERROR(__xludf.DUMMYFUNCTION("""COMPUTED_VALUE"""),"Парк Победы, фонтан, Спорткомплекс Олимп, стадион Открытчик, ДК Содружество, Церковь, греческая деревня. ")</f>
        <v>Парк Победы, фонтан, Спорткомплекс Олимп, стадион Открытчик, ДК Содружество, Церковь, греческая деревня. </v>
      </c>
      <c r="F1223" s="6" t="str">
        <f>IFERROR(__xludf.DUMMYFUNCTION("""COMPUTED_VALUE"""),"Живу здесь с рождения")</f>
        <v>Живу здесь с рождения</v>
      </c>
      <c r="G1223" s="6" t="str">
        <f>IFERROR(__xludf.DUMMYFUNCTION("""COMPUTED_VALUE"""),"Рестораны, кинотеатры, набережная, выезд на дачу в Маручаке.")</f>
        <v>Рестораны, кинотеатры, набережная, выезд на дачу в Маручаке.</v>
      </c>
      <c r="H1223" s="6" t="str">
        <f>IFERROR(__xludf.DUMMYFUNCTION("""COMPUTED_VALUE"""),"Томь, Красная горка, Лапландия, Драмтеатр, ТЦ Я. ")</f>
        <v>Томь, Красная горка, Лапландия, Драмтеатр, ТЦ Я. </v>
      </c>
      <c r="I1223" s="6" t="str">
        <f>IFERROR(__xludf.DUMMYFUNCTION("""COMPUTED_VALUE"""),"Михайло Волков, Леонов. ")</f>
        <v>Михайло Волков, Леонов. </v>
      </c>
      <c r="J1223" s="6" t="str">
        <f>IFERROR(__xludf.DUMMYFUNCTION("""COMPUTED_VALUE"""),"Анатолий Приставка, бывший директор Разрез Кедровский, много сделал в свое время, для посёлка. ")</f>
        <v>Анатолий Приставка, бывший директор Разрез Кедровский, много сделал в свое время, для посёлка. </v>
      </c>
      <c r="K1223" s="6" t="str">
        <f>IFERROR(__xludf.DUMMYFUNCTION("""COMPUTED_VALUE"""),"Набережная, Парк чудес, Драмтеатр, парк Зимняя вишня. Спорткомплекс Олимп, Томская Писаница. ")</f>
        <v>Набережная, Парк чудес, Драмтеатр, парк Зимняя вишня. Спорткомплекс Олимп, Томская Писаница. </v>
      </c>
      <c r="L1223" s="6" t="str">
        <f>IFERROR(__xludf.DUMMYFUNCTION("""COMPUTED_VALUE"""),"Мороз не велик, а стоять не велит. Гори гори ясно, чтобы не погасло. ")</f>
        <v>Мороз не велик, а стоять не велит. Гори гори ясно, чтобы не погасло. </v>
      </c>
      <c r="M1223" s="6" t="str">
        <f>IFERROR(__xludf.DUMMYFUNCTION("""COMPUTED_VALUE"""),"Зимняя вишня, ассоциируется с Кемерово теперь. Томская Писаница. ")</f>
        <v>Зимняя вишня, ассоциируется с Кемерово теперь. Томская Писаница. </v>
      </c>
      <c r="N1223" s="6" t="str">
        <f>IFERROR(__xludf.DUMMYFUNCTION("""COMPUTED_VALUE"""),"Чистый воздух, большое количество зелени(парки, леса), отсутствие приступности, доступное жильё и низкие цены жкх, достойное образование и доступная мидицина. ")</f>
        <v>Чистый воздух, большое количество зелени(парки, леса), отсутствие приступности, доступное жильё и низкие цены жкх, достойное образование и доступная мидицина. </v>
      </c>
      <c r="O1223" s="6" t="str">
        <f>IFERROR(__xludf.DUMMYFUNCTION("""COMPUTED_VALUE"""),"Уменьшить вредных выбрасов в атмосферу и водоёмы. Экологический контроль. ")</f>
        <v>Уменьшить вредных выбрасов в атмосферу и водоёмы. Экологический контроль. </v>
      </c>
      <c r="P1223" s="6" t="str">
        <f>IFERROR(__xludf.DUMMYFUNCTION("""COMPUTED_VALUE"""),"Афиша кемерово, Vse42 ")</f>
        <v>Афиша кемерово, Vse42 </v>
      </c>
      <c r="Q1223"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23" s="6" t="str">
        <f>IFERROR(__xludf.DUMMYFUNCTION("""COMPUTED_VALUE"""),"Новый год, день победы, день шахтёра. ")</f>
        <v>Новый год, день победы, день шахтёра. </v>
      </c>
      <c r="S1223" s="6" t="str">
        <f>IFERROR(__xludf.DUMMYFUNCTION("""COMPUTED_VALUE"""),"Нет, не приходилось")</f>
        <v>Нет, не приходилось</v>
      </c>
      <c r="T1223" s="6" t="str">
        <f>IFERROR(__xludf.DUMMYFUNCTION("""COMPUTED_VALUE"""),"Угольный край. ")</f>
        <v>Угольный край. </v>
      </c>
      <c r="U1223" s="6" t="str">
        <f>IFERROR(__xludf.DUMMYFUNCTION("""COMPUTED_VALUE"""),"Драмтеатр, площадь Советов. ")</f>
        <v>Драмтеатр, площадь Советов. </v>
      </c>
      <c r="V1223" s="6" t="str">
        <f>IFERROR(__xludf.DUMMYFUNCTION("""COMPUTED_VALUE"""),"Воспитали и выучили достойных специалистов, которые научились масштабно добывать уголь, благодаря которым и вырос наш город. ")</f>
        <v>Воспитали и выучили достойных специалистов, которые научились масштабно добывать уголь, благодаря которым и вырос наш город. </v>
      </c>
      <c r="W1223" s="6" t="str">
        <f>IFERROR(__xludf.DUMMYFUNCTION("""COMPUTED_VALUE"""),"Стойкие, дружные, гостепреимные. ")</f>
        <v>Стойкие, дружные, гостепреимные. </v>
      </c>
      <c r="X1223" s="6" t="str">
        <f>IFERROR(__xludf.DUMMYFUNCTION("""COMPUTED_VALUE"""),"Набережная, Томская Писаница. ")</f>
        <v>Набережная, Томская Писаница. </v>
      </c>
      <c r="Y1223" s="6" t="str">
        <f>IFERROR(__xludf.DUMMYFUNCTION("""COMPUTED_VALUE"""),"Михайло Волков нашёл полезное ископаемое(горючий камень) на Красной горке. ")</f>
        <v>Михайло Волков нашёл полезное ископаемое(горючий камень) на Красной горке. </v>
      </c>
      <c r="Z1223" s="6" t="str">
        <f>IFERROR(__xludf.DUMMYFUNCTION("""COMPUTED_VALUE"""),"Рок фестиваль, на Октябрьском. ")</f>
        <v>Рок фестиваль, на Октябрьском. </v>
      </c>
      <c r="AA1223" s="6" t="str">
        <f>IFERROR(__xludf.DUMMYFUNCTION("""COMPUTED_VALUE"""),"В связи с пандемией, дети ушли на дистанционное обучение и не усвоила программу 2019-2020 учебного года в нужном обьёме. ")</f>
        <v>В связи с пандемией, дети ушли на дистанционное обучение и не усвоила программу 2019-2020 учебного года в нужном обьёме. </v>
      </c>
      <c r="AB1223" s="6" t="str">
        <f>IFERROR(__xludf.DUMMYFUNCTION("""COMPUTED_VALUE"""),"Всего хватает")</f>
        <v>Всего хватает</v>
      </c>
      <c r="AC1223" s="6" t="str">
        <f>IFERROR(__xludf.DUMMYFUNCTION("""COMPUTED_VALUE"""),"Аквапарк")</f>
        <v>Аквапарк</v>
      </c>
      <c r="AD1223" s="6" t="str">
        <f>IFERROR(__xludf.DUMMYFUNCTION("""COMPUTED_VALUE"""),"Не готов принимать личное участие (укажите, пожалуйста, причину в поле «Другое»), Уезжаю на лето. ")</f>
        <v>Не готов принимать личное участие (укажите, пожалуйста, причину в поле «Другое»), Уезжаю на лето. </v>
      </c>
      <c r="AE1223" s="6" t="str">
        <f>IFERROR(__xludf.DUMMYFUNCTION("""COMPUTED_VALUE"""),"Женский")</f>
        <v>Женский</v>
      </c>
      <c r="AF1223" s="6" t="str">
        <f>IFERROR(__xludf.DUMMYFUNCTION("""COMPUTED_VALUE"""),"30-44")</f>
        <v>30-44</v>
      </c>
      <c r="AG1223" s="6"/>
      <c r="AH1223" s="6"/>
      <c r="AI1223" s="6"/>
      <c r="AJ1223" s="6"/>
      <c r="AK1223" s="6"/>
      <c r="AL1223" s="6"/>
      <c r="AM1223" s="6"/>
    </row>
    <row r="1224">
      <c r="A1224" s="6">
        <v>1223.0</v>
      </c>
      <c r="B1224" s="6" t="str">
        <f>IFERROR(__xludf.DUMMYFUNCTION("""COMPUTED_VALUE"""),"Мастер декоративно-прикладной живописи -профессионально владею урало-сибирской росписью (кемеровский вариант). Пишу картины, выставляюсь, провожу мастер-классы.")</f>
        <v>Мастер декоративно-прикладной живописи -профессионально владею урало-сибирской росписью (кемеровский вариант). Пишу картины, выставляюсь, провожу мастер-классы.</v>
      </c>
      <c r="C1224" s="6" t="str">
        <f>IFERROR(__xludf.DUMMYFUNCTION("""COMPUTED_VALUE"""),"Хобби - садовый дизайн, цветоводство")</f>
        <v>Хобби - садовый дизайн, цветоводство</v>
      </c>
      <c r="D1224" s="6" t="str">
        <f>IFERROR(__xludf.DUMMYFUNCTION("""COMPUTED_VALUE"""),"Кировский, дом родной")</f>
        <v>Кировский, дом родной</v>
      </c>
      <c r="E1224" s="6" t="str">
        <f>IFERROR(__xludf.DUMMYFUNCTION("""COMPUTED_VALUE"""),"Березовая роща в центре района, красивая набережная, много зелени")</f>
        <v>Березовая роща в центре района, красивая набережная, много зелени</v>
      </c>
      <c r="F1224" s="6" t="str">
        <f>IFERROR(__xludf.DUMMYFUNCTION("""COMPUTED_VALUE"""),"Переехал сюда из другого места (откуда? укажите в графе другое), Приехала в Кемерово в 1974 г. по распределению работать на АКЗ из Украины (г. Киев)")</f>
        <v>Переехал сюда из другого места (откуда? укажите в графе другое), Приехала в Кемерово в 1974 г. по распределению работать на АКЗ из Украины (г. Киев)</v>
      </c>
      <c r="G1224" s="6" t="str">
        <f>IFERROR(__xludf.DUMMYFUNCTION("""COMPUTED_VALUE"""),"В Сосновый бор в Рудничном районе, набережная в Кировском районе, Парк чудес в Центральном районе")</f>
        <v>В Сосновый бор в Рудничном районе, набережная в Кировском районе, Парк чудес в Центральном районе</v>
      </c>
      <c r="H1224" s="6" t="str">
        <f>IFERROR(__xludf.DUMMYFUNCTION("""COMPUTED_VALUE"""),"тихий , неспешный, провинциальный, спокойный, современный")</f>
        <v>тихий , неспешный, провинциальный, спокойный, современный</v>
      </c>
      <c r="I1224" s="6" t="str">
        <f>IFERROR(__xludf.DUMMYFUNCTION("""COMPUTED_VALUE"""),"Михайло Волков - нашел уголь")</f>
        <v>Михайло Волков - нашел уголь</v>
      </c>
      <c r="J1224" s="6" t="str">
        <f>IFERROR(__xludf.DUMMYFUNCTION("""COMPUTED_VALUE"""),"Аман Тулеев")</f>
        <v>Аман Тулеев</v>
      </c>
      <c r="K1224" s="6" t="str">
        <f>IFERROR(__xludf.DUMMYFUNCTION("""COMPUTED_VALUE"""),"музей Красная горка, набережная Томи, Сосновый бор, Лесная Поляна, Ботанический сад, парки")</f>
        <v>музей Красная горка, набережная Томи, Сосновый бор, Лесная Поляна, Ботанический сад, парки</v>
      </c>
      <c r="L1224" s="6" t="str">
        <f>IFERROR(__xludf.DUMMYFUNCTION("""COMPUTED_VALUE"""),"нет")</f>
        <v>нет</v>
      </c>
      <c r="M1224" s="6" t="str">
        <f>IFERROR(__xludf.DUMMYFUNCTION("""COMPUTED_VALUE"""),"нет")</f>
        <v>нет</v>
      </c>
      <c r="N1224" s="6" t="str">
        <f>IFERROR(__xludf.DUMMYFUNCTION("""COMPUTED_VALUE"""),"1) легко добираться в любую часть города на транспорте
2) много цветов на бульварах - красиво
3) относительно чисто на улицах
4) мало загазованности
5) город становится красивее с каждым днем")</f>
        <v>1) легко добираться в любую часть города на транспорте
2) много цветов на бульварах - красиво
3) относительно чисто на улицах
4) мало загазованности
5) город становится красивее с каждым днем</v>
      </c>
      <c r="O1224" s="6" t="str">
        <f>IFERROR(__xludf.DUMMYFUNCTION("""COMPUTED_VALUE"""),"Очень сложно добираться в Кироский район по вечерам, после 9 вечера - с трудом, после 11- никак. Только на такси. Это плохо.")</f>
        <v>Очень сложно добираться в Кироский район по вечерам, после 9 вечера - с трудом, после 11- никак. Только на такси. Это плохо.</v>
      </c>
      <c r="P1224" s="6" t="str">
        <f>IFERROR(__xludf.DUMMYFUNCTION("""COMPUTED_VALUE"""),"По радио, телевизору, газета ""КП""")</f>
        <v>По радио, телевизору, газета "КП"</v>
      </c>
      <c r="Q1224"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результаты местных исс"&amp;"ледований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224" s="6" t="str">
        <f>IFERROR(__xludf.DUMMYFUNCTION("""COMPUTED_VALUE"""),"День города - 12 июня, День Шахтеров,  Новый Год, Масленица")</f>
        <v>День города - 12 июня, День Шахтеров,  Новый Год, Масленица</v>
      </c>
      <c r="S1224" s="6" t="str">
        <f>IFERROR(__xludf.DUMMYFUNCTION("""COMPUTED_VALUE"""),"нет")</f>
        <v>нет</v>
      </c>
      <c r="T1224" s="6" t="str">
        <f>IFERROR(__xludf.DUMMYFUNCTION("""COMPUTED_VALUE"""),"Стоит на Томи, правый берег высокий, скалистый, красивый.
Город на Томи, где когда-то нашли уголь.
Космонавт Алексей Леонов считается нашим земляком.")</f>
        <v>Стоит на Томи, правый берег высокий, скалистый, красивый.
Город на Томи, где когда-то нашли уголь.
Космонавт Алексей Леонов считается нашим земляком.</v>
      </c>
      <c r="U1224" s="6" t="str">
        <f>IFERROR(__xludf.DUMMYFUNCTION("""COMPUTED_VALUE"""),"Советский проспект - самый важный")</f>
        <v>Советский проспект - самый важный</v>
      </c>
      <c r="V1224" s="6" t="str">
        <f>IFERROR(__xludf.DUMMYFUNCTION("""COMPUTED_VALUE"""),"Отстроили новый современный город после советской серости.")</f>
        <v>Отстроили новый современный город после советской серости.</v>
      </c>
      <c r="W1224" s="6" t="str">
        <f>IFERROR(__xludf.DUMMYFUNCTION("""COMPUTED_VALUE"""),"Дружелюбные, непритязательные, с современными взглядами.")</f>
        <v>Дружелюбные, непритязательные, с современными взглядами.</v>
      </c>
      <c r="X1224" s="6" t="str">
        <f>IFERROR(__xludf.DUMMYFUNCTION("""COMPUTED_VALUE"""),"Улица Весенняя, драмтеатр, до набережной, потом направо в сторону Искитимки, потом до филармонии, далее спуститься до Университетского моста и еще прогуляться в парк Жукова и Антошка .")</f>
        <v>Улица Весенняя, драмтеатр, до набережной, потом направо в сторону Искитимки, потом до филармонии, далее спуститься до Университетского моста и еще прогуляться в парк Жукова и Антошка .</v>
      </c>
      <c r="Y1224" s="6" t="str">
        <f>IFERROR(__xludf.DUMMYFUNCTION("""COMPUTED_VALUE"""),"На Горелой горе нашли уголь.")</f>
        <v>На Горелой горе нашли уголь.</v>
      </c>
      <c r="Z1224" s="6" t="str">
        <f>IFERROR(__xludf.DUMMYFUNCTION("""COMPUTED_VALUE"""),"Обновился бульвар Строителей.")</f>
        <v>Обновился бульвар Строителей.</v>
      </c>
      <c r="AA1224" s="6" t="str">
        <f>IFERROR(__xludf.DUMMYFUNCTION("""COMPUTED_VALUE"""),"нет")</f>
        <v>нет</v>
      </c>
      <c r="AB1224" s="6" t="str">
        <f>IFERROR(__xludf.DUMMYFUNCTION("""COMPUTED_VALUE"""),"хватает")</f>
        <v>хватает</v>
      </c>
      <c r="AC1224" s="6" t="str">
        <f>IFERROR(__xludf.DUMMYFUNCTION("""COMPUTED_VALUE"""),"Хотелось бы праздников и фестивалей побольше. Но знаю, как это непросто.
Желаю нашему городу больше веселых моментов, чтобы люди чаще улыбались.")</f>
        <v>Хотелось бы праздников и фестивалей побольше. Но знаю, как это непросто.
Желаю нашему городу больше веселых моментов, чтобы люди чаще улыбались.</v>
      </c>
      <c r="AD1224"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24" s="6" t="str">
        <f>IFERROR(__xludf.DUMMYFUNCTION("""COMPUTED_VALUE"""),"Женский")</f>
        <v>Женский</v>
      </c>
      <c r="AF1224" s="6" t="str">
        <f>IFERROR(__xludf.DUMMYFUNCTION("""COMPUTED_VALUE"""),"старше 55")</f>
        <v>старше 55</v>
      </c>
      <c r="AG1224" s="6"/>
      <c r="AH1224" s="6"/>
      <c r="AI1224" s="6"/>
      <c r="AJ1224" s="6"/>
      <c r="AK1224" s="6"/>
      <c r="AL1224" s="6"/>
      <c r="AM1224" s="6"/>
    </row>
    <row r="1225">
      <c r="A1225" s="6">
        <v>1224.0</v>
      </c>
      <c r="B1225" s="6" t="str">
        <f>IFERROR(__xludf.DUMMYFUNCTION("""COMPUTED_VALUE"""),"Реализация детских и спортивных площадок")</f>
        <v>Реализация детских и спортивных площадок</v>
      </c>
      <c r="C1225" s="6" t="str">
        <f>IFERROR(__xludf.DUMMYFUNCTION("""COMPUTED_VALUE"""),"Рисование, чтение, коллекционирование уникальных фотографий.")</f>
        <v>Рисование, чтение, коллекционирование уникальных фотографий.</v>
      </c>
      <c r="D1225" s="6" t="str">
        <f>IFERROR(__xludf.DUMMYFUNCTION("""COMPUTED_VALUE"""),"Южный ")</f>
        <v>Южный </v>
      </c>
      <c r="E1225" s="6" t="str">
        <f>IFERROR(__xludf.DUMMYFUNCTION("""COMPUTED_VALUE"""),"Честно - про них мало, что знаю. Работа отнимает на данный момент львиную часть моей жизни.")</f>
        <v>Честно - про них мало, что знаю. Работа отнимает на данный момент львиную часть моей жизни.</v>
      </c>
      <c r="F1225" s="6" t="str">
        <f>IFERROR(__xludf.DUMMYFUNCTION("""COMPUTED_VALUE"""),"Переехал сюда из другого места (откуда? укажите в графе другое), Туйла")</f>
        <v>Переехал сюда из другого места (откуда? укажите в графе другое), Туйла</v>
      </c>
      <c r="G1225" s="6" t="str">
        <f>IFERROR(__xludf.DUMMYFUNCTION("""COMPUTED_VALUE"""),"Парк Ангелов и др. ")</f>
        <v>Парк Ангелов и др. </v>
      </c>
      <c r="H1225" s="6" t="str">
        <f>IFERROR(__xludf.DUMMYFUNCTION("""COMPUTED_VALUE"""),"Смог, СДС-Строй, уголь, август, красный.")</f>
        <v>Смог, СДС-Строй, уголь, август, красный.</v>
      </c>
      <c r="I1225" s="6" t="str">
        <f>IFERROR(__xludf.DUMMYFUNCTION("""COMPUTED_VALUE"""),"Алексей Леонов")</f>
        <v>Алексей Леонов</v>
      </c>
      <c r="J1225" s="6" t="str">
        <f>IFERROR(__xludf.DUMMYFUNCTION("""COMPUTED_VALUE"""),"Евгений Гришковец, Олег Тиньков.")</f>
        <v>Евгений Гришковец, Олег Тиньков.</v>
      </c>
      <c r="K1225" s="6" t="str">
        <f>IFERROR(__xludf.DUMMYFUNCTION("""COMPUTED_VALUE"""),"Стрит-арты на малоэтажных зданиях на проспекте Ленина. ")</f>
        <v>Стрит-арты на малоэтажных зданиях на проспекте Ленина. </v>
      </c>
      <c r="L1225" s="6" t="str">
        <f>IFERROR(__xludf.DUMMYFUNCTION("""COMPUTED_VALUE"""),"Не слышала)")</f>
        <v>Не слышала)</v>
      </c>
      <c r="M1225" s="6" t="str">
        <f>IFERROR(__xludf.DUMMYFUNCTION("""COMPUTED_VALUE"""),"Южный - никому не нужный. ")</f>
        <v>Южный - никому не нужный. </v>
      </c>
      <c r="N1225" s="6" t="str">
        <f>IFERROR(__xludf.DUMMYFUNCTION("""COMPUTED_VALUE"""),"- Достаточно спокойный город. 
- Не перенаселенный людьми.
- Наличие живописных мест в области.
- Сохранение архитектуры прошлых веков. 
Из комфорта - здесь только относительное спокойствие. ")</f>
        <v>- Достаточно спокойный город. 
- Не перенаселенный людьми.
- Наличие живописных мест в области.
- Сохранение архитектуры прошлых веков. 
Из комфорта - здесь только относительное спокойствие. </v>
      </c>
      <c r="O1225" s="6" t="str">
        <f>IFERROR(__xludf.DUMMYFUNCTION("""COMPUTED_VALUE"""),"Строить более надежные здания, функциональные и разнообразные парки и зоны отдыха и развлечений. ")</f>
        <v>Строить более надежные здания, функциональные и разнообразные парки и зоны отдыха и развлечений. </v>
      </c>
      <c r="P1225" s="6" t="str">
        <f>IFERROR(__xludf.DUMMYFUNCTION("""COMPUTED_VALUE"""),"VSE42.RU
A42.RU")</f>
        <v>VSE42.RU
A42.RU</v>
      </c>
      <c r="Q1225" s="6" t="str">
        <f>IFERROR(__xludf.DUMMYFUNCTION("""COMPUTED_VALUE"""),"где вкусно поесть/открытие новых кафе/ресторанов, результаты местных исследований (рейтинги/аналитика/тенденции), интервью с экспертами на разные темы (напишите в разделе Другое свои предложения)")</f>
        <v>где вкусно поесть/открытие новых кафе/ресторанов, результаты местных исследований (рейтинги/аналитика/тенденции), интервью с экспертами на разные темы (напишите в разделе Другое свои предложения)</v>
      </c>
      <c r="R1225" s="6" t="str">
        <f>IFERROR(__xludf.DUMMYFUNCTION("""COMPUTED_VALUE"""),"Особо никаких")</f>
        <v>Особо никаких</v>
      </c>
      <c r="S1225" s="6" t="str">
        <f>IFERROR(__xludf.DUMMYFUNCTION("""COMPUTED_VALUE"""),"Нет, не приходилось")</f>
        <v>Нет, не приходилось</v>
      </c>
      <c r="T1225" s="6" t="str">
        <f>IFERROR(__xludf.DUMMYFUNCTION("""COMPUTED_VALUE"""),"УУУУУУУГООООООЛЬ")</f>
        <v>УУУУУУУГООООООЛЬ</v>
      </c>
      <c r="U1225" s="6" t="str">
        <f>IFERROR(__xludf.DUMMYFUNCTION("""COMPUTED_VALUE"""),"Хм... ")</f>
        <v>Хм... </v>
      </c>
      <c r="V1225" s="6" t="str">
        <f>IFERROR(__xludf.DUMMYFUNCTION("""COMPUTED_VALUE"""),"Хм...")</f>
        <v>Хм...</v>
      </c>
      <c r="W1225" s="6" t="str">
        <f>IFERROR(__xludf.DUMMYFUNCTION("""COMPUTED_VALUE"""),"Постоянно все хотят спать.. В том числе и я:)")</f>
        <v>Постоянно все хотят спать.. В том числе и я:)</v>
      </c>
      <c r="X1225" s="6" t="str">
        <f>IFERROR(__xludf.DUMMYFUNCTION("""COMPUTED_VALUE"""),"Хм....")</f>
        <v>Хм....</v>
      </c>
      <c r="Y1225" s="6" t="str">
        <f>IFERROR(__xludf.DUMMYFUNCTION("""COMPUTED_VALUE"""),"Хм...")</f>
        <v>Хм...</v>
      </c>
      <c r="Z1225" s="6" t="str">
        <f>IFERROR(__xludf.DUMMYFUNCTION("""COMPUTED_VALUE"""),"Хм....")</f>
        <v>Хм....</v>
      </c>
      <c r="AA1225" s="6" t="str">
        <f>IFERROR(__xludf.DUMMYFUNCTION("""COMPUTED_VALUE"""),"Хм...")</f>
        <v>Хм...</v>
      </c>
      <c r="AB1225" s="6" t="str">
        <f>IFERROR(__xludf.DUMMYFUNCTION("""COMPUTED_VALUE"""),"Хм...")</f>
        <v>Хм...</v>
      </c>
      <c r="AC1225" s="6" t="str">
        <f>IFERROR(__xludf.DUMMYFUNCTION("""COMPUTED_VALUE"""),"Хм...")</f>
        <v>Хм...</v>
      </c>
      <c r="AD1225"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1225" s="6" t="str">
        <f>IFERROR(__xludf.DUMMYFUNCTION("""COMPUTED_VALUE"""),"Женский")</f>
        <v>Женский</v>
      </c>
      <c r="AF1225" s="6" t="str">
        <f>IFERROR(__xludf.DUMMYFUNCTION("""COMPUTED_VALUE"""),"18-29")</f>
        <v>18-29</v>
      </c>
      <c r="AG1225" s="6"/>
      <c r="AH1225" s="6"/>
      <c r="AI1225" s="6"/>
      <c r="AJ1225" s="6"/>
      <c r="AK1225" s="6"/>
      <c r="AL1225" s="6"/>
      <c r="AM1225" s="6"/>
    </row>
    <row r="1226">
      <c r="A1226" s="6">
        <v>1225.0</v>
      </c>
      <c r="B1226" s="6" t="str">
        <f>IFERROR(__xludf.DUMMYFUNCTION("""COMPUTED_VALUE"""),"Ученик ")</f>
        <v>Ученик </v>
      </c>
      <c r="C1226" s="6" t="str">
        <f>IFERROR(__xludf.DUMMYFUNCTION("""COMPUTED_VALUE"""),"Конноверховая езда ")</f>
        <v>Конноверховая езда </v>
      </c>
      <c r="D1226" s="6" t="str">
        <f>IFERROR(__xludf.DUMMYFUNCTION("""COMPUTED_VALUE"""),"Ленинский район,Ленинский ")</f>
        <v>Ленинский район,Ленинский </v>
      </c>
      <c r="E1226" s="6" t="str">
        <f>IFERROR(__xludf.DUMMYFUNCTION("""COMPUTED_VALUE"""),"Бульвар строителей")</f>
        <v>Бульвар строителей</v>
      </c>
      <c r="F1226" s="6" t="str">
        <f>IFERROR(__xludf.DUMMYFUNCTION("""COMPUTED_VALUE"""),"Живу здесь с рождения")</f>
        <v>Живу здесь с рождения</v>
      </c>
      <c r="G1226" s="6" t="str">
        <f>IFERROR(__xludf.DUMMYFUNCTION("""COMPUTED_VALUE"""),"В парк чудес,набережная ")</f>
        <v>В парк чудес,набережная </v>
      </c>
      <c r="H1226" s="6" t="str">
        <f>IFERROR(__xludf.DUMMYFUNCTION("""COMPUTED_VALUE"""),"Грязно,много молодёжи,красиво,серо,грустно ")</f>
        <v>Грязно,много молодёжи,красиво,серо,грустно </v>
      </c>
      <c r="I1226" s="6" t="str">
        <f>IFERROR(__xludf.DUMMYFUNCTION("""COMPUTED_VALUE"""),"Волков")</f>
        <v>Волков</v>
      </c>
      <c r="J1226" s="6" t="str">
        <f>IFERROR(__xludf.DUMMYFUNCTION("""COMPUTED_VALUE"""),"Хз")</f>
        <v>Хз</v>
      </c>
      <c r="K1226" s="6" t="str">
        <f>IFERROR(__xludf.DUMMYFUNCTION("""COMPUTED_VALUE"""),"Нихуя")</f>
        <v>Нихуя</v>
      </c>
      <c r="L1226" s="6" t="str">
        <f>IFERROR(__xludf.DUMMYFUNCTION("""COMPUTED_VALUE"""),"Идиоты")</f>
        <v>Идиоты</v>
      </c>
      <c r="M1226" s="6" t="str">
        <f>IFERROR(__xludf.DUMMYFUNCTION("""COMPUTED_VALUE"""),"Не")</f>
        <v>Не</v>
      </c>
      <c r="N1226" s="6" t="str">
        <f>IFERROR(__xludf.DUMMYFUNCTION("""COMPUTED_VALUE"""),"Красиво,эстетично,Чисто,с норм экологией")</f>
        <v>Красиво,эстетично,Чисто,с норм экологией</v>
      </c>
      <c r="O1226" s="6" t="str">
        <f>IFERROR(__xludf.DUMMYFUNCTION("""COMPUTED_VALUE"""),"Экологию")</f>
        <v>Экологию</v>
      </c>
      <c r="P1226" s="6" t="str">
        <f>IFERROR(__xludf.DUMMYFUNCTION("""COMPUTED_VALUE"""),"Друзья,вк")</f>
        <v>Друзья,вк</v>
      </c>
      <c r="Q1226"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226" s="6" t="str">
        <f>IFERROR(__xludf.DUMMYFUNCTION("""COMPUTED_VALUE"""),"Таких нет")</f>
        <v>Таких нет</v>
      </c>
      <c r="S1226" s="6" t="str">
        <f>IFERROR(__xludf.DUMMYFUNCTION("""COMPUTED_VALUE"""),"Обращался в редакции городских газет, телевидения, радио")</f>
        <v>Обращался в редакции городских газет, телевидения, радио</v>
      </c>
      <c r="T1226" s="6" t="str">
        <f>IFERROR(__xludf.DUMMYFUNCTION("""COMPUTED_VALUE"""),"Ничего,горела зимка ")</f>
        <v>Ничего,горела зимка </v>
      </c>
      <c r="U1226" s="6" t="str">
        <f>IFERROR(__xludf.DUMMYFUNCTION("""COMPUTED_VALUE"""),"Набережка ")</f>
        <v>Набережка </v>
      </c>
      <c r="V1226" s="6" t="str">
        <f>IFERROR(__xludf.DUMMYFUNCTION("""COMPUTED_VALUE"""),"Хз")</f>
        <v>Хз</v>
      </c>
      <c r="W1226" s="6" t="str">
        <f>IFERROR(__xludf.DUMMYFUNCTION("""COMPUTED_VALUE"""),"Идиоты ")</f>
        <v>Идиоты </v>
      </c>
      <c r="X1226" s="6" t="str">
        <f>IFERROR(__xludf.DUMMYFUNCTION("""COMPUTED_VALUE"""),"Центр")</f>
        <v>Центр</v>
      </c>
      <c r="Y1226" s="6" t="str">
        <f>IFERROR(__xludf.DUMMYFUNCTION("""COMPUTED_VALUE"""),"Зимка сгорела")</f>
        <v>Зимка сгорела</v>
      </c>
      <c r="Z1226" s="6" t="str">
        <f>IFERROR(__xludf.DUMMYFUNCTION("""COMPUTED_VALUE"""),"День города на 100летие")</f>
        <v>День города на 100летие</v>
      </c>
      <c r="AA1226" s="6" t="str">
        <f>IFERROR(__xludf.DUMMYFUNCTION("""COMPUTED_VALUE"""),"Хз")</f>
        <v>Хз</v>
      </c>
      <c r="AB1226" s="6" t="str">
        <f>IFERROR(__xludf.DUMMYFUNCTION("""COMPUTED_VALUE"""),"Всех")</f>
        <v>Всех</v>
      </c>
      <c r="AC1226" s="6" t="str">
        <f>IFERROR(__xludf.DUMMYFUNCTION("""COMPUTED_VALUE"""),"Тусовки для подростков")</f>
        <v>Тусовки для подростков</v>
      </c>
      <c r="AD1226" s="6" t="str">
        <f>IFERROR(__xludf.DUMMYFUNCTION("""COMPUTED_VALUE"""),"Волонтера: оказать любую посильную помощь непосредственно во время реализации проекта, Не готов принимать личное участие (укажите, пожалуйста, причину в поле «Другое»)")</f>
        <v>Волонтера: оказать любую посильную помощь непосредственно во время реализации проекта, Не готов принимать личное участие (укажите, пожалуйста, причину в поле «Другое»)</v>
      </c>
      <c r="AE1226" s="6" t="str">
        <f>IFERROR(__xludf.DUMMYFUNCTION("""COMPUTED_VALUE"""),"Женский")</f>
        <v>Женский</v>
      </c>
      <c r="AF1226" s="6" t="str">
        <f>IFERROR(__xludf.DUMMYFUNCTION("""COMPUTED_VALUE"""),"18-29")</f>
        <v>18-29</v>
      </c>
      <c r="AG1226" s="6"/>
      <c r="AH1226" s="6"/>
      <c r="AI1226" s="6"/>
      <c r="AJ1226" s="6"/>
      <c r="AK1226" s="6"/>
      <c r="AL1226" s="6"/>
      <c r="AM1226" s="6"/>
    </row>
    <row r="1227">
      <c r="A1227" s="6">
        <v>1226.0</v>
      </c>
      <c r="B1227" s="6" t="str">
        <f>IFERROR(__xludf.DUMMYFUNCTION("""COMPUTED_VALUE"""),"Интернет-маркетоло, таргетолог, фрилансер")</f>
        <v>Интернет-маркетоло, таргетолог, фрилансер</v>
      </c>
      <c r="C1227" s="6" t="str">
        <f>IFERROR(__xludf.DUMMYFUNCTION("""COMPUTED_VALUE"""),"Раскрашивать картины по номерам")</f>
        <v>Раскрашивать картины по номерам</v>
      </c>
      <c r="D1227" s="6" t="str">
        <f>IFERROR(__xludf.DUMMYFUNCTION("""COMPUTED_VALUE"""),"Ленинский")</f>
        <v>Ленинский</v>
      </c>
      <c r="E1227" s="6" t="str">
        <f>IFERROR(__xludf.DUMMYFUNCTION("""COMPUTED_VALUE"""),"Парк матери, советский проспект, Драмтеатр")</f>
        <v>Парк матери, советский проспект, Драмтеатр</v>
      </c>
      <c r="F1227" s="6" t="str">
        <f>IFERROR(__xludf.DUMMYFUNCTION("""COMPUTED_VALUE"""),"Живу здесь с рождения")</f>
        <v>Живу здесь с рождения</v>
      </c>
      <c r="G1227" s="6" t="str">
        <f>IFERROR(__xludf.DUMMYFUNCTION("""COMPUTED_VALUE"""),"Парк матери, центр")</f>
        <v>Парк матери, центр</v>
      </c>
      <c r="H1227" s="6" t="str">
        <f>IFERROR(__xludf.DUMMYFUNCTION("""COMPUTED_VALUE"""),"Серый, маленький, грязный, дома пятиэтажки, дом")</f>
        <v>Серый, маленький, грязный, дома пятиэтажки, дом</v>
      </c>
      <c r="I1227" s="6" t="str">
        <f>IFERROR(__xludf.DUMMYFUNCTION("""COMPUTED_VALUE"""),"Волошина, Леонов, Марковцев, Кравченко-Савицкая, Двужильный, Малышева, Логинов, Бабенко, Головин")</f>
        <v>Волошина, Леонов, Марковцев, Кравченко-Савицкая, Двужильный, Малышева, Логинов, Бабенко, Головин</v>
      </c>
      <c r="J1227" s="6" t="str">
        <f>IFERROR(__xludf.DUMMYFUNCTION("""COMPUTED_VALUE"""),"-")</f>
        <v>-</v>
      </c>
      <c r="K1227" s="6" t="str">
        <f>IFERROR(__xludf.DUMMYFUNCTION("""COMPUTED_VALUE"""),"Лесная поляна, вечный огонь, драмтеатр")</f>
        <v>Лесная поляна, вечный огонь, драмтеатр</v>
      </c>
      <c r="L1227" s="6" t="str">
        <f>IFERROR(__xludf.DUMMYFUNCTION("""COMPUTED_VALUE"""),"не знаю")</f>
        <v>не знаю</v>
      </c>
      <c r="M1227" s="6" t="str">
        <f>IFERROR(__xludf.DUMMYFUNCTION("""COMPUTED_VALUE"""),"не знаю")</f>
        <v>не знаю</v>
      </c>
      <c r="N1227" s="6" t="str">
        <f>IFERROR(__xludf.DUMMYFUNCTION("""COMPUTED_VALUE""")," магазины полезного питания, качественный общественный транспорт (не убитый, как сейчас), чистый воздух, улыбчивые люди")</f>
        <v> магазины полезного питания, качественный общественный транспорт (не убитый, как сейчас), чистый воздух, улыбчивые люди</v>
      </c>
      <c r="O1227" s="6" t="str">
        <f>IFERROR(__xludf.DUMMYFUNCTION("""COMPUTED_VALUE"""),"Что-то сделать с пятиэтажками. Покрасить хотя бы.")</f>
        <v>Что-то сделать с пятиэтажками. Покрасить хотя бы.</v>
      </c>
      <c r="P1227" s="6" t="str">
        <f>IFERROR(__xludf.DUMMYFUNCTION("""COMPUTED_VALUE"""),"Реклама в инстаграм, знакомые, блогеры")</f>
        <v>Реклама в инстаграм, знакомые, блогеры</v>
      </c>
      <c r="Q1227" s="6" t="str">
        <f>IFERROR(__xludf.DUMMYFUNCTION("""COMPUTED_VALUE"""),"интервью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f>
        <v>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227" s="6" t="str">
        <f>IFERROR(__xludf.DUMMYFUNCTION("""COMPUTED_VALUE"""),"-")</f>
        <v>-</v>
      </c>
      <c r="S1227" s="6" t="str">
        <f>IFERROR(__xludf.DUMMYFUNCTION("""COMPUTED_VALUE"""),"Нет, не приходилось")</f>
        <v>Нет, не приходилось</v>
      </c>
      <c r="T1227" s="6" t="str">
        <f>IFERROR(__xludf.DUMMYFUNCTION("""COMPUTED_VALUE"""),"Шахтерский край")</f>
        <v>Шахтерский край</v>
      </c>
      <c r="U1227" s="6" t="str">
        <f>IFERROR(__xludf.DUMMYFUNCTION("""COMPUTED_VALUE"""),"Здание администрации")</f>
        <v>Здание администрации</v>
      </c>
      <c r="V1227" s="6" t="str">
        <f>IFERROR(__xludf.DUMMYFUNCTION("""COMPUTED_VALUE"""),"-")</f>
        <v>-</v>
      </c>
      <c r="W1227" s="6" t="str">
        <f>IFERROR(__xludf.DUMMYFUNCTION("""COMPUTED_VALUE"""),"Все разные, не могу назвать что-то общее. Консервативные")</f>
        <v>Все разные, не могу назвать что-то общее. Консервативные</v>
      </c>
      <c r="X1227" s="6" t="str">
        <f>IFERROR(__xludf.DUMMYFUNCTION("""COMPUTED_VALUE"""),"От Филармонии к Томи через орбиту, до горсада оттуда к площади Пушкина и почтамту")</f>
        <v>От Филармонии к Томи через орбиту, до горсада оттуда к площади Пушкина и почтамту</v>
      </c>
      <c r="Y1227" s="6" t="str">
        <f>IFERROR(__xludf.DUMMYFUNCTION("""COMPUTED_VALUE"""),"АИК")</f>
        <v>АИК</v>
      </c>
      <c r="Z1227" s="6" t="str">
        <f>IFERROR(__xludf.DUMMYFUNCTION("""COMPUTED_VALUE"""),"-")</f>
        <v>-</v>
      </c>
      <c r="AA1227" s="6" t="str">
        <f>IFERROR(__xludf.DUMMYFUNCTION("""COMPUTED_VALUE"""),"-")</f>
        <v>-</v>
      </c>
      <c r="AB1227" s="6" t="str">
        <f>IFERROR(__xludf.DUMMYFUNCTION("""COMPUTED_VALUE"""),"Бизнес сообществ")</f>
        <v>Бизнес сообществ</v>
      </c>
      <c r="AC1227" s="6" t="str">
        <f>IFERROR(__xludf.DUMMYFUNCTION("""COMPUTED_VALUE"""),"-")</f>
        <v>-</v>
      </c>
      <c r="AD1227" s="6" t="str">
        <f>IFERROR(__xludf.DUMMYFUNCTION("""COMPUTED_VALUE"""),"Не готов принимать личное участие (укажите, пожалуйста, причину в поле «Другое»), Я не особый патриот своего города. Думаю, переезжать")</f>
        <v>Не готов принимать личное участие (укажите, пожалуйста, причину в поле «Другое»), Я не особый патриот своего города. Думаю, переезжать</v>
      </c>
      <c r="AE1227" s="6" t="str">
        <f>IFERROR(__xludf.DUMMYFUNCTION("""COMPUTED_VALUE"""),"Женский")</f>
        <v>Женский</v>
      </c>
      <c r="AF1227" s="6" t="str">
        <f>IFERROR(__xludf.DUMMYFUNCTION("""COMPUTED_VALUE"""),"18-29")</f>
        <v>18-29</v>
      </c>
      <c r="AG1227" s="6"/>
      <c r="AH1227" s="6"/>
      <c r="AI1227" s="6"/>
      <c r="AJ1227" s="6"/>
      <c r="AK1227" s="6"/>
      <c r="AL1227" s="6"/>
      <c r="AM1227" s="6"/>
    </row>
    <row r="1228">
      <c r="A1228" s="6">
        <v>1227.0</v>
      </c>
      <c r="B1228" s="6" t="str">
        <f>IFERROR(__xludf.DUMMYFUNCTION("""COMPUTED_VALUE"""),"Руководитель кружка по рукоделию в школе")</f>
        <v>Руководитель кружка по рукоделию в школе</v>
      </c>
      <c r="C1228" s="6" t="str">
        <f>IFERROR(__xludf.DUMMYFUNCTION("""COMPUTED_VALUE"""),"Вязаные крючком игрушки и сувениры")</f>
        <v>Вязаные крючком игрушки и сувениры</v>
      </c>
      <c r="D1228" s="6" t="str">
        <f>IFERROR(__xludf.DUMMYFUNCTION("""COMPUTED_VALUE"""),"Лесная Поляна")</f>
        <v>Лесная Поляна</v>
      </c>
      <c r="E1228" s="6" t="str">
        <f>IFERROR(__xludf.DUMMYFUNCTION("""COMPUTED_VALUE"""),"Парк Лесная сказка, смотровая площадка ")</f>
        <v>Парк Лесная сказка, смотровая площадка </v>
      </c>
      <c r="F1228" s="6" t="str">
        <f>IFERROR(__xludf.DUMMYFUNCTION("""COMPUTED_VALUE"""),"Переехал сюда из другого места (откуда? укажите в графе другое), Киселевск")</f>
        <v>Переехал сюда из другого места (откуда? укажите в графе другое), Киселевск</v>
      </c>
      <c r="G1228" s="6" t="str">
        <f>IFERROR(__xludf.DUMMYFUNCTION("""COMPUTED_VALUE"""),"Парки, берег реки в с. Березово")</f>
        <v>Парки, берег реки в с. Березово</v>
      </c>
      <c r="H1228" s="6" t="str">
        <f>IFERROR(__xludf.DUMMYFUNCTION("""COMPUTED_VALUE"""),"Шахтёр, уголь, сосновый бор, заводы, красные трубы")</f>
        <v>Шахтёр, уголь, сосновый бор, заводы, красные трубы</v>
      </c>
      <c r="I1228" s="6" t="str">
        <f>IFERROR(__xludf.DUMMYFUNCTION("""COMPUTED_VALUE"""),"В. Волошина, Леонов")</f>
        <v>В. Волошина, Леонов</v>
      </c>
      <c r="J1228" s="6" t="str">
        <f>IFERROR(__xludf.DUMMYFUNCTION("""COMPUTED_VALUE"""),"А. Михайлов, Е. Гришковец")</f>
        <v>А. Михайлов, Е. Гришковец</v>
      </c>
      <c r="K1228" s="6" t="str">
        <f>IFERROR(__xludf.DUMMYFUNCTION("""COMPUTED_VALUE"""),"Район Лесная поляна, набережная")</f>
        <v>Район Лесная поляна, набережная</v>
      </c>
      <c r="L1228" s="6" t="str">
        <f>IFERROR(__xludf.DUMMYFUNCTION("""COMPUTED_VALUE"""),"Не знаю")</f>
        <v>Не знаю</v>
      </c>
      <c r="M1228" s="6" t="str">
        <f>IFERROR(__xludf.DUMMYFUNCTION("""COMPUTED_VALUE"""),"Не знаю ")</f>
        <v>Не знаю </v>
      </c>
      <c r="N1228" s="6" t="str">
        <f>IFERROR(__xludf.DUMMYFUNCTION("""COMPUTED_VALUE"""),"Уют, чистота, благоустроенность, интересность, чистый воздух")</f>
        <v>Уют, чистота, благоустроенность, интересность, чистый воздух</v>
      </c>
      <c r="O1228" s="6" t="str">
        <f>IFERROR(__xludf.DUMMYFUNCTION("""COMPUTED_VALUE"""),"Сделать воздух чище")</f>
        <v>Сделать воздух чище</v>
      </c>
      <c r="P1228" s="6" t="str">
        <f>IFERROR(__xludf.DUMMYFUNCTION("""COMPUTED_VALUE"""),"А42, все42")</f>
        <v>А42, все42</v>
      </c>
      <c r="Q1228"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28" s="6" t="str">
        <f>IFERROR(__xludf.DUMMYFUNCTION("""COMPUTED_VALUE"""),"День города, день шахтера")</f>
        <v>День города, день шахтера</v>
      </c>
      <c r="S1228" s="6" t="str">
        <f>IFERROR(__xludf.DUMMYFUNCTION("""COMPUTED_VALUE"""),"Нет, не приходилось")</f>
        <v>Нет, не приходилось</v>
      </c>
      <c r="T1228" s="6" t="str">
        <f>IFERROR(__xludf.DUMMYFUNCTION("""COMPUTED_VALUE"""),"Столица угольного края")</f>
        <v>Столица угольного края</v>
      </c>
      <c r="U1228" s="6" t="str">
        <f>IFERROR(__xludf.DUMMYFUNCTION("""COMPUTED_VALUE"""),"Набережная, парк чудес, Весенняя - там, где есть возможность прогуляться")</f>
        <v>Набережная, парк чудес, Весенняя - там, где есть возможность прогуляться</v>
      </c>
      <c r="V1228" s="6" t="str">
        <f>IFERROR(__xludf.DUMMYFUNCTION("""COMPUTED_VALUE"""),"Из деревни построили город")</f>
        <v>Из деревни построили город</v>
      </c>
      <c r="W1228" s="6" t="str">
        <f>IFERROR(__xludf.DUMMYFUNCTION("""COMPUTED_VALUE"""),"Отзывчивость")</f>
        <v>Отзывчивость</v>
      </c>
      <c r="X1228" s="6" t="str">
        <f>IFERROR(__xludf.DUMMYFUNCTION("""COMPUTED_VALUE"""),"Весенняя, парк чудес, набережная")</f>
        <v>Весенняя, парк чудес, набережная</v>
      </c>
      <c r="Y1228" s="6" t="str">
        <f>IFERROR(__xludf.DUMMYFUNCTION("""COMPUTED_VALUE"""),"Найден первый уголь, пожар в Зимней вишне")</f>
        <v>Найден первый уголь, пожар в Зимней вишне</v>
      </c>
      <c r="Z1228" s="6" t="str">
        <f>IFERROR(__xludf.DUMMYFUNCTION("""COMPUTED_VALUE"""),"Рок-концерт мировых звезд")</f>
        <v>Рок-концерт мировых звезд</v>
      </c>
      <c r="AA1228" s="6" t="str">
        <f>IFERROR(__xludf.DUMMYFUNCTION("""COMPUTED_VALUE"""),"Не знаю")</f>
        <v>Не знаю</v>
      </c>
      <c r="AB1228" s="6" t="str">
        <f>IFERROR(__xludf.DUMMYFUNCTION("""COMPUTED_VALUE"""),"Творческих по интересам, доя молодых мамочек")</f>
        <v>Творческих по интересам, доя молодых мамочек</v>
      </c>
      <c r="AC1228" s="6" t="str">
        <f>IFERROR(__xludf.DUMMYFUNCTION("""COMPUTED_VALUE"""),"Концерты, городские квесты, детские выездные экскурсии и программы")</f>
        <v>Концерты, городские квесты, детские выездные экскурсии и программы</v>
      </c>
      <c r="AD1228"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Запустить свой предпринимательский проект, организовать"&amp;" компанию., Творчество и рукожелие")</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Запустить свой предпринимательский проект, организовать компанию., Творчество и рукожелие</v>
      </c>
      <c r="AE1228" s="6" t="str">
        <f>IFERROR(__xludf.DUMMYFUNCTION("""COMPUTED_VALUE"""),"Женский")</f>
        <v>Женский</v>
      </c>
      <c r="AF1228" s="6" t="str">
        <f>IFERROR(__xludf.DUMMYFUNCTION("""COMPUTED_VALUE"""),"30-44")</f>
        <v>30-44</v>
      </c>
      <c r="AG1228" s="6"/>
      <c r="AH1228" s="6"/>
      <c r="AI1228" s="6"/>
      <c r="AJ1228" s="6"/>
      <c r="AK1228" s="6"/>
      <c r="AL1228" s="6"/>
      <c r="AM1228" s="6"/>
    </row>
    <row r="1229">
      <c r="A1229" s="6">
        <v>1228.0</v>
      </c>
      <c r="B1229" s="6" t="str">
        <f>IFERROR(__xludf.DUMMYFUNCTION("""COMPUTED_VALUE"""),"Дизайнер-иллюстратор на фрилансе")</f>
        <v>Дизайнер-иллюстратор на фрилансе</v>
      </c>
      <c r="C1229" s="6" t="str">
        <f>IFERROR(__xludf.DUMMYFUNCTION("""COMPUTED_VALUE"""),"Рисовать, читать мотивационную литературу")</f>
        <v>Рисовать, читать мотивационную литературу</v>
      </c>
      <c r="D1229" s="6" t="str">
        <f>IFERROR(__xludf.DUMMYFUNCTION("""COMPUTED_VALUE"""),"Заводский (южный)")</f>
        <v>Заводский (южный)</v>
      </c>
      <c r="E1229" s="6" t="str">
        <f>IFERROR(__xludf.DUMMYFUNCTION("""COMPUTED_VALUE"""),"Булочная, Мера, (сходить некуда с детьми)")</f>
        <v>Булочная, Мера, (сходить некуда с детьми)</v>
      </c>
      <c r="F1229" s="6" t="str">
        <f>IFERROR(__xludf.DUMMYFUNCTION("""COMPUTED_VALUE"""),"Живу здесь с рождения")</f>
        <v>Живу здесь с рождения</v>
      </c>
      <c r="G1229" s="6" t="str">
        <f>IFERROR(__xludf.DUMMYFUNCTION("""COMPUTED_VALUE"""),"Парки, игровые (с детьми). На концерты (редко)")</f>
        <v>Парки, игровые (с детьми). На концерты (редко)</v>
      </c>
      <c r="H1229" s="6" t="str">
        <f>IFERROR(__xludf.DUMMYFUNCTION("""COMPUTED_VALUE"""),"Тортишная, рождественский базар, советский, калина-малина, парк ангелов(")</f>
        <v>Тортишная, рождественский базар, советский, калина-малина, парк ангелов(</v>
      </c>
      <c r="I1229" s="6" t="str">
        <f>IFERROR(__xludf.DUMMYFUNCTION("""COMPUTED_VALUE"""),"Волков, ")</f>
        <v>Волков, </v>
      </c>
      <c r="J1229" s="6" t="str">
        <f>IFERROR(__xludf.DUMMYFUNCTION("""COMPUTED_VALUE"""),"Катя из Тортишной, Маша художник, (в общем, все творческие люди, делающие акцент на качестве)")</f>
        <v>Катя из Тортишной, Маша художник, (в общем, все творческие люди, делающие акцент на качестве)</v>
      </c>
      <c r="K1229" s="6" t="str">
        <f>IFERROR(__xludf.DUMMYFUNCTION("""COMPUTED_VALUE"""),"Холм в районе Люскуса (вид красивый), парк ангелов, парки ")</f>
        <v>Холм в районе Люскуса (вид красивый), парк ангелов, парки </v>
      </c>
      <c r="L1229" s="6" t="str">
        <f>IFERROR(__xludf.DUMMYFUNCTION("""COMPUTED_VALUE"""),"Все, кто смелее и умнее, уезжают отсюда. ))) ")</f>
        <v>Все, кто смелее и умнее, уезжают отсюда. ))) </v>
      </c>
      <c r="M1229" s="6" t="str">
        <f>IFERROR(__xludf.DUMMYFUNCTION("""COMPUTED_VALUE"""),"Мультифора, ")</f>
        <v>Мультифора, </v>
      </c>
      <c r="N1229" s="6" t="str">
        <f>IFERROR(__xludf.DUMMYFUNCTION("""COMPUTED_VALUE"""),"Небольшие расстояния (доступность), нет больших очередей (на тех же концертах), ")</f>
        <v>Небольшие расстояния (доступность), нет больших очередей (на тех же концертах), </v>
      </c>
      <c r="O1229" s="6" t="str">
        <f>IFERROR(__xludf.DUMMYFUNCTION("""COMPUTED_VALUE"""),"Разнообразить досуг. Приелось однообразие. На южном нет ни парка, ни игровой, ни катка, ни кино. В общем, скука.")</f>
        <v>Разнообразить досуг. Приелось однообразие. На южном нет ни парка, ни игровой, ни катка, ни кино. В общем, скука.</v>
      </c>
      <c r="P1229" s="6" t="str">
        <f>IFERROR(__xludf.DUMMYFUNCTION("""COMPUTED_VALUE"""),"Через сторис от знакомых. ")</f>
        <v>Через сторис от знакомых. </v>
      </c>
      <c r="Q1229"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229" s="6" t="str">
        <f>IFERROR(__xludf.DUMMYFUNCTION("""COMPUTED_VALUE"""),"Для детей концерты и мероприятия.
Массовые общественные праздники пугают)")</f>
        <v>Для детей концерты и мероприятия.
Массовые общественные праздники пугают)</v>
      </c>
      <c r="S1229" s="6" t="str">
        <f>IFERROR(__xludf.DUMMYFUNCTION("""COMPUTED_VALUE"""),"Нет, не приходилось, Но хотелось бы. ")</f>
        <v>Нет, не приходилось, Но хотелось бы. </v>
      </c>
      <c r="T1229" s="6" t="str">
        <f>IFERROR(__xludf.DUMMYFUNCTION("""COMPUTED_VALUE"""),"Аккуратный город. Для всей России известен, к сожалению, историей с Зимней Вишней")</f>
        <v>Аккуратный город. Для всей России известен, к сожалению, историей с Зимней Вишней</v>
      </c>
      <c r="U1229" s="6" t="str">
        <f>IFERROR(__xludf.DUMMYFUNCTION("""COMPUTED_VALUE"""),"Фонтан, весенька, советский,")</f>
        <v>Фонтан, весенька, советский,</v>
      </c>
      <c r="V1229" s="6" t="str">
        <f>IFERROR(__xludf.DUMMYFUNCTION("""COMPUTED_VALUE"""),"Работали ""экологично""")</f>
        <v>Работали "экологично"</v>
      </c>
      <c r="W1229" s="6" t="str">
        <f>IFERROR(__xludf.DUMMYFUNCTION("""COMPUTED_VALUE"""),"1 часть творческая, развивающаяся, модная,
2 часть простая, провинциальная, ")</f>
        <v>1 часть творческая, развивающаяся, модная,
2 часть простая, провинциальная, </v>
      </c>
      <c r="X1229" s="6" t="str">
        <f>IFERROR(__xludf.DUMMYFUNCTION("""COMPUTED_VALUE"""),"Советский, весенняя, площадь волкова, вдоль дзержинского до парка ангелов.
Также можно в бор до креста")</f>
        <v>Советский, весенняя, площадь волкова, вдоль дзержинского до парка ангелов.
Также можно в бор до креста</v>
      </c>
      <c r="Y1229" s="6" t="str">
        <f>IFERROR(__xludf.DUMMYFUNCTION("""COMPUTED_VALUE"""),"Зимняя вишня")</f>
        <v>Зимняя вишня</v>
      </c>
      <c r="Z1229" s="6" t="str">
        <f>IFERROR(__xludf.DUMMYFUNCTION("""COMPUTED_VALUE"""),"Концерт niletto )))), рождественский базар")</f>
        <v>Концерт niletto )))), рождественский базар</v>
      </c>
      <c r="AA1229" s="6" t="str">
        <f>IFERROR(__xludf.DUMMYFUNCTION("""COMPUTED_VALUE"""),"Уже понятно ЗВ")</f>
        <v>Уже понятно ЗВ</v>
      </c>
      <c r="AB1229" s="6" t="str">
        <f>IFERROR(__xludf.DUMMYFUNCTION("""COMPUTED_VALUE"""),"Активных в творческом плане. Совместного общения, творческие завтраки, обмен знаниями и коллаборации")</f>
        <v>Активных в творческом плане. Совместного общения, творческие завтраки, обмен знаниями и коллаборации</v>
      </c>
      <c r="AC1229" s="6" t="str">
        <f>IFERROR(__xludf.DUMMYFUNCTION("""COMPUTED_VALUE"""),"Музыкальных, рисовальных, сбора мусора, ")</f>
        <v>Музыкальных, рисовальных, сбора мусора, </v>
      </c>
      <c r="AD1229"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св"&amp;"ои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229" s="6" t="str">
        <f>IFERROR(__xludf.DUMMYFUNCTION("""COMPUTED_VALUE"""),"Женский")</f>
        <v>Женский</v>
      </c>
      <c r="AF1229" s="6" t="str">
        <f>IFERROR(__xludf.DUMMYFUNCTION("""COMPUTED_VALUE"""),"30-44")</f>
        <v>30-44</v>
      </c>
      <c r="AG1229" s="6"/>
      <c r="AH1229" s="6"/>
      <c r="AI1229" s="6"/>
      <c r="AJ1229" s="6"/>
      <c r="AK1229" s="6"/>
      <c r="AL1229" s="6"/>
      <c r="AM1229" s="6"/>
    </row>
    <row r="1230">
      <c r="A1230" s="6">
        <v>1229.0</v>
      </c>
      <c r="B1230" s="6" t="str">
        <f>IFERROR(__xludf.DUMMYFUNCTION("""COMPUTED_VALUE"""),"Дизайн")</f>
        <v>Дизайн</v>
      </c>
      <c r="C1230" s="6" t="str">
        <f>IFERROR(__xludf.DUMMYFUNCTION("""COMPUTED_VALUE"""),"Рисование")</f>
        <v>Рисование</v>
      </c>
      <c r="D1230" s="6" t="str">
        <f>IFERROR(__xludf.DUMMYFUNCTION("""COMPUTED_VALUE"""),"Центральный")</f>
        <v>Центральный</v>
      </c>
      <c r="E1230" s="6" t="str">
        <f>IFERROR(__xludf.DUMMYFUNCTION("""COMPUTED_VALUE"""),"Почти все достопримечательности города")</f>
        <v>Почти все достопримечательности города</v>
      </c>
      <c r="F1230" s="6" t="str">
        <f>IFERROR(__xludf.DUMMYFUNCTION("""COMPUTED_VALUE"""),"Переехал сюда из другого места (откуда? укажите в графе другое), Родилась в другом месте, но с детства живу здесь по большей части")</f>
        <v>Переехал сюда из другого места (откуда? укажите в графе другое), Родилась в другом месте, но с детства живу здесь по большей части</v>
      </c>
      <c r="G1230" s="6" t="str">
        <f>IFERROR(__xludf.DUMMYFUNCTION("""COMPUTED_VALUE"""),"Гуляю в парках")</f>
        <v>Гуляю в парках</v>
      </c>
      <c r="H1230" s="6" t="str">
        <f>IFERROR(__xludf.DUMMYFUNCTION("""COMPUTED_VALUE"""),"Шахтёры, провинция, Сибирь, уныло, эконом")</f>
        <v>Шахтёры, провинция, Сибирь, уныло, эконом</v>
      </c>
      <c r="I1230" s="6" t="str">
        <f>IFERROR(__xludf.DUMMYFUNCTION("""COMPUTED_VALUE"""),"Леонов, Подгорбунский, Рутгерс")</f>
        <v>Леонов, Подгорбунский, Рутгерс</v>
      </c>
      <c r="J1230" s="6" t="str">
        <f>IFERROR(__xludf.DUMMYFUNCTION("""COMPUTED_VALUE"""),"Не знаю таких. Из более-менее известных - Гришковец. Но он для города ничего и не сделал. ")</f>
        <v>Не знаю таких. Из более-менее известных - Гришковец. Но он для города ничего и не сделал. </v>
      </c>
      <c r="K1230" s="6" t="str">
        <f>IFERROR(__xludf.DUMMYFUNCTION("""COMPUTED_VALUE"""),"Не знаю, нет таких")</f>
        <v>Не знаю, нет таких</v>
      </c>
      <c r="L1230" s="6" t="str">
        <f>IFERROR(__xludf.DUMMYFUNCTION("""COMPUTED_VALUE"""),"Песня Гребенщиков ""Человек из Кемерово"" ")</f>
        <v>Песня Гребенщиков "Человек из Кемерово" </v>
      </c>
      <c r="M1230" s="6" t="str">
        <f>IFERROR(__xludf.DUMMYFUNCTION("""COMPUTED_VALUE"""),"Нет")</f>
        <v>Нет</v>
      </c>
      <c r="N1230" s="6" t="str">
        <f>IFERROR(__xludf.DUMMYFUNCTION("""COMPUTED_VALUE"""),"Чистота, транспортная доступность, развитая инфраструктура, благоустроенная городская среда, жёсткий архитектурный контроль и отсутствие ""замусоренности"" городского пространства рекламой")</f>
        <v>Чистота, транспортная доступность, развитая инфраструктура, благоустроенная городская среда, жёсткий архитектурный контроль и отсутствие "замусоренности" городского пространства рекламой</v>
      </c>
      <c r="O1230" s="6" t="str">
        <f>IFERROR(__xludf.DUMMYFUNCTION("""COMPUTED_VALUE"""),"Пора всерьёз заняться чистотой и общественным транспортом")</f>
        <v>Пора всерьёз заняться чистотой и общественным транспортом</v>
      </c>
      <c r="P1230" s="6" t="str">
        <f>IFERROR(__xludf.DUMMYFUNCTION("""COMPUTED_VALUE"""),"Сибдепо")</f>
        <v>Сибдепо</v>
      </c>
      <c r="Q1230" s="6" t="str">
        <f>IFERROR(__xludf.DUMMYFUNCTION("""COMPUTED_VALUE"""),"городская афиша (кино/театр/концерты), результаты местных исследований (рейтинги/аналитика/тенденции)")</f>
        <v>городская афиша (кино/театр/концерты), результаты местных исследований (рейтинги/аналитика/тенденции)</v>
      </c>
      <c r="R1230" s="6" t="str">
        <f>IFERROR(__xludf.DUMMYFUNCTION("""COMPUTED_VALUE"""),"День города, день шахтёра ")</f>
        <v>День города, день шахтёра </v>
      </c>
      <c r="S1230" s="6" t="str">
        <f>IFERROR(__xludf.DUMMYFUNCTION("""COMPUTED_VALUE"""),"Нет, не приходилось")</f>
        <v>Нет, не приходилось</v>
      </c>
      <c r="T1230" s="6" t="str">
        <f>IFERROR(__xludf.DUMMYFUNCTION("""COMPUTED_VALUE"""),"Известен угольной промышленностью. Ничем не уникален, обычный промышленный город")</f>
        <v>Известен угольной промышленностью. Ничем не уникален, обычный промышленный город</v>
      </c>
      <c r="U1230" s="6" t="str">
        <f>IFERROR(__xludf.DUMMYFUNCTION("""COMPUTED_VALUE"""),"Ул. Весенняя, набережная реки Томь")</f>
        <v>Ул. Весенняя, набережная реки Томь</v>
      </c>
      <c r="V1230" s="6" t="str">
        <f>IFERROR(__xludf.DUMMYFUNCTION("""COMPUTED_VALUE"""),"Много и тяжело трудились.")</f>
        <v>Много и тяжело трудились.</v>
      </c>
      <c r="W1230" s="6" t="str">
        <f>IFERROR(__xludf.DUMMYFUNCTION("""COMPUTED_VALUE"""),"Угрюмые, пессимистичные, аполитичные, безынициативные. Но при этом очень здравомыслящие, практичные, образованные, цельные")</f>
        <v>Угрюмые, пессимистичные, аполитичные, безынициативные. Но при этом очень здравомыслящие, практичные, образованные, цельные</v>
      </c>
      <c r="X1230" s="6" t="str">
        <f>IFERROR(__xludf.DUMMYFUNCTION("""COMPUTED_VALUE"""),"Старые улицы с советской архитектурой (Островского, Арочная, Ермака, Советский), набережная Томи, памятник шахтёрам Эрнста Неизвестного и Красная горка, Сосновый бор")</f>
        <v>Старые улицы с советской архитектурой (Островского, Арочная, Ермака, Советский), набережная Томи, памятник шахтёрам Эрнста Неизвестного и Красная горка, Сосновый бор</v>
      </c>
      <c r="Y1230" s="6" t="str">
        <f>IFERROR(__xludf.DUMMYFUNCTION("""COMPUTED_VALUE"""),"Создание Автономной Индустриальной Колонии «Кузбасс»")</f>
        <v>Создание Автономной Индустриальной Колонии «Кузбасс»</v>
      </c>
      <c r="Z1230" s="6" t="str">
        <f>IFERROR(__xludf.DUMMYFUNCTION("""COMPUTED_VALUE"""),"Отставка Тулеева")</f>
        <v>Отставка Тулеева</v>
      </c>
      <c r="AA1230" s="6" t="str">
        <f>IFERROR(__xludf.DUMMYFUNCTION("""COMPUTED_VALUE"""),"Зимняя вишня")</f>
        <v>Зимняя вишня</v>
      </c>
      <c r="AB1230" s="6" t="str">
        <f>IFERROR(__xludf.DUMMYFUNCTION("""COMPUTED_VALUE"""),"Никаких")</f>
        <v>Никаких</v>
      </c>
      <c r="AC1230" s="6" t="str">
        <f>IFERROR(__xludf.DUMMYFUNCTION("""COMPUTED_VALUE"""),"Больше креативных студенческих и молодёжных ивентов, детских развивающих мероприятий типа Умной Москвы (smartmsk.com)")</f>
        <v>Больше креативных студенческих и молодёжных ивентов, детских развивающих мероприятий типа Умной Москвы (smartmsk.com)</v>
      </c>
      <c r="AD1230" s="6" t="str">
        <f>IFERROR(__xludf.DUMMYFUNCTION("""COMPUTED_VALUE"""),"Не готов принимать личное участие (укажите, пожалуйста, причину в поле «Другое»), Нет времени из-за маленьких детей")</f>
        <v>Не готов принимать личное участие (укажите, пожалуйста, причину в поле «Другое»), Нет времени из-за маленьких детей</v>
      </c>
      <c r="AE1230" s="6" t="str">
        <f>IFERROR(__xludf.DUMMYFUNCTION("""COMPUTED_VALUE"""),"Женский")</f>
        <v>Женский</v>
      </c>
      <c r="AF1230" s="6" t="str">
        <f>IFERROR(__xludf.DUMMYFUNCTION("""COMPUTED_VALUE"""),"30-44")</f>
        <v>30-44</v>
      </c>
      <c r="AG1230" s="6"/>
      <c r="AH1230" s="6"/>
      <c r="AI1230" s="6"/>
      <c r="AJ1230" s="6"/>
      <c r="AK1230" s="6"/>
      <c r="AL1230" s="6"/>
      <c r="AM1230" s="6"/>
    </row>
    <row r="1231">
      <c r="A1231" s="6">
        <v>1230.0</v>
      </c>
      <c r="B1231" s="6" t="str">
        <f>IFERROR(__xludf.DUMMYFUNCTION("""COMPUTED_VALUE"""),"Предприниматель ")</f>
        <v>Предприниматель </v>
      </c>
      <c r="C1231" s="6" t="str">
        <f>IFERROR(__xludf.DUMMYFUNCTION("""COMPUTED_VALUE"""),"Спорт")</f>
        <v>Спорт</v>
      </c>
      <c r="D1231" s="6" t="str">
        <f>IFERROR(__xludf.DUMMYFUNCTION("""COMPUTED_VALUE"""),"Центр")</f>
        <v>Центр</v>
      </c>
      <c r="E1231" s="6" t="str">
        <f>IFERROR(__xludf.DUMMYFUNCTION("""COMPUTED_VALUE"""),"Набережная")</f>
        <v>Набережная</v>
      </c>
      <c r="F1231" s="6" t="str">
        <f>IFERROR(__xludf.DUMMYFUNCTION("""COMPUTED_VALUE"""),"Живу здесь с рождения")</f>
        <v>Живу здесь с рождения</v>
      </c>
      <c r="G1231" s="6" t="str">
        <f>IFERROR(__xludf.DUMMYFUNCTION("""COMPUTED_VALUE"""),"В Сосновый Бор ")</f>
        <v>В Сосновый Бор </v>
      </c>
      <c r="H1231" s="6" t="str">
        <f>IFERROR(__xludf.DUMMYFUNCTION("""COMPUTED_VALUE"""),"Родина, База, Жизнь, Дела, Развитие")</f>
        <v>Родина, База, Жизнь, Дела, Развитие</v>
      </c>
      <c r="I1231" s="6" t="str">
        <f>IFERROR(__xludf.DUMMYFUNCTION("""COMPUTED_VALUE"""),"Резников, Тулеев, Мой дед, Рукавишников, ")</f>
        <v>Резников, Тулеев, Мой дед, Рукавишников, </v>
      </c>
      <c r="J1231" s="6" t="str">
        <f>IFERROR(__xludf.DUMMYFUNCTION("""COMPUTED_VALUE"""),"Михайлов, Горобцов, Жиленков и  Все предприниматели кто в последнее время что то построил в городе и открыл")</f>
        <v>Михайлов, Горобцов, Жиленков и  Все предприниматели кто в последнее время что то построил в городе и открыл</v>
      </c>
      <c r="K1231" s="6" t="str">
        <f>IFERROR(__xludf.DUMMYFUNCTION("""COMPUTED_VALUE"""),"Набережная, Центр Города, Бор, Томь, Памятник Эрнста Неизвестного")</f>
        <v>Набережная, Центр Города, Бор, Томь, Памятник Эрнста Неизвестного</v>
      </c>
      <c r="L1231" s="6" t="str">
        <f>IFERROR(__xludf.DUMMYFUNCTION("""COMPUTED_VALUE"""),"Квак Григорий Иванович: когда строили телецентр , все удивлялись зачем его строить в полях далеко от Города ")</f>
        <v>Квак Григорий Иванович: когда строили телецентр , все удивлялись зачем его строить в полях далеко от Города </v>
      </c>
      <c r="M1231" s="6" t="str">
        <f>IFERROR(__xludf.DUMMYFUNCTION("""COMPUTED_VALUE"""),"17 автобус = в психушку")</f>
        <v>17 автобус = в психушку</v>
      </c>
      <c r="N1231" s="6" t="str">
        <f>IFERROR(__xludf.DUMMYFUNCTION("""COMPUTED_VALUE"""),"Дороги, тротуары, наличие хороших школ , садиков и университетов, общая ухоженность ( Фасады, дворы) ")</f>
        <v>Дороги, тротуары, наличие хороших школ , садиков и университетов, общая ухоженность ( Фасады, дворы) </v>
      </c>
      <c r="O1231" s="6" t="str">
        <f>IFERROR(__xludf.DUMMYFUNCTION("""COMPUTED_VALUE"""),"Частный сектор")</f>
        <v>Частный сектор</v>
      </c>
      <c r="P1231" s="6" t="str">
        <f>IFERROR(__xludf.DUMMYFUNCTION("""COMPUTED_VALUE"""),"Инста ")</f>
        <v>Инста </v>
      </c>
      <c r="Q1231" s="6" t="str">
        <f>IFERROR(__xludf.DUMMYFUNCTION("""COMPUTED_VALUE"""),"городская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разделе"&amp;" Другое свои предложения)")</f>
        <v>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231" s="6" t="str">
        <f>IFERROR(__xludf.DUMMYFUNCTION("""COMPUTED_VALUE"""),"Новый год, ")</f>
        <v>Новый год, </v>
      </c>
      <c r="S1231" s="6" t="str">
        <f>IFERROR(__xludf.DUMMYFUNCTION("""COMPUTED_VALUE"""),"Открытие новых заведений ")</f>
        <v>Открытие новых заведений </v>
      </c>
      <c r="T1231" s="6" t="str">
        <f>IFERROR(__xludf.DUMMYFUNCTION("""COMPUTED_VALUE"""),"Красивый центр, набережная, известен как админ и пром центр ")</f>
        <v>Красивый центр, набережная, известен как админ и пром центр </v>
      </c>
      <c r="U1231" s="6" t="str">
        <f>IFERROR(__xludf.DUMMYFUNCTION("""COMPUTED_VALUE"""),"Набережная")</f>
        <v>Набережная</v>
      </c>
      <c r="V1231" s="6" t="str">
        <f>IFERROR(__xludf.DUMMYFUNCTION("""COMPUTED_VALUE"""),"Построили заводы и центр Города ")</f>
        <v>Построили заводы и центр Города </v>
      </c>
      <c r="W1231" s="6" t="str">
        <f>IFERROR(__xludf.DUMMYFUNCTION("""COMPUTED_VALUE"""),"Стойкие и терпиливые")</f>
        <v>Стойкие и терпиливые</v>
      </c>
      <c r="X1231" s="6" t="str">
        <f>IFERROR(__xludf.DUMMYFUNCTION("""COMPUTED_VALUE"""),"Набережная, центр ")</f>
        <v>Набережная, центр </v>
      </c>
      <c r="Y1231" s="6" t="str">
        <f>IFERROR(__xludf.DUMMYFUNCTION("""COMPUTED_VALUE"""),"Bandy")</f>
        <v>Bandy</v>
      </c>
      <c r="Z1231" s="6" t="str">
        <f>IFERROR(__xludf.DUMMYFUNCTION("""COMPUTED_VALUE"""),"Женский форум, откр Конст суда и През Кадет училище")</f>
        <v>Женский форум, откр Конст суда и През Кадет училище</v>
      </c>
      <c r="AA1231" s="6" t="str">
        <f>IFERROR(__xludf.DUMMYFUNCTION("""COMPUTED_VALUE"""),"Зимняя Вишня")</f>
        <v>Зимняя Вишня</v>
      </c>
      <c r="AB1231" s="6" t="str">
        <f>IFERROR(__xludf.DUMMYFUNCTION("""COMPUTED_VALUE"""),"Всех хватает ")</f>
        <v>Всех хватает </v>
      </c>
      <c r="AC1231" s="6" t="str">
        <f>IFERROR(__xludf.DUMMYFUNCTION("""COMPUTED_VALUE"""),"Выставки ")</f>
        <v>Выставки </v>
      </c>
      <c r="AD1231"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231" s="6" t="str">
        <f>IFERROR(__xludf.DUMMYFUNCTION("""COMPUTED_VALUE"""),"Мужской")</f>
        <v>Мужской</v>
      </c>
      <c r="AF1231" s="6" t="str">
        <f>IFERROR(__xludf.DUMMYFUNCTION("""COMPUTED_VALUE"""),"30-44")</f>
        <v>30-44</v>
      </c>
      <c r="AG1231" s="6"/>
      <c r="AH1231" s="6"/>
      <c r="AI1231" s="6"/>
      <c r="AJ1231" s="6"/>
      <c r="AK1231" s="6"/>
      <c r="AL1231" s="6"/>
      <c r="AM1231" s="6"/>
    </row>
    <row r="1232">
      <c r="A1232" s="6">
        <v>1231.0</v>
      </c>
      <c r="B1232" s="6" t="str">
        <f>IFERROR(__xludf.DUMMYFUNCTION("""COMPUTED_VALUE"""),"Специалист техподдержки 1С")</f>
        <v>Специалист техподдержки 1С</v>
      </c>
      <c r="C1232" s="6" t="str">
        <f>IFERROR(__xludf.DUMMYFUNCTION("""COMPUTED_VALUE"""),"Коллекционирование музыкальных альбомов, фигурок персонажей, любительский вокал, сочинять любительские рассказы для сестёр на различные темы, раскрашивание картин по номерам")</f>
        <v>Коллекционирование музыкальных альбомов, фигурок персонажей, любительский вокал, сочинять любительские рассказы для сестёр на различные темы, раскрашивание картин по номерам</v>
      </c>
      <c r="D1232" s="6" t="str">
        <f>IFERROR(__xludf.DUMMYFUNCTION("""COMPUTED_VALUE"""),"Рудничный район, все его называют просто Радуга")</f>
        <v>Рудничный район, все его называют просто Радуга</v>
      </c>
      <c r="E1232" s="6" t="str">
        <f>IFERROR(__xludf.DUMMYFUNCTION("""COMPUTED_VALUE"""),"Набережная Томи, Сосновый Бор ")</f>
        <v>Набережная Томи, Сосновый Бор </v>
      </c>
      <c r="F1232" s="6" t="str">
        <f>IFERROR(__xludf.DUMMYFUNCTION("""COMPUTED_VALUE"""),"Живу здесь с рождения")</f>
        <v>Живу здесь с рождения</v>
      </c>
      <c r="G1232" s="6" t="str">
        <f>IFERROR(__xludf.DUMMYFUNCTION("""COMPUTED_VALUE"""),"Всегда по-разному")</f>
        <v>Всегда по-разному</v>
      </c>
      <c r="H1232" s="6" t="str">
        <f>IFERROR(__xludf.DUMMYFUNCTION("""COMPUTED_VALUE"""),"Чёрное небо, уголь, экология, бессмысленность, нерациональность")</f>
        <v>Чёрное небо, уголь, экология, бессмысленность, нерациональность</v>
      </c>
      <c r="I1232" s="6" t="str">
        <f>IFERROR(__xludf.DUMMYFUNCTION("""COMPUTED_VALUE"""),"Вера Волошина, А.А. Леонов...")</f>
        <v>Вера Волошина, А.А. Леонов...</v>
      </c>
      <c r="J1232" s="6" t="str">
        <f>IFERROR(__xludf.DUMMYFUNCTION("""COMPUTED_VALUE"""),"Мало осведомлена об этом, каюсь")</f>
        <v>Мало осведомлена об этом, каюсь</v>
      </c>
      <c r="K1232" s="6" t="str">
        <f>IFERROR(__xludf.DUMMYFUNCTION("""COMPUTED_VALUE"""),"Сосновый, нынче Рудничный Бор, очень там красиво все сделали, особенно в зимнее время все выглядит замечательно, Берёзовая Роща в осеннее время, Красная горка, там вид прекрасный, если не смотреть на причину мертвой экологии.")</f>
        <v>Сосновый, нынче Рудничный Бор, очень там красиво все сделали, особенно в зимнее время все выглядит замечательно, Берёзовая Роща в осеннее время, Красная горка, там вид прекрасный, если не смотреть на причину мертвой экологии.</v>
      </c>
      <c r="L1232" s="6" t="str">
        <f>IFERROR(__xludf.DUMMYFUNCTION("""COMPUTED_VALUE"""),"Весь наш город как сплошная несмешная шутка")</f>
        <v>Весь наш город как сплошная несмешная шутка</v>
      </c>
      <c r="M1232" s="6" t="str">
        <f>IFERROR(__xludf.DUMMYFUNCTION("""COMPUTED_VALUE"""),"Нет")</f>
        <v>Нет</v>
      </c>
      <c r="N1232" s="6" t="str">
        <f>IFERROR(__xludf.DUMMYFUNCTION("""COMPUTED_VALUE"""),"Своевременный общественный транспорт, пешеходные дороги даже через мост, супермаркеты, школы и работа в шаговой доступности, места культурного отдыха, облагороженные места на природе опять же для отдыха ")</f>
        <v>Своевременный общественный транспорт, пешеходные дороги даже через мост, супермаркеты, школы и работа в шаговой доступности, места культурного отдыха, облагороженные места на природе опять же для отдыха </v>
      </c>
      <c r="O1232" s="6" t="str">
        <f>IFERROR(__xludf.DUMMYFUNCTION("""COMPUTED_VALUE"""),"Экологию и транспорт")</f>
        <v>Экологию и транспорт</v>
      </c>
      <c r="P1232" s="6" t="str">
        <f>IFERROR(__xludf.DUMMYFUNCTION("""COMPUTED_VALUE"""),"Интернет, Инстаграм ")</f>
        <v>Интернет, Инстаграм </v>
      </c>
      <c r="Q1232"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1232" s="6" t="str">
        <f>IFERROR(__xludf.DUMMYFUNCTION("""COMPUTED_VALUE"""),"В честь которых делают на работе выходной")</f>
        <v>В честь которых делают на работе выходной</v>
      </c>
      <c r="S1232" s="6" t="str">
        <f>IFERROR(__xludf.DUMMYFUNCTION("""COMPUTED_VALUE"""),"Нет, не приходилось")</f>
        <v>Нет, не приходилось</v>
      </c>
      <c r="T1232" s="6" t="str">
        <f>IFERROR(__xludf.DUMMYFUNCTION("""COMPUTED_VALUE"""),"В СМИ чаще всего про наш город криминальные или печальные новости: убийства, смерть по неосторожности, пожары, убитая экология ")</f>
        <v>В СМИ чаще всего про наш город криминальные или печальные новости: убийства, смерть по неосторожности, пожары, убитая экология </v>
      </c>
      <c r="U1232" s="6" t="str">
        <f>IFERROR(__xludf.DUMMYFUNCTION("""COMPUTED_VALUE"""),"Сейчас это город огней, зимняя вишня ")</f>
        <v>Сейчас это город огней, зимняя вишня </v>
      </c>
      <c r="V1232" s="6" t="str">
        <f>IFERROR(__xludf.DUMMYFUNCTION("""COMPUTED_VALUE"""),"Угледобывающая промышленность")</f>
        <v>Угледобывающая промышленность</v>
      </c>
      <c r="W1232" s="6" t="str">
        <f>IFERROR(__xludf.DUMMYFUNCTION("""COMPUTED_VALUE"""),"Зажатые, негативные, угрюмые, недовольные, болеющие")</f>
        <v>Зажатые, негативные, угрюмые, недовольные, болеющие</v>
      </c>
      <c r="X1232" s="6" t="str">
        <f>IFERROR(__xludf.DUMMYFUNCTION("""COMPUTED_VALUE"""),"Из города")</f>
        <v>Из города</v>
      </c>
      <c r="Y1232" s="6" t="str">
        <f>IFERROR(__xludf.DUMMYFUNCTION("""COMPUTED_VALUE"""),"Не осведомлена")</f>
        <v>Не осведомлена</v>
      </c>
      <c r="Z1232" s="6" t="str">
        <f>IFERROR(__xludf.DUMMYFUNCTION("""COMPUTED_VALUE"""),"Никаких позитивных событий здесь нет")</f>
        <v>Никаких позитивных событий здесь нет</v>
      </c>
      <c r="AA1232" s="6" t="str">
        <f>IFERROR(__xludf.DUMMYFUNCTION("""COMPUTED_VALUE"""),"Бессмысленный митинг из-за какого-то политика, общественный транспорт перестал ходить и все кого я знаю опаздывали, либо добирались пешком. ")</f>
        <v>Бессмысленный митинг из-за какого-то политика, общественный транспорт перестал ходить и все кого я знаю опаздывали, либо добирались пешком. </v>
      </c>
      <c r="AB1232" s="6" t="str">
        <f>IFERROR(__xludf.DUMMYFUNCTION("""COMPUTED_VALUE"""),"Мне все равно на это, времени нет из-за работы за таким наблюдать")</f>
        <v>Мне все равно на это, времени нет из-за работы за таким наблюдать</v>
      </c>
      <c r="AC1232" s="6" t="str">
        <f>IFERROR(__xludf.DUMMYFUNCTION("""COMPUTED_VALUE"""),"Культурное воспитание молодежи, особенно школьников")</f>
        <v>Культурное воспитание молодежи, особенно школьников</v>
      </c>
      <c r="AD123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232" s="6" t="str">
        <f>IFERROR(__xludf.DUMMYFUNCTION("""COMPUTED_VALUE"""),"Женский")</f>
        <v>Женский</v>
      </c>
      <c r="AF1232" s="6" t="str">
        <f>IFERROR(__xludf.DUMMYFUNCTION("""COMPUTED_VALUE"""),"18-29")</f>
        <v>18-29</v>
      </c>
      <c r="AG1232" s="6"/>
      <c r="AH1232" s="6"/>
      <c r="AI1232" s="6"/>
      <c r="AJ1232" s="6"/>
      <c r="AK1232" s="6"/>
      <c r="AL1232" s="6"/>
      <c r="AM1232" s="6"/>
    </row>
    <row r="1233">
      <c r="A1233" s="6">
        <v>1232.0</v>
      </c>
      <c r="B1233" s="6" t="str">
        <f>IFERROR(__xludf.DUMMYFUNCTION("""COMPUTED_VALUE"""),"IT сфера")</f>
        <v>IT сфера</v>
      </c>
      <c r="C1233" s="6" t="str">
        <f>IFERROR(__xludf.DUMMYFUNCTION("""COMPUTED_VALUE"""),"Туризм")</f>
        <v>Туризм</v>
      </c>
      <c r="D1233" s="6" t="str">
        <f>IFERROR(__xludf.DUMMYFUNCTION("""COMPUTED_VALUE"""),"Центральный")</f>
        <v>Центральный</v>
      </c>
      <c r="E1233" s="6" t="str">
        <f>IFERROR(__xludf.DUMMYFUNCTION("""COMPUTED_VALUE"""),"Рудничный бор")</f>
        <v>Рудничный бор</v>
      </c>
      <c r="F1233" s="6" t="str">
        <f>IFERROR(__xludf.DUMMYFUNCTION("""COMPUTED_VALUE"""),"Переехал сюда из другого места (откуда? укажите в графе другое), г. Белово")</f>
        <v>Переехал сюда из другого места (откуда? укажите в графе другое), г. Белово</v>
      </c>
      <c r="G1233" s="6" t="str">
        <f>IFERROR(__xludf.DUMMYFUNCTION("""COMPUTED_VALUE"""),"Рудничный бор или стараюсь выехать за пределы города")</f>
        <v>Рудничный бор или стараюсь выехать за пределы города</v>
      </c>
      <c r="H1233" s="6" t="str">
        <f>IFERROR(__xludf.DUMMYFUNCTION("""COMPUTED_VALUE"""),"Пыльный, грязный, загазованный, запущенный, дискомфортный ")</f>
        <v>Пыльный, грязный, загазованный, запущенный, дискомфортный </v>
      </c>
      <c r="I1233" s="6" t="str">
        <f>IFERROR(__xludf.DUMMYFUNCTION("""COMPUTED_VALUE"""),"С. Рутгерс")</f>
        <v>С. Рутгерс</v>
      </c>
      <c r="J1233" s="6" t="str">
        <f>IFERROR(__xludf.DUMMYFUNCTION("""COMPUTED_VALUE"""),"В.Сухацкий, С. Цивилев")</f>
        <v>В.Сухацкий, С. Цивилев</v>
      </c>
      <c r="K1233" s="6" t="str">
        <f>IFERROR(__xludf.DUMMYFUNCTION("""COMPUTED_VALUE"""),"Рудничный бор")</f>
        <v>Рудничный бор</v>
      </c>
      <c r="L1233" s="6" t="str">
        <f>IFERROR(__xludf.DUMMYFUNCTION("""COMPUTED_VALUE"""),"Зелендестрой")</f>
        <v>Зелендестрой</v>
      </c>
      <c r="M1233" s="6" t="str">
        <f>IFERROR(__xludf.DUMMYFUNCTION("""COMPUTED_VALUE"""),"Нет")</f>
        <v>Нет</v>
      </c>
      <c r="N1233" s="6" t="str">
        <f>IFERROR(__xludf.DUMMYFUNCTION("""COMPUTED_VALUE"""),"Отсутствие дорожной пыли, отсутствие грязи и щебёнки на дорогах и тротуарах, чистый, незагазованный воздух")</f>
        <v>Отсутствие дорожной пыли, отсутствие грязи и щебёнки на дорогах и тротуарах, чистый, незагазованный воздух</v>
      </c>
      <c r="O1233" s="6" t="str">
        <f>IFERROR(__xludf.DUMMYFUNCTION("""COMPUTED_VALUE"""),"Системно подходить к вопросам благоустройства ")</f>
        <v>Системно подходить к вопросам благоустройства </v>
      </c>
      <c r="P1233" s="6" t="str">
        <f>IFERROR(__xludf.DUMMYFUNCTION("""COMPUTED_VALUE"""),"Новости")</f>
        <v>Новости</v>
      </c>
      <c r="Q1233" s="6" t="str">
        <f>IFERROR(__xludf.DUMMYFUNCTION("""COMPUTED_VALUE"""),"бизнес-новости (средний чек/рекламные акции/запуск новых предприятий)")</f>
        <v>бизнес-новости (средний чек/рекламные акции/запуск новых предприятий)</v>
      </c>
      <c r="R1233" s="6" t="str">
        <f>IFERROR(__xludf.DUMMYFUNCTION("""COMPUTED_VALUE"""),"Нет такмх")</f>
        <v>Нет такмх</v>
      </c>
      <c r="S1233" s="6" t="str">
        <f>IFERROR(__xludf.DUMMYFUNCTION("""COMPUTED_VALUE"""),"Нет, не приходилось")</f>
        <v>Нет, не приходилось</v>
      </c>
      <c r="T1233" s="6" t="str">
        <f>IFERROR(__xludf.DUMMYFUNCTION("""COMPUTED_VALUE"""),"Вездесущая пыль и щебёнка на дорогах")</f>
        <v>Вездесущая пыль и щебёнка на дорогах</v>
      </c>
      <c r="U1233" s="6" t="str">
        <f>IFERROR(__xludf.DUMMYFUNCTION("""COMPUTED_VALUE"""),"Й")</f>
        <v>Й</v>
      </c>
      <c r="V1233" s="6" t="str">
        <f>IFERROR(__xludf.DUMMYFUNCTION("""COMPUTED_VALUE"""),"Это сделали поколения советских людей")</f>
        <v>Это сделали поколения советских людей</v>
      </c>
      <c r="W1233" s="6" t="str">
        <f>IFERROR(__xludf.DUMMYFUNCTION("""COMPUTED_VALUE"""),"Социально пассивные")</f>
        <v>Социально пассивные</v>
      </c>
      <c r="X1233" s="6" t="str">
        <f>IFERROR(__xludf.DUMMYFUNCTION("""COMPUTED_VALUE"""),"Рудничный бор")</f>
        <v>Рудничный бор</v>
      </c>
      <c r="Y1233" s="6" t="str">
        <f>IFERROR(__xludf.DUMMYFUNCTION("""COMPUTED_VALUE"""),"Строительство кластеров")</f>
        <v>Строительство кластеров</v>
      </c>
      <c r="Z1233" s="6" t="str">
        <f>IFERROR(__xludf.DUMMYFUNCTION("""COMPUTED_VALUE"""),"Строительство кластеров")</f>
        <v>Строительство кластеров</v>
      </c>
      <c r="AA1233" s="6" t="str">
        <f>IFERROR(__xludf.DUMMYFUNCTION("""COMPUTED_VALUE"""),"Попытка строительства  в ООПТ Рудничный бор")</f>
        <v>Попытка строительства  в ООПТ Рудничный бор</v>
      </c>
      <c r="AB1233" s="6" t="str">
        <f>IFERROR(__xludf.DUMMYFUNCTION("""COMPUTED_VALUE"""),"Дискуссионная площадка с АГК")</f>
        <v>Дискуссионная площадка с АГК</v>
      </c>
      <c r="AC1233" s="6" t="str">
        <f>IFERROR(__xludf.DUMMYFUNCTION("""COMPUTED_VALUE"""),"Постоянная работа,а не политическая трескотня")</f>
        <v>Постоянная работа,а не политическая трескотня</v>
      </c>
      <c r="AD123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33" s="6" t="str">
        <f>IFERROR(__xludf.DUMMYFUNCTION("""COMPUTED_VALUE"""),"Мужской")</f>
        <v>Мужской</v>
      </c>
      <c r="AF1233" s="6" t="str">
        <f>IFERROR(__xludf.DUMMYFUNCTION("""COMPUTED_VALUE"""),"старше 55")</f>
        <v>старше 55</v>
      </c>
      <c r="AG1233" s="6"/>
      <c r="AH1233" s="6"/>
      <c r="AI1233" s="6"/>
      <c r="AJ1233" s="6"/>
      <c r="AK1233" s="6"/>
      <c r="AL1233" s="6"/>
      <c r="AM1233" s="6"/>
    </row>
    <row r="1234">
      <c r="A1234" s="6">
        <v>1233.0</v>
      </c>
      <c r="B1234" s="6" t="str">
        <f>IFERROR(__xludf.DUMMYFUNCTION("""COMPUTED_VALUE"""),"Почтальон")</f>
        <v>Почтальон</v>
      </c>
      <c r="C1234" s="6" t="str">
        <f>IFERROR(__xludf.DUMMYFUNCTION("""COMPUTED_VALUE"""),"Майнинг")</f>
        <v>Майнинг</v>
      </c>
      <c r="D1234" s="6" t="str">
        <f>IFERROR(__xludf.DUMMYFUNCTION("""COMPUTED_VALUE"""),"Заводский")</f>
        <v>Заводский</v>
      </c>
      <c r="E1234" s="6" t="str">
        <f>IFERROR(__xludf.DUMMYFUNCTION("""COMPUTED_VALUE"""),"Заводы")</f>
        <v>Заводы</v>
      </c>
      <c r="F1234" s="6" t="str">
        <f>IFERROR(__xludf.DUMMYFUNCTION("""COMPUTED_VALUE"""),"Живу здесь с рождения")</f>
        <v>Живу здесь с рождения</v>
      </c>
      <c r="G1234" s="6" t="str">
        <f>IFERROR(__xludf.DUMMYFUNCTION("""COMPUTED_VALUE"""),"Не выхожу из дома")</f>
        <v>Не выхожу из дома</v>
      </c>
      <c r="H1234" s="6" t="str">
        <f>IFERROR(__xludf.DUMMYFUNCTION("""COMPUTED_VALUE"""),"Заводы, уголь, онкология, гопники, коррупция")</f>
        <v>Заводы, уголь, онкология, гопники, коррупция</v>
      </c>
      <c r="I1234" s="6" t="str">
        <f>IFERROR(__xludf.DUMMYFUNCTION("""COMPUTED_VALUE"""),"Елена Малышева")</f>
        <v>Елена Малышева</v>
      </c>
      <c r="J1234" s="6" t="str">
        <f>IFERROR(__xludf.DUMMYFUNCTION("""COMPUTED_VALUE"""),"Михаил Алфёров")</f>
        <v>Михаил Алфёров</v>
      </c>
      <c r="K1234" s="6" t="str">
        <f>IFERROR(__xludf.DUMMYFUNCTION("""COMPUTED_VALUE"""),"Красная горка")</f>
        <v>Красная горка</v>
      </c>
      <c r="L1234" s="6" t="str">
        <f>IFERROR(__xludf.DUMMYFUNCTION("""COMPUTED_VALUE"""),"Научи дурака молиться, он голову расшибёт")</f>
        <v>Научи дурака молиться, он голову расшибёт</v>
      </c>
      <c r="M1234" s="6" t="str">
        <f>IFERROR(__xludf.DUMMYFUNCTION("""COMPUTED_VALUE"""),"Фабричка, бульвар, швейка, тухачи, терешки, сибиряки")</f>
        <v>Фабричка, бульвар, швейка, тухачи, терешки, сибиряки</v>
      </c>
      <c r="N1234" s="6" t="str">
        <f>IFERROR(__xludf.DUMMYFUNCTION("""COMPUTED_VALUE"""),"Много зелени и деревьев, чистота, целые фасады зданий, хорошие з/п, много рабочих мест")</f>
        <v>Много зелени и деревьев, чистота, целые фасады зданий, хорошие з/п, много рабочих мест</v>
      </c>
      <c r="O1234" s="6" t="str">
        <f>IFERROR(__xludf.DUMMYFUNCTION("""COMPUTED_VALUE"""),"Навести чистоту и отремонтировать фасады зданий")</f>
        <v>Навести чистоту и отремонтировать фасады зданий</v>
      </c>
      <c r="P1234" s="6" t="str">
        <f>IFERROR(__xludf.DUMMYFUNCTION("""COMPUTED_VALUE"""),"Ютуб канал ""Михаил Алфёров""")</f>
        <v>Ютуб канал "Михаил Алфёров"</v>
      </c>
      <c r="Q1234" s="6" t="str">
        <f>IFERROR(__xludf.DUMMYFUNCTION("""COMPUTED_VALUE"""),"интервью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f>
        <v>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v>
      </c>
      <c r="R1234" s="6" t="str">
        <f>IFERROR(__xludf.DUMMYFUNCTION("""COMPUTED_VALUE"""),"День города")</f>
        <v>День города</v>
      </c>
      <c r="S1234" s="6" t="str">
        <f>IFERROR(__xludf.DUMMYFUNCTION("""COMPUTED_VALUE"""),"Нет, не приходилось")</f>
        <v>Нет, не приходилось</v>
      </c>
      <c r="T1234" s="6" t="str">
        <f>IFERROR(__xludf.DUMMYFUNCTION("""COMPUTED_VALUE"""),"Здесь копают уголь")</f>
        <v>Здесь копают уголь</v>
      </c>
      <c r="U1234" s="6" t="str">
        <f>IFERROR(__xludf.DUMMYFUNCTION("""COMPUTED_VALUE"""),"Площадь советов")</f>
        <v>Площадь советов</v>
      </c>
      <c r="V1234" s="6" t="str">
        <f>IFERROR(__xludf.DUMMYFUNCTION("""COMPUTED_VALUE"""),"Ничего")</f>
        <v>Ничего</v>
      </c>
      <c r="W1234" s="6" t="str">
        <f>IFERROR(__xludf.DUMMYFUNCTION("""COMPUTED_VALUE"""),"Грустные и терпеливые")</f>
        <v>Грустные и терпеливые</v>
      </c>
      <c r="X1234" s="6" t="str">
        <f>IFERROR(__xludf.DUMMYFUNCTION("""COMPUTED_VALUE"""),"Набережная/парк жукова")</f>
        <v>Набережная/парк жукова</v>
      </c>
      <c r="Y1234" s="6" t="str">
        <f>IFERROR(__xludf.DUMMYFUNCTION("""COMPUTED_VALUE"""),"Постройка моста через реку")</f>
        <v>Постройка моста через реку</v>
      </c>
      <c r="Z1234" s="6" t="str">
        <f>IFERROR(__xludf.DUMMYFUNCTION("""COMPUTED_VALUE"""),"Строительство инфраструктуры вдоль притомского проспекта")</f>
        <v>Строительство инфраструктуры вдоль притомского проспекта</v>
      </c>
      <c r="AA1234" s="6" t="str">
        <f>IFERROR(__xludf.DUMMYFUNCTION("""COMPUTED_VALUE"""),"Мусор, грязь, воздух")</f>
        <v>Мусор, грязь, воздух</v>
      </c>
      <c r="AB1234" s="6" t="str">
        <f>IFERROR(__xludf.DUMMYFUNCTION("""COMPUTED_VALUE"""),"Политических")</f>
        <v>Политических</v>
      </c>
      <c r="AC1234" s="6" t="str">
        <f>IFERROR(__xludf.DUMMYFUNCTION("""COMPUTED_VALUE"""),"Нужно больше прогулочных и велосипедных зон")</f>
        <v>Нужно больше прогулочных и велосипедных зон</v>
      </c>
      <c r="AD1234"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234" s="6" t="str">
        <f>IFERROR(__xludf.DUMMYFUNCTION("""COMPUTED_VALUE"""),"Мужской")</f>
        <v>Мужской</v>
      </c>
      <c r="AF1234" s="6" t="str">
        <f>IFERROR(__xludf.DUMMYFUNCTION("""COMPUTED_VALUE"""),"18-29")</f>
        <v>18-29</v>
      </c>
      <c r="AG1234" s="6"/>
      <c r="AH1234" s="6"/>
      <c r="AI1234" s="6"/>
      <c r="AJ1234" s="6"/>
      <c r="AK1234" s="6"/>
      <c r="AL1234" s="6"/>
      <c r="AM1234" s="6"/>
    </row>
    <row r="1235">
      <c r="A1235" s="6">
        <v>1234.0</v>
      </c>
      <c r="B1235" s="6" t="str">
        <f>IFERROR(__xludf.DUMMYFUNCTION("""COMPUTED_VALUE"""),"Экономист, фитнес")</f>
        <v>Экономист, фитнес</v>
      </c>
      <c r="C1235" s="6" t="str">
        <f>IFERROR(__xludf.DUMMYFUNCTION("""COMPUTED_VALUE"""),"Делаю людей чуточку лучше при помощи фитнеса и нутрициологии")</f>
        <v>Делаю людей чуточку лучше при помощи фитнеса и нутрициологии</v>
      </c>
      <c r="D1235" s="6" t="str">
        <f>IFERROR(__xludf.DUMMYFUNCTION("""COMPUTED_VALUE"""),"Центральный")</f>
        <v>Центральный</v>
      </c>
      <c r="E1235" s="6" t="str">
        <f>IFERROR(__xludf.DUMMYFUNCTION("""COMPUTED_VALUE"""),"Кадетское училище")</f>
        <v>Кадетское училище</v>
      </c>
      <c r="F1235" s="6" t="str">
        <f>IFERROR(__xludf.DUMMYFUNCTION("""COMPUTED_VALUE"""),"Живу здесь с рождения")</f>
        <v>Живу здесь с рождения</v>
      </c>
      <c r="G1235" s="6" t="str">
        <f>IFERROR(__xludf.DUMMYFUNCTION("""COMPUTED_VALUE"""),"Набережная, бульвар Строителей, пешеходная зона вокруг кадетского училища")</f>
        <v>Набережная, бульвар Строителей, пешеходная зона вокруг кадетского училища</v>
      </c>
      <c r="H1235" s="6" t="str">
        <f>IFERROR(__xludf.DUMMYFUNCTION("""COMPUTED_VALUE"""),"Уютный, чистый, красивый")</f>
        <v>Уютный, чистый, красивый</v>
      </c>
      <c r="I1235" s="6" t="str">
        <f>IFERROR(__xludf.DUMMYFUNCTION("""COMPUTED_VALUE"""),"-")</f>
        <v>-</v>
      </c>
      <c r="J1235" s="6" t="str">
        <f>IFERROR(__xludf.DUMMYFUNCTION("""COMPUTED_VALUE"""),"-")</f>
        <v>-</v>
      </c>
      <c r="K1235" s="6" t="str">
        <f>IFERROR(__xludf.DUMMYFUNCTION("""COMPUTED_VALUE"""),"-")</f>
        <v>-</v>
      </c>
      <c r="L1235" s="6" t="str">
        <f>IFERROR(__xludf.DUMMYFUNCTION("""COMPUTED_VALUE"""),"-")</f>
        <v>-</v>
      </c>
      <c r="M1235" s="6" t="str">
        <f>IFERROR(__xludf.DUMMYFUNCTION("""COMPUTED_VALUE"""),"-")</f>
        <v>-</v>
      </c>
      <c r="N1235" s="6" t="str">
        <f>IFERROR(__xludf.DUMMYFUNCTION("""COMPUTED_VALUE"""),"Чистота, атмосфера, стиль города, зелень")</f>
        <v>Чистота, атмосфера, стиль города, зелень</v>
      </c>
      <c r="O1235" s="6" t="str">
        <f>IFERROR(__xludf.DUMMYFUNCTION("""COMPUTED_VALUE"""),"-")</f>
        <v>-</v>
      </c>
      <c r="P1235" s="6" t="str">
        <f>IFERROR(__xludf.DUMMYFUNCTION("""COMPUTED_VALUE"""),"-")</f>
        <v>-</v>
      </c>
      <c r="Q1235" s="6" t="str">
        <f>IFERROR(__xludf.DUMMYFUNCTION("""COMPUTED_VALUE"""),"где вкусно поесть/открытие новых кафе/ресторанов, городская афиша (кино/театр/концерты), результаты местных исследований (рейтинги/аналитика/тенденции)")</f>
        <v>где вкусно поесть/открытие новых кафе/ресторанов, городская афиша (кино/театр/концерты), результаты местных исследований (рейтинги/аналитика/тенденции)</v>
      </c>
      <c r="R1235" s="6" t="str">
        <f>IFERROR(__xludf.DUMMYFUNCTION("""COMPUTED_VALUE"""),"-")</f>
        <v>-</v>
      </c>
      <c r="S1235" s="6" t="str">
        <f>IFERROR(__xludf.DUMMYFUNCTION("""COMPUTED_VALUE"""),"Нет, не приходилось")</f>
        <v>Нет, не приходилось</v>
      </c>
      <c r="T1235" s="6" t="str">
        <f>IFERROR(__xludf.DUMMYFUNCTION("""COMPUTED_VALUE"""),"-")</f>
        <v>-</v>
      </c>
      <c r="U1235" s="6" t="str">
        <f>IFERROR(__xludf.DUMMYFUNCTION("""COMPUTED_VALUE"""),"-")</f>
        <v>-</v>
      </c>
      <c r="V1235" s="6" t="str">
        <f>IFERROR(__xludf.DUMMYFUNCTION("""COMPUTED_VALUE"""),"-")</f>
        <v>-</v>
      </c>
      <c r="W1235" s="6" t="str">
        <f>IFERROR(__xludf.DUMMYFUNCTION("""COMPUTED_VALUE"""),"-")</f>
        <v>-</v>
      </c>
      <c r="X1235" s="6" t="str">
        <f>IFERROR(__xludf.DUMMYFUNCTION("""COMPUTED_VALUE"""),"-")</f>
        <v>-</v>
      </c>
      <c r="Y1235" s="6" t="str">
        <f>IFERROR(__xludf.DUMMYFUNCTION("""COMPUTED_VALUE"""),"-")</f>
        <v>-</v>
      </c>
      <c r="Z1235" s="6" t="str">
        <f>IFERROR(__xludf.DUMMYFUNCTION("""COMPUTED_VALUE"""),"-")</f>
        <v>-</v>
      </c>
      <c r="AA1235" s="6" t="str">
        <f>IFERROR(__xludf.DUMMYFUNCTION("""COMPUTED_VALUE"""),"-")</f>
        <v>-</v>
      </c>
      <c r="AB1235" s="6" t="str">
        <f>IFERROR(__xludf.DUMMYFUNCTION("""COMPUTED_VALUE"""),"-")</f>
        <v>-</v>
      </c>
      <c r="AC1235" s="6" t="str">
        <f>IFERROR(__xludf.DUMMYFUNCTION("""COMPUTED_VALUE"""),"-")</f>
        <v>-</v>
      </c>
      <c r="AD1235"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235" s="6" t="str">
        <f>IFERROR(__xludf.DUMMYFUNCTION("""COMPUTED_VALUE"""),"Женский")</f>
        <v>Женский</v>
      </c>
      <c r="AF1235" s="6" t="str">
        <f>IFERROR(__xludf.DUMMYFUNCTION("""COMPUTED_VALUE"""),"18-29")</f>
        <v>18-29</v>
      </c>
      <c r="AG1235" s="6"/>
      <c r="AH1235" s="6"/>
      <c r="AI1235" s="6"/>
      <c r="AJ1235" s="6"/>
      <c r="AK1235" s="6"/>
      <c r="AL1235" s="6"/>
      <c r="AM1235" s="6"/>
    </row>
    <row r="1236">
      <c r="A1236" s="6">
        <v>1235.0</v>
      </c>
      <c r="B1236" s="6" t="str">
        <f>IFERROR(__xludf.DUMMYFUNCTION("""COMPUTED_VALUE"""),"Мастер по уходу за недвижимостью")</f>
        <v>Мастер по уходу за недвижимостью</v>
      </c>
      <c r="C1236" s="6" t="str">
        <f>IFERROR(__xludf.DUMMYFUNCTION("""COMPUTED_VALUE"""),"Огород")</f>
        <v>Огород</v>
      </c>
      <c r="D1236" s="6" t="str">
        <f>IFERROR(__xludf.DUMMYFUNCTION("""COMPUTED_VALUE"""),"Заводский")</f>
        <v>Заводский</v>
      </c>
      <c r="E1236" s="6" t="str">
        <f>IFERROR(__xludf.DUMMYFUNCTION("""COMPUTED_VALUE"""),"Все")</f>
        <v>Все</v>
      </c>
      <c r="F1236" s="6" t="str">
        <f>IFERROR(__xludf.DUMMYFUNCTION("""COMPUTED_VALUE"""),"Переехал сюда из другого места (откуда? укажите в графе другое), Салаир")</f>
        <v>Переехал сюда из другого места (откуда? укажите в графе другое), Салаир</v>
      </c>
      <c r="G1236" s="6" t="str">
        <f>IFERROR(__xludf.DUMMYFUNCTION("""COMPUTED_VALUE"""),"Лес томь")</f>
        <v>Лес томь</v>
      </c>
      <c r="H1236" s="6" t="str">
        <f>IFERROR(__xludf.DUMMYFUNCTION("""COMPUTED_VALUE"""),"Порядок")</f>
        <v>Порядок</v>
      </c>
      <c r="I1236" s="6" t="str">
        <f>IFERROR(__xludf.DUMMYFUNCTION("""COMPUTED_VALUE"""),"Тулеев")</f>
        <v>Тулеев</v>
      </c>
      <c r="J1236" s="6" t="str">
        <f>IFERROR(__xludf.DUMMYFUNCTION("""COMPUTED_VALUE"""),"Тулеев")</f>
        <v>Тулеев</v>
      </c>
      <c r="K1236" s="6" t="str">
        <f>IFERROR(__xludf.DUMMYFUNCTION("""COMPUTED_VALUE"""),"Горящие сердца")</f>
        <v>Горящие сердца</v>
      </c>
      <c r="L1236" s="6" t="str">
        <f>IFERROR(__xludf.DUMMYFUNCTION("""COMPUTED_VALUE"""),"Задохнулся значит в Кемерово")</f>
        <v>Задохнулся значит в Кемерово</v>
      </c>
      <c r="M1236" s="6" t="str">
        <f>IFERROR(__xludf.DUMMYFUNCTION("""COMPUTED_VALUE"""),"Дрифтуешь по кемеровский")</f>
        <v>Дрифтуешь по кемеровский</v>
      </c>
      <c r="N1236" s="6" t="str">
        <f>IFERROR(__xludf.DUMMYFUNCTION("""COMPUTED_VALUE"""),"Чистота уют  вежливость ")</f>
        <v>Чистота уют  вежливость </v>
      </c>
      <c r="O1236" s="6" t="str">
        <f>IFERROR(__xludf.DUMMYFUNCTION("""COMPUTED_VALUE"""),"Отношения к людям")</f>
        <v>Отношения к людям</v>
      </c>
      <c r="P1236" s="6" t="str">
        <f>IFERROR(__xludf.DUMMYFUNCTION("""COMPUTED_VALUE"""),"42регион")</f>
        <v>42регион</v>
      </c>
      <c r="Q1236" s="6" t="str">
        <f>IFERROR(__xludf.DUMMYFUNCTION("""COMPUTED_VALUE"""),"криминальные новости (происшествия/преступления)")</f>
        <v>криминальные новости (происшествия/преступления)</v>
      </c>
      <c r="R1236" s="6" t="str">
        <f>IFERROR(__xludf.DUMMYFUNCTION("""COMPUTED_VALUE"""),"День победы")</f>
        <v>День победы</v>
      </c>
      <c r="S1236" s="6" t="str">
        <f>IFERROR(__xludf.DUMMYFUNCTION("""COMPUTED_VALUE"""),"Нет, не приходилось")</f>
        <v>Нет, не приходилось</v>
      </c>
      <c r="T1236" s="6" t="str">
        <f>IFERROR(__xludf.DUMMYFUNCTION("""COMPUTED_VALUE"""),"Пожаром зимний вишни")</f>
        <v>Пожаром зимний вишни</v>
      </c>
      <c r="U1236" s="6" t="str">
        <f>IFERROR(__xludf.DUMMYFUNCTION("""COMPUTED_VALUE"""),"Не чего")</f>
        <v>Не чего</v>
      </c>
      <c r="V1236" s="6" t="str">
        <f>IFERROR(__xludf.DUMMYFUNCTION("""COMPUTED_VALUE"""),"Азот построили потом развалили")</f>
        <v>Азот построили потом развалили</v>
      </c>
      <c r="W1236" s="6" t="str">
        <f>IFERROR(__xludf.DUMMYFUNCTION("""COMPUTED_VALUE"""),"Злый ")</f>
        <v>Злый </v>
      </c>
      <c r="X1236" s="6" t="str">
        <f>IFERROR(__xludf.DUMMYFUNCTION("""COMPUTED_VALUE"""),"Гор сад")</f>
        <v>Гор сад</v>
      </c>
      <c r="Y1236" s="6" t="str">
        <f>IFERROR(__xludf.DUMMYFUNCTION("""COMPUTED_VALUE"""),"Пожар")</f>
        <v>Пожар</v>
      </c>
      <c r="Z1236" s="6" t="str">
        <f>IFERROR(__xludf.DUMMYFUNCTION("""COMPUTED_VALUE"""),"Открытие нового моста")</f>
        <v>Открытие нового моста</v>
      </c>
      <c r="AA1236" s="6" t="str">
        <f>IFERROR(__xludf.DUMMYFUNCTION("""COMPUTED_VALUE"""),"Пожар зимний вишни")</f>
        <v>Пожар зимний вишни</v>
      </c>
      <c r="AB1236" s="6" t="str">
        <f>IFERROR(__xludf.DUMMYFUNCTION("""COMPUTED_VALUE"""),"Массовых мероприятий")</f>
        <v>Массовых мероприятий</v>
      </c>
      <c r="AC1236" s="6" t="str">
        <f>IFERROR(__xludf.DUMMYFUNCTION("""COMPUTED_VALUE"""),"Массовых мероприятий")</f>
        <v>Массовых мероприятий</v>
      </c>
      <c r="AD1236" s="6" t="str">
        <f>IFERROR(__xludf.DUMMYFUNCTION("""COMPUTED_VALUE"""),"Не кем")</f>
        <v>Не кем</v>
      </c>
      <c r="AE1236" s="6" t="str">
        <f>IFERROR(__xludf.DUMMYFUNCTION("""COMPUTED_VALUE"""),"Женский")</f>
        <v>Женский</v>
      </c>
      <c r="AF1236" s="6" t="str">
        <f>IFERROR(__xludf.DUMMYFUNCTION("""COMPUTED_VALUE"""),"30-44")</f>
        <v>30-44</v>
      </c>
      <c r="AG1236" s="6"/>
      <c r="AH1236" s="6"/>
      <c r="AI1236" s="6"/>
      <c r="AJ1236" s="6"/>
      <c r="AK1236" s="6"/>
      <c r="AL1236" s="6"/>
      <c r="AM1236" s="6"/>
    </row>
    <row r="1237">
      <c r="A1237" s="6">
        <v>1236.0</v>
      </c>
      <c r="B1237" s="6" t="str">
        <f>IFERROR(__xludf.DUMMYFUNCTION("""COMPUTED_VALUE"""),"Фотограф")</f>
        <v>Фотограф</v>
      </c>
      <c r="C1237" s="6" t="str">
        <f>IFERROR(__xludf.DUMMYFUNCTION("""COMPUTED_VALUE"""),"Катание на велосипеде ")</f>
        <v>Катание на велосипеде </v>
      </c>
      <c r="D1237" s="6" t="str">
        <f>IFERROR(__xludf.DUMMYFUNCTION("""COMPUTED_VALUE"""),"Центральный район. 5я поликлинника")</f>
        <v>Центральный район. 5я поликлинника</v>
      </c>
      <c r="E1237" s="6" t="str">
        <f>IFERROR(__xludf.DUMMYFUNCTION("""COMPUTED_VALUE"""),"Никаких")</f>
        <v>Никаких</v>
      </c>
      <c r="F1237" s="6" t="str">
        <f>IFERROR(__xludf.DUMMYFUNCTION("""COMPUTED_VALUE"""),"Переехал сюда из другого места (откуда? укажите в графе другое), Переехал из Новокузнецка. ")</f>
        <v>Переехал сюда из другого места (откуда? укажите в графе другое), Переехал из Новокузнецка. </v>
      </c>
      <c r="G1237" s="6" t="str">
        <f>IFERROR(__xludf.DUMMYFUNCTION("""COMPUTED_VALUE"""),"Сосновый Бор, Ботанический сад Ленинского р-на, озеро Суховское, Бульвар строителей . Гора Люскус ")</f>
        <v>Сосновый Бор, Ботанический сад Ленинского р-на, озеро Суховское, Бульвар строителей . Гора Люскус </v>
      </c>
      <c r="H1237" s="6" t="str">
        <f>IFERROR(__xludf.DUMMYFUNCTION("""COMPUTED_VALUE"""),"Компактность, экология, велодорожки, отвратительный транспорт, близость природы ")</f>
        <v>Компактность, экология, велодорожки, отвратительный транспорт, близость природы </v>
      </c>
      <c r="I1237" s="6" t="str">
        <f>IFERROR(__xludf.DUMMYFUNCTION("""COMPUTED_VALUE"""),"Гришковец.")</f>
        <v>Гришковец.</v>
      </c>
      <c r="J1237" s="6" t="str">
        <f>IFERROR(__xludf.DUMMYFUNCTION("""COMPUTED_VALUE"""),"Не знаю ни одного выдающегося ")</f>
        <v>Не знаю ни одного выдающегося </v>
      </c>
      <c r="K1237" s="6" t="str">
        <f>IFERROR(__xludf.DUMMYFUNCTION("""COMPUTED_VALUE"""),"Ботанический сад ленинского р-на. Святой источник возле него. ")</f>
        <v>Ботанический сад ленинского р-на. Святой источник возле него. </v>
      </c>
      <c r="L1237" s="6" t="str">
        <f>IFERROR(__xludf.DUMMYFUNCTION("""COMPUTED_VALUE"""),"Семь раз отмерь , один раз отрежь ")</f>
        <v>Семь раз отмерь , один раз отрежь </v>
      </c>
      <c r="M1237" s="6" t="str">
        <f>IFERROR(__xludf.DUMMYFUNCTION("""COMPUTED_VALUE"""),"Человек из Кемерова")</f>
        <v>Человек из Кемерова</v>
      </c>
      <c r="N1237" s="6" t="str">
        <f>IFERROR(__xludf.DUMMYFUNCTION("""COMPUTED_VALUE"""),"Общественный транспорт , состоящий только из автобусов большой и средней вместимости, отсутствие маршруток типа ПАЗ. Наличие кондукторов во всех видах общественного транспорта, ибо они лицо города, подсказывающие дорогу не местным и помогающие им сделать "&amp;"пересадки. Наличие развитой сети троллейбусных и трамвайных маршрутов. Мне 32 года, несмотря на это я стараюсь ездить только на общественном транспорте , исключая маршрутные такси. 
Наличие велодорожек! В нашем городе огромное число велосипедистов и им ну"&amp;"жны велодорожки. Не просто нарисованные на асфальте полосы, по которым так же ходят пешеходы , а именно велодорожки . Наличие зон отдыха с чистыми газонами. Наличие дворов без машин! Наличие специальных площадок для выгула собак! ")</f>
        <v>Общественный транспорт , состоящий только из автобусов большой и средней вместимости, отсутствие маршруток типа ПАЗ. Наличие кондукторов во всех видах общественного транспорта, ибо они лицо города, подсказывающие дорогу не местным и помогающие им сделать пересадки. Наличие развитой сети троллейбусных и трамвайных маршрутов. Мне 32 года, несмотря на это я стараюсь ездить только на общественном транспорте , исключая маршрутные такси. 
Наличие велодорожек! В нашем городе огромное число велосипедистов и им нужны велодорожки. Не просто нарисованные на асфальте полосы, по которым так же ходят пешеходы , а именно велодорожки . Наличие зон отдыха с чистыми газонами. Наличие дворов без машин! Наличие специальных площадок для выгула собак! </v>
      </c>
      <c r="O1237" s="6" t="str">
        <f>IFERROR(__xludf.DUMMYFUNCTION("""COMPUTED_VALUE"""),"Общественный транспорт .убрать маршрутки, развить сеть муниципального транспорта !!! ")</f>
        <v>Общественный транспорт .убрать маршрутки, развить сеть муниципального транспорта !!! </v>
      </c>
      <c r="P1237" s="6" t="str">
        <f>IFERROR(__xludf.DUMMYFUNCTION("""COMPUTED_VALUE""")," Не интересуюсь новостями")</f>
        <v> Не интересуюсь новостями</v>
      </c>
      <c r="Q1237" s="6" t="str">
        <f>IFERROR(__xludf.DUMMYFUNCTION("""COMPUTED_VALUE"""),"куда пойти в свободное время, Не интересуюсь новостями ")</f>
        <v>куда пойти в свободное время, Не интересуюсь новостями </v>
      </c>
      <c r="R1237" s="6" t="str">
        <f>IFERROR(__xludf.DUMMYFUNCTION("""COMPUTED_VALUE"""),"День города, день победы, Новый год ")</f>
        <v>День города, день победы, Новый год </v>
      </c>
      <c r="S1237" s="6" t="str">
        <f>IFERROR(__xludf.DUMMYFUNCTION("""COMPUTED_VALUE"""),"Нет, не приходилось")</f>
        <v>Нет, не приходилось</v>
      </c>
      <c r="T1237" s="6" t="str">
        <f>IFERROR(__xludf.DUMMYFUNCTION("""COMPUTED_VALUE"""),"Ничем не известен. В любом городе вспоминают только Зимнюю вишню. Уникальность в близости природы, а именно наличие уникального бора в самом сердце города ")</f>
        <v>Ничем не известен. В любом городе вспоминают только Зимнюю вишню. Уникальность в близости природы, а именно наличие уникального бора в самом сердце города </v>
      </c>
      <c r="U1237" s="6" t="str">
        <f>IFERROR(__xludf.DUMMYFUNCTION("""COMPUTED_VALUE"""),"Улицы Островского, пр-кт Советский, набережная ")</f>
        <v>Улицы Островского, пр-кт Советский, набережная </v>
      </c>
      <c r="V1237" s="6" t="str">
        <f>IFERROR(__xludf.DUMMYFUNCTION("""COMPUTED_VALUE"""),"Ничего ")</f>
        <v>Ничего </v>
      </c>
      <c r="W1237" s="6" t="str">
        <f>IFERROR(__xludf.DUMMYFUNCTION("""COMPUTED_VALUE"""),"Злые и одинокие ")</f>
        <v>Злые и одинокие </v>
      </c>
      <c r="X1237" s="6" t="str">
        <f>IFERROR(__xludf.DUMMYFUNCTION("""COMPUTED_VALUE"""),"Набережная - сосновый бор ")</f>
        <v>Набережная - сосновый бор </v>
      </c>
      <c r="Y1237" s="6" t="str">
        <f>IFERROR(__xludf.DUMMYFUNCTION("""COMPUTED_VALUE"""),"Пожар в Зимней вишне ")</f>
        <v>Пожар в Зимней вишне </v>
      </c>
      <c r="Z1237" s="6" t="str">
        <f>IFERROR(__xludf.DUMMYFUNCTION("""COMPUTED_VALUE"""),"Маршрут 27 стал более частым и укомплектовался большими автобусами ")</f>
        <v>Маршрут 27 стал более частым и укомплектовался большими автобусами </v>
      </c>
      <c r="AA1237" s="6" t="str">
        <f>IFERROR(__xludf.DUMMYFUNCTION("""COMPUTED_VALUE"""),"Пожар в Зимней вишне ")</f>
        <v>Пожар в Зимней вишне </v>
      </c>
      <c r="AB1237" s="6" t="str">
        <f>IFERROR(__xludf.DUMMYFUNCTION("""COMPUTED_VALUE"""),"Культурных ")</f>
        <v>Культурных </v>
      </c>
      <c r="AC1237" s="6" t="str">
        <f>IFERROR(__xludf.DUMMYFUNCTION("""COMPUTED_VALUE"""),"Культурные ")</f>
        <v>Культурные </v>
      </c>
      <c r="AD123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237" s="6" t="str">
        <f>IFERROR(__xludf.DUMMYFUNCTION("""COMPUTED_VALUE"""),"Мужской")</f>
        <v>Мужской</v>
      </c>
      <c r="AF1237" s="6" t="str">
        <f>IFERROR(__xludf.DUMMYFUNCTION("""COMPUTED_VALUE"""),"30-44")</f>
        <v>30-44</v>
      </c>
      <c r="AG1237" s="6"/>
      <c r="AH1237" s="6"/>
      <c r="AI1237" s="6"/>
      <c r="AJ1237" s="6"/>
      <c r="AK1237" s="6"/>
      <c r="AL1237" s="6"/>
      <c r="AM1237" s="6"/>
    </row>
    <row r="1238">
      <c r="A1238" s="6">
        <v>1237.0</v>
      </c>
      <c r="B1238" s="6" t="str">
        <f>IFERROR(__xludf.DUMMYFUNCTION("""COMPUTED_VALUE"""),"Преподаватель русского языка как иностранного")</f>
        <v>Преподаватель русского языка как иностранного</v>
      </c>
      <c r="C1238" s="6" t="str">
        <f>IFERROR(__xludf.DUMMYFUNCTION("""COMPUTED_VALUE"""),"Сериалы, чтение книг, саморазвитие")</f>
        <v>Сериалы, чтение книг, саморазвитие</v>
      </c>
      <c r="D1238" s="6" t="str">
        <f>IFERROR(__xludf.DUMMYFUNCTION("""COMPUTED_VALUE"""),"Кедровка, Кедровка")</f>
        <v>Кедровка, Кедровка</v>
      </c>
      <c r="E1238" s="6" t="str">
        <f>IFERROR(__xludf.DUMMYFUNCTION("""COMPUTED_VALUE"""),"Парк победы, «бродвей», аллея влюблённых, разрез")</f>
        <v>Парк победы, «бродвей», аллея влюблённых, разрез</v>
      </c>
      <c r="F1238" s="6" t="str">
        <f>IFERROR(__xludf.DUMMYFUNCTION("""COMPUTED_VALUE"""),"Родился здесь,но сейчас живу в другом городе, Не живу,но приезжаю сюда (к родственникам/друзьям)")</f>
        <v>Родился здесь,но сейчас живу в другом городе, Не живу,но приезжаю сюда (к родственникам/друзьям)</v>
      </c>
      <c r="G1238" s="6" t="str">
        <f>IFERROR(__xludf.DUMMYFUNCTION("""COMPUTED_VALUE"""),"Центр: улица Весенняя, Советский проспект, Горсад")</f>
        <v>Центр: улица Весенняя, Советский проспект, Горсад</v>
      </c>
      <c r="H1238" s="6" t="str">
        <f>IFERROR(__xludf.DUMMYFUNCTION("""COMPUTED_VALUE"""),"Угольная столица, уютный городок, чистый город, Город с большим сердцем, доброжелательный")</f>
        <v>Угольная столица, уютный городок, чистый город, Город с большим сердцем, доброжелательный</v>
      </c>
      <c r="I1238" s="6" t="str">
        <f>IFERROR(__xludf.DUMMYFUNCTION("""COMPUTED_VALUE"""),"Алексей Леонов, Инна Макарова")</f>
        <v>Алексей Леонов, Инна Макарова</v>
      </c>
      <c r="J1238" s="6" t="str">
        <f>IFERROR(__xludf.DUMMYFUNCTION("""COMPUTED_VALUE"""),"-")</f>
        <v>-</v>
      </c>
      <c r="K1238" s="6" t="str">
        <f>IFERROR(__xludf.DUMMYFUNCTION("""COMPUTED_VALUE"""),"Памятник шахтерам, помню, когда впервые увидела его, произвёл неизгладимое впечатление ")</f>
        <v>Памятник шахтерам, помню, когда впервые увидела его, произвёл неизгладимое впечатление </v>
      </c>
      <c r="L1238" s="6" t="str">
        <f>IFERROR(__xludf.DUMMYFUNCTION("""COMPUTED_VALUE"""),"-")</f>
        <v>-</v>
      </c>
      <c r="M1238" s="6" t="str">
        <f>IFERROR(__xludf.DUMMYFUNCTION("""COMPUTED_VALUE"""),"-")</f>
        <v>-</v>
      </c>
      <c r="N1238" s="6" t="str">
        <f>IFERROR(__xludf.DUMMYFUNCTION("""COMPUTED_VALUE"""),"Удобный городской транспорт, чистота, доброжелательные люди, наличие инфраструктуры ")</f>
        <v>Удобный городской транспорт, чистота, доброжелательные люди, наличие инфраструктуры </v>
      </c>
      <c r="O1238" s="6" t="str">
        <f>IFERROR(__xludf.DUMMYFUNCTION("""COMPUTED_VALUE"""),"Отношение жителей города к самому городу, не понимаю, когда его постоянно унижают, начните с себя, и город тоже изменится. К тому же, рядом находится Томск, и многие иностранные студенты сюда приезжают, но в Кемерово отсутсвует туристическая сувенирная пр"&amp;"одукция, отсутствие открыток - это большой пробел. Даже я хотела отправить открытки с Кемерово своим иностранным студентам, но, к сожалению, ничего не нашла, и женщина-продавец сказала, что в Кемерово открыток нет :(")</f>
        <v>Отношение жителей города к самому городу, не понимаю, когда его постоянно унижают, начните с себя, и город тоже изменится. К тому же, рядом находится Томск, и многие иностранные студенты сюда приезжают, но в Кемерово отсутсвует туристическая сувенирная продукция, отсутствие открыток - это большой пробел. Даже я хотела отправить открытки с Кемерово своим иностранным студентам, но, к сожалению, ничего не нашла, и женщина-продавец сказала, что в Кемерово открыток нет :(</v>
      </c>
      <c r="P1238" s="6" t="str">
        <f>IFERROR(__xludf.DUMMYFUNCTION("""COMPUTED_VALUE"""),"Группы ВК: Типичный Кемерово, я люблю Кемерово")</f>
        <v>Группы ВК: Типичный Кемерово, я люблю Кемерово</v>
      </c>
      <c r="Q1238" s="6" t="str">
        <f>IFERROR(__xludf.DUMMYFUNCTION("""COMPUTED_VALUE"""),"где вкусно поесть/открытие новых кафе/ресторанов, городская афиша (кино/театр/концерты), интервью с местными творческими личностями")</f>
        <v>где вкусно поесть/открытие новых кафе/ресторанов, городская афиша (кино/театр/концерты), интервью с местными творческими личностями</v>
      </c>
      <c r="R1238" s="6" t="str">
        <f>IFERROR(__xludf.DUMMYFUNCTION("""COMPUTED_VALUE"""),"День шахтера! Для меня, это один из самых главных праздников, приятные воспоминания из детства.")</f>
        <v>День шахтера! Для меня, это один из самых главных праздников, приятные воспоминания из детства.</v>
      </c>
      <c r="S1238" s="6" t="str">
        <f>IFERROR(__xludf.DUMMYFUNCTION("""COMPUTED_VALUE"""),"Нет, не приходилось")</f>
        <v>Нет, не приходилось</v>
      </c>
      <c r="T1238" s="6" t="str">
        <f>IFERROR(__xludf.DUMMYFUNCTION("""COMPUTED_VALUE"""),"Угольная столица, это явный приоритет")</f>
        <v>Угольная столица, это явный приоритет</v>
      </c>
      <c r="U1238" s="6" t="str">
        <f>IFERROR(__xludf.DUMMYFUNCTION("""COMPUTED_VALUE"""),"Памятник шахтёрам ")</f>
        <v>Памятник шахтёрам </v>
      </c>
      <c r="V1238" s="6" t="str">
        <f>IFERROR(__xludf.DUMMYFUNCTION("""COMPUTED_VALUE"""),"Организовывается различные акции для популяризации Кузбасса и города Кемерово в целом. Самое главное, помнить, что Кузбасс - это не только Шерегеш, но и море других мест для путешествий.")</f>
        <v>Организовывается различные акции для популяризации Кузбасса и города Кемерово в целом. Самое главное, помнить, что Кузбасс - это не только Шерегеш, но и море других мест для путешествий.</v>
      </c>
      <c r="W1238" s="6" t="str">
        <f>IFERROR(__xludf.DUMMYFUNCTION("""COMPUTED_VALUE"""),"Они доброжелательные, попадаются, конечно, и грубые, но в основном хорошие люди.")</f>
        <v>Они доброжелательные, попадаются, конечно, и грубые, но в основном хорошие люди.</v>
      </c>
      <c r="X1238" s="6" t="str">
        <f>IFERROR(__xludf.DUMMYFUNCTION("""COMPUTED_VALUE"""),"Центр")</f>
        <v>Центр</v>
      </c>
      <c r="Y1238" s="6" t="str">
        <f>IFERROR(__xludf.DUMMYFUNCTION("""COMPUTED_VALUE"""),"Образование города Кемерово из Щегловска")</f>
        <v>Образование города Кемерово из Щегловска</v>
      </c>
      <c r="Z1238" s="6" t="str">
        <f>IFERROR(__xludf.DUMMYFUNCTION("""COMPUTED_VALUE"""),"Коронавирус все испортил, но День Шахтера я любила всегда")</f>
        <v>Коронавирус все испортил, но День Шахтера я любила всегда</v>
      </c>
      <c r="AA1238" s="6" t="str">
        <f>IFERROR(__xludf.DUMMYFUNCTION("""COMPUTED_VALUE"""),"Грубые люди")</f>
        <v>Грубые люди</v>
      </c>
      <c r="AB1238" s="6" t="str">
        <f>IFERROR(__xludf.DUMMYFUNCTION("""COMPUTED_VALUE"""),"-")</f>
        <v>-</v>
      </c>
      <c r="AC1238" s="6" t="str">
        <f>IFERROR(__xludf.DUMMYFUNCTION("""COMPUTED_VALUE"""),"Культурные")</f>
        <v>Культурные</v>
      </c>
      <c r="AD123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238" s="6" t="str">
        <f>IFERROR(__xludf.DUMMYFUNCTION("""COMPUTED_VALUE"""),"Женский")</f>
        <v>Женский</v>
      </c>
      <c r="AF1238" s="6" t="str">
        <f>IFERROR(__xludf.DUMMYFUNCTION("""COMPUTED_VALUE"""),"18-29")</f>
        <v>18-29</v>
      </c>
      <c r="AG1238" s="6"/>
      <c r="AH1238" s="6"/>
      <c r="AI1238" s="6"/>
      <c r="AJ1238" s="6"/>
      <c r="AK1238" s="6"/>
      <c r="AL1238" s="6"/>
      <c r="AM1238" s="6"/>
    </row>
    <row r="1239">
      <c r="A1239" s="6">
        <v>1238.0</v>
      </c>
      <c r="B1239" s="6" t="str">
        <f>IFERROR(__xludf.DUMMYFUNCTION("""COMPUTED_VALUE"""),"Информационные технологим")</f>
        <v>Информационные технологим</v>
      </c>
      <c r="C1239" s="6" t="str">
        <f>IFERROR(__xludf.DUMMYFUNCTION("""COMPUTED_VALUE"""),"Квизы, квесты, Настолки, велопрогулки, катание на роликах")</f>
        <v>Квизы, квесты, Настолки, велопрогулки, катание на роликах</v>
      </c>
      <c r="D1239" s="6" t="str">
        <f>IFERROR(__xludf.DUMMYFUNCTION("""COMPUTED_VALUE"""),"Заводской, называем район Искитимского моста")</f>
        <v>Заводской, называем район Искитимского моста</v>
      </c>
      <c r="E1239" s="6" t="str">
        <f>IFERROR(__xludf.DUMMYFUNCTION("""COMPUTED_VALUE"""),"Парк Антошка, Жукова ")</f>
        <v>Парк Антошка, Жукова </v>
      </c>
      <c r="F1239" s="6" t="str">
        <f>IFERROR(__xludf.DUMMYFUNCTION("""COMPUTED_VALUE"""),"Переехал сюда из другого места (откуда? укажите в графе другое), Из Уссурийска приехали родители ")</f>
        <v>Переехал сюда из другого места (откуда? укажите в графе другое), Из Уссурийска приехали родители </v>
      </c>
      <c r="G1239" s="6" t="str">
        <f>IFERROR(__xludf.DUMMYFUNCTION("""COMPUTED_VALUE"""),"В центре, сосновый бор, бульвар строителей, парк им В. Волошиной")</f>
        <v>В центре, сосновый бор, бульвар строителей, парк им В. Волошиной</v>
      </c>
      <c r="H1239" s="6" t="str">
        <f>IFERROR(__xludf.DUMMYFUNCTION("""COMPUTED_VALUE"""),"Серое небо, уютный, маленький, запах дыма")</f>
        <v>Серое небо, уютный, маленький, запах дыма</v>
      </c>
      <c r="I1239" s="6" t="str">
        <f>IFERROR(__xludf.DUMMYFUNCTION("""COMPUTED_VALUE"""),"Подгорбунский, Леонов")</f>
        <v>Подгорбунский, Леонов</v>
      </c>
      <c r="J1239" s="6" t="str">
        <f>IFERROR(__xludf.DUMMYFUNCTION("""COMPUTED_VALUE"""),"Увы, не знаю")</f>
        <v>Увы, не знаю</v>
      </c>
      <c r="K1239" s="6" t="str">
        <f>IFERROR(__xludf.DUMMYFUNCTION("""COMPUTED_VALUE"""),"Собор, парк им. В. Волошиной, кадетское училище, набережная")</f>
        <v>Собор, парк им. В. Волошиной, кадетское училище, набережная</v>
      </c>
      <c r="L1239" s="6" t="str">
        <f>IFERROR(__xludf.DUMMYFUNCTION("""COMPUTED_VALUE"""),"Не знаю ")</f>
        <v>Не знаю </v>
      </c>
      <c r="M1239" s="6" t="str">
        <f>IFERROR(__xludf.DUMMYFUNCTION("""COMPUTED_VALUE"""),"Нет")</f>
        <v>Нет</v>
      </c>
      <c r="N1239" s="6" t="str">
        <f>IFERROR(__xludf.DUMMYFUNCTION("""COMPUTED_VALUE"""),"Чистота (в том числе воздуха) , приятная глазу архитектура, наличие театров, музеев, наличие работы, уровень образованности людей")</f>
        <v>Чистота (в том числе воздуха) , приятная глазу архитектура, наличие театров, музеев, наличие работы, уровень образованности людей</v>
      </c>
      <c r="O1239" s="6" t="str">
        <f>IFERROR(__xludf.DUMMYFUNCTION("""COMPUTED_VALUE"""),"Воздух ")</f>
        <v>Воздух </v>
      </c>
      <c r="P1239" s="6" t="str">
        <f>IFERROR(__xludf.DUMMYFUNCTION("""COMPUTED_VALUE"""),"ВК: Регион42, а42")</f>
        <v>ВК: Регион42, а42</v>
      </c>
      <c r="Q1239" s="6" t="str">
        <f>IFERROR(__xludf.DUMMYFUNCTION("""COMPUTED_VALUE"""),"городская афиша (кино/театр/концерты), интервью с местными предпринимателями, результаты местных исследований (рейтинги/аналитика/тенденции)")</f>
        <v>городская афиша (кино/театр/концерты), интервью с местными предпринимателями, результаты местных исследований (рейтинги/аналитика/тенденции)</v>
      </c>
      <c r="R1239" s="6" t="str">
        <f>IFERROR(__xludf.DUMMYFUNCTION("""COMPUTED_VALUE"""),"Новый год, 9 мая")</f>
        <v>Новый год, 9 мая</v>
      </c>
      <c r="S1239" s="6" t="str">
        <f>IFERROR(__xludf.DUMMYFUNCTION("""COMPUTED_VALUE"""),"Нет, не приходилось")</f>
        <v>Нет, не приходилось</v>
      </c>
      <c r="T1239" s="6" t="str">
        <f>IFERROR(__xludf.DUMMYFUNCTION("""COMPUTED_VALUE"""),"Город с развитой промышленностью, который при этом пытается развиваться в социальной сфере. ")</f>
        <v>Город с развитой промышленностью, который при этом пытается развиваться в социальной сфере. </v>
      </c>
      <c r="U1239" s="6" t="str">
        <f>IFERROR(__xludf.DUMMYFUNCTION("""COMPUTED_VALUE"""),"Набережная")</f>
        <v>Набережная</v>
      </c>
      <c r="V1239" s="6" t="str">
        <f>IFERROR(__xludf.DUMMYFUNCTION("""COMPUTED_VALUE"""),"Строили город и заводы")</f>
        <v>Строили город и заводы</v>
      </c>
      <c r="W1239" s="6" t="str">
        <f>IFERROR(__xludf.DUMMYFUNCTION("""COMPUTED_VALUE"""),"Замученные")</f>
        <v>Замученные</v>
      </c>
      <c r="X1239" s="6" t="str">
        <f>IFERROR(__xludf.DUMMYFUNCTION("""COMPUTED_VALUE"""),"Центр, парк В. Волошиной, бульвар Строителей, кадетка")</f>
        <v>Центр, парк В. Волошиной, бульвар Строителей, кадетка</v>
      </c>
      <c r="Y1239" s="6" t="str">
        <f>IFERROR(__xludf.DUMMYFUNCTION("""COMPUTED_VALUE"""),"Не знаю, на ум только Зимняя вишня приходит ")</f>
        <v>Не знаю, на ум только Зимняя вишня приходит </v>
      </c>
      <c r="Z1239" s="6" t="str">
        <f>IFERROR(__xludf.DUMMYFUNCTION("""COMPUTED_VALUE"""),"Преображение центра и строительство ледового дворца на притомском ")</f>
        <v>Преображение центра и строительство ледового дворца на притомском </v>
      </c>
      <c r="AA1239" s="6" t="str">
        <f>IFERROR(__xludf.DUMMYFUNCTION("""COMPUTED_VALUE"""),"Демонстрация в поддержку Навального ")</f>
        <v>Демонстрация в поддержку Навального </v>
      </c>
      <c r="AB1239" s="6" t="str">
        <f>IFERROR(__xludf.DUMMYFUNCTION("""COMPUTED_VALUE"""),"Не знаю, думаю всегда можно найти при желании ")</f>
        <v>Не знаю, думаю всегда можно найти при желании </v>
      </c>
      <c r="AC1239" s="6" t="str">
        <f>IFERROR(__xludf.DUMMYFUNCTION("""COMPUTED_VALUE"""),"Нужны детские лагери, городские спортивные мероприятия, можно семейного типа, выставки под открытым небом")</f>
        <v>Нужны детские лагери, городские спортивные мероприятия, можно семейного типа, выставки под открытым небом</v>
      </c>
      <c r="AD1239"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239" s="6" t="str">
        <f>IFERROR(__xludf.DUMMYFUNCTION("""COMPUTED_VALUE"""),"Женский")</f>
        <v>Женский</v>
      </c>
      <c r="AF1239" s="6" t="str">
        <f>IFERROR(__xludf.DUMMYFUNCTION("""COMPUTED_VALUE"""),"30-44")</f>
        <v>30-44</v>
      </c>
      <c r="AG1239" s="6"/>
      <c r="AH1239" s="6"/>
      <c r="AI1239" s="6"/>
      <c r="AJ1239" s="6"/>
      <c r="AK1239" s="6"/>
      <c r="AL1239" s="6"/>
      <c r="AM1239" s="6"/>
    </row>
    <row r="1240">
      <c r="A1240" s="6">
        <v>1239.0</v>
      </c>
      <c r="B1240" s="6" t="str">
        <f>IFERROR(__xludf.DUMMYFUNCTION("""COMPUTED_VALUE"""),"Нахожусь в декретном отпуске")</f>
        <v>Нахожусь в декретном отпуске</v>
      </c>
      <c r="C1240" s="6" t="str">
        <f>IFERROR(__xludf.DUMMYFUNCTION("""COMPUTED_VALUE"""),"Видеоигры")</f>
        <v>Видеоигры</v>
      </c>
      <c r="D1240" s="6" t="str">
        <f>IFERROR(__xludf.DUMMYFUNCTION("""COMPUTED_VALUE"""),"Лесная поляна")</f>
        <v>Лесная поляна</v>
      </c>
      <c r="E1240" s="6" t="str">
        <f>IFERROR(__xludf.DUMMYFUNCTION("""COMPUTED_VALUE"""),"Парк Лесная сказка")</f>
        <v>Парк Лесная сказка</v>
      </c>
      <c r="F1240" s="6" t="str">
        <f>IFERROR(__xludf.DUMMYFUNCTION("""COMPUTED_VALUE"""),"Переехал сюда из другого места (откуда? укажите в графе другое), Ленинск-Кузнецкий")</f>
        <v>Переехал сюда из другого места (откуда? укажите в графе другое), Ленинск-Кузнецкий</v>
      </c>
      <c r="G1240" s="6" t="str">
        <f>IFERROR(__xludf.DUMMYFUNCTION("""COMPUTED_VALUE"""),"Набережная, Весенняя улица, бульвар Осенний")</f>
        <v>Набережная, Весенняя улица, бульвар Осенний</v>
      </c>
      <c r="H1240" s="6" t="str">
        <f>IFERROR(__xludf.DUMMYFUNCTION("""COMPUTED_VALUE"""),"Азот
Черное небо
Лесная поляна
Шахтер
Красная горка")</f>
        <v>Азот
Черное небо
Лесная поляна
Шахтер
Красная горка</v>
      </c>
      <c r="I1240" s="6" t="str">
        <f>IFERROR(__xludf.DUMMYFUNCTION("""COMPUTED_VALUE"""),"Михайло Волков")</f>
        <v>Михайло Волков</v>
      </c>
      <c r="J1240" s="6" t="str">
        <f>IFERROR(__xludf.DUMMYFUNCTION("""COMPUTED_VALUE"""),"Таких нет")</f>
        <v>Таких нет</v>
      </c>
      <c r="K1240" s="6" t="str">
        <f>IFERROR(__xludf.DUMMYFUNCTION("""COMPUTED_VALUE"""),"Лесная поляна")</f>
        <v>Лесная поляна</v>
      </c>
      <c r="L1240" s="6" t="str">
        <f>IFERROR(__xludf.DUMMYFUNCTION("""COMPUTED_VALUE"""),"Не знаю")</f>
        <v>Не знаю</v>
      </c>
      <c r="M1240" s="6" t="str">
        <f>IFERROR(__xludf.DUMMYFUNCTION("""COMPUTED_VALUE"""),"Мультифора
Тормозок")</f>
        <v>Мультифора
Тормозок</v>
      </c>
      <c r="N1240" s="6" t="str">
        <f>IFERROR(__xludf.DUMMYFUNCTION("""COMPUTED_VALUE"""),"Доступная среда
Современные детские игровые площадки
Чистота воздуха
Упорядоченная парковка в городе (особенно в центре)
Состояние дорожного покрытия")</f>
        <v>Доступная среда
Современные детские игровые площадки
Чистота воздуха
Упорядоченная парковка в городе (особенно в центре)
Состояние дорожного покрытия</v>
      </c>
      <c r="O1240" s="6" t="str">
        <f>IFERROR(__xludf.DUMMYFUNCTION("""COMPUTED_VALUE"""),"Экология")</f>
        <v>Экология</v>
      </c>
      <c r="P1240" s="6" t="str">
        <f>IFERROR(__xludf.DUMMYFUNCTION("""COMPUTED_VALUE"""),"Инстаграм")</f>
        <v>Инстаграм</v>
      </c>
      <c r="Q1240" s="6" t="str">
        <f>IFERROR(__xludf.DUMMYFUNCTION("""COMPUTED_VALUE"""),"где вкусно поесть/открытие новых кафе/ресторанов, криминальные новости (происшествия/преступления), бизнес-новости (средний чек/рекламные акции/запуск новых предприятий)")</f>
        <v>где вкусно поесть/открытие новых кафе/ресторанов, криминальные новости (происшествия/преступления), бизнес-новости (средний чек/рекламные акции/запуск новых предприятий)</v>
      </c>
      <c r="R1240" s="6" t="str">
        <f>IFERROR(__xludf.DUMMYFUNCTION("""COMPUTED_VALUE"""),"Никакие")</f>
        <v>Никакие</v>
      </c>
      <c r="S1240" s="6" t="str">
        <f>IFERROR(__xludf.DUMMYFUNCTION("""COMPUTED_VALUE"""),"Нет, не приходилось")</f>
        <v>Нет, не приходилось</v>
      </c>
      <c r="T1240" s="6" t="str">
        <f>IFERROR(__xludf.DUMMYFUNCTION("""COMPUTED_VALUE"""),"Шахтеры")</f>
        <v>Шахтеры</v>
      </c>
      <c r="U1240" s="6" t="str">
        <f>IFERROR(__xludf.DUMMYFUNCTION("""COMPUTED_VALUE"""),"Драм театр")</f>
        <v>Драм театр</v>
      </c>
      <c r="V1240" s="6" t="str">
        <f>IFERROR(__xludf.DUMMYFUNCTION("""COMPUTED_VALUE"""),"До сих пор не застроили центр города высотными зданиями")</f>
        <v>До сих пор не застроили центр города высотными зданиями</v>
      </c>
      <c r="W1240" s="6" t="str">
        <f>IFERROR(__xludf.DUMMYFUNCTION("""COMPUTED_VALUE"""),"Угрюмость")</f>
        <v>Угрюмость</v>
      </c>
      <c r="X1240" s="6" t="str">
        <f>IFERROR(__xludf.DUMMYFUNCTION("""COMPUTED_VALUE"""),"Вся Лесная поляна")</f>
        <v>Вся Лесная поляна</v>
      </c>
      <c r="Y1240" s="6" t="str">
        <f>IFERROR(__xludf.DUMMYFUNCTION("""COMPUTED_VALUE"""),"Произойдет в 2022 году - чемпионат мира по волейболу")</f>
        <v>Произойдет в 2022 году - чемпионат мира по волейболу</v>
      </c>
      <c r="Z1240" s="6" t="str">
        <f>IFERROR(__xludf.DUMMYFUNCTION("""COMPUTED_VALUE"""),"Начало строительства новых хоккейной и волейбольной арен")</f>
        <v>Начало строительства новых хоккейной и волейбольной арен</v>
      </c>
      <c r="AA1240" s="6" t="str">
        <f>IFERROR(__xludf.DUMMYFUNCTION("""COMPUTED_VALUE"""),"Частый режим черного неба не зимой")</f>
        <v>Частый режим черного неба не зимой</v>
      </c>
      <c r="AB1240" s="6" t="str">
        <f>IFERROR(__xludf.DUMMYFUNCTION("""COMPUTED_VALUE"""),"Спортивных (объединений фанатов различных видов спорта)")</f>
        <v>Спортивных (объединений фанатов различных видов спорта)</v>
      </c>
      <c r="AC1240" s="6" t="str">
        <f>IFERROR(__xludf.DUMMYFUNCTION("""COMPUTED_VALUE"""),"Концерты современных музыкальных групп разных жанров")</f>
        <v>Концерты современных музыкальных групп разных жанров</v>
      </c>
      <c r="AD1240"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240" s="6" t="str">
        <f>IFERROR(__xludf.DUMMYFUNCTION("""COMPUTED_VALUE"""),"Женский")</f>
        <v>Женский</v>
      </c>
      <c r="AF1240" s="6" t="str">
        <f>IFERROR(__xludf.DUMMYFUNCTION("""COMPUTED_VALUE"""),"18-29")</f>
        <v>18-29</v>
      </c>
      <c r="AG1240" s="6"/>
      <c r="AH1240" s="6"/>
      <c r="AI1240" s="6"/>
      <c r="AJ1240" s="6"/>
      <c r="AK1240" s="6"/>
      <c r="AL1240" s="6"/>
      <c r="AM1240" s="6"/>
    </row>
    <row r="1241">
      <c r="A1241" s="6">
        <v>1240.0</v>
      </c>
      <c r="B1241" s="6" t="str">
        <f>IFERROR(__xludf.DUMMYFUNCTION("""COMPUTED_VALUE"""),"Гробовщик ")</f>
        <v>Гробовщик </v>
      </c>
      <c r="C1241" s="6" t="str">
        <f>IFERROR(__xludf.DUMMYFUNCTION("""COMPUTED_VALUE"""),"Рыбалка ")</f>
        <v>Рыбалка </v>
      </c>
      <c r="D1241" s="6" t="str">
        <f>IFERROR(__xludf.DUMMYFUNCTION("""COMPUTED_VALUE"""),"Кировский. Мрачный")</f>
        <v>Кировский. Мрачный</v>
      </c>
      <c r="E1241" s="6" t="str">
        <f>IFERROR(__xludf.DUMMYFUNCTION("""COMPUTED_VALUE"""),"Набережная ")</f>
        <v>Набережная </v>
      </c>
      <c r="F1241" s="6" t="str">
        <f>IFERROR(__xludf.DUMMYFUNCTION("""COMPUTED_VALUE"""),"Переехал с Южного ")</f>
        <v>Переехал с Южного </v>
      </c>
      <c r="G1241" s="6" t="str">
        <f>IFERROR(__xludf.DUMMYFUNCTION("""COMPUTED_VALUE"""),"Набережная ")</f>
        <v>Набережная </v>
      </c>
      <c r="H1241" s="6" t="str">
        <f>IFERROR(__xludf.DUMMYFUNCTION("""COMPUTED_VALUE"""),"Мрачный.Тусклый.Удобный.угрюмый.Опасный.")</f>
        <v>Мрачный.Тусклый.Удобный.угрюмый.Опасный.</v>
      </c>
      <c r="I1241" s="6" t="str">
        <f>IFERROR(__xludf.DUMMYFUNCTION("""COMPUTED_VALUE"""),"Раздаев Виталий")</f>
        <v>Раздаев Виталий</v>
      </c>
      <c r="J1241" s="6" t="str">
        <f>IFERROR(__xludf.DUMMYFUNCTION("""COMPUTED_VALUE"""),"Тулеев. Раздаев.")</f>
        <v>Тулеев. Раздаев.</v>
      </c>
      <c r="K1241" s="6" t="str">
        <f>IFERROR(__xludf.DUMMYFUNCTION("""COMPUTED_VALUE"""),"Драматический театр вор ")</f>
        <v>Драматический театр вор </v>
      </c>
      <c r="L1241" s="6" t="str">
        <f>IFERROR(__xludf.DUMMYFUNCTION("""COMPUTED_VALUE"""),"Вор у вора шапку украл")</f>
        <v>Вор у вора шапку украл</v>
      </c>
      <c r="M1241" s="6" t="str">
        <f>IFERROR(__xludf.DUMMYFUNCTION("""COMPUTED_VALUE"""),"Нет денег")</f>
        <v>Нет денег</v>
      </c>
      <c r="N1241" s="6" t="str">
        <f>IFERROR(__xludf.DUMMYFUNCTION("""COMPUTED_VALUE"""),"Затрудняюсь ответить")</f>
        <v>Затрудняюсь ответить</v>
      </c>
      <c r="O1241" s="6" t="str">
        <f>IFERROR(__xludf.DUMMYFUNCTION("""COMPUTED_VALUE"""),"Экологию")</f>
        <v>Экологию</v>
      </c>
      <c r="P1241" s="6" t="str">
        <f>IFERROR(__xludf.DUMMYFUNCTION("""COMPUTED_VALUE"""),"В контакте ")</f>
        <v>В контакте </v>
      </c>
      <c r="Q1241"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41" s="6" t="str">
        <f>IFERROR(__xludf.DUMMYFUNCTION("""COMPUTED_VALUE"""),"День города")</f>
        <v>День города</v>
      </c>
      <c r="S1241" s="6" t="str">
        <f>IFERROR(__xludf.DUMMYFUNCTION("""COMPUTED_VALUE"""),"Нет, не приходилось")</f>
        <v>Нет, не приходилось</v>
      </c>
      <c r="T1241" s="6" t="str">
        <f>IFERROR(__xludf.DUMMYFUNCTION("""COMPUTED_VALUE"""),"Уголь")</f>
        <v>Уголь</v>
      </c>
      <c r="U1241" s="6" t="str">
        <f>IFERROR(__xludf.DUMMYFUNCTION("""COMPUTED_VALUE"""),"Стадион ")</f>
        <v>Стадион </v>
      </c>
      <c r="V1241" s="6" t="str">
        <f>IFERROR(__xludf.DUMMYFUNCTION("""COMPUTED_VALUE"""),"Работа ")</f>
        <v>Работа </v>
      </c>
      <c r="W1241" s="6" t="str">
        <f>IFERROR(__xludf.DUMMYFUNCTION("""COMPUTED_VALUE"""),"Злые и добрые ")</f>
        <v>Злые и добрые </v>
      </c>
      <c r="X1241" s="6" t="str">
        <f>IFERROR(__xludf.DUMMYFUNCTION("""COMPUTED_VALUE"""),"Набережная ")</f>
        <v>Набережная </v>
      </c>
      <c r="Y1241" s="6" t="str">
        <f>IFERROR(__xludf.DUMMYFUNCTION("""COMPUTED_VALUE"""),"300 лет Кузбассу")</f>
        <v>300 лет Кузбассу</v>
      </c>
      <c r="Z1241" s="6" t="str">
        <f>IFERROR(__xludf.DUMMYFUNCTION("""COMPUTED_VALUE"""),"Не помню")</f>
        <v>Не помню</v>
      </c>
      <c r="AA1241" s="6" t="str">
        <f>IFERROR(__xludf.DUMMYFUNCTION("""COMPUTED_VALUE"""),"Много хамов")</f>
        <v>Много хамов</v>
      </c>
      <c r="AB1241" s="6" t="str">
        <f>IFERROR(__xludf.DUMMYFUNCTION("""COMPUTED_VALUE"""),"Спортивных")</f>
        <v>Спортивных</v>
      </c>
      <c r="AC1241" s="6" t="str">
        <f>IFERROR(__xludf.DUMMYFUNCTION("""COMPUTED_VALUE"""),"Хоккей с шайбой ")</f>
        <v>Хоккей с шайбой </v>
      </c>
      <c r="AD124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41" s="6" t="str">
        <f>IFERROR(__xludf.DUMMYFUNCTION("""COMPUTED_VALUE"""),"Мужской")</f>
        <v>Мужской</v>
      </c>
      <c r="AF1241" s="6" t="str">
        <f>IFERROR(__xludf.DUMMYFUNCTION("""COMPUTED_VALUE"""),"30-44")</f>
        <v>30-44</v>
      </c>
      <c r="AG1241" s="6"/>
      <c r="AH1241" s="6"/>
      <c r="AI1241" s="6"/>
      <c r="AJ1241" s="6"/>
      <c r="AK1241" s="6"/>
      <c r="AL1241" s="6"/>
      <c r="AM1241" s="6"/>
    </row>
    <row r="1242">
      <c r="A1242" s="6">
        <v>1241.0</v>
      </c>
      <c r="B1242" s="6" t="str">
        <f>IFERROR(__xludf.DUMMYFUNCTION("""COMPUTED_VALUE"""),"Инженер по холодной воде")</f>
        <v>Инженер по холодной воде</v>
      </c>
      <c r="C1242" s="6" t="str">
        <f>IFERROR(__xludf.DUMMYFUNCTION("""COMPUTED_VALUE"""),"Путешествия,футбол,приготовления еды")</f>
        <v>Путешествия,футбол,приготовления еды</v>
      </c>
      <c r="D1242" s="6" t="str">
        <f>IFERROR(__xludf.DUMMYFUNCTION("""COMPUTED_VALUE"""),"ФПК")</f>
        <v>ФПК</v>
      </c>
      <c r="E1242" s="6" t="str">
        <f>IFERROR(__xludf.DUMMYFUNCTION("""COMPUTED_VALUE"""),"Гринвич ТЦ, хоккейная коробка")</f>
        <v>Гринвич ТЦ, хоккейная коробка</v>
      </c>
      <c r="F1242" s="6" t="str">
        <f>IFERROR(__xludf.DUMMYFUNCTION("""COMPUTED_VALUE"""),"Переехал сюда из другого места (откуда? укажите в графе другое), Красноярский край")</f>
        <v>Переехал сюда из другого места (откуда? укажите в графе другое), Красноярский край</v>
      </c>
      <c r="G1242" s="6" t="str">
        <f>IFERROR(__xludf.DUMMYFUNCTION("""COMPUTED_VALUE"""),"Сосновый Бор ")</f>
        <v>Сосновый Бор </v>
      </c>
      <c r="H1242" s="6" t="str">
        <f>IFERROR(__xludf.DUMMYFUNCTION("""COMPUTED_VALUE"""),"Столица,культура,деловая,праздничная,спортивная")</f>
        <v>Столица,культура,деловая,праздничная,спортивная</v>
      </c>
      <c r="I1242" s="6" t="str">
        <f>IFERROR(__xludf.DUMMYFUNCTION("""COMPUTED_VALUE"""),"«Гена Букин»")</f>
        <v>«Гена Букин»</v>
      </c>
      <c r="J1242" s="6" t="str">
        <f>IFERROR(__xludf.DUMMYFUNCTION("""COMPUTED_VALUE"""),"Федяев М.Ю.")</f>
        <v>Федяев М.Ю.</v>
      </c>
      <c r="K1242" s="6" t="str">
        <f>IFERROR(__xludf.DUMMYFUNCTION("""COMPUTED_VALUE"""),"Вид на город от букв «Кузбасс»")</f>
        <v>Вид на город от букв «Кузбасс»</v>
      </c>
      <c r="L1242" s="6" t="str">
        <f>IFERROR(__xludf.DUMMYFUNCTION("""COMPUTED_VALUE"""),"Это Вам не хрен в стакане- это мы Кемеровчане")</f>
        <v>Это Вам не хрен в стакане- это мы Кемеровчане</v>
      </c>
      <c r="M1242" s="6" t="str">
        <f>IFERROR(__xludf.DUMMYFUNCTION("""COMPUTED_VALUE"""),"Встретимся на «подорожнике»")</f>
        <v>Встретимся на «подорожнике»</v>
      </c>
      <c r="N1242" s="6" t="str">
        <f>IFERROR(__xludf.DUMMYFUNCTION("""COMPUTED_VALUE"""),"Компактный,развитый,деловой,чистый,родной")</f>
        <v>Компактный,развитый,деловой,чистый,родной</v>
      </c>
      <c r="O1242" s="6" t="str">
        <f>IFERROR(__xludf.DUMMYFUNCTION("""COMPUTED_VALUE"""),"Уменьшить выбросы от заводов")</f>
        <v>Уменьшить выбросы от заводов</v>
      </c>
      <c r="P1242" s="6" t="str">
        <f>IFERROR(__xludf.DUMMYFUNCTION("""COMPUTED_VALUE"""),"Интернет( ВК)")</f>
        <v>Интернет( ВК)</v>
      </c>
      <c r="Q1242"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42" s="6" t="str">
        <f>IFERROR(__xludf.DUMMYFUNCTION("""COMPUTED_VALUE"""),"9 Мая")</f>
        <v>9 Мая</v>
      </c>
      <c r="S1242" s="6" t="str">
        <f>IFERROR(__xludf.DUMMYFUNCTION("""COMPUTED_VALUE"""),"Нет, не приходилось")</f>
        <v>Нет, не приходилось</v>
      </c>
      <c r="T1242" s="6" t="str">
        <f>IFERROR(__xludf.DUMMYFUNCTION("""COMPUTED_VALUE"""),"Своим людьми")</f>
        <v>Своим людьми</v>
      </c>
      <c r="U1242" s="6" t="str">
        <f>IFERROR(__xludf.DUMMYFUNCTION("""COMPUTED_VALUE"""),"Драм Театр")</f>
        <v>Драм Театр</v>
      </c>
      <c r="V1242" s="6" t="str">
        <f>IFERROR(__xludf.DUMMYFUNCTION("""COMPUTED_VALUE"""),"Развивают и строят город, только самые лучшие проекты для строительства,не зависимо от объекта ")</f>
        <v>Развивают и строят город, только самые лучшие проекты для строительства,не зависимо от объекта </v>
      </c>
      <c r="W1242" s="6" t="str">
        <f>IFERROR(__xludf.DUMMYFUNCTION("""COMPUTED_VALUE"""),"Добрые,но суровые,приветливые")</f>
        <v>Добрые,но суровые,приветливые</v>
      </c>
      <c r="X1242" s="6" t="str">
        <f>IFERROR(__xludf.DUMMYFUNCTION("""COMPUTED_VALUE"""),"ул. Весенняя")</f>
        <v>ул. Весенняя</v>
      </c>
      <c r="Y1242" s="6" t="str">
        <f>IFERROR(__xludf.DUMMYFUNCTION("""COMPUTED_VALUE"""),"Рок концерт мировых звезд")</f>
        <v>Рок концерт мировых звезд</v>
      </c>
      <c r="Z1242" s="6" t="str">
        <f>IFERROR(__xludf.DUMMYFUNCTION("""COMPUTED_VALUE"""),"Не было")</f>
        <v>Не было</v>
      </c>
      <c r="AA1242" s="6" t="str">
        <f>IFERROR(__xludf.DUMMYFUNCTION("""COMPUTED_VALUE"""),"Митинг за Навального")</f>
        <v>Митинг за Навального</v>
      </c>
      <c r="AB1242" s="6" t="str">
        <f>IFERROR(__xludf.DUMMYFUNCTION("""COMPUTED_VALUE"""),"Сообщество молодых отцов")</f>
        <v>Сообщество молодых отцов</v>
      </c>
      <c r="AC1242" s="6" t="str">
        <f>IFERROR(__xludf.DUMMYFUNCTION("""COMPUTED_VALUE"""),"Шоу экстремальных видов спорта")</f>
        <v>Шоу экстремальных видов спорта</v>
      </c>
      <c r="AD124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42" s="6" t="str">
        <f>IFERROR(__xludf.DUMMYFUNCTION("""COMPUTED_VALUE"""),"Мужской")</f>
        <v>Мужской</v>
      </c>
      <c r="AF1242" s="6" t="str">
        <f>IFERROR(__xludf.DUMMYFUNCTION("""COMPUTED_VALUE"""),"30-44")</f>
        <v>30-44</v>
      </c>
      <c r="AG1242" s="6"/>
      <c r="AH1242" s="6"/>
      <c r="AI1242" s="6"/>
      <c r="AJ1242" s="6"/>
      <c r="AK1242" s="6"/>
      <c r="AL1242" s="6"/>
      <c r="AM1242" s="6"/>
    </row>
    <row r="1243">
      <c r="A1243" s="6">
        <v>1242.0</v>
      </c>
      <c r="B1243" s="6" t="str">
        <f>IFERROR(__xludf.DUMMYFUNCTION("""COMPUTED_VALUE"""),"Нефтехимия")</f>
        <v>Нефтехимия</v>
      </c>
      <c r="C1243" s="6" t="str">
        <f>IFERROR(__xludf.DUMMYFUNCTION("""COMPUTED_VALUE"""),"Музыка")</f>
        <v>Музыка</v>
      </c>
      <c r="D1243" s="6" t="str">
        <f>IFERROR(__xludf.DUMMYFUNCTION("""COMPUTED_VALUE"""),"Ленинский")</f>
        <v>Ленинский</v>
      </c>
      <c r="E1243" s="6" t="str">
        <f>IFERROR(__xludf.DUMMYFUNCTION("""COMPUTED_VALUE"""),"Бульвар строителей ")</f>
        <v>Бульвар строителей </v>
      </c>
      <c r="F1243" s="6" t="str">
        <f>IFERROR(__xludf.DUMMYFUNCTION("""COMPUTED_VALUE"""),"Живу здесь с рождения")</f>
        <v>Живу здесь с рождения</v>
      </c>
      <c r="G1243" s="6" t="str">
        <f>IFERROR(__xludf.DUMMYFUNCTION("""COMPUTED_VALUE"""),"Много куда")</f>
        <v>Много куда</v>
      </c>
      <c r="H1243" s="6" t="str">
        <f>IFERROR(__xludf.DUMMYFUNCTION("""COMPUTED_VALUE"""),"Кузбасс, набережная, памятник шахтёра, а к Кузбасс кемерово ")</f>
        <v>Кузбасс, набережная, памятник шахтёра, а к Кузбасс кемерово </v>
      </c>
      <c r="I1243" s="6" t="str">
        <f>IFERROR(__xludf.DUMMYFUNCTION("""COMPUTED_VALUE"""),"Михайлов, тулеев")</f>
        <v>Михайлов, тулеев</v>
      </c>
      <c r="J1243" s="6" t="str">
        <f>IFERROR(__xludf.DUMMYFUNCTION("""COMPUTED_VALUE"""),"Михайлов")</f>
        <v>Михайлов</v>
      </c>
      <c r="K1243" s="6" t="str">
        <f>IFERROR(__xludf.DUMMYFUNCTION("""COMPUTED_VALUE"""),"Сосновый бор, набережная")</f>
        <v>Сосновый бор, набережная</v>
      </c>
      <c r="L1243" s="6" t="str">
        <f>IFERROR(__xludf.DUMMYFUNCTION("""COMPUTED_VALUE"""),"Не знаю")</f>
        <v>Не знаю</v>
      </c>
      <c r="M1243" s="6" t="str">
        <f>IFERROR(__xludf.DUMMYFUNCTION("""COMPUTED_VALUE"""),"Нет")</f>
        <v>Нет</v>
      </c>
      <c r="N1243" s="6" t="str">
        <f>IFERROR(__xludf.DUMMYFUNCTION("""COMPUTED_VALUE"""),"Транспорт, воздух, ")</f>
        <v>Транспорт, воздух, </v>
      </c>
      <c r="O1243" s="6" t="str">
        <f>IFERROR(__xludf.DUMMYFUNCTION("""COMPUTED_VALUE"""),"Снести частный сектор на сиберяках")</f>
        <v>Снести частный сектор на сиберяках</v>
      </c>
      <c r="P1243" s="6" t="str">
        <f>IFERROR(__xludf.DUMMYFUNCTION("""COMPUTED_VALUE"""),"Вк, инстаграме, ютуб")</f>
        <v>Вк, инстаграме, ютуб</v>
      </c>
      <c r="Q1243" s="6" t="str">
        <f>IFERROR(__xludf.DUMMYFUNCTION("""COMPUTED_VALUE"""),"интервью с местными политиками, результаты местных исследований (рейтинги/аналитика/тенденции)")</f>
        <v>интервью с местными политиками, результаты местных исследований (рейтинги/аналитика/тенденции)</v>
      </c>
      <c r="R1243" s="6" t="str">
        <f>IFERROR(__xludf.DUMMYFUNCTION("""COMPUTED_VALUE"""),"День города, 9мая")</f>
        <v>День города, 9мая</v>
      </c>
      <c r="S1243" s="6" t="str">
        <f>IFERROR(__xludf.DUMMYFUNCTION("""COMPUTED_VALUE"""),"Нет, не приходилось")</f>
        <v>Нет, не приходилось</v>
      </c>
      <c r="T1243" s="6" t="str">
        <f>IFERROR(__xludf.DUMMYFUNCTION("""COMPUTED_VALUE"""),"Сосновый бор, зимняя вишня")</f>
        <v>Сосновый бор, зимняя вишня</v>
      </c>
      <c r="U1243" s="6" t="str">
        <f>IFERROR(__xludf.DUMMYFUNCTION("""COMPUTED_VALUE"""),"Площадь советов")</f>
        <v>Площадь советов</v>
      </c>
      <c r="V1243" s="6" t="str">
        <f>IFERROR(__xludf.DUMMYFUNCTION("""COMPUTED_VALUE"""),"Много чего")</f>
        <v>Много чего</v>
      </c>
      <c r="W1243" s="6" t="str">
        <f>IFERROR(__xludf.DUMMYFUNCTION("""COMPUTED_VALUE"""),"Отзывчивые, брутальные, спортивные")</f>
        <v>Отзывчивые, брутальные, спортивные</v>
      </c>
      <c r="X1243" s="6" t="str">
        <f>IFERROR(__xludf.DUMMYFUNCTION("""COMPUTED_VALUE"""),"Набережная, сосновый бор")</f>
        <v>Набережная, сосновый бор</v>
      </c>
      <c r="Y1243" s="6" t="str">
        <f>IFERROR(__xludf.DUMMYFUNCTION("""COMPUTED_VALUE"""),"Юбилей")</f>
        <v>Юбилей</v>
      </c>
      <c r="Z1243" s="6" t="str">
        <f>IFERROR(__xludf.DUMMYFUNCTION("""COMPUTED_VALUE"""),"Юбилей кемерово ")</f>
        <v>Юбилей кемерово </v>
      </c>
      <c r="AA1243" s="6" t="str">
        <f>IFERROR(__xludf.DUMMYFUNCTION("""COMPUTED_VALUE"""),"Зимняя вишня")</f>
        <v>Зимняя вишня</v>
      </c>
      <c r="AB1243" s="6" t="str">
        <f>IFERROR(__xludf.DUMMYFUNCTION("""COMPUTED_VALUE"""),"Метро, аквапарк, канатная дорога через реку томь")</f>
        <v>Метро, аквапарк, канатная дорога через реку томь</v>
      </c>
      <c r="AC1243" s="6" t="str">
        <f>IFERROR(__xludf.DUMMYFUNCTION("""COMPUTED_VALUE"""),"Международные и российские")</f>
        <v>Международные и российские</v>
      </c>
      <c r="AD1243"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Не готов принимать личное участие (укажите, пожалуйста, при"&amp;"чину в поле «Другое»), Запустить свой предпринимательский проект, организовать компанию.")</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Не готов принимать личное участие (укажите, пожалуйста, причину в поле «Другое»), Запустить свой предпринимательский проект, организовать компанию.</v>
      </c>
      <c r="AE1243" s="6" t="str">
        <f>IFERROR(__xludf.DUMMYFUNCTION("""COMPUTED_VALUE"""),"Мужской")</f>
        <v>Мужской</v>
      </c>
      <c r="AF1243" s="6" t="str">
        <f>IFERROR(__xludf.DUMMYFUNCTION("""COMPUTED_VALUE"""),"30-44")</f>
        <v>30-44</v>
      </c>
      <c r="AG1243" s="6"/>
      <c r="AH1243" s="6"/>
      <c r="AI1243" s="6"/>
      <c r="AJ1243" s="6"/>
      <c r="AK1243" s="6"/>
      <c r="AL1243" s="6"/>
      <c r="AM1243" s="6"/>
    </row>
    <row r="1244">
      <c r="A1244" s="6">
        <v>1243.0</v>
      </c>
      <c r="B1244" s="6" t="str">
        <f>IFERROR(__xludf.DUMMYFUNCTION("""COMPUTED_VALUE"""),"ИП грузоперевозки ")</f>
        <v>ИП грузоперевозки </v>
      </c>
      <c r="C1244" s="6" t="str">
        <f>IFERROR(__xludf.DUMMYFUNCTION("""COMPUTED_VALUE"""),"Конный спорт")</f>
        <v>Конный спорт</v>
      </c>
      <c r="D1244" s="6" t="str">
        <f>IFERROR(__xludf.DUMMYFUNCTION("""COMPUTED_VALUE"""),"Центральный, кемерово-сити")</f>
        <v>Центральный, кемерово-сити</v>
      </c>
      <c r="E1244" s="6" t="str">
        <f>IFERROR(__xludf.DUMMYFUNCTION("""COMPUTED_VALUE"""),"25-этажки")</f>
        <v>25-этажки</v>
      </c>
      <c r="F1244" s="6" t="str">
        <f>IFERROR(__xludf.DUMMYFUNCTION("""COMPUTED_VALUE"""),"Живу здесь с рождения")</f>
        <v>Живу здесь с рождения</v>
      </c>
      <c r="G1244" s="6" t="str">
        <f>IFERROR(__xludf.DUMMYFUNCTION("""COMPUTED_VALUE"""),"В бор")</f>
        <v>В бор</v>
      </c>
      <c r="H1244" s="6" t="str">
        <f>IFERROR(__xludf.DUMMYFUNCTION("""COMPUTED_VALUE"""),"Дым, грязь, детство, томь, сибирь")</f>
        <v>Дым, грязь, детство, томь, сибирь</v>
      </c>
      <c r="I1244" s="6" t="str">
        <f>IFERROR(__xludf.DUMMYFUNCTION("""COMPUTED_VALUE"""),"Вера Волошина, Юрий Двужильный, Николай Трофимов, ")</f>
        <v>Вера Волошина, Юрий Двужильный, Николай Трофимов, </v>
      </c>
      <c r="J1244" s="6" t="str">
        <f>IFERROR(__xludf.DUMMYFUNCTION("""COMPUTED_VALUE"""),"Леонов, Раздаев, Машков, Панин, Арбачаков, Бессмертных, Кравчук, хоккеисты: Сорокин,Телегин, Капризов.")</f>
        <v>Леонов, Раздаев, Машков, Панин, Арбачаков, Бессмертных, Кравчук, хоккеисты: Сорокин,Телегин, Капризов.</v>
      </c>
      <c r="K1244" s="6" t="str">
        <f>IFERROR(__xludf.DUMMYFUNCTION("""COMPUTED_VALUE"""),"Бор")</f>
        <v>Бор</v>
      </c>
      <c r="L1244" s="6" t="str">
        <f>IFERROR(__xludf.DUMMYFUNCTION("""COMPUTED_VALUE"""),"Город стал безликим")</f>
        <v>Город стал безликим</v>
      </c>
      <c r="M1244" s="6" t="str">
        <f>IFERROR(__xludf.DUMMYFUNCTION("""COMPUTED_VALUE"""),"Человек из Кемерово ")</f>
        <v>Человек из Кемерово </v>
      </c>
      <c r="N1244" s="6" t="str">
        <f>IFERROR(__xludf.DUMMYFUNCTION("""COMPUTED_VALUE"""),"Не перерос в мегаполис. Основные улицы широкие. Небольшие расстояния. Много общественного транспорта и его разновидностей. Есть свои театры, большой бассейн. ")</f>
        <v>Не перерос в мегаполис. Основные улицы широкие. Небольшие расстояния. Много общественного транспорта и его разновидностей. Есть свои театры, большой бассейн. </v>
      </c>
      <c r="O1244" s="6" t="str">
        <f>IFERROR(__xludf.DUMMYFUNCTION("""COMPUTED_VALUE"""),"Навести чистоту. Больше скамеек и урн. Озеленить, сделать больше мест для прогулок, отдыха и занятий спортом на улице. СДЕЛАТЬ ГОРОДСКОЙ ПЛЯЖ. Больше парков, освещения оригинального. Убрать страшные памятники - заменить на малые оригинальные архитектурные"&amp;" формы. Сделать Больше зон для прогулок с животными. Создать свой стационарный зоопарк с большими вольерами. Построить ипподром. Организовать соревнования по спидвею, как было раньше. ")</f>
        <v>Навести чистоту. Больше скамеек и урн. Озеленить, сделать больше мест для прогулок, отдыха и занятий спортом на улице. СДЕЛАТЬ ГОРОДСКОЙ ПЛЯЖ. Больше парков, освещения оригинального. Убрать страшные памятники - заменить на малые оригинальные архитектурные формы. Сделать Больше зон для прогулок с животными. Создать свой стационарный зоопарк с большими вольерами. Построить ипподром. Организовать соревнования по спидвею, как было раньше. </v>
      </c>
      <c r="P1244" s="6" t="str">
        <f>IFERROR(__xludf.DUMMYFUNCTION("""COMPUTED_VALUE"""),"ВК, Инстаграм, ТВ")</f>
        <v>ВК, Инстаграм, ТВ</v>
      </c>
      <c r="Q1244" s="6" t="str">
        <f>IFERROR(__xludf.DUMMYFUNCTION("""COMPUTED_VALUE"""),"куда пойти в свободное время, городская афиша (кино/театр/концерты),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(средн"&amp;"ий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244" s="6" t="str">
        <f>IFERROR(__xludf.DUMMYFUNCTION("""COMPUTED_VALUE"""),"НГ, масленица, День победы, художественные выставки, спортивные мероприятия уровня ЧР, День молодёжи ")</f>
        <v>НГ, масленица, День победы, художественные выставки, спортивные мероприятия уровня ЧР, День молодёжи </v>
      </c>
      <c r="S1244" s="6" t="str">
        <f>IFERROR(__xludf.DUMMYFUNCTION("""COMPUTED_VALUE"""),"Через социальные сети (Какие? Укажите в графе другое), ВК")</f>
        <v>Через социальные сети (Какие? Укажите в графе другое), ВК</v>
      </c>
      <c r="T1244" s="6" t="str">
        <f>IFERROR(__xludf.DUMMYFUNCTION("""COMPUTED_VALUE"""),"Уголь. Зимняя вишня. Тулеев.")</f>
        <v>Уголь. Зимняя вишня. Тулеев.</v>
      </c>
      <c r="U1244" s="6" t="str">
        <f>IFERROR(__xludf.DUMMYFUNCTION("""COMPUTED_VALUE"""),"Швейная фабрика, вокзал, цум, бульвар строителей")</f>
        <v>Швейная фабрика, вокзал, цум, бульвар строителей</v>
      </c>
      <c r="V1244" s="6" t="str">
        <f>IFERROR(__xludf.DUMMYFUNCTION("""COMPUTED_VALUE"""),"Трудяги")</f>
        <v>Трудяги</v>
      </c>
      <c r="W1244" s="6" t="str">
        <f>IFERROR(__xludf.DUMMYFUNCTION("""COMPUTED_VALUE"""),"Терпеливые, как все сибиряки")</f>
        <v>Терпеливые, как все сибиряки</v>
      </c>
      <c r="X1244" s="6" t="str">
        <f>IFERROR(__xludf.DUMMYFUNCTION("""COMPUTED_VALUE"""),"В бор")</f>
        <v>В бор</v>
      </c>
      <c r="Y1244" s="6" t="str">
        <f>IFERROR(__xludf.DUMMYFUNCTION("""COMPUTED_VALUE"""),"Приезд ВДНХ и Олега Попова в 70-е годы")</f>
        <v>Приезд ВДНХ и Олега Попова в 70-е годы</v>
      </c>
      <c r="Z1244" s="6" t="str">
        <f>IFERROR(__xludf.DUMMYFUNCTION("""COMPUTED_VALUE"""),"Ничего ")</f>
        <v>Ничего </v>
      </c>
      <c r="AA1244" s="6" t="str">
        <f>IFERROR(__xludf.DUMMYFUNCTION("""COMPUTED_VALUE"""),"Безхозяйственность администрации города ")</f>
        <v>Безхозяйственность администрации города </v>
      </c>
      <c r="AB1244" s="6" t="str">
        <f>IFERROR(__xludf.DUMMYFUNCTION("""COMPUTED_VALUE"""),"Больше индивидуальности и свободы, музыкальных для всех возрастов")</f>
        <v>Больше индивидуальности и свободы, музыкальных для всех возрастов</v>
      </c>
      <c r="AC1244" s="6" t="str">
        <f>IFERROR(__xludf.DUMMYFUNCTION("""COMPUTED_VALUE"""),"Больше молодёжных, спортивных и творческих, больше конкурсов среди жителей, с последующим претворением в жизнь")</f>
        <v>Больше молодёжных, спортивных и творческих, больше конкурсов среди жителей, с последующим претворением в жизнь</v>
      </c>
      <c r="AD124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244" s="6" t="str">
        <f>IFERROR(__xludf.DUMMYFUNCTION("""COMPUTED_VALUE"""),"Женский")</f>
        <v>Женский</v>
      </c>
      <c r="AF1244" s="6" t="str">
        <f>IFERROR(__xludf.DUMMYFUNCTION("""COMPUTED_VALUE"""),"45-55")</f>
        <v>45-55</v>
      </c>
      <c r="AG1244" s="6"/>
      <c r="AH1244" s="6"/>
      <c r="AI1244" s="6"/>
      <c r="AJ1244" s="6"/>
      <c r="AK1244" s="6"/>
      <c r="AL1244" s="6"/>
      <c r="AM1244" s="6"/>
    </row>
    <row r="1245">
      <c r="A1245" s="6">
        <v>1244.0</v>
      </c>
      <c r="B1245" s="6" t="str">
        <f>IFERROR(__xludf.DUMMYFUNCTION("""COMPUTED_VALUE"""),"Образование")</f>
        <v>Образование</v>
      </c>
      <c r="C1245" s="6" t="str">
        <f>IFERROR(__xludf.DUMMYFUNCTION("""COMPUTED_VALUE"""),"Отдых на природе")</f>
        <v>Отдых на природе</v>
      </c>
      <c r="D1245" s="6" t="str">
        <f>IFERROR(__xludf.DUMMYFUNCTION("""COMPUTED_VALUE"""),"Южный ")</f>
        <v>Южный </v>
      </c>
      <c r="E1245" s="6" t="str">
        <f>IFERROR(__xludf.DUMMYFUNCTION("""COMPUTED_VALUE"""),"Церковь, воинская часть")</f>
        <v>Церковь, воинская часть</v>
      </c>
      <c r="F1245"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1245" s="6" t="str">
        <f>IFERROR(__xludf.DUMMYFUNCTION("""COMPUTED_VALUE"""),"Набережная, парк В.Волошиной")</f>
        <v>Набережная, парк В.Волошиной</v>
      </c>
      <c r="H1245" s="6" t="str">
        <f>IFERROR(__xludf.DUMMYFUNCTION("""COMPUTED_VALUE"""),"Шахтерский город ")</f>
        <v>Шахтерский город </v>
      </c>
      <c r="I1245" s="6" t="str">
        <f>IFERROR(__xludf.DUMMYFUNCTION("""COMPUTED_VALUE"""),"Леонов, Тулеев, Цивелев")</f>
        <v>Леонов, Тулеев, Цивелев</v>
      </c>
      <c r="J1245" s="6" t="str">
        <f>IFERROR(__xludf.DUMMYFUNCTION("""COMPUTED_VALUE"""),"Цивелев, Тулеев, Михайлов")</f>
        <v>Цивелев, Тулеев, Михайлов</v>
      </c>
      <c r="K1245" s="6" t="str">
        <f>IFERROR(__xludf.DUMMYFUNCTION("""COMPUTED_VALUE"""),"Набережная, парк Ангелов")</f>
        <v>Набережная, парк Ангелов</v>
      </c>
      <c r="L1245" s="6" t="str">
        <f>IFERROR(__xludf.DUMMYFUNCTION("""COMPUTED_VALUE"""),"Нет варианта")</f>
        <v>Нет варианта</v>
      </c>
      <c r="M1245" s="6" t="str">
        <f>IFERROR(__xludf.DUMMYFUNCTION("""COMPUTED_VALUE"""),"Нет варианта")</f>
        <v>Нет варианта</v>
      </c>
      <c r="N1245" s="6" t="str">
        <f>IFERROR(__xludf.DUMMYFUNCTION("""COMPUTED_VALUE"""),"Экология, качество дорог, места отдыха возле водоемов, туризм, ")</f>
        <v>Экология, качество дорог, места отдыха возле водоемов, туризм, </v>
      </c>
      <c r="O1245" s="6" t="str">
        <f>IFERROR(__xludf.DUMMYFUNCTION("""COMPUTED_VALUE"""),"Экология ")</f>
        <v>Экология </v>
      </c>
      <c r="P1245" s="6" t="str">
        <f>IFERROR(__xludf.DUMMYFUNCTION("""COMPUTED_VALUE"""),"Афиша 42, в контакте")</f>
        <v>Афиша 42, в контакте</v>
      </c>
      <c r="Q1245" s="6" t="str">
        <f>IFERROR(__xludf.DUMMYFUNCTION("""COMPUTED_VALUE"""),"куда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245" s="6" t="str">
        <f>IFERROR(__xludf.DUMMYFUNCTION("""COMPUTED_VALUE"""),"День города, день шахтера")</f>
        <v>День города, день шахтера</v>
      </c>
      <c r="S1245" s="6" t="str">
        <f>IFERROR(__xludf.DUMMYFUNCTION("""COMPUTED_VALUE"""),"Обращался в редакции городских газет, телевидения, радио")</f>
        <v>Обращался в редакции городских газет, телевидения, радио</v>
      </c>
      <c r="T1245" s="6" t="str">
        <f>IFERROR(__xludf.DUMMYFUNCTION("""COMPUTED_VALUE"""),"Нет ответа")</f>
        <v>Нет ответа</v>
      </c>
      <c r="U1245" s="6" t="str">
        <f>IFERROR(__xludf.DUMMYFUNCTION("""COMPUTED_VALUE"""),"Парк Ангелов")</f>
        <v>Парк Ангелов</v>
      </c>
      <c r="V1245" s="6" t="str">
        <f>IFERROR(__xludf.DUMMYFUNCTION("""COMPUTED_VALUE"""),"Архитектура")</f>
        <v>Архитектура</v>
      </c>
      <c r="W1245" s="6" t="str">
        <f>IFERROR(__xludf.DUMMYFUNCTION("""COMPUTED_VALUE"""),"Добрые, отзывчивые")</f>
        <v>Добрые, отзывчивые</v>
      </c>
      <c r="X1245" s="6" t="str">
        <f>IFERROR(__xludf.DUMMYFUNCTION("""COMPUTED_VALUE"""),"Парк Ангелов, набережная, Стелла Кемерово, сосновый бор")</f>
        <v>Парк Ангелов, набережная, Стелла Кемерово, сосновый бор</v>
      </c>
      <c r="Y1245" s="6" t="str">
        <f>IFERROR(__xludf.DUMMYFUNCTION("""COMPUTED_VALUE"""),"Нет ответа")</f>
        <v>Нет ответа</v>
      </c>
      <c r="Z1245" s="6" t="str">
        <f>IFERROR(__xludf.DUMMYFUNCTION("""COMPUTED_VALUE"""),"Концерты под открытым небом")</f>
        <v>Концерты под открытым небом</v>
      </c>
      <c r="AA1245" s="6" t="str">
        <f>IFERROR(__xludf.DUMMYFUNCTION("""COMPUTED_VALUE"""),"Экология, качество дорог, бездействие управляющих компаний")</f>
        <v>Экология, качество дорог, бездействие управляющих компаний</v>
      </c>
      <c r="AB1245" s="6" t="str">
        <f>IFERROR(__xludf.DUMMYFUNCTION("""COMPUTED_VALUE"""),"Нет ответа")</f>
        <v>Нет ответа</v>
      </c>
      <c r="AC1245" s="6" t="str">
        <f>IFERROR(__xludf.DUMMYFUNCTION("""COMPUTED_VALUE"""),"Праздники, культурные мероприятия ")</f>
        <v>Праздники, культурные мероприятия </v>
      </c>
      <c r="AD124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45" s="6" t="str">
        <f>IFERROR(__xludf.DUMMYFUNCTION("""COMPUTED_VALUE"""),"Мужской")</f>
        <v>Мужской</v>
      </c>
      <c r="AF1245" s="6" t="str">
        <f>IFERROR(__xludf.DUMMYFUNCTION("""COMPUTED_VALUE"""),"45-55")</f>
        <v>45-55</v>
      </c>
      <c r="AG1245" s="6"/>
      <c r="AH1245" s="6"/>
      <c r="AI1245" s="6"/>
      <c r="AJ1245" s="6"/>
      <c r="AK1245" s="6"/>
      <c r="AL1245" s="6"/>
      <c r="AM1245" s="6"/>
    </row>
    <row r="1246">
      <c r="A1246" s="6">
        <v>1245.0</v>
      </c>
      <c r="B1246" s="6" t="str">
        <f>IFERROR(__xludf.DUMMYFUNCTION("""COMPUTED_VALUE"""),"Музыка")</f>
        <v>Музыка</v>
      </c>
      <c r="C1246" s="6" t="str">
        <f>IFERROR(__xludf.DUMMYFUNCTION("""COMPUTED_VALUE"""),"Музыка")</f>
        <v>Музыка</v>
      </c>
      <c r="D1246" s="6" t="str">
        <f>IFERROR(__xludf.DUMMYFUNCTION("""COMPUTED_VALUE"""),"Фпк")</f>
        <v>Фпк</v>
      </c>
      <c r="E1246" s="6" t="str">
        <f>IFERROR(__xludf.DUMMYFUNCTION("""COMPUTED_VALUE"""),"Никаких")</f>
        <v>Никаких</v>
      </c>
      <c r="F1246" s="6" t="str">
        <f>IFERROR(__xludf.DUMMYFUNCTION("""COMPUTED_VALUE"""),"Живу здесь с рождения")</f>
        <v>Живу здесь с рождения</v>
      </c>
      <c r="G1246" s="6" t="str">
        <f>IFERROR(__xludf.DUMMYFUNCTION("""COMPUTED_VALUE"""),"Центр")</f>
        <v>Центр</v>
      </c>
      <c r="H1246" s="6" t="str">
        <f>IFERROR(__xludf.DUMMYFUNCTION("""COMPUTED_VALUE"""),"Газы, тишина, ")</f>
        <v>Газы, тишина, </v>
      </c>
      <c r="I1246" s="6" t="str">
        <f>IFERROR(__xludf.DUMMYFUNCTION("""COMPUTED_VALUE"""),"Вера Волошина, ")</f>
        <v>Вера Волошина, </v>
      </c>
      <c r="J1246" s="6" t="str">
        <f>IFERROR(__xludf.DUMMYFUNCTION("""COMPUTED_VALUE"""),"Без понятия")</f>
        <v>Без понятия</v>
      </c>
      <c r="K1246" s="6" t="str">
        <f>IFERROR(__xludf.DUMMYFUNCTION("""COMPUTED_VALUE"""),"Площадь в центре, Томская писаница")</f>
        <v>Площадь в центре, Томская писаница</v>
      </c>
      <c r="L1246" s="6" t="str">
        <f>IFERROR(__xludf.DUMMYFUNCTION("""COMPUTED_VALUE"""),"Не знаю")</f>
        <v>Не знаю</v>
      </c>
      <c r="M1246" s="6" t="str">
        <f>IFERROR(__xludf.DUMMYFUNCTION("""COMPUTED_VALUE"""),"Нет")</f>
        <v>Нет</v>
      </c>
      <c r="N1246" s="6" t="str">
        <f>IFERROR(__xludf.DUMMYFUNCTION("""COMPUTED_VALUE"""),"Экология, инфраструктура, наличие работы")</f>
        <v>Экология, инфраструктура, наличие работы</v>
      </c>
      <c r="O1246" s="6" t="str">
        <f>IFERROR(__xludf.DUMMYFUNCTION("""COMPUTED_VALUE"""),"Экологию")</f>
        <v>Экологию</v>
      </c>
      <c r="P1246" s="6" t="str">
        <f>IFERROR(__xludf.DUMMYFUNCTION("""COMPUTED_VALUE"""),"Группы вк")</f>
        <v>Группы вк</v>
      </c>
      <c r="Q1246"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результаты местных исследований (рейтинги/аналитика/тенденции)</v>
      </c>
      <c r="R1246" s="6" t="str">
        <f>IFERROR(__xludf.DUMMYFUNCTION("""COMPUTED_VALUE"""),"Новый год")</f>
        <v>Новый год</v>
      </c>
      <c r="S1246" s="6" t="str">
        <f>IFERROR(__xludf.DUMMYFUNCTION("""COMPUTED_VALUE"""),"Танцевальные батлы")</f>
        <v>Танцевальные батлы</v>
      </c>
      <c r="T1246" s="6" t="str">
        <f>IFERROR(__xludf.DUMMYFUNCTION("""COMPUTED_VALUE"""),"Климат (Сибирская зима)")</f>
        <v>Климат (Сибирская зима)</v>
      </c>
      <c r="U1246" s="6" t="str">
        <f>IFERROR(__xludf.DUMMYFUNCTION("""COMPUTED_VALUE"""),"Центр,лапландия, бульвар")</f>
        <v>Центр,лапландия, бульвар</v>
      </c>
      <c r="V1246" s="6" t="str">
        <f>IFERROR(__xludf.DUMMYFUNCTION("""COMPUTED_VALUE"""),"Не знаю")</f>
        <v>Не знаю</v>
      </c>
      <c r="W1246" s="6" t="str">
        <f>IFERROR(__xludf.DUMMYFUNCTION("""COMPUTED_VALUE"""),"Очень разные. Трудно выделить что-то.")</f>
        <v>Очень разные. Трудно выделить что-то.</v>
      </c>
      <c r="X1246" s="6" t="str">
        <f>IFERROR(__xludf.DUMMYFUNCTION("""COMPUTED_VALUE"""),"Центр")</f>
        <v>Центр</v>
      </c>
      <c r="Y1246" s="6" t="str">
        <f>IFERROR(__xludf.DUMMYFUNCTION("""COMPUTED_VALUE"""),"Не знаю")</f>
        <v>Не знаю</v>
      </c>
      <c r="Z1246" s="6" t="str">
        <f>IFERROR(__xludf.DUMMYFUNCTION("""COMPUTED_VALUE"""),"Концерт в центре на день города.")</f>
        <v>Концерт в центре на день города.</v>
      </c>
      <c r="AA1246" s="6" t="str">
        <f>IFERROR(__xludf.DUMMYFUNCTION("""COMPUTED_VALUE"""),"введение режима чёрного неба")</f>
        <v>введение режима чёрного неба</v>
      </c>
      <c r="AB1246" s="6" t="str">
        <f>IFERROR(__xludf.DUMMYFUNCTION("""COMPUTED_VALUE"""),"Музыкальных")</f>
        <v>Музыкальных</v>
      </c>
      <c r="AC1246" s="6" t="str">
        <f>IFERROR(__xludf.DUMMYFUNCTION("""COMPUTED_VALUE"""),"Не знаю")</f>
        <v>Не знаю</v>
      </c>
      <c r="AD1246"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1246" s="6" t="str">
        <f>IFERROR(__xludf.DUMMYFUNCTION("""COMPUTED_VALUE"""),"Мужской")</f>
        <v>Мужской</v>
      </c>
      <c r="AF1246" s="6" t="str">
        <f>IFERROR(__xludf.DUMMYFUNCTION("""COMPUTED_VALUE"""),"18-29")</f>
        <v>18-29</v>
      </c>
      <c r="AG1246" s="6"/>
      <c r="AH1246" s="6"/>
      <c r="AI1246" s="6"/>
      <c r="AJ1246" s="6"/>
      <c r="AK1246" s="6"/>
      <c r="AL1246" s="6"/>
      <c r="AM1246" s="6"/>
    </row>
    <row r="1247">
      <c r="A1247" s="6">
        <v>1246.0</v>
      </c>
      <c r="B1247" s="6" t="str">
        <f>IFERROR(__xludf.DUMMYFUNCTION("""COMPUTED_VALUE"""),"Аналитик в банковской сфере ")</f>
        <v>Аналитик в банковской сфере </v>
      </c>
      <c r="C1247" s="6" t="str">
        <f>IFERROR(__xludf.DUMMYFUNCTION("""COMPUTED_VALUE"""),"Графический дизайн ")</f>
        <v>Графический дизайн </v>
      </c>
      <c r="D1247" s="6" t="str">
        <f>IFERROR(__xludf.DUMMYFUNCTION("""COMPUTED_VALUE"""),"Лесная поляна (На поляне) ")</f>
        <v>Лесная поляна (На поляне) </v>
      </c>
      <c r="E1247" s="6" t="str">
        <f>IFERROR(__xludf.DUMMYFUNCTION("""COMPUTED_VALUE"""),"Осенний бульвар, Весенний бульвар, Кедровый бульвар, парк Лесная сказка ")</f>
        <v>Осенний бульвар, Весенний бульвар, Кедровый бульвар, парк Лесная сказка </v>
      </c>
      <c r="F1247" s="6" t="str">
        <f>IFERROR(__xludf.DUMMYFUNCTION("""COMPUTED_VALUE"""),"Живу здесь с рождения")</f>
        <v>Живу здесь с рождения</v>
      </c>
      <c r="G1247" s="6" t="str">
        <f>IFERROR(__xludf.DUMMYFUNCTION("""COMPUTED_VALUE"""),"Кино, театры, ТЦ, парки ")</f>
        <v>Кино, театры, ТЦ, парки </v>
      </c>
      <c r="H1247" s="6" t="str">
        <f>IFERROR(__xludf.DUMMYFUNCTION("""COMPUTED_VALUE"""),"Уголь, Столица, Город-сад, Сталинский ампир")</f>
        <v>Уголь, Столица, Город-сад, Сталинский ампир</v>
      </c>
      <c r="I1247" s="6" t="str">
        <f>IFERROR(__xludf.DUMMYFUNCTION("""COMPUTED_VALUE"""),"Рутгерс, Волков ")</f>
        <v>Рутгерс, Волков </v>
      </c>
      <c r="J1247" s="6" t="str">
        <f>IFERROR(__xludf.DUMMYFUNCTION("""COMPUTED_VALUE"""),"Цивилев")</f>
        <v>Цивилев</v>
      </c>
      <c r="K1247" s="6" t="str">
        <f>IFERROR(__xludf.DUMMYFUNCTION("""COMPUTED_VALUE"""),"Лесная поляна, памятник Эрнста Неизвестного на красной горке, Томская писанница, фонтан, кольцо на пересечении притомский-бульвар ")</f>
        <v>Лесная поляна, памятник Эрнста Неизвестного на красной горке, Томская писанница, фонтан, кольцо на пересечении притомский-бульвар </v>
      </c>
      <c r="L1247" s="6" t="str">
        <f>IFERROR(__xludf.DUMMYFUNCTION("""COMPUTED_VALUE"""),"""Человек из Кемерово"" из песни Гребенщикова")</f>
        <v>"Человек из Кемерово" из песни Гребенщикова</v>
      </c>
      <c r="M1247" s="6" t="str">
        <f>IFERROR(__xludf.DUMMYFUNCTION("""COMPUTED_VALUE"""),"Мультифора")</f>
        <v>Мультифора</v>
      </c>
      <c r="N1247" s="6" t="str">
        <f>IFERROR(__xludf.DUMMYFUNCTION("""COMPUTED_VALUE"""),"Экология, малоэтажность, доступность общественного транспорта, наличие парковых зелёных зон, качество дорожного покрытия ")</f>
        <v>Экология, малоэтажность, доступность общественного транспорта, наличие парковых зелёных зон, качество дорожного покрытия </v>
      </c>
      <c r="O1247" s="6" t="str">
        <f>IFERROR(__xludf.DUMMYFUNCTION("""COMPUTED_VALUE"""),"Экологию")</f>
        <v>Экологию</v>
      </c>
      <c r="P1247" s="6" t="str">
        <f>IFERROR(__xludf.DUMMYFUNCTION("""COMPUTED_VALUE"""),"Типичный Кемерово (вк), радио Кузбасс фм ")</f>
        <v>Типичный Кемерово (вк), радио Кузбасс фм </v>
      </c>
      <c r="Q1247" s="6" t="str">
        <f>IFERROR(__xludf.DUMMYFUNCTION("""COMPUTED_VALUE"""),"интервью с местными политиками,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f>
        <v>интервью с местными политиками,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247" s="6" t="str">
        <f>IFERROR(__xludf.DUMMYFUNCTION("""COMPUTED_VALUE"""),"День города")</f>
        <v>День города</v>
      </c>
      <c r="S1247" s="6" t="str">
        <f>IFERROR(__xludf.DUMMYFUNCTION("""COMPUTED_VALUE"""),"Нет, не приходилось")</f>
        <v>Нет, не приходилось</v>
      </c>
      <c r="T1247" s="6" t="str">
        <f>IFERROR(__xludf.DUMMYFUNCTION("""COMPUTED_VALUE"""),"Здесь жил Алексей Леонов. Угольный край. ")</f>
        <v>Здесь жил Алексей Леонов. Угольный край. </v>
      </c>
      <c r="U1247" s="6" t="str">
        <f>IFERROR(__xludf.DUMMYFUNCTION("""COMPUTED_VALUE"""),"Площадь Ленина, Парк Ангелов ")</f>
        <v>Площадь Ленина, Парк Ангелов </v>
      </c>
      <c r="V1247" s="6" t="str">
        <f>IFERROR(__xludf.DUMMYFUNCTION("""COMPUTED_VALUE"""),"Угольные добычи ")</f>
        <v>Угольные добычи </v>
      </c>
      <c r="W1247" s="6" t="str">
        <f>IFERROR(__xludf.DUMMYFUNCTION("""COMPUTED_VALUE"""),"Искренние, очень непосредственные в любых проявлениях, как положительных, так и отрицательных ")</f>
        <v>Искренние, очень непосредственные в любых проявлениях, как положительных, так и отрицательных </v>
      </c>
      <c r="X1247" s="6" t="str">
        <f>IFERROR(__xludf.DUMMYFUNCTION("""COMPUTED_VALUE"""),"Парк Ангелов, площадь Волкова, Весенняя, Советский, набережная, филармония ")</f>
        <v>Парк Ангелов, площадь Волкова, Весенняя, Советский, набережная, филармония </v>
      </c>
      <c r="Y1247" s="6" t="str">
        <f>IFERROR(__xludf.DUMMYFUNCTION("""COMPUTED_VALUE"""),"Зимняя вишня")</f>
        <v>Зимняя вишня</v>
      </c>
      <c r="Z1247" s="6" t="str">
        <f>IFERROR(__xludf.DUMMYFUNCTION("""COMPUTED_VALUE"""),"Герои мирового рока ")</f>
        <v>Герои мирового рока </v>
      </c>
      <c r="AA1247" s="6" t="str">
        <f>IFERROR(__xludf.DUMMYFUNCTION("""COMPUTED_VALUE"""),"Зимняя вишня ")</f>
        <v>Зимняя вишня </v>
      </c>
      <c r="AB1247" s="6" t="str">
        <f>IFERROR(__xludf.DUMMYFUNCTION("""COMPUTED_VALUE"""),"-")</f>
        <v>-</v>
      </c>
      <c r="AC1247" s="6" t="str">
        <f>IFERROR(__xludf.DUMMYFUNCTION("""COMPUTED_VALUE"""),"Концерты на открытых площадках, в том числе симфонические (когда-то такие проводились на ФПК по выходным), мастер - классы ")</f>
        <v>Концерты на открытых площадках, в том числе симфонические (когда-то такие проводились на ФПК по выходным), мастер - классы </v>
      </c>
      <c r="AD1247"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247" s="6" t="str">
        <f>IFERROR(__xludf.DUMMYFUNCTION("""COMPUTED_VALUE"""),"Женский")</f>
        <v>Женский</v>
      </c>
      <c r="AF1247" s="6" t="str">
        <f>IFERROR(__xludf.DUMMYFUNCTION("""COMPUTED_VALUE"""),"18-29")</f>
        <v>18-29</v>
      </c>
      <c r="AG1247" s="6"/>
      <c r="AH1247" s="6"/>
      <c r="AI1247" s="6"/>
      <c r="AJ1247" s="6"/>
      <c r="AK1247" s="6"/>
      <c r="AL1247" s="6"/>
      <c r="AM1247" s="6"/>
    </row>
    <row r="1248">
      <c r="A1248" s="6">
        <v>1247.0</v>
      </c>
      <c r="B1248" s="6" t="str">
        <f>IFERROR(__xludf.DUMMYFUNCTION("""COMPUTED_VALUE"""),"Методист в образовательной организации")</f>
        <v>Методист в образовательной организации</v>
      </c>
      <c r="C1248" s="6" t="str">
        <f>IFERROR(__xludf.DUMMYFUNCTION("""COMPUTED_VALUE"""),"Рукоделие, чтение, игра на муз.инструментах, животные")</f>
        <v>Рукоделие, чтение, игра на муз.инструментах, животные</v>
      </c>
      <c r="D1248" s="6" t="str">
        <f>IFERROR(__xludf.DUMMYFUNCTION("""COMPUTED_VALUE"""),"Ленинский ")</f>
        <v>Ленинский </v>
      </c>
      <c r="E1248" s="6" t="str">
        <f>IFERROR(__xludf.DUMMYFUNCTION("""COMPUTED_VALUE"""),"Бульвар Строителей")</f>
        <v>Бульвар Строителей</v>
      </c>
      <c r="F1248" s="6" t="str">
        <f>IFERROR(__xludf.DUMMYFUNCTION("""COMPUTED_VALUE"""),"Переехал сюда из другого места (откуда? укажите в графе другое), Приехала в 2008 году для обучения в ВУЗЕ из Полысаево")</f>
        <v>Переехал сюда из другого места (откуда? укажите в графе другое), Приехала в 2008 году для обучения в ВУЗЕ из Полысаево</v>
      </c>
      <c r="G1248" s="6" t="str">
        <f>IFERROR(__xludf.DUMMYFUNCTION("""COMPUTED_VALUE"""),"К-р Юбилейный, Комсомольский парк, б-р Строителей, набережная р. Томь, сосновый бор.")</f>
        <v>К-р Юбилейный, Комсомольский парк, б-р Строителей, набережная р. Томь, сосновый бор.</v>
      </c>
      <c r="H1248" s="6" t="str">
        <f>IFERROR(__xludf.DUMMYFUNCTION("""COMPUTED_VALUE"""),"Деревья. Дым. Нищета. Пенсионеры. Болезнь.")</f>
        <v>Деревья. Дым. Нищета. Пенсионеры. Болезнь.</v>
      </c>
      <c r="I1248" s="6" t="str">
        <f>IFERROR(__xludf.DUMMYFUNCTION("""COMPUTED_VALUE"""),"Алексей Леонов")</f>
        <v>Алексей Леонов</v>
      </c>
      <c r="J1248" s="6" t="str">
        <f>IFERROR(__xludf.DUMMYFUNCTION("""COMPUTED_VALUE"""),"Аман Тулеев")</f>
        <v>Аман Тулеев</v>
      </c>
      <c r="K1248" s="6" t="str">
        <f>IFERROR(__xludf.DUMMYFUNCTION("""COMPUTED_VALUE"""),"Красная горка, парк Ангелов, парк на Лесной поляне")</f>
        <v>Красная горка, парк Ангелов, парк на Лесной поляне</v>
      </c>
      <c r="L1248" s="6" t="str">
        <f>IFERROR(__xludf.DUMMYFUNCTION("""COMPUTED_VALUE"""),"Чисто не там, где убирают, а там, где не мусорят.")</f>
        <v>Чисто не там, где убирают, а там, где не мусорят.</v>
      </c>
      <c r="M1248" s="6" t="str">
        <f>IFERROR(__xludf.DUMMYFUNCTION("""COMPUTED_VALUE"""),"Не знаю")</f>
        <v>Не знаю</v>
      </c>
      <c r="N1248" s="6" t="str">
        <f>IFERROR(__xludf.DUMMYFUNCTION("""COMPUTED_VALUE"""),"Чистый воздух. Возможность найти работу. Наличие мест для отдыха  (парки, бассейны, аллеи). Наличие специальных мест для выгула собак. Хорошие дороги. ")</f>
        <v>Чистый воздух. Возможность найти работу. Наличие мест для отдыха  (парки, бассейны, аллеи). Наличие специальных мест для выгула собак. Хорошие дороги. </v>
      </c>
      <c r="O1248" s="6" t="str">
        <f>IFERROR(__xludf.DUMMYFUNCTION("""COMPUTED_VALUE"""),"Экологию!!!")</f>
        <v>Экологию!!!</v>
      </c>
      <c r="P1248" s="6" t="str">
        <f>IFERROR(__xludf.DUMMYFUNCTION("""COMPUTED_VALUE"""),"Инстаграм")</f>
        <v>Инстаграм</v>
      </c>
      <c r="Q1248" s="6" t="str">
        <f>IFERROR(__xludf.DUMMYFUNCTION("""COMPUTED_VALUE"""),"куда пойти в свободное время, криминальные новости (происшествия/преступления), результаты местных исследований (рейтинги/аналитика/тенденции)")</f>
        <v>куда пойти в свободное время, криминальные новости (происшествия/преступления), результаты местных исследований (рейтинги/аналитика/тенденции)</v>
      </c>
      <c r="R1248" s="6" t="str">
        <f>IFERROR(__xludf.DUMMYFUNCTION("""COMPUTED_VALUE"""),"День Победы")</f>
        <v>День Победы</v>
      </c>
      <c r="S1248" s="6" t="str">
        <f>IFERROR(__xludf.DUMMYFUNCTION("""COMPUTED_VALUE"""),"Нет, не приходилось")</f>
        <v>Нет, не приходилось</v>
      </c>
      <c r="T1248" s="6" t="str">
        <f>IFERROR(__xludf.DUMMYFUNCTION("""COMPUTED_VALUE"""),"Печально известен не только жителям нашей страны, но и за границей (например, сербам) пожаром в Зимней Вишне и возведенным на месте трагедии парком Ангелов. 
Квартира в г.Кемерово одного из чиновников, выставленная на продажу за 120 миллионов, весьма уни"&amp;"кальна и известна уже и в соседних областях 😅")</f>
        <v>Печально известен не только жителям нашей страны, но и за границей (например, сербам) пожаром в Зимней Вишне и возведенным на месте трагедии парком Ангелов. 
Квартира в г.Кемерово одного из чиновников, выставленная на продажу за 120 миллионов, весьма уникальна и известна уже и в соседних областях 😅</v>
      </c>
      <c r="U1248" s="6" t="str">
        <f>IFERROR(__xludf.DUMMYFUNCTION("""COMPUTED_VALUE"""),"Вечный огонь. Фонтан у драмтеатра")</f>
        <v>Вечный огонь. Фонтан у драмтеатра</v>
      </c>
      <c r="V1248" s="6" t="str">
        <f>IFERROR(__xludf.DUMMYFUNCTION("""COMPUTED_VALUE"""),"Затрудняюсь ответить")</f>
        <v>Затрудняюсь ответить</v>
      </c>
      <c r="W1248" s="6" t="str">
        <f>IFERROR(__xludf.DUMMYFUNCTION("""COMPUTED_VALUE"""),"Равнодушные. Уставшие. Творческие.")</f>
        <v>Равнодушные. Уставшие. Творческие.</v>
      </c>
      <c r="X1248" s="6" t="str">
        <f>IFERROR(__xludf.DUMMYFUNCTION("""COMPUTED_VALUE"""),"Весенняя- набережная- горсад- парк Ангелов.")</f>
        <v>Весенняя- набережная- горсад- парк Ангелов.</v>
      </c>
      <c r="Y1248" s="6" t="str">
        <f>IFERROR(__xludf.DUMMYFUNCTION("""COMPUTED_VALUE"""),"Наделение города статусом областного центра")</f>
        <v>Наделение города статусом областного центра</v>
      </c>
      <c r="Z1248" s="6" t="str">
        <f>IFERROR(__xludf.DUMMYFUNCTION("""COMPUTED_VALUE"""),"Начало строительства культурных объектов на пр. Притомском, открытие президентского кадетского училища")</f>
        <v>Начало строительства культурных объектов на пр. Притомском, открытие президентского кадетского училища</v>
      </c>
      <c r="AA1248" s="6" t="str">
        <f>IFERROR(__xludf.DUMMYFUNCTION("""COMPUTED_VALUE"""),"Запретили строительство аквапарка.")</f>
        <v>Запретили строительство аквапарка.</v>
      </c>
      <c r="AB1248" s="6" t="str">
        <f>IFERROR(__xludf.DUMMYFUNCTION("""COMPUTED_VALUE"""),"Всё устраивает, всего хватает.")</f>
        <v>Всё устраивает, всего хватает.</v>
      </c>
      <c r="AC1248" s="6" t="str">
        <f>IFERROR(__xludf.DUMMYFUNCTION("""COMPUTED_VALUE"""),"Больше мероприятий , направленных на поддержку приютов для бездомных животных (жизнь, конечно, станет не интереснее, но полезнее точно) ")</f>
        <v>Больше мероприятий , направленных на поддержку приютов для бездомных животных (жизнь, конечно, станет не интереснее, но полезнее точно) </v>
      </c>
      <c r="AD124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48" s="6" t="str">
        <f>IFERROR(__xludf.DUMMYFUNCTION("""COMPUTED_VALUE"""),"Женский")</f>
        <v>Женский</v>
      </c>
      <c r="AF1248" s="6" t="str">
        <f>IFERROR(__xludf.DUMMYFUNCTION("""COMPUTED_VALUE"""),"30-44")</f>
        <v>30-44</v>
      </c>
      <c r="AG1248" s="6"/>
      <c r="AH1248" s="6"/>
      <c r="AI1248" s="6"/>
      <c r="AJ1248" s="6"/>
      <c r="AK1248" s="6"/>
      <c r="AL1248" s="6"/>
      <c r="AM1248" s="6"/>
    </row>
    <row r="1249">
      <c r="A1249" s="6">
        <v>1248.0</v>
      </c>
      <c r="B1249" s="6" t="str">
        <f>IFERROR(__xludf.DUMMYFUNCTION("""COMPUTED_VALUE"""),"Педагогическая")</f>
        <v>Педагогическая</v>
      </c>
      <c r="C1249" s="6" t="str">
        <f>IFERROR(__xludf.DUMMYFUNCTION("""COMPUTED_VALUE"""),"Чтение научной литературы")</f>
        <v>Чтение научной литературы</v>
      </c>
      <c r="D1249" s="6" t="str">
        <f>IFERROR(__xludf.DUMMYFUNCTION("""COMPUTED_VALUE"""),"Центр")</f>
        <v>Центр</v>
      </c>
      <c r="E1249" s="6" t="str">
        <f>IFERROR(__xludf.DUMMYFUNCTION("""COMPUTED_VALUE"""),"Набережная,драм театр")</f>
        <v>Набережная,драм театр</v>
      </c>
      <c r="F1249" s="6" t="str">
        <f>IFERROR(__xludf.DUMMYFUNCTION("""COMPUTED_VALUE"""),"Живу здесь с рождения")</f>
        <v>Живу здесь с рождения</v>
      </c>
      <c r="G1249" s="6" t="str">
        <f>IFERROR(__xludf.DUMMYFUNCTION("""COMPUTED_VALUE"""),"Набережная,парк чудес")</f>
        <v>Набережная,парк чудес</v>
      </c>
      <c r="H1249" s="6" t="str">
        <f>IFERROR(__xludf.DUMMYFUNCTION("""COMPUTED_VALUE"""),"Уголь,маленькая страна,городок,холод,вечность")</f>
        <v>Уголь,маленькая страна,городок,холод,вечность</v>
      </c>
      <c r="I1249" s="6" t="str">
        <f>IFERROR(__xludf.DUMMYFUNCTION("""COMPUTED_VALUE"""),"Эрнст неизвестный")</f>
        <v>Эрнст неизвестный</v>
      </c>
      <c r="J1249" s="6" t="str">
        <f>IFERROR(__xludf.DUMMYFUNCTION("""COMPUTED_VALUE"""),"Малышева")</f>
        <v>Малышева</v>
      </c>
      <c r="K1249" s="6" t="str">
        <f>IFERROR(__xludf.DUMMYFUNCTION("""COMPUTED_VALUE"""),"Красная горка,вечный огонь,набережная")</f>
        <v>Красная горка,вечный огонь,набережная</v>
      </c>
      <c r="L1249" s="6" t="str">
        <f>IFERROR(__xludf.DUMMYFUNCTION("""COMPUTED_VALUE"""),"Дом по улице идет,на работу нас везет,не на курьих ножках,а в резиновых сапожках.")</f>
        <v>Дом по улице идет,на работу нас везет,не на курьих ножках,а в резиновых сапожках.</v>
      </c>
      <c r="M1249" s="6" t="str">
        <f>IFERROR(__xludf.DUMMYFUNCTION("""COMPUTED_VALUE"""),"По-кемеровски жить")</f>
        <v>По-кемеровски жить</v>
      </c>
      <c r="N1249" s="6" t="str">
        <f>IFERROR(__xludf.DUMMYFUNCTION("""COMPUTED_VALUE"""),"Уют,чистота,красота,комфортность,насыщенность")</f>
        <v>Уют,чистота,красота,комфортность,насыщенность</v>
      </c>
      <c r="O1249" s="6" t="str">
        <f>IFERROR(__xludf.DUMMYFUNCTION("""COMPUTED_VALUE"""),"Дома")</f>
        <v>Дома</v>
      </c>
      <c r="P1249" s="6" t="str">
        <f>IFERROR(__xludf.DUMMYFUNCTION("""COMPUTED_VALUE"""),"Интернет")</f>
        <v>Интернет</v>
      </c>
      <c r="Q1249" s="6" t="str">
        <f>IFERROR(__xludf.DUMMYFUNCTION("""COMPUTED_VALUE"""),"куда пойти в свободное время")</f>
        <v>куда пойти в свободное время</v>
      </c>
      <c r="R1249" s="6" t="str">
        <f>IFERROR(__xludf.DUMMYFUNCTION("""COMPUTED_VALUE"""),"День победы")</f>
        <v>День победы</v>
      </c>
      <c r="S1249" s="6" t="str">
        <f>IFERROR(__xludf.DUMMYFUNCTION("""COMPUTED_VALUE"""),"Через социальные сети (Какие? Укажите в графе другое)")</f>
        <v>Через социальные сети (Какие? Укажите в графе другое)</v>
      </c>
      <c r="T1249" s="6" t="str">
        <f>IFERROR(__xludf.DUMMYFUNCTION("""COMPUTED_VALUE"""),"Добывание угля")</f>
        <v>Добывание угля</v>
      </c>
      <c r="U1249" s="6" t="str">
        <f>IFERROR(__xludf.DUMMYFUNCTION("""COMPUTED_VALUE"""),"Историческая значимость")</f>
        <v>Историческая значимость</v>
      </c>
      <c r="V1249" s="6" t="str">
        <f>IFERROR(__xludf.DUMMYFUNCTION("""COMPUTED_VALUE"""),"Чистота")</f>
        <v>Чистота</v>
      </c>
      <c r="W1249" s="6" t="str">
        <f>IFERROR(__xludf.DUMMYFUNCTION("""COMPUTED_VALUE"""),"Открытость,простота")</f>
        <v>Открытость,простота</v>
      </c>
      <c r="X1249" s="6" t="str">
        <f>IFERROR(__xludf.DUMMYFUNCTION("""COMPUTED_VALUE"""),"Набережная")</f>
        <v>Набережная</v>
      </c>
      <c r="Y1249" s="6" t="str">
        <f>IFERROR(__xludf.DUMMYFUNCTION("""COMPUTED_VALUE"""),"Открытие значимых для города мест")</f>
        <v>Открытие значимых для города мест</v>
      </c>
      <c r="Z1249" s="6" t="str">
        <f>IFERROR(__xludf.DUMMYFUNCTION("""COMPUTED_VALUE"""),"Не помню")</f>
        <v>Не помню</v>
      </c>
      <c r="AA1249" s="6" t="str">
        <f>IFERROR(__xludf.DUMMYFUNCTION("""COMPUTED_VALUE"""),"Зимняя вишня")</f>
        <v>Зимняя вишня</v>
      </c>
      <c r="AB1249" s="6" t="str">
        <f>IFERROR(__xludf.DUMMYFUNCTION("""COMPUTED_VALUE"""),"Помоги")</f>
        <v>Помоги</v>
      </c>
      <c r="AC1249" s="6" t="str">
        <f>IFERROR(__xludf.DUMMYFUNCTION("""COMPUTED_VALUE"""),"Утро радостных встреч")</f>
        <v>Утро радостных встреч</v>
      </c>
      <c r="AD124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49" s="6" t="str">
        <f>IFERROR(__xludf.DUMMYFUNCTION("""COMPUTED_VALUE"""),"Женский")</f>
        <v>Женский</v>
      </c>
      <c r="AF1249" s="6" t="str">
        <f>IFERROR(__xludf.DUMMYFUNCTION("""COMPUTED_VALUE"""),"30-44")</f>
        <v>30-44</v>
      </c>
      <c r="AG1249" s="6"/>
      <c r="AH1249" s="6"/>
      <c r="AI1249" s="6"/>
      <c r="AJ1249" s="6"/>
      <c r="AK1249" s="6"/>
      <c r="AL1249" s="6"/>
      <c r="AM1249" s="6"/>
    </row>
    <row r="1250">
      <c r="A1250" s="6">
        <v>1249.0</v>
      </c>
      <c r="B1250" s="6" t="str">
        <f>IFERROR(__xludf.DUMMYFUNCTION("""COMPUTED_VALUE"""),"Аналитик")</f>
        <v>Аналитик</v>
      </c>
      <c r="C1250" s="6" t="str">
        <f>IFERROR(__xludf.DUMMYFUNCTION("""COMPUTED_VALUE"""),"Музыкант")</f>
        <v>Музыкант</v>
      </c>
      <c r="D1250" s="6" t="str">
        <f>IFERROR(__xludf.DUMMYFUNCTION("""COMPUTED_VALUE"""),"Рудничный ")</f>
        <v>Рудничный </v>
      </c>
      <c r="E1250" s="6" t="str">
        <f>IFERROR(__xludf.DUMMYFUNCTION("""COMPUTED_VALUE"""),"Сквер у ТЦ Радуга (пока к сожалению, это все)")</f>
        <v>Сквер у ТЦ Радуга (пока к сожалению, это все)</v>
      </c>
      <c r="F1250" s="6" t="str">
        <f>IFERROR(__xludf.DUMMYFUNCTION("""COMPUTED_VALUE"""),"Живу здесь с рождения")</f>
        <v>Живу здесь с рождения</v>
      </c>
      <c r="G1250" s="6" t="str">
        <f>IFERROR(__xludf.DUMMYFUNCTION("""COMPUTED_VALUE"""),"Если вопрос о прогулках, то это центр + бульвар строителей")</f>
        <v>Если вопрос о прогулках, то это центр + бульвар строителей</v>
      </c>
      <c r="H1250" s="6" t="str">
        <f>IFERROR(__xludf.DUMMYFUNCTION("""COMPUTED_VALUE"""),"Трудно дышать, пыль и грязь, сибирь, кумовство, елочки")</f>
        <v>Трудно дышать, пыль и грязь, сибирь, кумовство, елочки</v>
      </c>
      <c r="I1250" s="6" t="str">
        <f>IFERROR(__xludf.DUMMYFUNCTION("""COMPUTED_VALUE"""),"Рутгерс, Андрей Панин, Алексей Леонов")</f>
        <v>Рутгерс, Андрей Панин, Алексей Леонов</v>
      </c>
      <c r="J1250" s="6" t="str">
        <f>IFERROR(__xludf.DUMMYFUNCTION("""COMPUTED_VALUE"""),"Илья Середюк, Дарья Львова (фотограф), Ольга Васильева, Дмитрий Лапин, Степанова Нина Викторовна")</f>
        <v>Илья Середюк, Дарья Львова (фотограф), Ольга Васильева, Дмитрий Лапин, Степанова Нина Викторовна</v>
      </c>
      <c r="K1250" s="6" t="str">
        <f>IFERROR(__xludf.DUMMYFUNCTION("""COMPUTED_VALUE"""),"Набережная в центре, площадь Пушкина, заводский район, стадион Химик")</f>
        <v>Набережная в центре, площадь Пушкина, заводский район, стадион Химик</v>
      </c>
      <c r="L1250" s="6" t="str">
        <f>IFERROR(__xludf.DUMMYFUNCTION("""COMPUTED_VALUE"""),".")</f>
        <v>.</v>
      </c>
      <c r="M1250" s="6" t="str">
        <f>IFERROR(__xludf.DUMMYFUNCTION("""COMPUTED_VALUE"""),"Мультифора")</f>
        <v>Мультифора</v>
      </c>
      <c r="N1250" s="6" t="str">
        <f>IFERROR(__xludf.DUMMYFUNCTION("""COMPUTED_VALUE"""),"Чистый воздух, безбарьерная среда, развитый общественный транспорт, озеленение и благоустройство, коммуникации спрятаны под землю")</f>
        <v>Чистый воздух, безбарьерная среда, развитый общественный транспорт, озеленение и благоустройство, коммуникации спрятаны под землю</v>
      </c>
      <c r="O1250" s="6" t="str">
        <f>IFERROR(__xludf.DUMMYFUNCTION("""COMPUTED_VALUE"""),"Пыль - ежегодная проблема, за которой никто не следит. Большое количество открытой земли смывается на дороги из-за ошибок проектирования (грунт выше бордюров, проезжих частей и тротуаров). Грузовые автомобили не моют колеса при выезде со стройки. Автовлад"&amp;"ельцы паркуются на газонах. Во время ремонтных работ  места открытого грунта не закрывают навесами. После проведения ремонтных работ  не садят готовый газон, а оставляют открытую землю, которая высыхает и далее раздувается ветром")</f>
        <v>Пыль - ежегодная проблема, за которой никто не следит. Большое количество открытой земли смывается на дороги из-за ошибок проектирования (грунт выше бордюров, проезжих частей и тротуаров). Грузовые автомобили не моют колеса при выезде со стройки. Автовладельцы паркуются на газонах. Во время ремонтных работ  места открытого грунта не закрывают навесами. После проведения ремонтных работ  не садят готовый газон, а оставляют открытую землю, которая высыхает и далее раздувается ветром</v>
      </c>
      <c r="P1250" s="6" t="str">
        <f>IFERROR(__xludf.DUMMYFUNCTION("""COMPUTED_VALUE"""),"Группы/странички заведений, которые мне нравятся. Единая централизованная афиша ""силами администрации"" не обязательна - с этим прекрасно справятся действующие агрегаторы типа яндекса.")</f>
        <v>Группы/странички заведений, которые мне нравятся. Единая централизованная афиша "силами администрации" не обязательна - с этим прекрасно справятся действующие агрегаторы типа яндекса.</v>
      </c>
      <c r="Q1250" s="6" t="str">
        <f>IFERROR(__xludf.DUMMYFUNCTION("""COMPUTED_VALUE"""),"куда пойти в свободное время, интервью с местными творческими личностями, интервью с местными предпринимателями, результаты местных исследований (рейтинги/аналитика/тенденции)")</f>
        <v>куда пойти в свободное время, интервью с местными творческими личностями, интервью с местными предпринимателями, результаты местных исследований (рейтинги/аналитика/тенденции)</v>
      </c>
      <c r="R1250" s="6" t="str">
        <f>IFERROR(__xludf.DUMMYFUNCTION("""COMPUTED_VALUE"""),"Только новый год и школьный выпускной")</f>
        <v>Только новый год и школьный выпускной</v>
      </c>
      <c r="S1250" s="6" t="str">
        <f>IFERROR(__xludf.DUMMYFUNCTION("""COMPUTED_VALUE"""),"Нет, не приходилось")</f>
        <v>Нет, не приходилось</v>
      </c>
      <c r="T1250" s="6" t="str">
        <f>IFERROR(__xludf.DUMMYFUNCTION("""COMPUTED_VALUE"""),"Пока, к сожалению, только как ресурсная база. И трагедией в Зимней вишне")</f>
        <v>Пока, к сожалению, только как ресурсная база. И трагедией в Зимней вишне</v>
      </c>
      <c r="U1250" s="6" t="str">
        <f>IFERROR(__xludf.DUMMYFUNCTION("""COMPUTED_VALUE"""),"площадь Пшукина")</f>
        <v>площадь Пшукина</v>
      </c>
      <c r="V1250" s="6" t="str">
        <f>IFERROR(__xludf.DUMMYFUNCTION("""COMPUTED_VALUE"""),"?")</f>
        <v>?</v>
      </c>
      <c r="W1250" s="6" t="str">
        <f>IFERROR(__xludf.DUMMYFUNCTION("""COMPUTED_VALUE"""),"Такие же, как и по всей стране. Возможно из-за среднего возраста населения чуть более консервативные")</f>
        <v>Такие же, как и по всей стране. Возможно из-за среднего возраста населения чуть более консервативные</v>
      </c>
      <c r="X1250" s="6" t="str">
        <f>IFERROR(__xludf.DUMMYFUNCTION("""COMPUTED_VALUE"""),"Если речь про первый маршрут, то он должен быть не крутым, а полезным (желательно круговым): здесь ж/д и автовокзал, здесь основная развязка города (тц Я), здесь сосновый бор и красная горка, здесь второй мост и тц Лапландия, вот бульвар строителей, вот п"&amp;"роспект Советский и площадь советов, вот пр. Ленина, вот место трагедии в Зимней вишне...возвращаемся к вокзалу")</f>
        <v>Если речь про первый маршрут, то он должен быть не крутым, а полезным (желательно круговым): здесь ж/д и автовокзал, здесь основная развязка города (тц Я), здесь сосновый бор и красная горка, здесь второй мост и тц Лапландия, вот бульвар строителей, вот проспект Советский и площадь советов, вот пр. Ленина, вот место трагедии в Зимней вишне...возвращаемся к вокзалу</v>
      </c>
      <c r="Y1250" s="6" t="str">
        <f>IFERROR(__xludf.DUMMYFUNCTION("""COMPUTED_VALUE"""),"преобразование Щегловска в город Кемерово")</f>
        <v>преобразование Щегловска в город Кемерово</v>
      </c>
      <c r="Z1250" s="6" t="str">
        <f>IFERROR(__xludf.DUMMYFUNCTION("""COMPUTED_VALUE"""),"очистка и укрепление берегов р.Искитимка, замена сельских пазиков на низкопольные автобусы, переход на удаленную работу (""ковид-кризис"" стал поводом для пересмотра экономической модели многих предприятий среднего/крупного размера)")</f>
        <v>очистка и укрепление берегов р.Искитимка, замена сельских пазиков на низкопольные автобусы, переход на удаленную работу ("ковид-кризис" стал поводом для пересмотра экономической модели многих предприятий среднего/крупного размера)</v>
      </c>
      <c r="AA1250" s="6" t="str">
        <f>IFERROR(__xludf.DUMMYFUNCTION("""COMPUTED_VALUE"""),"Отсутствие внимания к трамваю как к виду транспорта - неиспользование его плюсов и крайне неэффективные вливания денег в эту инфраструктуру. Зимняя вишня, закрытие бассейна Лазурный, бездействие полиции повлекшее убийство девушки, порча витражей")</f>
        <v>Отсутствие внимания к трамваю как к виду транспорта - неиспользование его плюсов и крайне неэффективные вливания денег в эту инфраструктуру. Зимняя вишня, закрытие бассейна Лазурный, бездействие полиции повлекшее убийство девушки, порча витражей</v>
      </c>
      <c r="AB1250" s="6" t="str">
        <f>IFERROR(__xludf.DUMMYFUNCTION("""COMPUTED_VALUE"""),"Политической конкуренции")</f>
        <v>Политической конкуренции</v>
      </c>
      <c r="AC1250" s="6" t="str">
        <f>IFERROR(__xludf.DUMMYFUNCTION("""COMPUTED_VALUE"""),"Интереснее не равно приятнее. Просто не мешайте самим жителям проводить мероприятия, которые они устраивают. 
Это касается не только концертов/выставок/показов, но в том числе и митингов. Это не какой-то террористический акт, как принято сейчас думать, а"&amp;" диалог избирателей и их представителей по поводу проблем. Чем чаще будет конструктивный диалог, тем лучше будет качество управленческих решений")</f>
        <v>Интереснее не равно приятнее. Просто не мешайте самим жителям проводить мероприятия, которые они устраивают. 
Это касается не только концертов/выставок/показов, но в том числе и митингов. Это не какой-то террористический акт, как принято сейчас думать, а диалог избирателей и их представителей по поводу проблем. Чем чаще будет конструктивный диалог, тем лучше будет качество управленческих решений</v>
      </c>
      <c r="AD1250"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пот"&amp;"енциально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250" s="6" t="str">
        <f>IFERROR(__xludf.DUMMYFUNCTION("""COMPUTED_VALUE"""),"Мужской")</f>
        <v>Мужской</v>
      </c>
      <c r="AF1250" s="6" t="str">
        <f>IFERROR(__xludf.DUMMYFUNCTION("""COMPUTED_VALUE"""),"30-44")</f>
        <v>30-44</v>
      </c>
      <c r="AG1250" s="6"/>
      <c r="AH1250" s="6"/>
      <c r="AI1250" s="6"/>
      <c r="AJ1250" s="6"/>
      <c r="AK1250" s="6"/>
      <c r="AL1250" s="6"/>
      <c r="AM1250" s="6"/>
    </row>
    <row r="1251">
      <c r="A1251" s="6">
        <v>1250.0</v>
      </c>
      <c r="B1251" s="6" t="str">
        <f>IFERROR(__xludf.DUMMYFUNCTION("""COMPUTED_VALUE"""),"Химическая промышленность")</f>
        <v>Химическая промышленность</v>
      </c>
      <c r="C1251" s="6" t="str">
        <f>IFERROR(__xludf.DUMMYFUNCTION("""COMPUTED_VALUE"""),"Футбол ")</f>
        <v>Футбол </v>
      </c>
      <c r="D1251" s="6" t="str">
        <f>IFERROR(__xludf.DUMMYFUNCTION("""COMPUTED_VALUE"""),"Посёлок Шахты северной. Припять. ")</f>
        <v>Посёлок Шахты северной. Припять. </v>
      </c>
      <c r="E1251" s="6" t="str">
        <f>IFERROR(__xludf.DUMMYFUNCTION("""COMPUTED_VALUE"""),"Не в курсе ")</f>
        <v>Не в курсе </v>
      </c>
      <c r="F1251" s="6" t="str">
        <f>IFERROR(__xludf.DUMMYFUNCTION("""COMPUTED_VALUE"""),"Живу здесь с рождения")</f>
        <v>Живу здесь с рождения</v>
      </c>
      <c r="G1251" s="6" t="str">
        <f>IFERROR(__xludf.DUMMYFUNCTION("""COMPUTED_VALUE"""),"Никуда. ")</f>
        <v>Никуда. </v>
      </c>
      <c r="H1251" s="6" t="str">
        <f>IFERROR(__xludf.DUMMYFUNCTION("""COMPUTED_VALUE"""),"Пробки. Плохая экология. Грязь. Сосновый бор. Малая родина. ")</f>
        <v>Пробки. Плохая экология. Грязь. Сосновый бор. Малая родина. </v>
      </c>
      <c r="I1251" s="6" t="str">
        <f>IFERROR(__xludf.DUMMYFUNCTION("""COMPUTED_VALUE"""),"Леонова. Волков. Тиньков. Логинов. ")</f>
        <v>Леонова. Волков. Тиньков. Логинов. </v>
      </c>
      <c r="J1251" s="6" t="str">
        <f>IFERROR(__xludf.DUMMYFUNCTION("""COMPUTED_VALUE"""),"Затрудняюсь ответить. ")</f>
        <v>Затрудняюсь ответить. </v>
      </c>
      <c r="K1251" s="6" t="str">
        <f>IFERROR(__xludf.DUMMYFUNCTION("""COMPUTED_VALUE"""),"Парк жукова, парк чудес, набережная кировского района.")</f>
        <v>Парк жукова, парк чудес, набережная кировского района.</v>
      </c>
      <c r="L1251" s="6" t="str">
        <f>IFERROR(__xludf.DUMMYFUNCTION("""COMPUTED_VALUE"""),"Размер средней оплаты труда. Очень смешно, а главное - ""чистая правда “. ")</f>
        <v>Размер средней оплаты труда. Очень смешно, а главное - "чистая правда “. </v>
      </c>
      <c r="M1251" s="6" t="str">
        <f>IFERROR(__xludf.DUMMYFUNCTION("""COMPUTED_VALUE"""),"Нет. ")</f>
        <v>Нет. </v>
      </c>
      <c r="N1251" s="6" t="str">
        <f>IFERROR(__xludf.DUMMYFUNCTION("""COMPUTED_VALUE"""),"Экология, удобство для маломобильных людей, отсутствие пробок, удобство передвижение по городу, доступность и качество услуг жкх, благоустойство города. ")</f>
        <v>Экология, удобство для маломобильных людей, отсутствие пробок, удобство передвижение по городу, доступность и качество услуг жкх, благоустойство города. </v>
      </c>
      <c r="O1251" s="6" t="str">
        <f>IFERROR(__xludf.DUMMYFUNCTION("""COMPUTED_VALUE"""),"Ждём обтезжные дороги, новые мосты. Снести бараки, в которых нету элементарных удобств. Качественные дороги. Благоустройство дворовых территорий. ")</f>
        <v>Ждём обтезжные дороги, новые мосты. Снести бараки, в которых нету элементарных удобств. Качественные дороги. Благоустройство дворовых территорий. </v>
      </c>
      <c r="P1251" s="6" t="str">
        <f>IFERROR(__xludf.DUMMYFUNCTION("""COMPUTED_VALUE"""),"В основном соц сети. ")</f>
        <v>В основном соц сети. </v>
      </c>
      <c r="Q1251" s="6" t="str">
        <f>IFERROR(__xludf.DUMMYFUNCTION("""COMPUTED_VALUE"""),"интервью с местными политиками, криминальные новости (происшествия/преступления), результаты местных исследований (рейтинги/аналитика/тенденции)")</f>
        <v>интервью с местными политиками, криминальные новости (происшествия/преступления), результаты местных исследований (рейтинги/аналитика/тенденции)</v>
      </c>
      <c r="R1251" s="6" t="str">
        <f>IFERROR(__xludf.DUMMYFUNCTION("""COMPUTED_VALUE"""),"День города, день шахтёра. ")</f>
        <v>День города, день шахтёра. </v>
      </c>
      <c r="S1251" s="6" t="str">
        <f>IFERROR(__xludf.DUMMYFUNCTION("""COMPUTED_VALUE"""),"Нет, не приходилось")</f>
        <v>Нет, не приходилось</v>
      </c>
      <c r="T1251" s="6" t="str">
        <f>IFERROR(__xludf.DUMMYFUNCTION("""COMPUTED_VALUE"""),"Обычная провинция, ничего выдающегося. ")</f>
        <v>Обычная провинция, ничего выдающегося. </v>
      </c>
      <c r="U1251" s="6" t="str">
        <f>IFERROR(__xludf.DUMMYFUNCTION("""COMPUTED_VALUE"""),"Площадь советов. ")</f>
        <v>Площадь советов. </v>
      </c>
      <c r="V1251" s="6" t="str">
        <f>IFERROR(__xludf.DUMMYFUNCTION("""COMPUTED_VALUE"""),"В 30ых годах выстроились всю промышленность, остатками которой мы пользуемся. ")</f>
        <v>В 30ых годах выстроились всю промышленность, остатками которой мы пользуемся. </v>
      </c>
      <c r="W1251" s="6" t="str">
        <f>IFERROR(__xludf.DUMMYFUNCTION("""COMPUTED_VALUE"""),"Люди разные, всех не причешешь под одну гребёнку. ")</f>
        <v>Люди разные, всех не причешешь под одну гребёнку. </v>
      </c>
      <c r="X1251" s="6" t="str">
        <f>IFERROR(__xludf.DUMMYFUNCTION("""COMPUTED_VALUE"""),"Прогулка по сосновом бору")</f>
        <v>Прогулка по сосновом бору</v>
      </c>
      <c r="Y1251" s="6" t="str">
        <f>IFERROR(__xludf.DUMMYFUNCTION("""COMPUTED_VALUE"""),"Затрудняюсь ответить ")</f>
        <v>Затрудняюсь ответить </v>
      </c>
      <c r="Z1251" s="6" t="str">
        <f>IFERROR(__xludf.DUMMYFUNCTION("""COMPUTED_VALUE"""),"Не в курсе. ")</f>
        <v>Не в курсе. </v>
      </c>
      <c r="AA1251" s="6" t="str">
        <f>IFERROR(__xludf.DUMMYFUNCTION("""COMPUTED_VALUE"""),"Плохая экология Кузбасса. ")</f>
        <v>Плохая экология Кузбасса. </v>
      </c>
      <c r="AB1251" s="6" t="str">
        <f>IFERROR(__xludf.DUMMYFUNCTION("""COMPUTED_VALUE"""),"Нужно больше спорта. ")</f>
        <v>Нужно больше спорта. </v>
      </c>
      <c r="AC1251" s="6" t="str">
        <f>IFERROR(__xludf.DUMMYFUNCTION("""COMPUTED_VALUE"""),"Без понятия ")</f>
        <v>Без понятия </v>
      </c>
      <c r="AD125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51" s="6" t="str">
        <f>IFERROR(__xludf.DUMMYFUNCTION("""COMPUTED_VALUE"""),"Мужской")</f>
        <v>Мужской</v>
      </c>
      <c r="AF1251" s="6" t="str">
        <f>IFERROR(__xludf.DUMMYFUNCTION("""COMPUTED_VALUE"""),"30-44")</f>
        <v>30-44</v>
      </c>
      <c r="AG1251" s="6"/>
      <c r="AH1251" s="6"/>
      <c r="AI1251" s="6"/>
      <c r="AJ1251" s="6"/>
      <c r="AK1251" s="6"/>
      <c r="AL1251" s="6"/>
      <c r="AM1251" s="6"/>
    </row>
    <row r="1252">
      <c r="A1252" s="6">
        <v>1251.0</v>
      </c>
      <c r="B1252" s="6" t="str">
        <f>IFERROR(__xludf.DUMMYFUNCTION("""COMPUTED_VALUE"""),"Продаю квартиры")</f>
        <v>Продаю квартиры</v>
      </c>
      <c r="C1252" s="6" t="str">
        <f>IFERROR(__xludf.DUMMYFUNCTION("""COMPUTED_VALUE"""),"нет")</f>
        <v>нет</v>
      </c>
      <c r="D1252" s="6" t="str">
        <f>IFERROR(__xludf.DUMMYFUNCTION("""COMPUTED_VALUE"""),"Южный")</f>
        <v>Южный</v>
      </c>
      <c r="E1252" s="6" t="str">
        <f>IFERROR(__xludf.DUMMYFUNCTION("""COMPUTED_VALUE"""),"ул.Патриотов")</f>
        <v>ул.Патриотов</v>
      </c>
      <c r="F1252" s="6" t="str">
        <f>IFERROR(__xludf.DUMMYFUNCTION("""COMPUTED_VALUE"""),"Живу здесь с рождения")</f>
        <v>Живу здесь с рождения</v>
      </c>
      <c r="G1252" s="6" t="str">
        <f>IFERROR(__xludf.DUMMYFUNCTION("""COMPUTED_VALUE"""),"На Южном ходить некуда, а ездить далеко")</f>
        <v>На Южном ходить некуда, а ездить далеко</v>
      </c>
      <c r="H1252" s="6" t="str">
        <f>IFERROR(__xludf.DUMMYFUNCTION("""COMPUTED_VALUE"""),"Черное небо, экология, две полосатые трубы, набережная, Бор")</f>
        <v>Черное небо, экология, две полосатые трубы, набережная, Бор</v>
      </c>
      <c r="I1252" s="6" t="str">
        <f>IFERROR(__xludf.DUMMYFUNCTION("""COMPUTED_VALUE"""),"Михайло Волков, мэр- Михайлов, Тулеев, Гришковец")</f>
        <v>Михайло Волков, мэр- Михайлов, Тулеев, Гришковец</v>
      </c>
      <c r="J1252" s="6" t="str">
        <f>IFERROR(__xludf.DUMMYFUNCTION("""COMPUTED_VALUE"""),"мэр Михайлов, Тулеев")</f>
        <v>мэр Михайлов, Тулеев</v>
      </c>
      <c r="K1252" s="6" t="str">
        <f>IFERROR(__xludf.DUMMYFUNCTION("""COMPUTED_VALUE"""),"Бор, крест")</f>
        <v>Бор, крест</v>
      </c>
      <c r="L1252" s="6" t="str">
        <f>IFERROR(__xludf.DUMMYFUNCTION("""COMPUTED_VALUE"""),"-")</f>
        <v>-</v>
      </c>
      <c r="M1252" s="6" t="str">
        <f>IFERROR(__xludf.DUMMYFUNCTION("""COMPUTED_VALUE"""),"-")</f>
        <v>-</v>
      </c>
      <c r="N1252" s="6" t="str">
        <f>IFERROR(__xludf.DUMMYFUNCTION("""COMPUTED_VALUE"""),"Работа чтоб была, экология, красиво и чисто, безопасно")</f>
        <v>Работа чтоб была, экология, красиво и чисто, безопасно</v>
      </c>
      <c r="O1252" s="6" t="str">
        <f>IFERROR(__xludf.DUMMYFUNCTION("""COMPUTED_VALUE"""),"Губернатора")</f>
        <v>Губернатора</v>
      </c>
      <c r="P1252" s="6" t="str">
        <f>IFERROR(__xludf.DUMMYFUNCTION("""COMPUTED_VALUE"""),"Инстаграм")</f>
        <v>Инстаграм</v>
      </c>
      <c r="Q1252" s="6" t="str">
        <f>IFERROR(__xludf.DUMMYFUNCTION("""COMPUTED_VALUE"""),"Никакие")</f>
        <v>Никакие</v>
      </c>
      <c r="R1252" s="6" t="str">
        <f>IFERROR(__xludf.DUMMYFUNCTION("""COMPUTED_VALUE"""),"9 мая, день города")</f>
        <v>9 мая, день города</v>
      </c>
      <c r="S1252" s="6" t="str">
        <f>IFERROR(__xludf.DUMMYFUNCTION("""COMPUTED_VALUE"""),"Нет, не приходилось")</f>
        <v>Нет, не приходилось</v>
      </c>
      <c r="T1252" s="6" t="str">
        <f>IFERROR(__xludf.DUMMYFUNCTION("""COMPUTED_VALUE"""),"Прогремели ""Зимней вишней"" на весь белый свет")</f>
        <v>Прогремели "Зимней вишней" на весь белый свет</v>
      </c>
      <c r="U1252" s="6" t="str">
        <f>IFERROR(__xludf.DUMMYFUNCTION("""COMPUTED_VALUE"""),"площадь Советов")</f>
        <v>площадь Советов</v>
      </c>
      <c r="V1252" s="6" t="str">
        <f>IFERROR(__xludf.DUMMYFUNCTION("""COMPUTED_VALUE"""),"Азот")</f>
        <v>Азот</v>
      </c>
      <c r="W1252" s="6" t="str">
        <f>IFERROR(__xludf.DUMMYFUNCTION("""COMPUTED_VALUE"""),"Хмурые, унылые, чёрные")</f>
        <v>Хмурые, унылые, чёрные</v>
      </c>
      <c r="X1252" s="6" t="str">
        <f>IFERROR(__xludf.DUMMYFUNCTION("""COMPUTED_VALUE"""),"Горсад, набережная, Весенька")</f>
        <v>Горсад, набережная, Весенька</v>
      </c>
      <c r="Y1252" s="6" t="str">
        <f>IFERROR(__xludf.DUMMYFUNCTION("""COMPUTED_VALUE"""),"Историческое - Зимняя Вишня")</f>
        <v>Историческое - Зимняя Вишня</v>
      </c>
      <c r="Z1252" s="6" t="str">
        <f>IFERROR(__xludf.DUMMYFUNCTION("""COMPUTED_VALUE"""),"Не вспомню")</f>
        <v>Не вспомню</v>
      </c>
      <c r="AA1252" s="6" t="str">
        <f>IFERROR(__xludf.DUMMYFUNCTION("""COMPUTED_VALUE"""),"Цены растут как на дрожжах, а зп 6 лет не растет - негодую")</f>
        <v>Цены растут как на дрожжах, а зп 6 лет не растет - негодую</v>
      </c>
      <c r="AB1252" s="6" t="str">
        <f>IFERROR(__xludf.DUMMYFUNCTION("""COMPUTED_VALUE"""),"Мне не нужны ни какие сообщества")</f>
        <v>Мне не нужны ни какие сообщества</v>
      </c>
      <c r="AC1252" s="6" t="str">
        <f>IFERROR(__xludf.DUMMYFUNCTION("""COMPUTED_VALUE"""),"Велодорожку мне сделайте от дома до работы, до работы буду ездить на велике, на бензин денег нет")</f>
        <v>Велодорожку мне сделайте от дома до работы, до работы буду ездить на велике, на бензин денег нет</v>
      </c>
      <c r="AD1252" s="6" t="str">
        <f>IFERROR(__xludf.DUMMYFUNCTION("""COMPUTED_VALUE"""),"Не готов принимать личное участие (укажите, пожалуйста, причину в поле «Другое»), Некогда мне...Дочь у меня, огород и кот")</f>
        <v>Не готов принимать личное участие (укажите, пожалуйста, причину в поле «Другое»), Некогда мне...Дочь у меня, огород и кот</v>
      </c>
      <c r="AE1252" s="6" t="str">
        <f>IFERROR(__xludf.DUMMYFUNCTION("""COMPUTED_VALUE"""),"Женский")</f>
        <v>Женский</v>
      </c>
      <c r="AF1252" s="6" t="str">
        <f>IFERROR(__xludf.DUMMYFUNCTION("""COMPUTED_VALUE"""),"30-44")</f>
        <v>30-44</v>
      </c>
      <c r="AG1252" s="6"/>
      <c r="AH1252" s="6"/>
      <c r="AI1252" s="6"/>
      <c r="AJ1252" s="6"/>
      <c r="AK1252" s="6"/>
      <c r="AL1252" s="6"/>
      <c r="AM1252" s="6"/>
    </row>
    <row r="1253">
      <c r="A1253" s="6">
        <v>1252.0</v>
      </c>
      <c r="B1253" s="6" t="str">
        <f>IFERROR(__xludf.DUMMYFUNCTION("""COMPUTED_VALUE"""),"Домохозяйка ")</f>
        <v>Домохозяйка </v>
      </c>
      <c r="C1253" s="6" t="str">
        <f>IFERROR(__xludf.DUMMYFUNCTION("""COMPUTED_VALUE"""),"Нет")</f>
        <v>Нет</v>
      </c>
      <c r="D1253" s="6" t="str">
        <f>IFERROR(__xludf.DUMMYFUNCTION("""COMPUTED_VALUE"""),"Рудничный, радуга")</f>
        <v>Рудничный, радуга</v>
      </c>
      <c r="E1253" s="6" t="str">
        <f>IFERROR(__xludf.DUMMYFUNCTION("""COMPUTED_VALUE"""),"Сосновый бор")</f>
        <v>Сосновый бор</v>
      </c>
      <c r="F1253" s="6" t="str">
        <f>IFERROR(__xludf.DUMMYFUNCTION("""COMPUTED_VALUE"""),"Переехал сюда из другого места (откуда? укажите в графе другое), Юрга. После учёбы осталась")</f>
        <v>Переехал сюда из другого места (откуда? укажите в графе другое), Юрга. После учёбы осталась</v>
      </c>
      <c r="G1253" s="6" t="str">
        <f>IFERROR(__xludf.DUMMYFUNCTION("""COMPUTED_VALUE"""),"Набережная, сосновый бор")</f>
        <v>Набережная, сосновый бор</v>
      </c>
      <c r="H1253" s="6" t="str">
        <f>IFERROR(__xludf.DUMMYFUNCTION("""COMPUTED_VALUE"""),"Бор, набережная, уютный, грязный, развивающийся")</f>
        <v>Бор, набережная, уютный, грязный, развивающийся</v>
      </c>
      <c r="I1253" s="6" t="str">
        <f>IFERROR(__xludf.DUMMYFUNCTION("""COMPUTED_VALUE"""),"Терешкова ")</f>
        <v>Терешкова </v>
      </c>
      <c r="J1253" s="6" t="str">
        <f>IFERROR(__xludf.DUMMYFUNCTION("""COMPUTED_VALUE"""),"Тулеев")</f>
        <v>Тулеев</v>
      </c>
      <c r="K1253" s="6" t="str">
        <f>IFERROR(__xludf.DUMMYFUNCTION("""COMPUTED_VALUE"""),"Бор, памятник шахтёрам, красная горка")</f>
        <v>Бор, памятник шахтёрам, красная горка</v>
      </c>
      <c r="L1253" s="6" t="str">
        <f>IFERROR(__xludf.DUMMYFUNCTION("""COMPUTED_VALUE"""),"Не знаю ")</f>
        <v>Не знаю </v>
      </c>
      <c r="M1253" s="6" t="str">
        <f>IFERROR(__xludf.DUMMYFUNCTION("""COMPUTED_VALUE"""),"Нет")</f>
        <v>Нет</v>
      </c>
      <c r="N1253" s="6" t="str">
        <f>IFERROR(__xludf.DUMMYFUNCTION("""COMPUTED_VALUE"""),"Транспортная доступность, хорошая экология, обеспеченность работой, развитая соц.сфера, доступность детских секций")</f>
        <v>Транспортная доступность, хорошая экология, обеспеченность работой, развитая соц.сфера, доступность детских секций</v>
      </c>
      <c r="O1253" s="6" t="str">
        <f>IFERROR(__xludf.DUMMYFUNCTION("""COMPUTED_VALUE"""),"Экологию")</f>
        <v>Экологию</v>
      </c>
      <c r="P1253" s="6" t="str">
        <f>IFERROR(__xludf.DUMMYFUNCTION("""COMPUTED_VALUE"""),"Новости,СМИ сибдепо ")</f>
        <v>Новости,СМИ сибдепо </v>
      </c>
      <c r="Q1253"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253" s="6" t="str">
        <f>IFERROR(__xludf.DUMMYFUNCTION("""COMPUTED_VALUE"""),"День шахтёра ")</f>
        <v>День шахтёра </v>
      </c>
      <c r="S1253" s="6" t="str">
        <f>IFERROR(__xludf.DUMMYFUNCTION("""COMPUTED_VALUE"""),"Нет, не приходилось")</f>
        <v>Нет, не приходилось</v>
      </c>
      <c r="T1253" s="6" t="str">
        <f>IFERROR(__xludf.DUMMYFUNCTION("""COMPUTED_VALUE"""),"Бор")</f>
        <v>Бор</v>
      </c>
      <c r="U1253" s="6" t="str">
        <f>IFERROR(__xludf.DUMMYFUNCTION("""COMPUTED_VALUE"""),"Вечный огонь")</f>
        <v>Вечный огонь</v>
      </c>
      <c r="V1253" s="6" t="str">
        <f>IFERROR(__xludf.DUMMYFUNCTION("""COMPUTED_VALUE"""),"Благоустройство ")</f>
        <v>Благоустройство </v>
      </c>
      <c r="W1253" s="6" t="str">
        <f>IFERROR(__xludf.DUMMYFUNCTION("""COMPUTED_VALUE"""),"Влюбленные в свой город ")</f>
        <v>Влюбленные в свой город </v>
      </c>
      <c r="X1253" s="6" t="str">
        <f>IFERROR(__xludf.DUMMYFUNCTION("""COMPUTED_VALUE"""),"Набережная, весенняя, гор сад")</f>
        <v>Набережная, весенняя, гор сад</v>
      </c>
      <c r="Y1253" s="6" t="str">
        <f>IFERROR(__xludf.DUMMYFUNCTION("""COMPUTED_VALUE"""),"Открытие угля")</f>
        <v>Открытие угля</v>
      </c>
      <c r="Z1253" s="6" t="str">
        <f>IFERROR(__xludf.DUMMYFUNCTION("""COMPUTED_VALUE"""),"Реконструкция бульвара строителей")</f>
        <v>Реконструкция бульвара строителей</v>
      </c>
      <c r="AA1253" s="6" t="str">
        <f>IFERROR(__xludf.DUMMYFUNCTION("""COMPUTED_VALUE"""),"Закрытие бассейна ""Лазурный"" ")</f>
        <v>Закрытие бассейна "Лазурный" </v>
      </c>
      <c r="AB1253" s="6" t="str">
        <f>IFERROR(__xludf.DUMMYFUNCTION("""COMPUTED_VALUE"""),"Всего достаточно")</f>
        <v>Всего достаточно</v>
      </c>
      <c r="AC1253" s="6" t="str">
        <f>IFERROR(__xludf.DUMMYFUNCTION("""COMPUTED_VALUE"""),"Концертов")</f>
        <v>Концертов</v>
      </c>
      <c r="AD125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253" s="6" t="str">
        <f>IFERROR(__xludf.DUMMYFUNCTION("""COMPUTED_VALUE"""),"Женский")</f>
        <v>Женский</v>
      </c>
      <c r="AF1253" s="6" t="str">
        <f>IFERROR(__xludf.DUMMYFUNCTION("""COMPUTED_VALUE"""),"30-44")</f>
        <v>30-44</v>
      </c>
      <c r="AG1253" s="6"/>
      <c r="AH1253" s="6"/>
      <c r="AI1253" s="6"/>
      <c r="AJ1253" s="6"/>
      <c r="AK1253" s="6"/>
      <c r="AL1253" s="6"/>
      <c r="AM1253" s="6"/>
    </row>
    <row r="1254">
      <c r="A1254" s="6">
        <v>1253.0</v>
      </c>
      <c r="B1254" s="6" t="str">
        <f>IFERROR(__xludf.DUMMYFUNCTION("""COMPUTED_VALUE"""),"эколог")</f>
        <v>эколог</v>
      </c>
      <c r="C1254" s="6" t="str">
        <f>IFERROR(__xludf.DUMMYFUNCTION("""COMPUTED_VALUE"""),"познавать жизнь")</f>
        <v>познавать жизнь</v>
      </c>
      <c r="D1254" s="6" t="str">
        <f>IFERROR(__xludf.DUMMYFUNCTION("""COMPUTED_VALUE"""),"центральный")</f>
        <v>центральный</v>
      </c>
      <c r="E1254" s="6" t="str">
        <f>IFERROR(__xludf.DUMMYFUNCTION("""COMPUTED_VALUE"""),"много чего")</f>
        <v>много чего</v>
      </c>
      <c r="F1254" s="6" t="str">
        <f>IFERROR(__xludf.DUMMYFUNCTION("""COMPUTED_VALUE"""),"Живу здесь с рождения")</f>
        <v>Живу здесь с рождения</v>
      </c>
      <c r="G1254" s="6" t="str">
        <f>IFERROR(__xludf.DUMMYFUNCTION("""COMPUTED_VALUE"""),"никуда, ездием в соседние города, в кемерово уже все сто раз посетили, объездили посмотрели, особо ничего нового в кемерово не открывается для детей, молодежи, людей среднего возраста")</f>
        <v>никуда, ездием в соседние города, в кемерово уже все сто раз посетили, объездили посмотрели, особо ничего нового в кемерово не открывается для детей, молодежи, людей среднего возраста</v>
      </c>
      <c r="H1254" s="6" t="str">
        <f>IFERROR(__xludf.DUMMYFUNCTION("""COMPUTED_VALUE"""),"сибирь, холод, грязь, безперспективность, маленький")</f>
        <v>сибирь, холод, грязь, безперспективность, маленький</v>
      </c>
      <c r="I1254" s="6" t="str">
        <f>IFERROR(__xludf.DUMMYFUNCTION("""COMPUTED_VALUE"""),"Подгорбунский, Вдовин, ")</f>
        <v>Подгорбунский, Вдовин, </v>
      </c>
      <c r="J1254" s="6" t="str">
        <f>IFERROR(__xludf.DUMMYFUNCTION("""COMPUTED_VALUE"""),"Михайлов, Захаров")</f>
        <v>Михайлов, Захаров</v>
      </c>
      <c r="K1254" s="6" t="str">
        <f>IFERROR(__xludf.DUMMYFUNCTION("""COMPUTED_VALUE"""),"набережная, ул. весенняя, лесная поляна, томская писаница, ")</f>
        <v>набережная, ул. весенняя, лесная поляна, томская писаница, </v>
      </c>
      <c r="L1254" s="6" t="str">
        <f>IFERROR(__xludf.DUMMYFUNCTION("""COMPUTED_VALUE"""),"не знаю")</f>
        <v>не знаю</v>
      </c>
      <c r="M1254" s="6" t="str">
        <f>IFERROR(__xludf.DUMMYFUNCTION("""COMPUTED_VALUE"""),"не знаю")</f>
        <v>не знаю</v>
      </c>
      <c r="N1254" s="6" t="str">
        <f>IFERROR(__xludf.DUMMYFUNCTION("""COMPUTED_VALUE"""),"чистый воздух и вода, перспективность развития во всех сферах и смыслах, наличие ВУЗов мирового уровня, транспортная доступность")</f>
        <v>чистый воздух и вода, перспективность развития во всех сферах и смыслах, наличие ВУЗов мирового уровня, транспортная доступность</v>
      </c>
      <c r="O1254" s="6" t="str">
        <f>IFERROR(__xludf.DUMMYFUNCTION("""COMPUTED_VALUE"""),"сознание людей и уровень их воспитанности и образованности")</f>
        <v>сознание людей и уровень их воспитанности и образованности</v>
      </c>
      <c r="P1254" s="6" t="str">
        <f>IFERROR(__xludf.DUMMYFUNCTION("""COMPUTED_VALUE"""),"интернет")</f>
        <v>интернет</v>
      </c>
      <c r="Q125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(н"&amp;"апишите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254" s="6" t="str">
        <f>IFERROR(__xludf.DUMMYFUNCTION("""COMPUTED_VALUE"""),"9 мая и новый год")</f>
        <v>9 мая и новый год</v>
      </c>
      <c r="S1254" s="6" t="str">
        <f>IFERROR(__xludf.DUMMYFUNCTION("""COMPUTED_VALUE"""),"Нет, не приходилось")</f>
        <v>Нет, не приходилось</v>
      </c>
      <c r="T1254" s="6" t="str">
        <f>IFERROR(__xludf.DUMMYFUNCTION("""COMPUTED_VALUE"""),"известен ни чем, уникальность для каждого горожанина своя")</f>
        <v>известен ни чем, уникальность для каждого горожанина своя</v>
      </c>
      <c r="U1254" s="6" t="str">
        <f>IFERROR(__xludf.DUMMYFUNCTION("""COMPUTED_VALUE"""),"драмтеатр")</f>
        <v>драмтеатр</v>
      </c>
      <c r="V1254" s="6" t="str">
        <f>IFERROR(__xludf.DUMMYFUNCTION("""COMPUTED_VALUE"""),"строительство города и заводов")</f>
        <v>строительство города и заводов</v>
      </c>
      <c r="W1254" s="6" t="str">
        <f>IFERROR(__xludf.DUMMYFUNCTION("""COMPUTED_VALUE"""),"разные, от добродушных и вежливых до невоспитанных и злых")</f>
        <v>разные, от добродушных и вежливых до невоспитанных и злых</v>
      </c>
      <c r="X1254" s="6" t="str">
        <f>IFERROR(__xludf.DUMMYFUNCTION("""COMPUTED_VALUE"""),"весенняя и набережная")</f>
        <v>весенняя и набережная</v>
      </c>
      <c r="Y1254" s="6" t="str">
        <f>IFERROR(__xludf.DUMMYFUNCTION("""COMPUTED_VALUE"""),"не знаю")</f>
        <v>не знаю</v>
      </c>
      <c r="Z1254" s="6" t="str">
        <f>IFERROR(__xludf.DUMMYFUNCTION("""COMPUTED_VALUE"""),"демонтаж гаражей в центре городе ")</f>
        <v>демонтаж гаражей в центре городе </v>
      </c>
      <c r="AA1254" s="6" t="str">
        <f>IFERROR(__xludf.DUMMYFUNCTION("""COMPUTED_VALUE"""),"закрытие бассейна")</f>
        <v>закрытие бассейна</v>
      </c>
      <c r="AB1254" s="6" t="str">
        <f>IFERROR(__xludf.DUMMYFUNCTION("""COMPUTED_VALUE"""),"отраслевых по интересам")</f>
        <v>отраслевых по интересам</v>
      </c>
      <c r="AC1254" s="6" t="str">
        <f>IFERROR(__xludf.DUMMYFUNCTION("""COMPUTED_VALUE"""),"побольше научных центров, развитости инфраструктуры для пешеходов и велосипедистов, побольше культурных  и торговвых центров мирового уровня, а также фестивалей науки, промышленности, сибири, фестивалей урожая, весны и т.п.")</f>
        <v>побольше научных центров, развитости инфраструктуры для пешеходов и велосипедистов, побольше культурных  и торговвых центров мирового уровня, а также фестивалей науки, промышленности, сибири, фестивалей урожая, весны и т.п.</v>
      </c>
      <c r="AD1254" s="6" t="str">
        <f>IFERROR(__xludf.DUMMYFUNCTION("""COMPUTED_VALUE"""),"Не готов принимать личное участие (укажите, пожалуйста, причину в поле «Другое»), отсутствие свободного времени")</f>
        <v>Не готов принимать личное участие (укажите, пожалуйста, причину в поле «Другое»), отсутствие свободного времени</v>
      </c>
      <c r="AE1254" s="6" t="str">
        <f>IFERROR(__xludf.DUMMYFUNCTION("""COMPUTED_VALUE"""),"Мужской")</f>
        <v>Мужской</v>
      </c>
      <c r="AF1254" s="6" t="str">
        <f>IFERROR(__xludf.DUMMYFUNCTION("""COMPUTED_VALUE"""),"30-44")</f>
        <v>30-44</v>
      </c>
      <c r="AG1254" s="6"/>
      <c r="AH1254" s="6"/>
      <c r="AI1254" s="6"/>
      <c r="AJ1254" s="6"/>
      <c r="AK1254" s="6"/>
      <c r="AL1254" s="6"/>
      <c r="AM1254" s="6"/>
    </row>
    <row r="1255">
      <c r="A1255" s="6">
        <v>1254.0</v>
      </c>
      <c r="B1255" s="6" t="str">
        <f>IFERROR(__xludf.DUMMYFUNCTION("""COMPUTED_VALUE"""),"Работаю в сфере юриспруденции.")</f>
        <v>Работаю в сфере юриспруденции.</v>
      </c>
      <c r="C1255" s="6" t="str">
        <f>IFERROR(__xludf.DUMMYFUNCTION("""COMPUTED_VALUE"""),"Занимаюсь в свободное время спортом - бегом. Люблю теннис, но в нашем городе практически нет мест для этого вида спорта.")</f>
        <v>Занимаюсь в свободное время спортом - бегом. Люблю теннис, но в нашем городе практически нет мест для этого вида спорта.</v>
      </c>
      <c r="D1255" s="6" t="str">
        <f>IFERROR(__xludf.DUMMYFUNCTION("""COMPUTED_VALUE"""),"Рудничный район (Радуга)")</f>
        <v>Рудничный район (Радуга)</v>
      </c>
      <c r="E1255" s="6" t="str">
        <f>IFERROR(__xludf.DUMMYFUNCTION("""COMPUTED_VALUE"""),"Хвойный лес (по ул. Серебряный бор), жаль, что участок вдоль леса по ул. Серебряный бор не ухожен. Кучи земли, строительного мусора. Планировку земли никто не делает.Открытые колодцы..., а мог бы быть замечательный сквер перед входом в лес. ")</f>
        <v>Хвойный лес (по ул. Серебряный бор), жаль, что участок вдоль леса по ул. Серебряный бор не ухожен. Кучи земли, строительного мусора. Планировку земли никто не делает.Открытые колодцы..., а мог бы быть замечательный сквер перед входом в лес. </v>
      </c>
      <c r="F1255" s="6" t="str">
        <f>IFERROR(__xludf.DUMMYFUNCTION("""COMPUTED_VALUE"""),"Живу здесь с рождения")</f>
        <v>Живу здесь с рождения</v>
      </c>
      <c r="G1255" s="6" t="str">
        <f>IFERROR(__xludf.DUMMYFUNCTION("""COMPUTED_VALUE"""),"Никуда, приходится ездить в Красноярск, Новосибирск или Томск.")</f>
        <v>Никуда, приходится ездить в Красноярск, Новосибирск или Томск.</v>
      </c>
      <c r="H1255" s="6" t="str">
        <f>IFERROR(__xludf.DUMMYFUNCTION("""COMPUTED_VALUE"""),"А.Г. Тулеев, Уголь, АЗОТ, Тайга.")</f>
        <v>А.Г. Тулеев, Уголь, АЗОТ, Тайга.</v>
      </c>
      <c r="I1255" s="6" t="str">
        <f>IFERROR(__xludf.DUMMYFUNCTION("""COMPUTED_VALUE"""),"Михайлов, Тулеев")</f>
        <v>Михайлов, Тулеев</v>
      </c>
      <c r="J1255" s="6" t="str">
        <f>IFERROR(__xludf.DUMMYFUNCTION("""COMPUTED_VALUE"""),"Кирилл Капризов, Олег Тиникофф, Евгений Гришковец, Александр Головин ")</f>
        <v>Кирилл Капризов, Олег Тиникофф, Евгений Гришковец, Александр Головин </v>
      </c>
      <c r="K1255" s="6" t="str">
        <f>IFERROR(__xludf.DUMMYFUNCTION("""COMPUTED_VALUE"""),"Таких нет. ")</f>
        <v>Таких нет. </v>
      </c>
      <c r="L1255" s="6" t="str">
        <f>IFERROR(__xludf.DUMMYFUNCTION("""COMPUTED_VALUE"""),"Нет.")</f>
        <v>Нет.</v>
      </c>
      <c r="M1255" s="6" t="str">
        <f>IFERROR(__xludf.DUMMYFUNCTION("""COMPUTED_VALUE"""),"Нет.")</f>
        <v>Нет.</v>
      </c>
      <c r="N1255" s="6" t="str">
        <f>IFERROR(__xludf.DUMMYFUNCTION("""COMPUTED_VALUE"""),"Конкурентная заработная плата, качественное образование (которого в нашей области нет), транспортная доступность, современные здания (а не панельки СДСа и Програнда), экология, комфортная среда (уборка территории)")</f>
        <v>Конкурентная заработная плата, качественное образование (которого в нашей области нет), транспортная доступность, современные здания (а не панельки СДСа и Програнда), экология, комфортная среда (уборка территории)</v>
      </c>
      <c r="O1255" s="6" t="str">
        <f>IFERROR(__xludf.DUMMYFUNCTION("""COMPUTED_VALUE"""),"Структуру управления городом и застройку города (пора убирать частный сектор  и гаражи)")</f>
        <v>Структуру управления городом и застройку города (пора убирать частный сектор  и гаражи)</v>
      </c>
      <c r="P1255" s="6" t="str">
        <f>IFERROR(__xludf.DUMMYFUNCTION("""COMPUTED_VALUE"""),"РИА-новсти")</f>
        <v>РИА-новсти</v>
      </c>
      <c r="Q1255" s="6" t="str">
        <f>IFERROR(__xludf.DUMMYFUNCTION("""COMPUTED_VALUE"""),"Региональные СМИ не интересны.")</f>
        <v>Региональные СМИ не интересны.</v>
      </c>
      <c r="R1255" s="6" t="str">
        <f>IFERROR(__xludf.DUMMYFUNCTION("""COMPUTED_VALUE"""),"День Шахтера")</f>
        <v>День Шахтера</v>
      </c>
      <c r="S1255" s="6" t="str">
        <f>IFERROR(__xludf.DUMMYFUNCTION("""COMPUTED_VALUE"""),"Нет, не приходилось")</f>
        <v>Нет, не приходилось</v>
      </c>
      <c r="T1255" s="6" t="str">
        <f>IFERROR(__xludf.DUMMYFUNCTION("""COMPUTED_VALUE"""),"Транзитный город (в настоящий момент!) с запада на восток. Ничего уникального в нем, к сожалению, нет. Молодежь уезжает. ")</f>
        <v>Транзитный город (в настоящий момент!) с запада на восток. Ничего уникального в нем, к сожалению, нет. Молодежь уезжает. </v>
      </c>
      <c r="U1255" s="6" t="str">
        <f>IFERROR(__xludf.DUMMYFUNCTION("""COMPUTED_VALUE"""),"Гостиница ТОМЬ, Сосновый бор, Бульвар Строителей.")</f>
        <v>Гостиница ТОМЬ, Сосновый бор, Бульвар Строителей.</v>
      </c>
      <c r="V1255" s="6" t="str">
        <f>IFERROR(__xludf.DUMMYFUNCTION("""COMPUTED_VALUE"""),"Гордость заключается в том, что граждане проживали и проживают в этих суровых условиях.")</f>
        <v>Гордость заключается в том, что граждане проживали и проживают в этих суровых условиях.</v>
      </c>
      <c r="W1255" s="6" t="str">
        <f>IFERROR(__xludf.DUMMYFUNCTION("""COMPUTED_VALUE"""),"Грубые, культурно не образованные, не любят свой город (к сожалению)")</f>
        <v>Грубые, культурно не образованные, не любят свой город (к сожалению)</v>
      </c>
      <c r="X1255" s="6" t="str">
        <f>IFERROR(__xludf.DUMMYFUNCTION("""COMPUTED_VALUE"""),"Сосновый бор или Лесная поляна")</f>
        <v>Сосновый бор или Лесная поляна</v>
      </c>
      <c r="Y1255" s="6" t="str">
        <f>IFERROR(__xludf.DUMMYFUNCTION("""COMPUTED_VALUE"""),"Из значимых - Bandy, из трагических - пожар в Зимней вишне ")</f>
        <v>Из значимых - Bandy, из трагических - пожар в Зимней вишне </v>
      </c>
      <c r="Z1255" s="6" t="str">
        <f>IFERROR(__xludf.DUMMYFUNCTION("""COMPUTED_VALUE"""),"Трудно припомнить.")</f>
        <v>Трудно припомнить.</v>
      </c>
      <c r="AA1255" s="6" t="str">
        <f>IFERROR(__xludf.DUMMYFUNCTION("""COMPUTED_VALUE"""),"Пожар в Зимней вишне")</f>
        <v>Пожар в Зимней вишне</v>
      </c>
      <c r="AB1255" s="6" t="str">
        <f>IFERROR(__xludf.DUMMYFUNCTION("""COMPUTED_VALUE"""),"К сожалению, в нашем городе нет ритма большого города.")</f>
        <v>К сожалению, в нашем городе нет ритма большого города.</v>
      </c>
      <c r="AC1255" s="6" t="str">
        <f>IFERROR(__xludf.DUMMYFUNCTION("""COMPUTED_VALUE"""),"Творческие вечера, доступные цены в театры, создание футбольной команды уровня пфл, очень мало клубов/баров, транспорт в вечернее и ночное время. Главное - рабочие места и достойная зарплата. ")</f>
        <v>Творческие вечера, доступные цены в театры, создание футбольной команды уровня пфл, очень мало клубов/баров, транспорт в вечернее и ночное время. Главное - рабочие места и достойная зарплата. </v>
      </c>
      <c r="AD125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255" s="6" t="str">
        <f>IFERROR(__xludf.DUMMYFUNCTION("""COMPUTED_VALUE"""),"Мужской")</f>
        <v>Мужской</v>
      </c>
      <c r="AF1255" s="6" t="str">
        <f>IFERROR(__xludf.DUMMYFUNCTION("""COMPUTED_VALUE"""),"30-44")</f>
        <v>30-44</v>
      </c>
      <c r="AG1255" s="6"/>
      <c r="AH1255" s="6"/>
      <c r="AI1255" s="6"/>
      <c r="AJ1255" s="6"/>
      <c r="AK1255" s="6"/>
      <c r="AL1255" s="6"/>
      <c r="AM1255" s="6"/>
    </row>
    <row r="1256">
      <c r="A1256" s="6">
        <v>1255.0</v>
      </c>
      <c r="B1256" s="6" t="str">
        <f>IFERROR(__xludf.DUMMYFUNCTION("""COMPUTED_VALUE"""),"Энергетик")</f>
        <v>Энергетик</v>
      </c>
      <c r="C1256" s="6" t="str">
        <f>IFERROR(__xludf.DUMMYFUNCTION("""COMPUTED_VALUE"""),"музыка")</f>
        <v>музыка</v>
      </c>
      <c r="D1256" s="6" t="str">
        <f>IFERROR(__xludf.DUMMYFUNCTION("""COMPUTED_VALUE"""),"Центральный")</f>
        <v>Центральный</v>
      </c>
      <c r="E1256" s="6" t="str">
        <f>IFERROR(__xludf.DUMMYFUNCTION("""COMPUTED_VALUE"""),"набережная")</f>
        <v>набережная</v>
      </c>
      <c r="F1256" s="6" t="str">
        <f>IFERROR(__xludf.DUMMYFUNCTION("""COMPUTED_VALUE"""),"Живу здесь с рождения")</f>
        <v>Живу здесь с рождения</v>
      </c>
      <c r="G1256" s="6" t="str">
        <f>IFERROR(__xludf.DUMMYFUNCTION("""COMPUTED_VALUE"""),"набережная")</f>
        <v>набережная</v>
      </c>
      <c r="H1256" s="6" t="str">
        <f>IFERROR(__xludf.DUMMYFUNCTION("""COMPUTED_VALUE"""),"Томь, Уголь, Дом, ")</f>
        <v>Томь, Уголь, Дом, </v>
      </c>
      <c r="I1256" s="6" t="str">
        <f>IFERROR(__xludf.DUMMYFUNCTION("""COMPUTED_VALUE"""),"Бобров, Подгорбунский, Белов")</f>
        <v>Бобров, Подгорбунский, Белов</v>
      </c>
      <c r="J1256" s="6" t="str">
        <f>IFERROR(__xludf.DUMMYFUNCTION("""COMPUTED_VALUE"""),"Михайлов, Гришковец")</f>
        <v>Михайлов, Гришковец</v>
      </c>
      <c r="K1256" s="6" t="str">
        <f>IFERROR(__xludf.DUMMYFUNCTION("""COMPUTED_VALUE"""),"Сосновый Бор, Лесная поляна, красная Горка")</f>
        <v>Сосновый Бор, Лесная поляна, красная Горка</v>
      </c>
      <c r="L1256" s="6" t="str">
        <f>IFERROR(__xludf.DUMMYFUNCTION("""COMPUTED_VALUE"""),"холодный и горячий")</f>
        <v>холодный и горячий</v>
      </c>
      <c r="M1256" s="6" t="str">
        <f>IFERROR(__xludf.DUMMYFUNCTION("""COMPUTED_VALUE"""),"пройтись по ""Весеньке""")</f>
        <v>пройтись по "Весеньке"</v>
      </c>
      <c r="N1256" s="6" t="str">
        <f>IFERROR(__xludf.DUMMYFUNCTION("""COMPUTED_VALUE"""),"Дорожная инфраструктура, благоприятная экологическая обстановка, архитектура домов и их содержание, работа ЖКХ, наличие объектов культуры и спорта ")</f>
        <v>Дорожная инфраструктура, благоприятная экологическая обстановка, архитектура домов и их содержание, работа ЖКХ, наличие объектов культуры и спорта </v>
      </c>
      <c r="O1256" s="6" t="str">
        <f>IFERROR(__xludf.DUMMYFUNCTION("""COMPUTED_VALUE"""),"построить объездную дорогу для транзитного транспорта")</f>
        <v>построить объездную дорогу для транзитного транспорта</v>
      </c>
      <c r="P1256" s="6" t="str">
        <f>IFERROR(__xludf.DUMMYFUNCTION("""COMPUTED_VALUE"""),"СибДепо, Все42, городские афиши, радио Кузбасс ФМ")</f>
        <v>СибДепо, Все42, городские афиши, радио Кузбасс ФМ</v>
      </c>
      <c r="Q1256"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256" s="6" t="str">
        <f>IFERROR(__xludf.DUMMYFUNCTION("""COMPUTED_VALUE"""),"День Шахтера")</f>
        <v>День Шахтера</v>
      </c>
      <c r="S1256" s="6" t="str">
        <f>IFERROR(__xludf.DUMMYFUNCTION("""COMPUTED_VALUE"""),"Нет, не приходилось")</f>
        <v>Нет, не приходилось</v>
      </c>
      <c r="T1256" s="6" t="str">
        <f>IFERROR(__xludf.DUMMYFUNCTION("""COMPUTED_VALUE"""),"Относительная компактность города")</f>
        <v>Относительная компактность города</v>
      </c>
      <c r="U1256" s="6" t="str">
        <f>IFERROR(__xludf.DUMMYFUNCTION("""COMPUTED_VALUE"""),"Набережная реки Томь (ЛЕВЫЙ БЕРЕГ)")</f>
        <v>Набережная реки Томь (ЛЕВЫЙ БЕРЕГ)</v>
      </c>
      <c r="V1256" s="6" t="str">
        <f>IFERROR(__xludf.DUMMYFUNCTION("""COMPUTED_VALUE"""),"Стоили заводы, больницы, закладывали культурный слой города -  театры, филармония, музеи ")</f>
        <v>Стоили заводы, больницы, закладывали культурный слой города -  театры, филармония, музеи </v>
      </c>
      <c r="W1256" s="6" t="str">
        <f>IFERROR(__xludf.DUMMYFUNCTION("""COMPUTED_VALUE"""),"Закаленные, неизбалованные")</f>
        <v>Закаленные, неизбалованные</v>
      </c>
      <c r="X1256" s="6" t="str">
        <f>IFERROR(__xludf.DUMMYFUNCTION("""COMPUTED_VALUE"""),"проспект Весенний - набережная - орбита - площадь Пушкина")</f>
        <v>проспект Весенний - набережная - орбита - площадь Пушкина</v>
      </c>
      <c r="Y1256" s="6" t="str">
        <f>IFERROR(__xludf.DUMMYFUNCTION("""COMPUTED_VALUE"""),"Найден уголь")</f>
        <v>Найден уголь</v>
      </c>
      <c r="Z1256" s="6" t="str">
        <f>IFERROR(__xludf.DUMMYFUNCTION("""COMPUTED_VALUE"""),"Строительство крупных объектов - жилые комплексы, объекты гос учреждений, кадетский корпус")</f>
        <v>Строительство крупных объектов - жилые комплексы, объекты гос учреждений, кадетский корпус</v>
      </c>
      <c r="AA1256" s="6" t="str">
        <f>IFERROR(__xludf.DUMMYFUNCTION("""COMPUTED_VALUE"""),"отсутствие развития городской инфраструктуры")</f>
        <v>отсутствие развития городской инфраструктуры</v>
      </c>
      <c r="AB1256" s="6" t="str">
        <f>IFERROR(__xludf.DUMMYFUNCTION("""COMPUTED_VALUE"""),"Организация зон для отдыха и прогулок")</f>
        <v>Организация зон для отдыха и прогулок</v>
      </c>
      <c r="AC1256" s="6" t="str">
        <f>IFERROR(__xludf.DUMMYFUNCTION("""COMPUTED_VALUE"""),"Проведение концертов, выставок ")</f>
        <v>Проведение концертов, выставок </v>
      </c>
      <c r="AD125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56" s="6" t="str">
        <f>IFERROR(__xludf.DUMMYFUNCTION("""COMPUTED_VALUE"""),"Женский")</f>
        <v>Женский</v>
      </c>
      <c r="AF1256" s="6" t="str">
        <f>IFERROR(__xludf.DUMMYFUNCTION("""COMPUTED_VALUE"""),"30-44")</f>
        <v>30-44</v>
      </c>
      <c r="AG1256" s="6"/>
      <c r="AH1256" s="6"/>
      <c r="AI1256" s="6"/>
      <c r="AJ1256" s="6"/>
      <c r="AK1256" s="6"/>
      <c r="AL1256" s="6"/>
      <c r="AM1256" s="6"/>
    </row>
    <row r="1257">
      <c r="A1257" s="6">
        <v>1256.0</v>
      </c>
      <c r="B1257" s="6" t="str">
        <f>IFERROR(__xludf.DUMMYFUNCTION("""COMPUTED_VALUE"""),"Работаю в общественной организации")</f>
        <v>Работаю в общественной организации</v>
      </c>
      <c r="C1257" s="6" t="str">
        <f>IFERROR(__xludf.DUMMYFUNCTION("""COMPUTED_VALUE"""),"Игра на гитаре")</f>
        <v>Игра на гитаре</v>
      </c>
      <c r="D1257" s="6" t="str">
        <f>IFERROR(__xludf.DUMMYFUNCTION("""COMPUTED_VALUE"""),"Южный (Заводский район)")</f>
        <v>Южный (Заводский район)</v>
      </c>
      <c r="E1257" s="6" t="str">
        <f>IFERROR(__xludf.DUMMYFUNCTION("""COMPUTED_VALUE"""),"Бульвар Патриотов, Сквер Двужильного и Волошиной")</f>
        <v>Бульвар Патриотов, Сквер Двужильного и Волошиной</v>
      </c>
      <c r="F1257" s="6" t="str">
        <f>IFERROR(__xludf.DUMMYFUNCTION("""COMPUTED_VALUE"""),"Живу здесь с рождения")</f>
        <v>Живу здесь с рождения</v>
      </c>
      <c r="G1257" s="6" t="str">
        <f>IFERROR(__xludf.DUMMYFUNCTION("""COMPUTED_VALUE"""),"Либо аллеи в Центре (Советский, Весенняя, Набережная), либо пешеходные зоны вблизи моего дома на Южном (вдоль улицы Дружбы)")</f>
        <v>Либо аллеи в Центре (Советский, Весенняя, Набережная), либо пешеходные зоны вблизи моего дома на Южном (вдоль улицы Дружбы)</v>
      </c>
      <c r="H1257" s="6" t="str">
        <f>IFERROR(__xludf.DUMMYFUNCTION("""COMPUTED_VALUE"""),"Промышленный, компактный, удобный, летом достаточно зеленый, душный (весной, когда пыльно очень, зимой из-за выбросов газа в атмосферу)")</f>
        <v>Промышленный, компактный, удобный, летом достаточно зеленый, душный (весной, когда пыльно очень, зимой из-за выбросов газа в атмосферу)</v>
      </c>
      <c r="I1257" s="6" t="str">
        <f>IFERROR(__xludf.DUMMYFUNCTION("""COMPUTED_VALUE"""),"М. Волков")</f>
        <v>М. Волков</v>
      </c>
      <c r="J1257" s="6" t="str">
        <f>IFERROR(__xludf.DUMMYFUNCTION("""COMPUTED_VALUE"""),"В. Михайлов, А. Разуков, Б. Горобцов")</f>
        <v>В. Михайлов, А. Разуков, Б. Горобцов</v>
      </c>
      <c r="K1257" s="6" t="str">
        <f>IFERROR(__xludf.DUMMYFUNCTION("""COMPUTED_VALUE"""),"Красная Горка, Рудничный бор")</f>
        <v>Красная Горка, Рудничный бор</v>
      </c>
      <c r="L1257" s="6" t="str">
        <f>IFERROR(__xludf.DUMMYFUNCTION("""COMPUTED_VALUE"""),"Человек из Кемерова")</f>
        <v>Человек из Кемерова</v>
      </c>
      <c r="M1257" s="6" t="str">
        <f>IFERROR(__xludf.DUMMYFUNCTION("""COMPUTED_VALUE"""),"Затрудняюсь ответить")</f>
        <v>Затрудняюсь ответить</v>
      </c>
      <c r="N1257" s="6" t="str">
        <f>IFERROR(__xludf.DUMMYFUNCTION("""COMPUTED_VALUE"""),"1) Чистота (в т.ч. воздуха, а также общественного транспорта!), 2) озеленение (большие настоящие деревья, а не кустарники), 3) вежливость и доброта местных жителей, 4) развитая культурная и досуговая инфраструктура (включая спортивные площадки), 5) хороши"&amp;"е дороги")</f>
        <v>1) Чистота (в т.ч. воздуха, а также общественного транспорта!), 2) озеленение (большие настоящие деревья, а не кустарники), 3) вежливость и доброта местных жителей, 4) развитая культурная и досуговая инфраструктура (включая спортивные площадки), 5) хорошие дороги</v>
      </c>
      <c r="O1257" s="6" t="str">
        <f>IFERROR(__xludf.DUMMYFUNCTION("""COMPUTED_VALUE"""),"Решить вопрос с загрязнением воздуха и при организации массовых посадок деревьев сажать побольше высоких пород (в т.ч. хвойные)")</f>
        <v>Решить вопрос с загрязнением воздуха и при организации массовых посадок деревьев сажать побольше высоких пород (в т.ч. хвойные)</v>
      </c>
      <c r="P1257" s="6" t="str">
        <f>IFERROR(__xludf.DUMMYFUNCTION("""COMPUTED_VALUE"""),"Интернет - различные новостные ресурсы, точно не назову, подписана на многие")</f>
        <v>Интернет - различные новостные ресурсы, точно не назову, подписана на многие</v>
      </c>
      <c r="Q1257" s="6" t="str">
        <f>IFERROR(__xludf.DUMMYFUNCTION("""COMPUTED_VALUE"""),"городская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f>
        <v>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257" s="6" t="str">
        <f>IFERROR(__xludf.DUMMYFUNCTION("""COMPUTED_VALUE"""),"Личные праздники, Новый Год, День Победы (именно в таком порядке)")</f>
        <v>Личные праздники, Новый Год, День Победы (именно в таком порядке)</v>
      </c>
      <c r="S1257" s="6" t="str">
        <f>IFERROR(__xludf.DUMMYFUNCTION("""COMPUTED_VALUE"""),"Через социальные сети (Какие? Укажите в графе другое)")</f>
        <v>Через социальные сети (Какие? Укажите в графе другое)</v>
      </c>
      <c r="T1257" s="6" t="str">
        <f>IFERROR(__xludf.DUMMYFUNCTION("""COMPUTED_VALUE"""),"К сожалению, кроме угольной истории сразу на ум ничего другого не приходит")</f>
        <v>К сожалению, кроме угольной истории сразу на ум ничего другого не приходит</v>
      </c>
      <c r="U1257" s="6" t="str">
        <f>IFERROR(__xludf.DUMMYFUNCTION("""COMPUTED_VALUE"""),"Набережная, Красная Горка")</f>
        <v>Набережная, Красная Горка</v>
      </c>
      <c r="V1257" s="6" t="str">
        <f>IFERROR(__xludf.DUMMYFUNCTION("""COMPUTED_VALUE"""),"Кратко не ответить, у нас много выдающихся людей, профессионалов в разных сферах (естественно, угольная промышленность, строительство, культура и пр.)")</f>
        <v>Кратко не ответить, у нас много выдающихся людей, профессионалов в разных сферах (естественно, угольная промышленность, строительство, культура и пр.)</v>
      </c>
      <c r="W1257" s="6" t="str">
        <f>IFERROR(__xludf.DUMMYFUNCTION("""COMPUTED_VALUE"""),"Закаленные. Есть большой потенциал, но инициативу проявляем редко (исторически и политически так сложилось)")</f>
        <v>Закаленные. Есть большой потенциал, но инициативу проявляем редко (исторически и политически так сложилось)</v>
      </c>
      <c r="X1257" s="6" t="str">
        <f>IFERROR(__xludf.DUMMYFUNCTION("""COMPUTED_VALUE"""),"Центр - Красная горка - Рудничный бор - Кедровка ")</f>
        <v>Центр - Красная горка - Рудничный бор - Кедровка </v>
      </c>
      <c r="Y1257" s="6" t="str">
        <f>IFERROR(__xludf.DUMMYFUNCTION("""COMPUTED_VALUE"""),"Основание колонии Автономной индустриальной колонии ""Кузбасс"", строительство наших крупных заводов, в т.ч. оборонных, благодаря которым город и развился")</f>
        <v>Основание колонии Автономной индустриальной колонии "Кузбасс", строительство наших крупных заводов, в т.ч. оборонных, благодаря которым город и развился</v>
      </c>
      <c r="Z1257" s="6" t="str">
        <f>IFERROR(__xludf.DUMMYFUNCTION("""COMPUTED_VALUE"""),"Рок-фестиваль, который организовал Стройсервис")</f>
        <v>Рок-фестиваль, который организовал Стройсервис</v>
      </c>
      <c r="AA1257" s="6" t="str">
        <f>IFERROR(__xludf.DUMMYFUNCTION("""COMPUTED_VALUE"""),"Зимняя Вишня")</f>
        <v>Зимняя Вишня</v>
      </c>
      <c r="AB1257" s="6" t="str">
        <f>IFERROR(__xludf.DUMMYFUNCTION("""COMPUTED_VALUE"""),"Затрудняюсь ответить")</f>
        <v>Затрудняюсь ответить</v>
      </c>
      <c r="AC1257" s="6" t="str">
        <f>IFERROR(__xludf.DUMMYFUNCTION("""COMPUTED_VALUE"""),"Городские фестивали, инициированные именно творческими сообществами и коллективами, напр. Детализация, которую проводили несколько лет назад")</f>
        <v>Городские фестивали, инициированные именно творческими сообществами и коллективами, напр. Детализация, которую проводили несколько лет назад</v>
      </c>
      <c r="AD125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57" s="6" t="str">
        <f>IFERROR(__xludf.DUMMYFUNCTION("""COMPUTED_VALUE"""),"Женский")</f>
        <v>Женский</v>
      </c>
      <c r="AF1257" s="6" t="str">
        <f>IFERROR(__xludf.DUMMYFUNCTION("""COMPUTED_VALUE"""),"30-44")</f>
        <v>30-44</v>
      </c>
      <c r="AG1257" s="6"/>
      <c r="AH1257" s="6"/>
      <c r="AI1257" s="6"/>
      <c r="AJ1257" s="6"/>
      <c r="AK1257" s="6"/>
      <c r="AL1257" s="6"/>
      <c r="AM1257" s="6"/>
    </row>
    <row r="1258">
      <c r="A1258" s="6">
        <v>1257.0</v>
      </c>
      <c r="B1258" s="6" t="str">
        <f>IFERROR(__xludf.DUMMYFUNCTION("""COMPUTED_VALUE"""),"Бухгалтер")</f>
        <v>Бухгалтер</v>
      </c>
      <c r="C1258" s="6" t="str">
        <f>IFERROR(__xludf.DUMMYFUNCTION("""COMPUTED_VALUE"""),"Нет")</f>
        <v>Нет</v>
      </c>
      <c r="D1258" s="6" t="str">
        <f>IFERROR(__xludf.DUMMYFUNCTION("""COMPUTED_VALUE"""),"Рудничный ")</f>
        <v>Рудничный </v>
      </c>
      <c r="E1258" s="6" t="str">
        <f>IFERROR(__xludf.DUMMYFUNCTION("""COMPUTED_VALUE"""),"Сосновый Бор ")</f>
        <v>Сосновый Бор </v>
      </c>
      <c r="F1258" s="6" t="str">
        <f>IFERROR(__xludf.DUMMYFUNCTION("""COMPUTED_VALUE"""),"Живу здесь с рождения")</f>
        <v>Живу здесь с рождения</v>
      </c>
      <c r="G1258" s="6" t="str">
        <f>IFERROR(__xludf.DUMMYFUNCTION("""COMPUTED_VALUE"""),"Томская писанина , Бор, кино, рестораны, прогулки по центру города")</f>
        <v>Томская писанина , Бор, кино, рестораны, прогулки по центру города</v>
      </c>
      <c r="H1258" s="6" t="str">
        <f>IFERROR(__xludf.DUMMYFUNCTION("""COMPUTED_VALUE"""),"Грязный, родной")</f>
        <v>Грязный, родной</v>
      </c>
      <c r="I1258" s="6" t="str">
        <f>IFERROR(__xludf.DUMMYFUNCTION("""COMPUTED_VALUE"""),"Михайло Волков ")</f>
        <v>Михайло Волков </v>
      </c>
      <c r="J1258" s="6" t="str">
        <f>IFERROR(__xludf.DUMMYFUNCTION("""COMPUTED_VALUE"""),"Нет")</f>
        <v>Нет</v>
      </c>
      <c r="K1258" s="6" t="str">
        <f>IFERROR(__xludf.DUMMYFUNCTION("""COMPUTED_VALUE"""),"Бор, набежные, площадь советов, улица Весенняя")</f>
        <v>Бор, набежные, площадь советов, улица Весенняя</v>
      </c>
      <c r="L1258" s="6" t="str">
        <f>IFERROR(__xludf.DUMMYFUNCTION("""COMPUTED_VALUE"""),"-")</f>
        <v>-</v>
      </c>
      <c r="M1258" s="6" t="str">
        <f>IFERROR(__xludf.DUMMYFUNCTION("""COMPUTED_VALUE"""),"Кемерово смог и ты сможешь")</f>
        <v>Кемерово смог и ты сможешь</v>
      </c>
      <c r="N1258" s="6" t="str">
        <f>IFERROR(__xludf.DUMMYFUNCTION("""COMPUTED_VALUE"""),"Чистота, в том числе воздуха, удобные транспортные развязки, жильё из хороших материалов с хорошей звукоизоляцией, высокооплачиваемая работа с множеством рабочих мест, множество мест для отдыха и досуга.")</f>
        <v>Чистота, в том числе воздуха, удобные транспортные развязки, жильё из хороших материалов с хорошей звукоизоляцией, высокооплачиваемая работа с множеством рабочих мест, множество мест для отдыха и досуга.</v>
      </c>
      <c r="O1258" s="6" t="str">
        <f>IFERROR(__xludf.DUMMYFUNCTION("""COMPUTED_VALUE"""),"Экологию, создать рабочие места")</f>
        <v>Экологию, создать рабочие места</v>
      </c>
      <c r="P1258" s="6" t="str">
        <f>IFERROR(__xludf.DUMMYFUNCTION("""COMPUTED_VALUE"""),"Вк, Инстаграмм ")</f>
        <v>Вк, Инстаграмм </v>
      </c>
      <c r="Q1258"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258" s="6" t="str">
        <f>IFERROR(__xludf.DUMMYFUNCTION("""COMPUTED_VALUE"""),"День шахтёра, 9 мая, день города")</f>
        <v>День шахтёра, 9 мая, день города</v>
      </c>
      <c r="S1258" s="6" t="str">
        <f>IFERROR(__xludf.DUMMYFUNCTION("""COMPUTED_VALUE"""),"Нет, не приходилось")</f>
        <v>Нет, не приходилось</v>
      </c>
      <c r="T1258" s="6" t="str">
        <f>IFERROR(__xludf.DUMMYFUNCTION("""COMPUTED_VALUE"""),"Зимняя вишня, самое грязное место на земле")</f>
        <v>Зимняя вишня, самое грязное место на земле</v>
      </c>
      <c r="U1258" s="6" t="str">
        <f>IFERROR(__xludf.DUMMYFUNCTION("""COMPUTED_VALUE"""),"Площадь советов")</f>
        <v>Площадь советов</v>
      </c>
      <c r="V1258" s="6" t="str">
        <f>IFERROR(__xludf.DUMMYFUNCTION("""COMPUTED_VALUE"""),"Работали в войну, выходили успокаивать митинги")</f>
        <v>Работали в войну, выходили успокаивать митинги</v>
      </c>
      <c r="W1258" s="6" t="str">
        <f>IFERROR(__xludf.DUMMYFUNCTION("""COMPUTED_VALUE"""),"Разные")</f>
        <v>Разные</v>
      </c>
      <c r="X1258" s="6" t="str">
        <f>IFERROR(__xludf.DUMMYFUNCTION("""COMPUTED_VALUE"""),"Центр города")</f>
        <v>Центр города</v>
      </c>
      <c r="Y1258" s="6" t="str">
        <f>IFERROR(__xludf.DUMMYFUNCTION("""COMPUTED_VALUE"""),"Затрудняюсь ответить, все впереди ")</f>
        <v>Затрудняюсь ответить, все впереди </v>
      </c>
      <c r="Z1258" s="6" t="str">
        <f>IFERROR(__xludf.DUMMYFUNCTION("""COMPUTED_VALUE"""),"Победа ВК Кузбасс в чемпионате России")</f>
        <v>Победа ВК Кузбасс в чемпионате России</v>
      </c>
      <c r="AA1258" s="6" t="str">
        <f>IFERROR(__xludf.DUMMYFUNCTION("""COMPUTED_VALUE"""),"Убийство девушки")</f>
        <v>Убийство девушки</v>
      </c>
      <c r="AB1258" s="6" t="str">
        <f>IFERROR(__xludf.DUMMYFUNCTION("""COMPUTED_VALUE"""),"Затрудняюсь ответить")</f>
        <v>Затрудняюсь ответить</v>
      </c>
      <c r="AC1258" s="6" t="str">
        <f>IFERROR(__xludf.DUMMYFUNCTION("""COMPUTED_VALUE"""),"Бесплатные выставки, стендапы, концерты. В городе очень мало бесплатных мероприятий.")</f>
        <v>Бесплатные выставки, стендапы, концерты. В городе очень мало бесплатных мероприятий.</v>
      </c>
      <c r="AD125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58" s="6" t="str">
        <f>IFERROR(__xludf.DUMMYFUNCTION("""COMPUTED_VALUE"""),"Женский")</f>
        <v>Женский</v>
      </c>
      <c r="AF1258" s="6" t="str">
        <f>IFERROR(__xludf.DUMMYFUNCTION("""COMPUTED_VALUE"""),"18-29")</f>
        <v>18-29</v>
      </c>
      <c r="AG1258" s="6"/>
      <c r="AH1258" s="6"/>
      <c r="AI1258" s="6"/>
      <c r="AJ1258" s="6"/>
      <c r="AK1258" s="6"/>
      <c r="AL1258" s="6"/>
      <c r="AM1258" s="6"/>
    </row>
    <row r="1259">
      <c r="A1259" s="6">
        <v>1258.0</v>
      </c>
      <c r="B1259" s="6" t="str">
        <f>IFERROR(__xludf.DUMMYFUNCTION("""COMPUTED_VALUE"""),"пенсионер по инвалидности")</f>
        <v>пенсионер по инвалидности</v>
      </c>
      <c r="C1259" s="6" t="str">
        <f>IFERROR(__xludf.DUMMYFUNCTION("""COMPUTED_VALUE"""),"гулять")</f>
        <v>гулять</v>
      </c>
      <c r="D1259" s="6" t="str">
        <f>IFERROR(__xludf.DUMMYFUNCTION("""COMPUTED_VALUE"""),"Южный")</f>
        <v>Южный</v>
      </c>
      <c r="E1259" s="6" t="str">
        <f>IFERROR(__xludf.DUMMYFUNCTION("""COMPUTED_VALUE"""),"Сады, Кладбище, Аллея Патриотов")</f>
        <v>Сады, Кладбище, Аллея Патриотов</v>
      </c>
      <c r="F1259" s="6" t="str">
        <f>IFERROR(__xludf.DUMMYFUNCTION("""COMPUTED_VALUE"""),"Живу здесь с рождения")</f>
        <v>Живу здесь с рождения</v>
      </c>
      <c r="G1259" s="6" t="str">
        <f>IFERROR(__xludf.DUMMYFUNCTION("""COMPUTED_VALUE"""),"куда дойду")</f>
        <v>куда дойду</v>
      </c>
      <c r="H1259" s="6" t="str">
        <f>IFERROR(__xludf.DUMMYFUNCTION("""COMPUTED_VALUE"""),"Родина, детство, спорт, бабы, смог")</f>
        <v>Родина, детство, спорт, бабы, смог</v>
      </c>
      <c r="I1259" s="6" t="str">
        <f>IFERROR(__xludf.DUMMYFUNCTION("""COMPUTED_VALUE"""),"Михайло Волков")</f>
        <v>Михайло Волков</v>
      </c>
      <c r="J1259" s="6" t="str">
        <f>IFERROR(__xludf.DUMMYFUNCTION("""COMPUTED_VALUE"""),"Просто люди")</f>
        <v>Просто люди</v>
      </c>
      <c r="K1259" s="6" t="str">
        <f>IFERROR(__xludf.DUMMYFUNCTION("""COMPUTED_VALUE"""),"Набережная")</f>
        <v>Набережная</v>
      </c>
      <c r="L1259" s="6" t="str">
        <f>IFERROR(__xludf.DUMMYFUNCTION("""COMPUTED_VALUE"""),"В газовой камере выжили только двое, потому что из Кемерово.")</f>
        <v>В газовой камере выжили только двое, потому что из Кемерово.</v>
      </c>
      <c r="M1259" s="6" t="str">
        <f>IFERROR(__xludf.DUMMYFUNCTION("""COMPUTED_VALUE"""),"Кемска волость, Кемерунск")</f>
        <v>Кемска волость, Кемерунск</v>
      </c>
      <c r="N1259" s="6" t="str">
        <f>IFERROR(__xludf.DUMMYFUNCTION("""COMPUTED_VALUE"""),"Свежий воздух, тишина, зелень, чистота, парки.")</f>
        <v>Свежий воздух, тишина, зелень, чистота, парки.</v>
      </c>
      <c r="O1259" s="6" t="str">
        <f>IFERROR(__xludf.DUMMYFUNCTION("""COMPUTED_VALUE"""),"Посадить деревья")</f>
        <v>Посадить деревья</v>
      </c>
      <c r="P1259" s="6" t="str">
        <f>IFERROR(__xludf.DUMMYFUNCTION("""COMPUTED_VALUE"""),"а42,все42,сибдепо")</f>
        <v>а42,все42,сибдепо</v>
      </c>
      <c r="Q1259" s="6" t="str">
        <f>IFERROR(__xludf.DUMMYFUNCTION("""COMPUTED_VALUE"""),"городская афиша (кино/театр/концерты), криминальные новости (происшествия/преступления), новости про новые профессии/куда поступать/вакансии")</f>
        <v>городская афиша (кино/театр/концерты), криминальные новости (происшествия/преступления), новости про новые профессии/куда поступать/вакансии</v>
      </c>
      <c r="R1259" s="6" t="str">
        <f>IFERROR(__xludf.DUMMYFUNCTION("""COMPUTED_VALUE"""),"день города, 9 мая, пасха")</f>
        <v>день города, 9 мая, пасха</v>
      </c>
      <c r="S1259"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1259" s="6" t="str">
        <f>IFERROR(__xludf.DUMMYFUNCTION("""COMPUTED_VALUE"""),"дышать нечем")</f>
        <v>дышать нечем</v>
      </c>
      <c r="U1259" s="6" t="str">
        <f>IFERROR(__xludf.DUMMYFUNCTION("""COMPUTED_VALUE"""),"драмтеатр")</f>
        <v>драмтеатр</v>
      </c>
      <c r="V1259" s="6" t="str">
        <f>IFERROR(__xludf.DUMMYFUNCTION("""COMPUTED_VALUE"""),"жили")</f>
        <v>жили</v>
      </c>
      <c r="W1259" s="6" t="str">
        <f>IFERROR(__xludf.DUMMYFUNCTION("""COMPUTED_VALUE"""),"50/50 на лицо ужасные, добрые внутри")</f>
        <v>50/50 на лицо ужасные, добрые внутри</v>
      </c>
      <c r="X1259" s="6" t="str">
        <f>IFERROR(__xludf.DUMMYFUNCTION("""COMPUTED_VALUE"""),"Весенняя-Парк Чудес-Кузнецкий мост-Красная горка-Сосновый бор-Кузбасский мост-Лапландия")</f>
        <v>Весенняя-Парк Чудес-Кузнецкий мост-Красная горка-Сосновый бор-Кузбасский мост-Лапландия</v>
      </c>
      <c r="Y1259" s="6" t="str">
        <f>IFERROR(__xludf.DUMMYFUNCTION("""COMPUTED_VALUE"""),"много")</f>
        <v>много</v>
      </c>
      <c r="Z1259" s="6" t="str">
        <f>IFERROR(__xludf.DUMMYFUNCTION("""COMPUTED_VALUE"""),"нет")</f>
        <v>нет</v>
      </c>
      <c r="AA1259" s="6" t="str">
        <f>IFERROR(__xludf.DUMMYFUNCTION("""COMPUTED_VALUE"""),"беспредел чиновников")</f>
        <v>беспредел чиновников</v>
      </c>
      <c r="AB1259" s="6" t="str">
        <f>IFERROR(__xludf.DUMMYFUNCTION("""COMPUTED_VALUE"""),"добрых людей")</f>
        <v>добрых людей</v>
      </c>
      <c r="AC1259" s="6" t="str">
        <f>IFERROR(__xludf.DUMMYFUNCTION("""COMPUTED_VALUE"""),"музыка и театры")</f>
        <v>музыка и театры</v>
      </c>
      <c r="AD125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Запустить свой предпринимательский проект, ор"&amp;"ганизовать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Запустить свой предпринимательский проект, организовать компанию.</v>
      </c>
      <c r="AE1259" s="6" t="str">
        <f>IFERROR(__xludf.DUMMYFUNCTION("""COMPUTED_VALUE"""),"Мужской")</f>
        <v>Мужской</v>
      </c>
      <c r="AF1259" s="6" t="str">
        <f>IFERROR(__xludf.DUMMYFUNCTION("""COMPUTED_VALUE"""),"30-44")</f>
        <v>30-44</v>
      </c>
      <c r="AG1259" s="6"/>
      <c r="AH1259" s="6"/>
      <c r="AI1259" s="6"/>
      <c r="AJ1259" s="6"/>
      <c r="AK1259" s="6"/>
      <c r="AL1259" s="6"/>
      <c r="AM1259" s="6"/>
    </row>
    <row r="1260">
      <c r="A1260" s="6">
        <v>1259.0</v>
      </c>
      <c r="B1260" s="6" t="str">
        <f>IFERROR(__xludf.DUMMYFUNCTION("""COMPUTED_VALUE"""),"Химическая промышленность ")</f>
        <v>Химическая промышленность </v>
      </c>
      <c r="C1260" s="6" t="str">
        <f>IFERROR(__xludf.DUMMYFUNCTION("""COMPUTED_VALUE"""),"Автомобили")</f>
        <v>Автомобили</v>
      </c>
      <c r="D1260" s="6" t="str">
        <f>IFERROR(__xludf.DUMMYFUNCTION("""COMPUTED_VALUE"""),"Ленинский ")</f>
        <v>Ленинский </v>
      </c>
      <c r="E1260" s="6" t="str">
        <f>IFERROR(__xludf.DUMMYFUNCTION("""COMPUTED_VALUE"""),"Бульвар Строителей, Ленинский Ровд, кадетка, лента, леруа. ")</f>
        <v>Бульвар Строителей, Ленинский Ровд, кадетка, лента, леруа. </v>
      </c>
      <c r="F1260" s="6" t="str">
        <f>IFERROR(__xludf.DUMMYFUNCTION("""COMPUTED_VALUE"""),"Живу здесь с рождения")</f>
        <v>Живу здесь с рождения</v>
      </c>
      <c r="G1260" s="6" t="str">
        <f>IFERROR(__xludf.DUMMYFUNCTION("""COMPUTED_VALUE"""),"Люскус, притомская набережная, ")</f>
        <v>Люскус, притомская набережная, </v>
      </c>
      <c r="H1260" s="6" t="str">
        <f>IFERROR(__xludf.DUMMYFUNCTION("""COMPUTED_VALUE"""),"Азот, Зимняя вишня, елка, уголь, леонов ")</f>
        <v>Азот, Зимняя вишня, елка, уголь, леонов </v>
      </c>
      <c r="I1260" s="6" t="str">
        <f>IFERROR(__xludf.DUMMYFUNCTION("""COMPUTED_VALUE"""),"Михайло Волков, Гришковец, ")</f>
        <v>Михайло Волков, Гришковец, </v>
      </c>
      <c r="J1260" s="6" t="str">
        <f>IFERROR(__xludf.DUMMYFUNCTION("""COMPUTED_VALUE"""),"-")</f>
        <v>-</v>
      </c>
      <c r="K1260" s="6" t="str">
        <f>IFERROR(__xludf.DUMMYFUNCTION("""COMPUTED_VALUE"""),"Азот, парк ангелов, люскус, ")</f>
        <v>Азот, парк ангелов, люскус, </v>
      </c>
      <c r="L1260" s="6" t="str">
        <f>IFERROR(__xludf.DUMMYFUNCTION("""COMPUTED_VALUE"""),"-")</f>
        <v>-</v>
      </c>
      <c r="M1260" s="6" t="str">
        <f>IFERROR(__xludf.DUMMYFUNCTION("""COMPUTED_VALUE"""),"-")</f>
        <v>-</v>
      </c>
      <c r="N1260" s="6" t="str">
        <f>IFERROR(__xludf.DUMMYFUNCTION("""COMPUTED_VALUE"""),"Хорошие дороги, доступность жилья, экология, работа, климат. ")</f>
        <v>Хорошие дороги, доступность жилья, экология, работа, климат. </v>
      </c>
      <c r="O1260" s="6" t="str">
        <f>IFERROR(__xludf.DUMMYFUNCTION("""COMPUTED_VALUE"""),"Ремонт грузовой дороги в Кировский ")</f>
        <v>Ремонт грузовой дороги в Кировский </v>
      </c>
      <c r="P1260" s="6" t="str">
        <f>IFERROR(__xludf.DUMMYFUNCTION("""COMPUTED_VALUE"""),"Типичный Кемерово, инцидент Кемерово - паблики ВК")</f>
        <v>Типичный Кемерово, инцидент Кемерово - паблики ВК</v>
      </c>
      <c r="Q1260" s="6" t="str">
        <f>IFERROR(__xludf.DUMMYFUNCTION("""COMPUTED_VALUE"""),"криминальные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f>
        <v>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1260" s="6" t="str">
        <f>IFERROR(__xludf.DUMMYFUNCTION("""COMPUTED_VALUE"""),"День Победы ")</f>
        <v>День Победы </v>
      </c>
      <c r="S1260" s="6" t="str">
        <f>IFERROR(__xludf.DUMMYFUNCTION("""COMPUTED_VALUE"""),"Нет, не приходилось")</f>
        <v>Нет, не приходилось</v>
      </c>
      <c r="T1260" s="6" t="str">
        <f>IFERROR(__xludf.DUMMYFUNCTION("""COMPUTED_VALUE"""),"Уголь, Зимняя вишня, Химическая промышленность. ")</f>
        <v>Уголь, Зимняя вишня, Химическая промышленность. </v>
      </c>
      <c r="U1260" s="6" t="str">
        <f>IFERROR(__xludf.DUMMYFUNCTION("""COMPUTED_VALUE"""),"-")</f>
        <v>-</v>
      </c>
      <c r="V1260" s="6" t="str">
        <f>IFERROR(__xludf.DUMMYFUNCTION("""COMPUTED_VALUE"""),"-")</f>
        <v>-</v>
      </c>
      <c r="W1260" s="6" t="str">
        <f>IFERROR(__xludf.DUMMYFUNCTION("""COMPUTED_VALUE"""),"Добрые, но невежды. В большинстве своём необрзоааные ")</f>
        <v>Добрые, но невежды. В большинстве своём необрзоааные </v>
      </c>
      <c r="X1260" s="6" t="str">
        <f>IFERROR(__xludf.DUMMYFUNCTION("""COMPUTED_VALUE"""),"Вокзал-красная горка-набережная кировского - притомская набережная - площадь советов - парк ангелов - при томский проспект-кадетка-бульвар Строителей. ")</f>
        <v>Вокзал-красная горка-набережная кировского - притомская набережная - площадь советов - парк ангелов - при томский проспект-кадетка-бульвар Строителей. </v>
      </c>
      <c r="Y1260" s="6" t="str">
        <f>IFERROR(__xludf.DUMMYFUNCTION("""COMPUTED_VALUE"""),"Открытие угля, открытие новокемероского хим комбината, зимняя вишня. ")</f>
        <v>Открытие угля, открытие новокемероского хим комбината, зимняя вишня. </v>
      </c>
      <c r="Z1260" s="6" t="str">
        <f>IFERROR(__xludf.DUMMYFUNCTION("""COMPUTED_VALUE"""),"-")</f>
        <v>-</v>
      </c>
      <c r="AA1260" s="6" t="str">
        <f>IFERROR(__xludf.DUMMYFUNCTION("""COMPUTED_VALUE"""),"Елка, ")</f>
        <v>Елка, </v>
      </c>
      <c r="AB1260" s="6" t="str">
        <f>IFERROR(__xludf.DUMMYFUNCTION("""COMPUTED_VALUE"""),"-")</f>
        <v>-</v>
      </c>
      <c r="AC1260" s="6" t="str">
        <f>IFERROR(__xludf.DUMMYFUNCTION("""COMPUTED_VALUE"""),"Концерты молодёжных исполнителей, команды КХЛ")</f>
        <v>Концерты молодёжных исполнителей, команды КХЛ</v>
      </c>
      <c r="AD126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60" s="6" t="str">
        <f>IFERROR(__xludf.DUMMYFUNCTION("""COMPUTED_VALUE"""),"Мужской")</f>
        <v>Мужской</v>
      </c>
      <c r="AF1260" s="6" t="str">
        <f>IFERROR(__xludf.DUMMYFUNCTION("""COMPUTED_VALUE"""),"30-44")</f>
        <v>30-44</v>
      </c>
      <c r="AG1260" s="6"/>
      <c r="AH1260" s="6"/>
      <c r="AI1260" s="6"/>
      <c r="AJ1260" s="6"/>
      <c r="AK1260" s="6"/>
      <c r="AL1260" s="6"/>
      <c r="AM1260" s="6"/>
    </row>
    <row r="1261">
      <c r="A1261" s="6">
        <v>1260.0</v>
      </c>
      <c r="B1261" s="6" t="str">
        <f>IFERROR(__xludf.DUMMYFUNCTION("""COMPUTED_VALUE"""),"Фрилансер")</f>
        <v>Фрилансер</v>
      </c>
      <c r="C1261" s="6" t="str">
        <f>IFERROR(__xludf.DUMMYFUNCTION("""COMPUTED_VALUE"""),"Да, дизайн баночек и коробочек")</f>
        <v>Да, дизайн баночек и коробочек</v>
      </c>
      <c r="D1261" s="6" t="str">
        <f>IFERROR(__xludf.DUMMYFUNCTION("""COMPUTED_VALUE"""),"Рудничный, Радуга")</f>
        <v>Рудничный, Радуга</v>
      </c>
      <c r="E1261" s="6" t="str">
        <f>IFERROR(__xludf.DUMMYFUNCTION("""COMPUTED_VALUE"""),"Стадион Шахтер, шахтерская Аллея, много не ухоженных скверов, грязные и пыльные тротуары")</f>
        <v>Стадион Шахтер, шахтерская Аллея, много не ухоженных скверов, грязные и пыльные тротуары</v>
      </c>
      <c r="F1261" s="6" t="str">
        <f>IFERROR(__xludf.DUMMYFUNCTION("""COMPUTED_VALUE"""),"Живу здесь с рождения")</f>
        <v>Живу здесь с рождения</v>
      </c>
      <c r="G1261" s="6" t="str">
        <f>IFERROR(__xludf.DUMMYFUNCTION("""COMPUTED_VALUE"""),"Рудничный бор")</f>
        <v>Рудничный бор</v>
      </c>
      <c r="H1261" s="6" t="str">
        <f>IFERROR(__xludf.DUMMYFUNCTION("""COMPUTED_VALUE"""),"Пыль, ямы, земля, кусты, бараки")</f>
        <v>Пыль, ямы, земля, кусты, бараки</v>
      </c>
      <c r="I1261" s="6" t="str">
        <f>IFERROR(__xludf.DUMMYFUNCTION("""COMPUTED_VALUE"""),"Михайло Волков, Рутгерс, Федоровский")</f>
        <v>Михайло Волков, Рутгерс, Федоровский</v>
      </c>
      <c r="J1261" s="6" t="str">
        <f>IFERROR(__xludf.DUMMYFUNCTION("""COMPUTED_VALUE"""),"Михайлов")</f>
        <v>Михайлов</v>
      </c>
      <c r="K1261" s="6" t="str">
        <f>IFERROR(__xludf.DUMMYFUNCTION("""COMPUTED_VALUE"""),"Старый речной вокзал, сосновый бор")</f>
        <v>Старый речной вокзал, сосновый бор</v>
      </c>
      <c r="L1261" s="6" t="str">
        <f>IFERROR(__xludf.DUMMYFUNCTION("""COMPUTED_VALUE"""),"Терем- теремок, вот это о Кемерово")</f>
        <v>Терем- теремок, вот это о Кемерово</v>
      </c>
      <c r="M1261" s="6" t="str">
        <f>IFERROR(__xludf.DUMMYFUNCTION("""COMPUTED_VALUE"""),"Коренные жители говорят только Кемерово, и не склоняют его")</f>
        <v>Коренные жители говорят только Кемерово, и не склоняют его</v>
      </c>
      <c r="N1261" s="6" t="str">
        <f>IFERROR(__xludf.DUMMYFUNCTION("""COMPUTED_VALUE"""),"Хорошие пешеходные зоны и дороги везде, ухоженные скверы и аллеи, комфортный транспорт с возможность уехать во все районы города до 24 часов")</f>
        <v>Хорошие пешеходные зоны и дороги везде, ухоженные скверы и аллеи, комфортный транспорт с возможность уехать во все районы города до 24 часов</v>
      </c>
      <c r="O1261" s="6" t="str">
        <f>IFERROR(__xludf.DUMMYFUNCTION("""COMPUTED_VALUE"""),"Подход к уборке города, не строить новое а реконструировать имеющиеся")</f>
        <v>Подход к уборке города, не строить новое а реконструировать имеющиеся</v>
      </c>
      <c r="P1261" s="6" t="str">
        <f>IFERROR(__xludf.DUMMYFUNCTION("""COMPUTED_VALUE"""),"Инстаграм, Тик Ток")</f>
        <v>Инстаграм, Тик Ток</v>
      </c>
      <c r="Q1261"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261" s="6" t="str">
        <f>IFERROR(__xludf.DUMMYFUNCTION("""COMPUTED_VALUE"""),"9 мая. Новый год")</f>
        <v>9 мая. Новый год</v>
      </c>
      <c r="S1261" s="6" t="str">
        <f>IFERROR(__xludf.DUMMYFUNCTION("""COMPUTED_VALUE"""),"Делал рассылку по электронной почте")</f>
        <v>Делал рассылку по электронной почте</v>
      </c>
      <c r="T1261" s="6" t="str">
        <f>IFERROR(__xludf.DUMMYFUNCTION("""COMPUTED_VALUE"""),"Трагедиями")</f>
        <v>Трагедиями</v>
      </c>
      <c r="U1261" s="6" t="str">
        <f>IFERROR(__xludf.DUMMYFUNCTION("""COMPUTED_VALUE"""),"Весенняя набережная р.Томь, памятник ВОВ")</f>
        <v>Весенняя набережная р.Томь, памятник ВОВ</v>
      </c>
      <c r="V1261" s="6" t="str">
        <f>IFERROR(__xludf.DUMMYFUNCTION("""COMPUTED_VALUE"""),"Ничего")</f>
        <v>Ничего</v>
      </c>
      <c r="W1261" s="6" t="str">
        <f>IFERROR(__xludf.DUMMYFUNCTION("""COMPUTED_VALUE"""),"Отзывчивые")</f>
        <v>Отзывчивые</v>
      </c>
      <c r="X1261" s="6" t="str">
        <f>IFERROR(__xludf.DUMMYFUNCTION("""COMPUTED_VALUE"""),"Маршрут 10 трамвая или маршрут 101 автобуса")</f>
        <v>Маршрут 10 трамвая или маршрут 101 автобуса</v>
      </c>
      <c r="Y1261" s="6" t="str">
        <f>IFERROR(__xludf.DUMMYFUNCTION("""COMPUTED_VALUE"""),"Чемпионат мира по Банди")</f>
        <v>Чемпионат мира по Банди</v>
      </c>
      <c r="Z1261" s="6" t="str">
        <f>IFERROR(__xludf.DUMMYFUNCTION("""COMPUTED_VALUE"""),"Никакие")</f>
        <v>Никакие</v>
      </c>
      <c r="AA1261" s="6" t="str">
        <f>IFERROR(__xludf.DUMMYFUNCTION("""COMPUTED_VALUE"""),"Отмена строительства Аквапарка")</f>
        <v>Отмена строительства Аквапарка</v>
      </c>
      <c r="AB1261" s="6" t="str">
        <f>IFERROR(__xludf.DUMMYFUNCTION("""COMPUTED_VALUE"""),"Мне достаточно")</f>
        <v>Мне достаточно</v>
      </c>
      <c r="AC1261" s="6" t="str">
        <f>IFERROR(__xludf.DUMMYFUNCTION("""COMPUTED_VALUE"""),"Суботтники обще городские, чтоб приучить жителей к чистоте")</f>
        <v>Суботтники обще городские, чтоб приучить жителей к чистоте</v>
      </c>
      <c r="AD1261" s="6" t="str">
        <f>IFERROR(__xludf.DUMMYFUNCTION("""COMPUTED_VALUE"""),"Не готов принимать личное участие (укажите, пожалуйста, причину в поле «Другое»), Я вам не доверяю")</f>
        <v>Не готов принимать личное участие (укажите, пожалуйста, причину в поле «Другое»), Я вам не доверяю</v>
      </c>
      <c r="AE1261" s="6" t="str">
        <f>IFERROR(__xludf.DUMMYFUNCTION("""COMPUTED_VALUE"""),"Женский")</f>
        <v>Женский</v>
      </c>
      <c r="AF1261" s="6" t="str">
        <f>IFERROR(__xludf.DUMMYFUNCTION("""COMPUTED_VALUE"""),"30-44")</f>
        <v>30-44</v>
      </c>
      <c r="AG1261" s="6"/>
      <c r="AH1261" s="6"/>
      <c r="AI1261" s="6"/>
      <c r="AJ1261" s="6"/>
      <c r="AK1261" s="6"/>
      <c r="AL1261" s="6"/>
      <c r="AM1261" s="6"/>
    </row>
    <row r="1262">
      <c r="A1262" s="6">
        <v>1261.0</v>
      </c>
      <c r="B1262" s="6" t="str">
        <f>IFERROR(__xludf.DUMMYFUNCTION("""COMPUTED_VALUE"""),"Безработный")</f>
        <v>Безработный</v>
      </c>
      <c r="C1262" s="6" t="str">
        <f>IFERROR(__xludf.DUMMYFUNCTION("""COMPUTED_VALUE"""),"Нет")</f>
        <v>Нет</v>
      </c>
      <c r="D1262" s="6" t="str">
        <f>IFERROR(__xludf.DUMMYFUNCTION("""COMPUTED_VALUE"""),"Шалготарьян. Колхоз.")</f>
        <v>Шалготарьян. Колхоз.</v>
      </c>
      <c r="E1262" s="6" t="str">
        <f>IFERROR(__xludf.DUMMYFUNCTION("""COMPUTED_VALUE"""),"Нету")</f>
        <v>Нету</v>
      </c>
      <c r="F126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262" s="6" t="str">
        <f>IFERROR(__xludf.DUMMYFUNCTION("""COMPUTED_VALUE"""),"Никуда")</f>
        <v>Никуда</v>
      </c>
      <c r="H1262" s="6" t="str">
        <f>IFERROR(__xludf.DUMMYFUNCTION("""COMPUTED_VALUE"""),"Пыль. Грязь.Мусор.Колхоз.Хамство")</f>
        <v>Пыль. Грязь.Мусор.Колхоз.Хамство</v>
      </c>
      <c r="I1262" s="6" t="str">
        <f>IFERROR(__xludf.DUMMYFUNCTION("""COMPUTED_VALUE"""),"Михайлов")</f>
        <v>Михайлов</v>
      </c>
      <c r="J1262" s="6" t="str">
        <f>IFERROR(__xludf.DUMMYFUNCTION("""COMPUTED_VALUE"""),"Михайлов")</f>
        <v>Михайлов</v>
      </c>
      <c r="K1262" s="6" t="str">
        <f>IFERROR(__xludf.DUMMYFUNCTION("""COMPUTED_VALUE"""),"Таких нет")</f>
        <v>Таких нет</v>
      </c>
      <c r="L1262" s="6" t="str">
        <f>IFERROR(__xludf.DUMMYFUNCTION("""COMPUTED_VALUE"""),"Не знаю")</f>
        <v>Не знаю</v>
      </c>
      <c r="M1262" s="6" t="str">
        <f>IFERROR(__xludf.DUMMYFUNCTION("""COMPUTED_VALUE"""),"Хамство")</f>
        <v>Хамство</v>
      </c>
      <c r="N1262" s="6" t="str">
        <f>IFERROR(__xludf.DUMMYFUNCTION("""COMPUTED_VALUE"""),"Чистота. Хорошие дороги. Культурные люди.")</f>
        <v>Чистота. Хорошие дороги. Культурные люди.</v>
      </c>
      <c r="O1262" s="6" t="str">
        <f>IFERROR(__xludf.DUMMYFUNCTION("""COMPUTED_VALUE"""),"Отношение людей к чистоте. Ремонт дорог.")</f>
        <v>Отношение людей к чистоте. Ремонт дорог.</v>
      </c>
      <c r="P1262" s="6" t="str">
        <f>IFERROR(__xludf.DUMMYFUNCTION("""COMPUTED_VALUE"""),"Сибдепо")</f>
        <v>Сибдепо</v>
      </c>
      <c r="Q1262" s="6" t="str">
        <f>IFERROR(__xludf.DUMMYFUNCTION("""COMPUTED_VALUE"""),"интервью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1262" s="6" t="str">
        <f>IFERROR(__xludf.DUMMYFUNCTION("""COMPUTED_VALUE"""),"Никакие")</f>
        <v>Никакие</v>
      </c>
      <c r="S1262" s="6" t="str">
        <f>IFERROR(__xludf.DUMMYFUNCTION("""COMPUTED_VALUE"""),"Нет, не приходилось")</f>
        <v>Нет, не приходилось</v>
      </c>
      <c r="T1262" s="6" t="str">
        <f>IFERROR(__xludf.DUMMYFUNCTION("""COMPUTED_VALUE"""),"Грязь. Хамство ")</f>
        <v>Грязь. Хамство </v>
      </c>
      <c r="U1262" s="6" t="str">
        <f>IFERROR(__xludf.DUMMYFUNCTION("""COMPUTED_VALUE"""),"Ничего")</f>
        <v>Ничего</v>
      </c>
      <c r="V1262" s="6" t="str">
        <f>IFERROR(__xludf.DUMMYFUNCTION("""COMPUTED_VALUE"""),"Ничего")</f>
        <v>Ничего</v>
      </c>
      <c r="W1262" s="6" t="str">
        <f>IFERROR(__xludf.DUMMYFUNCTION("""COMPUTED_VALUE"""),"Хамоватые любители грязи")</f>
        <v>Хамоватые любители грязи</v>
      </c>
      <c r="X1262" s="6" t="str">
        <f>IFERROR(__xludf.DUMMYFUNCTION("""COMPUTED_VALUE"""),"Никакой")</f>
        <v>Никакой</v>
      </c>
      <c r="Y1262" s="6" t="str">
        <f>IFERROR(__xludf.DUMMYFUNCTION("""COMPUTED_VALUE"""),"Никакое")</f>
        <v>Никакое</v>
      </c>
      <c r="Z1262" s="6" t="str">
        <f>IFERROR(__xludf.DUMMYFUNCTION("""COMPUTED_VALUE"""),"Никакие")</f>
        <v>Никакие</v>
      </c>
      <c r="AA1262" s="6" t="str">
        <f>IFERROR(__xludf.DUMMYFUNCTION("""COMPUTED_VALUE"""),"Никакие")</f>
        <v>Никакие</v>
      </c>
      <c r="AB1262" s="6" t="str">
        <f>IFERROR(__xludf.DUMMYFUNCTION("""COMPUTED_VALUE"""),"Никаких")</f>
        <v>Никаких</v>
      </c>
      <c r="AC1262" s="6" t="str">
        <f>IFERROR(__xludf.DUMMYFUNCTION("""COMPUTED_VALUE"""),"Генеральные уборки и ремонт дорог")</f>
        <v>Генеральные уборки и ремонт дорог</v>
      </c>
      <c r="AD126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62" s="6" t="str">
        <f>IFERROR(__xludf.DUMMYFUNCTION("""COMPUTED_VALUE"""),"Мужской")</f>
        <v>Мужской</v>
      </c>
      <c r="AF1262" s="6" t="str">
        <f>IFERROR(__xludf.DUMMYFUNCTION("""COMPUTED_VALUE"""),"30-44")</f>
        <v>30-44</v>
      </c>
      <c r="AG1262" s="6"/>
      <c r="AH1262" s="6"/>
      <c r="AI1262" s="6"/>
      <c r="AJ1262" s="6"/>
      <c r="AK1262" s="6"/>
      <c r="AL1262" s="6"/>
      <c r="AM1262" s="6"/>
    </row>
    <row r="1263">
      <c r="A1263" s="6">
        <v>1262.0</v>
      </c>
      <c r="B1263" s="6" t="str">
        <f>IFERROR(__xludf.DUMMYFUNCTION("""COMPUTED_VALUE"""),"Проектировщик")</f>
        <v>Проектировщик</v>
      </c>
      <c r="C1263" s="6" t="str">
        <f>IFERROR(__xludf.DUMMYFUNCTION("""COMPUTED_VALUE"""),"Автомобили")</f>
        <v>Автомобили</v>
      </c>
      <c r="D1263" s="6" t="str">
        <f>IFERROR(__xludf.DUMMYFUNCTION("""COMPUTED_VALUE"""),"Центральный")</f>
        <v>Центральный</v>
      </c>
      <c r="E1263" s="6" t="str">
        <f>IFERROR(__xludf.DUMMYFUNCTION("""COMPUTED_VALUE"""),"Президентское кадетское училище")</f>
        <v>Президентское кадетское училище</v>
      </c>
      <c r="F1263" s="6" t="str">
        <f>IFERROR(__xludf.DUMMYFUNCTION("""COMPUTED_VALUE"""),"Переехал сюда из другого места (откуда? укажите в графе другое), Переехал из другого города Кемеровской области")</f>
        <v>Переехал сюда из другого места (откуда? укажите в графе другое), Переехал из другого города Кемеровской области</v>
      </c>
      <c r="G1263" s="6" t="str">
        <f>IFERROR(__xludf.DUMMYFUNCTION("""COMPUTED_VALUE"""),"Набережная")</f>
        <v>Набережная</v>
      </c>
      <c r="H1263" s="6" t="str">
        <f>IFERROR(__xludf.DUMMYFUNCTION("""COMPUTED_VALUE"""),"Столица, Уголь, Кузбасс, Томь, Губернатор")</f>
        <v>Столица, Уголь, Кузбасс, Томь, Губернатор</v>
      </c>
      <c r="I1263" s="6" t="str">
        <f>IFERROR(__xludf.DUMMYFUNCTION("""COMPUTED_VALUE"""),"Алексей Леонов")</f>
        <v>Алексей Леонов</v>
      </c>
      <c r="J1263" s="6" t="str">
        <f>IFERROR(__xludf.DUMMYFUNCTION("""COMPUTED_VALUE"""),"Затрудняюсь ответить")</f>
        <v>Затрудняюсь ответить</v>
      </c>
      <c r="K1263" s="6" t="str">
        <f>IFERROR(__xludf.DUMMYFUNCTION("""COMPUTED_VALUE"""),"Президентское кадетское училище")</f>
        <v>Президентское кадетское училище</v>
      </c>
      <c r="L1263" s="6" t="str">
        <f>IFERROR(__xludf.DUMMYFUNCTION("""COMPUTED_VALUE"""),"Нет ответа")</f>
        <v>Нет ответа</v>
      </c>
      <c r="M1263" s="6" t="str">
        <f>IFERROR(__xludf.DUMMYFUNCTION("""COMPUTED_VALUE"""),"Нет")</f>
        <v>Нет</v>
      </c>
      <c r="N1263" s="6" t="str">
        <f>IFERROR(__xludf.DUMMYFUNCTION("""COMPUTED_VALUE"""),"Экология, качественные общественные пространства, хорошие дороги, красивая архитектура, современный транспорт")</f>
        <v>Экология, качественные общественные пространства, хорошие дороги, красивая архитектура, современный транспорт</v>
      </c>
      <c r="O1263" s="6" t="str">
        <f>IFERROR(__xludf.DUMMYFUNCTION("""COMPUTED_VALUE"""),"Отчистить город от грязи, пыли и мусора")</f>
        <v>Отчистить город от грязи, пыли и мусора</v>
      </c>
      <c r="P1263" s="6" t="str">
        <f>IFERROR(__xludf.DUMMYFUNCTION("""COMPUTED_VALUE"""),"С различных источников")</f>
        <v>С различных источников</v>
      </c>
      <c r="Q1263" s="6" t="str">
        <f>IFERROR(__xludf.DUMMYFUNCTION("""COMPUTED_VALUE"""),"Строительство, проектирование, улучшение качества жизни")</f>
        <v>Строительство, проектирование, улучшение качества жизни</v>
      </c>
      <c r="R1263" s="6" t="str">
        <f>IFERROR(__xludf.DUMMYFUNCTION("""COMPUTED_VALUE"""),"Новый год, 9 мая, масленица")</f>
        <v>Новый год, 9 мая, масленица</v>
      </c>
      <c r="S1263" s="6" t="str">
        <f>IFERROR(__xludf.DUMMYFUNCTION("""COMPUTED_VALUE"""),"Нет, не приходилось")</f>
        <v>Нет, не приходилось</v>
      </c>
      <c r="T1263" s="6" t="str">
        <f>IFERROR(__xludf.DUMMYFUNCTION("""COMPUTED_VALUE"""),"Добыча угля в регионе")</f>
        <v>Добыча угля в регионе</v>
      </c>
      <c r="U1263" s="6" t="str">
        <f>IFERROR(__xludf.DUMMYFUNCTION("""COMPUTED_VALUE"""),"Площадь Советов, Весенняя, старый центр")</f>
        <v>Площадь Советов, Весенняя, старый центр</v>
      </c>
      <c r="V1263" s="6" t="str">
        <f>IFERROR(__xludf.DUMMYFUNCTION("""COMPUTED_VALUE"""),"Создали красивый город, пригодный для жизни")</f>
        <v>Создали красивый город, пригодный для жизни</v>
      </c>
      <c r="W1263" s="6" t="str">
        <f>IFERROR(__xludf.DUMMYFUNCTION("""COMPUTED_VALUE"""),"Ответ отсутствует")</f>
        <v>Ответ отсутствует</v>
      </c>
      <c r="X1263" s="6" t="str">
        <f>IFERROR(__xludf.DUMMYFUNCTION("""COMPUTED_VALUE"""),"Набережная - улица Весенняя")</f>
        <v>Набережная - улица Весенняя</v>
      </c>
      <c r="Y1263" s="6" t="str">
        <f>IFERROR(__xludf.DUMMYFUNCTION("""COMPUTED_VALUE"""),"Признание столицей Кемеровской области")</f>
        <v>Признание столицей Кемеровской области</v>
      </c>
      <c r="Z1263" s="6" t="str">
        <f>IFERROR(__xludf.DUMMYFUNCTION("""COMPUTED_VALUE"""),"Строительство многих важных объектов")</f>
        <v>Строительство многих важных объектов</v>
      </c>
      <c r="AA1263" s="6" t="str">
        <f>IFERROR(__xludf.DUMMYFUNCTION("""COMPUTED_VALUE"""),"Пропускаю данный вопрос")</f>
        <v>Пропускаю данный вопрос</v>
      </c>
      <c r="AB1263" s="6" t="str">
        <f>IFERROR(__xludf.DUMMYFUNCTION("""COMPUTED_VALUE"""),"Всё нормально")</f>
        <v>Всё нормально</v>
      </c>
      <c r="AC1263" s="6" t="str">
        <f>IFERROR(__xludf.DUMMYFUNCTION("""COMPUTED_VALUE"""),"Нет ответа")</f>
        <v>Нет ответа</v>
      </c>
      <c r="AD1263" s="6" t="str">
        <f>IFERROR(__xludf.DUMMYFUNCTION("""COMPUTED_VALUE"""),"Слишком размытый вопрос")</f>
        <v>Слишком размытый вопрос</v>
      </c>
      <c r="AE1263" s="6" t="str">
        <f>IFERROR(__xludf.DUMMYFUNCTION("""COMPUTED_VALUE"""),"Мужской")</f>
        <v>Мужской</v>
      </c>
      <c r="AF1263" s="6" t="str">
        <f>IFERROR(__xludf.DUMMYFUNCTION("""COMPUTED_VALUE"""),"30-44")</f>
        <v>30-44</v>
      </c>
      <c r="AG1263" s="6"/>
      <c r="AH1263" s="6"/>
      <c r="AI1263" s="6"/>
      <c r="AJ1263" s="6"/>
      <c r="AK1263" s="6"/>
      <c r="AL1263" s="6"/>
      <c r="AM1263" s="6"/>
    </row>
    <row r="1264">
      <c r="A1264" s="6">
        <v>1263.0</v>
      </c>
      <c r="B1264" s="6" t="str">
        <f>IFERROR(__xludf.DUMMYFUNCTION("""COMPUTED_VALUE"""),"Домохозяйка")</f>
        <v>Домохозяйка</v>
      </c>
      <c r="C1264" s="6" t="str">
        <f>IFERROR(__xludf.DUMMYFUNCTION("""COMPUTED_VALUE"""),"Вязание")</f>
        <v>Вязание</v>
      </c>
      <c r="D1264" s="6" t="str">
        <f>IFERROR(__xludf.DUMMYFUNCTION("""COMPUTED_VALUE"""),"Заводский ")</f>
        <v>Заводский </v>
      </c>
      <c r="E1264" s="6" t="str">
        <f>IFERROR(__xludf.DUMMYFUNCTION("""COMPUTED_VALUE"""),"Танк т-34")</f>
        <v>Танк т-34</v>
      </c>
      <c r="F1264" s="6" t="str">
        <f>IFERROR(__xludf.DUMMYFUNCTION("""COMPUTED_VALUE"""),"Живу здесь с рождения")</f>
        <v>Живу здесь с рождения</v>
      </c>
      <c r="G1264" s="6" t="str">
        <f>IFERROR(__xludf.DUMMYFUNCTION("""COMPUTED_VALUE"""),"Набережная, пригороды, бульвар Строителей ")</f>
        <v>Набережная, пригороды, бульвар Строителей </v>
      </c>
      <c r="H1264" s="6" t="str">
        <f>IFERROR(__xludf.DUMMYFUNCTION("""COMPUTED_VALUE"""),"Шахтёр красная горка Томская писаница Бор Кардиоцентр ")</f>
        <v>Шахтёр красная горка Томская писаница Бор Кардиоцентр </v>
      </c>
      <c r="I1264" s="6" t="str">
        <f>IFERROR(__xludf.DUMMYFUNCTION("""COMPUTED_VALUE"""),"Вера Волошина Юрий Двужильный Себальд Рутгерс Владимир Мартемьянов ")</f>
        <v>Вера Волошина Юрий Двужильный Себальд Рутгерс Владимир Мартемьянов </v>
      </c>
      <c r="J1264" s="6" t="str">
        <f>IFERROR(__xludf.DUMMYFUNCTION("""COMPUTED_VALUE"""),"-")</f>
        <v>-</v>
      </c>
      <c r="K1264" s="6" t="str">
        <f>IFERROR(__xludf.DUMMYFUNCTION("""COMPUTED_VALUE"""),"Сосновый бор, бульвар Строителей, кадетское училище ")</f>
        <v>Сосновый бор, бульвар Строителей, кадетское училище </v>
      </c>
      <c r="L1264" s="6" t="str">
        <f>IFERROR(__xludf.DUMMYFUNCTION("""COMPUTED_VALUE"""),"Старая шутка : Уехать по 17-му маршруту (в псих больницу) ")</f>
        <v>Старая шутка : Уехать по 17-му маршруту (в псих больницу) </v>
      </c>
      <c r="M1264" s="6" t="str">
        <f>IFERROR(__xludf.DUMMYFUNCTION("""COMPUTED_VALUE"""),"-")</f>
        <v>-</v>
      </c>
      <c r="N1264" s="6" t="str">
        <f>IFERROR(__xludf.DUMMYFUNCTION("""COMPUTED_VALUE"""),"Транспортная доступность, чистые газоны, отремонтированные фасады домов, много организаций и учреждений для трудоустройства, парки и скверы, памятники ")</f>
        <v>Транспортная доступность, чистые газоны, отремонтированные фасады домов, много организаций и учреждений для трудоустройства, парки и скверы, памятники </v>
      </c>
      <c r="O1264" s="6" t="str">
        <f>IFERROR(__xludf.DUMMYFUNCTION("""COMPUTED_VALUE"""),"Вернуть детсады из числа тех, что были переделаны под другие учреждения, расширять отделения больниц чтобы уменьшить длинные очереди")</f>
        <v>Вернуть детсады из числа тех, что были переделаны под другие учреждения, расширять отделения больниц чтобы уменьшить длинные очереди</v>
      </c>
      <c r="P1264" s="6" t="str">
        <f>IFERROR(__xludf.DUMMYFUNCTION("""COMPUTED_VALUE"""),"Вконтакте (vse42, типичный Кемерово). Рассказы знакомых/друзей")</f>
        <v>Вконтакте (vse42, типичный Кемерово). Рассказы знакомых/друзей</v>
      </c>
      <c r="Q1264"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f>
        <v>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v>
      </c>
      <c r="R1264" s="6" t="str">
        <f>IFERROR(__xludf.DUMMYFUNCTION("""COMPUTED_VALUE"""),"День города 12 июня, день шахтёра ")</f>
        <v>День города 12 июня, день шахтёра </v>
      </c>
      <c r="S1264" s="6" t="str">
        <f>IFERROR(__xludf.DUMMYFUNCTION("""COMPUTED_VALUE"""),"Нет, не приходилось")</f>
        <v>Нет, не приходилось</v>
      </c>
      <c r="T1264" s="6" t="str">
        <f>IFERROR(__xludf.DUMMYFUNCTION("""COMPUTED_VALUE"""),"Лесной массив в центре города")</f>
        <v>Лесной массив в центре города</v>
      </c>
      <c r="U1264" s="6" t="str">
        <f>IFERROR(__xludf.DUMMYFUNCTION("""COMPUTED_VALUE"""),"Площадь Советов ")</f>
        <v>Площадь Советов </v>
      </c>
      <c r="V1264" s="6" t="str">
        <f>IFERROR(__xludf.DUMMYFUNCTION("""COMPUTED_VALUE"""),"Строили заводы, открывали трамвайное движение ")</f>
        <v>Строили заводы, открывали трамвайное движение </v>
      </c>
      <c r="W1264" s="6" t="str">
        <f>IFERROR(__xludf.DUMMYFUNCTION("""COMPUTED_VALUE"""),"Простые, добрые, отзывчивые, любознательные ")</f>
        <v>Простые, добрые, отзывчивые, любознательные </v>
      </c>
      <c r="X1264" s="6" t="str">
        <f>IFERROR(__xludf.DUMMYFUNCTION("""COMPUTED_VALUE"""),"Площадь Советов - Советский - Весенняя - набережная - мост - Красная горка ")</f>
        <v>Площадь Советов - Советский - Весенняя - набережная - мост - Красная горка </v>
      </c>
      <c r="Y1264" s="6" t="str">
        <f>IFERROR(__xludf.DUMMYFUNCTION("""COMPUTED_VALUE"""),"За последнее время - концерт мировых рок-групп 2019 компании Стройсервис ")</f>
        <v>За последнее время - концерт мировых рок-групп 2019 компании Стройсервис </v>
      </c>
      <c r="Z1264" s="6" t="str">
        <f>IFERROR(__xludf.DUMMYFUNCTION("""COMPUTED_VALUE"""),"Реорганизация общественного транспорта, появление новых маршрутов, учащение имеющихся. Отремонтирован бульвар Строителей ")</f>
        <v>Реорганизация общественного транспорта, появление новых маршрутов, учащение имеющихся. Отремонтирован бульвар Строителей </v>
      </c>
      <c r="AA1264" s="6" t="str">
        <f>IFERROR(__xludf.DUMMYFUNCTION("""COMPUTED_VALUE"""),"Пожар в кинотеатре зимней вишни ")</f>
        <v>Пожар в кинотеатре зимней вишни </v>
      </c>
      <c r="AB1264" s="6" t="str">
        <f>IFERROR(__xludf.DUMMYFUNCTION("""COMPUTED_VALUE"""),"Клубы по интересам для детей, пенсионеров по типу тех, которые существовали в советское время. Можно даже объединенные: для деда и внука, бабушки и внучки")</f>
        <v>Клубы по интересам для детей, пенсионеров по типу тех, которые существовали в советское время. Можно даже объединенные: для деда и внука, бабушки и внучки</v>
      </c>
      <c r="AC1264" s="6" t="str">
        <f>IFERROR(__xludf.DUMMYFUNCTION("""COMPUTED_VALUE"""),"Крупные концерты мирового формата, спортивные соревнования национальные и международные, научные конференции, форумы, выставки российского масштаба")</f>
        <v>Крупные концерты мирового формата, спортивные соревнования национальные и международные, научные конференции, форумы, выставки российского масштаба</v>
      </c>
      <c r="AD1264"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264" s="6" t="str">
        <f>IFERROR(__xludf.DUMMYFUNCTION("""COMPUTED_VALUE"""),"Женский")</f>
        <v>Женский</v>
      </c>
      <c r="AF1264" s="6" t="str">
        <f>IFERROR(__xludf.DUMMYFUNCTION("""COMPUTED_VALUE"""),"30-44")</f>
        <v>30-44</v>
      </c>
      <c r="AG1264" s="6"/>
      <c r="AH1264" s="6"/>
      <c r="AI1264" s="6"/>
      <c r="AJ1264" s="6"/>
      <c r="AK1264" s="6"/>
      <c r="AL1264" s="6"/>
      <c r="AM1264" s="6"/>
    </row>
    <row r="1265">
      <c r="A1265" s="6">
        <v>1264.0</v>
      </c>
      <c r="B1265" s="6" t="str">
        <f>IFERROR(__xludf.DUMMYFUNCTION("""COMPUTED_VALUE"""),"Администратор ")</f>
        <v>Администратор </v>
      </c>
      <c r="C1265" s="6" t="str">
        <f>IFERROR(__xludf.DUMMYFUNCTION("""COMPUTED_VALUE"""),"Читаю Книги! ")</f>
        <v>Читаю Книги! </v>
      </c>
      <c r="D1265" s="6" t="str">
        <f>IFERROR(__xludf.DUMMYFUNCTION("""COMPUTED_VALUE"""),"Ягуновка")</f>
        <v>Ягуновка</v>
      </c>
      <c r="E1265" s="6" t="str">
        <f>IFERROR(__xludf.DUMMYFUNCTION("""COMPUTED_VALUE"""),"Парк")</f>
        <v>Парк</v>
      </c>
      <c r="F1265" s="6" t="str">
        <f>IFERROR(__xludf.DUMMYFUNCTION("""COMPUTED_VALUE"""),"Живу здесь с рождения")</f>
        <v>Живу здесь с рождения</v>
      </c>
      <c r="G1265" s="6" t="str">
        <f>IFERROR(__xludf.DUMMYFUNCTION("""COMPUTED_VALUE"""),"Набережная, сосновый Бор на ягуновке")</f>
        <v>Набережная, сосновый Бор на ягуновке</v>
      </c>
      <c r="H1265" s="6" t="str">
        <f>IFERROR(__xludf.DUMMYFUNCTION("""COMPUTED_VALUE"""),"Грязь, плохая экология, старина")</f>
        <v>Грязь, плохая экология, старина</v>
      </c>
      <c r="I1265" s="6" t="str">
        <f>IFERROR(__xludf.DUMMYFUNCTION("""COMPUTED_VALUE"""),"Волошина ")</f>
        <v>Волошина </v>
      </c>
      <c r="J1265" s="6" t="str">
        <f>IFERROR(__xludf.DUMMYFUNCTION("""COMPUTED_VALUE"""),"Малышева ")</f>
        <v>Малышева </v>
      </c>
      <c r="K1265" s="6" t="str">
        <f>IFERROR(__xludf.DUMMYFUNCTION("""COMPUTED_VALUE"""),"Шахтёр, мемориал на набережной ")</f>
        <v>Шахтёр, мемориал на набережной </v>
      </c>
      <c r="L1265" s="6" t="str">
        <f>IFERROR(__xludf.DUMMYFUNCTION("""COMPUTED_VALUE"""),"-")</f>
        <v>-</v>
      </c>
      <c r="M1265" s="6" t="str">
        <f>IFERROR(__xludf.DUMMYFUNCTION("""COMPUTED_VALUE"""),"_")</f>
        <v>_</v>
      </c>
      <c r="N1265" s="6" t="str">
        <f>IFERROR(__xludf.DUMMYFUNCTION("""COMPUTED_VALUE"""),"Красивые дома, чистота, удобный хороший транспорт, безопасность, экология ")</f>
        <v>Красивые дома, чистота, удобный хороший транспорт, безопасность, экология </v>
      </c>
      <c r="O1265" s="6" t="str">
        <f>IFERROR(__xludf.DUMMYFUNCTION("""COMPUTED_VALUE"""),"Привести в порядок дома и улицы ")</f>
        <v>Привести в порядок дома и улицы </v>
      </c>
      <c r="P1265" s="6" t="str">
        <f>IFERROR(__xludf.DUMMYFUNCTION("""COMPUTED_VALUE"""),"Инстаграмм ")</f>
        <v>Инстаграмм </v>
      </c>
      <c r="Q1265"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265" s="6" t="str">
        <f>IFERROR(__xludf.DUMMYFUNCTION("""COMPUTED_VALUE"""),"9 мая, день города, день шахтёра ")</f>
        <v>9 мая, день города, день шахтёра </v>
      </c>
      <c r="S1265" s="6" t="str">
        <f>IFERROR(__xludf.DUMMYFUNCTION("""COMPUTED_VALUE"""),"Нет, не приходилось")</f>
        <v>Нет, не приходилось</v>
      </c>
      <c r="T1265" s="6" t="str">
        <f>IFERROR(__xludf.DUMMYFUNCTION("""COMPUTED_VALUE"""),"Известен пожаром  в ТЦ зимняя вишня ")</f>
        <v>Известен пожаром  в ТЦ зимняя вишня </v>
      </c>
      <c r="U1265" s="6" t="str">
        <f>IFERROR(__xludf.DUMMYFUNCTION("""COMPUTED_VALUE"""),"Улица весенняя ")</f>
        <v>Улица весенняя </v>
      </c>
      <c r="V1265" s="6" t="str">
        <f>IFERROR(__xludf.DUMMYFUNCTION("""COMPUTED_VALUE"""),"_")</f>
        <v>_</v>
      </c>
      <c r="W1265" s="6" t="str">
        <f>IFERROR(__xludf.DUMMYFUNCTION("""COMPUTED_VALUE"""),"_")</f>
        <v>_</v>
      </c>
      <c r="X1265" s="6" t="str">
        <f>IFERROR(__xludf.DUMMYFUNCTION("""COMPUTED_VALUE"""),"С площади Волкова по Весенней и до набережной ")</f>
        <v>С площади Волкова по Весенней и до набережной </v>
      </c>
      <c r="Y1265" s="6" t="str">
        <f>IFERROR(__xludf.DUMMYFUNCTION("""COMPUTED_VALUE"""),"Обнаружение угольных месторождений ")</f>
        <v>Обнаружение угольных месторождений </v>
      </c>
      <c r="Z1265" s="6" t="str">
        <f>IFERROR(__xludf.DUMMYFUNCTION("""COMPUTED_VALUE"""),"-")</f>
        <v>-</v>
      </c>
      <c r="AA1265" s="6" t="str">
        <f>IFERROR(__xludf.DUMMYFUNCTION("""COMPUTED_VALUE"""),"Зимняя вишня ")</f>
        <v>Зимняя вишня </v>
      </c>
      <c r="AB1265" s="6" t="str">
        <f>IFERROR(__xludf.DUMMYFUNCTION("""COMPUTED_VALUE"""),"-")</f>
        <v>-</v>
      </c>
      <c r="AC1265" s="6" t="str">
        <f>IFERROR(__xludf.DUMMYFUNCTION("""COMPUTED_VALUE"""),"-")</f>
        <v>-</v>
      </c>
      <c r="AD1265"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Запустить свой предпринимательский пр"&amp;"оект, организовать компанию.")</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265" s="6" t="str">
        <f>IFERROR(__xludf.DUMMYFUNCTION("""COMPUTED_VALUE"""),"Женский")</f>
        <v>Женский</v>
      </c>
      <c r="AF1265" s="6" t="str">
        <f>IFERROR(__xludf.DUMMYFUNCTION("""COMPUTED_VALUE"""),"18-29")</f>
        <v>18-29</v>
      </c>
      <c r="AG1265" s="6"/>
      <c r="AH1265" s="6"/>
      <c r="AI1265" s="6"/>
      <c r="AJ1265" s="6"/>
      <c r="AK1265" s="6"/>
      <c r="AL1265" s="6"/>
      <c r="AM1265" s="6"/>
    </row>
    <row r="1266">
      <c r="A1266" s="6">
        <v>1265.0</v>
      </c>
      <c r="B1266" s="6" t="str">
        <f>IFERROR(__xludf.DUMMYFUNCTION("""COMPUTED_VALUE"""),"Преподаватель института")</f>
        <v>Преподаватель института</v>
      </c>
      <c r="C1266" s="6" t="str">
        <f>IFERROR(__xludf.DUMMYFUNCTION("""COMPUTED_VALUE"""),"Тренажерный зал")</f>
        <v>Тренажерный зал</v>
      </c>
      <c r="D1266" s="6" t="str">
        <f>IFERROR(__xludf.DUMMYFUNCTION("""COMPUTED_VALUE"""),"Центральный. Притомский")</f>
        <v>Центральный. Притомский</v>
      </c>
      <c r="E1266" s="6" t="str">
        <f>IFERROR(__xludf.DUMMYFUNCTION("""COMPUTED_VALUE"""),"Пионерский бульвар. Площадь Советов")</f>
        <v>Пионерский бульвар. Площадь Советов</v>
      </c>
      <c r="F1266" s="6" t="str">
        <f>IFERROR(__xludf.DUMMYFUNCTION("""COMPUTED_VALUE"""),"Переехал сюда из другого места (откуда? укажите в графе другое), 19 лет живу здесь. Переехали из Красноярска")</f>
        <v>Переехал сюда из другого места (откуда? укажите в графе другое), 19 лет живу здесь. Переехали из Красноярска</v>
      </c>
      <c r="G1266" s="6" t="str">
        <f>IFERROR(__xludf.DUMMYFUNCTION("""COMPUTED_VALUE"""),"Гуляем по паркам с ребенком. Особенно нравится в парке на Металлплощадке и на набережной в Кировском")</f>
        <v>Гуляем по паркам с ребенком. Особенно нравится в парке на Металлплощадке и на набережной в Кировском</v>
      </c>
      <c r="H1266" s="6" t="str">
        <f>IFERROR(__xludf.DUMMYFUNCTION("""COMPUTED_VALUE"""),"Развивающийся")</f>
        <v>Развивающийся</v>
      </c>
      <c r="I1266" s="6" t="str">
        <f>IFERROR(__xludf.DUMMYFUNCTION("""COMPUTED_VALUE"""),"Незнаю")</f>
        <v>Незнаю</v>
      </c>
      <c r="J1266" s="6" t="str">
        <f>IFERROR(__xludf.DUMMYFUNCTION("""COMPUTED_VALUE"""),"Тулеев")</f>
        <v>Тулеев</v>
      </c>
      <c r="K1266" s="6" t="str">
        <f>IFERROR(__xludf.DUMMYFUNCTION("""COMPUTED_VALUE"""),"Сквер ангелов, бульвар строителей, Памятник Шахтерам, Красная горка, Томская писаница")</f>
        <v>Сквер ангелов, бульвар строителей, Памятник Шахтерам, Красная горка, Томская писаница</v>
      </c>
      <c r="L1266" s="6" t="str">
        <f>IFERROR(__xludf.DUMMYFUNCTION("""COMPUTED_VALUE"""),"Незнаю")</f>
        <v>Незнаю</v>
      </c>
      <c r="M1266" s="6" t="str">
        <f>IFERROR(__xludf.DUMMYFUNCTION("""COMPUTED_VALUE"""),"Незнаю")</f>
        <v>Незнаю</v>
      </c>
      <c r="N1266" s="6" t="str">
        <f>IFERROR(__xludf.DUMMYFUNCTION("""COMPUTED_VALUE"""),"Чистота улиц, без пыли на дорогая (от нее всё в дом летит), транспортная доступность, адекватные цены в магазинах по нынешним зарплатам, больше парков и мест отдыха для всей семьи, в частности с детьми")</f>
        <v>Чистота улиц, без пыли на дорогая (от нее всё в дом летит), транспортная доступность, адекватные цены в магазинах по нынешним зарплатам, больше парков и мест отдыха для всей семьи, в частности с детьми</v>
      </c>
      <c r="O1266" s="6" t="str">
        <f>IFERROR(__xludf.DUMMYFUNCTION("""COMPUTED_VALUE"""),"Больше детских площадок. На Притомском много домов, но площадок на всех мало")</f>
        <v>Больше детских площадок. На Притомском много домов, но площадок на всех мало</v>
      </c>
      <c r="P1266" s="6" t="str">
        <f>IFERROR(__xludf.DUMMYFUNCTION("""COMPUTED_VALUE"""),"Новости а42, инстаграм")</f>
        <v>Новости а42, инстаграм</v>
      </c>
      <c r="Q1266"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1266" s="6" t="str">
        <f>IFERROR(__xludf.DUMMYFUNCTION("""COMPUTED_VALUE"""),"Все")</f>
        <v>Все</v>
      </c>
      <c r="S1266" s="6" t="str">
        <f>IFERROR(__xludf.DUMMYFUNCTION("""COMPUTED_VALUE"""),"Делал рассылку по электронной почте")</f>
        <v>Делал рассылку по электронной почте</v>
      </c>
      <c r="T1266" s="6" t="str">
        <f>IFERROR(__xludf.DUMMYFUNCTION("""COMPUTED_VALUE"""),"Незнаю")</f>
        <v>Незнаю</v>
      </c>
      <c r="U1266" s="6" t="str">
        <f>IFERROR(__xludf.DUMMYFUNCTION("""COMPUTED_VALUE"""),"Площадь Советов (памятник Ленину)")</f>
        <v>Площадь Советов (памятник Ленину)</v>
      </c>
      <c r="V1266" s="6" t="str">
        <f>IFERROR(__xludf.DUMMYFUNCTION("""COMPUTED_VALUE"""),"Незнаю")</f>
        <v>Незнаю</v>
      </c>
      <c r="W1266" s="6" t="str">
        <f>IFERROR(__xludf.DUMMYFUNCTION("""COMPUTED_VALUE"""),"Незнаю. Все разные")</f>
        <v>Незнаю. Все разные</v>
      </c>
      <c r="X1266" s="6" t="str">
        <f>IFERROR(__xludf.DUMMYFUNCTION("""COMPUTED_VALUE"""),"Писала выше")</f>
        <v>Писала выше</v>
      </c>
      <c r="Y1266" s="6" t="str">
        <f>IFERROR(__xludf.DUMMYFUNCTION("""COMPUTED_VALUE"""),"Незнаю")</f>
        <v>Незнаю</v>
      </c>
      <c r="Z1266" s="6" t="str">
        <f>IFERROR(__xludf.DUMMYFUNCTION("""COMPUTED_VALUE"""),"Незнаю")</f>
        <v>Незнаю</v>
      </c>
      <c r="AA1266" s="6" t="str">
        <f>IFERROR(__xludf.DUMMYFUNCTION("""COMPUTED_VALUE"""),"Зимняя вишня")</f>
        <v>Зимняя вишня</v>
      </c>
      <c r="AB1266" s="6" t="str">
        <f>IFERROR(__xludf.DUMMYFUNCTION("""COMPUTED_VALUE"""),"Незнаю")</f>
        <v>Незнаю</v>
      </c>
      <c r="AC1266" s="6" t="str">
        <f>IFERROR(__xludf.DUMMYFUNCTION("""COMPUTED_VALUE"""),"Организация праздников где с детьми можно гулять")</f>
        <v>Организация праздников где с детьми можно гулять</v>
      </c>
      <c r="AD126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66" s="6" t="str">
        <f>IFERROR(__xludf.DUMMYFUNCTION("""COMPUTED_VALUE"""),"Женский")</f>
        <v>Женский</v>
      </c>
      <c r="AF1266" s="6" t="str">
        <f>IFERROR(__xludf.DUMMYFUNCTION("""COMPUTED_VALUE"""),"30-44")</f>
        <v>30-44</v>
      </c>
      <c r="AG1266" s="6"/>
      <c r="AH1266" s="6"/>
      <c r="AI1266" s="6"/>
      <c r="AJ1266" s="6"/>
      <c r="AK1266" s="6"/>
      <c r="AL1266" s="6"/>
      <c r="AM1266" s="6"/>
    </row>
    <row r="1267">
      <c r="A1267" s="6">
        <v>1266.0</v>
      </c>
      <c r="B1267" s="6" t="str">
        <f>IFERROR(__xludf.DUMMYFUNCTION("""COMPUTED_VALUE"""),"Работа в горно-промышленной сфере")</f>
        <v>Работа в горно-промышленной сфере</v>
      </c>
      <c r="C1267" s="6" t="str">
        <f>IFERROR(__xludf.DUMMYFUNCTION("""COMPUTED_VALUE"""),"Спорт")</f>
        <v>Спорт</v>
      </c>
      <c r="D1267" s="6" t="str">
        <f>IFERROR(__xludf.DUMMYFUNCTION("""COMPUTED_VALUE"""),"Рудничный район - Радуга ")</f>
        <v>Рудничный район - Радуга </v>
      </c>
      <c r="E1267" s="6" t="str">
        <f>IFERROR(__xludf.DUMMYFUNCTION("""COMPUTED_VALUE"""),"ТЦ РАДУГА, Сосновый бор, памятник Шахтеру, Красная горка, стадион Шахтёр,  аллея горняков ")</f>
        <v>ТЦ РАДУГА, Сосновый бор, памятник Шахтеру, Красная горка, стадион Шахтёр,  аллея горняков </v>
      </c>
      <c r="F1267" s="6" t="str">
        <f>IFERROR(__xludf.DUMMYFUNCTION("""COMPUTED_VALUE"""),"Живу здесь с рождения")</f>
        <v>Живу здесь с рождения</v>
      </c>
      <c r="G1267" s="6" t="str">
        <f>IFERROR(__xludf.DUMMYFUNCTION("""COMPUTED_VALUE"""),"Прогулка по центру ")</f>
        <v>Прогулка по центру </v>
      </c>
      <c r="H1267" s="6" t="str">
        <f>IFERROR(__xludf.DUMMYFUNCTION("""COMPUTED_VALUE"""),"Уголь, азот, сдс, хоккей с мячом, тайга")</f>
        <v>Уголь, азот, сдс, хоккей с мячом, тайга</v>
      </c>
      <c r="I1267" s="6" t="str">
        <f>IFERROR(__xludf.DUMMYFUNCTION("""COMPUTED_VALUE"""),"Михайло Волков")</f>
        <v>Михайло Волков</v>
      </c>
      <c r="J1267" s="6" t="str">
        <f>IFERROR(__xludf.DUMMYFUNCTION("""COMPUTED_VALUE"""),"Тулеев ")</f>
        <v>Тулеев </v>
      </c>
      <c r="K1267" s="6" t="str">
        <f>IFERROR(__xludf.DUMMYFUNCTION("""COMPUTED_VALUE"""),"Площадь советов, площадь Пушкина, аллею га красной горке ")</f>
        <v>Площадь советов, площадь Пушкина, аллею га красной горке </v>
      </c>
      <c r="L1267" s="6" t="str">
        <f>IFERROR(__xludf.DUMMYFUNCTION("""COMPUTED_VALUE"""),"Не знаю")</f>
        <v>Не знаю</v>
      </c>
      <c r="M1267" s="6" t="str">
        <f>IFERROR(__xludf.DUMMYFUNCTION("""COMPUTED_VALUE"""),"Не знаю ")</f>
        <v>Не знаю </v>
      </c>
      <c r="N1267" s="6" t="str">
        <f>IFERROR(__xludf.DUMMYFUNCTION("""COMPUTED_VALUE"""),"Удобное расположение инфраструктуры, относительно хорошие дороги, разнообразие мест для отдыха, прогулок ")</f>
        <v>Удобное расположение инфраструктуры, относительно хорошие дороги, разнообразие мест для отдыха, прогулок </v>
      </c>
      <c r="O1267" s="6" t="str">
        <f>IFERROR(__xludf.DUMMYFUNCTION("""COMPUTED_VALUE"""),"Увеличить количество парковочных мест, построить метро ")</f>
        <v>Увеличить количество парковочных мест, построить метро </v>
      </c>
      <c r="P1267" s="6" t="str">
        <f>IFERROR(__xludf.DUMMYFUNCTION("""COMPUTED_VALUE"""),"Соц. Сети вконтакте ")</f>
        <v>Соц. Сети вконтакте </v>
      </c>
      <c r="Q1267" s="6" t="str">
        <f>IFERROR(__xludf.DUMMYFUNCTION("""COMPUTED_VALUE"""),"где вкусно поесть/открытие новых кафе/ресторанов, городская афиша (кино/театр/концерты), Спортивные мероприятия ")</f>
        <v>где вкусно поесть/открытие новых кафе/ресторанов, городская афиша (кино/театр/концерты), Спортивные мероприятия </v>
      </c>
      <c r="R1267" s="6" t="str">
        <f>IFERROR(__xludf.DUMMYFUNCTION("""COMPUTED_VALUE"""),"День шахтёра, день города ")</f>
        <v>День шахтёра, день города </v>
      </c>
      <c r="S1267" s="6" t="str">
        <f>IFERROR(__xludf.DUMMYFUNCTION("""COMPUTED_VALUE"""),"Нет, не приходилось")</f>
        <v>Нет, не приходилось</v>
      </c>
      <c r="T1267" s="6" t="str">
        <f>IFERROR(__xludf.DUMMYFUNCTION("""COMPUTED_VALUE"""),"Развитая Угольная промышленность ")</f>
        <v>Развитая Угольная промышленность </v>
      </c>
      <c r="U1267" s="6" t="str">
        <f>IFERROR(__xludf.DUMMYFUNCTION("""COMPUTED_VALUE"""),"Площадь советов ")</f>
        <v>Площадь советов </v>
      </c>
      <c r="V1267" s="6" t="str">
        <f>IFERROR(__xludf.DUMMYFUNCTION("""COMPUTED_VALUE"""),"Строили, расширяли город ")</f>
        <v>Строили, расширяли город </v>
      </c>
      <c r="W1267" s="6" t="str">
        <f>IFERROR(__xludf.DUMMYFUNCTION("""COMPUTED_VALUE"""),"Очень много недовольных несчастных людей ")</f>
        <v>Очень много недовольных несчастных людей </v>
      </c>
      <c r="X1267" s="6" t="str">
        <f>IFERROR(__xludf.DUMMYFUNCTION("""COMPUTED_VALUE"""),"Первая прогулка вдоль набережной ")</f>
        <v>Первая прогулка вдоль набережной </v>
      </c>
      <c r="Y1267" s="6" t="str">
        <f>IFERROR(__xludf.DUMMYFUNCTION("""COMPUTED_VALUE"""),"Чемпионат мира по хоккею с мячом в 2007 году ")</f>
        <v>Чемпионат мира по хоккею с мячом в 2007 году </v>
      </c>
      <c r="Z1267" s="6" t="str">
        <f>IFERROR(__xludf.DUMMYFUNCTION("""COMPUTED_VALUE"""),"Не помню ")</f>
        <v>Не помню </v>
      </c>
      <c r="AA1267" s="6" t="str">
        <f>IFERROR(__xludf.DUMMYFUNCTION("""COMPUTED_VALUE"""),"Не помню ")</f>
        <v>Не помню </v>
      </c>
      <c r="AB1267" s="6" t="str">
        <f>IFERROR(__xludf.DUMMYFUNCTION("""COMPUTED_VALUE"""),"Спортивных сообществ ")</f>
        <v>Спортивных сообществ </v>
      </c>
      <c r="AC1267" s="6" t="str">
        <f>IFERROR(__xludf.DUMMYFUNCTION("""COMPUTED_VALUE"""),"Больше концертов, спортивных соревнований ")</f>
        <v>Больше концертов, спортивных соревнований </v>
      </c>
      <c r="AD126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67" s="6" t="str">
        <f>IFERROR(__xludf.DUMMYFUNCTION("""COMPUTED_VALUE"""),"Женский")</f>
        <v>Женский</v>
      </c>
      <c r="AF1267" s="6" t="str">
        <f>IFERROR(__xludf.DUMMYFUNCTION("""COMPUTED_VALUE"""),"18-29")</f>
        <v>18-29</v>
      </c>
      <c r="AG1267" s="6"/>
      <c r="AH1267" s="6"/>
      <c r="AI1267" s="6"/>
      <c r="AJ1267" s="6"/>
      <c r="AK1267" s="6"/>
      <c r="AL1267" s="6"/>
      <c r="AM1267" s="6"/>
    </row>
    <row r="1268">
      <c r="A1268" s="6">
        <v>1267.0</v>
      </c>
      <c r="B1268" s="6" t="str">
        <f>IFERROR(__xludf.DUMMYFUNCTION("""COMPUTED_VALUE"""),"Работа в горно-промышленной сфере")</f>
        <v>Работа в горно-промышленной сфере</v>
      </c>
      <c r="C1268" s="6" t="str">
        <f>IFERROR(__xludf.DUMMYFUNCTION("""COMPUTED_VALUE"""),"Спорт")</f>
        <v>Спорт</v>
      </c>
      <c r="D1268" s="6" t="str">
        <f>IFERROR(__xludf.DUMMYFUNCTION("""COMPUTED_VALUE"""),"Рудничный район - Радуга ")</f>
        <v>Рудничный район - Радуга </v>
      </c>
      <c r="E1268" s="6" t="str">
        <f>IFERROR(__xludf.DUMMYFUNCTION("""COMPUTED_VALUE"""),"ТЦ РАДУГА, Сосновый бор, памятник Шахтеру, Красная горка, стадион Шахтёр,  аллея горняков ")</f>
        <v>ТЦ РАДУГА, Сосновый бор, памятник Шахтеру, Красная горка, стадион Шахтёр,  аллея горняков </v>
      </c>
      <c r="F1268" s="6" t="str">
        <f>IFERROR(__xludf.DUMMYFUNCTION("""COMPUTED_VALUE"""),"Живу здесь с рождения")</f>
        <v>Живу здесь с рождения</v>
      </c>
      <c r="G1268" s="6" t="str">
        <f>IFERROR(__xludf.DUMMYFUNCTION("""COMPUTED_VALUE"""),"Прогулка по центру ")</f>
        <v>Прогулка по центру </v>
      </c>
      <c r="H1268" s="6" t="str">
        <f>IFERROR(__xludf.DUMMYFUNCTION("""COMPUTED_VALUE"""),"Уголь, азот, сдс, хоккей с мячом, тайга")</f>
        <v>Уголь, азот, сдс, хоккей с мячом, тайга</v>
      </c>
      <c r="I1268" s="6" t="str">
        <f>IFERROR(__xludf.DUMMYFUNCTION("""COMPUTED_VALUE"""),"Михайло Волков")</f>
        <v>Михайло Волков</v>
      </c>
      <c r="J1268" s="6" t="str">
        <f>IFERROR(__xludf.DUMMYFUNCTION("""COMPUTED_VALUE"""),"Тулеев ")</f>
        <v>Тулеев </v>
      </c>
      <c r="K1268" s="6" t="str">
        <f>IFERROR(__xludf.DUMMYFUNCTION("""COMPUTED_VALUE"""),"Площадь советов, площадь Пушкина, аллею га красной горке ")</f>
        <v>Площадь советов, площадь Пушкина, аллею га красной горке </v>
      </c>
      <c r="L1268" s="6" t="str">
        <f>IFERROR(__xludf.DUMMYFUNCTION("""COMPUTED_VALUE"""),"Не знаю")</f>
        <v>Не знаю</v>
      </c>
      <c r="M1268" s="6" t="str">
        <f>IFERROR(__xludf.DUMMYFUNCTION("""COMPUTED_VALUE"""),"Не знаю ")</f>
        <v>Не знаю </v>
      </c>
      <c r="N1268" s="6" t="str">
        <f>IFERROR(__xludf.DUMMYFUNCTION("""COMPUTED_VALUE"""),"Удобное расположение инфраструктуры, относительно хорошие дороги, разнообразие мест для отдыха, прогулок ")</f>
        <v>Удобное расположение инфраструктуры, относительно хорошие дороги, разнообразие мест для отдыха, прогулок </v>
      </c>
      <c r="O1268" s="6" t="str">
        <f>IFERROR(__xludf.DUMMYFUNCTION("""COMPUTED_VALUE"""),"Увеличить количество парковочных мест, построить метро ")</f>
        <v>Увеличить количество парковочных мест, построить метро </v>
      </c>
      <c r="P1268" s="6" t="str">
        <f>IFERROR(__xludf.DUMMYFUNCTION("""COMPUTED_VALUE"""),"Соц. Сети вконтакте ")</f>
        <v>Соц. Сети вконтакте </v>
      </c>
      <c r="Q1268" s="6" t="str">
        <f>IFERROR(__xludf.DUMMYFUNCTION("""COMPUTED_VALUE"""),"где вкусно поесть/открытие новых кафе/ресторанов, городская афиша (кино/театр/концерты), Спортивные мероприятия ")</f>
        <v>где вкусно поесть/открытие новых кафе/ресторанов, городская афиша (кино/театр/концерты), Спортивные мероприятия </v>
      </c>
      <c r="R1268" s="6" t="str">
        <f>IFERROR(__xludf.DUMMYFUNCTION("""COMPUTED_VALUE"""),"День шахтёра, день города ")</f>
        <v>День шахтёра, день города </v>
      </c>
      <c r="S1268" s="6" t="str">
        <f>IFERROR(__xludf.DUMMYFUNCTION("""COMPUTED_VALUE"""),"Нет, не приходилось")</f>
        <v>Нет, не приходилось</v>
      </c>
      <c r="T1268" s="6" t="str">
        <f>IFERROR(__xludf.DUMMYFUNCTION("""COMPUTED_VALUE"""),"Развитая Угольная промышленность ")</f>
        <v>Развитая Угольная промышленность </v>
      </c>
      <c r="U1268" s="6" t="str">
        <f>IFERROR(__xludf.DUMMYFUNCTION("""COMPUTED_VALUE"""),"Площадь советов ")</f>
        <v>Площадь советов </v>
      </c>
      <c r="V1268" s="6" t="str">
        <f>IFERROR(__xludf.DUMMYFUNCTION("""COMPUTED_VALUE"""),"Строили, расширяли город ")</f>
        <v>Строили, расширяли город </v>
      </c>
      <c r="W1268" s="6" t="str">
        <f>IFERROR(__xludf.DUMMYFUNCTION("""COMPUTED_VALUE"""),"Очень много недовольных несчастных людей ")</f>
        <v>Очень много недовольных несчастных людей </v>
      </c>
      <c r="X1268" s="6" t="str">
        <f>IFERROR(__xludf.DUMMYFUNCTION("""COMPUTED_VALUE"""),"Первая прогулка вдоль набережной ")</f>
        <v>Первая прогулка вдоль набережной </v>
      </c>
      <c r="Y1268" s="6" t="str">
        <f>IFERROR(__xludf.DUMMYFUNCTION("""COMPUTED_VALUE"""),"Чемпионат мира по хоккею с мячом в 2007 году ")</f>
        <v>Чемпионат мира по хоккею с мячом в 2007 году </v>
      </c>
      <c r="Z1268" s="6" t="str">
        <f>IFERROR(__xludf.DUMMYFUNCTION("""COMPUTED_VALUE"""),"Не помню ")</f>
        <v>Не помню </v>
      </c>
      <c r="AA1268" s="6" t="str">
        <f>IFERROR(__xludf.DUMMYFUNCTION("""COMPUTED_VALUE"""),"Не помню ")</f>
        <v>Не помню </v>
      </c>
      <c r="AB1268" s="6" t="str">
        <f>IFERROR(__xludf.DUMMYFUNCTION("""COMPUTED_VALUE"""),"Спортивных сообществ ")</f>
        <v>Спортивных сообществ </v>
      </c>
      <c r="AC1268" s="6" t="str">
        <f>IFERROR(__xludf.DUMMYFUNCTION("""COMPUTED_VALUE"""),"Больше концертов, спортивных соревнований ")</f>
        <v>Больше концертов, спортивных соревнований </v>
      </c>
      <c r="AD126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68" s="6" t="str">
        <f>IFERROR(__xludf.DUMMYFUNCTION("""COMPUTED_VALUE"""),"Женский")</f>
        <v>Женский</v>
      </c>
      <c r="AF1268" s="6" t="str">
        <f>IFERROR(__xludf.DUMMYFUNCTION("""COMPUTED_VALUE"""),"18-29")</f>
        <v>18-29</v>
      </c>
      <c r="AG1268" s="6"/>
      <c r="AH1268" s="6"/>
      <c r="AI1268" s="6"/>
      <c r="AJ1268" s="6"/>
      <c r="AK1268" s="6"/>
      <c r="AL1268" s="6"/>
      <c r="AM1268" s="6"/>
    </row>
    <row r="1269">
      <c r="A1269" s="6">
        <v>1268.0</v>
      </c>
      <c r="B1269" s="6" t="str">
        <f>IFERROR(__xludf.DUMMYFUNCTION("""COMPUTED_VALUE"""),"Шахтер")</f>
        <v>Шахтер</v>
      </c>
      <c r="C1269" s="6" t="str">
        <f>IFERROR(__xludf.DUMMYFUNCTION("""COMPUTED_VALUE"""),"Электооника")</f>
        <v>Электооника</v>
      </c>
      <c r="D1269" s="6" t="str">
        <f>IFERROR(__xludf.DUMMYFUNCTION("""COMPUTED_VALUE"""),"Кировский ")</f>
        <v>Кировский </v>
      </c>
      <c r="E1269" s="6" t="str">
        <f>IFERROR(__xludf.DUMMYFUNCTION("""COMPUTED_VALUE"""),"Набережная ")</f>
        <v>Набережная </v>
      </c>
      <c r="F1269" s="6" t="str">
        <f>IFERROR(__xludf.DUMMYFUNCTION("""COMPUTED_VALUE"""),"Живу здесь с рождения")</f>
        <v>Живу здесь с рождения</v>
      </c>
      <c r="G1269" s="6" t="str">
        <f>IFERROR(__xludf.DUMMYFUNCTION("""COMPUTED_VALUE"""),"В поле за 21 микрорайон ")</f>
        <v>В поле за 21 микрорайон </v>
      </c>
      <c r="H1269" s="6" t="str">
        <f>IFERROR(__xludf.DUMMYFUNCTION("""COMPUTED_VALUE"""),"Уголь, азот, кокс")</f>
        <v>Уголь, азот, кокс</v>
      </c>
      <c r="I1269" s="6" t="str">
        <f>IFERROR(__xludf.DUMMYFUNCTION("""COMPUTED_VALUE"""),"Михайлов, тулеев")</f>
        <v>Михайлов, тулеев</v>
      </c>
      <c r="J1269" s="6" t="str">
        <f>IFERROR(__xludf.DUMMYFUNCTION("""COMPUTED_VALUE"""),"Михайлов ")</f>
        <v>Михайлов </v>
      </c>
      <c r="K1269" s="6" t="str">
        <f>IFERROR(__xludf.DUMMYFUNCTION("""COMPUTED_VALUE"""),"Красная горка,набережная ")</f>
        <v>Красная горка,набережная </v>
      </c>
      <c r="L1269" s="6" t="str">
        <f>IFERROR(__xludf.DUMMYFUNCTION("""COMPUTED_VALUE"""),"Человек из Кемерово ")</f>
        <v>Человек из Кемерово </v>
      </c>
      <c r="M1269" s="6" t="str">
        <f>IFERROR(__xludf.DUMMYFUNCTION("""COMPUTED_VALUE"""),"Человек")</f>
        <v>Человек</v>
      </c>
      <c r="N1269" s="6" t="str">
        <f>IFERROR(__xludf.DUMMYFUNCTION("""COMPUTED_VALUE"""),"Транспорт, чистота улиц")</f>
        <v>Транспорт, чистота улиц</v>
      </c>
      <c r="O1269" s="6" t="str">
        <f>IFERROR(__xludf.DUMMYFUNCTION("""COMPUTED_VALUE"""),"Газификация частного сектора")</f>
        <v>Газификация частного сектора</v>
      </c>
      <c r="P1269" s="6" t="str">
        <f>IFERROR(__xludf.DUMMYFUNCTION("""COMPUTED_VALUE"""),"Кемерово онлайн ")</f>
        <v>Кемерово онлайн </v>
      </c>
      <c r="Q1269"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f>
        <v>где вкусно поесть/открытие новых кафе/ресторанов, городская афиша (кино/театр/концерты), культурные новинки (что почитать/что послушать)</v>
      </c>
      <c r="R1269" s="6" t="str">
        <f>IFERROR(__xludf.DUMMYFUNCTION("""COMPUTED_VALUE"""),"День города, день шахтера")</f>
        <v>День города, день шахтера</v>
      </c>
      <c r="S1269" s="6" t="str">
        <f>IFERROR(__xludf.DUMMYFUNCTION("""COMPUTED_VALUE"""),"Нет, не приходилось")</f>
        <v>Нет, не приходилось</v>
      </c>
      <c r="T1269" s="6" t="str">
        <f>IFERROR(__xludf.DUMMYFUNCTION("""COMPUTED_VALUE"""),"Азот")</f>
        <v>Азот</v>
      </c>
      <c r="U1269" s="6" t="str">
        <f>IFERROR(__xludf.DUMMYFUNCTION("""COMPUTED_VALUE"""),"пр. Советский ")</f>
        <v>пр. Советский </v>
      </c>
      <c r="V1269" s="6" t="str">
        <f>IFERROR(__xludf.DUMMYFUNCTION("""COMPUTED_VALUE"""),"Дома")</f>
        <v>Дома</v>
      </c>
      <c r="W1269" s="6" t="str">
        <f>IFERROR(__xludf.DUMMYFUNCTION("""COMPUTED_VALUE"""),"Стресоустойчивые")</f>
        <v>Стресоустойчивые</v>
      </c>
      <c r="X1269" s="6" t="str">
        <f>IFERROR(__xludf.DUMMYFUNCTION("""COMPUTED_VALUE"""),"Набережная ")</f>
        <v>Набережная </v>
      </c>
      <c r="Y1269" s="6" t="str">
        <f>IFERROR(__xludf.DUMMYFUNCTION("""COMPUTED_VALUE"""),"Рок концерт")</f>
        <v>Рок концерт</v>
      </c>
      <c r="Z1269" s="6" t="str">
        <f>IFERROR(__xludf.DUMMYFUNCTION("""COMPUTED_VALUE"""),"Концерт би2")</f>
        <v>Концерт би2</v>
      </c>
      <c r="AA1269" s="6" t="str">
        <f>IFERROR(__xludf.DUMMYFUNCTION("""COMPUTED_VALUE"""),"Зимняя вишня ")</f>
        <v>Зимняя вишня </v>
      </c>
      <c r="AB1269" s="6" t="str">
        <f>IFERROR(__xludf.DUMMYFUNCTION("""COMPUTED_VALUE"""),"Концертов")</f>
        <v>Концертов</v>
      </c>
      <c r="AC1269" s="6" t="str">
        <f>IFERROR(__xludf.DUMMYFUNCTION("""COMPUTED_VALUE"""),"Театральные ")</f>
        <v>Театральные </v>
      </c>
      <c r="AD1269"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269" s="6" t="str">
        <f>IFERROR(__xludf.DUMMYFUNCTION("""COMPUTED_VALUE"""),"Мужской")</f>
        <v>Мужской</v>
      </c>
      <c r="AF1269" s="6" t="str">
        <f>IFERROR(__xludf.DUMMYFUNCTION("""COMPUTED_VALUE"""),"30-44")</f>
        <v>30-44</v>
      </c>
      <c r="AG1269" s="6"/>
      <c r="AH1269" s="6"/>
      <c r="AI1269" s="6"/>
      <c r="AJ1269" s="6"/>
      <c r="AK1269" s="6"/>
      <c r="AL1269" s="6"/>
      <c r="AM1269" s="6"/>
    </row>
    <row r="1270">
      <c r="A1270" s="6">
        <v>1269.0</v>
      </c>
      <c r="B1270" s="6" t="str">
        <f>IFERROR(__xludf.DUMMYFUNCTION("""COMPUTED_VALUE"""),"Офис-менеджер горно-шахтного оборудования")</f>
        <v>Офис-менеджер горно-шахтного оборудования</v>
      </c>
      <c r="C1270" s="6" t="str">
        <f>IFERROR(__xludf.DUMMYFUNCTION("""COMPUTED_VALUE"""),"Нет")</f>
        <v>Нет</v>
      </c>
      <c r="D1270" s="6" t="str">
        <f>IFERROR(__xludf.DUMMYFUNCTION("""COMPUTED_VALUE"""),"Кировский район")</f>
        <v>Кировский район</v>
      </c>
      <c r="E1270" s="6" t="str">
        <f>IFERROR(__xludf.DUMMYFUNCTION("""COMPUTED_VALUE"""),"Набережная Томи")</f>
        <v>Набережная Томи</v>
      </c>
      <c r="F1270" s="6" t="str">
        <f>IFERROR(__xludf.DUMMYFUNCTION("""COMPUTED_VALUE"""),"Живу здесь с рождения")</f>
        <v>Живу здесь с рождения</v>
      </c>
      <c r="G1270" s="6" t="str">
        <f>IFERROR(__xludf.DUMMYFUNCTION("""COMPUTED_VALUE"""),"В Парк чудес, ")</f>
        <v>В Парк чудес, </v>
      </c>
      <c r="H1270" s="6" t="str">
        <f>IFERROR(__xludf.DUMMYFUNCTION("""COMPUTED_VALUE"""),"Смог, разбитые дороги, заводы, грязные улицы, толпы фур в городе")</f>
        <v>Смог, разбитые дороги, заводы, грязные улицы, толпы фур в городе</v>
      </c>
      <c r="I1270" s="6" t="str">
        <f>IFERROR(__xludf.DUMMYFUNCTION("""COMPUTED_VALUE"""),"Волков")</f>
        <v>Волков</v>
      </c>
      <c r="J1270" s="6" t="str">
        <f>IFERROR(__xludf.DUMMYFUNCTION("""COMPUTED_VALUE"""),"Тулеев")</f>
        <v>Тулеев</v>
      </c>
      <c r="K1270" s="6" t="str">
        <f>IFERROR(__xludf.DUMMYFUNCTION("""COMPUTED_VALUE"""),"Красная горка, памятник Шахтёра, 2 набережные Томи")</f>
        <v>Красная горка, памятник Шахтёра, 2 набережные Томи</v>
      </c>
      <c r="L1270" s="6" t="str">
        <f>IFERROR(__xludf.DUMMYFUNCTION("""COMPUTED_VALUE"""),"У семи няней дитя без глазу")</f>
        <v>У семи няней дитя без глазу</v>
      </c>
      <c r="M1270" s="6" t="str">
        <f>IFERROR(__xludf.DUMMYFUNCTION("""COMPUTED_VALUE"""),"Нет")</f>
        <v>Нет</v>
      </c>
      <c r="N1270" s="6" t="str">
        <f>IFERROR(__xludf.DUMMYFUNCTION("""COMPUTED_VALUE"""),"Чистый воздух и улицы, парковка, отремонтированные дороги и остановочные пункты автобусов")</f>
        <v>Чистый воздух и улицы, парковка, отремонтированные дороги и остановочные пункты автобусов</v>
      </c>
      <c r="O1270" s="6" t="str">
        <f>IFERROR(__xludf.DUMMYFUNCTION("""COMPUTED_VALUE"""),"Запретить выброс с заводов в воду и в воздух")</f>
        <v>Запретить выброс с заводов в воду и в воздух</v>
      </c>
      <c r="P1270" s="6" t="str">
        <f>IFERROR(__xludf.DUMMYFUNCTION("""COMPUTED_VALUE"""),"Инстаграм")</f>
        <v>Инстаграм</v>
      </c>
      <c r="Q1270"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270" s="6" t="str">
        <f>IFERROR(__xludf.DUMMYFUNCTION("""COMPUTED_VALUE"""),"День города, День Победы, День Шахтёра, Новый год")</f>
        <v>День города, День Победы, День Шахтёра, Новый год</v>
      </c>
      <c r="S1270" s="6" t="str">
        <f>IFERROR(__xludf.DUMMYFUNCTION("""COMPUTED_VALUE"""),"Нет, не приходилось")</f>
        <v>Нет, не приходилось</v>
      </c>
      <c r="T1270" s="6" t="str">
        <f>IFERROR(__xludf.DUMMYFUNCTION("""COMPUTED_VALUE"""),"В свете событий 25.03.2018 г. у всех ассоциация одна ""Зимняя вишня""😥")</f>
        <v>В свете событий 25.03.2018 г. у всех ассоциация одна "Зимняя вишня"😥</v>
      </c>
      <c r="U1270" s="6" t="str">
        <f>IFERROR(__xludf.DUMMYFUNCTION("""COMPUTED_VALUE"""),"Площадь советов и Парк чудес")</f>
        <v>Площадь советов и Парк чудес</v>
      </c>
      <c r="V1270" s="6" t="str">
        <f>IFERROR(__xludf.DUMMYFUNCTION("""COMPUTED_VALUE"""),"🤷🏼‍♀️")</f>
        <v>🤷🏼‍♀️</v>
      </c>
      <c r="W1270" s="6" t="str">
        <f>IFERROR(__xludf.DUMMYFUNCTION("""COMPUTED_VALUE"""),"Разные")</f>
        <v>Разные</v>
      </c>
      <c r="X1270" s="6" t="str">
        <f>IFERROR(__xludf.DUMMYFUNCTION("""COMPUTED_VALUE"""),"-")</f>
        <v>-</v>
      </c>
      <c r="Y1270" s="6" t="str">
        <f>IFERROR(__xludf.DUMMYFUNCTION("""COMPUTED_VALUE"""),"-")</f>
        <v>-</v>
      </c>
      <c r="Z1270" s="6" t="str">
        <f>IFERROR(__xludf.DUMMYFUNCTION("""COMPUTED_VALUE"""),"-")</f>
        <v>-</v>
      </c>
      <c r="AA1270" s="6" t="str">
        <f>IFERROR(__xludf.DUMMYFUNCTION("""COMPUTED_VALUE"""),"-")</f>
        <v>-</v>
      </c>
      <c r="AB1270" s="6" t="str">
        <f>IFERROR(__xludf.DUMMYFUNCTION("""COMPUTED_VALUE"""),"-")</f>
        <v>-</v>
      </c>
      <c r="AC1270" s="6" t="str">
        <f>IFERROR(__xludf.DUMMYFUNCTION("""COMPUTED_VALUE"""),"-")</f>
        <v>-</v>
      </c>
      <c r="AD127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270" s="6" t="str">
        <f>IFERROR(__xludf.DUMMYFUNCTION("""COMPUTED_VALUE"""),"Женский")</f>
        <v>Женский</v>
      </c>
      <c r="AF1270" s="6" t="str">
        <f>IFERROR(__xludf.DUMMYFUNCTION("""COMPUTED_VALUE"""),"30-44")</f>
        <v>30-44</v>
      </c>
      <c r="AG1270" s="6"/>
      <c r="AH1270" s="6"/>
      <c r="AI1270" s="6"/>
      <c r="AJ1270" s="6"/>
      <c r="AK1270" s="6"/>
      <c r="AL1270" s="6"/>
      <c r="AM1270" s="6"/>
    </row>
    <row r="1271">
      <c r="A1271" s="6">
        <v>1270.0</v>
      </c>
      <c r="B1271" s="6" t="str">
        <f>IFERROR(__xludf.DUMMYFUNCTION("""COMPUTED_VALUE"""),"Работаю вбелую программистом, плачу дофига налогов")</f>
        <v>Работаю вбелую программистом, плачу дофига налогов</v>
      </c>
      <c r="C1271" s="6" t="str">
        <f>IFERROR(__xludf.DUMMYFUNCTION("""COMPUTED_VALUE"""),"Шитье")</f>
        <v>Шитье</v>
      </c>
      <c r="D1271" s="6" t="str">
        <f>IFERROR(__xludf.DUMMYFUNCTION("""COMPUTED_VALUE"""),"Ленинский")</f>
        <v>Ленинский</v>
      </c>
      <c r="E1271" s="6" t="str">
        <f>IFERROR(__xludf.DUMMYFUNCTION("""COMPUTED_VALUE"""),"Бульвар строительный")</f>
        <v>Бульвар строительный</v>
      </c>
      <c r="F1271" s="6" t="str">
        <f>IFERROR(__xludf.DUMMYFUNCTION("""COMPUTED_VALUE"""),"Переехал сюда из другого места (откуда? укажите в графе другое), Переехала 10 лет назад после школы")</f>
        <v>Переехал сюда из другого места (откуда? укажите в графе другое), Переехала 10 лет назад после школы</v>
      </c>
      <c r="G1271" s="6" t="str">
        <f>IFERROR(__xludf.DUMMYFUNCTION("""COMPUTED_VALUE"""),"Бульвар строителей, набережная, парки в центре и в ленинском. Про бары тоже писать?)))")</f>
        <v>Бульвар строителей, набережная, парки в центре и в ленинском. Про бары тоже писать?)))</v>
      </c>
      <c r="H1271" s="6" t="str">
        <f>IFERROR(__xludf.DUMMYFUNCTION("""COMPUTED_VALUE"""),"Азот, сдс, вишня, плохой асфальт")</f>
        <v>Азот, сдс, вишня, плохой асфальт</v>
      </c>
      <c r="I1271" s="6" t="str">
        <f>IFERROR(__xludf.DUMMYFUNCTION("""COMPUTED_VALUE"""),"Леонов, хоть он и не из Кемерово")</f>
        <v>Леонов, хоть он и не из Кемерово</v>
      </c>
      <c r="J1271" s="6" t="str">
        <f>IFERROR(__xludf.DUMMYFUNCTION("""COMPUTED_VALUE"""),"Немагия :)")</f>
        <v>Немагия :)</v>
      </c>
      <c r="K1271" s="6" t="str">
        <f>IFERROR(__xludf.DUMMYFUNCTION("""COMPUTED_VALUE"""),"Набережная, памятник шахтерам, р-н лесной поляны. ")</f>
        <v>Набережная, памятник шахтерам, р-н лесной поляны. </v>
      </c>
      <c r="L1271" s="6" t="str">
        <f>IFERROR(__xludf.DUMMYFUNCTION("""COMPUTED_VALUE"""),"-")</f>
        <v>-</v>
      </c>
      <c r="M1271" s="6" t="str">
        <f>IFERROR(__xludf.DUMMYFUNCTION("""COMPUTED_VALUE"""),"Южный никому не нужный.")</f>
        <v>Южный никому не нужный.</v>
      </c>
      <c r="N1271" s="6" t="str">
        <f>IFERROR(__xludf.DUMMYFUNCTION("""COMPUTED_VALUE"""),"Состояние дорог, освещенность, в том числе пешеходных и прогулочных зон, наличие мест отдыха")</f>
        <v>Состояние дорог, освещенность, в том числе пешеходных и прогулочных зон, наличие мест отдыха</v>
      </c>
      <c r="O1271" s="6" t="str">
        <f>IFERROR(__xludf.DUMMYFUNCTION("""COMPUTED_VALUE"""),"Построить мост через томь из ленинского района, расширить горбатый мост( снести там вонючий частник и расширить дорогу к заводу), убрать с улиц росгвпрдейцев. У нас не война, их развелось за последний год слишком много, это напрягает жителей. ")</f>
        <v>Построить мост через томь из ленинского района, расширить горбатый мост( снести там вонючий частник и расширить дорогу к заводу), убрать с улиц росгвпрдейцев. У нас не война, их развелось за последний год слишком много, это напрягает жителей. </v>
      </c>
      <c r="P1271" s="6" t="str">
        <f>IFERROR(__xludf.DUMMYFUNCTION("""COMPUTED_VALUE"""),"От коллег и из приложения кузбасс онлайн. ")</f>
        <v>От коллег и из приложения кузбасс онлайн. </v>
      </c>
      <c r="Q1271" s="6" t="str">
        <f>IFERROR(__xludf.DUMMYFUNCTION("""COMPUTED_VALUE"""),"городская афиша (кино/театр/концерты), интервью с местными предпринимателями, бизнес-новости (средний чек/рекламные акции/запуск новых предприятий)")</f>
        <v>городская афиша (кино/театр/концерты), интервью с местными предпринимателями, бизнес-новости (средний чек/рекламные акции/запуск новых предприятий)</v>
      </c>
      <c r="R1271" s="6" t="str">
        <f>IFERROR(__xludf.DUMMYFUNCTION("""COMPUTED_VALUE"""),"День шахтера, но за хорошим праздником надо ехать в прокопьевск или киселевск. ")</f>
        <v>День шахтера, но за хорошим праздником надо ехать в прокопьевск или киселевск. </v>
      </c>
      <c r="S1271" s="6" t="str">
        <f>IFERROR(__xludf.DUMMYFUNCTION("""COMPUTED_VALUE"""),"Нет, не приходилось")</f>
        <v>Нет, не приходилось</v>
      </c>
      <c r="T1271" s="6" t="str">
        <f>IFERROR(__xludf.DUMMYFUNCTION("""COMPUTED_VALUE"""),"К сожалению последнее время он знаменит происшествием в вишне. ")</f>
        <v>К сожалению последнее время он знаменит происшествием в вишне. </v>
      </c>
      <c r="U1271" s="6" t="str">
        <f>IFERROR(__xludf.DUMMYFUNCTION("""COMPUTED_VALUE"""),"Для меня центром всегда будет площадь волкова (привет политеху!)")</f>
        <v>Для меня центром всегда будет площадь волкова (привет политеху!)</v>
      </c>
      <c r="V1271" s="6" t="str">
        <f>IFERROR(__xludf.DUMMYFUNCTION("""COMPUTED_VALUE"""),"В том веке создали кучу производств, заводов. В этом - разброд и шатания. ")</f>
        <v>В том веке создали кучу производств, заводов. В этом - разброд и шатания. </v>
      </c>
      <c r="W1271" s="6" t="str">
        <f>IFERROR(__xludf.DUMMYFUNCTION("""COMPUTED_VALUE"""),"Добрые. Отзывчивые. ")</f>
        <v>Добрые. Отзывчивые. </v>
      </c>
      <c r="X1271" s="6" t="str">
        <f>IFERROR(__xludf.DUMMYFUNCTION("""COMPUTED_VALUE"""),"С вокзала (аэропорта) на весеньку, пешком до драмы и на набережную. В конце покатать туриста на каруселях! Потом увезти (через памятник шахтерам) на лесную поляну и выгулять туриста там. ")</f>
        <v>С вокзала (аэропорта) на весеньку, пешком до драмы и на набережную. В конце покатать туриста на каруселях! Потом увезти (через памятник шахтерам) на лесную поляну и выгулять туриста там. </v>
      </c>
      <c r="Y1271" s="6" t="str">
        <f>IFERROR(__xludf.DUMMYFUNCTION("""COMPUTED_VALUE"""),"-")</f>
        <v>-</v>
      </c>
      <c r="Z1271" s="6" t="str">
        <f>IFERROR(__xludf.DUMMYFUNCTION("""COMPUTED_VALUE"""),"Открытие магистрали и 110 до новокузнецка. Это успех! Ремонт и облагораживание бульвара строителей. Красавцы, даешь больше подобных улиц в городе. Концерт рок музыкантов возле лапландии!")</f>
        <v>Открытие магистрали и 110 до новокузнецка. Это успех! Ремонт и облагораживание бульвара строителей. Красавцы, даешь больше подобных улиц в городе. Концерт рок музыкантов возле лапландии!</v>
      </c>
      <c r="AA1271" s="6" t="str">
        <f>IFERROR(__xludf.DUMMYFUNCTION("""COMPUTED_VALUE"""),"Менты на мирных митингах. И вообще обилие силовиков повсюду.")</f>
        <v>Менты на мирных митингах. И вообще обилие силовиков повсюду.</v>
      </c>
      <c r="AB1271" s="6" t="str">
        <f>IFERROR(__xludf.DUMMYFUNCTION("""COMPUTED_VALUE"""),"Курсов старших по дому, курсов про тсж. ")</f>
        <v>Курсов старших по дому, курсов про тсж. </v>
      </c>
      <c r="AC1271" s="6" t="str">
        <f>IFERROR(__xludf.DUMMYFUNCTION("""COMPUTED_VALUE"""),"Концерты, подобные стройсервисовскому. ")</f>
        <v>Концерты, подобные стройсервисовскому. </v>
      </c>
      <c r="AD127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271" s="6" t="str">
        <f>IFERROR(__xludf.DUMMYFUNCTION("""COMPUTED_VALUE"""),"Женский")</f>
        <v>Женский</v>
      </c>
      <c r="AF1271" s="6" t="str">
        <f>IFERROR(__xludf.DUMMYFUNCTION("""COMPUTED_VALUE"""),"18-29")</f>
        <v>18-29</v>
      </c>
      <c r="AG1271" s="6"/>
      <c r="AH1271" s="6"/>
      <c r="AI1271" s="6"/>
      <c r="AJ1271" s="6"/>
      <c r="AK1271" s="6"/>
      <c r="AL1271" s="6"/>
      <c r="AM1271" s="6"/>
    </row>
    <row r="1272">
      <c r="A1272" s="6">
        <v>1271.0</v>
      </c>
      <c r="B1272" s="6" t="str">
        <f>IFERROR(__xludf.DUMMYFUNCTION("""COMPUTED_VALUE"""),"инженер, геофизик, геолог, сейсмолог")</f>
        <v>инженер, геофизик, геолог, сейсмолог</v>
      </c>
      <c r="C1272" s="6" t="str">
        <f>IFERROR(__xludf.DUMMYFUNCTION("""COMPUTED_VALUE"""),"я писатель")</f>
        <v>я писатель</v>
      </c>
      <c r="D1272" s="6" t="str">
        <f>IFERROR(__xludf.DUMMYFUNCTION("""COMPUTED_VALUE"""),"У Вокзала")</f>
        <v>У Вокзала</v>
      </c>
      <c r="E1272" s="6" t="str">
        <f>IFERROR(__xludf.DUMMYFUNCTION("""COMPUTED_VALUE"""),"Вокзал")</f>
        <v>Вокзал</v>
      </c>
      <c r="F127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272" s="6" t="str">
        <f>IFERROR(__xludf.DUMMYFUNCTION("""COMPUTED_VALUE"""),"гуляю по городу, иногда набережную")</f>
        <v>гуляю по городу, иногда набережную</v>
      </c>
      <c r="H1272" s="6" t="str">
        <f>IFERROR(__xludf.DUMMYFUNCTION("""COMPUTED_VALUE"""),"Грязь, пыль, сугробы, пробки, городской шум")</f>
        <v>Грязь, пыль, сугробы, пробки, городской шум</v>
      </c>
      <c r="I1272" s="6" t="str">
        <f>IFERROR(__xludf.DUMMYFUNCTION("""COMPUTED_VALUE"""),"Волков, Чихачёв, Ленин, Фрунзе, Тулеев")</f>
        <v>Волков, Чихачёв, Ленин, Фрунзе, Тулеев</v>
      </c>
      <c r="J1272" s="6" t="str">
        <f>IFERROR(__xludf.DUMMYFUNCTION("""COMPUTED_VALUE"""),"Висят на доске почёта на улице Дзержинского, перед дом-кино ""Москва"".")</f>
        <v>Висят на доске почёта на улице Дзержинского, перед дом-кино "Москва".</v>
      </c>
      <c r="K1272" s="6" t="str">
        <f>IFERROR(__xludf.DUMMYFUNCTION("""COMPUTED_VALUE"""),"Место скорби ""Парк Ангелов"", как напоминание, что нынче нужно быть осторожным везде, где находишься.")</f>
        <v>Место скорби "Парк Ангелов", как напоминание, что нынче нужно быть осторожным везде, где находишься.</v>
      </c>
      <c r="L1272" s="6" t="str">
        <f>IFERROR(__xludf.DUMMYFUNCTION("""COMPUTED_VALUE"""),"Я могу вспомнить только одну притчу о мальчике, который кричит о волках, я и сам притчу написал, но они опосредовано связаны с Кемерово. Вопрос вообще-то глупый, не понимаю на кого он рассчитан. ")</f>
        <v>Я могу вспомнить только одну притчу о мальчике, который кричит о волках, я и сам притчу написал, но они опосредовано связаны с Кемерово. Вопрос вообще-то глупый, не понимаю на кого он рассчитан. </v>
      </c>
      <c r="M1272" s="6" t="str">
        <f>IFERROR(__xludf.DUMMYFUNCTION("""COMPUTED_VALUE"""),"нет")</f>
        <v>нет</v>
      </c>
      <c r="N1272" s="6" t="str">
        <f>IFERROR(__xludf.DUMMYFUNCTION("""COMPUTED_VALUE"""),"Развитая инфраструктура, свободный общественный транспорт (какой-то новый налог, позволяющий это сделать), город очень грязный, мало дворников, нужен порядок, ремонт ливневой канализации, чтобы луж не было. В общем накидал на вентилятор, дальше сами разби"&amp;"райтесь.")</f>
        <v>Развитая инфраструктура, свободный общественный транспорт (какой-то новый налог, позволяющий это сделать), город очень грязный, мало дворников, нужен порядок, ремонт ливневой канализации, чтобы луж не было. В общем накидал на вентилятор, дальше сами разбирайтесь.</v>
      </c>
      <c r="O1272" s="6" t="str">
        <f>IFERROR(__xludf.DUMMYFUNCTION("""COMPUTED_VALUE"""),"Нужно выйти из транспортного тупика по железной дороге.")</f>
        <v>Нужно выйти из транспортного тупика по железной дороге.</v>
      </c>
      <c r="P1272" s="6" t="str">
        <f>IFERROR(__xludf.DUMMYFUNCTION("""COMPUTED_VALUE"""),"Я не интересуюсь этой темой, потому что она не связана с научной деятельностью или политикой.")</f>
        <v>Я не интересуюсь этой темой, потому что она не связана с научной деятельностью или политикой.</v>
      </c>
      <c r="Q1272" s="6" t="str">
        <f>IFERROR(__xludf.DUMMYFUNCTION("""COMPUTED_VALUE"""),"интервью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интервью с эксперта"&amp;"ми на разные темы (напишите в разделе Другое свои предложения)")</f>
        <v>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272" s="6" t="str">
        <f>IFERROR(__xludf.DUMMYFUNCTION("""COMPUTED_VALUE"""),"1 мая, 9 мая")</f>
        <v>1 мая, 9 мая</v>
      </c>
      <c r="S1272" s="6" t="str">
        <f>IFERROR(__xludf.DUMMYFUNCTION("""COMPUTED_VALUE"""),"Нет, не приходилось")</f>
        <v>Нет, не приходилось</v>
      </c>
      <c r="T1272" s="6" t="str">
        <f>IFERROR(__xludf.DUMMYFUNCTION("""COMPUTED_VALUE"""),"Один из самых грязных городов России.")</f>
        <v>Один из самых грязных городов России.</v>
      </c>
      <c r="U1272" s="6" t="str">
        <f>IFERROR(__xludf.DUMMYFUNCTION("""COMPUTED_VALUE"""),"Площадь Волкова, Площадь Советов.")</f>
        <v>Площадь Волкова, Площадь Советов.</v>
      </c>
      <c r="V1272" s="6" t="str">
        <f>IFERROR(__xludf.DUMMYFUNCTION("""COMPUTED_VALUE"""),"Памятник Эрнста Неизвестного
")</f>
        <v>Памятник Эрнста Неизвестного
</v>
      </c>
      <c r="W1272" s="6" t="str">
        <f>IFERROR(__xludf.DUMMYFUNCTION("""COMPUTED_VALUE"""),"Угрюмые, беспардонные, беспринципные, наглые.")</f>
        <v>Угрюмые, беспардонные, беспринципные, наглые.</v>
      </c>
      <c r="X1272" s="6" t="str">
        <f>IFERROR(__xludf.DUMMYFUNCTION("""COMPUTED_VALUE"""),"Заводской район, по грязным тротуарам и улицам, с кучей собак и экскрементов.")</f>
        <v>Заводской район, по грязным тротуарам и улицам, с кучей собак и экскрементов.</v>
      </c>
      <c r="Y1272" s="6" t="str">
        <f>IFERROR(__xludf.DUMMYFUNCTION("""COMPUTED_VALUE"""),"нет")</f>
        <v>нет</v>
      </c>
      <c r="Z1272" s="6" t="str">
        <f>IFERROR(__xludf.DUMMYFUNCTION("""COMPUTED_VALUE"""),"Ремонт дорог, кое-где его всё-таки качественно сделали.")</f>
        <v>Ремонт дорог, кое-где его всё-таки качественно сделали.</v>
      </c>
      <c r="AA1272" s="6" t="str">
        <f>IFERROR(__xludf.DUMMYFUNCTION("""COMPUTED_VALUE"""),"Некачественный ремонт дорог и фасадов зданий.")</f>
        <v>Некачественный ремонт дорог и фасадов зданий.</v>
      </c>
      <c r="AB1272" s="6" t="str">
        <f>IFERROR(__xludf.DUMMYFUNCTION("""COMPUTED_VALUE"""),"Научных и прочих клубов, где учат работать руками, что-то сделать, произвести, создать, другими словами сотворить.")</f>
        <v>Научных и прочих клубов, где учат работать руками, что-то сделать, произвести, создать, другими словами сотворить.</v>
      </c>
      <c r="AC1272" s="6" t="str">
        <f>IFERROR(__xludf.DUMMYFUNCTION("""COMPUTED_VALUE"""),"Культурных проектов.")</f>
        <v>Культурных проектов.</v>
      </c>
      <c r="AD1272"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272" s="6" t="str">
        <f>IFERROR(__xludf.DUMMYFUNCTION("""COMPUTED_VALUE"""),"Мужской")</f>
        <v>Мужской</v>
      </c>
      <c r="AF1272" s="6" t="str">
        <f>IFERROR(__xludf.DUMMYFUNCTION("""COMPUTED_VALUE"""),"30-44")</f>
        <v>30-44</v>
      </c>
      <c r="AG1272" s="6"/>
      <c r="AH1272" s="6"/>
      <c r="AI1272" s="6"/>
      <c r="AJ1272" s="6"/>
      <c r="AK1272" s="6"/>
      <c r="AL1272" s="6"/>
      <c r="AM1272" s="6"/>
    </row>
    <row r="1273">
      <c r="A1273" s="6">
        <v>1272.0</v>
      </c>
      <c r="B1273" s="6" t="str">
        <f>IFERROR(__xludf.DUMMYFUNCTION("""COMPUTED_VALUE"""),"Торговля")</f>
        <v>Торговля</v>
      </c>
      <c r="C1273" s="6" t="str">
        <f>IFERROR(__xludf.DUMMYFUNCTION("""COMPUTED_VALUE"""),"Нет")</f>
        <v>Нет</v>
      </c>
      <c r="D1273" s="6" t="str">
        <f>IFERROR(__xludf.DUMMYFUNCTION("""COMPUTED_VALUE"""),"Южный")</f>
        <v>Южный</v>
      </c>
      <c r="E1273" s="6" t="str">
        <f>IFERROR(__xludf.DUMMYFUNCTION("""COMPUTED_VALUE"""),"Аллея, Церковь, Памятник Гагарину")</f>
        <v>Аллея, Церковь, Памятник Гагарину</v>
      </c>
      <c r="F1273" s="6" t="str">
        <f>IFERROR(__xludf.DUMMYFUNCTION("""COMPUTED_VALUE"""),"Живу здесь с рождения")</f>
        <v>Живу здесь с рождения</v>
      </c>
      <c r="G1273" s="6" t="str">
        <f>IFERROR(__xludf.DUMMYFUNCTION("""COMPUTED_VALUE"""),"Парки")</f>
        <v>Парки</v>
      </c>
      <c r="H1273" s="6" t="str">
        <f>IFERROR(__xludf.DUMMYFUNCTION("""COMPUTED_VALUE"""),"Смог, дым, пробки, торговые центры, зимняя вишня")</f>
        <v>Смог, дым, пробки, торговые центры, зимняя вишня</v>
      </c>
      <c r="I1273" s="6" t="str">
        <f>IFERROR(__xludf.DUMMYFUNCTION("""COMPUTED_VALUE"""),"Михайлов, Тулеев")</f>
        <v>Михайлов, Тулеев</v>
      </c>
      <c r="J1273" s="6" t="str">
        <f>IFERROR(__xludf.DUMMYFUNCTION("""COMPUTED_VALUE"""),"Середюк")</f>
        <v>Середюк</v>
      </c>
      <c r="K1273" s="6" t="str">
        <f>IFERROR(__xludf.DUMMYFUNCTION("""COMPUTED_VALUE"""),"Памятник Шахтёру, парк ангелов, набережная")</f>
        <v>Памятник Шахтёру, парк ангелов, набережная</v>
      </c>
      <c r="L1273" s="6" t="str">
        <f>IFERROR(__xludf.DUMMYFUNCTION("""COMPUTED_VALUE"""),"Нет ответа")</f>
        <v>Нет ответа</v>
      </c>
      <c r="M1273" s="6" t="str">
        <f>IFERROR(__xludf.DUMMYFUNCTION("""COMPUTED_VALUE"""),"Нет")</f>
        <v>Нет</v>
      </c>
      <c r="N1273" s="6" t="str">
        <f>IFERROR(__xludf.DUMMYFUNCTION("""COMPUTED_VALUE"""),"Отсутствие пробок на дорогах, эффективная организация работы общественного транспорта, чистота, результативная работа правоохранительных органов, разнообразие выбора досуга")</f>
        <v>Отсутствие пробок на дорогах, эффективная организация работы общественного транспорта, чистота, результативная работа правоохранительных органов, разнообразие выбора досуга</v>
      </c>
      <c r="O1273" s="6" t="str">
        <f>IFERROR(__xludf.DUMMYFUNCTION("""COMPUTED_VALUE"""),"Улучшить экологическую обстановку")</f>
        <v>Улучшить экологическую обстановку</v>
      </c>
      <c r="P1273" s="6" t="str">
        <f>IFERROR(__xludf.DUMMYFUNCTION("""COMPUTED_VALUE"""),"Сибдепо")</f>
        <v>Сибдепо</v>
      </c>
      <c r="Q1273"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н"&amp;"а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1273" s="6" t="str">
        <f>IFERROR(__xludf.DUMMYFUNCTION("""COMPUTED_VALUE"""),"День города")</f>
        <v>День города</v>
      </c>
      <c r="S1273" s="6" t="str">
        <f>IFERROR(__xludf.DUMMYFUNCTION("""COMPUTED_VALUE"""),"Нет, не приходилось")</f>
        <v>Нет, не приходилось</v>
      </c>
      <c r="T1273" s="6" t="str">
        <f>IFERROR(__xludf.DUMMYFUNCTION("""COMPUTED_VALUE"""),"Столица Кузбасса")</f>
        <v>Столица Кузбасса</v>
      </c>
      <c r="U1273" s="6" t="str">
        <f>IFERROR(__xludf.DUMMYFUNCTION("""COMPUTED_VALUE"""),"Набережная р. Томи")</f>
        <v>Набережная р. Томи</v>
      </c>
      <c r="V1273" s="6" t="str">
        <f>IFERROR(__xludf.DUMMYFUNCTION("""COMPUTED_VALUE"""),"Нет ответа")</f>
        <v>Нет ответа</v>
      </c>
      <c r="W1273" s="6" t="str">
        <f>IFERROR(__xludf.DUMMYFUNCTION("""COMPUTED_VALUE"""),"Нет ответа")</f>
        <v>Нет ответа</v>
      </c>
      <c r="X1273" s="6" t="str">
        <f>IFERROR(__xludf.DUMMYFUNCTION("""COMPUTED_VALUE"""),"Набережная р. Томь")</f>
        <v>Набережная р. Томь</v>
      </c>
      <c r="Y1273" s="6" t="str">
        <f>IFERROR(__xludf.DUMMYFUNCTION("""COMPUTED_VALUE"""),"Рок фестиваль Геррои мирового рока")</f>
        <v>Рок фестиваль Геррои мирового рока</v>
      </c>
      <c r="Z1273" s="6" t="str">
        <f>IFERROR(__xludf.DUMMYFUNCTION("""COMPUTED_VALUE"""),"Рок фестиваль")</f>
        <v>Рок фестиваль</v>
      </c>
      <c r="AA1273" s="6" t="str">
        <f>IFERROR(__xludf.DUMMYFUNCTION("""COMPUTED_VALUE"""),"Закрытие бассейна Лазурный")</f>
        <v>Закрытие бассейна Лазурный</v>
      </c>
      <c r="AB1273" s="6" t="str">
        <f>IFERROR(__xludf.DUMMYFUNCTION("""COMPUTED_VALUE"""),"Нет ответа")</f>
        <v>Нет ответа</v>
      </c>
      <c r="AC1273" s="6" t="str">
        <f>IFERROR(__xludf.DUMMYFUNCTION("""COMPUTED_VALUE"""),"Нет ответа")</f>
        <v>Нет ответа</v>
      </c>
      <c r="AD127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273" s="6" t="str">
        <f>IFERROR(__xludf.DUMMYFUNCTION("""COMPUTED_VALUE"""),"Мужской")</f>
        <v>Мужской</v>
      </c>
      <c r="AF1273" s="6" t="str">
        <f>IFERROR(__xludf.DUMMYFUNCTION("""COMPUTED_VALUE"""),"30-44")</f>
        <v>30-44</v>
      </c>
      <c r="AG1273" s="6"/>
      <c r="AH1273" s="6"/>
      <c r="AI1273" s="6"/>
      <c r="AJ1273" s="6"/>
      <c r="AK1273" s="6"/>
      <c r="AL1273" s="6"/>
      <c r="AM1273" s="6"/>
    </row>
    <row r="1274">
      <c r="A1274" s="6">
        <v>1273.0</v>
      </c>
      <c r="B1274" s="6" t="str">
        <f>IFERROR(__xludf.DUMMYFUNCTION("""COMPUTED_VALUE"""),"Служащий ")</f>
        <v>Служащий </v>
      </c>
      <c r="C1274" s="6" t="str">
        <f>IFERROR(__xludf.DUMMYFUNCTION("""COMPUTED_VALUE"""),"Шитье")</f>
        <v>Шитье</v>
      </c>
      <c r="D1274" s="6" t="str">
        <f>IFERROR(__xludf.DUMMYFUNCTION("""COMPUTED_VALUE"""),"Заводский, ФПК")</f>
        <v>Заводский, ФПК</v>
      </c>
      <c r="E1274" s="6" t="str">
        <f>IFERROR(__xludf.DUMMYFUNCTION("""COMPUTED_VALUE"""),"Гостиный двор ")</f>
        <v>Гостиный двор </v>
      </c>
      <c r="F1274" s="6" t="str">
        <f>IFERROR(__xludf.DUMMYFUNCTION("""COMPUTED_VALUE"""),"Живу здесь с рождения")</f>
        <v>Живу здесь с рождения</v>
      </c>
      <c r="G1274" s="6" t="str">
        <f>IFERROR(__xludf.DUMMYFUNCTION("""COMPUTED_VALUE"""),"Набережная в центре")</f>
        <v>Набережная в центре</v>
      </c>
      <c r="H1274" s="6" t="str">
        <f>IFERROR(__xludf.DUMMYFUNCTION("""COMPUTED_VALUE"""),"Шахтёр, Томь, Красная горка, АИК, фонтан")</f>
        <v>Шахтёр, Томь, Красная горка, АИК, фонтан</v>
      </c>
      <c r="I1274" s="6" t="str">
        <f>IFERROR(__xludf.DUMMYFUNCTION("""COMPUTED_VALUE"""),"М.Волков, Рутгерс")</f>
        <v>М.Волков, Рутгерс</v>
      </c>
      <c r="J1274" s="6" t="str">
        <f>IFERROR(__xludf.DUMMYFUNCTION("""COMPUTED_VALUE"""),"В.В.Михайлов")</f>
        <v>В.В.Михайлов</v>
      </c>
      <c r="K1274" s="6" t="str">
        <f>IFERROR(__xludf.DUMMYFUNCTION("""COMPUTED_VALUE"""),"Монумент ""Память шахтёра Кузбасса "", музея-заповедника ""Красная горка""")</f>
        <v>Монумент "Память шахтёра Кузбасса ", музея-заповедника "Красная горка"</v>
      </c>
      <c r="L1274" s="6" t="str">
        <f>IFERROR(__xludf.DUMMYFUNCTION("""COMPUTED_VALUE"""),"Южный - никому не нужный.")</f>
        <v>Южный - никому не нужный.</v>
      </c>
      <c r="M1274" s="6" t="str">
        <f>IFERROR(__xludf.DUMMYFUNCTION("""COMPUTED_VALUE"""),"Нет")</f>
        <v>Нет</v>
      </c>
      <c r="N1274" s="6" t="str">
        <f>IFERROR(__xludf.DUMMYFUNCTION("""COMPUTED_VALUE"""),"Чистота, хорошо развитая сеть общественного транспорта, благоустроенные дворы, наличие современных и уютных зон отдыха, наличие детских садов и школ в шаговой доступности")</f>
        <v>Чистота, хорошо развитая сеть общественного транспорта, благоустроенные дворы, наличие современных и уютных зон отдыха, наличие детских садов и школ в шаговой доступности</v>
      </c>
      <c r="O1274" s="6" t="str">
        <f>IFERROR(__xludf.DUMMYFUNCTION("""COMPUTED_VALUE"""),"Работу общественного транспорта")</f>
        <v>Работу общественного транспорта</v>
      </c>
      <c r="P1274" s="6" t="str">
        <f>IFERROR(__xludf.DUMMYFUNCTION("""COMPUTED_VALUE"""),"Инстаграм")</f>
        <v>Инстаграм</v>
      </c>
      <c r="Q1274"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1274" s="6" t="str">
        <f>IFERROR(__xludf.DUMMYFUNCTION("""COMPUTED_VALUE"""),"Нет")</f>
        <v>Нет</v>
      </c>
      <c r="S1274" s="6" t="str">
        <f>IFERROR(__xludf.DUMMYFUNCTION("""COMPUTED_VALUE"""),"Обращался в редакции городских газет, телевидения, радио")</f>
        <v>Обращался в редакции городских газет, телевидения, радио</v>
      </c>
      <c r="T1274" s="6" t="str">
        <f>IFERROR(__xludf.DUMMYFUNCTION("""COMPUTED_VALUE"""),"Нет ответа")</f>
        <v>Нет ответа</v>
      </c>
      <c r="U1274" s="6" t="str">
        <f>IFERROR(__xludf.DUMMYFUNCTION("""COMPUTED_VALUE"""),"Памятник войнам-Кузбассовцам")</f>
        <v>Памятник войнам-Кузбассовцам</v>
      </c>
      <c r="V1274" s="6" t="str">
        <f>IFERROR(__xludf.DUMMYFUNCTION("""COMPUTED_VALUE"""),"Нет ответа")</f>
        <v>Нет ответа</v>
      </c>
      <c r="W1274" s="6" t="str">
        <f>IFERROR(__xludf.DUMMYFUNCTION("""COMPUTED_VALUE"""),"Сердобольные")</f>
        <v>Сердобольные</v>
      </c>
      <c r="X1274" s="6" t="str">
        <f>IFERROR(__xludf.DUMMYFUNCTION("""COMPUTED_VALUE"""),"Прогулка по центру")</f>
        <v>Прогулка по центру</v>
      </c>
      <c r="Y1274" s="6" t="str">
        <f>IFERROR(__xludf.DUMMYFUNCTION("""COMPUTED_VALUE"""),"Переименование ")</f>
        <v>Переименование </v>
      </c>
      <c r="Z1274" s="6" t="str">
        <f>IFERROR(__xludf.DUMMYFUNCTION("""COMPUTED_VALUE"""),"Рок-концерт мировых звезд")</f>
        <v>Рок-концерт мировых звезд</v>
      </c>
      <c r="AA1274" s="6" t="str">
        <f>IFERROR(__xludf.DUMMYFUNCTION("""COMPUTED_VALUE"""),"Митинги ")</f>
        <v>Митинги </v>
      </c>
      <c r="AB1274" s="6" t="str">
        <f>IFERROR(__xludf.DUMMYFUNCTION("""COMPUTED_VALUE"""),"Всех хватает")</f>
        <v>Всех хватает</v>
      </c>
      <c r="AC1274" s="6" t="str">
        <f>IFERROR(__xludf.DUMMYFUNCTION("""COMPUTED_VALUE"""),"Проведение масштабных концертов или фестивалей на открытых площадках (по типу рок-концерта)")</f>
        <v>Проведение масштабных концертов или фестивалей на открытых площадках (по типу рок-концерта)</v>
      </c>
      <c r="AD127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74" s="6" t="str">
        <f>IFERROR(__xludf.DUMMYFUNCTION("""COMPUTED_VALUE"""),"Женский")</f>
        <v>Женский</v>
      </c>
      <c r="AF1274" s="6" t="str">
        <f>IFERROR(__xludf.DUMMYFUNCTION("""COMPUTED_VALUE"""),"30-44")</f>
        <v>30-44</v>
      </c>
      <c r="AG1274" s="6"/>
      <c r="AH1274" s="6"/>
      <c r="AI1274" s="6"/>
      <c r="AJ1274" s="6"/>
      <c r="AK1274" s="6"/>
      <c r="AL1274" s="6"/>
      <c r="AM1274" s="6"/>
    </row>
    <row r="1275">
      <c r="A1275" s="6">
        <v>1274.0</v>
      </c>
      <c r="B1275" s="6" t="str">
        <f>IFERROR(__xludf.DUMMYFUNCTION("""COMPUTED_VALUE"""),"Проектирование ")</f>
        <v>Проектирование </v>
      </c>
      <c r="C1275" s="6" t="str">
        <f>IFERROR(__xludf.DUMMYFUNCTION("""COMPUTED_VALUE"""),"Бассейн")</f>
        <v>Бассейн</v>
      </c>
      <c r="D1275" s="6" t="str">
        <f>IFERROR(__xludf.DUMMYFUNCTION("""COMPUTED_VALUE"""),"Южный")</f>
        <v>Южный</v>
      </c>
      <c r="E1275" s="6" t="str">
        <f>IFERROR(__xludf.DUMMYFUNCTION("""COMPUTED_VALUE"""),"Мой дом")</f>
        <v>Мой дом</v>
      </c>
      <c r="F1275" s="6" t="str">
        <f>IFERROR(__xludf.DUMMYFUNCTION("""COMPUTED_VALUE"""),"Живу здесь с рождения")</f>
        <v>Живу здесь с рождения</v>
      </c>
      <c r="G1275" s="6" t="str">
        <f>IFERROR(__xludf.DUMMYFUNCTION("""COMPUTED_VALUE"""),"Набережная, сосновый бор, бульвар строителей")</f>
        <v>Набережная, сосновый бор, бульвар строителей</v>
      </c>
      <c r="H1275" s="6" t="str">
        <f>IFERROR(__xludf.DUMMYFUNCTION("""COMPUTED_VALUE"""),"Затрудняюсь с ответом")</f>
        <v>Затрудняюсь с ответом</v>
      </c>
      <c r="I1275" s="6" t="str">
        <f>IFERROR(__xludf.DUMMYFUNCTION("""COMPUTED_VALUE"""),"Леонов, Гришковец")</f>
        <v>Леонов, Гришковец</v>
      </c>
      <c r="J1275" s="6" t="str">
        <f>IFERROR(__xludf.DUMMYFUNCTION("""COMPUTED_VALUE"""),"Полудюк")</f>
        <v>Полудюк</v>
      </c>
      <c r="K1275" s="6" t="str">
        <f>IFERROR(__xludf.DUMMYFUNCTION("""COMPUTED_VALUE"""),"Вершина горы у шашлычек на правом берегу реки Томь, там хорошая панорама на город, было бы уместно сделать там смотровую площадку")</f>
        <v>Вершина горы у шашлычек на правом берегу реки Томь, там хорошая панорама на город, было бы уместно сделать там смотровую площадку</v>
      </c>
      <c r="L1275" s="6" t="str">
        <f>IFERROR(__xludf.DUMMYFUNCTION("""COMPUTED_VALUE"""),"Снег - это к потеплению")</f>
        <v>Снег - это к потеплению</v>
      </c>
      <c r="M1275" s="6" t="str">
        <f>IFERROR(__xludf.DUMMYFUNCTION("""COMPUTED_VALUE"""),"Нет, не знаю")</f>
        <v>Нет, не знаю</v>
      </c>
      <c r="N1275" s="6" t="str">
        <f>IFERROR(__xludf.DUMMYFUNCTION("""COMPUTED_VALUE"""),"Чистота, качество автомобильных дорог, отсутствие уличной рекламы, отсутствие ПАЗиков в качестве общественного транспорта, наличие парков")</f>
        <v>Чистота, качество автомобильных дорог, отсутствие уличной рекламы, отсутствие ПАЗиков в качестве общественного транспорта, наличие парков</v>
      </c>
      <c r="O1275" s="6" t="str">
        <f>IFERROR(__xludf.DUMMYFUNCTION("""COMPUTED_VALUE"""),"Убрать ПАЗики и вообще убрать маршрутки, заменить их автобусами")</f>
        <v>Убрать ПАЗики и вообще убрать маршрутки, заменить их автобусами</v>
      </c>
      <c r="P1275" s="6" t="str">
        <f>IFERROR(__xludf.DUMMYFUNCTION("""COMPUTED_VALUE"""),"Кузбасс онлайн - приложение ")</f>
        <v>Кузбасс онлайн - приложение </v>
      </c>
      <c r="Q1275"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1275" s="6" t="str">
        <f>IFERROR(__xludf.DUMMYFUNCTION("""COMPUTED_VALUE"""),"9 мая, новый год")</f>
        <v>9 мая, новый год</v>
      </c>
      <c r="S1275" s="6" t="str">
        <f>IFERROR(__xludf.DUMMYFUNCTION("""COMPUTED_VALUE"""),"Нет, не приходилось")</f>
        <v>Нет, не приходилось</v>
      </c>
      <c r="T1275" s="6" t="str">
        <f>IFERROR(__xludf.DUMMYFUNCTION("""COMPUTED_VALUE"""),"Затрудняюсь ответить")</f>
        <v>Затрудняюсь ответить</v>
      </c>
      <c r="U1275" s="6" t="str">
        <f>IFERROR(__xludf.DUMMYFUNCTION("""COMPUTED_VALUE"""),"Драмтеатр")</f>
        <v>Драмтеатр</v>
      </c>
      <c r="V1275" s="6" t="str">
        <f>IFERROR(__xludf.DUMMYFUNCTION("""COMPUTED_VALUE"""),"Затрудняюсь ответить")</f>
        <v>Затрудняюсь ответить</v>
      </c>
      <c r="W1275" s="6" t="str">
        <f>IFERROR(__xludf.DUMMYFUNCTION("""COMPUTED_VALUE"""),"Спокойные, не спешат, отзывчивые")</f>
        <v>Спокойные, не спешат, отзывчивые</v>
      </c>
      <c r="X1275" s="6" t="str">
        <f>IFERROR(__xludf.DUMMYFUNCTION("""COMPUTED_VALUE"""),"Площадь Советов - Городской сад (по набережной)")</f>
        <v>Площадь Советов - Городской сад (по набережной)</v>
      </c>
      <c r="Y1275" s="6" t="str">
        <f>IFERROR(__xludf.DUMMYFUNCTION("""COMPUTED_VALUE"""),"Смена губернатора")</f>
        <v>Смена губернатора</v>
      </c>
      <c r="Z1275" s="6" t="str">
        <f>IFERROR(__xludf.DUMMYFUNCTION("""COMPUTED_VALUE"""),"Строительство новых культурно-спортивно-развлекательных объектов, концерт стройсервис")</f>
        <v>Строительство новых культурно-спортивно-развлекательных объектов, концерт стройсервис</v>
      </c>
      <c r="AA1275" s="6" t="str">
        <f>IFERROR(__xludf.DUMMYFUNCTION("""COMPUTED_VALUE"""),"Строительство на территории Храма на двужильного постройки, закрывающей вид на храм и портящей облик города")</f>
        <v>Строительство на территории Храма на двужильного постройки, закрывающей вид на храм и портящей облик города</v>
      </c>
      <c r="AB1275" s="6" t="str">
        <f>IFERROR(__xludf.DUMMYFUNCTION("""COMPUTED_VALUE"""),"Всего хватает")</f>
        <v>Всего хватает</v>
      </c>
      <c r="AC1275" s="6" t="str">
        <f>IFERROR(__xludf.DUMMYFUNCTION("""COMPUTED_VALUE"""),"Крупные спортивные мероприятия")</f>
        <v>Крупные спортивные мероприятия</v>
      </c>
      <c r="AD1275"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275" s="6" t="str">
        <f>IFERROR(__xludf.DUMMYFUNCTION("""COMPUTED_VALUE"""),"Мужской")</f>
        <v>Мужской</v>
      </c>
      <c r="AF1275" s="6" t="str">
        <f>IFERROR(__xludf.DUMMYFUNCTION("""COMPUTED_VALUE"""),"30-44")</f>
        <v>30-44</v>
      </c>
      <c r="AG1275" s="6"/>
      <c r="AH1275" s="6"/>
      <c r="AI1275" s="6"/>
      <c r="AJ1275" s="6"/>
      <c r="AK1275" s="6"/>
      <c r="AL1275" s="6"/>
      <c r="AM1275" s="6"/>
    </row>
    <row r="1276">
      <c r="A1276" s="6">
        <v>1275.0</v>
      </c>
      <c r="B1276" s="6" t="str">
        <f>IFERROR(__xludf.DUMMYFUNCTION("""COMPUTED_VALUE"""),"Проектирование ")</f>
        <v>Проектирование </v>
      </c>
      <c r="C1276" s="6" t="str">
        <f>IFERROR(__xludf.DUMMYFUNCTION("""COMPUTED_VALUE"""),"Бассейн")</f>
        <v>Бассейн</v>
      </c>
      <c r="D1276" s="6" t="str">
        <f>IFERROR(__xludf.DUMMYFUNCTION("""COMPUTED_VALUE"""),"Южный")</f>
        <v>Южный</v>
      </c>
      <c r="E1276" s="6" t="str">
        <f>IFERROR(__xludf.DUMMYFUNCTION("""COMPUTED_VALUE"""),"Мой дом")</f>
        <v>Мой дом</v>
      </c>
      <c r="F1276" s="6" t="str">
        <f>IFERROR(__xludf.DUMMYFUNCTION("""COMPUTED_VALUE"""),"Живу здесь с рождения")</f>
        <v>Живу здесь с рождения</v>
      </c>
      <c r="G1276" s="6" t="str">
        <f>IFERROR(__xludf.DUMMYFUNCTION("""COMPUTED_VALUE"""),"Набережная, сосновый бор, бульвар строителей")</f>
        <v>Набережная, сосновый бор, бульвар строителей</v>
      </c>
      <c r="H1276" s="6" t="str">
        <f>IFERROR(__xludf.DUMMYFUNCTION("""COMPUTED_VALUE"""),"Затрудняюсь с ответом")</f>
        <v>Затрудняюсь с ответом</v>
      </c>
      <c r="I1276" s="6" t="str">
        <f>IFERROR(__xludf.DUMMYFUNCTION("""COMPUTED_VALUE"""),"Леонов, Гришковец")</f>
        <v>Леонов, Гришковец</v>
      </c>
      <c r="J1276" s="6" t="str">
        <f>IFERROR(__xludf.DUMMYFUNCTION("""COMPUTED_VALUE"""),"Полудюк")</f>
        <v>Полудюк</v>
      </c>
      <c r="K1276" s="6" t="str">
        <f>IFERROR(__xludf.DUMMYFUNCTION("""COMPUTED_VALUE"""),"Вершина горы у шашлычек на правом берегу реки Томь, там хорошая панорама на город, было бы уместно сделать там смотровую площадку")</f>
        <v>Вершина горы у шашлычек на правом берегу реки Томь, там хорошая панорама на город, было бы уместно сделать там смотровую площадку</v>
      </c>
      <c r="L1276" s="6" t="str">
        <f>IFERROR(__xludf.DUMMYFUNCTION("""COMPUTED_VALUE"""),"Снег - это к потеплению")</f>
        <v>Снег - это к потеплению</v>
      </c>
      <c r="M1276" s="6" t="str">
        <f>IFERROR(__xludf.DUMMYFUNCTION("""COMPUTED_VALUE"""),"Нет, не знаю")</f>
        <v>Нет, не знаю</v>
      </c>
      <c r="N1276" s="6" t="str">
        <f>IFERROR(__xludf.DUMMYFUNCTION("""COMPUTED_VALUE"""),"Чистота, качество автомобильных дорог, отсутствие уличной рекламы, отсутствие ПАЗиков в качестве общественного транспорта, наличие парков")</f>
        <v>Чистота, качество автомобильных дорог, отсутствие уличной рекламы, отсутствие ПАЗиков в качестве общественного транспорта, наличие парков</v>
      </c>
      <c r="O1276" s="6" t="str">
        <f>IFERROR(__xludf.DUMMYFUNCTION("""COMPUTED_VALUE"""),"Убрать ПАЗики и вообще убрать маршрутки, заменить их автобусами")</f>
        <v>Убрать ПАЗики и вообще убрать маршрутки, заменить их автобусами</v>
      </c>
      <c r="P1276" s="6" t="str">
        <f>IFERROR(__xludf.DUMMYFUNCTION("""COMPUTED_VALUE"""),"Кузбасс онлайн - приложение ")</f>
        <v>Кузбасс онлайн - приложение </v>
      </c>
      <c r="Q1276"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1276" s="6" t="str">
        <f>IFERROR(__xludf.DUMMYFUNCTION("""COMPUTED_VALUE"""),"9 мая, новый год")</f>
        <v>9 мая, новый год</v>
      </c>
      <c r="S1276" s="6" t="str">
        <f>IFERROR(__xludf.DUMMYFUNCTION("""COMPUTED_VALUE"""),"Нет, не приходилось")</f>
        <v>Нет, не приходилось</v>
      </c>
      <c r="T1276" s="6" t="str">
        <f>IFERROR(__xludf.DUMMYFUNCTION("""COMPUTED_VALUE"""),"Затрудняюсь ответить")</f>
        <v>Затрудняюсь ответить</v>
      </c>
      <c r="U1276" s="6" t="str">
        <f>IFERROR(__xludf.DUMMYFUNCTION("""COMPUTED_VALUE"""),"Драмтеатр")</f>
        <v>Драмтеатр</v>
      </c>
      <c r="V1276" s="6" t="str">
        <f>IFERROR(__xludf.DUMMYFUNCTION("""COMPUTED_VALUE"""),"Затрудняюсь ответить")</f>
        <v>Затрудняюсь ответить</v>
      </c>
      <c r="W1276" s="6" t="str">
        <f>IFERROR(__xludf.DUMMYFUNCTION("""COMPUTED_VALUE"""),"Спокойные, не спешат, отзывчивые")</f>
        <v>Спокойные, не спешат, отзывчивые</v>
      </c>
      <c r="X1276" s="6" t="str">
        <f>IFERROR(__xludf.DUMMYFUNCTION("""COMPUTED_VALUE"""),"Площадь Советов - Городской сад (по набережной)")</f>
        <v>Площадь Советов - Городской сад (по набережной)</v>
      </c>
      <c r="Y1276" s="6" t="str">
        <f>IFERROR(__xludf.DUMMYFUNCTION("""COMPUTED_VALUE"""),"Смена губернатора")</f>
        <v>Смена губернатора</v>
      </c>
      <c r="Z1276" s="6" t="str">
        <f>IFERROR(__xludf.DUMMYFUNCTION("""COMPUTED_VALUE"""),"Строительство новых культурно-спортивно-развлекательных объектов, концерт стройсервис")</f>
        <v>Строительство новых культурно-спортивно-развлекательных объектов, концерт стройсервис</v>
      </c>
      <c r="AA1276" s="6" t="str">
        <f>IFERROR(__xludf.DUMMYFUNCTION("""COMPUTED_VALUE"""),"Строительство на территории Храма на двужильного постройки, закрывающей вид на храм и портящей облик города")</f>
        <v>Строительство на территории Храма на двужильного постройки, закрывающей вид на храм и портящей облик города</v>
      </c>
      <c r="AB1276" s="6" t="str">
        <f>IFERROR(__xludf.DUMMYFUNCTION("""COMPUTED_VALUE"""),"Всего хватает")</f>
        <v>Всего хватает</v>
      </c>
      <c r="AC1276" s="6" t="str">
        <f>IFERROR(__xludf.DUMMYFUNCTION("""COMPUTED_VALUE"""),"Крупные спортивные мероприятия")</f>
        <v>Крупные спортивные мероприятия</v>
      </c>
      <c r="AD1276"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276" s="6" t="str">
        <f>IFERROR(__xludf.DUMMYFUNCTION("""COMPUTED_VALUE"""),"Мужской")</f>
        <v>Мужской</v>
      </c>
      <c r="AF1276" s="6" t="str">
        <f>IFERROR(__xludf.DUMMYFUNCTION("""COMPUTED_VALUE"""),"30-44")</f>
        <v>30-44</v>
      </c>
      <c r="AG1276" s="6"/>
      <c r="AH1276" s="6"/>
      <c r="AI1276" s="6"/>
      <c r="AJ1276" s="6"/>
      <c r="AK1276" s="6"/>
      <c r="AL1276" s="6"/>
      <c r="AM1276" s="6"/>
    </row>
    <row r="1277">
      <c r="A1277" s="6">
        <v>1276.0</v>
      </c>
      <c r="B1277" s="6" t="str">
        <f>IFERROR(__xludf.DUMMYFUNCTION("""COMPUTED_VALUE"""),"Работаю здравоохранение. Врач ")</f>
        <v>Работаю здравоохранение. Врач </v>
      </c>
      <c r="C1277" s="6" t="str">
        <f>IFERROR(__xludf.DUMMYFUNCTION("""COMPUTED_VALUE"""),"Занимаюсь бегом")</f>
        <v>Занимаюсь бегом</v>
      </c>
      <c r="D1277" s="6" t="str">
        <f>IFERROR(__xludf.DUMMYFUNCTION("""COMPUTED_VALUE"""),"Рудничный район. Радуга. ")</f>
        <v>Рудничный район. Радуга. </v>
      </c>
      <c r="E1277" s="6" t="str">
        <f>IFERROR(__xludf.DUMMYFUNCTION("""COMPUTED_VALUE"""),"Сосновый бор")</f>
        <v>Сосновый бор</v>
      </c>
      <c r="F1277" s="6" t="str">
        <f>IFERROR(__xludf.DUMMYFUNCTION("""COMPUTED_VALUE"""),"Живу здесь с рождения")</f>
        <v>Живу здесь с рождения</v>
      </c>
      <c r="G1277" s="6" t="str">
        <f>IFERROR(__xludf.DUMMYFUNCTION("""COMPUTED_VALUE"""),"Сосновый бор и центральная (притомская) набережная ")</f>
        <v>Сосновый бор и центральная (притомская) набережная </v>
      </c>
      <c r="H1277" s="6" t="str">
        <f>IFERROR(__xludf.DUMMYFUNCTION("""COMPUTED_VALUE"""),"Уголь")</f>
        <v>Уголь</v>
      </c>
      <c r="I1277" s="6" t="str">
        <f>IFERROR(__xludf.DUMMYFUNCTION("""COMPUTED_VALUE"""),"Подгорбунский")</f>
        <v>Подгорбунский</v>
      </c>
      <c r="J1277" s="6" t="str">
        <f>IFERROR(__xludf.DUMMYFUNCTION("""COMPUTED_VALUE"""),"Акад. БАРБАРАШ Л. С. ")</f>
        <v>Акад. БАРБАРАШ Л. С. </v>
      </c>
      <c r="K1277" s="6" t="str">
        <f>IFERROR(__xludf.DUMMYFUNCTION("""COMPUTED_VALUE"""),"Нету")</f>
        <v>Нету</v>
      </c>
      <c r="L1277" s="6" t="str">
        <f>IFERROR(__xludf.DUMMYFUNCTION("""COMPUTED_VALUE"""),"Нету")</f>
        <v>Нету</v>
      </c>
      <c r="M1277" s="6" t="str">
        <f>IFERROR(__xludf.DUMMYFUNCTION("""COMPUTED_VALUE"""),"Нет ")</f>
        <v>Нет </v>
      </c>
      <c r="N1277" s="6" t="str">
        <f>IFERROR(__xludf.DUMMYFUNCTION("""COMPUTED_VALUE"""),"Экология, работа, отдых")</f>
        <v>Экология, работа, отдых</v>
      </c>
      <c r="O1277" s="6" t="str">
        <f>IFERROR(__xludf.DUMMYFUNCTION("""COMPUTED_VALUE"""),"Улучшить экологию, зоны отдыха ")</f>
        <v>Улучшить экологию, зоны отдыха </v>
      </c>
      <c r="P1277" s="6" t="str">
        <f>IFERROR(__xludf.DUMMYFUNCTION("""COMPUTED_VALUE"""),"Яндекс,")</f>
        <v>Яндекс,</v>
      </c>
      <c r="Q1277" s="6" t="str">
        <f>IFERROR(__xludf.DUMMYFUNCTION("""COMPUTED_VALUE"""),"куда пойти в свободное время")</f>
        <v>куда пойти в свободное время</v>
      </c>
      <c r="R1277" s="6" t="str">
        <f>IFERROR(__xludf.DUMMYFUNCTION("""COMPUTED_VALUE"""),"9 мая")</f>
        <v>9 мая</v>
      </c>
      <c r="S1277" s="6" t="str">
        <f>IFERROR(__xludf.DUMMYFUNCTION("""COMPUTED_VALUE"""),"Нет, не приходилось")</f>
        <v>Нет, не приходилось</v>
      </c>
      <c r="T1277" s="6" t="str">
        <f>IFERROR(__xludf.DUMMYFUNCTION("""COMPUTED_VALUE"""),"Плохая экология")</f>
        <v>Плохая экология</v>
      </c>
      <c r="U1277" s="6" t="str">
        <f>IFERROR(__xludf.DUMMYFUNCTION("""COMPUTED_VALUE"""),"Нету")</f>
        <v>Нету</v>
      </c>
      <c r="V1277" s="6" t="str">
        <f>IFERROR(__xludf.DUMMYFUNCTION("""COMPUTED_VALUE"""),"Ни чего ")</f>
        <v>Ни чего </v>
      </c>
      <c r="W1277" s="6" t="str">
        <f>IFERROR(__xludf.DUMMYFUNCTION("""COMPUTED_VALUE"""),"Терпеливые")</f>
        <v>Терпеливые</v>
      </c>
      <c r="X1277" s="6" t="str">
        <f>IFERROR(__xludf.DUMMYFUNCTION("""COMPUTED_VALUE"""),"Сосновый бор ")</f>
        <v>Сосновый бор </v>
      </c>
      <c r="Y1277" s="6" t="str">
        <f>IFERROR(__xludf.DUMMYFUNCTION("""COMPUTED_VALUE"""),"Чемпионат мира по хоккею с мячом ")</f>
        <v>Чемпионат мира по хоккею с мячом </v>
      </c>
      <c r="Z1277" s="6" t="str">
        <f>IFERROR(__xludf.DUMMYFUNCTION("""COMPUTED_VALUE"""),"Не какие ")</f>
        <v>Не какие </v>
      </c>
      <c r="AA1277" s="6" t="str">
        <f>IFERROR(__xludf.DUMMYFUNCTION("""COMPUTED_VALUE"""),"Плохая экология")</f>
        <v>Плохая экология</v>
      </c>
      <c r="AB1277" s="6" t="str">
        <f>IFERROR(__xludf.DUMMYFUNCTION("""COMPUTED_VALUE"""),"Спортивных")</f>
        <v>Спортивных</v>
      </c>
      <c r="AC1277" s="6" t="str">
        <f>IFERROR(__xludf.DUMMYFUNCTION("""COMPUTED_VALUE"""),"Спортивные ")</f>
        <v>Спортивные </v>
      </c>
      <c r="AD127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277" s="6" t="str">
        <f>IFERROR(__xludf.DUMMYFUNCTION("""COMPUTED_VALUE"""),"Мужской")</f>
        <v>Мужской</v>
      </c>
      <c r="AF1277" s="6" t="str">
        <f>IFERROR(__xludf.DUMMYFUNCTION("""COMPUTED_VALUE"""),"30-44")</f>
        <v>30-44</v>
      </c>
      <c r="AG1277" s="6"/>
      <c r="AH1277" s="6"/>
      <c r="AI1277" s="6"/>
      <c r="AJ1277" s="6"/>
      <c r="AK1277" s="6"/>
      <c r="AL1277" s="6"/>
      <c r="AM1277" s="6"/>
    </row>
    <row r="1278">
      <c r="A1278" s="6">
        <v>1277.0</v>
      </c>
      <c r="B1278" s="6" t="str">
        <f>IFERROR(__xludf.DUMMYFUNCTION("""COMPUTED_VALUE"""),"Создание  транспортной Инфраструктуры ")</f>
        <v>Создание  транспортной Инфраструктуры </v>
      </c>
      <c r="C1278" s="6" t="str">
        <f>IFERROR(__xludf.DUMMYFUNCTION("""COMPUTED_VALUE"""),"Лыжные гонки, бег, ")</f>
        <v>Лыжные гонки, бег, </v>
      </c>
      <c r="D1278" s="6" t="str">
        <f>IFERROR(__xludf.DUMMYFUNCTION("""COMPUTED_VALUE"""),"ФПК")</f>
        <v>ФПК</v>
      </c>
      <c r="E1278" s="6" t="str">
        <f>IFERROR(__xludf.DUMMYFUNCTION("""COMPUTED_VALUE"""),"ТРК Гринвич")</f>
        <v>ТРК Гринвич</v>
      </c>
      <c r="F1278" s="6" t="str">
        <f>IFERROR(__xludf.DUMMYFUNCTION("""COMPUTED_VALUE"""),"Переехал сюда из другого места (откуда? укажите в графе другое), Из города Тайга")</f>
        <v>Переехал сюда из другого места (откуда? укажите в графе другое), Из города Тайга</v>
      </c>
      <c r="G1278" s="6" t="str">
        <f>IFERROR(__xludf.DUMMYFUNCTION("""COMPUTED_VALUE"""),"Сосновый Бор, набережная, Комсомольский парк, Кировская набережная, площадь Ленина")</f>
        <v>Сосновый Бор, набережная, Комсомольский парк, Кировская набережная, площадь Ленина</v>
      </c>
      <c r="H1278" s="6" t="str">
        <f>IFERROR(__xludf.DUMMYFUNCTION("""COMPUTED_VALUE"""),"Большая Площадь, лесной  парк, торговые Центры, ")</f>
        <v>Большая Площадь, лесной  парк, торговые Центры, </v>
      </c>
      <c r="I1278" s="6" t="str">
        <f>IFERROR(__xludf.DUMMYFUNCTION("""COMPUTED_VALUE"""),"Волков, ")</f>
        <v>Волков, </v>
      </c>
      <c r="J1278" s="6" t="str">
        <f>IFERROR(__xludf.DUMMYFUNCTION("""COMPUTED_VALUE"""),"Михайлов")</f>
        <v>Михайлов</v>
      </c>
      <c r="K1278" s="6" t="str">
        <f>IFERROR(__xludf.DUMMYFUNCTION("""COMPUTED_VALUE"""),"Надпись КЕМЕРОВО, сердце Шахтера")</f>
        <v>Надпись КЕМЕРОВО, сердце Шахтера</v>
      </c>
      <c r="L1278" s="6" t="str">
        <f>IFERROR(__xludf.DUMMYFUNCTION("""COMPUTED_VALUE"""),"Песня «Человек из Кемерово»")</f>
        <v>Песня «Человек из Кемерово»</v>
      </c>
      <c r="M1278" s="6" t="str">
        <f>IFERROR(__xludf.DUMMYFUNCTION("""COMPUTED_VALUE"""),"Нет")</f>
        <v>Нет</v>
      </c>
      <c r="N1278" s="6" t="str">
        <f>IFERROR(__xludf.DUMMYFUNCTION("""COMPUTED_VALUE"""),"Чистый воздух, зелёные парки, ТРК, автодороги")</f>
        <v>Чистый воздух, зелёные парки, ТРК, автодороги</v>
      </c>
      <c r="O1278" s="6" t="str">
        <f>IFERROR(__xludf.DUMMYFUNCTION("""COMPUTED_VALUE"""),"Запретить строительство новых спальных микрорайонов в черте города Кемерово...сделать несколько городов-спутников для жилья и социального обеспечения ...сделать Кемерово промышленным центром...")</f>
        <v>Запретить строительство новых спальных микрорайонов в черте города Кемерово...сделать несколько городов-спутников для жилья и социального обеспечения ...сделать Кемерово промышленным центром...</v>
      </c>
      <c r="P1278" s="6" t="str">
        <f>IFERROR(__xludf.DUMMYFUNCTION("""COMPUTED_VALUE"""),"Инстаграм мэра и губернатора")</f>
        <v>Инстаграм мэра и губернатора</v>
      </c>
      <c r="Q1278" s="6" t="str">
        <f>IFERROR(__xludf.DUMMYFUNCTION("""COMPUTED_VALUE"""),"интервью с местными политиками, интервью с местными творческими личностями, интервью с местными предпринимателями")</f>
        <v>интервью с местными политиками, интервью с местными творческими личностями, интервью с местными предпринимателями</v>
      </c>
      <c r="R1278" s="6" t="str">
        <f>IFERROR(__xludf.DUMMYFUNCTION("""COMPUTED_VALUE"""),"День шахтера, День Железнодорожника")</f>
        <v>День шахтера, День Железнодорожника</v>
      </c>
      <c r="S1278" s="6" t="str">
        <f>IFERROR(__xludf.DUMMYFUNCTION("""COMPUTED_VALUE"""),"Нет, не приходилось")</f>
        <v>Нет, не приходилось</v>
      </c>
      <c r="T1278" s="6" t="str">
        <f>IFERROR(__xludf.DUMMYFUNCTION("""COMPUTED_VALUE"""),"Печально «Зимняя Вишня»")</f>
        <v>Печально «Зимняя Вишня»</v>
      </c>
      <c r="U1278" s="6" t="str">
        <f>IFERROR(__xludf.DUMMYFUNCTION("""COMPUTED_VALUE"""),"Площадь Советов")</f>
        <v>Площадь Советов</v>
      </c>
      <c r="V1278" s="6" t="str">
        <f>IFERROR(__xludf.DUMMYFUNCTION("""COMPUTED_VALUE"""),"Михайлов построил Лесную Поляну")</f>
        <v>Михайлов построил Лесную Поляну</v>
      </c>
      <c r="W1278" s="6" t="str">
        <f>IFERROR(__xludf.DUMMYFUNCTION("""COMPUTED_VALUE"""),"Надежные, ответственные, скромные, обстоятельные..")</f>
        <v>Надежные, ответственные, скромные, обстоятельные..</v>
      </c>
      <c r="X1278" s="6" t="str">
        <f>IFERROR(__xludf.DUMMYFUNCTION("""COMPUTED_VALUE"""),"Площадь Советов , набережная")</f>
        <v>Площадь Советов , набережная</v>
      </c>
      <c r="Y1278" s="6" t="str">
        <f>IFERROR(__xludf.DUMMYFUNCTION("""COMPUTED_VALUE"""),"Чемпионат Мира по Бенди ")</f>
        <v>Чемпионат Мира по Бенди </v>
      </c>
      <c r="Z1278" s="6" t="str">
        <f>IFERROR(__xludf.DUMMYFUNCTION("""COMPUTED_VALUE"""),"День Шахтера")</f>
        <v>День Шахтера</v>
      </c>
      <c r="AA1278" s="6" t="str">
        <f>IFERROR(__xludf.DUMMYFUNCTION("""COMPUTED_VALUE"""),"Зимняя Вишня")</f>
        <v>Зимняя Вишня</v>
      </c>
      <c r="AB1278" s="6" t="str">
        <f>IFERROR(__xludf.DUMMYFUNCTION("""COMPUTED_VALUE"""),"Спортсменов, лыжников и легкоатлетов")</f>
        <v>Спортсменов, лыжников и легкоатлетов</v>
      </c>
      <c r="AC1278" s="6" t="str">
        <f>IFERROR(__xludf.DUMMYFUNCTION("""COMPUTED_VALUE"""),"Образование новых городов-спутников")</f>
        <v>Образование новых городов-спутников</v>
      </c>
      <c r="AD127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78" s="6" t="str">
        <f>IFERROR(__xludf.DUMMYFUNCTION("""COMPUTED_VALUE"""),"Мужской")</f>
        <v>Мужской</v>
      </c>
      <c r="AF1278" s="6" t="str">
        <f>IFERROR(__xludf.DUMMYFUNCTION("""COMPUTED_VALUE"""),"30-44")</f>
        <v>30-44</v>
      </c>
      <c r="AG1278" s="6"/>
      <c r="AH1278" s="6"/>
      <c r="AI1278" s="6"/>
      <c r="AJ1278" s="6"/>
      <c r="AK1278" s="6"/>
      <c r="AL1278" s="6"/>
      <c r="AM1278" s="6"/>
    </row>
    <row r="1279">
      <c r="A1279" s="6">
        <v>1278.0</v>
      </c>
      <c r="B1279" s="6" t="str">
        <f>IFERROR(__xludf.DUMMYFUNCTION("""COMPUTED_VALUE"""),"Менеджер по продажам ")</f>
        <v>Менеджер по продажам </v>
      </c>
      <c r="C1279" s="6" t="str">
        <f>IFERROR(__xludf.DUMMYFUNCTION("""COMPUTED_VALUE"""),"Прогулки ")</f>
        <v>Прогулки </v>
      </c>
      <c r="D1279" s="6" t="str">
        <f>IFERROR(__xludf.DUMMYFUNCTION("""COMPUTED_VALUE"""),"Ленинский")</f>
        <v>Ленинский</v>
      </c>
      <c r="E1279" s="6" t="str">
        <f>IFERROR(__xludf.DUMMYFUNCTION("""COMPUTED_VALUE"""),"Бульвар")</f>
        <v>Бульвар</v>
      </c>
      <c r="F1279"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1279" s="6" t="str">
        <f>IFERROR(__xludf.DUMMYFUNCTION("""COMPUTED_VALUE"""),"Бульвар строителей; набережная.
")</f>
        <v>Бульвар строителей; набережная.
</v>
      </c>
      <c r="H1279" s="6" t="str">
        <f>IFERROR(__xludf.DUMMYFUNCTION("""COMPUTED_VALUE"""),"Не пыльный; хорошие дороги. Старый центр. ")</f>
        <v>Не пыльный; хорошие дороги. Старый центр. </v>
      </c>
      <c r="I1279" s="6" t="str">
        <f>IFERROR(__xludf.DUMMYFUNCTION("""COMPUTED_VALUE"""),"Гришковец, Леонов.")</f>
        <v>Гришковец, Леонов.</v>
      </c>
      <c r="J1279" s="6" t="str">
        <f>IFERROR(__xludf.DUMMYFUNCTION("""COMPUTED_VALUE"""),"-")</f>
        <v>-</v>
      </c>
      <c r="K1279" s="6" t="str">
        <f>IFERROR(__xludf.DUMMYFUNCTION("""COMPUTED_VALUE"""),"Красная горка; набережная; парк ангелов.")</f>
        <v>Красная горка; набережная; парк ангелов.</v>
      </c>
      <c r="L1279" s="6" t="str">
        <f>IFERROR(__xludf.DUMMYFUNCTION("""COMPUTED_VALUE"""),"-")</f>
        <v>-</v>
      </c>
      <c r="M1279" s="6" t="str">
        <f>IFERROR(__xludf.DUMMYFUNCTION("""COMPUTED_VALUE"""),"-")</f>
        <v>-</v>
      </c>
      <c r="N1279" s="6" t="str">
        <f>IFERROR(__xludf.DUMMYFUNCTION("""COMPUTED_VALUE"""),"Удобные развязки между районами; качественные дороги; чистый город; места досуга(кафе; пространства; детский досуг); достаточность рабочих мест.")</f>
        <v>Удобные развязки между районами; качественные дороги; чистый город; места досуга(кафе; пространства; детский досуг); достаточность рабочих мест.</v>
      </c>
      <c r="O1279" s="6" t="str">
        <f>IFERROR(__xludf.DUMMYFUNCTION("""COMPUTED_VALUE"""),"Нужна объездная дорога фед. трассы.
")</f>
        <v>Нужна объездная дорога фед. трассы.
</v>
      </c>
      <c r="P1279" s="6" t="str">
        <f>IFERROR(__xludf.DUMMYFUNCTION("""COMPUTED_VALUE"""),"Инстаграмм, вк. Реклама радио.
")</f>
        <v>Инстаграмм, вк. Реклама радио.
</v>
      </c>
      <c r="Q1279"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279" s="6" t="str">
        <f>IFERROR(__xludf.DUMMYFUNCTION("""COMPUTED_VALUE"""),"-")</f>
        <v>-</v>
      </c>
      <c r="S1279" s="6" t="str">
        <f>IFERROR(__xludf.DUMMYFUNCTION("""COMPUTED_VALUE"""),"Обращался в редакции городских газет, телевидения, радио")</f>
        <v>Обращался в редакции городских газет, телевидения, радио</v>
      </c>
      <c r="T1279" s="6" t="str">
        <f>IFERROR(__xludf.DUMMYFUNCTION("""COMPUTED_VALUE"""),"Угольная столица")</f>
        <v>Угольная столица</v>
      </c>
      <c r="U1279" s="6" t="str">
        <f>IFERROR(__xludf.DUMMYFUNCTION("""COMPUTED_VALUE"""),"Советский пооспект; набережная; весенняя")</f>
        <v>Советский пооспект; набережная; весенняя</v>
      </c>
      <c r="V1279" s="6" t="str">
        <f>IFERROR(__xludf.DUMMYFUNCTION("""COMPUTED_VALUE"""),"-")</f>
        <v>-</v>
      </c>
      <c r="W1279" s="6" t="str">
        <f>IFERROR(__xludf.DUMMYFUNCTION("""COMPUTED_VALUE"""),"Как и везде есть отзывчивые, добрые, инициативные. А есть озлобленные, мусорящие, всё время жалуются.")</f>
        <v>Как и везде есть отзывчивые, добрые, инициативные. А есть озлобленные, мусорящие, всё время жалуются.</v>
      </c>
      <c r="X1279" s="6" t="str">
        <f>IFERROR(__xludf.DUMMYFUNCTION("""COMPUTED_VALUE"""),"Набережная, весенняя")</f>
        <v>Набережная, весенняя</v>
      </c>
      <c r="Y1279" s="6" t="str">
        <f>IFERROR(__xludf.DUMMYFUNCTION("""COMPUTED_VALUE"""),"-")</f>
        <v>-</v>
      </c>
      <c r="Z1279" s="6" t="str">
        <f>IFERROR(__xludf.DUMMYFUNCTION("""COMPUTED_VALUE"""),"Ремонт основных дорог")</f>
        <v>Ремонт основных дорог</v>
      </c>
      <c r="AA1279" s="6" t="str">
        <f>IFERROR(__xludf.DUMMYFUNCTION("""COMPUTED_VALUE"""),"-")</f>
        <v>-</v>
      </c>
      <c r="AB1279" s="6" t="str">
        <f>IFERROR(__xludf.DUMMYFUNCTION("""COMPUTED_VALUE"""),"-")</f>
        <v>-</v>
      </c>
      <c r="AC1279" s="6" t="str">
        <f>IFERROR(__xludf.DUMMYFUNCTION("""COMPUTED_VALUE"""),"-")</f>
        <v>-</v>
      </c>
      <c r="AD127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79" s="6" t="str">
        <f>IFERROR(__xludf.DUMMYFUNCTION("""COMPUTED_VALUE"""),"Мужской")</f>
        <v>Мужской</v>
      </c>
      <c r="AF1279" s="6" t="str">
        <f>IFERROR(__xludf.DUMMYFUNCTION("""COMPUTED_VALUE"""),"30-44")</f>
        <v>30-44</v>
      </c>
      <c r="AG1279" s="6"/>
      <c r="AH1279" s="6"/>
      <c r="AI1279" s="6"/>
      <c r="AJ1279" s="6"/>
      <c r="AK1279" s="6"/>
      <c r="AL1279" s="6"/>
      <c r="AM1279" s="6"/>
    </row>
    <row r="1280">
      <c r="A1280" s="6">
        <v>1279.0</v>
      </c>
      <c r="B1280" s="6" t="str">
        <f>IFERROR(__xludf.DUMMYFUNCTION("""COMPUTED_VALUE"""),"Муниципальный служащий в сфере исполнения бюджетного процесса в городе")</f>
        <v>Муниципальный служащий в сфере исполнения бюджетного процесса в городе</v>
      </c>
      <c r="C1280" s="6" t="str">
        <f>IFERROR(__xludf.DUMMYFUNCTION("""COMPUTED_VALUE"""),"Цветоводство")</f>
        <v>Цветоводство</v>
      </c>
      <c r="D1280" s="6" t="str">
        <f>IFERROR(__xludf.DUMMYFUNCTION("""COMPUTED_VALUE"""),"Центральный")</f>
        <v>Центральный</v>
      </c>
      <c r="E1280" s="6" t="str">
        <f>IFERROR(__xludf.DUMMYFUNCTION("""COMPUTED_VALUE"""),"Площадь Советов, набережная р. Томи, памятник погибшим в годы войны, ")</f>
        <v>Площадь Советов, набережная р. Томи, памятник погибшим в годы войны, </v>
      </c>
      <c r="F1280" s="6" t="str">
        <f>IFERROR(__xludf.DUMMYFUNCTION("""COMPUTED_VALUE"""),"Переехал сюда из другого места (откуда? укажите в графе другое), Казахстан, г Алма-Ата")</f>
        <v>Переехал сюда из другого места (откуда? укажите в графе другое), Казахстан, г Алма-Ата</v>
      </c>
      <c r="G1280" s="6" t="str">
        <f>IFERROR(__xludf.DUMMYFUNCTION("""COMPUTED_VALUE""")," Парк Жукова,,,Антошка,,, набережная р. Томь")</f>
        <v> Парк Жукова,,,Антошка,,, набережная р. Томь</v>
      </c>
      <c r="H1280" s="6" t="str">
        <f>IFERROR(__xludf.DUMMYFUNCTION("""COMPUTED_VALUE""")," Компактный, современный, красивый, развивающийся, уютный ")</f>
        <v> Компактный, современный, красивый, развивающийся, уютный </v>
      </c>
      <c r="I1280" s="6" t="str">
        <f>IFERROR(__xludf.DUMMYFUNCTION("""COMPUTED_VALUE"""),"Михайло Волков, М. Подгорбунский,  А,Леонов, ")</f>
        <v>Михайло Волков, М. Подгорбунский,  А,Леонов, </v>
      </c>
      <c r="J1280" s="6" t="str">
        <f>IFERROR(__xludf.DUMMYFUNCTION("""COMPUTED_VALUE"""),"В.Михайлов")</f>
        <v>В.Михайлов</v>
      </c>
      <c r="K1280" s="6" t="str">
        <f>IFERROR(__xludf.DUMMYFUNCTION("""COMPUTED_VALUE"""),"Площадь Советов, сквер б. Строителей,  набережная р. Томи,")</f>
        <v>Площадь Советов, сквер б. Строителей,  набережная р. Томи,</v>
      </c>
      <c r="L1280" s="6" t="str">
        <f>IFERROR(__xludf.DUMMYFUNCTION("""COMPUTED_VALUE"""),"Не знаю")</f>
        <v>Не знаю</v>
      </c>
      <c r="M1280" s="6" t="str">
        <f>IFERROR(__xludf.DUMMYFUNCTION("""COMPUTED_VALUE"""),"Нет")</f>
        <v>Нет</v>
      </c>
      <c r="N1280" s="6" t="str">
        <f>IFERROR(__xludf.DUMMYFUNCTION("""COMPUTED_VALUE""")," Доступность жилья , транспортной  инфраструктуры ,  качество дорог, устройство дворовых территорий, скверов, парков,  ")</f>
        <v> Доступность жилья , транспортной  инфраструктуры ,  качество дорог, устройство дворовых территорий, скверов, парков,  </v>
      </c>
      <c r="O1280" s="6" t="str">
        <f>IFERROR(__xludf.DUMMYFUNCTION("""COMPUTED_VALUE"""),"Места для отдыха и досуга")</f>
        <v>Места для отдыха и досуга</v>
      </c>
      <c r="P1280" s="6" t="str">
        <f>IFERROR(__xludf.DUMMYFUNCTION("""COMPUTED_VALUE""")," Телевидение, официальные новости и Яндекс")</f>
        <v> Телевидение, официальные новости и Яндекс</v>
      </c>
      <c r="Q1280" s="6" t="str">
        <f>IFERROR(__xludf.DUMMYFUNCTION("""COMPUTED_VALUE"""),"куда пойти в свободное время, интервью с местными политиками, интервью с местными предпринимателями")</f>
        <v>куда пойти в свободное время, интервью с местными политиками, интервью с местными предпринимателями</v>
      </c>
      <c r="R1280" s="6" t="str">
        <f>IFERROR(__xludf.DUMMYFUNCTION("""COMPUTED_VALUE"""),"9 мая, День города, Новый год")</f>
        <v>9 мая, День города, Новый год</v>
      </c>
      <c r="S1280" s="6" t="str">
        <f>IFERROR(__xludf.DUMMYFUNCTION("""COMPUTED_VALUE"""),"Нет, не приходилось")</f>
        <v>Нет, не приходилось</v>
      </c>
      <c r="T1280" s="6" t="str">
        <f>IFERROR(__xludf.DUMMYFUNCTION("""COMPUTED_VALUE"""),"Историей угольная края, развитием промышленности, культурный центр")</f>
        <v>Историей угольная края, развитием промышленности, культурный центр</v>
      </c>
      <c r="U1280" s="6" t="str">
        <f>IFERROR(__xludf.DUMMYFUNCTION("""COMPUTED_VALUE""")," Площадь Советов")</f>
        <v> Площадь Советов</v>
      </c>
      <c r="V1280" s="6" t="str">
        <f>IFERROR(__xludf.DUMMYFUNCTION("""COMPUTED_VALUE"""),"Создали историю замечательного города Кузбасса")</f>
        <v>Создали историю замечательного города Кузбасса</v>
      </c>
      <c r="W1280" s="6" t="str">
        <f>IFERROR(__xludf.DUMMYFUNCTION("""COMPUTED_VALUE"""),"Приветливые, молодые,энергичные, творческие, радушные")</f>
        <v>Приветливые, молодые,энергичные, творческие, радушные</v>
      </c>
      <c r="X1280" s="6" t="str">
        <f>IFERROR(__xludf.DUMMYFUNCTION("""COMPUTED_VALUE""")," Пешком от площади Советов до Красной горки")</f>
        <v> Пешком от площади Советов до Красной горки</v>
      </c>
      <c r="Y1280" s="6" t="str">
        <f>IFERROR(__xludf.DUMMYFUNCTION("""COMPUTED_VALUE""")," 100 лет Кемерово,  день шахтера  2005, чемпионат мира  по хоккею с мячом 2007")</f>
        <v> 100 лет Кемерово,  день шахтера  2005, чемпионат мира  по хоккею с мячом 2007</v>
      </c>
      <c r="Z1280" s="6" t="str">
        <f>IFERROR(__xludf.DUMMYFUNCTION("""COMPUTED_VALUE"""),"75 -летие победы, бессмертный получается")</f>
        <v>75 -летие победы, бессмертный получается</v>
      </c>
      <c r="AA1280" s="6" t="str">
        <f>IFERROR(__xludf.DUMMYFUNCTION("""COMPUTED_VALUE"""),"Пожар  в ТРЦ,,Зимняя вишня,,")</f>
        <v>Пожар  в ТРЦ,,Зимняя вишня,,</v>
      </c>
      <c r="AB1280" s="6" t="str">
        <f>IFERROR(__xludf.DUMMYFUNCTION("""COMPUTED_VALUE""")," Не нуждаюсь")</f>
        <v> Не нуждаюсь</v>
      </c>
      <c r="AC1280" s="6" t="str">
        <f>IFERROR(__xludf.DUMMYFUNCTION("""COMPUTED_VALUE""")," Аквапарк, бассейн")</f>
        <v> Аквапарк, бассейн</v>
      </c>
      <c r="AD1280"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280" s="6" t="str">
        <f>IFERROR(__xludf.DUMMYFUNCTION("""COMPUTED_VALUE"""),"Женский")</f>
        <v>Женский</v>
      </c>
      <c r="AF1280" s="6" t="str">
        <f>IFERROR(__xludf.DUMMYFUNCTION("""COMPUTED_VALUE"""),"45-55")</f>
        <v>45-55</v>
      </c>
      <c r="AG1280" s="6"/>
      <c r="AH1280" s="6"/>
      <c r="AI1280" s="6"/>
      <c r="AJ1280" s="6"/>
      <c r="AK1280" s="6"/>
      <c r="AL1280" s="6"/>
      <c r="AM1280" s="6"/>
    </row>
    <row r="1281">
      <c r="A1281" s="6">
        <v>1280.0</v>
      </c>
      <c r="B1281" s="6" t="str">
        <f>IFERROR(__xludf.DUMMYFUNCTION("""COMPUTED_VALUE"""),"Рабочий")</f>
        <v>Рабочий</v>
      </c>
      <c r="C1281" s="6" t="str">
        <f>IFERROR(__xludf.DUMMYFUNCTION("""COMPUTED_VALUE"""),"Нет")</f>
        <v>Нет</v>
      </c>
      <c r="D1281" s="6" t="str">
        <f>IFERROR(__xludf.DUMMYFUNCTION("""COMPUTED_VALUE"""),"Центральный")</f>
        <v>Центральный</v>
      </c>
      <c r="E1281" s="6" t="str">
        <f>IFERROR(__xludf.DUMMYFUNCTION("""COMPUTED_VALUE"""),"Центр города")</f>
        <v>Центр города</v>
      </c>
      <c r="F1281" s="6" t="str">
        <f>IFERROR(__xludf.DUMMYFUNCTION("""COMPUTED_VALUE"""),"Живу здесь с рождения")</f>
        <v>Живу здесь с рождения</v>
      </c>
      <c r="G1281" s="6" t="str">
        <f>IFERROR(__xludf.DUMMYFUNCTION("""COMPUTED_VALUE"""),"Парки, скверы, набережная!")</f>
        <v>Парки, скверы, набережная!</v>
      </c>
      <c r="H1281" s="6" t="str">
        <f>IFERROR(__xludf.DUMMYFUNCTION("""COMPUTED_VALUE"""),"Грязь, воздух, отношения, работа, экономика ")</f>
        <v>Грязь, воздух, отношения, работа, экономика </v>
      </c>
      <c r="I1281" s="6" t="str">
        <f>IFERROR(__xludf.DUMMYFUNCTION("""COMPUTED_VALUE"""),"Леонов")</f>
        <v>Леонов</v>
      </c>
      <c r="J1281" s="6" t="str">
        <f>IFERROR(__xludf.DUMMYFUNCTION("""COMPUTED_VALUE"""),"Михайлов")</f>
        <v>Михайлов</v>
      </c>
      <c r="K1281" s="6" t="str">
        <f>IFERROR(__xludf.DUMMYFUNCTION("""COMPUTED_VALUE"""),"Сам город во всей красе особенно дворовые территории ")</f>
        <v>Сам город во всей красе особенно дворовые территории </v>
      </c>
      <c r="L1281" s="6" t="str">
        <f>IFERROR(__xludf.DUMMYFUNCTION("""COMPUTED_VALUE"""),"Сердце угольной промышленности, а люди живут хуже всей России! Москва не в счет это отлётное государство.")</f>
        <v>Сердце угольной промышленности, а люди живут хуже всей России! Москва не в счет это отлётное государство.</v>
      </c>
      <c r="M1281" s="6" t="str">
        <f>IFERROR(__xludf.DUMMYFUNCTION("""COMPUTED_VALUE"""),"2 беды, дураки и дороги")</f>
        <v>2 беды, дураки и дороги</v>
      </c>
      <c r="N1281" s="6" t="str">
        <f>IFERROR(__xludf.DUMMYFUNCTION("""COMPUTED_VALUE"""),"Исправить - Грязь, воздух, отношения, работа, экономика ")</f>
        <v>Исправить - Грязь, воздух, отношения, работа, экономика </v>
      </c>
      <c r="O1281" s="6" t="str">
        <f>IFERROR(__xludf.DUMMYFUNCTION("""COMPUTED_VALUE"""),"Рыба гниет с головы.")</f>
        <v>Рыба гниет с головы.</v>
      </c>
      <c r="P1281" s="6" t="str">
        <f>IFERROR(__xludf.DUMMYFUNCTION("""COMPUTED_VALUE"""),"Сайт")</f>
        <v>Сайт</v>
      </c>
      <c r="Q1281" s="6" t="str">
        <f>IFERROR(__xludf.DUMMYFUNCTION("""COMPUTED_VALUE"""),"куда пойти в свободное время, Если есть на что")</f>
        <v>куда пойти в свободное время, Если есть на что</v>
      </c>
      <c r="R1281" s="6" t="str">
        <f>IFERROR(__xludf.DUMMYFUNCTION("""COMPUTED_VALUE"""),"День города, день шахтёра ")</f>
        <v>День города, день шахтёра </v>
      </c>
      <c r="S1281" s="6" t="str">
        <f>IFERROR(__xludf.DUMMYFUNCTION("""COMPUTED_VALUE"""),"Нет, не приходилось")</f>
        <v>Нет, не приходилось</v>
      </c>
      <c r="T1281" s="6" t="str">
        <f>IFERROR(__xludf.DUMMYFUNCTION("""COMPUTED_VALUE"""),"Тулеевым ")</f>
        <v>Тулеевым </v>
      </c>
      <c r="U1281" s="6" t="str">
        <f>IFERROR(__xludf.DUMMYFUNCTION("""COMPUTED_VALUE"""),"Набережная томи и все прилетающее к ней ")</f>
        <v>Набережная томи и все прилетающее к ней </v>
      </c>
      <c r="V1281" s="6" t="str">
        <f>IFERROR(__xludf.DUMMYFUNCTION("""COMPUTED_VALUE"""),"Раньше делали пока не пришли к власти посторонние люди данному городу")</f>
        <v>Раньше делали пока не пришли к власти посторонние люди данному городу</v>
      </c>
      <c r="W1281" s="6" t="str">
        <f>IFERROR(__xludf.DUMMYFUNCTION("""COMPUTED_VALUE"""),"Забитые, живущие в постоянном страхе о завтрашнем дне! ")</f>
        <v>Забитые, живущие в постоянном страхе о завтрашнем дне! </v>
      </c>
      <c r="X1281" s="6" t="str">
        <f>IFERROR(__xludf.DUMMYFUNCTION("""COMPUTED_VALUE"""),"Дорога из Кемерово в другой город")</f>
        <v>Дорога из Кемерово в другой город</v>
      </c>
      <c r="Y1281" s="6" t="str">
        <f>IFERROR(__xludf.DUMMYFUNCTION("""COMPUTED_VALUE"""),"Зимняя вишня")</f>
        <v>Зимняя вишня</v>
      </c>
      <c r="Z1281" s="6" t="str">
        <f>IFERROR(__xludf.DUMMYFUNCTION("""COMPUTED_VALUE"""),"Вы о чем, какой позитив в городе где нет работы, мест отдыха и досуга.")</f>
        <v>Вы о чем, какой позитив в городе где нет работы, мест отдыха и досуга.</v>
      </c>
      <c r="AA1281" s="6" t="str">
        <f>IFERROR(__xludf.DUMMYFUNCTION("""COMPUTED_VALUE"""),"Большенство ")</f>
        <v>Большенство </v>
      </c>
      <c r="AB1281" s="6" t="str">
        <f>IFERROR(__xludf.DUMMYFUNCTION("""COMPUTED_VALUE"""),"Места для проведения с семьей ")</f>
        <v>Места для проведения с семьей </v>
      </c>
      <c r="AC1281" s="6" t="str">
        <f>IFERROR(__xludf.DUMMYFUNCTION("""COMPUTED_VALUE"""),"Улучшить все выше перечисленное ")</f>
        <v>Улучшить все выше перечисленное </v>
      </c>
      <c r="AD1281" s="6" t="str">
        <f>IFERROR(__xludf.DUMMYFUNCTION("""COMPUTED_VALUE"""),"Для этого есть власти в городе, которые должны отрабатывать свою заработную плату!")</f>
        <v>Для этого есть власти в городе, которые должны отрабатывать свою заработную плату!</v>
      </c>
      <c r="AE1281" s="6" t="str">
        <f>IFERROR(__xludf.DUMMYFUNCTION("""COMPUTED_VALUE"""),"Мужской")</f>
        <v>Мужской</v>
      </c>
      <c r="AF1281" s="6" t="str">
        <f>IFERROR(__xludf.DUMMYFUNCTION("""COMPUTED_VALUE"""),"30-44")</f>
        <v>30-44</v>
      </c>
      <c r="AG1281" s="6"/>
      <c r="AH1281" s="6"/>
      <c r="AI1281" s="6"/>
      <c r="AJ1281" s="6"/>
      <c r="AK1281" s="6"/>
      <c r="AL1281" s="6"/>
      <c r="AM1281" s="6"/>
    </row>
    <row r="1282">
      <c r="A1282" s="6">
        <v>1281.0</v>
      </c>
      <c r="B1282" s="6" t="str">
        <f>IFERROR(__xludf.DUMMYFUNCTION("""COMPUTED_VALUE"""),"Ит ")</f>
        <v>Ит </v>
      </c>
      <c r="C1282" s="6" t="str">
        <f>IFERROR(__xludf.DUMMYFUNCTION("""COMPUTED_VALUE"""),"Бег, настольный теннис, прогулки на свежем воздухе")</f>
        <v>Бег, настольный теннис, прогулки на свежем воздухе</v>
      </c>
      <c r="D1282" s="6" t="str">
        <f>IFERROR(__xludf.DUMMYFUNCTION("""COMPUTED_VALUE"""),"Ленинский")</f>
        <v>Ленинский</v>
      </c>
      <c r="E1282" s="6" t="str">
        <f>IFERROR(__xludf.DUMMYFUNCTION("""COMPUTED_VALUE"""),"Строящийся теннисный корт, красивый бульвар строителей, но в котором некомфортно и не полезно заниматься спортом из-за шума машина со всех сторон и запаха выхлопа")</f>
        <v>Строящийся теннисный корт, красивый бульвар строителей, но в котором некомфортно и не полезно заниматься спортом из-за шума машина со всех сторон и запаха выхлопа</v>
      </c>
      <c r="F1282" s="6" t="str">
        <f>IFERROR(__xludf.DUMMYFUNCTION("""COMPUTED_VALUE"""),"Переехал сюда из другого места (откуда? укажите в графе другое), Москва")</f>
        <v>Переехал сюда из другого места (откуда? укажите в графе другое), Москва</v>
      </c>
      <c r="G1282" s="6" t="str">
        <f>IFERROR(__xludf.DUMMYFUNCTION("""COMPUTED_VALUE"""),"Набережная Томи, тротуар вдоль нового отрезка пр.Комсомольский")</f>
        <v>Набережная Томи, тротуар вдоль нового отрезка пр.Комсомольский</v>
      </c>
      <c r="H1282" s="6" t="str">
        <f>IFERROR(__xludf.DUMMYFUNCTION("""COMPUTED_VALUE"""),"1.Загрязненность воздуха (часто видно визуально что над центром Серая полоса от заводов, дикость в виде коптящих дизелем маршруток)
2. Компактность и в целом удобность
3.Дороги (в целом очень хорошие)
4. Милитаризм (взлгяд в прошлое, а не в перспективу, ч"&amp;"резмерно везде плакаты ВОВ, танки, Победа и т.п.)
5. Уголь (хотя в городе нет шахт и слава Богу )")</f>
        <v>1.Загрязненность воздуха (часто видно визуально что над центром Серая полоса от заводов, дикость в виде коптящих дизелем маршруток)
2. Компактность и в целом удобность
3.Дороги (в целом очень хорошие)
4. Милитаризм (взлгяд в прошлое, а не в перспективу, чрезмерно везде плакаты ВОВ, танки, Победа и т.п.)
5. Уголь (хотя в городе нет шахт и слава Богу )</v>
      </c>
      <c r="I1282" s="6" t="str">
        <f>IFERROR(__xludf.DUMMYFUNCTION("""COMPUTED_VALUE"""),"Леонов, Гришковец, Волков")</f>
        <v>Леонов, Гришковец, Волков</v>
      </c>
      <c r="J1282" s="6" t="str">
        <f>IFERROR(__xludf.DUMMYFUNCTION("""COMPUTED_VALUE"""),"Гришковец")</f>
        <v>Гришковец</v>
      </c>
      <c r="K1282" s="6" t="str">
        <f>IFERROR(__xludf.DUMMYFUNCTION("""COMPUTED_VALUE"""),"Парк Ангелов, Набержная Томи, Лесная поляна, памятник Шахтеру")</f>
        <v>Парк Ангелов, Набержная Томи, Лесная поляна, памятник Шахтеру</v>
      </c>
      <c r="L1282" s="6" t="str">
        <f>IFERROR(__xludf.DUMMYFUNCTION("""COMPUTED_VALUE"""),"Был как то лес в центре города вдоль Искитимки и не стало его, был Ботанический сад в центре и вместо него не парк разбили с большими деревьями и спортплощадкасм, а очередной ЖК, были как то деревья вдоль Томи, а теперь площадь бетонную строят...
Вот так "&amp;"в любом районе почти негде возле дома мамашам с колясками погулять, пенсионерам и ходят они возле подъездов и птичек не слышат, а молодёжь уезжает в Краснодаре, Москвы и Питеры..")</f>
        <v>Был как то лес в центре города вдоль Искитимки и не стало его, был Ботанический сад в центре и вместо него не парк разбили с большими деревьями и спортплощадкасм, а очередной ЖК, были как то деревья вдоль Томи, а теперь площадь бетонную строят...
Вот так в любом районе почти негде возле дома мамашам с колясками погулять, пенсионерам и ходят они возле подъездов и птичек не слышат, а молодёжь уезжает в Краснодаре, Москвы и Питеры..</v>
      </c>
      <c r="M1282" s="6" t="str">
        <f>IFERROR(__xludf.DUMMYFUNCTION("""COMPUTED_VALUE"""),"Мультифора")</f>
        <v>Мультифора</v>
      </c>
      <c r="N1282" s="6" t="str">
        <f>IFERROR(__xludf.DUMMYFUNCTION("""COMPUTED_VALUE"""),"Экология и озеленение,
Достойная оплата труда, 
Современный общественный транспорт
Инфраструктура
Разнообразие вариантов досуга")</f>
        <v>Экология и озеленение,
Достойная оплата труда, 
Современный общественный транспорт
Инфраструктура
Разнообразие вариантов досуга</v>
      </c>
      <c r="O1282" s="6" t="str">
        <f>IFERROR(__xludf.DUMMYFUNCTION("""COMPUTED_VALUE"""),"Улучшить состояние загрязненности воздуха.
Создать рабочие места с АДЕКВАТНОЙ зп
Озеленение и современные парки ВО ВСЕХ районах шаговой доступности (почти все новые ЖК строят без учёта этого)")</f>
        <v>Улучшить состояние загрязненности воздуха.
Создать рабочие места с АДЕКВАТНОЙ зп
Озеленение и современные парки ВО ВСЕХ районах шаговой доступности (почти все новые ЖК строят без учёта этого)</v>
      </c>
      <c r="P1282" s="6" t="str">
        <f>IFERROR(__xludf.DUMMYFUNCTION("""COMPUTED_VALUE"""),"Интернет")</f>
        <v>Интернет</v>
      </c>
      <c r="Q1282" s="6" t="str">
        <f>IFERROR(__xludf.DUMMYFUNCTION("""COMPUTED_VALUE"""),"городская афиша (кино/театр/концерты), интервью с местными предпринимателями, интервью с экспертами на разные темы (напишите в разделе Другое свои предложения)")</f>
        <v>городская афиша (кино/театр/концерты), интервью с местными предпринимателями, интервью с экспертами на разные темы (напишите в разделе Другое свои предложения)</v>
      </c>
      <c r="R1282" s="6" t="str">
        <f>IFERROR(__xludf.DUMMYFUNCTION("""COMPUTED_VALUE"""),"День города, Новый год, Майские праздники ")</f>
        <v>День города, Новый год, Майские праздники </v>
      </c>
      <c r="S1282" s="6" t="str">
        <f>IFERROR(__xludf.DUMMYFUNCTION("""COMPUTED_VALUE"""),"Обращался в редакции городских газет, телевидения, радио")</f>
        <v>Обращался в редакции городских газет, телевидения, радио</v>
      </c>
      <c r="T1282" s="6" t="str">
        <f>IFERROR(__xludf.DUMMYFUNCTION("""COMPUTED_VALUE"""),"Угольная столица, трагедия Зимняя вишня")</f>
        <v>Угольная столица, трагедия Зимняя вишня</v>
      </c>
      <c r="U1282" s="6" t="str">
        <f>IFERROR(__xludf.DUMMYFUNCTION("""COMPUTED_VALUE"""),"Весенняя улица и набережная ")</f>
        <v>Весенняя улица и набережная </v>
      </c>
      <c r="V1282" s="6" t="str">
        <f>IFERROR(__xludf.DUMMYFUNCTION("""COMPUTED_VALUE"""),"Гришковец упоминает часто откуда родом и рассказывает о городе")</f>
        <v>Гришковец упоминает часто откуда родом и рассказывает о городе</v>
      </c>
      <c r="W1282" s="6" t="str">
        <f>IFERROR(__xludf.DUMMYFUNCTION("""COMPUTED_VALUE"""),"Неулыбчивые, работящие, терпеливые")</f>
        <v>Неулыбчивые, работящие, терпеливые</v>
      </c>
      <c r="X1282" s="6" t="str">
        <f>IFERROR(__xludf.DUMMYFUNCTION("""COMPUTED_VALUE"""),"Набережная Томи, Филармония, парк Победы ")</f>
        <v>Набережная Томи, Филармония, парк Победы </v>
      </c>
      <c r="Y1282" s="6" t="str">
        <f>IFERROR(__xludf.DUMMYFUNCTION("""COMPUTED_VALUE"""),"Приезд шахтёров в 1991 в Москву, Трагедия Зимняя вишня, мировой Чемпионат Бэнди")</f>
        <v>Приезд шахтёров в 1991 в Москву, Трагедия Зимняя вишня, мировой Чемпионат Бэнди</v>
      </c>
      <c r="Z1282" s="6" t="str">
        <f>IFERROR(__xludf.DUMMYFUNCTION("""COMPUTED_VALUE"""),"Улучшение инфраструктуры и строительство, правда перекос в стторону гос учреждений и профессионального спорта: налоговая, суды, кадесткий корпус
Вместо социальных, образовательных, медицинских, непрофиссионального спорта и досуга")</f>
        <v>Улучшение инфраструктуры и строительство, правда перекос в стторону гос учреждений и профессионального спорта: налоговая, суды, кадесткий корпус
Вместо социальных, образовательных, медицинских, непрофиссионального спорта и досуга</v>
      </c>
      <c r="AA1282" s="6" t="str">
        <f>IFERROR(__xludf.DUMMYFUNCTION("""COMPUTED_VALUE"""),"Зимняя вишня и реакция местных властей на это")</f>
        <v>Зимняя вишня и реакция местных властей на это</v>
      </c>
      <c r="AB1282" s="6" t="str">
        <f>IFERROR(__xludf.DUMMYFUNCTION("""COMPUTED_VALUE"""),"Инициированнях снизу, от людей и поддержаных властями.")</f>
        <v>Инициированнях снизу, от людей и поддержаных властями.</v>
      </c>
      <c r="AC1282" s="6" t="str">
        <f>IFERROR(__xludf.DUMMYFUNCTION("""COMPUTED_VALUE"""),"Типа Чемпионат Бэнди, приглашение на городские праздники не Газмановых и Аниты Цой")</f>
        <v>Типа Чемпионат Бэнди, приглашение на городские праздники не Газмановых и Аниты Цой</v>
      </c>
      <c r="AD128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82" s="6" t="str">
        <f>IFERROR(__xludf.DUMMYFUNCTION("""COMPUTED_VALUE"""),"Мужской")</f>
        <v>Мужской</v>
      </c>
      <c r="AF1282" s="6" t="str">
        <f>IFERROR(__xludf.DUMMYFUNCTION("""COMPUTED_VALUE"""),"30-44")</f>
        <v>30-44</v>
      </c>
      <c r="AG1282" s="6"/>
      <c r="AH1282" s="6"/>
      <c r="AI1282" s="6"/>
      <c r="AJ1282" s="6"/>
      <c r="AK1282" s="6"/>
      <c r="AL1282" s="6"/>
      <c r="AM1282" s="6"/>
    </row>
    <row r="1283">
      <c r="A1283" s="6">
        <v>1282.0</v>
      </c>
      <c r="B1283" s="6" t="str">
        <f>IFERROR(__xludf.DUMMYFUNCTION("""COMPUTED_VALUE"""),"Менеджер")</f>
        <v>Менеджер</v>
      </c>
      <c r="C1283" s="6" t="str">
        <f>IFERROR(__xludf.DUMMYFUNCTION("""COMPUTED_VALUE"""),"Автомобили")</f>
        <v>Автомобили</v>
      </c>
      <c r="D1283" s="6" t="str">
        <f>IFERROR(__xludf.DUMMYFUNCTION("""COMPUTED_VALUE"""),"Ленинский")</f>
        <v>Ленинский</v>
      </c>
      <c r="E1283" s="6" t="str">
        <f>IFERROR(__xludf.DUMMYFUNCTION("""COMPUTED_VALUE"""),"Бульвар строителей")</f>
        <v>Бульвар строителей</v>
      </c>
      <c r="F1283"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283" s="6" t="str">
        <f>IFERROR(__xludf.DUMMYFUNCTION("""COMPUTED_VALUE"""),"Набережная, горсад, бульвар строителей,")</f>
        <v>Набережная, горсад, бульвар строителей,</v>
      </c>
      <c r="H1283" s="6" t="str">
        <f>IFERROR(__xludf.DUMMYFUNCTION("""COMPUTED_VALUE"""),"Современный")</f>
        <v>Современный</v>
      </c>
      <c r="I1283" s="6" t="str">
        <f>IFERROR(__xludf.DUMMYFUNCTION("""COMPUTED_VALUE"""),"Леонов, Тулеев")</f>
        <v>Леонов, Тулеев</v>
      </c>
      <c r="J1283" s="6" t="str">
        <f>IFERROR(__xludf.DUMMYFUNCTION("""COMPUTED_VALUE"""),"Тулеев")</f>
        <v>Тулеев</v>
      </c>
      <c r="K1283" s="6" t="str">
        <f>IFERROR(__xludf.DUMMYFUNCTION("""COMPUTED_VALUE"""),"Красная горка, центр, набережная, бульвар строителей")</f>
        <v>Красная горка, центр, набережная, бульвар строителей</v>
      </c>
      <c r="L1283" s="6" t="str">
        <f>IFERROR(__xludf.DUMMYFUNCTION("""COMPUTED_VALUE"""),"Не знаю")</f>
        <v>Не знаю</v>
      </c>
      <c r="M1283" s="6" t="str">
        <f>IFERROR(__xludf.DUMMYFUNCTION("""COMPUTED_VALUE"""),"Нет")</f>
        <v>Нет</v>
      </c>
      <c r="N1283" s="6" t="str">
        <f>IFERROR(__xludf.DUMMYFUNCTION("""COMPUTED_VALUE"""),"Чистый, уютный, красивый, экологичный, технологичный")</f>
        <v>Чистый, уютный, красивый, экологичный, технологичный</v>
      </c>
      <c r="O1283" s="6" t="str">
        <f>IFERROR(__xludf.DUMMYFUNCTION("""COMPUTED_VALUE"""),"Экологию")</f>
        <v>Экологию</v>
      </c>
      <c r="P1283" s="6" t="str">
        <f>IFERROR(__xludf.DUMMYFUNCTION("""COMPUTED_VALUE"""),"Яндекс")</f>
        <v>Яндекс</v>
      </c>
      <c r="Q1283" s="6" t="str">
        <f>IFERROR(__xludf.DUMMYFUNCTION("""COMPUTED_VALUE"""),"городская афиша (кино/театр/концерты)")</f>
        <v>городская афиша (кино/театр/концерты)</v>
      </c>
      <c r="R1283" s="6" t="str">
        <f>IFERROR(__xludf.DUMMYFUNCTION("""COMPUTED_VALUE"""),"День города, 9 мая")</f>
        <v>День города, 9 мая</v>
      </c>
      <c r="S1283" s="6" t="str">
        <f>IFERROR(__xludf.DUMMYFUNCTION("""COMPUTED_VALUE"""),"Нет, не приходилось")</f>
        <v>Нет, не приходилось</v>
      </c>
      <c r="T1283" s="6" t="str">
        <f>IFERROR(__xludf.DUMMYFUNCTION("""COMPUTED_VALUE"""),"Уголь.")</f>
        <v>Уголь.</v>
      </c>
      <c r="U1283" s="6" t="str">
        <f>IFERROR(__xludf.DUMMYFUNCTION("""COMPUTED_VALUE"""),"Администрация, памятник Ленину")</f>
        <v>Администрация, памятник Ленину</v>
      </c>
      <c r="V1283" s="6" t="str">
        <f>IFERROR(__xludf.DUMMYFUNCTION("""COMPUTED_VALUE"""),"Парки, озеленение")</f>
        <v>Парки, озеленение</v>
      </c>
      <c r="W1283" s="6" t="str">
        <f>IFERROR(__xludf.DUMMYFUNCTION("""COMPUTED_VALUE"""),"Затрудняюсь сказать, все разные")</f>
        <v>Затрудняюсь сказать, все разные</v>
      </c>
      <c r="X1283" s="6" t="str">
        <f>IFERROR(__xludf.DUMMYFUNCTION("""COMPUTED_VALUE"""),"Центр")</f>
        <v>Центр</v>
      </c>
      <c r="Y1283" s="6" t="str">
        <f>IFERROR(__xludf.DUMMYFUNCTION("""COMPUTED_VALUE"""),"Открытие угля")</f>
        <v>Открытие угля</v>
      </c>
      <c r="Z1283" s="6" t="str">
        <f>IFERROR(__xludf.DUMMYFUNCTION("""COMPUTED_VALUE"""),"Ремонт автодорог, строительство")</f>
        <v>Ремонт автодорог, строительство</v>
      </c>
      <c r="AA1283" s="6" t="str">
        <f>IFERROR(__xludf.DUMMYFUNCTION("""COMPUTED_VALUE"""),"Зимняя вишня")</f>
        <v>Зимняя вишня</v>
      </c>
      <c r="AB1283" s="6" t="str">
        <f>IFERROR(__xludf.DUMMYFUNCTION("""COMPUTED_VALUE"""),"Затрудняюсь сказать")</f>
        <v>Затрудняюсь сказать</v>
      </c>
      <c r="AC1283" s="6" t="str">
        <f>IFERROR(__xludf.DUMMYFUNCTION("""COMPUTED_VALUE"""),"Спортивные мероприятия, хоккей с шайбой и мячом")</f>
        <v>Спортивные мероприятия, хоккей с шайбой и мячом</v>
      </c>
      <c r="AD128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83" s="6" t="str">
        <f>IFERROR(__xludf.DUMMYFUNCTION("""COMPUTED_VALUE"""),"Мужской")</f>
        <v>Мужской</v>
      </c>
      <c r="AF1283" s="6" t="str">
        <f>IFERROR(__xludf.DUMMYFUNCTION("""COMPUTED_VALUE"""),"30-44")</f>
        <v>30-44</v>
      </c>
      <c r="AG1283" s="6"/>
      <c r="AH1283" s="6"/>
      <c r="AI1283" s="6"/>
      <c r="AJ1283" s="6"/>
      <c r="AK1283" s="6"/>
      <c r="AL1283" s="6"/>
      <c r="AM1283" s="6"/>
    </row>
    <row r="1284">
      <c r="A1284" s="6">
        <v>1283.0</v>
      </c>
      <c r="B1284" s="6" t="str">
        <f>IFERROR(__xludf.DUMMYFUNCTION("""COMPUTED_VALUE"""),"Муриципальный служащий")</f>
        <v>Муриципальный служащий</v>
      </c>
      <c r="C1284" s="6" t="str">
        <f>IFERROR(__xludf.DUMMYFUNCTION("""COMPUTED_VALUE"""),"Вязание, цветы")</f>
        <v>Вязание, цветы</v>
      </c>
      <c r="D1284" s="6" t="str">
        <f>IFERROR(__xludf.DUMMYFUNCTION("""COMPUTED_VALUE"""),"ЗАВОДСКИЙ, ФПК")</f>
        <v>ЗАВОДСКИЙ, ФПК</v>
      </c>
      <c r="E1284" s="6" t="str">
        <f>IFERROR(__xludf.DUMMYFUNCTION("""COMPUTED_VALUE"""),"Гринвич")</f>
        <v>Гринвич</v>
      </c>
      <c r="F1284" s="6" t="str">
        <f>IFERROR(__xludf.DUMMYFUNCTION("""COMPUTED_VALUE"""),"Переехал сюда из другого места (откуда? укажите в графе другое), Ростовская область ")</f>
        <v>Переехал сюда из другого места (откуда? укажите в графе другое), Ростовская область </v>
      </c>
      <c r="G1284" s="6" t="str">
        <f>IFERROR(__xludf.DUMMYFUNCTION("""COMPUTED_VALUE"""),"Парки- Комсомольский, чудес, Жукова, кузбасский")</f>
        <v>Парки- Комсомольский, чудес, Жукова, кузбасский</v>
      </c>
      <c r="H1284" s="6" t="str">
        <f>IFERROR(__xludf.DUMMYFUNCTION("""COMPUTED_VALUE"""),"Бабушка, студенчество, семья, любовь, дочка")</f>
        <v>Бабушка, студенчество, семья, любовь, дочка</v>
      </c>
      <c r="I1284" s="6" t="str">
        <f>IFERROR(__xludf.DUMMYFUNCTION("""COMPUTED_VALUE"""),"Леонов, Тухачевский")</f>
        <v>Леонов, Тухачевский</v>
      </c>
      <c r="J1284" s="6" t="str">
        <f>IFERROR(__xludf.DUMMYFUNCTION("""COMPUTED_VALUE"""),"Не могу сказать ")</f>
        <v>Не могу сказать </v>
      </c>
      <c r="K1284" s="6" t="str">
        <f>IFERROR(__xludf.DUMMYFUNCTION("""COMPUTED_VALUE"""),"Шахтер")</f>
        <v>Шахтер</v>
      </c>
      <c r="L1284" s="6" t="str">
        <f>IFERROR(__xludf.DUMMYFUNCTION("""COMPUTED_VALUE"""),"Нет")</f>
        <v>Нет</v>
      </c>
      <c r="M1284" s="6" t="str">
        <f>IFERROR(__xludf.DUMMYFUNCTION("""COMPUTED_VALUE"""),"Нет")</f>
        <v>Нет</v>
      </c>
      <c r="N1284" s="6" t="str">
        <f>IFERROR(__xludf.DUMMYFUNCTION("""COMPUTED_VALUE"""),"Ровные дороги, свежий воздух,  остойная заработная плата, доступная медицина, бесплатное и качественное образование ")</f>
        <v>Ровные дороги, свежий воздух,  остойная заработная плата, доступная медицина, бесплатное и качественное образование </v>
      </c>
      <c r="O1284" s="6" t="str">
        <f>IFERROR(__xludf.DUMMYFUNCTION("""COMPUTED_VALUE"""),"Дороги")</f>
        <v>Дороги</v>
      </c>
      <c r="P1284" s="6" t="str">
        <f>IFERROR(__xludf.DUMMYFUNCTION("""COMPUTED_VALUE"""),"Инстаграм, приложение кузбасс")</f>
        <v>Инстаграм, приложение кузбасс</v>
      </c>
      <c r="Q1284" s="6" t="str">
        <f>IFERROR(__xludf.DUMMYFUNCTION("""COMPUTED_VALUE"""),"городская афиша (кино/театр/концерты), новости про новые профессии/куда поступать/вакансии")</f>
        <v>городская афиша (кино/театр/концерты), новости про новые профессии/куда поступать/вакансии</v>
      </c>
      <c r="R1284" s="6" t="str">
        <f>IFERROR(__xludf.DUMMYFUNCTION("""COMPUTED_VALUE"""),"День города")</f>
        <v>День города</v>
      </c>
      <c r="S1284" s="6" t="str">
        <f>IFERROR(__xludf.DUMMYFUNCTION("""COMPUTED_VALUE"""),"Нет, не приходилось")</f>
        <v>Нет, не приходилось</v>
      </c>
      <c r="T1284" s="6" t="str">
        <f>IFERROR(__xludf.DUMMYFUNCTION("""COMPUTED_VALUE"""),"Нет")</f>
        <v>Нет</v>
      </c>
      <c r="U1284" s="6" t="str">
        <f>IFERROR(__xludf.DUMMYFUNCTION("""COMPUTED_VALUE"""),"Нет")</f>
        <v>Нет</v>
      </c>
      <c r="V1284" s="6" t="str">
        <f>IFERROR(__xludf.DUMMYFUNCTION("""COMPUTED_VALUE"""),"Не знаю")</f>
        <v>Не знаю</v>
      </c>
      <c r="W1284" s="6" t="str">
        <f>IFERROR(__xludf.DUMMYFUNCTION("""COMPUTED_VALUE"""),"Добрые")</f>
        <v>Добрые</v>
      </c>
      <c r="X1284" s="6" t="str">
        <f>IFERROR(__xludf.DUMMYFUNCTION("""COMPUTED_VALUE"""),"Набережная, парки")</f>
        <v>Набережная, парки</v>
      </c>
      <c r="Y1284" s="6" t="str">
        <f>IFERROR(__xludf.DUMMYFUNCTION("""COMPUTED_VALUE"""),"Пожар в зимней вишне")</f>
        <v>Пожар в зимней вишне</v>
      </c>
      <c r="Z1284" s="6" t="str">
        <f>IFERROR(__xludf.DUMMYFUNCTION("""COMPUTED_VALUE"""),"Нет")</f>
        <v>Нет</v>
      </c>
      <c r="AA1284" s="6" t="str">
        <f>IFERROR(__xludf.DUMMYFUNCTION("""COMPUTED_VALUE"""),"Повышение цен, зарплата на прежнем уровне")</f>
        <v>Повышение цен, зарплата на прежнем уровне</v>
      </c>
      <c r="AB1284" s="6" t="str">
        <f>IFERROR(__xludf.DUMMYFUNCTION("""COMPUTED_VALUE"""),"Нет")</f>
        <v>Нет</v>
      </c>
      <c r="AC1284" s="6" t="str">
        <f>IFERROR(__xludf.DUMMYFUNCTION("""COMPUTED_VALUE"""),"Повышение зарплаты, доступные цены на билеты в цирк, театр")</f>
        <v>Повышение зарплаты, доступные цены на билеты в цирк, театр</v>
      </c>
      <c r="AD128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84" s="6" t="str">
        <f>IFERROR(__xludf.DUMMYFUNCTION("""COMPUTED_VALUE"""),"Женский")</f>
        <v>Женский</v>
      </c>
      <c r="AF1284" s="6" t="str">
        <f>IFERROR(__xludf.DUMMYFUNCTION("""COMPUTED_VALUE"""),"30-44")</f>
        <v>30-44</v>
      </c>
      <c r="AG1284" s="6"/>
      <c r="AH1284" s="6"/>
      <c r="AI1284" s="6"/>
      <c r="AJ1284" s="6"/>
      <c r="AK1284" s="6"/>
      <c r="AL1284" s="6"/>
      <c r="AM1284" s="6"/>
    </row>
    <row r="1285">
      <c r="A1285" s="6">
        <v>1284.0</v>
      </c>
      <c r="B1285" s="6" t="str">
        <f>IFERROR(__xludf.DUMMYFUNCTION("""COMPUTED_VALUE"""),"Спорт")</f>
        <v>Спорт</v>
      </c>
      <c r="C1285" s="6" t="str">
        <f>IFERROR(__xludf.DUMMYFUNCTION("""COMPUTED_VALUE"""),"Вышивка")</f>
        <v>Вышивка</v>
      </c>
      <c r="D1285" s="6" t="str">
        <f>IFERROR(__xludf.DUMMYFUNCTION("""COMPUTED_VALUE"""),"Ленинский")</f>
        <v>Ленинский</v>
      </c>
      <c r="E1285" s="6" t="str">
        <f>IFERROR(__xludf.DUMMYFUNCTION("""COMPUTED_VALUE"""),"Бульвар, кадетское")</f>
        <v>Бульвар, кадетское</v>
      </c>
      <c r="F1285" s="6" t="str">
        <f>IFERROR(__xludf.DUMMYFUNCTION("""COMPUTED_VALUE"""),"Живу здесь с рождения")</f>
        <v>Живу здесь с рождения</v>
      </c>
      <c r="G1285" s="6" t="str">
        <f>IFERROR(__xludf.DUMMYFUNCTION("""COMPUTED_VALUE"""),"Набережная ")</f>
        <v>Набережная </v>
      </c>
      <c r="H1285" s="6" t="str">
        <f>IFERROR(__xludf.DUMMYFUNCTION("""COMPUTED_VALUE"""),"Уголь, шахта")</f>
        <v>Уголь, шахта</v>
      </c>
      <c r="I1285" s="6" t="str">
        <f>IFERROR(__xludf.DUMMYFUNCTION("""COMPUTED_VALUE"""),"Волков, Копикуз")</f>
        <v>Волков, Копикуз</v>
      </c>
      <c r="J1285" s="6" t="str">
        <f>IFERROR(__xludf.DUMMYFUNCTION("""COMPUTED_VALUE"""),"Михайлов")</f>
        <v>Михайлов</v>
      </c>
      <c r="K1285" s="6" t="str">
        <f>IFERROR(__xludf.DUMMYFUNCTION("""COMPUTED_VALUE"""),"Парк Ангелов, Томская писаница")</f>
        <v>Парк Ангелов, Томская писаница</v>
      </c>
      <c r="L1285" s="6" t="str">
        <f>IFERROR(__xludf.DUMMYFUNCTION("""COMPUTED_VALUE"""),"Южный - никому не нужный")</f>
        <v>Южный - никому не нужный</v>
      </c>
      <c r="M1285" s="6" t="str">
        <f>IFERROR(__xludf.DUMMYFUNCTION("""COMPUTED_VALUE"""),"Матерятся много просто ")</f>
        <v>Матерятся много просто </v>
      </c>
      <c r="N1285" s="6" t="str">
        <f>IFERROR(__xludf.DUMMYFUNCTION("""COMPUTED_VALUE"""),"Транспорт, чистота городской среды, доступное жилье, городские пространства, развлечения для населения в формате города")</f>
        <v>Транспорт, чистота городской среды, доступное жилье, городские пространства, развлечения для населения в формате города</v>
      </c>
      <c r="O1285" s="6" t="str">
        <f>IFERROR(__xludf.DUMMYFUNCTION("""COMPUTED_VALUE"""),"Отремонтировать фасады зданий")</f>
        <v>Отремонтировать фасады зданий</v>
      </c>
      <c r="P1285" s="6" t="str">
        <f>IFERROR(__xludf.DUMMYFUNCTION("""COMPUTED_VALUE"""),"Инстаграм")</f>
        <v>Инстаграм</v>
      </c>
      <c r="Q128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285" s="6" t="str">
        <f>IFERROR(__xludf.DUMMYFUNCTION("""COMPUTED_VALUE"""),"Никакие ")</f>
        <v>Никакие </v>
      </c>
      <c r="S1285" s="6" t="str">
        <f>IFERROR(__xludf.DUMMYFUNCTION("""COMPUTED_VALUE"""),"Нет, не приходилось")</f>
        <v>Нет, не приходилось</v>
      </c>
      <c r="T1285" s="6" t="str">
        <f>IFERROR(__xludf.DUMMYFUNCTION("""COMPUTED_VALUE"""),"Углём, музей красная горка наверное")</f>
        <v>Углём, музей красная горка наверное</v>
      </c>
      <c r="U1285" s="6" t="str">
        <f>IFERROR(__xludf.DUMMYFUNCTION("""COMPUTED_VALUE"""),"Площадь советов")</f>
        <v>Площадь советов</v>
      </c>
      <c r="V1285" s="6" t="str">
        <f>IFERROR(__xludf.DUMMYFUNCTION("""COMPUTED_VALUE"""),"Затрудняюсь ответить")</f>
        <v>Затрудняюсь ответить</v>
      </c>
      <c r="W1285" s="6" t="str">
        <f>IFERROR(__xludf.DUMMYFUNCTION("""COMPUTED_VALUE"""),"Болтливые)")</f>
        <v>Болтливые)</v>
      </c>
      <c r="X1285" s="6" t="str">
        <f>IFERROR(__xludf.DUMMYFUNCTION("""COMPUTED_VALUE"""),"Центр, набережная")</f>
        <v>Центр, набережная</v>
      </c>
      <c r="Y1285" s="6" t="str">
        <f>IFERROR(__xludf.DUMMYFUNCTION("""COMPUTED_VALUE"""),"Затрудняюсь ответить")</f>
        <v>Затрудняюсь ответить</v>
      </c>
      <c r="Z1285" s="6" t="str">
        <f>IFERROR(__xludf.DUMMYFUNCTION("""COMPUTED_VALUE"""),"Много строек ")</f>
        <v>Много строек </v>
      </c>
      <c r="AA1285" s="6" t="str">
        <f>IFERROR(__xludf.DUMMYFUNCTION("""COMPUTED_VALUE"""),"Митинги ")</f>
        <v>Митинги </v>
      </c>
      <c r="AB1285" s="6" t="str">
        <f>IFERROR(__xludf.DUMMYFUNCTION("""COMPUTED_VALUE"""),"Никаких")</f>
        <v>Никаких</v>
      </c>
      <c r="AC1285" s="6" t="str">
        <f>IFERROR(__xludf.DUMMYFUNCTION("""COMPUTED_VALUE"""),"Не знаю ")</f>
        <v>Не знаю </v>
      </c>
      <c r="AD128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285" s="6" t="str">
        <f>IFERROR(__xludf.DUMMYFUNCTION("""COMPUTED_VALUE"""),"Женский")</f>
        <v>Женский</v>
      </c>
      <c r="AF1285" s="6" t="str">
        <f>IFERROR(__xludf.DUMMYFUNCTION("""COMPUTED_VALUE"""),"30-44")</f>
        <v>30-44</v>
      </c>
      <c r="AG1285" s="6"/>
      <c r="AH1285" s="6"/>
      <c r="AI1285" s="6"/>
      <c r="AJ1285" s="6"/>
      <c r="AK1285" s="6"/>
      <c r="AL1285" s="6"/>
      <c r="AM1285" s="6"/>
    </row>
    <row r="1286">
      <c r="A1286" s="6">
        <v>1285.0</v>
      </c>
      <c r="B1286" s="6" t="str">
        <f>IFERROR(__xludf.DUMMYFUNCTION("""COMPUTED_VALUE"""),"Водитель такси")</f>
        <v>Водитель такси</v>
      </c>
      <c r="C1286" s="6" t="str">
        <f>IFERROR(__xludf.DUMMYFUNCTION("""COMPUTED_VALUE"""),"Рыбалка")</f>
        <v>Рыбалка</v>
      </c>
      <c r="D1286" s="6" t="str">
        <f>IFERROR(__xludf.DUMMYFUNCTION("""COMPUTED_VALUE"""),"Мебельная фабрика")</f>
        <v>Мебельная фабрика</v>
      </c>
      <c r="E1286" s="6" t="str">
        <f>IFERROR(__xludf.DUMMYFUNCTION("""COMPUTED_VALUE"""),"Вокзал, памятник танкистам ")</f>
        <v>Вокзал, памятник танкистам </v>
      </c>
      <c r="F1286" s="6" t="str">
        <f>IFERROR(__xludf.DUMMYFUNCTION("""COMPUTED_VALUE"""),"Переехал сюда из другого места (откуда? укажите в графе другое), Алтайский край ")</f>
        <v>Переехал сюда из другого места (откуда? укажите в графе другое), Алтайский край </v>
      </c>
      <c r="G1286" s="6" t="str">
        <f>IFERROR(__xludf.DUMMYFUNCTION("""COMPUTED_VALUE"""),"В районе мебельной фабрики ближайший парк это ,,парк ангелов,, поэтому гуляем во дворе(((")</f>
        <v>В районе мебельной фабрики ближайший парк это ,,парк ангелов,, поэтому гуляем во дворе(((</v>
      </c>
      <c r="H1286" s="6" t="str">
        <f>IFERROR(__xludf.DUMMYFUNCTION("""COMPUTED_VALUE"""),"Растущий,  красивый, зелёный,погибающий в наркоте")</f>
        <v>Растущий,  красивый, зелёный,погибающий в наркоте</v>
      </c>
      <c r="I1286" s="6" t="str">
        <f>IFERROR(__xludf.DUMMYFUNCTION("""COMPUTED_VALUE"""),"Вера Волошина ")</f>
        <v>Вера Волошина </v>
      </c>
      <c r="J1286" s="6" t="str">
        <f>IFERROR(__xludf.DUMMYFUNCTION("""COMPUTED_VALUE"""),"Немогу назвать ")</f>
        <v>Немогу назвать </v>
      </c>
      <c r="K1286" s="6" t="str">
        <f>IFERROR(__xludf.DUMMYFUNCTION("""COMPUTED_VALUE"""),"Красная горка, надпись Кузбасс (маленько стыдно что там всё заросло и заброшено)")</f>
        <v>Красная горка, надпись Кузбасс (маленько стыдно что там всё заросло и заброшено)</v>
      </c>
      <c r="L1286" s="6" t="str">
        <f>IFERROR(__xludf.DUMMYFUNCTION("""COMPUTED_VALUE"""),"Не слышал и не знаю ")</f>
        <v>Не слышал и не знаю </v>
      </c>
      <c r="M1286" s="6" t="str">
        <f>IFERROR(__xludf.DUMMYFUNCTION("""COMPUTED_VALUE"""),"Нет")</f>
        <v>Нет</v>
      </c>
      <c r="N1286" s="6" t="str">
        <f>IFERROR(__xludf.DUMMYFUNCTION("""COMPUTED_VALUE"""),"Хорошие дороги, много парков, компактный")</f>
        <v>Хорошие дороги, много парков, компактный</v>
      </c>
      <c r="O1286" s="6" t="str">
        <f>IFERROR(__xludf.DUMMYFUNCTION("""COMPUTED_VALUE"""),"В часы пик чтобы на оживлённых перекрёстках дежурили сотрудники ДПС,  наркоманы заполонившие город - очистить от них, облагородить зону отдыха где надпись Кузбасс ")</f>
        <v>В часы пик чтобы на оживлённых перекрёстках дежурили сотрудники ДПС,  наркоманы заполонившие город - очистить от них, облагородить зону отдыха где надпись Кузбасс </v>
      </c>
      <c r="P1286" s="6" t="str">
        <f>IFERROR(__xludf.DUMMYFUNCTION("""COMPUTED_VALUE"""),"Страница губернатора в ОК")</f>
        <v>Страница губернатора в ОК</v>
      </c>
      <c r="Q1286" s="6" t="str">
        <f>IFERROR(__xludf.DUMMYFUNCTION("""COMPUTED_VALUE"""),"куда пойти в свободное время, где вкусно поесть/открытие новых кафе/ресторанов, культурные новинки (что почитать/что послушать), криминальные новости (происшествия/преступления)")</f>
        <v>куда пойти в свободное время, где вкусно поесть/открытие новых кафе/ресторанов, культурные новинки (что почитать/что послушать), криминальные новости (происшествия/преступления)</v>
      </c>
      <c r="R1286" s="6" t="str">
        <f>IFERROR(__xludf.DUMMYFUNCTION("""COMPUTED_VALUE"""),"9 мая, день города")</f>
        <v>9 мая, день города</v>
      </c>
      <c r="S1286" s="6" t="str">
        <f>IFERROR(__xludf.DUMMYFUNCTION("""COMPUTED_VALUE"""),"Нет, не приходилось")</f>
        <v>Нет, не приходилось</v>
      </c>
      <c r="T1286" s="6" t="str">
        <f>IFERROR(__xludf.DUMMYFUNCTION("""COMPUTED_VALUE"""),"Незнаю")</f>
        <v>Незнаю</v>
      </c>
      <c r="U1286" s="6" t="str">
        <f>IFERROR(__xludf.DUMMYFUNCTION("""COMPUTED_VALUE"""),"Вокзал")</f>
        <v>Вокзал</v>
      </c>
      <c r="V1286" s="6" t="str">
        <f>IFERROR(__xludf.DUMMYFUNCTION("""COMPUTED_VALUE"""),"Не знаю ")</f>
        <v>Не знаю </v>
      </c>
      <c r="W1286" s="6" t="str">
        <f>IFERROR(__xludf.DUMMYFUNCTION("""COMPUTED_VALUE"""),"Затрудняюсь ответить ")</f>
        <v>Затрудняюсь ответить </v>
      </c>
      <c r="X1286" s="6" t="str">
        <f>IFERROR(__xludf.DUMMYFUNCTION("""COMPUTED_VALUE"""),"Памятник шахтёра, поклонный крест на противоположной стороне ")</f>
        <v>Памятник шахтёра, поклонный крест на противоположной стороне </v>
      </c>
      <c r="Y1286" s="6" t="str">
        <f>IFERROR(__xludf.DUMMYFUNCTION("""COMPUTED_VALUE"""),"Не знаю ")</f>
        <v>Не знаю </v>
      </c>
      <c r="Z1286" s="6" t="str">
        <f>IFERROR(__xludf.DUMMYFUNCTION("""COMPUTED_VALUE"""),"Строительство на берегу р. Томи")</f>
        <v>Строительство на берегу р. Томи</v>
      </c>
      <c r="AA1286" s="6" t="str">
        <f>IFERROR(__xludf.DUMMYFUNCTION("""COMPUTED_VALUE"""),"Подорожание газа в 2 раза")</f>
        <v>Подорожание газа в 2 раза</v>
      </c>
      <c r="AB1286" s="6" t="str">
        <f>IFERROR(__xludf.DUMMYFUNCTION("""COMPUTED_VALUE"""),"Воспитанных")</f>
        <v>Воспитанных</v>
      </c>
      <c r="AC1286" s="6" t="str">
        <f>IFERROR(__xludf.DUMMYFUNCTION("""COMPUTED_VALUE"""),"Затрудняюсь ответить ")</f>
        <v>Затрудняюсь ответить </v>
      </c>
      <c r="AD128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286" s="6" t="str">
        <f>IFERROR(__xludf.DUMMYFUNCTION("""COMPUTED_VALUE"""),"Мужской")</f>
        <v>Мужской</v>
      </c>
      <c r="AF1286" s="6" t="str">
        <f>IFERROR(__xludf.DUMMYFUNCTION("""COMPUTED_VALUE"""),"30-44")</f>
        <v>30-44</v>
      </c>
      <c r="AG1286" s="6"/>
      <c r="AH1286" s="6"/>
      <c r="AI1286" s="6"/>
      <c r="AJ1286" s="6"/>
      <c r="AK1286" s="6"/>
      <c r="AL1286" s="6"/>
      <c r="AM1286" s="6"/>
    </row>
    <row r="1287">
      <c r="A1287" s="6">
        <v>1286.0</v>
      </c>
      <c r="B1287" s="6" t="str">
        <f>IFERROR(__xludf.DUMMYFUNCTION("""COMPUTED_VALUE"""),"Студент")</f>
        <v>Студент</v>
      </c>
      <c r="C1287" s="6" t="str">
        <f>IFERROR(__xludf.DUMMYFUNCTION("""COMPUTED_VALUE"""),"Футбол")</f>
        <v>Футбол</v>
      </c>
      <c r="D1287" s="6" t="str">
        <f>IFERROR(__xludf.DUMMYFUNCTION("""COMPUTED_VALUE"""),"Кировский")</f>
        <v>Кировский</v>
      </c>
      <c r="E1287" s="6" t="str">
        <f>IFERROR(__xludf.DUMMYFUNCTION("""COMPUTED_VALUE"""),"Набережная")</f>
        <v>Набережная</v>
      </c>
      <c r="F1287" s="6" t="str">
        <f>IFERROR(__xludf.DUMMYFUNCTION("""COMPUTED_VALUE"""),"Живу здесь с рождения")</f>
        <v>Живу здесь с рождения</v>
      </c>
      <c r="G1287" s="6" t="str">
        <f>IFERROR(__xludf.DUMMYFUNCTION("""COMPUTED_VALUE"""),"Набережные на обеих берегах")</f>
        <v>Набережные на обеих берегах</v>
      </c>
      <c r="H1287" s="6" t="str">
        <f>IFERROR(__xludf.DUMMYFUNCTION("""COMPUTED_VALUE"""),"Пыльный, маленький, красивый, шахтерский, наркоманы")</f>
        <v>Пыльный, маленький, красивый, шахтерский, наркоманы</v>
      </c>
      <c r="I1287" s="6" t="str">
        <f>IFERROR(__xludf.DUMMYFUNCTION("""COMPUTED_VALUE"""),"Михайло Волков, Юрий Витухин, Виталий Раздаев, Константин Сподаренко, Сергей Тарасов")</f>
        <v>Михайло Волков, Юрий Витухин, Виталий Раздаев, Константин Сподаренко, Сергей Тарасов</v>
      </c>
      <c r="J1287" s="6" t="str">
        <f>IFERROR(__xludf.DUMMYFUNCTION("""COMPUTED_VALUE"""),"Алексей Леонов, Андрей Сельский, Аман Тулеев, Евгений Гришковец")</f>
        <v>Алексей Леонов, Андрей Сельский, Аман Тулеев, Евгений Гришковец</v>
      </c>
      <c r="K1287" s="6" t="str">
        <f>IFERROR(__xludf.DUMMYFUNCTION("""COMPUTED_VALUE"""),"Улица Весенняя")</f>
        <v>Улица Весенняя</v>
      </c>
      <c r="L1287" s="6" t="str">
        <f>IFERROR(__xludf.DUMMYFUNCTION("""COMPUTED_VALUE"""),"Не знаю")</f>
        <v>Не знаю</v>
      </c>
      <c r="M1287" s="6" t="str">
        <f>IFERROR(__xludf.DUMMYFUNCTION("""COMPUTED_VALUE"""),"Не знаю")</f>
        <v>Не знаю</v>
      </c>
      <c r="N1287" s="6" t="str">
        <f>IFERROR(__xludf.DUMMYFUNCTION("""COMPUTED_VALUE"""),"Чистый воздух, хорошие дороги, доступность общественного транспорта, доступное жилье, отсутствие алкоголиков и наркоманов")</f>
        <v>Чистый воздух, хорошие дороги, доступность общественного транспорта, доступное жилье, отсутствие алкоголиков и наркоманов</v>
      </c>
      <c r="O1287" s="6" t="str">
        <f>IFERROR(__xludf.DUMMYFUNCTION("""COMPUTED_VALUE"""),"Наркозависимость и алкоголизм среди населения")</f>
        <v>Наркозависимость и алкоголизм среди населения</v>
      </c>
      <c r="P1287" s="6" t="str">
        <f>IFERROR(__xludf.DUMMYFUNCTION("""COMPUTED_VALUE"""),"Интернет")</f>
        <v>Интернет</v>
      </c>
      <c r="Q1287"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287" s="6" t="str">
        <f>IFERROR(__xludf.DUMMYFUNCTION("""COMPUTED_VALUE"""),"День Победы")</f>
        <v>День Победы</v>
      </c>
      <c r="S1287" s="6" t="str">
        <f>IFERROR(__xludf.DUMMYFUNCTION("""COMPUTED_VALUE"""),"Работал с приглашёнными артистами ")</f>
        <v>Работал с приглашёнными артистами </v>
      </c>
      <c r="T1287" s="6" t="str">
        <f>IFERROR(__xludf.DUMMYFUNCTION("""COMPUTED_VALUE"""),"Шахтёры")</f>
        <v>Шахтёры</v>
      </c>
      <c r="U1287" s="6" t="str">
        <f>IFERROR(__xludf.DUMMYFUNCTION("""COMPUTED_VALUE"""),"Улица Весенняя")</f>
        <v>Улица Весенняя</v>
      </c>
      <c r="V1287" s="6" t="str">
        <f>IFERROR(__xludf.DUMMYFUNCTION("""COMPUTED_VALUE"""),"Открыли Угольные залежи ")</f>
        <v>Открыли Угольные залежи </v>
      </c>
      <c r="W1287" s="6" t="str">
        <f>IFERROR(__xludf.DUMMYFUNCTION("""COMPUTED_VALUE"""),"Злые и пьяные")</f>
        <v>Злые и пьяные</v>
      </c>
      <c r="X1287" s="6" t="str">
        <f>IFERROR(__xludf.DUMMYFUNCTION("""COMPUTED_VALUE"""),"Улица Весенняя")</f>
        <v>Улица Весенняя</v>
      </c>
      <c r="Y1287" s="6" t="str">
        <f>IFERROR(__xludf.DUMMYFUNCTION("""COMPUTED_VALUE"""),"Финал высшей лиги по хоккею с шайбой")</f>
        <v>Финал высшей лиги по хоккею с шайбой</v>
      </c>
      <c r="Z1287" s="6" t="str">
        <f>IFERROR(__xludf.DUMMYFUNCTION("""COMPUTED_VALUE"""),"Волейбольный Кузбасс выиграл чемпионат России")</f>
        <v>Волейбольный Кузбасс выиграл чемпионат России</v>
      </c>
      <c r="AA1287" s="6" t="str">
        <f>IFERROR(__xludf.DUMMYFUNCTION("""COMPUTED_VALUE"""),"Массовые сокращения рабочих мест в различных сферах деятельности ")</f>
        <v>Массовые сокращения рабочих мест в различных сферах деятельности </v>
      </c>
      <c r="AB1287" s="6" t="str">
        <f>IFERROR(__xludf.DUMMYFUNCTION("""COMPUTED_VALUE"""),"Спортивных")</f>
        <v>Спортивных</v>
      </c>
      <c r="AC1287" s="6" t="str">
        <f>IFERROR(__xludf.DUMMYFUNCTION("""COMPUTED_VALUE"""),"Нужна команда по хоккею с шайбой")</f>
        <v>Нужна команда по хоккею с шайбой</v>
      </c>
      <c r="AD1287" s="6" t="str">
        <f>IFERROR(__xludf.DUMMYFUNCTION("""COMPUTED_VALUE"""),"Развитие города - это прямая обязанность администрации города без привлечения добровольцев и различных пожертвований")</f>
        <v>Развитие города - это прямая обязанность администрации города без привлечения добровольцев и различных пожертвований</v>
      </c>
      <c r="AE1287" s="6" t="str">
        <f>IFERROR(__xludf.DUMMYFUNCTION("""COMPUTED_VALUE"""),"Мужской")</f>
        <v>Мужской</v>
      </c>
      <c r="AF1287" s="6" t="str">
        <f>IFERROR(__xludf.DUMMYFUNCTION("""COMPUTED_VALUE"""),"18-29")</f>
        <v>18-29</v>
      </c>
      <c r="AG1287" s="6"/>
      <c r="AH1287" s="6"/>
      <c r="AI1287" s="6"/>
      <c r="AJ1287" s="6"/>
      <c r="AK1287" s="6"/>
      <c r="AL1287" s="6"/>
      <c r="AM1287" s="6"/>
    </row>
    <row r="1288">
      <c r="A1288" s="6">
        <v>1287.0</v>
      </c>
      <c r="B1288" s="6" t="str">
        <f>IFERROR(__xludf.DUMMYFUNCTION("""COMPUTED_VALUE"""),"Экономист")</f>
        <v>Экономист</v>
      </c>
      <c r="C1288" s="6" t="str">
        <f>IFERROR(__xludf.DUMMYFUNCTION("""COMPUTED_VALUE"""),"Вязание, чтение")</f>
        <v>Вязание, чтение</v>
      </c>
      <c r="D1288" s="6" t="str">
        <f>IFERROR(__xludf.DUMMYFUNCTION("""COMPUTED_VALUE"""),"Заводский, ФПК")</f>
        <v>Заводский, ФПК</v>
      </c>
      <c r="E1288" s="6" t="str">
        <f>IFERROR(__xludf.DUMMYFUNCTION("""COMPUTED_VALUE"""),"Строящийся храм вмч Варвары, торговый комплекс Гринвич")</f>
        <v>Строящийся храм вмч Варвары, торговый комплекс Гринвич</v>
      </c>
      <c r="F1288" s="6" t="str">
        <f>IFERROR(__xludf.DUMMYFUNCTION("""COMPUTED_VALUE"""),"Родилась в другом городе, но родители еще в моем младенчестве приехали в Кемерово")</f>
        <v>Родилась в другом городе, но родители еще в моем младенчестве приехали в Кемерово</v>
      </c>
      <c r="G1288" s="6" t="str">
        <f>IFERROR(__xludf.DUMMYFUNCTION("""COMPUTED_VALUE"""),"Набережная реки Томь, Парк Чудес, ул. Весенняя,")</f>
        <v>Набережная реки Томь, Парк Чудес, ул. Весенняя,</v>
      </c>
      <c r="H1288" s="6" t="str">
        <f>IFERROR(__xludf.DUMMYFUNCTION("""COMPUTED_VALUE"""),"Красная Горка, центр, областная столица, Знаменский Собор")</f>
        <v>Красная Горка, центр, областная столица, Знаменский Собор</v>
      </c>
      <c r="I1288" s="6" t="str">
        <f>IFERROR(__xludf.DUMMYFUNCTION("""COMPUTED_VALUE"""),"Михайло Волков, Вера Волошина, Юрий Двужильный")</f>
        <v>Михайло Волков, Вера Волошина, Юрий Двужильный</v>
      </c>
      <c r="J1288" s="6" t="str">
        <f>IFERROR(__xludf.DUMMYFUNCTION("""COMPUTED_VALUE"""),"Аман Тулеев")</f>
        <v>Аман Тулеев</v>
      </c>
      <c r="K1288" s="6" t="str">
        <f>IFERROR(__xludf.DUMMYFUNCTION("""COMPUTED_VALUE"""),"Знаменский Собор, ул. Весенняя, набережная реки Томь, Парк Чудес, Парк Ангелов")</f>
        <v>Знаменский Собор, ул. Весенняя, набережная реки Томь, Парк Чудес, Парк Ангелов</v>
      </c>
      <c r="L1288" s="6" t="str">
        <f>IFERROR(__xludf.DUMMYFUNCTION("""COMPUTED_VALUE"""),"Не знаю")</f>
        <v>Не знаю</v>
      </c>
      <c r="M1288" s="6" t="str">
        <f>IFERROR(__xludf.DUMMYFUNCTION("""COMPUTED_VALUE"""),"Не знаю")</f>
        <v>Не знаю</v>
      </c>
      <c r="N1288" s="6" t="str">
        <f>IFERROR(__xludf.DUMMYFUNCTION("""COMPUTED_VALUE"""),"Чистота, озеленение, налаженная транспортная инфраструктура, хорошие ровные дороги (без ям), наличие благоустроенных детских площадок во дворах домов. ")</f>
        <v>Чистота, озеленение, налаженная транспортная инфраструктура, хорошие ровные дороги (без ям), наличие благоустроенных детских площадок во дворах домов. </v>
      </c>
      <c r="O1288" s="6" t="str">
        <f>IFERROR(__xludf.DUMMYFUNCTION("""COMPUTED_VALUE"""),"Выровнять все дороги: проспекты, улицы, проезжие части дворовых территорий")</f>
        <v>Выровнять все дороги: проспекты, улицы, проезжие части дворовых территорий</v>
      </c>
      <c r="P1288" s="6" t="str">
        <f>IFERROR(__xludf.DUMMYFUNCTION("""COMPUTED_VALUE"""),"Сибдепо")</f>
        <v>Сибдепо</v>
      </c>
      <c r="Q1288" s="6" t="str">
        <f>IFERROR(__xludf.DUMMYFUNCTION("""COMPUTED_VALUE"""),"куда пойти в свободное время, городская афиша (кино/театр/концерты), интервью с местными творческими личностями, результаты местных исследований (рейтинги/аналитика/тенденции)")</f>
        <v>куда пойти в свободное время, городская афиша (кино/театр/концерты), интервью с местными творческими личностями, результаты местных исследований (рейтинги/аналитика/тенденции)</v>
      </c>
      <c r="R1288" s="6" t="str">
        <f>IFERROR(__xludf.DUMMYFUNCTION("""COMPUTED_VALUE"""),"День города")</f>
        <v>День города</v>
      </c>
      <c r="S1288" s="6" t="str">
        <f>IFERROR(__xludf.DUMMYFUNCTION("""COMPUTED_VALUE"""),"Нет, не приходилось")</f>
        <v>Нет, не приходилось</v>
      </c>
      <c r="T1288" s="6" t="str">
        <f>IFERROR(__xludf.DUMMYFUNCTION("""COMPUTED_VALUE"""),"Столица Кузбасса")</f>
        <v>Столица Кузбасса</v>
      </c>
      <c r="U1288" s="6" t="str">
        <f>IFERROR(__xludf.DUMMYFUNCTION("""COMPUTED_VALUE"""),"Парк Чудес")</f>
        <v>Парк Чудес</v>
      </c>
      <c r="V1288" s="6" t="str">
        <f>IFERROR(__xludf.DUMMYFUNCTION("""COMPUTED_VALUE"""),"Не знаю")</f>
        <v>Не знаю</v>
      </c>
      <c r="W1288" s="6" t="str">
        <f>IFERROR(__xludf.DUMMYFUNCTION("""COMPUTED_VALUE"""),"Открытые люди")</f>
        <v>Открытые люди</v>
      </c>
      <c r="X1288" s="6" t="str">
        <f>IFERROR(__xludf.DUMMYFUNCTION("""COMPUTED_VALUE"""),"От площади Советов до Драмтеатра, затем по ул. Весенней до набережной")</f>
        <v>От площади Советов до Драмтеатра, затем по ул. Весенней до набережной</v>
      </c>
      <c r="Y1288" s="6" t="str">
        <f>IFERROR(__xludf.DUMMYFUNCTION("""COMPUTED_VALUE"""),"Не могу ответить")</f>
        <v>Не могу ответить</v>
      </c>
      <c r="Z1288" s="6" t="str">
        <f>IFERROR(__xludf.DUMMYFUNCTION("""COMPUTED_VALUE"""),"Последний состоявшийся салют Победы, Бессмертный полк ")</f>
        <v>Последний состоявшийся салют Победы, Бессмертный полк </v>
      </c>
      <c r="AA1288" s="6" t="str">
        <f>IFERROR(__xludf.DUMMYFUNCTION("""COMPUTED_VALUE"""),"Вандальные разрушения новых установленных остановок")</f>
        <v>Вандальные разрушения новых установленных остановок</v>
      </c>
      <c r="AB1288" s="6" t="str">
        <f>IFERROR(__xludf.DUMMYFUNCTION("""COMPUTED_VALUE"""),"Не знаю. ")</f>
        <v>Не знаю. </v>
      </c>
      <c r="AC1288" s="6" t="str">
        <f>IFERROR(__xludf.DUMMYFUNCTION("""COMPUTED_VALUE"""),"Концерты под открытым небом")</f>
        <v>Концерты под открытым небом</v>
      </c>
      <c r="AD128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88" s="6" t="str">
        <f>IFERROR(__xludf.DUMMYFUNCTION("""COMPUTED_VALUE"""),"Женский")</f>
        <v>Женский</v>
      </c>
      <c r="AF1288" s="6" t="str">
        <f>IFERROR(__xludf.DUMMYFUNCTION("""COMPUTED_VALUE"""),"45-55")</f>
        <v>45-55</v>
      </c>
      <c r="AG1288" s="6"/>
      <c r="AH1288" s="6"/>
      <c r="AI1288" s="6"/>
      <c r="AJ1288" s="6"/>
      <c r="AK1288" s="6"/>
      <c r="AL1288" s="6"/>
      <c r="AM1288" s="6"/>
    </row>
    <row r="1289">
      <c r="A1289" s="6">
        <v>1288.0</v>
      </c>
      <c r="B1289" s="6" t="str">
        <f>IFERROR(__xludf.DUMMYFUNCTION("""COMPUTED_VALUE"""),"юрист")</f>
        <v>юрист</v>
      </c>
      <c r="C1289" s="6" t="str">
        <f>IFERROR(__xludf.DUMMYFUNCTION("""COMPUTED_VALUE"""),"чтение, кино")</f>
        <v>чтение, кино</v>
      </c>
      <c r="D1289" s="6" t="str">
        <f>IFERROR(__xludf.DUMMYFUNCTION("""COMPUTED_VALUE"""),"Рудничный")</f>
        <v>Рудничный</v>
      </c>
      <c r="E1289" s="6" t="str">
        <f>IFERROR(__xludf.DUMMYFUNCTION("""COMPUTED_VALUE"""),"Рудничный бор, Серебряный борок")</f>
        <v>Рудничный бор, Серебряный борок</v>
      </c>
      <c r="F1289" s="6" t="str">
        <f>IFERROR(__xludf.DUMMYFUNCTION("""COMPUTED_VALUE"""),"Живу здесь с рождения")</f>
        <v>Живу здесь с рождения</v>
      </c>
      <c r="G1289" s="6" t="str">
        <f>IFERROR(__xludf.DUMMYFUNCTION("""COMPUTED_VALUE"""),"Набережная")</f>
        <v>Набережная</v>
      </c>
      <c r="H1289" s="6" t="str">
        <f>IFERROR(__xludf.DUMMYFUNCTION("""COMPUTED_VALUE"""),"Загазованный, маленький, удобный")</f>
        <v>Загазованный, маленький, удобный</v>
      </c>
      <c r="I1289" s="6" t="str">
        <f>IFERROR(__xludf.DUMMYFUNCTION("""COMPUTED_VALUE"""),"Гришковец, В.Михайлов")</f>
        <v>Гришковец, В.Михайлов</v>
      </c>
      <c r="J1289" s="6" t="str">
        <f>IFERROR(__xludf.DUMMYFUNCTION("""COMPUTED_VALUE"""),"В. Михайлов, И. Середюк")</f>
        <v>В. Михайлов, И. Середюк</v>
      </c>
      <c r="K1289" s="6" t="str">
        <f>IFERROR(__xludf.DUMMYFUNCTION("""COMPUTED_VALUE"""),"Красная горка, Лесная поляна, Бор")</f>
        <v>Красная горка, Лесная поляна, Бор</v>
      </c>
      <c r="L1289" s="6" t="str">
        <f>IFERROR(__xludf.DUMMYFUNCTION("""COMPUTED_VALUE"""),"Соперничество с Новокузнецком ")</f>
        <v>Соперничество с Новокузнецком </v>
      </c>
      <c r="M1289" s="6" t="str">
        <f>IFERROR(__xludf.DUMMYFUNCTION("""COMPUTED_VALUE"""),"колба, а не черемша")</f>
        <v>колба, а не черемша</v>
      </c>
      <c r="N1289" s="6" t="str">
        <f>IFERROR(__xludf.DUMMYFUNCTION("""COMPUTED_VALUE"""),"Комфортный и доступный общественный транспорт, множество мест для досуга, в том числе наличие аквапарка, хорошего парка аттракционов, облагороженного Бора, оформление пространства для прогулок по пр. Шахтеров, 78, так как район новый, а места для прогулок"&amp;" только вдоль дорог")</f>
        <v>Комфортный и доступный общественный транспорт, множество мест для досуга, в том числе наличие аквапарка, хорошего парка аттракционов, облагороженного Бора, оформление пространства для прогулок по пр. Шахтеров, 78, так как район новый, а места для прогулок только вдоль дорог</v>
      </c>
      <c r="O1289" s="6" t="str">
        <f>IFERROR(__xludf.DUMMYFUNCTION("""COMPUTED_VALUE"""),"Наладить общественный транспорт, отремонтировать дороги")</f>
        <v>Наладить общественный транспорт, отремонтировать дороги</v>
      </c>
      <c r="P1289" s="6" t="str">
        <f>IFERROR(__xludf.DUMMYFUNCTION("""COMPUTED_VALUE"""),"А42")</f>
        <v>А42</v>
      </c>
      <c r="Q1289" s="6" t="str">
        <f>IFERROR(__xludf.DUMMYFUNCTION("""COMPUTED_VALUE"""),"куда пойти в свободное время,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f>
        <v>куда пойти в свободное время,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v>
      </c>
      <c r="R1289" s="6" t="str">
        <f>IFERROR(__xludf.DUMMYFUNCTION("""COMPUTED_VALUE"""),"День города")</f>
        <v>День города</v>
      </c>
      <c r="S1289" s="6" t="str">
        <f>IFERROR(__xludf.DUMMYFUNCTION("""COMPUTED_VALUE"""),"Нет, не приходилось")</f>
        <v>Нет, не приходилось</v>
      </c>
      <c r="T1289" s="6" t="str">
        <f>IFERROR(__xludf.DUMMYFUNCTION("""COMPUTED_VALUE"""),"Бор в центре города")</f>
        <v>Бор в центре города</v>
      </c>
      <c r="U1289" s="6" t="str">
        <f>IFERROR(__xludf.DUMMYFUNCTION("""COMPUTED_VALUE"""),"Рудничный бор, ул. Весенняя")</f>
        <v>Рудничный бор, ул. Весенняя</v>
      </c>
      <c r="V1289" s="6" t="str">
        <f>IFERROR(__xludf.DUMMYFUNCTION("""COMPUTED_VALUE"""),"Много чего, в основном, уехали и о городе узнали")</f>
        <v>Много чего, в основном, уехали и о городе узнали</v>
      </c>
      <c r="W1289" s="6" t="str">
        <f>IFERROR(__xludf.DUMMYFUNCTION("""COMPUTED_VALUE"""),"Обычные")</f>
        <v>Обычные</v>
      </c>
      <c r="X1289" s="6" t="str">
        <f>IFERROR(__xludf.DUMMYFUNCTION("""COMPUTED_VALUE"""),"Центр города")</f>
        <v>Центр города</v>
      </c>
      <c r="Y1289" s="6" t="str">
        <f>IFERROR(__xludf.DUMMYFUNCTION("""COMPUTED_VALUE"""),"концерт ""Звезды мирового рока""")</f>
        <v>концерт "Звезды мирового рока"</v>
      </c>
      <c r="Z1289" s="6" t="str">
        <f>IFERROR(__xludf.DUMMYFUNCTION("""COMPUTED_VALUE"""),"Новые синие автобусы, ремонт Бульвара Строителей ")</f>
        <v>Новые синие автобусы, ремонт Бульвара Строителей </v>
      </c>
      <c r="AA1289" s="6" t="str">
        <f>IFERROR(__xludf.DUMMYFUNCTION("""COMPUTED_VALUE"""),"Зимняя вишня")</f>
        <v>Зимняя вишня</v>
      </c>
      <c r="AB1289" s="6" t="str">
        <f>IFERROR(__xludf.DUMMYFUNCTION("""COMPUTED_VALUE"""),"разныъ")</f>
        <v>разныъ</v>
      </c>
      <c r="AC1289" s="6" t="str">
        <f>IFERROR(__xludf.DUMMYFUNCTION("""COMPUTED_VALUE"""),"Выставки известных художников, создание общественных пространств ")</f>
        <v>Выставки известных художников, создание общественных пространств </v>
      </c>
      <c r="AD128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289" s="6" t="str">
        <f>IFERROR(__xludf.DUMMYFUNCTION("""COMPUTED_VALUE"""),"Женский")</f>
        <v>Женский</v>
      </c>
      <c r="AF1289" s="6" t="str">
        <f>IFERROR(__xludf.DUMMYFUNCTION("""COMPUTED_VALUE"""),"30-44")</f>
        <v>30-44</v>
      </c>
      <c r="AG1289" s="6"/>
      <c r="AH1289" s="6"/>
      <c r="AI1289" s="6"/>
      <c r="AJ1289" s="6"/>
      <c r="AK1289" s="6"/>
      <c r="AL1289" s="6"/>
      <c r="AM1289" s="6"/>
    </row>
    <row r="1290">
      <c r="A1290" s="6">
        <v>1289.0</v>
      </c>
      <c r="B1290" s="6" t="str">
        <f>IFERROR(__xludf.DUMMYFUNCTION("""COMPUTED_VALUE"""),"Парикмахер")</f>
        <v>Парикмахер</v>
      </c>
      <c r="C1290" s="6" t="str">
        <f>IFERROR(__xludf.DUMMYFUNCTION("""COMPUTED_VALUE"""),"Нет")</f>
        <v>Нет</v>
      </c>
      <c r="D1290" s="6" t="str">
        <f>IFERROR(__xludf.DUMMYFUNCTION("""COMPUTED_VALUE"""),"Кировский")</f>
        <v>Кировский</v>
      </c>
      <c r="E1290" s="6" t="str">
        <f>IFERROR(__xludf.DUMMYFUNCTION("""COMPUTED_VALUE"""),"ДК Кировского, набережная,Берёзовая роща")</f>
        <v>ДК Кировского, набережная,Берёзовая роща</v>
      </c>
      <c r="F1290" s="6" t="str">
        <f>IFERROR(__xludf.DUMMYFUNCTION("""COMPUTED_VALUE"""),"Переехал сюда из другого места (откуда? укажите в графе другое), г.Бийск Алтайский край. Переехала в 1986 году.")</f>
        <v>Переехал сюда из другого места (откуда? укажите в графе другое), г.Бийск Алтайский край. Переехала в 1986 году.</v>
      </c>
      <c r="G1290" s="6" t="str">
        <f>IFERROR(__xludf.DUMMYFUNCTION("""COMPUTED_VALUE"""),"Кинотеатр ""Юбилейный"", КФС, Томская писаница. Набережная кировского района.")</f>
        <v>Кинотеатр "Юбилейный", КФС, Томская писаница. Набережная кировского района.</v>
      </c>
      <c r="H1290" s="6" t="str">
        <f>IFERROR(__xludf.DUMMYFUNCTION("""COMPUTED_VALUE"""),"Кемерово-красивый,чистый,приветливый,свободный, радужный.")</f>
        <v>Кемерово-красивый,чистый,приветливый,свободный, радужный.</v>
      </c>
      <c r="I1290" s="6" t="str">
        <f>IFERROR(__xludf.DUMMYFUNCTION("""COMPUTED_VALUE"""),"Волков")</f>
        <v>Волков</v>
      </c>
      <c r="J1290" s="6" t="str">
        <f>IFERROR(__xludf.DUMMYFUNCTION("""COMPUTED_VALUE"""),"Тулеев")</f>
        <v>Тулеев</v>
      </c>
      <c r="K1290" s="6" t="str">
        <f>IFERROR(__xludf.DUMMYFUNCTION("""COMPUTED_VALUE"""),"Затрудняюсь ответить")</f>
        <v>Затрудняюсь ответить</v>
      </c>
      <c r="L1290" s="6" t="str">
        <f>IFERROR(__xludf.DUMMYFUNCTION("""COMPUTED_VALUE"""),"Затрудняюсь ответить")</f>
        <v>Затрудняюсь ответить</v>
      </c>
      <c r="M1290" s="6" t="str">
        <f>IFERROR(__xludf.DUMMYFUNCTION("""COMPUTED_VALUE"""),"Нет")</f>
        <v>Нет</v>
      </c>
      <c r="N1290" s="6" t="str">
        <f>IFERROR(__xludf.DUMMYFUNCTION("""COMPUTED_VALUE"""),"Т.к проживаю в частном секторе,хочу что бы больше этому уделялось внимания,чистоте,дорогам. Зонам досуга и отдыха.")</f>
        <v>Т.к проживаю в частном секторе,хочу что бы больше этому уделялось внимания,чистоте,дорогам. Зонам досуга и отдыха.</v>
      </c>
      <c r="O1290" s="6" t="str">
        <f>IFERROR(__xludf.DUMMYFUNCTION("""COMPUTED_VALUE"""),"Транспорт, частный сектор, дороги во дворах,")</f>
        <v>Транспорт, частный сектор, дороги во дворах,</v>
      </c>
      <c r="P1290" s="6" t="str">
        <f>IFERROR(__xludf.DUMMYFUNCTION("""COMPUTED_VALUE"""),"Новости в гугл и яндекс")</f>
        <v>Новости в гугл и яндекс</v>
      </c>
      <c r="Q1290"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чек/реклам"&amp;"ные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290" s="6" t="str">
        <f>IFERROR(__xludf.DUMMYFUNCTION("""COMPUTED_VALUE"""),"9 Мая, День Шахтёра., день города.")</f>
        <v>9 Мая, День Шахтёра., день города.</v>
      </c>
      <c r="S1290" s="6" t="str">
        <f>IFERROR(__xludf.DUMMYFUNCTION("""COMPUTED_VALUE"""),"Нет, не приходилось")</f>
        <v>Нет, не приходилось</v>
      </c>
      <c r="T1290" s="6" t="str">
        <f>IFERROR(__xludf.DUMMYFUNCTION("""COMPUTED_VALUE"""),"Угольный край")</f>
        <v>Угольный край</v>
      </c>
      <c r="U1290" s="6" t="str">
        <f>IFERROR(__xludf.DUMMYFUNCTION("""COMPUTED_VALUE"""),"Затрудняюсь ответить")</f>
        <v>Затрудняюсь ответить</v>
      </c>
      <c r="V1290" s="6" t="str">
        <f>IFERROR(__xludf.DUMMYFUNCTION("""COMPUTED_VALUE"""),"Не знаю")</f>
        <v>Не знаю</v>
      </c>
      <c r="W1290" s="6" t="str">
        <f>IFERROR(__xludf.DUMMYFUNCTION("""COMPUTED_VALUE"""),"Спокойные, не торопливые.")</f>
        <v>Спокойные, не торопливые.</v>
      </c>
      <c r="X1290" s="6" t="str">
        <f>IFERROR(__xludf.DUMMYFUNCTION("""COMPUTED_VALUE"""),"Томская писаница")</f>
        <v>Томская писаница</v>
      </c>
      <c r="Y1290" s="6" t="str">
        <f>IFERROR(__xludf.DUMMYFUNCTION("""COMPUTED_VALUE"""),"Отремонтировали набережную в кировском")</f>
        <v>Отремонтировали набережную в кировском</v>
      </c>
      <c r="Z1290" s="6" t="str">
        <f>IFERROR(__xludf.DUMMYFUNCTION("""COMPUTED_VALUE"""),"Новые автобусы")</f>
        <v>Новые автобусы</v>
      </c>
      <c r="AA1290" s="6" t="str">
        <f>IFERROR(__xludf.DUMMYFUNCTION("""COMPUTED_VALUE"""),"""Зимняя вишня"" пожар.")</f>
        <v>"Зимняя вишня" пожар.</v>
      </c>
      <c r="AB1290" s="6" t="str">
        <f>IFERROR(__xludf.DUMMYFUNCTION("""COMPUTED_VALUE"""),"Не могу ответить")</f>
        <v>Не могу ответить</v>
      </c>
      <c r="AC1290" s="6" t="str">
        <f>IFERROR(__xludf.DUMMYFUNCTION("""COMPUTED_VALUE"""),"Аквапарк")</f>
        <v>Аквапарк</v>
      </c>
      <c r="AD1290" s="6" t="str">
        <f>IFERROR(__xludf.DUMMYFUNCTION("""COMPUTED_VALUE"""),"Все зависит от того ,какое именно событие будет проходить")</f>
        <v>Все зависит от того ,какое именно событие будет проходить</v>
      </c>
      <c r="AE1290" s="6" t="str">
        <f>IFERROR(__xludf.DUMMYFUNCTION("""COMPUTED_VALUE"""),"Женский")</f>
        <v>Женский</v>
      </c>
      <c r="AF1290" s="6" t="str">
        <f>IFERROR(__xludf.DUMMYFUNCTION("""COMPUTED_VALUE"""),"30-44")</f>
        <v>30-44</v>
      </c>
      <c r="AG1290" s="6"/>
      <c r="AH1290" s="6"/>
      <c r="AI1290" s="6"/>
      <c r="AJ1290" s="6"/>
      <c r="AK1290" s="6"/>
      <c r="AL1290" s="6"/>
      <c r="AM1290" s="6"/>
    </row>
    <row r="1291">
      <c r="A1291" s="6">
        <v>1290.0</v>
      </c>
      <c r="B1291" s="6" t="str">
        <f>IFERROR(__xludf.DUMMYFUNCTION("""COMPUTED_VALUE"""),"Работник сферы транспорта")</f>
        <v>Работник сферы транспорта</v>
      </c>
      <c r="C1291" s="6" t="str">
        <f>IFERROR(__xludf.DUMMYFUNCTION("""COMPUTED_VALUE"""),"Спорт(футбол, волейбол, теннис настольный, теннис большой, баскетбол, велоспорт), ночные автоквесты")</f>
        <v>Спорт(футбол, волейбол, теннис настольный, теннис большой, баскетбол, велоспорт), ночные автоквесты</v>
      </c>
      <c r="D1291" s="6" t="str">
        <f>IFERROR(__xludf.DUMMYFUNCTION("""COMPUTED_VALUE"""),"Кировский,кирыч")</f>
        <v>Кировский,кирыч</v>
      </c>
      <c r="E1291" s="6" t="str">
        <f>IFERROR(__xludf.DUMMYFUNCTION("""COMPUTED_VALUE"""),"Набережная, ДК, роща березовая")</f>
        <v>Набережная, ДК, роща березовая</v>
      </c>
      <c r="F1291" s="6" t="str">
        <f>IFERROR(__xludf.DUMMYFUNCTION("""COMPUTED_VALUE"""),"Живу здесь с рождения")</f>
        <v>Живу здесь с рождения</v>
      </c>
      <c r="G1291" s="6" t="str">
        <f>IFERROR(__xludf.DUMMYFUNCTION("""COMPUTED_VALUE"""),"Набережные, парки")</f>
        <v>Набережные, парки</v>
      </c>
      <c r="H1291" s="6" t="str">
        <f>IFERROR(__xludf.DUMMYFUNCTION("""COMPUTED_VALUE"""),"Смог, уголь, смерть спортивных команд")</f>
        <v>Смог, уголь, смерть спортивных команд</v>
      </c>
      <c r="I1291" s="6" t="str">
        <f>IFERROR(__xludf.DUMMYFUNCTION("""COMPUTED_VALUE"""),"Раздаев")</f>
        <v>Раздаев</v>
      </c>
      <c r="J1291" s="6" t="str">
        <f>IFERROR(__xludf.DUMMYFUNCTION("""COMPUTED_VALUE"""),"Тулеев, Середюк")</f>
        <v>Тулеев, Середюк</v>
      </c>
      <c r="K1291" s="6" t="str">
        <f>IFERROR(__xludf.DUMMYFUNCTION("""COMPUTED_VALUE"""),"Сосновый бор, набережная, парк ангелов")</f>
        <v>Сосновый бор, набережная, парк ангелов</v>
      </c>
      <c r="L1291" s="6" t="str">
        <f>IFERROR(__xludf.DUMMYFUNCTION("""COMPUTED_VALUE"""),"Не знаю")</f>
        <v>Не знаю</v>
      </c>
      <c r="M1291" s="6" t="str">
        <f>IFERROR(__xludf.DUMMYFUNCTION("""COMPUTED_VALUE"""),"Нет")</f>
        <v>Нет</v>
      </c>
      <c r="N1291" s="6" t="str">
        <f>IFERROR(__xludf.DUMMYFUNCTION("""COMPUTED_VALUE"""),"Хорошая экология, развитый транспорт, отсутствие пробок, развитая инфраструктура для пешеходов и велосипедистов, множество развлекательных разнообразных мест")</f>
        <v>Хорошая экология, развитый транспорт, отсутствие пробок, развитая инфраструктура для пешеходов и велосипедистов, множество развлекательных разнообразных мест</v>
      </c>
      <c r="O1291" s="6" t="str">
        <f>IFERROR(__xludf.DUMMYFUNCTION("""COMPUTED_VALUE"""),"Экологию(перевести максимум на газ, выбросы ограничить в воздух и в Томь, посыпать зимой дороги не песком) , транспортную систему(чтобы до 24:00 можно было отовсюду уехать домой в любое место) и инфраструктуру (обьездная города, мост с кировского на левый"&amp;" берег, не строить ненужные дороги больше 4 полос как проспект комсомольский от Ленина до Химиков,  в местах, где большой поток людей-отделить дороги от тротуара зелёными начаждениями что поможет исключить перебегание дороги в не положенных местах и снизи"&amp;"т уровень шума и грязи для пешеходов и жителей домов вдоль улиц), перестать разрешать строить человейники выше 5 этажей в огромном количестве в одном месте")</f>
        <v>Экологию(перевести максимум на газ, выбросы ограничить в воздух и в Томь, посыпать зимой дороги не песком) , транспортную систему(чтобы до 24:00 можно было отовсюду уехать домой в любое место) и инфраструктуру (обьездная города, мост с кировского на левый берег, не строить ненужные дороги больше 4 полос как проспект комсомольский от Ленина до Химиков,  в местах, где большой поток людей-отделить дороги от тротуара зелёными начаждениями что поможет исключить перебегание дороги в не положенных местах и снизит уровень шума и грязи для пешеходов и жителей домов вдоль улиц), перестать разрешать строить человейники выше 5 этажей в огромном количестве в одном месте</v>
      </c>
      <c r="P1291" s="6" t="str">
        <f>IFERROR(__xludf.DUMMYFUNCTION("""COMPUTED_VALUE"""),"VK группа ""типичный Кемерово"", но там самые основные, а хотелось бы в определённых категориях узнавать о всех вовремя")</f>
        <v>VK группа "типичный Кемерово", но там самые основные, а хотелось бы в определённых категориях узнавать о всех вовремя</v>
      </c>
      <c r="Q1291"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 результаты местных исследований (рейтинги/аналитика/тенденции)")</f>
        <v>куда пойти в свободное время, где вкусно поесть/открытие новых кафе/ресторанов, криминальные новости (происшествия/преступления), результаты местных исследований (рейтинги/аналитика/тенденции)</v>
      </c>
      <c r="R1291" s="6" t="str">
        <f>IFERROR(__xludf.DUMMYFUNCTION("""COMPUTED_VALUE"""),"День города")</f>
        <v>День города</v>
      </c>
      <c r="S1291" s="6" t="str">
        <f>IFERROR(__xludf.DUMMYFUNCTION("""COMPUTED_VALUE"""),"Через социальные сети (Какие? Укажите в графе другое), VK")</f>
        <v>Через социальные сети (Какие? Укажите в графе другое), VK</v>
      </c>
      <c r="T1291" s="6" t="str">
        <f>IFERROR(__xludf.DUMMYFUNCTION("""COMPUTED_VALUE"""),"Плохая экология, уголь, областной центр")</f>
        <v>Плохая экология, уголь, областной центр</v>
      </c>
      <c r="U1291" s="6" t="str">
        <f>IFERROR(__xludf.DUMMYFUNCTION("""COMPUTED_VALUE"""),"Площадь советов, театр драммы")</f>
        <v>Площадь советов, театр драммы</v>
      </c>
      <c r="V1291" s="6" t="str">
        <f>IFERROR(__xludf.DUMMYFUNCTION("""COMPUTED_VALUE"""),"Уехали на пмж из города")</f>
        <v>Уехали на пмж из города</v>
      </c>
      <c r="W1291" s="6" t="str">
        <f>IFERROR(__xludf.DUMMYFUNCTION("""COMPUTED_VALUE"""),"Нагловатые, нечистоплотные, вечно недовольные")</f>
        <v>Нагловатые, нечистоплотные, вечно недовольные</v>
      </c>
      <c r="X1291" s="6" t="str">
        <f>IFERROR(__xludf.DUMMYFUNCTION("""COMPUTED_VALUE"""),"По набережной в центре")</f>
        <v>По набережной в центре</v>
      </c>
      <c r="Y1291" s="6" t="str">
        <f>IFERROR(__xludf.DUMMYFUNCTION("""COMPUTED_VALUE"""),"Пожар в зимней вишне")</f>
        <v>Пожар в зимней вишне</v>
      </c>
      <c r="Z1291" s="6" t="str">
        <f>IFERROR(__xludf.DUMMYFUNCTION("""COMPUTED_VALUE"""),"Дороги стали лучше и почище, обновились автобусы(а надо ещё обновить и развивать трамваную инфраструктуру и троллейбусы парк)")</f>
        <v>Дороги стали лучше и почище, обновились автобусы(а надо ещё обновить и развивать трамваную инфраструктуру и троллейбусы парк)</v>
      </c>
      <c r="AA1291" s="6" t="str">
        <f>IFERROR(__xludf.DUMMYFUNCTION("""COMPUTED_VALUE"""),"Деревья продолжают коронировать и убирать, много лишних светофоров у школ(где достаточно было пешеходного перехода), установка ужасных ненужных заборов в районе перекрестков, отсутствие внимания к инфраструктуре трамвайной и к троллейбусной особенно ра фо"&amp;"не обновления парка автобусов, застройка высотными зданиями в огромном количестве в одном месте и ужасного вида(Кемерово сити, квартал дружбы, дом на волошиной, на Гагарина, в серебряном бору) ")</f>
        <v>Деревья продолжают коронировать и убирать, много лишних светофоров у школ(где достаточно было пешеходного перехода), установка ужасных ненужных заборов в районе перекрестков, отсутствие внимания к инфраструктуре трамвайной и к троллейбусной особенно ра фоне обновления парка автобусов, застройка высотными зданиями в огромном количестве в одном месте и ужасного вида(Кемерово сити, квартал дружбы, дом на волошиной, на Гагарина, в серебряном бору) </v>
      </c>
      <c r="AB1291" s="6" t="str">
        <f>IFERROR(__xludf.DUMMYFUNCTION("""COMPUTED_VALUE"""),"Спортивных")</f>
        <v>Спортивных</v>
      </c>
      <c r="AC1291" s="6" t="str">
        <f>IFERROR(__xludf.DUMMYFUNCTION("""COMPUTED_VALUE"""),"Спортивные, уличные")</f>
        <v>Спортивные, уличные</v>
      </c>
      <c r="AD129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91" s="6" t="str">
        <f>IFERROR(__xludf.DUMMYFUNCTION("""COMPUTED_VALUE"""),"Мужской")</f>
        <v>Мужской</v>
      </c>
      <c r="AF1291" s="6" t="str">
        <f>IFERROR(__xludf.DUMMYFUNCTION("""COMPUTED_VALUE"""),"18-29")</f>
        <v>18-29</v>
      </c>
      <c r="AG1291" s="6"/>
      <c r="AH1291" s="6"/>
      <c r="AI1291" s="6"/>
      <c r="AJ1291" s="6"/>
      <c r="AK1291" s="6"/>
      <c r="AL1291" s="6"/>
      <c r="AM1291" s="6"/>
    </row>
    <row r="1292">
      <c r="A1292" s="6">
        <v>1291.0</v>
      </c>
      <c r="B1292" s="6" t="str">
        <f>IFERROR(__xludf.DUMMYFUNCTION("""COMPUTED_VALUE"""),"Студент")</f>
        <v>Студент</v>
      </c>
      <c r="C1292" s="6" t="str">
        <f>IFERROR(__xludf.DUMMYFUNCTION("""COMPUTED_VALUE"""),"Прогулки на свежем воздухе")</f>
        <v>Прогулки на свежем воздухе</v>
      </c>
      <c r="D1292" s="6" t="str">
        <f>IFERROR(__xludf.DUMMYFUNCTION("""COMPUTED_VALUE"""),"Центральный у областной больницы")</f>
        <v>Центральный у областной больницы</v>
      </c>
      <c r="E1292" s="6" t="str">
        <f>IFERROR(__xludf.DUMMYFUNCTION("""COMPUTED_VALUE"""),"Парк Веры Волошиной")</f>
        <v>Парк Веры Волошиной</v>
      </c>
      <c r="F1292" s="6" t="str">
        <f>IFERROR(__xludf.DUMMYFUNCTION("""COMPUTED_VALUE"""),"Переехал сюда из другого места (откуда? укажите в графе другое), Из Новокузнецка на учебу.")</f>
        <v>Переехал сюда из другого места (откуда? укажите в графе другое), Из Новокузнецка на учебу.</v>
      </c>
      <c r="G1292" s="6" t="str">
        <f>IFERROR(__xludf.DUMMYFUNCTION("""COMPUTED_VALUE"""),"Сосновый Бор, Парк Волошиной, Парк Ангелов, набережная Томи, исторический центр города.")</f>
        <v>Сосновый Бор, Парк Волошиной, Парк Ангелов, набережная Томи, исторический центр города.</v>
      </c>
      <c r="H1292" s="6" t="str">
        <f>IFERROR(__xludf.DUMMYFUNCTION("""COMPUTED_VALUE"""),"Могло быть и хуже точка")</f>
        <v>Могло быть и хуже точка</v>
      </c>
      <c r="I1292" s="6" t="str">
        <f>IFERROR(__xludf.DUMMYFUNCTION("""COMPUTED_VALUE"""),"Чисто Кемеровских не знаю.")</f>
        <v>Чисто Кемеровских не знаю.</v>
      </c>
      <c r="J1292" s="6" t="str">
        <f>IFERROR(__xludf.DUMMYFUNCTION("""COMPUTED_VALUE"""),"Не интересуюсь.")</f>
        <v>Не интересуюсь.</v>
      </c>
      <c r="K1292" s="6" t="str">
        <f>IFERROR(__xludf.DUMMYFUNCTION("""COMPUTED_VALUE"""),"Парк Ангелов - единственное место в городе, которое производит прекрасное впечатление абсолютно на всех, кто приезжает в Кемерово. Откуда бы они не были.")</f>
        <v>Парк Ангелов - единственное место в городе, которое производит прекрасное впечатление абсолютно на всех, кто приезжает в Кемерово. Откуда бы они не были.</v>
      </c>
      <c r="L1292" s="6" t="str">
        <f>IFERROR(__xludf.DUMMYFUNCTION("""COMPUTED_VALUE"""),"Нет таких.")</f>
        <v>Нет таких.</v>
      </c>
      <c r="M1292" s="6" t="str">
        <f>IFERROR(__xludf.DUMMYFUNCTION("""COMPUTED_VALUE"""),"Нет.")</f>
        <v>Нет.</v>
      </c>
      <c r="N1292" s="6" t="str">
        <f>IFERROR(__xludf.DUMMYFUNCTION("""COMPUTED_VALUE"""),"Экология, рекреационные зоны, развитая транспортная сеть с ограничением движения автомобилей, автобусов в пользу троллейбусов, трамваев и пешеходов. Велодорожки. Спортивно-оздоровительные комплексы, доступные населению. Бассейн.")</f>
        <v>Экология, рекреационные зоны, развитая транспортная сеть с ограничением движения автомобилей, автобусов в пользу троллейбусов, трамваев и пешеходов. Велодорожки. Спортивно-оздоровительные комплексы, доступные населению. Бассейн.</v>
      </c>
      <c r="O1292" s="6" t="str">
        <f>IFERROR(__xludf.DUMMYFUNCTION("""COMPUTED_VALUE"""),"То же, что и во всей стране. Но если говорит о первой очереди - вернуть выборы губернатора и мэров народу. А если что-то реальное, то постройте новый корпус для медуниверситета рядом с главным. Морфологический корпус и сангиг в аварийном состоянии, разбро"&amp;"с между главным корпусом и морфологическим - час езды на автобусе. Культурный колледж занял старое место, никто не против. Можно построить новый корпус между Ворошилова 17а и психбольницей (за зданием суда). Или дальше по улице Ворошилова в сторону сельхо"&amp;"з института.")</f>
        <v>То же, что и во всей стране. Но если говорит о первой очереди - вернуть выборы губернатора и мэров народу. А если что-то реальное, то постройте новый корпус для медуниверситета рядом с главным. Морфологический корпус и сангиг в аварийном состоянии, разброс между главным корпусом и морфологическим - час езды на автобусе. Культурный колледж занял старое место, никто не против. Можно построить новый корпус между Ворошилова 17а и психбольницей (за зданием суда). Или дальше по улице Ворошилова в сторону сельхоз института.</v>
      </c>
      <c r="P1292" s="6" t="str">
        <f>IFERROR(__xludf.DUMMYFUNCTION("""COMPUTED_VALUE"""),"Кузбасс онлайн, ВКонтакте страница Цивилева Сергея, местные паблики.")</f>
        <v>Кузбасс онлайн, ВКонтакте страница Цивилева Сергея, местные паблики.</v>
      </c>
      <c r="Q129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предпринимателями, новости про новы"&amp;"е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1292" s="6" t="str">
        <f>IFERROR(__xludf.DUMMYFUNCTION("""COMPUTED_VALUE"""),"9 мая, Новый год, день космонавтики.")</f>
        <v>9 мая, Новый год, день космонавтики.</v>
      </c>
      <c r="S1292" s="6" t="str">
        <f>IFERROR(__xludf.DUMMYFUNCTION("""COMPUTED_VALUE"""),"Писал и расклеивал объявления/афиши")</f>
        <v>Писал и расклеивал объявления/афиши</v>
      </c>
      <c r="T1292" s="6" t="str">
        <f>IFERROR(__xludf.DUMMYFUNCTION("""COMPUTED_VALUE"""),"Промышленный центр, уголь, металл. Волейбольный клуб Кузбасс.")</f>
        <v>Промышленный центр, уголь, металл. Волейбольный клуб Кузбасс.</v>
      </c>
      <c r="U1292" s="6" t="str">
        <f>IFERROR(__xludf.DUMMYFUNCTION("""COMPUTED_VALUE"""),"Площадь Ленина.")</f>
        <v>Площадь Ленина.</v>
      </c>
      <c r="V1292" s="6" t="str">
        <f>IFERROR(__xludf.DUMMYFUNCTION("""COMPUTED_VALUE"""),"Про Кемерово мало знаю, но, думаю, как в Новокузнецке люди строили промышленные предприятия, город практически с нуля, чтобы эта неприветливая земля стала их и нашим домом. Мой дед гордился этим. Мой отец уже нет. В мое время благодаря интернету границы с"&amp;"тёрты, я не зацикливаюсь на городе.")</f>
        <v>Про Кемерово мало знаю, но, думаю, как в Новокузнецке люди строили промышленные предприятия, город практически с нуля, чтобы эта неприветливая земля стала их и нашим домом. Мой дед гордился этим. Мой отец уже нет. В мое время благодаря интернету границы стёрты, я не зацикливаюсь на городе.</v>
      </c>
      <c r="W1292" s="6" t="str">
        <f>IFERROR(__xludf.DUMMYFUNCTION("""COMPUTED_VALUE"""),"Прямолинейные. Грубые. Малообразованные.")</f>
        <v>Прямолинейные. Грубые. Малообразованные.</v>
      </c>
      <c r="X1292" s="6" t="str">
        <f>IFERROR(__xludf.DUMMYFUNCTION("""COMPUTED_VALUE"""),"Исторический центр, набережная, а потом по Весенней до парка Ангелов.")</f>
        <v>Исторический центр, набережная, а потом по Весенней до парка Ангелов.</v>
      </c>
      <c r="Y1292" s="6" t="str">
        <f>IFERROR(__xludf.DUMMYFUNCTION("""COMPUTED_VALUE"""),"Увы, пожар в Зимней Вишне. Я думаю, мы не совсем осознает как это событие отразилось на всех нас. Но я очень надеюсь, что отразилось. Из таких событий надо делать выводы.")</f>
        <v>Увы, пожар в Зимней Вишне. Я думаю, мы не совсем осознает как это событие отразилось на всех нас. Но я очень надеюсь, что отразилось. Из таких событий надо делать выводы.</v>
      </c>
      <c r="Z1292" s="6" t="str">
        <f>IFERROR(__xludf.DUMMYFUNCTION("""COMPUTED_VALUE"""),"Город строится - и это здорово, безусловно.")</f>
        <v>Город строится - и это здорово, безусловно.</v>
      </c>
      <c r="AA1292" s="6" t="str">
        <f>IFERROR(__xludf.DUMMYFUNCTION("""COMPUTED_VALUE"""),"Разгон мирно митингующих, задержания, аресты. Я не поддерживаю Навального, но несоизмеримая реакция на митинги вызывает чувство несправедливости.")</f>
        <v>Разгон мирно митингующих, задержания, аресты. Я не поддерживаю Навального, но несоизмеримая реакция на митинги вызывает чувство несправедливости.</v>
      </c>
      <c r="AB1292" s="6" t="str">
        <f>IFERROR(__xludf.DUMMYFUNCTION("""COMPUTED_VALUE"""),"Хватает.")</f>
        <v>Хватает.</v>
      </c>
      <c r="AC1292" s="6" t="str">
        <f>IFERROR(__xludf.DUMMYFUNCTION("""COMPUTED_VALUE"""),"Больше парков и других мест для семейного отдыха. И люди сами себя развлекут.")</f>
        <v>Больше парков и других мест для семейного отдыха. И люди сами себя развлекут.</v>
      </c>
      <c r="AD1292"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Участник"&amp;"а: Поучаствовать в обсуждении улучшений, собраниях горожан;,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92" s="6" t="str">
        <f>IFERROR(__xludf.DUMMYFUNCTION("""COMPUTED_VALUE"""),"Мужской")</f>
        <v>Мужской</v>
      </c>
      <c r="AF1292" s="6" t="str">
        <f>IFERROR(__xludf.DUMMYFUNCTION("""COMPUTED_VALUE"""),"18-29")</f>
        <v>18-29</v>
      </c>
      <c r="AG1292" s="6"/>
      <c r="AH1292" s="6"/>
      <c r="AI1292" s="6"/>
      <c r="AJ1292" s="6"/>
      <c r="AK1292" s="6"/>
      <c r="AL1292" s="6"/>
      <c r="AM1292" s="6"/>
    </row>
    <row r="1293">
      <c r="A1293" s="6">
        <v>1292.0</v>
      </c>
      <c r="B1293" s="6" t="str">
        <f>IFERROR(__xludf.DUMMYFUNCTION("""COMPUTED_VALUE"""),"Предприниматель ")</f>
        <v>Предприниматель </v>
      </c>
      <c r="C1293" s="6" t="str">
        <f>IFERROR(__xludf.DUMMYFUNCTION("""COMPUTED_VALUE"""),"Спорт, путешествия ")</f>
        <v>Спорт, путешествия </v>
      </c>
      <c r="D1293" s="6" t="str">
        <f>IFERROR(__xludf.DUMMYFUNCTION("""COMPUTED_VALUE"""),"Центр")</f>
        <v>Центр</v>
      </c>
      <c r="E1293" s="6" t="str">
        <f>IFERROR(__xludf.DUMMYFUNCTION("""COMPUTED_VALUE"""),"Набережная,  Весенняя,  пр. Советский")</f>
        <v>Набережная,  Весенняя,  пр. Советский</v>
      </c>
      <c r="F1293" s="6" t="str">
        <f>IFERROR(__xludf.DUMMYFUNCTION("""COMPUTED_VALUE"""),"Живу здесь с рождения")</f>
        <v>Живу здесь с рождения</v>
      </c>
      <c r="G1293" s="6" t="str">
        <f>IFERROR(__xludf.DUMMYFUNCTION("""COMPUTED_VALUE"""),"Сосновый бор, набережная ")</f>
        <v>Сосновый бор, набережная </v>
      </c>
      <c r="H1293" s="6" t="str">
        <f>IFERROR(__xludf.DUMMYFUNCTION("""COMPUTED_VALUE"""),"Родина. Семья. Дом. Кедр. Томь. ")</f>
        <v>Родина. Семья. Дом. Кедр. Томь. </v>
      </c>
      <c r="I1293" s="6" t="str">
        <f>IFERROR(__xludf.DUMMYFUNCTION("""COMPUTED_VALUE"""),"Михайлов. Тулеев. Леонов. Раздаев. Груднева. Арбачаков. ")</f>
        <v>Михайлов. Тулеев. Леонов. Раздаев. Груднева. Арбачаков. </v>
      </c>
      <c r="J1293" s="6" t="str">
        <f>IFERROR(__xludf.DUMMYFUNCTION("""COMPUTED_VALUE"""),"Михайлов")</f>
        <v>Михайлов</v>
      </c>
      <c r="K1293" s="6" t="str">
        <f>IFERROR(__xludf.DUMMYFUNCTION("""COMPUTED_VALUE"""),"Томская писаница, Сосновый бор")</f>
        <v>Томская писаница, Сосновый бор</v>
      </c>
      <c r="L1293" s="6" t="str">
        <f>IFERROR(__xludf.DUMMYFUNCTION("""COMPUTED_VALUE"""),"Дышать нечем, частный сектор виноват")</f>
        <v>Дышать нечем, частный сектор виноват</v>
      </c>
      <c r="M1293" s="6" t="str">
        <f>IFERROR(__xludf.DUMMYFUNCTION("""COMPUTED_VALUE"""),"Не знаю ")</f>
        <v>Не знаю </v>
      </c>
      <c r="N1293" s="6" t="str">
        <f>IFERROR(__xludf.DUMMYFUNCTION("""COMPUTED_VALUE"""),"Чистый воздух. Зелёный город. Широкие дороги.  Малоэтажные дома. Счастливые люди. Спортивный город")</f>
        <v>Чистый воздух. Зелёный город. Широкие дороги.  Малоэтажные дома. Счастливые люди. Спортивный город</v>
      </c>
      <c r="O1293" s="6" t="str">
        <f>IFERROR(__xludf.DUMMYFUNCTION("""COMPUTED_VALUE"""),"Убрать междугородний транзит. Газификации частного сектора. Мусоропереработка. Крематорий.  Повышение экологичности промышленных предприятий.  Привести в порядок стадион Химик и вернуть его футболу.")</f>
        <v>Убрать междугородний транзит. Газификации частного сектора. Мусоропереработка. Крематорий.  Повышение экологичности промышленных предприятий.  Привести в порядок стадион Химик и вернуть его футболу.</v>
      </c>
      <c r="P1293" s="6" t="str">
        <f>IFERROR(__xludf.DUMMYFUNCTION("""COMPUTED_VALUE"""),"А42, Сибдепо")</f>
        <v>А42, Сибдепо</v>
      </c>
      <c r="Q1293" s="6" t="str">
        <f>IFERROR(__xludf.DUMMYFUNCTION("""COMPUTED_VALUE"""),"куда пойти в свободное время, где вкусно поесть/открытие новых кафе/ресторанов,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а"&amp;"кции/запуск новых предприятий), результаты местных исследований (рейтинги/аналитика/тенденции), Инвестиции ")</f>
        <v>куда пойти в свободное время, где вкусно поесть/открытие новых кафе/ресторанов,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Инвестиции </v>
      </c>
      <c r="R1293" s="6" t="str">
        <f>IFERROR(__xludf.DUMMYFUNCTION("""COMPUTED_VALUE"""),"День шахтера, День города/ день России, Масленица, Иван Купала, Крещение ")</f>
        <v>День шахтера, День города/ день России, Масленица, Иван Купала, Крещение </v>
      </c>
      <c r="S1293" s="6" t="str">
        <f>IFERROR(__xludf.DUMMYFUNCTION("""COMPUTED_VALUE"""),"Нет, не приходилось")</f>
        <v>Нет, не приходилось</v>
      </c>
      <c r="T1293" s="6" t="str">
        <f>IFERROR(__xludf.DUMMYFUNCTION("""COMPUTED_VALUE"""),"Томская писаница, кедроый и сосновый бор")</f>
        <v>Томская писаница, кедроый и сосновый бор</v>
      </c>
      <c r="U1293" s="6" t="str">
        <f>IFERROR(__xludf.DUMMYFUNCTION("""COMPUTED_VALUE"""),"Площадь Советов")</f>
        <v>Площадь Советов</v>
      </c>
      <c r="V1293" s="6" t="str">
        <f>IFERROR(__xludf.DUMMYFUNCTION("""COMPUTED_VALUE"""),"Многое сделали для фронта ")</f>
        <v>Многое сделали для фронта </v>
      </c>
      <c r="W1293" s="6" t="str">
        <f>IFERROR(__xludf.DUMMYFUNCTION("""COMPUTED_VALUE"""),"Свободные. С чувством собственного достоинства. ")</f>
        <v>Свободные. С чувством собственного достоинства. </v>
      </c>
      <c r="X1293" s="6" t="str">
        <f>IFERROR(__xludf.DUMMYFUNCTION("""COMPUTED_VALUE"""),"Весенняя- набережная")</f>
        <v>Весенняя- набережная</v>
      </c>
      <c r="Y1293" s="6" t="str">
        <f>IFERROR(__xludf.DUMMYFUNCTION("""COMPUTED_VALUE"""),"Чемпионат мира по хоккею с мячом")</f>
        <v>Чемпионат мира по хоккею с мячом</v>
      </c>
      <c r="Z1293" s="6" t="str">
        <f>IFERROR(__xludf.DUMMYFUNCTION("""COMPUTED_VALUE"""),"Строительство новый школ, д/садов, спорт.объектов, газификация")</f>
        <v>Строительство новый школ, д/садов, спорт.объектов, газификация</v>
      </c>
      <c r="AA1293" s="6" t="str">
        <f>IFERROR(__xludf.DUMMYFUNCTION("""COMPUTED_VALUE"""),"Масочный режим, увеличение тарифов жкх, увеличение цен , строительство небоскрёбов , увеличение онкобольных, загрязнение воздуха ")</f>
        <v>Масочный режим, увеличение тарифов жкх, увеличение цен , строительство небоскрёбов , увеличение онкобольных, загрязнение воздуха </v>
      </c>
      <c r="AB1293" s="6" t="str">
        <f>IFERROR(__xludf.DUMMYFUNCTION("""COMPUTED_VALUE"""),"Сообществ счастливых , богатых , здоровых людей")</f>
        <v>Сообществ счастливых , богатых , здоровых людей</v>
      </c>
      <c r="AC1293" s="6" t="str">
        <f>IFERROR(__xludf.DUMMYFUNCTION("""COMPUTED_VALUE"""),"Профессиональный футбол, концерты, выставки мастеров дела")</f>
        <v>Профессиональный футбол, концерты, выставки мастеров дела</v>
      </c>
      <c r="AD1293" s="6" t="str">
        <f>IFERROR(__xludf.DUMMYFUNCTION("""COMPUTED_VALUE"""),"Сначала на ноги встать самому, потом детям помочь, потом родственникам, а потом о благотворительности можно будет подумать")</f>
        <v>Сначала на ноги встать самому, потом детям помочь, потом родственникам, а потом о благотворительности можно будет подумать</v>
      </c>
      <c r="AE1293" s="6" t="str">
        <f>IFERROR(__xludf.DUMMYFUNCTION("""COMPUTED_VALUE"""),"Мужской")</f>
        <v>Мужской</v>
      </c>
      <c r="AF1293" s="6" t="str">
        <f>IFERROR(__xludf.DUMMYFUNCTION("""COMPUTED_VALUE"""),"30-44")</f>
        <v>30-44</v>
      </c>
      <c r="AG1293" s="6"/>
      <c r="AH1293" s="6"/>
      <c r="AI1293" s="6"/>
      <c r="AJ1293" s="6"/>
      <c r="AK1293" s="6"/>
      <c r="AL1293" s="6"/>
      <c r="AM1293" s="6"/>
    </row>
    <row r="1294">
      <c r="A1294" s="6">
        <v>1293.0</v>
      </c>
      <c r="B1294" s="6" t="str">
        <f>IFERROR(__xludf.DUMMYFUNCTION("""COMPUTED_VALUE"""),"Инженер")</f>
        <v>Инженер</v>
      </c>
      <c r="C1294" s="6" t="str">
        <f>IFERROR(__xludf.DUMMYFUNCTION("""COMPUTED_VALUE"""),"Алмазная вышивка")</f>
        <v>Алмазная вышивка</v>
      </c>
      <c r="D1294" s="6" t="str">
        <f>IFERROR(__xludf.DUMMYFUNCTION("""COMPUTED_VALUE"""),"Кировский, называю спальным районом")</f>
        <v>Кировский, называю спальным районом</v>
      </c>
      <c r="E1294" s="6" t="str">
        <f>IFERROR(__xludf.DUMMYFUNCTION("""COMPUTED_VALUE"""),"Набережная")</f>
        <v>Набережная</v>
      </c>
      <c r="F1294" s="6" t="str">
        <f>IFERROR(__xludf.DUMMYFUNCTION("""COMPUTED_VALUE"""),"Живу здесь с рождения")</f>
        <v>Живу здесь с рождения</v>
      </c>
      <c r="G1294" s="6" t="str">
        <f>IFERROR(__xludf.DUMMYFUNCTION("""COMPUTED_VALUE"""),"Набережная в центре, кофейни")</f>
        <v>Набережная в центре, кофейни</v>
      </c>
      <c r="H1294" s="6" t="str">
        <f>IFERROR(__xludf.DUMMYFUNCTION("""COMPUTED_VALUE"""),"Серость, унылость, дым, пафос, уголь")</f>
        <v>Серость, унылость, дым, пафос, уголь</v>
      </c>
      <c r="I1294" s="6" t="str">
        <f>IFERROR(__xludf.DUMMYFUNCTION("""COMPUTED_VALUE"""),"Леонов, Малышева")</f>
        <v>Леонов, Малышева</v>
      </c>
      <c r="J1294" s="6" t="str">
        <f>IFERROR(__xludf.DUMMYFUNCTION("""COMPUTED_VALUE"""),"Тулеев, Михайлов")</f>
        <v>Тулеев, Михайлов</v>
      </c>
      <c r="K1294" s="6" t="str">
        <f>IFERROR(__xludf.DUMMYFUNCTION("""COMPUTED_VALUE"""),"Красная горка, бараки на Инициативной, Каркасной")</f>
        <v>Красная горка, бараки на Инициативной, Каркасной</v>
      </c>
      <c r="L1294" s="6" t="str">
        <f>IFERROR(__xludf.DUMMYFUNCTION("""COMPUTED_VALUE"""),"Не знаю таких")</f>
        <v>Не знаю таких</v>
      </c>
      <c r="M1294" s="6" t="str">
        <f>IFERROR(__xludf.DUMMYFUNCTION("""COMPUTED_VALUE"""),"Нет")</f>
        <v>Нет</v>
      </c>
      <c r="N1294" s="6" t="str">
        <f>IFERROR(__xludf.DUMMYFUNCTION("""COMPUTED_VALUE"""),"Достойные зарплаты, транспорт, медицина, образование")</f>
        <v>Достойные зарплаты, транспорт, медицина, образование</v>
      </c>
      <c r="O1294" s="6" t="str">
        <f>IFERROR(__xludf.DUMMYFUNCTION("""COMPUTED_VALUE"""),"Поменять впринципе стратегию развития города: не нужно для ""показухи"" строить дворец-суд, спорт комплексы, оперы. Нужно создать условия, чтобы люди стремились в Кузбасс!! А это одно - достойная оплата труда! ")</f>
        <v>Поменять впринципе стратегию развития города: не нужно для "показухи" строить дворец-суд, спорт комплексы, оперы. Нужно создать условия, чтобы люди стремились в Кузбасс!! А это одно - достойная оплата труда! </v>
      </c>
      <c r="P1294" s="6" t="str">
        <f>IFERROR(__xludf.DUMMYFUNCTION("""COMPUTED_VALUE"""),"Кузбасс онлайн, инстаграмм")</f>
        <v>Кузбасс онлайн, инстаграмм</v>
      </c>
      <c r="Q1294" s="6" t="str">
        <f>IFERROR(__xludf.DUMMYFUNCTION("""COMPUTED_VALUE"""),"интервью с местными политиками, новости про новые профессии/куда поступать/вакансии, результаты местных исследований (рейтинги/аналитика/тенденции)")</f>
        <v>интервью с местными политиками, новости про новые профессии/куда поступать/вакансии, результаты местных исследований (рейтинги/аналитика/тенденции)</v>
      </c>
      <c r="R1294" s="6" t="str">
        <f>IFERROR(__xludf.DUMMYFUNCTION("""COMPUTED_VALUE"""),"-")</f>
        <v>-</v>
      </c>
      <c r="S1294" s="6" t="str">
        <f>IFERROR(__xludf.DUMMYFUNCTION("""COMPUTED_VALUE"""),"Нет, не приходилось")</f>
        <v>Нет, не приходилось</v>
      </c>
      <c r="T1294" s="6" t="str">
        <f>IFERROR(__xludf.DUMMYFUNCTION("""COMPUTED_VALUE"""),"Пожаром в Зимней вишни")</f>
        <v>Пожаром в Зимней вишни</v>
      </c>
      <c r="U1294" s="6" t="str">
        <f>IFERROR(__xludf.DUMMYFUNCTION("""COMPUTED_VALUE"""),"Площадь советов")</f>
        <v>Площадь советов</v>
      </c>
      <c r="V1294" s="6" t="str">
        <f>IFERROR(__xludf.DUMMYFUNCTION("""COMPUTED_VALUE"""),"Строили ДК, спорткомплексы")</f>
        <v>Строили ДК, спорткомплексы</v>
      </c>
      <c r="W1294" s="6" t="str">
        <f>IFERROR(__xludf.DUMMYFUNCTION("""COMPUTED_VALUE"""),"Добрые люди с верой в лучшее, что когда-нибудь Кузбасс все таки встанет с колен, не верящие уже уехали с региона")</f>
        <v>Добрые люди с верой в лучшее, что когда-нибудь Кузбасс все таки встанет с колен, не верящие уже уехали с региона</v>
      </c>
      <c r="X1294" s="6" t="str">
        <f>IFERROR(__xludf.DUMMYFUNCTION("""COMPUTED_VALUE"""),"Площадь советов, Красная горка, бульвар")</f>
        <v>Площадь советов, Красная горка, бульвар</v>
      </c>
      <c r="Y1294" s="6" t="str">
        <f>IFERROR(__xludf.DUMMYFUNCTION("""COMPUTED_VALUE"""),"-")</f>
        <v>-</v>
      </c>
      <c r="Z1294" s="6" t="str">
        <f>IFERROR(__xludf.DUMMYFUNCTION("""COMPUTED_VALUE"""),"-")</f>
        <v>-</v>
      </c>
      <c r="AA1294" s="6" t="str">
        <f>IFERROR(__xludf.DUMMYFUNCTION("""COMPUTED_VALUE"""),"Повышение тарифов жкх!! Жкх растет уже даже без официального поднятия тарифов. При низких зарплатах бешенные кварплаты, хотя живем на газе и угле")</f>
        <v>Повышение тарифов жкх!! Жкх растет уже даже без официального поднятия тарифов. При низких зарплатах бешенные кварплаты, хотя живем на газе и угле</v>
      </c>
      <c r="AB1294" s="6" t="str">
        <f>IFERROR(__xludf.DUMMYFUNCTION("""COMPUTED_VALUE"""),"-")</f>
        <v>-</v>
      </c>
      <c r="AC1294" s="6" t="str">
        <f>IFERROR(__xludf.DUMMYFUNCTION("""COMPUTED_VALUE"""),"-")</f>
        <v>-</v>
      </c>
      <c r="AD129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294" s="6" t="str">
        <f>IFERROR(__xludf.DUMMYFUNCTION("""COMPUTED_VALUE"""),"Женский")</f>
        <v>Женский</v>
      </c>
      <c r="AF1294" s="6" t="str">
        <f>IFERROR(__xludf.DUMMYFUNCTION("""COMPUTED_VALUE"""),"18-29")</f>
        <v>18-29</v>
      </c>
      <c r="AG1294" s="6"/>
      <c r="AH1294" s="6"/>
      <c r="AI1294" s="6"/>
      <c r="AJ1294" s="6"/>
      <c r="AK1294" s="6"/>
      <c r="AL1294" s="6"/>
      <c r="AM1294" s="6"/>
    </row>
    <row r="1295">
      <c r="A1295" s="6">
        <v>1294.0</v>
      </c>
      <c r="B1295" s="6" t="str">
        <f>IFERROR(__xludf.DUMMYFUNCTION("""COMPUTED_VALUE"""),"Инженер-электрик")</f>
        <v>Инженер-электрик</v>
      </c>
      <c r="C1295" s="6" t="str">
        <f>IFERROR(__xludf.DUMMYFUNCTION("""COMPUTED_VALUE"""),"Собаководство, туризм, футбол, бег")</f>
        <v>Собаководство, туризм, футбол, бег</v>
      </c>
      <c r="D1295" s="6" t="str">
        <f>IFERROR(__xludf.DUMMYFUNCTION("""COMPUTED_VALUE"""),"Рудничный")</f>
        <v>Рудничный</v>
      </c>
      <c r="E1295" s="6" t="str">
        <f>IFERROR(__xludf.DUMMYFUNCTION("""COMPUTED_VALUE"""),"Бор. Только бор
")</f>
        <v>Бор. Только бор
</v>
      </c>
      <c r="F1295" s="6" t="str">
        <f>IFERROR(__xludf.DUMMYFUNCTION("""COMPUTED_VALUE"""),"Живу здесь с рождения")</f>
        <v>Живу здесь с рождения</v>
      </c>
      <c r="G1295" s="6" t="str">
        <f>IFERROR(__xludf.DUMMYFUNCTION("""COMPUTED_VALUE"""),"С собакой в бор. Со всей семьёй выезжаем в центр города, так как ухоженных организованных общественных пространств в Рудничном районе (Серебряный бор) нет")</f>
        <v>С собакой в бор. Со всей семьёй выезжаем в центр города, так как ухоженных организованных общественных пространств в Рудничном районе (Серебряный бор) нет</v>
      </c>
      <c r="H1295" s="6" t="str">
        <f>IFERROR(__xludf.DUMMYFUNCTION("""COMPUTED_VALUE"""),"Уныние, депрессия, пыль, холод, безразличие")</f>
        <v>Уныние, депрессия, пыль, холод, безразличие</v>
      </c>
      <c r="I1295" s="6" t="str">
        <f>IFERROR(__xludf.DUMMYFUNCTION("""COMPUTED_VALUE"""),"Леонов, Раздаев, Подгорбунский")</f>
        <v>Леонов, Раздаев, Подгорбунский</v>
      </c>
      <c r="J1295" s="6" t="str">
        <f>IFERROR(__xludf.DUMMYFUNCTION("""COMPUTED_VALUE"""),"Михайлов. В его времена в городе было чище, но асфальт хуже")</f>
        <v>Михайлов. В его времена в городе было чище, но асфальт хуже</v>
      </c>
      <c r="K1295" s="6" t="str">
        <f>IFERROR(__xludf.DUMMYFUNCTION("""COMPUTED_VALUE"""),"Своих иногородних гостей провожу на машине по старому центру, Притомскому, бульвару Строителей и везу к себе домой. Гулять не предлагаю (пыльно и запах газа в центре)")</f>
        <v>Своих иногородних гостей провожу на машине по старому центру, Притомскому, бульвару Строителей и везу к себе домой. Гулять не предлагаю (пыльно и запах газа в центре)</v>
      </c>
      <c r="L1295" s="6" t="str">
        <f>IFERROR(__xludf.DUMMYFUNCTION("""COMPUTED_VALUE"""),"Мем про Ермакова ""дороги чистить не будем - у меня снегоход""")</f>
        <v>Мем про Ермакова "дороги чистить не будем - у меня снегоход"</v>
      </c>
      <c r="M1295" s="6" t="str">
        <f>IFERROR(__xludf.DUMMYFUNCTION("""COMPUTED_VALUE"""),"""Режим черного неба""")</f>
        <v>"Режим черного неба"</v>
      </c>
      <c r="N1295" s="6" t="str">
        <f>IFERROR(__xludf.DUMMYFUNCTION("""COMPUTED_VALUE"""),"Чистота, много небольших парков со скамейками в тени лип, готовность ответственных лиц оперативно реагировать на замечания жителей, идеальный асфальт, современный удобный общественный транспорт")</f>
        <v>Чистота, много небольших парков со скамейками в тени лип, готовность ответственных лиц оперативно реагировать на замечания жителей, идеальный асфальт, современный удобный общественный транспорт</v>
      </c>
      <c r="O1295" s="6" t="str">
        <f>IFERROR(__xludf.DUMMYFUNCTION("""COMPUTED_VALUE"""),"Не допускать транзитный транспорт в город в период максимального трафика утром и вечером, в разы увеличить численность единиц техники и персонала дорожных служб, обеспечивающих поддержание в порядке дорог и ТРОТУАРОВ!")</f>
        <v>Не допускать транзитный транспорт в город в период максимального трафика утром и вечером, в разы увеличить численность единиц техники и персонала дорожных служб, обеспечивающих поддержание в порядке дорог и ТРОТУАРОВ!</v>
      </c>
      <c r="P1295" s="6" t="str">
        <f>IFERROR(__xludf.DUMMYFUNCTION("""COMPUTED_VALUE"""),"ВК")</f>
        <v>ВК</v>
      </c>
      <c r="Q1295" s="6" t="str">
        <f>IFERROR(__xludf.DUMMYFUNCTION("""COMPUTED_VALUE"""),"куда пойти в свободное время, городская афиша (кино/театр/концерты),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предлож"&amp;"ения)")</f>
        <v>куда пойти в свободное время, городская афиша (кино/театр/концерты),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295" s="6" t="str">
        <f>IFERROR(__xludf.DUMMYFUNCTION("""COMPUTED_VALUE"""),"День Победы.")</f>
        <v>День Победы.</v>
      </c>
      <c r="S1295" s="6" t="str">
        <f>IFERROR(__xludf.DUMMYFUNCTION("""COMPUTED_VALUE"""),"Нет, не приходилось")</f>
        <v>Нет, не приходилось</v>
      </c>
      <c r="T1295" s="6" t="str">
        <f>IFERROR(__xludf.DUMMYFUNCTION("""COMPUTED_VALUE"""),"Раньше здесь проводился чемпионат мира по хоккею с мячом. Сейчас в других городах о Кемерово знают в связи с трагедией в Зимней вишне и катастрофической экологией")</f>
        <v>Раньше здесь проводился чемпионат мира по хоккею с мячом. Сейчас в других городах о Кемерово знают в связи с трагедией в Зимней вишне и катастрофической экологией</v>
      </c>
      <c r="U1295" s="6" t="str">
        <f>IFERROR(__xludf.DUMMYFUNCTION("""COMPUTED_VALUE"""),"Сквер у политеха с памятником Волкову")</f>
        <v>Сквер у политеха с памятником Волкову</v>
      </c>
      <c r="V1295" s="6" t="str">
        <f>IFERROR(__xludf.DUMMYFUNCTION("""COMPUTED_VALUE"""),"Затрудняюсь ")</f>
        <v>Затрудняюсь </v>
      </c>
      <c r="W1295" s="6" t="str">
        <f>IFERROR(__xludf.DUMMYFUNCTION("""COMPUTED_VALUE"""),"Суровые, уставшие, несчастные")</f>
        <v>Суровые, уставшие, несчастные</v>
      </c>
      <c r="X1295" s="6" t="str">
        <f>IFERROR(__xludf.DUMMYFUNCTION("""COMPUTED_VALUE"""),"Кирова - Набережная - Советский (всё), Лесная поляна отдельно")</f>
        <v>Кирова - Набережная - Советский (всё), Лесная поляна отдельно</v>
      </c>
      <c r="Y1295" s="6" t="str">
        <f>IFERROR(__xludf.DUMMYFUNCTION("""COMPUTED_VALUE"""),"Основание города, концерт Легенды рока в 2020")</f>
        <v>Основание города, концерт Легенды рока в 2020</v>
      </c>
      <c r="Z1295" s="6" t="str">
        <f>IFERROR(__xludf.DUMMYFUNCTION("""COMPUTED_VALUE"""),"Реконструкция бульвара Строителей, застройка центральной части в районе Московского")</f>
        <v>Реконструкция бульвара Строителей, застройка центральной части в районе Московского</v>
      </c>
      <c r="AA1295" s="6" t="str">
        <f>IFERROR(__xludf.DUMMYFUNCTION("""COMPUTED_VALUE"""),"Отключение секундомеров на светофорах")</f>
        <v>Отключение секундомеров на светофорах</v>
      </c>
      <c r="AB1295" s="6" t="str">
        <f>IFERROR(__xludf.DUMMYFUNCTION("""COMPUTED_VALUE"""),"Народных дружинников")</f>
        <v>Народных дружинников</v>
      </c>
      <c r="AC1295" s="6" t="str">
        <f>IFERROR(__xludf.DUMMYFUNCTION("""COMPUTED_VALUE"""),"Спектакли с участием знаменитых актёров")</f>
        <v>Спектакли с участием знаменитых актёров</v>
      </c>
      <c r="AD1295" s="6" t="str">
        <f>IFERROR(__xludf.DUMMYFUNCTION("""COMPUTED_VALUE"""),"Участника: Поучаствовать в обсуждении улучшений, собраниях горожан;, Контролировать состояние городской среды и обращать внимание ответственных лиц на замечания")</f>
        <v>Участника: Поучаствовать в обсуждении улучшений, собраниях горожан;, Контролировать состояние городской среды и обращать внимание ответственных лиц на замечания</v>
      </c>
      <c r="AE1295" s="6" t="str">
        <f>IFERROR(__xludf.DUMMYFUNCTION("""COMPUTED_VALUE"""),"Мужской")</f>
        <v>Мужской</v>
      </c>
      <c r="AF1295" s="6" t="str">
        <f>IFERROR(__xludf.DUMMYFUNCTION("""COMPUTED_VALUE"""),"30-44")</f>
        <v>30-44</v>
      </c>
      <c r="AG1295" s="6"/>
      <c r="AH1295" s="6"/>
      <c r="AI1295" s="6"/>
      <c r="AJ1295" s="6"/>
      <c r="AK1295" s="6"/>
      <c r="AL1295" s="6"/>
      <c r="AM1295" s="6"/>
    </row>
    <row r="1296">
      <c r="A1296" s="6">
        <v>1295.0</v>
      </c>
      <c r="B1296" s="6" t="str">
        <f>IFERROR(__xludf.DUMMYFUNCTION("""COMPUTED_VALUE"""),"ИТ")</f>
        <v>ИТ</v>
      </c>
      <c r="C1296" s="6" t="str">
        <f>IFERROR(__xludf.DUMMYFUNCTION("""COMPUTED_VALUE"""),"Вышивание")</f>
        <v>Вышивание</v>
      </c>
      <c r="D1296" s="6" t="str">
        <f>IFERROR(__xludf.DUMMYFUNCTION("""COMPUTED_VALUE"""),"Греческая деревня")</f>
        <v>Греческая деревня</v>
      </c>
      <c r="E1296" s="6" t="str">
        <f>IFERROR(__xludf.DUMMYFUNCTION("""COMPUTED_VALUE"""),"Часовня")</f>
        <v>Часовня</v>
      </c>
      <c r="F1296" s="6" t="str">
        <f>IFERROR(__xludf.DUMMYFUNCTION("""COMPUTED_VALUE"""),"Живу здесь с рождения")</f>
        <v>Живу здесь с рождения</v>
      </c>
      <c r="G1296" s="6" t="str">
        <f>IFERROR(__xludf.DUMMYFUNCTION("""COMPUTED_VALUE"""),"Набережная, Серебряный бор, Горсад...")</f>
        <v>Набережная, Серебряный бор, Горсад...</v>
      </c>
      <c r="H1296" s="6" t="str">
        <f>IFERROR(__xludf.DUMMYFUNCTION("""COMPUTED_VALUE"""),"Памятник шахтерам Э.Неизвестного, площадь Волкова, шахтерская слава, грязный пыльный, отвратительно чистят улицы, дипрессивный, тяжелая экология")</f>
        <v>Памятник шахтерам Э.Неизвестного, площадь Волкова, шахтерская слава, грязный пыльный, отвратительно чистят улицы, дипрессивный, тяжелая экология</v>
      </c>
      <c r="I1296" s="6" t="str">
        <f>IFERROR(__xludf.DUMMYFUNCTION("""COMPUTED_VALUE"""),"Леонов, Подгорбунский, Маресьев...")</f>
        <v>Леонов, Подгорбунский, Маресьев...</v>
      </c>
      <c r="J1296" s="6" t="str">
        <f>IFERROR(__xludf.DUMMYFUNCTION("""COMPUTED_VALUE"""),"Приставка")</f>
        <v>Приставка</v>
      </c>
      <c r="K1296" s="6" t="str">
        <f>IFERROR(__xludf.DUMMYFUNCTION("""COMPUTED_VALUE"""),"Красная горка, писаные скалы")</f>
        <v>Красная горка, писаные скалы</v>
      </c>
      <c r="L1296" s="6" t="str">
        <f>IFERROR(__xludf.DUMMYFUNCTION("""COMPUTED_VALUE"""),"Над томью плывут соловьинные зори...")</f>
        <v>Над томью плывут соловьинные зори...</v>
      </c>
      <c r="M1296" s="6" t="str">
        <f>IFERROR(__xludf.DUMMYFUNCTION("""COMPUTED_VALUE"""),"Живу в ""греции"", кузбасс - всесоюзная кузница")</f>
        <v>Живу в "греции", кузбасс - всесоюзная кузница</v>
      </c>
      <c r="N1296" s="6" t="str">
        <f>IFERROR(__xludf.DUMMYFUNCTION("""COMPUTED_VALUE"""),"Зоны семейного отдыха как в черте города, так и в пригородных зонах, чистота улиц и воздуха, комфортный чистый пассажирский транспорт")</f>
        <v>Зоны семейного отдыха как в черте города, так и в пригородных зонах, чистота улиц и воздуха, комфортный чистый пассажирский транспорт</v>
      </c>
      <c r="O1296" s="6" t="str">
        <f>IFERROR(__xludf.DUMMYFUNCTION("""COMPUTED_VALUE"""),"Услуги коммунальных хозяйств и дорожных служб, хотелось бы в греческой деревне уже поменять асфальт, все в выбоинах")</f>
        <v>Услуги коммунальных хозяйств и дорожных служб, хотелось бы в греческой деревне уже поменять асфальт, все в выбоинах</v>
      </c>
      <c r="P1296" s="6" t="str">
        <f>IFERROR(__xludf.DUMMYFUNCTION("""COMPUTED_VALUE"""),"Инстаграмм, а42, все42...")</f>
        <v>Инстаграмм, а42, все42...</v>
      </c>
      <c r="Q1296" s="6" t="str">
        <f>IFERROR(__xludf.DUMMYFUNCTION("""COMPUTED_VALUE"""),"культурные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1296" s="6" t="str">
        <f>IFERROR(__xludf.DUMMYFUNCTION("""COMPUTED_VALUE"""),"День шахтера, день города")</f>
        <v>День шахтера, день города</v>
      </c>
      <c r="S1296" s="6" t="str">
        <f>IFERROR(__xludf.DUMMYFUNCTION("""COMPUTED_VALUE"""),"Нет, не приходилось")</f>
        <v>Нет, не приходилось</v>
      </c>
      <c r="T1296" s="6" t="str">
        <f>IFERROR(__xludf.DUMMYFUNCTION("""COMPUTED_VALUE"""),"Экологическая ситуация, отток молодежи")</f>
        <v>Экологическая ситуация, отток молодежи</v>
      </c>
      <c r="U1296" s="6" t="str">
        <f>IFERROR(__xludf.DUMMYFUNCTION("""COMPUTED_VALUE"""),"Площадь советов")</f>
        <v>Площадь советов</v>
      </c>
      <c r="V1296" s="6" t="str">
        <f>IFERROR(__xludf.DUMMYFUNCTION("""COMPUTED_VALUE"""),"Затрудняюсь...")</f>
        <v>Затрудняюсь...</v>
      </c>
      <c r="W1296" s="6" t="str">
        <f>IFERROR(__xludf.DUMMYFUNCTION("""COMPUTED_VALUE"""),"Дипрессивные, не верят в лучшее, ничему и никому не верят")</f>
        <v>Дипрессивные, не верят в лучшее, ничему и никому не верят</v>
      </c>
      <c r="X1296" s="6" t="str">
        <f>IFERROR(__xludf.DUMMYFUNCTION("""COMPUTED_VALUE"""),"Весенняя-набережная-красная горка")</f>
        <v>Весенняя-набережная-красная горка</v>
      </c>
      <c r="Y1296" s="6" t="str">
        <f>IFERROR(__xludf.DUMMYFUNCTION("""COMPUTED_VALUE"""),"Затрудняюсь")</f>
        <v>Затрудняюсь</v>
      </c>
      <c r="Z1296" s="6" t="str">
        <f>IFERROR(__xludf.DUMMYFUNCTION("""COMPUTED_VALUE"""),"Строительный кластер ")</f>
        <v>Строительный кластер </v>
      </c>
      <c r="AA1296" s="6" t="str">
        <f>IFERROR(__xludf.DUMMYFUNCTION("""COMPUTED_VALUE"""),"Пожар в зимней вишне")</f>
        <v>Пожар в зимней вишне</v>
      </c>
      <c r="AB1296" s="6" t="str">
        <f>IFERROR(__xludf.DUMMYFUNCTION("""COMPUTED_VALUE"""),"Кому 60+")</f>
        <v>Кому 60+</v>
      </c>
      <c r="AC1296" s="6" t="str">
        <f>IFERROR(__xludf.DUMMYFUNCTION("""COMPUTED_VALUE"""),"Украшение города к праздникам, яркая вечерняч иллюминация, массовые гуляния")</f>
        <v>Украшение города к праздникам, яркая вечерняч иллюминация, массовые гуляния</v>
      </c>
      <c r="AD129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296" s="6" t="str">
        <f>IFERROR(__xludf.DUMMYFUNCTION("""COMPUTED_VALUE"""),"Женский")</f>
        <v>Женский</v>
      </c>
      <c r="AF1296" s="6" t="str">
        <f>IFERROR(__xludf.DUMMYFUNCTION("""COMPUTED_VALUE"""),"старше 55")</f>
        <v>старше 55</v>
      </c>
      <c r="AG1296" s="6"/>
      <c r="AH1296" s="6"/>
      <c r="AI1296" s="6"/>
      <c r="AJ1296" s="6"/>
      <c r="AK1296" s="6"/>
      <c r="AL1296" s="6"/>
      <c r="AM1296" s="6"/>
    </row>
    <row r="1297">
      <c r="A1297" s="6">
        <v>1296.0</v>
      </c>
      <c r="B1297" s="6" t="str">
        <f>IFERROR(__xludf.DUMMYFUNCTION("""COMPUTED_VALUE"""),"Домохозяйка ")</f>
        <v>Домохозяйка </v>
      </c>
      <c r="C1297" s="6" t="str">
        <f>IFERROR(__xludf.DUMMYFUNCTION("""COMPUTED_VALUE"""),"Любим с детьми гулять по новым местам ")</f>
        <v>Любим с детьми гулять по новым местам </v>
      </c>
      <c r="D1297" s="6" t="str">
        <f>IFERROR(__xludf.DUMMYFUNCTION("""COMPUTED_VALUE"""),"Московский ")</f>
        <v>Московский </v>
      </c>
      <c r="E1297" s="6" t="str">
        <f>IFERROR(__xludf.DUMMYFUNCTION("""COMPUTED_VALUE"""),"Нету не каких ")</f>
        <v>Нету не каких </v>
      </c>
      <c r="F1297" s="6" t="str">
        <f>IFERROR(__xludf.DUMMYFUNCTION("""COMPUTED_VALUE"""),"Живу здесь с рождения")</f>
        <v>Живу здесь с рождения</v>
      </c>
      <c r="G1297" s="6" t="str">
        <f>IFERROR(__xludf.DUMMYFUNCTION("""COMPUTED_VALUE"""),"В шалготоряни фонтан . Бульвар.  ")</f>
        <v>В шалготоряни фонтан . Бульвар.  </v>
      </c>
      <c r="H1297" s="6" t="str">
        <f>IFERROR(__xludf.DUMMYFUNCTION("""COMPUTED_VALUE"""),"Грязные улицы полные мусорки ")</f>
        <v>Грязные улицы полные мусорки </v>
      </c>
      <c r="I1297" s="6" t="str">
        <f>IFERROR(__xludf.DUMMYFUNCTION("""COMPUTED_VALUE"""),"Вера Волошина. Алексей Леонов. Подгобунский . Галина Завадцкая . Махав .")</f>
        <v>Вера Волошина. Алексей Леонов. Подгобунский . Галина Завадцкая . Махав .</v>
      </c>
      <c r="J1297" s="6" t="str">
        <f>IFERROR(__xludf.DUMMYFUNCTION("""COMPUTED_VALUE"""),"Нету их ")</f>
        <v>Нету их </v>
      </c>
      <c r="K1297" s="6" t="str">
        <f>IFERROR(__xludf.DUMMYFUNCTION("""COMPUTED_VALUE"""),"Немецкое кладбище ")</f>
        <v>Немецкое кладбище </v>
      </c>
      <c r="L1297" s="6" t="str">
        <f>IFERROR(__xludf.DUMMYFUNCTION("""COMPUTED_VALUE"""),"Рыба гниет с головы .")</f>
        <v>Рыба гниет с головы .</v>
      </c>
      <c r="M1297" s="6" t="str">
        <f>IFERROR(__xludf.DUMMYFUNCTION("""COMPUTED_VALUE"""),"Не знаю ")</f>
        <v>Не знаю </v>
      </c>
      <c r="N1297" s="6" t="str">
        <f>IFERROR(__xludf.DUMMYFUNCTION("""COMPUTED_VALUE"""),"Много больниц школ садов транспорта магазинов ")</f>
        <v>Много больниц школ садов транспорта магазинов </v>
      </c>
      <c r="O1297" s="6" t="str">
        <f>IFERROR(__xludf.DUMMYFUNCTION("""COMPUTED_VALUE"""),"Голову ")</f>
        <v>Голову </v>
      </c>
      <c r="P1297" s="6" t="str">
        <f>IFERROR(__xludf.DUMMYFUNCTION("""COMPUTED_VALUE"""),"Не помню ")</f>
        <v>Не помню </v>
      </c>
      <c r="Q1297"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297" s="6" t="str">
        <f>IFERROR(__xludf.DUMMYFUNCTION("""COMPUTED_VALUE"""),"Все ")</f>
        <v>Все </v>
      </c>
      <c r="S1297" s="6" t="str">
        <f>IFERROR(__xludf.DUMMYFUNCTION("""COMPUTED_VALUE"""),"Нет, не приходилось")</f>
        <v>Нет, не приходилось</v>
      </c>
      <c r="T1297" s="6" t="str">
        <f>IFERROR(__xludf.DUMMYFUNCTION("""COMPUTED_VALUE"""),"Вечный огонь ")</f>
        <v>Вечный огонь </v>
      </c>
      <c r="U1297" s="6" t="str">
        <f>IFERROR(__xludf.DUMMYFUNCTION("""COMPUTED_VALUE"""),"Фонтан ")</f>
        <v>Фонтан </v>
      </c>
      <c r="V1297" s="6" t="str">
        <f>IFERROR(__xludf.DUMMYFUNCTION("""COMPUTED_VALUE"""),"Не чем .")</f>
        <v>Не чем .</v>
      </c>
      <c r="W1297" s="6" t="str">
        <f>IFERROR(__xludf.DUMMYFUNCTION("""COMPUTED_VALUE"""),"Половина алкашей и наркоманов ")</f>
        <v>Половина алкашей и наркоманов </v>
      </c>
      <c r="X1297" s="6" t="str">
        <f>IFERROR(__xludf.DUMMYFUNCTION("""COMPUTED_VALUE"""),"По. Ленина ")</f>
        <v>По. Ленина </v>
      </c>
      <c r="Y1297" s="6" t="str">
        <f>IFERROR(__xludf.DUMMYFUNCTION("""COMPUTED_VALUE"""),"Нету ")</f>
        <v>Нету </v>
      </c>
      <c r="Z1297" s="6" t="str">
        <f>IFERROR(__xludf.DUMMYFUNCTION("""COMPUTED_VALUE"""),"Сгорела зимняя вишня погибли люди . ")</f>
        <v>Сгорела зимняя вишня погибли люди . </v>
      </c>
      <c r="AA1297" s="6" t="str">
        <f>IFERROR(__xludf.DUMMYFUNCTION("""COMPUTED_VALUE"""),"Наш детский сад полный бардак даже вывески нету как сад называется дети не знают . ")</f>
        <v>Наш детский сад полный бардак даже вывески нету как сад называется дети не знают . </v>
      </c>
      <c r="AB1297" s="6" t="str">
        <f>IFERROR(__xludf.DUMMYFUNCTION("""COMPUTED_VALUE"""),"Порядка ")</f>
        <v>Порядка </v>
      </c>
      <c r="AC1297" s="6" t="str">
        <f>IFERROR(__xludf.DUMMYFUNCTION("""COMPUTED_VALUE"""),"Побольше проводить бесплатные посещения в филармонии театры выставки ")</f>
        <v>Побольше проводить бесплатные посещения в филармонии театры выставки </v>
      </c>
      <c r="AD129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97" s="6" t="str">
        <f>IFERROR(__xludf.DUMMYFUNCTION("""COMPUTED_VALUE"""),"Женский")</f>
        <v>Женский</v>
      </c>
      <c r="AF1297" s="6" t="str">
        <f>IFERROR(__xludf.DUMMYFUNCTION("""COMPUTED_VALUE"""),"30-44")</f>
        <v>30-44</v>
      </c>
      <c r="AG1297" s="6"/>
      <c r="AH1297" s="6"/>
      <c r="AI1297" s="6"/>
      <c r="AJ1297" s="6"/>
      <c r="AK1297" s="6"/>
      <c r="AL1297" s="6"/>
      <c r="AM1297" s="6"/>
    </row>
    <row r="1298">
      <c r="A1298" s="6">
        <v>1297.0</v>
      </c>
      <c r="B1298" s="6" t="str">
        <f>IFERROR(__xludf.DUMMYFUNCTION("""COMPUTED_VALUE"""),"Служащий, профессия автомеханик. ")</f>
        <v>Служащий, профессия автомеханик. </v>
      </c>
      <c r="C1298" s="6" t="str">
        <f>IFERROR(__xludf.DUMMYFUNCTION("""COMPUTED_VALUE"""),"Автомобили, строю дом")</f>
        <v>Автомобили, строю дом</v>
      </c>
      <c r="D1298" s="6" t="str">
        <f>IFERROR(__xludf.DUMMYFUNCTION("""COMPUTED_VALUE"""),"Рудничный")</f>
        <v>Рудничный</v>
      </c>
      <c r="E1298" s="6" t="str">
        <f>IFERROR(__xludf.DUMMYFUNCTION("""COMPUTED_VALUE"""),"Никольский собор, Апельсин, азс Газпромнефть")</f>
        <v>Никольский собор, Апельсин, азс Газпромнефть</v>
      </c>
      <c r="F1298" s="6" t="str">
        <f>IFERROR(__xludf.DUMMYFUNCTION("""COMPUTED_VALUE"""),"Переехал сюда из другого места (откуда? укажите в графе другое), Я из Красного Брода, в Кемерово с 1993года")</f>
        <v>Переехал сюда из другого места (откуда? укажите в графе другое), Я из Красного Брода, в Кемерово с 1993года</v>
      </c>
      <c r="G1298" s="6" t="str">
        <f>IFERROR(__xludf.DUMMYFUNCTION("""COMPUTED_VALUE"""),"Занимаюсь огородом")</f>
        <v>Занимаюсь огородом</v>
      </c>
      <c r="H1298" s="6" t="str">
        <f>IFERROR(__xludf.DUMMYFUNCTION("""COMPUTED_VALUE"""),"Азот, Кокс, Уголь, Томь, Река")</f>
        <v>Азот, Кокс, Уголь, Томь, Река</v>
      </c>
      <c r="I1298" s="6" t="str">
        <f>IFERROR(__xludf.DUMMYFUNCTION("""COMPUTED_VALUE"""),"Михайло Волков, Мартемьянов")</f>
        <v>Михайло Волков, Мартемьянов</v>
      </c>
      <c r="J1298" s="6" t="str">
        <f>IFERROR(__xludf.DUMMYFUNCTION("""COMPUTED_VALUE"""),"Заузёлков, Тулеев")</f>
        <v>Заузёлков, Тулеев</v>
      </c>
      <c r="K1298" s="6" t="str">
        <f>IFERROR(__xludf.DUMMYFUNCTION("""COMPUTED_VALUE"""),"Музей Красная горка")</f>
        <v>Музей Красная горка</v>
      </c>
      <c r="L1298" s="6" t="str">
        <f>IFERROR(__xludf.DUMMYFUNCTION("""COMPUTED_VALUE"""),"Не знаю")</f>
        <v>Не знаю</v>
      </c>
      <c r="M1298" s="6" t="str">
        <f>IFERROR(__xludf.DUMMYFUNCTION("""COMPUTED_VALUE"""),"Нет, не знаю. ")</f>
        <v>Нет, не знаю. </v>
      </c>
      <c r="N1298" s="6" t="str">
        <f>IFERROR(__xludf.DUMMYFUNCTION("""COMPUTED_VALUE"""),"Транспорт, дороги и улицы без пробок, чистый воздух и вода, иметь тут работу, доступность услуг администрации")</f>
        <v>Транспорт, дороги и улицы без пробок, чистый воздух и вода, иметь тут работу, доступность услуг администрации</v>
      </c>
      <c r="O1298" s="6" t="str">
        <f>IFERROR(__xludf.DUMMYFUNCTION("""COMPUTED_VALUE"""),"Расселить ""шанхай"" в центральном районе:ул. Гагарина и Сибиряков-Гаардейцев.
Крайне желательно расширить ул. Сибиряков-Гвардейцев")</f>
        <v>Расселить "шанхай" в центральном районе:ул. Гагарина и Сибиряков-Гаардейцев.
Крайне желательно расширить ул. Сибиряков-Гвардейцев</v>
      </c>
      <c r="P1298" s="6" t="str">
        <f>IFERROR(__xludf.DUMMYFUNCTION("""COMPUTED_VALUE"""),"ВК, Инстаграмм")</f>
        <v>ВК, Инстаграмм</v>
      </c>
      <c r="Q1298" s="6" t="str">
        <f>IFERROR(__xludf.DUMMYFUNCTION("""COMPUTED_VALUE"""),"городская афиша (кино/театр/концерты), культурные новинки (что почитать/что послушать),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"&amp;"свои предложения)")</f>
        <v>городская афиша (кино/театр/концерты), культурные новинки (что почитать/что послушать),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1298" s="6" t="str">
        <f>IFERROR(__xludf.DUMMYFUNCTION("""COMPUTED_VALUE"""),"9мая,день города")</f>
        <v>9мая,день города</v>
      </c>
      <c r="S1298" s="6" t="str">
        <f>IFERROR(__xludf.DUMMYFUNCTION("""COMPUTED_VALUE"""),"Нет, не приходилось")</f>
        <v>Нет, не приходилось</v>
      </c>
      <c r="T1298" s="6" t="str">
        <f>IFERROR(__xludf.DUMMYFUNCTION("""COMPUTED_VALUE"""),"АЗОТ и Кокс")</f>
        <v>АЗОТ и Кокс</v>
      </c>
      <c r="U1298" s="6" t="str">
        <f>IFERROR(__xludf.DUMMYFUNCTION("""COMPUTED_VALUE"""),"Площадь советов, Вокзал")</f>
        <v>Площадь советов, Вокзал</v>
      </c>
      <c r="V1298" s="6" t="str">
        <f>IFERROR(__xludf.DUMMYFUNCTION("""COMPUTED_VALUE"""),"Гордится уже нечем, всё разрушено. ")</f>
        <v>Гордится уже нечем, всё разрушено. </v>
      </c>
      <c r="W1298" s="6" t="str">
        <f>IFERROR(__xludf.DUMMYFUNCTION("""COMPUTED_VALUE"""),"Они Сибиряки")</f>
        <v>Они Сибиряки</v>
      </c>
      <c r="X1298" s="6" t="str">
        <f>IFERROR(__xludf.DUMMYFUNCTION("""COMPUTED_VALUE"""),"Набережная - Красная горка")</f>
        <v>Набережная - Красная горка</v>
      </c>
      <c r="Y1298" s="6" t="str">
        <f>IFERROR(__xludf.DUMMYFUNCTION("""COMPUTED_VALUE"""),"В 1986 году приезжал театр со спектаклем Юнонна и авось")</f>
        <v>В 1986 году приезжал театр со спектаклем Юнонна и авось</v>
      </c>
      <c r="Z1298" s="6" t="str">
        <f>IFERROR(__xludf.DUMMYFUNCTION("""COMPUTED_VALUE"""),"Строительство и ремонт старых и новых улиц")</f>
        <v>Строительство и ремонт старых и новых улиц</v>
      </c>
      <c r="AA1298" s="6" t="str">
        <f>IFERROR(__xludf.DUMMYFUNCTION("""COMPUTED_VALUE"""),"Митинги за навального")</f>
        <v>Митинги за навального</v>
      </c>
      <c r="AB1298" s="6" t="str">
        <f>IFERROR(__xludf.DUMMYFUNCTION("""COMPUTED_VALUE"""),"Мне хватает")</f>
        <v>Мне хватает</v>
      </c>
      <c r="AC1298" s="6" t="str">
        <f>IFERROR(__xludf.DUMMYFUNCTION("""COMPUTED_VALUE"""),"Всеросийского Ленинского субботника")</f>
        <v>Всеросийского Ленинского субботника</v>
      </c>
      <c r="AD129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98" s="6" t="str">
        <f>IFERROR(__xludf.DUMMYFUNCTION("""COMPUTED_VALUE"""),"Мужской")</f>
        <v>Мужской</v>
      </c>
      <c r="AF1298" s="6" t="str">
        <f>IFERROR(__xludf.DUMMYFUNCTION("""COMPUTED_VALUE"""),"45-55")</f>
        <v>45-55</v>
      </c>
      <c r="AG1298" s="6"/>
      <c r="AH1298" s="6"/>
      <c r="AI1298" s="6"/>
      <c r="AJ1298" s="6"/>
      <c r="AK1298" s="6"/>
      <c r="AL1298" s="6"/>
      <c r="AM1298" s="6"/>
    </row>
    <row r="1299">
      <c r="A1299" s="6">
        <v>1298.0</v>
      </c>
      <c r="B1299" s="6" t="str">
        <f>IFERROR(__xludf.DUMMYFUNCTION("""COMPUTED_VALUE"""),"Теплоэнергетика")</f>
        <v>Теплоэнергетика</v>
      </c>
      <c r="C1299" s="6" t="str">
        <f>IFERROR(__xludf.DUMMYFUNCTION("""COMPUTED_VALUE"""),"Активный отдых")</f>
        <v>Активный отдых</v>
      </c>
      <c r="D1299" s="6" t="str">
        <f>IFERROR(__xludf.DUMMYFUNCTION("""COMPUTED_VALUE"""),"Рудничный, Радуга, Старая Радуга")</f>
        <v>Рудничный, Радуга, Старая Радуга</v>
      </c>
      <c r="E1299" s="6" t="str">
        <f>IFERROR(__xludf.DUMMYFUNCTION("""COMPUTED_VALUE"""),"Бор")</f>
        <v>Бор</v>
      </c>
      <c r="F1299" s="6" t="str">
        <f>IFERROR(__xludf.DUMMYFUNCTION("""COMPUTED_VALUE"""),"Переехал сюда из другого места (откуда? укажите в графе другое), Переехал из мариинска в 2005 году в связи с поступлением в ВУЗ")</f>
        <v>Переехал сюда из другого места (откуда? укажите в графе другое), Переехал из мариинска в 2005 году в связи с поступлением в ВУЗ</v>
      </c>
      <c r="G1299" s="6" t="str">
        <f>IFERROR(__xludf.DUMMYFUNCTION("""COMPUTED_VALUE"""),"Набережная, парк Победы, Рудничный бор, бульвар Строителей")</f>
        <v>Набережная, парк Победы, Рудничный бор, бульвар Строителей</v>
      </c>
      <c r="H1299" s="6" t="str">
        <f>IFERROR(__xludf.DUMMYFUNCTION("""COMPUTED_VALUE"""),"Зелень, движение, работа, пригород, стройка")</f>
        <v>Зелень, движение, работа, пригород, стройка</v>
      </c>
      <c r="I1299" s="6" t="str">
        <f>IFERROR(__xludf.DUMMYFUNCTION("""COMPUTED_VALUE"""),"Двужильный, Волошина, Толстиков")</f>
        <v>Двужильный, Волошина, Толстиков</v>
      </c>
      <c r="J1299" s="6" t="str">
        <f>IFERROR(__xludf.DUMMYFUNCTION("""COMPUTED_VALUE"""),"Гришковец")</f>
        <v>Гришковец</v>
      </c>
      <c r="K1299" s="6" t="str">
        <f>IFERROR(__xludf.DUMMYFUNCTION("""COMPUTED_VALUE"""),"Площадь Советов, Зимняя Вишня, Собор, Бульвар Строителей")</f>
        <v>Площадь Советов, Зимняя Вишня, Собор, Бульвар Строителей</v>
      </c>
      <c r="L1299" s="6" t="str">
        <f>IFERROR(__xludf.DUMMYFUNCTION("""COMPUTED_VALUE"""),"---")</f>
        <v>---</v>
      </c>
      <c r="M1299" s="6" t="str">
        <f>IFERROR(__xludf.DUMMYFUNCTION("""COMPUTED_VALUE"""),"---")</f>
        <v>---</v>
      </c>
      <c r="N1299" s="6" t="str">
        <f>IFERROR(__xludf.DUMMYFUNCTION("""COMPUTED_VALUE"""),"Умеренные пробки, чистота города, доступное жилье")</f>
        <v>Умеренные пробки, чистота города, доступное жилье</v>
      </c>
      <c r="O1299" s="6" t="str">
        <f>IFERROR(__xludf.DUMMYFUNCTION("""COMPUTED_VALUE"""),"Перестать строить ТРЦ")</f>
        <v>Перестать строить ТРЦ</v>
      </c>
      <c r="P1299" s="6" t="str">
        <f>IFERROR(__xludf.DUMMYFUNCTION("""COMPUTED_VALUE"""),"Приложение Кузбасс онлайн, ВК, Яндекс")</f>
        <v>Приложение Кузбасс онлайн, ВК, Яндекс</v>
      </c>
      <c r="Q1299" s="6" t="str">
        <f>IFERROR(__xludf.DUMMYFUNCTION("""COMPUTED_VALUE"""),"городская афиша (кино/театр/концерты), интервью с местными политиками, результаты местных исследований (рейтинги/аналитика/тенденции)")</f>
        <v>городская афиша (кино/театр/концерты), интервью с местными политиками, результаты местных исследований (рейтинги/аналитика/тенденции)</v>
      </c>
      <c r="R1299" s="6" t="str">
        <f>IFERROR(__xludf.DUMMYFUNCTION("""COMPUTED_VALUE"""),"День города/России, День Победы")</f>
        <v>День города/России, День Победы</v>
      </c>
      <c r="S1299" s="6" t="str">
        <f>IFERROR(__xludf.DUMMYFUNCTION("""COMPUTED_VALUE"""),"Нет, не приходилось")</f>
        <v>Нет, не приходилось</v>
      </c>
      <c r="T1299" s="6" t="str">
        <f>IFERROR(__xludf.DUMMYFUNCTION("""COMPUTED_VALUE"""),"Институт угля и все, что связано с историей угледобычи")</f>
        <v>Институт угля и все, что связано с историей угледобычи</v>
      </c>
      <c r="U1299" s="6" t="str">
        <f>IFERROR(__xludf.DUMMYFUNCTION("""COMPUTED_VALUE"""),"Цирк, Весенняя улица")</f>
        <v>Цирк, Весенняя улица</v>
      </c>
      <c r="V1299" s="6" t="str">
        <f>IFERROR(__xludf.DUMMYFUNCTION("""COMPUTED_VALUE"""),"Добросовестно трудились")</f>
        <v>Добросовестно трудились</v>
      </c>
      <c r="W1299" s="6" t="str">
        <f>IFERROR(__xludf.DUMMYFUNCTION("""COMPUTED_VALUE"""),"Вежливые, терпеливые")</f>
        <v>Вежливые, терпеливые</v>
      </c>
      <c r="X1299" s="6" t="str">
        <f>IFERROR(__xludf.DUMMYFUNCTION("""COMPUTED_VALUE"""),"Центральный парк, набережная, Весенняя, драмтеатр, площадь Советов,  фонтан у филармонии, парк Жукова")</f>
        <v>Центральный парк, набережная, Весенняя, драмтеатр, площадь Советов,  фонтан у филармонии, парк Жукова</v>
      </c>
      <c r="Y1299" s="6" t="str">
        <f>IFERROR(__xludf.DUMMYFUNCTION("""COMPUTED_VALUE"""),"Строительство Филармонии")</f>
        <v>Строительство Филармонии</v>
      </c>
      <c r="Z1299" s="6" t="str">
        <f>IFERROR(__xludf.DUMMYFUNCTION("""COMPUTED_VALUE"""),"Строительство квартала искусств, ремонт бульвара Строителей")</f>
        <v>Строительство квартала искусств, ремонт бульвара Строителей</v>
      </c>
      <c r="AA1299" s="6" t="str">
        <f>IFERROR(__xludf.DUMMYFUNCTION("""COMPUTED_VALUE"""),"Закрытие бассейна Лазурный")</f>
        <v>Закрытие бассейна Лазурный</v>
      </c>
      <c r="AB1299" s="6" t="str">
        <f>IFERROR(__xludf.DUMMYFUNCTION("""COMPUTED_VALUE"""),"---")</f>
        <v>---</v>
      </c>
      <c r="AC1299" s="6" t="str">
        <f>IFERROR(__xludf.DUMMYFUNCTION("""COMPUTED_VALUE"""),"
В целом всего хватает")</f>
        <v>
В целом всего хватает</v>
      </c>
      <c r="AD129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299" s="6" t="str">
        <f>IFERROR(__xludf.DUMMYFUNCTION("""COMPUTED_VALUE"""),"Мужской")</f>
        <v>Мужской</v>
      </c>
      <c r="AF1299" s="6" t="str">
        <f>IFERROR(__xludf.DUMMYFUNCTION("""COMPUTED_VALUE"""),"30-44")</f>
        <v>30-44</v>
      </c>
      <c r="AG1299" s="6"/>
      <c r="AH1299" s="6"/>
      <c r="AI1299" s="6"/>
      <c r="AJ1299" s="6"/>
      <c r="AK1299" s="6"/>
      <c r="AL1299" s="6"/>
      <c r="AM1299" s="6"/>
    </row>
    <row r="1300">
      <c r="A1300" s="6">
        <v>1299.0</v>
      </c>
      <c r="B1300" s="6" t="str">
        <f>IFERROR(__xludf.DUMMYFUNCTION("""COMPUTED_VALUE"""),"Рабочий")</f>
        <v>Рабочий</v>
      </c>
      <c r="C1300" s="6" t="str">
        <f>IFERROR(__xludf.DUMMYFUNCTION("""COMPUTED_VALUE"""),"Фотография")</f>
        <v>Фотография</v>
      </c>
      <c r="D1300" s="6" t="str">
        <f>IFERROR(__xludf.DUMMYFUNCTION("""COMPUTED_VALUE"""),"Рудничный, Серебряный Бор. Ипотеченск. Гетто")</f>
        <v>Рудничный, Серебряный Бор. Ипотеченск. Гетто</v>
      </c>
      <c r="E1300" s="6" t="str">
        <f>IFERROR(__xludf.DUMMYFUNCTION("""COMPUTED_VALUE"""),"Бор")</f>
        <v>Бор</v>
      </c>
      <c r="F1300" s="6" t="str">
        <f>IFERROR(__xludf.DUMMYFUNCTION("""COMPUTED_VALUE"""),"Живу здесь с рождения")</f>
        <v>Живу здесь с рождения</v>
      </c>
      <c r="G1300" s="6" t="str">
        <f>IFERROR(__xludf.DUMMYFUNCTION("""COMPUTED_VALUE"""),"Никуда")</f>
        <v>Никуда</v>
      </c>
      <c r="H1300" s="6" t="str">
        <f>IFERROR(__xludf.DUMMYFUNCTION("""COMPUTED_VALUE"""),"Умирающий, бесперспективный, грязный, автомобильные пробки, ")</f>
        <v>Умирающий, бесперспективный, грязный, автомобильные пробки, </v>
      </c>
      <c r="I1300" s="6" t="str">
        <f>IFERROR(__xludf.DUMMYFUNCTION("""COMPUTED_VALUE"""),"Алексей Леонов")</f>
        <v>Алексей Леонов</v>
      </c>
      <c r="J1300" s="6" t="str">
        <f>IFERROR(__xludf.DUMMYFUNCTION("""COMPUTED_VALUE"""),"Бывший мэр Владимир Михайлов и экс-губернатор Аман Тулеев")</f>
        <v>Бывший мэр Владимир Михайлов и экс-губернатор Аман Тулеев</v>
      </c>
      <c r="K1300" s="6" t="str">
        <f>IFERROR(__xludf.DUMMYFUNCTION("""COMPUTED_VALUE"""),"Музей ""Красная горка"", рудник, памятник японским военнопленным")</f>
        <v>Музей "Красная горка", рудник, памятник японским военнопленным</v>
      </c>
      <c r="L1300" s="6" t="str">
        <f>IFERROR(__xludf.DUMMYFUNCTION("""COMPUTED_VALUE"""),"Таких не знаю")</f>
        <v>Таких не знаю</v>
      </c>
      <c r="M1300" s="6" t="str">
        <f>IFERROR(__xludf.DUMMYFUNCTION("""COMPUTED_VALUE"""),"Не знаю")</f>
        <v>Не знаю</v>
      </c>
      <c r="N1300" s="6" t="str">
        <f>IFERROR(__xludf.DUMMYFUNCTION("""COMPUTED_VALUE"""),"Безопасный, экологически чистый, удобный, стабильная работа общественного транспорта")</f>
        <v>Безопасный, экологически чистый, удобный, стабильная работа общественного транспорта</v>
      </c>
      <c r="O1300" s="6" t="str">
        <f>IFERROR(__xludf.DUMMYFUNCTION("""COMPUTED_VALUE"""),"Решить вопрос с автомобильными пробками")</f>
        <v>Решить вопрос с автомобильными пробками</v>
      </c>
      <c r="P1300" s="6" t="str">
        <f>IFERROR(__xludf.DUMMYFUNCTION("""COMPUTED_VALUE"""),"С раздела новостей на Яндексе")</f>
        <v>С раздела новостей на Яндексе</v>
      </c>
      <c r="Q1300" s="6" t="str">
        <f>IFERROR(__xludf.DUMMYFUNCTION("""COMPUTED_VALUE"""),"интервью с местными политиками,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политиками,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300" s="6" t="str">
        <f>IFERROR(__xludf.DUMMYFUNCTION("""COMPUTED_VALUE"""),"День Победы")</f>
        <v>День Победы</v>
      </c>
      <c r="S1300" s="6" t="str">
        <f>IFERROR(__xludf.DUMMYFUNCTION("""COMPUTED_VALUE"""),"Нет, не приходилось")</f>
        <v>Нет, не приходилось</v>
      </c>
      <c r="T1300" s="6" t="str">
        <f>IFERROR(__xludf.DUMMYFUNCTION("""COMPUTED_VALUE"""),"Отсутствие объездной дороги, железнодорожный тупик")</f>
        <v>Отсутствие объездной дороги, железнодорожный тупик</v>
      </c>
      <c r="U1300" s="6" t="str">
        <f>IFERROR(__xludf.DUMMYFUNCTION("""COMPUTED_VALUE"""),"Старый рудник")</f>
        <v>Старый рудник</v>
      </c>
      <c r="V1300" s="6" t="str">
        <f>IFERROR(__xludf.DUMMYFUNCTION("""COMPUTED_VALUE"""),"Развивали производство")</f>
        <v>Развивали производство</v>
      </c>
      <c r="W1300" s="6" t="str">
        <f>IFERROR(__xludf.DUMMYFUNCTION("""COMPUTED_VALUE"""),"Отзывчивые")</f>
        <v>Отзывчивые</v>
      </c>
      <c r="X1300" s="6" t="str">
        <f>IFERROR(__xludf.DUMMYFUNCTION("""COMPUTED_VALUE"""),"Где-нибудь в районе Красной горки и старого Рудника")</f>
        <v>Где-нибудь в районе Красной горки и старого Рудника</v>
      </c>
      <c r="Y1300" s="6" t="str">
        <f>IFERROR(__xludf.DUMMYFUNCTION("""COMPUTED_VALUE"""),"Нет таких")</f>
        <v>Нет таких</v>
      </c>
      <c r="Z1300" s="6" t="str">
        <f>IFERROR(__xludf.DUMMYFUNCTION("""COMPUTED_VALUE"""),"Концерт ""Легенды мирового рока"", который был в 2019г. ")</f>
        <v>Концерт "Легенды мирового рока", который был в 2019г. </v>
      </c>
      <c r="AA1300" s="6" t="str">
        <f>IFERROR(__xludf.DUMMYFUNCTION("""COMPUTED_VALUE"""),"Акция протеста в поддержку Навального")</f>
        <v>Акция протеста в поддержку Навального</v>
      </c>
      <c r="AB1300" s="6" t="str">
        <f>IFERROR(__xludf.DUMMYFUNCTION("""COMPUTED_VALUE"""),"Не знаю")</f>
        <v>Не знаю</v>
      </c>
      <c r="AC1300" s="6" t="str">
        <f>IFERROR(__xludf.DUMMYFUNCTION("""COMPUTED_VALUE"""),"Побольше каких-нибудь концертов с иностранными знаменитостями")</f>
        <v>Побольше каких-нибудь концертов с иностранными знаменитостями</v>
      </c>
      <c r="AD130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00" s="6" t="str">
        <f>IFERROR(__xludf.DUMMYFUNCTION("""COMPUTED_VALUE"""),"Мужской")</f>
        <v>Мужской</v>
      </c>
      <c r="AF1300" s="6" t="str">
        <f>IFERROR(__xludf.DUMMYFUNCTION("""COMPUTED_VALUE"""),"30-44")</f>
        <v>30-44</v>
      </c>
      <c r="AG1300" s="6"/>
      <c r="AH1300" s="6"/>
      <c r="AI1300" s="6"/>
      <c r="AJ1300" s="6"/>
      <c r="AK1300" s="6"/>
      <c r="AL1300" s="6"/>
      <c r="AM1300" s="6"/>
    </row>
    <row r="1301">
      <c r="A1301" s="6">
        <v>1300.0</v>
      </c>
      <c r="B1301" s="6" t="str">
        <f>IFERROR(__xludf.DUMMYFUNCTION("""COMPUTED_VALUE"""),"Преподаватель")</f>
        <v>Преподаватель</v>
      </c>
      <c r="C1301" s="6" t="str">
        <f>IFERROR(__xludf.DUMMYFUNCTION("""COMPUTED_VALUE"""),"Сплав, походы, велосипед, шахматы")</f>
        <v>Сплав, походы, велосипед, шахматы</v>
      </c>
      <c r="D1301" s="6" t="str">
        <f>IFERROR(__xludf.DUMMYFUNCTION("""COMPUTED_VALUE"""),"Верхний бульвар. ")</f>
        <v>Верхний бульвар. </v>
      </c>
      <c r="E1301" s="6" t="str">
        <f>IFERROR(__xludf.DUMMYFUNCTION("""COMPUTED_VALUE"""),"Агропарк. ")</f>
        <v>Агропарк. </v>
      </c>
      <c r="F1301" s="6" t="str">
        <f>IFERROR(__xludf.DUMMYFUNCTION("""COMPUTED_VALUE"""),"Переехал сюда из другого места (откуда? укажите в графе другое), Топки")</f>
        <v>Переехал сюда из другого места (откуда? укажите в графе другое), Топки</v>
      </c>
      <c r="G1301" s="6" t="str">
        <f>IFERROR(__xludf.DUMMYFUNCTION("""COMPUTED_VALUE"""),"Парки. Турбазы на Томи (главное выше города по течению). ")</f>
        <v>Парки. Турбазы на Томи (главное выше города по течению). </v>
      </c>
      <c r="H1301" s="6" t="str">
        <f>IFERROR(__xludf.DUMMYFUNCTION("""COMPUTED_VALUE"""),"Грязный, пыльный, черный, интересный, родной. ")</f>
        <v>Грязный, пыльный, черный, интересный, родной. </v>
      </c>
      <c r="I1301" s="6" t="str">
        <f>IFERROR(__xludf.DUMMYFUNCTION("""COMPUTED_VALUE"""),"Затрудняюсь.")</f>
        <v>Затрудняюсь.</v>
      </c>
      <c r="J1301" s="6" t="str">
        <f>IFERROR(__xludf.DUMMYFUNCTION("""COMPUTED_VALUE"""),"Не знаю таких. ")</f>
        <v>Не знаю таких. </v>
      </c>
      <c r="K1301" s="6" t="str">
        <f>IFERROR(__xludf.DUMMYFUNCTION("""COMPUTED_VALUE"""),"Центр (весенняя, набережная, горсад, ""орбита""), потом на Бульвар Строителей. ")</f>
        <v>Центр (весенняя, набережная, горсад, "орбита"), потом на Бульвар Строителей. </v>
      </c>
      <c r="L1301" s="6" t="str">
        <f>IFERROR(__xludf.DUMMYFUNCTION("""COMPUTED_VALUE"""),"Человек из Кемерова.")</f>
        <v>Человек из Кемерова.</v>
      </c>
      <c r="M1301" s="6" t="str">
        <f>IFERROR(__xludf.DUMMYFUNCTION("""COMPUTED_VALUE"""),"Тормозок, подорожник, мульфора (но это скорее для всего региона). ")</f>
        <v>Тормозок, подорожник, мульфора (но это скорее для всего региона). </v>
      </c>
      <c r="N1301" s="6" t="str">
        <f>IFERROR(__xludf.DUMMYFUNCTION("""COMPUTED_VALUE"""),"Инфраструктура, люди, возможность быстро оказаться на природе, наличие производства, количество работодателей. ")</f>
        <v>Инфраструктура, люди, возможность быстро оказаться на природе, наличие производства, количество работодателей. </v>
      </c>
      <c r="O1301" s="6" t="str">
        <f>IFERROR(__xludf.DUMMYFUNCTION("""COMPUTED_VALUE"""),"1. Дороги! 2. Начать уже воспитывать граждан: мусор, курение в общественных местах, собачий помёт и др. Примеров ""КАК?"" в других городах и странах полно (выбирай на любой вкус, от заоблачных штрафов, до демократических мер). ")</f>
        <v>1. Дороги! 2. Начать уже воспитывать граждан: мусор, курение в общественных местах, собачий помёт и др. Примеров "КАК?" в других городах и странах полно (выбирай на любой вкус, от заоблачных штрафов, до демократических мер). </v>
      </c>
      <c r="P1301" s="6" t="str">
        <f>IFERROR(__xludf.DUMMYFUNCTION("""COMPUTED_VALUE"""),"Рассказывают окружающие которые следят за событиями. Сам или ищу в поиске программу мероприятий на какой-нибудь день, чтобы понимать есть ли смысл детей вести на такое или лучше дома книгу почитать или за город лучше уехать. Или отсматриваю новостные агре"&amp;"гаторы (яндекс например), Кузбасс Онлайн. ")</f>
        <v>Рассказывают окружающие которые следят за событиями. Сам или ищу в поиске программу мероприятий на какой-нибудь день, чтобы понимать есть ли смысл детей вести на такое или лучше дома книгу почитать или за город лучше уехать. Или отсматриваю новостные агрегаторы (яндекс например), Кузбасс Онлайн. </v>
      </c>
      <c r="Q1301" s="6" t="str">
        <f>IFERROR(__xludf.DUMMYFUNCTION("""COMPUTED_VALUE"""),"Все интересны, но СМИ освящают одинаково плохо все темы. ")</f>
        <v>Все интересны, но СМИ освящают одинаково плохо все темы. </v>
      </c>
      <c r="R1301" s="6" t="str">
        <f>IFERROR(__xludf.DUMMYFUNCTION("""COMPUTED_VALUE"""),"Не посещаем. ")</f>
        <v>Не посещаем. </v>
      </c>
      <c r="S1301" s="6" t="str">
        <f>IFERROR(__xludf.DUMMYFUNCTION("""COMPUTED_VALUE"""),"Организовывал")</f>
        <v>Организовывал</v>
      </c>
      <c r="T1301" s="6" t="str">
        <f>IFERROR(__xludf.DUMMYFUNCTION("""COMPUTED_VALUE"""),"Уникального ничего нет.")</f>
        <v>Уникального ничего нет.</v>
      </c>
      <c r="U1301" s="6" t="str">
        <f>IFERROR(__xludf.DUMMYFUNCTION("""COMPUTED_VALUE"""),"Кемгу, бульвар Строителей. Надеюсь после строительства новых объектов станет лучше. ")</f>
        <v>Кемгу, бульвар Строителей. Надеюсь после строительства новых объектов станет лучше. </v>
      </c>
      <c r="V1301" s="6" t="str">
        <f>IFERROR(__xludf.DUMMYFUNCTION("""COMPUTED_VALUE"""),"Все мы делаем что-то, чтобы гордится собой. Про тех кто ради города что-то делал мне не известно. ")</f>
        <v>Все мы делаем что-то, чтобы гордится собой. Про тех кто ради города что-то делал мне не известно. </v>
      </c>
      <c r="W1301" s="6" t="str">
        <f>IFERROR(__xludf.DUMMYFUNCTION("""COMPUTED_VALUE"""),"Бескультурные, безответственные граждане (не все, к счастью), но это скорее поколенческий сюжет. ")</f>
        <v>Бескультурные, безответственные граждане (не все, к счастью), но это скорее поколенческий сюжет. </v>
      </c>
      <c r="X1301" s="6" t="str">
        <f>IFERROR(__xludf.DUMMYFUNCTION("""COMPUTED_VALUE"""),"Старый Центр, потом на бульвар Строителей. ")</f>
        <v>Старый Центр, потом на бульвар Строителей. </v>
      </c>
      <c r="Y1301" s="6" t="str">
        <f>IFERROR(__xludf.DUMMYFUNCTION("""COMPUTED_VALUE"""),"Ничего не припомнил. ")</f>
        <v>Ничего не припомнил. </v>
      </c>
      <c r="Z1301" s="6" t="str">
        <f>IFERROR(__xludf.DUMMYFUNCTION("""COMPUTED_VALUE"""),"Никакие. ")</f>
        <v>Никакие. </v>
      </c>
      <c r="AA1301" s="6" t="str">
        <f>IFERROR(__xludf.DUMMYFUNCTION("""COMPUTED_VALUE"""),"Никакие. ")</f>
        <v>Никакие. </v>
      </c>
      <c r="AB1301" s="6" t="str">
        <f>IFERROR(__xludf.DUMMYFUNCTION("""COMPUTED_VALUE"""),"Мне хватает всех. ")</f>
        <v>Мне хватает всех. </v>
      </c>
      <c r="AC1301" s="6" t="str">
        <f>IFERROR(__xludf.DUMMYFUNCTION("""COMPUTED_VALUE"""),"Нам необходимы грамотные управленческие решения. Мероприятиями делу не поможешь. ")</f>
        <v>Нам необходимы грамотные управленческие решения. Мероприятиями делу не поможешь. </v>
      </c>
      <c r="AD130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301" s="6" t="str">
        <f>IFERROR(__xludf.DUMMYFUNCTION("""COMPUTED_VALUE"""),"Мужской")</f>
        <v>Мужской</v>
      </c>
      <c r="AF1301" s="6" t="str">
        <f>IFERROR(__xludf.DUMMYFUNCTION("""COMPUTED_VALUE"""),"30-44")</f>
        <v>30-44</v>
      </c>
      <c r="AG1301" s="6"/>
      <c r="AH1301" s="6"/>
      <c r="AI1301" s="6"/>
      <c r="AJ1301" s="6"/>
      <c r="AK1301" s="6"/>
      <c r="AL1301" s="6"/>
      <c r="AM1301" s="6"/>
    </row>
    <row r="1302">
      <c r="A1302" s="6">
        <v>1301.0</v>
      </c>
      <c r="B1302" s="6" t="str">
        <f>IFERROR(__xludf.DUMMYFUNCTION("""COMPUTED_VALUE"""),"работа в банке")</f>
        <v>работа в банке</v>
      </c>
      <c r="C1302" s="6" t="str">
        <f>IFERROR(__xludf.DUMMYFUNCTION("""COMPUTED_VALUE"""),"прогулки с детьми пешком, на велосипеде, самокате и роликах")</f>
        <v>прогулки с детьми пешком, на велосипеде, самокате и роликах</v>
      </c>
      <c r="D1302" s="6" t="str">
        <f>IFERROR(__xludf.DUMMYFUNCTION("""COMPUTED_VALUE"""),"кировский- Богом забытый, никакой цивилизации")</f>
        <v>кировский- Богом забытый, никакой цивилизации</v>
      </c>
      <c r="E1302" s="6" t="str">
        <f>IFERROR(__xludf.DUMMYFUNCTION("""COMPUTED_VALUE"""),"набережная и всё ")</f>
        <v>набережная и всё </v>
      </c>
      <c r="F1302" s="6" t="str">
        <f>IFERROR(__xludf.DUMMYFUNCTION("""COMPUTED_VALUE"""),"Переехал сюда из другого места (откуда? укажите в графе другое), из Тяжина учиться")</f>
        <v>Переехал сюда из другого места (откуда? укажите в графе другое), из Тяжина учиться</v>
      </c>
      <c r="G1302" s="6" t="str">
        <f>IFERROR(__xludf.DUMMYFUNCTION("""COMPUTED_VALUE"""),"парки")</f>
        <v>парки</v>
      </c>
      <c r="H1302" s="6" t="str">
        <f>IFERROR(__xludf.DUMMYFUNCTION("""COMPUTED_VALUE"""),"парк, детские площадки, много цветов на улицах")</f>
        <v>парк, детские площадки, много цветов на улицах</v>
      </c>
      <c r="I1302" s="6" t="str">
        <f>IFERROR(__xludf.DUMMYFUNCTION("""COMPUTED_VALUE"""),"леонов")</f>
        <v>леонов</v>
      </c>
      <c r="J1302" s="6" t="str">
        <f>IFERROR(__xludf.DUMMYFUNCTION("""COMPUTED_VALUE"""),"тулеев")</f>
        <v>тулеев</v>
      </c>
      <c r="K1302" s="6" t="str">
        <f>IFERROR(__xludf.DUMMYFUNCTION("""COMPUTED_VALUE"""),"шахтер с горящим сердцем, набережные на разных берегах")</f>
        <v>шахтер с горящим сердцем, набережные на разных берегах</v>
      </c>
      <c r="L1302" s="6" t="str">
        <f>IFERROR(__xludf.DUMMYFUNCTION("""COMPUTED_VALUE"""),"не знаю ")</f>
        <v>не знаю </v>
      </c>
      <c r="M1302" s="6" t="str">
        <f>IFERROR(__xludf.DUMMYFUNCTION("""COMPUTED_VALUE"""),"нет")</f>
        <v>нет</v>
      </c>
      <c r="N1302" s="6" t="str">
        <f>IFERROR(__xludf.DUMMYFUNCTION("""COMPUTED_VALUE"""),"газон, асфальт и зона парка для прогулок")</f>
        <v>газон, асфальт и зона парка для прогулок</v>
      </c>
      <c r="O1302" s="6" t="str">
        <f>IFERROR(__xludf.DUMMYFUNCTION("""COMPUTED_VALUE"""),"много комфортных уголков по улице, лавок, света")</f>
        <v>много комфортных уголков по улице, лавок, света</v>
      </c>
      <c r="P1302" s="6" t="str">
        <f>IFERROR(__xludf.DUMMYFUNCTION("""COMPUTED_VALUE"""),"афиша, кузбасс онлайн")</f>
        <v>афиша, кузбасс онлайн</v>
      </c>
      <c r="Q1302"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302" s="6" t="str">
        <f>IFERROR(__xludf.DUMMYFUNCTION("""COMPUTED_VALUE"""),"день города и день шахтера")</f>
        <v>день города и день шахтера</v>
      </c>
      <c r="S1302" s="6" t="str">
        <f>IFERROR(__xludf.DUMMYFUNCTION("""COMPUTED_VALUE"""),"Нет, не приходилось")</f>
        <v>Нет, не приходилось</v>
      </c>
      <c r="T1302" s="6" t="str">
        <f>IFERROR(__xludf.DUMMYFUNCTION("""COMPUTED_VALUE"""),"ничего ")</f>
        <v>ничего </v>
      </c>
      <c r="U1302" s="6" t="str">
        <f>IFERROR(__xludf.DUMMYFUNCTION("""COMPUTED_VALUE"""),"драмтеатр и пл советов")</f>
        <v>драмтеатр и пл советов</v>
      </c>
      <c r="V1302" s="6" t="str">
        <f>IFERROR(__xludf.DUMMYFUNCTION("""COMPUTED_VALUE"""),"много сделал тулеев")</f>
        <v>много сделал тулеев</v>
      </c>
      <c r="W1302" s="6" t="str">
        <f>IFERROR(__xludf.DUMMYFUNCTION("""COMPUTED_VALUE"""),"задумчивые, без спешки")</f>
        <v>задумчивые, без спешки</v>
      </c>
      <c r="X1302" s="6" t="str">
        <f>IFERROR(__xludf.DUMMYFUNCTION("""COMPUTED_VALUE"""),"пр советский, бр строителей")</f>
        <v>пр советский, бр строителей</v>
      </c>
      <c r="Y1302" s="6" t="str">
        <f>IFERROR(__xludf.DUMMYFUNCTION("""COMPUTED_VALUE"""),"не в курсе")</f>
        <v>не в курсе</v>
      </c>
      <c r="Z1302" s="6" t="str">
        <f>IFERROR(__xludf.DUMMYFUNCTION("""COMPUTED_VALUE"""),"нет таких")</f>
        <v>нет таких</v>
      </c>
      <c r="AA1302" s="6" t="str">
        <f>IFERROR(__xludf.DUMMYFUNCTION("""COMPUTED_VALUE"""),"на день города на драмтеатре лавки дополнительно в 2-3ряда стояли для зрителей, а в кировский приехали- лавки перегородили милиция лентами на 3 метра по периметру, все стоя смотрят выступление у дк кировского!!!это как вообще? здесь нет бабушек и детей, к"&amp;"оторые не могут долго на ногах, или здесь НЕЛЮДИ живут?")</f>
        <v>на день города на драмтеатре лавки дополнительно в 2-3ряда стояли для зрителей, а в кировский приехали- лавки перегородили милиция лентами на 3 метра по периметру, все стоя смотрят выступление у дк кировского!!!это как вообще? здесь нет бабушек и детей, которые не могут долго на ногах, или здесь НЕЛЮДИ живут?</v>
      </c>
      <c r="AB1302" s="6" t="str">
        <f>IFERROR(__xludf.DUMMYFUNCTION("""COMPUTED_VALUE"""),"по сплочению горожан и патриотизма")</f>
        <v>по сплочению горожан и патриотизма</v>
      </c>
      <c r="AC1302" s="6" t="str">
        <f>IFERROR(__xludf.DUMMYFUNCTION("""COMPUTED_VALUE"""),"детские праздники ")</f>
        <v>детские праздники </v>
      </c>
      <c r="AD130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02" s="6" t="str">
        <f>IFERROR(__xludf.DUMMYFUNCTION("""COMPUTED_VALUE"""),"Женский")</f>
        <v>Женский</v>
      </c>
      <c r="AF1302" s="6" t="str">
        <f>IFERROR(__xludf.DUMMYFUNCTION("""COMPUTED_VALUE"""),"30-44")</f>
        <v>30-44</v>
      </c>
      <c r="AG1302" s="6"/>
      <c r="AH1302" s="6"/>
      <c r="AI1302" s="6"/>
      <c r="AJ1302" s="6"/>
      <c r="AK1302" s="6"/>
      <c r="AL1302" s="6"/>
      <c r="AM1302" s="6"/>
    </row>
    <row r="1303">
      <c r="A1303" s="6">
        <v>1302.0</v>
      </c>
      <c r="B1303" s="6" t="str">
        <f>IFERROR(__xludf.DUMMYFUNCTION("""COMPUTED_VALUE"""),"Медработник ")</f>
        <v>Медработник </v>
      </c>
      <c r="C1303" s="6" t="str">
        <f>IFERROR(__xludf.DUMMYFUNCTION("""COMPUTED_VALUE"""),"Самокат,  бассейн ")</f>
        <v>Самокат,  бассейн </v>
      </c>
      <c r="D1303" s="6" t="str">
        <f>IFERROR(__xludf.DUMMYFUNCTION("""COMPUTED_VALUE"""),"Рудничный ")</f>
        <v>Рудничный </v>
      </c>
      <c r="E1303" s="6" t="str">
        <f>IFERROR(__xludf.DUMMYFUNCTION("""COMPUTED_VALUE"""),"Сосновый бор,  Парк у кадетки ")</f>
        <v>Сосновый бор,  Парк у кадетки </v>
      </c>
      <c r="F1303" s="6" t="str">
        <f>IFERROR(__xludf.DUMMYFUNCTION("""COMPUTED_VALUE"""),"Живу здесь с рождения")</f>
        <v>Живу здесь с рождения</v>
      </c>
      <c r="G1303" s="6" t="str">
        <f>IFERROR(__xludf.DUMMYFUNCTION("""COMPUTED_VALUE"""),"В бор, в комсомольской парк,  к кадетскоку ")</f>
        <v>В бор, в комсомольской парк,  к кадетскоку </v>
      </c>
      <c r="H1303" s="6" t="str">
        <f>IFERROR(__xludf.DUMMYFUNCTION("""COMPUTED_VALUE"""),"Мусор  пыль грязь безработица бардак ")</f>
        <v>Мусор  пыль грязь безработица бардак </v>
      </c>
      <c r="I1303" s="6" t="str">
        <f>IFERROR(__xludf.DUMMYFUNCTION("""COMPUTED_VALUE"""),"Волков ")</f>
        <v>Волков </v>
      </c>
      <c r="J1303" s="6" t="str">
        <f>IFERROR(__xludf.DUMMYFUNCTION("""COMPUTED_VALUE"""),"Тулеев")</f>
        <v>Тулеев</v>
      </c>
      <c r="K1303" s="6" t="str">
        <f>IFERROR(__xludf.DUMMYFUNCTION("""COMPUTED_VALUE"""),"Кадетку ")</f>
        <v>Кадетку </v>
      </c>
      <c r="L1303" s="6" t="str">
        <f>IFERROR(__xludf.DUMMYFUNCTION("""COMPUTED_VALUE"""),"Оооооо")</f>
        <v>Оооооо</v>
      </c>
      <c r="M1303" s="6" t="str">
        <f>IFERROR(__xludf.DUMMYFUNCTION("""COMPUTED_VALUE"""),"Нет")</f>
        <v>Нет</v>
      </c>
      <c r="N1303" s="6" t="str">
        <f>IFERROR(__xludf.DUMMYFUNCTION("""COMPUTED_VALUE"""),"Трамвай ходит")</f>
        <v>Трамвай ходит</v>
      </c>
      <c r="O1303" s="6" t="str">
        <f>IFERROR(__xludf.DUMMYFUNCTION("""COMPUTED_VALUE"""),"Сделать парк на Рудуге , совсем не где покататься на самокате и велосипеде   приходится все собирать содиться в машину и ехать в кадетку кататься,  позор...")</f>
        <v>Сделать парк на Рудуге , совсем не где покататься на самокате и велосипеде   приходится все собирать содиться в машину и ехать в кадетку кататься,  позор...</v>
      </c>
      <c r="P1303" s="6" t="str">
        <f>IFERROR(__xludf.DUMMYFUNCTION("""COMPUTED_VALUE"""),"Инстаграм")</f>
        <v>Инстаграм</v>
      </c>
      <c r="Q1303"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1303" s="6" t="str">
        <f>IFERROR(__xludf.DUMMYFUNCTION("""COMPUTED_VALUE"""),"9 мая ")</f>
        <v>9 мая </v>
      </c>
      <c r="S1303" s="6" t="str">
        <f>IFERROR(__xludf.DUMMYFUNCTION("""COMPUTED_VALUE"""),"Нет, не приходилось")</f>
        <v>Нет, не приходилось</v>
      </c>
      <c r="T1303" s="6" t="str">
        <f>IFERROR(__xludf.DUMMYFUNCTION("""COMPUTED_VALUE"""),"Безденежье ")</f>
        <v>Безденежье </v>
      </c>
      <c r="U1303" s="6" t="str">
        <f>IFERROR(__xludf.DUMMYFUNCTION("""COMPUTED_VALUE"""),"Площадь советов ")</f>
        <v>Площадь советов </v>
      </c>
      <c r="V1303" s="6" t="str">
        <f>IFERROR(__xludf.DUMMYFUNCTION("""COMPUTED_VALUE"""),"Трудились ")</f>
        <v>Трудились </v>
      </c>
      <c r="W1303" s="6" t="str">
        <f>IFERROR(__xludf.DUMMYFUNCTION("""COMPUTED_VALUE"""),"Свиньи ")</f>
        <v>Свиньи </v>
      </c>
      <c r="X1303" s="6" t="str">
        <f>IFERROR(__xludf.DUMMYFUNCTION("""COMPUTED_VALUE"""),"Нет такого ")</f>
        <v>Нет такого </v>
      </c>
      <c r="Y1303" s="6" t="str">
        <f>IFERROR(__xludf.DUMMYFUNCTION("""COMPUTED_VALUE"""),"Зимняя вишня ")</f>
        <v>Зимняя вишня </v>
      </c>
      <c r="Z1303" s="6" t="str">
        <f>IFERROR(__xludf.DUMMYFUNCTION("""COMPUTED_VALUE"""),"Нет такого")</f>
        <v>Нет такого</v>
      </c>
      <c r="AA1303" s="6" t="str">
        <f>IFERROR(__xludf.DUMMYFUNCTION("""COMPUTED_VALUE"""),"Акции протеста ")</f>
        <v>Акции протеста </v>
      </c>
      <c r="AB1303" s="6" t="str">
        <f>IFERROR(__xludf.DUMMYFUNCTION("""COMPUTED_VALUE"""),"Нет таких")</f>
        <v>Нет таких</v>
      </c>
      <c r="AC1303" s="6" t="str">
        <f>IFERROR(__xludf.DUMMYFUNCTION("""COMPUTED_VALUE"""),"Детский досуг")</f>
        <v>Детский досуг</v>
      </c>
      <c r="AD130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03" s="6" t="str">
        <f>IFERROR(__xludf.DUMMYFUNCTION("""COMPUTED_VALUE"""),"Женский")</f>
        <v>Женский</v>
      </c>
      <c r="AF1303" s="6" t="str">
        <f>IFERROR(__xludf.DUMMYFUNCTION("""COMPUTED_VALUE"""),"30-44")</f>
        <v>30-44</v>
      </c>
      <c r="AG1303" s="6"/>
      <c r="AH1303" s="6"/>
      <c r="AI1303" s="6"/>
      <c r="AJ1303" s="6"/>
      <c r="AK1303" s="6"/>
      <c r="AL1303" s="6"/>
      <c r="AM1303" s="6"/>
    </row>
    <row r="1304">
      <c r="A1304" s="6">
        <v>1303.0</v>
      </c>
      <c r="B1304" s="6" t="str">
        <f>IFERROR(__xludf.DUMMYFUNCTION("""COMPUTED_VALUE"""),"Медработник ")</f>
        <v>Медработник </v>
      </c>
      <c r="C1304" s="6" t="str">
        <f>IFERROR(__xludf.DUMMYFUNCTION("""COMPUTED_VALUE"""),"Самокат,  бассейн ")</f>
        <v>Самокат,  бассейн </v>
      </c>
      <c r="D1304" s="6" t="str">
        <f>IFERROR(__xludf.DUMMYFUNCTION("""COMPUTED_VALUE"""),"Рудничный ")</f>
        <v>Рудничный </v>
      </c>
      <c r="E1304" s="6" t="str">
        <f>IFERROR(__xludf.DUMMYFUNCTION("""COMPUTED_VALUE"""),"Сосновый бор,  Парк у кадетки ")</f>
        <v>Сосновый бор,  Парк у кадетки </v>
      </c>
      <c r="F1304" s="6" t="str">
        <f>IFERROR(__xludf.DUMMYFUNCTION("""COMPUTED_VALUE"""),"Живу здесь с рождения")</f>
        <v>Живу здесь с рождения</v>
      </c>
      <c r="G1304" s="6" t="str">
        <f>IFERROR(__xludf.DUMMYFUNCTION("""COMPUTED_VALUE"""),"В бор, в комсомольской парк,  к кадетскоку ")</f>
        <v>В бор, в комсомольской парк,  к кадетскоку </v>
      </c>
      <c r="H1304" s="6" t="str">
        <f>IFERROR(__xludf.DUMMYFUNCTION("""COMPUTED_VALUE"""),"Мусор  пыль грязь безработица бардак ")</f>
        <v>Мусор  пыль грязь безработица бардак </v>
      </c>
      <c r="I1304" s="6" t="str">
        <f>IFERROR(__xludf.DUMMYFUNCTION("""COMPUTED_VALUE"""),"Волков ")</f>
        <v>Волков </v>
      </c>
      <c r="J1304" s="6" t="str">
        <f>IFERROR(__xludf.DUMMYFUNCTION("""COMPUTED_VALUE"""),"Тулеев")</f>
        <v>Тулеев</v>
      </c>
      <c r="K1304" s="6" t="str">
        <f>IFERROR(__xludf.DUMMYFUNCTION("""COMPUTED_VALUE"""),"Кадетку ")</f>
        <v>Кадетку </v>
      </c>
      <c r="L1304" s="6" t="str">
        <f>IFERROR(__xludf.DUMMYFUNCTION("""COMPUTED_VALUE"""),"Оооооо")</f>
        <v>Оооооо</v>
      </c>
      <c r="M1304" s="6" t="str">
        <f>IFERROR(__xludf.DUMMYFUNCTION("""COMPUTED_VALUE"""),"Нет")</f>
        <v>Нет</v>
      </c>
      <c r="N1304" s="6" t="str">
        <f>IFERROR(__xludf.DUMMYFUNCTION("""COMPUTED_VALUE"""),"Трамвай ходит")</f>
        <v>Трамвай ходит</v>
      </c>
      <c r="O1304" s="6" t="str">
        <f>IFERROR(__xludf.DUMMYFUNCTION("""COMPUTED_VALUE"""),"Сделать парк на Рудуге , совсем не где покататься на самокате и велосипеде   приходится все собирать содиться в машину и ехать в кадетку кататься,  позор...")</f>
        <v>Сделать парк на Рудуге , совсем не где покататься на самокате и велосипеде   приходится все собирать содиться в машину и ехать в кадетку кататься,  позор...</v>
      </c>
      <c r="P1304" s="6" t="str">
        <f>IFERROR(__xludf.DUMMYFUNCTION("""COMPUTED_VALUE"""),"Инстаграм")</f>
        <v>Инстаграм</v>
      </c>
      <c r="Q1304"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1304" s="6" t="str">
        <f>IFERROR(__xludf.DUMMYFUNCTION("""COMPUTED_VALUE"""),"9 мая ")</f>
        <v>9 мая </v>
      </c>
      <c r="S1304" s="6" t="str">
        <f>IFERROR(__xludf.DUMMYFUNCTION("""COMPUTED_VALUE"""),"Нет, не приходилось")</f>
        <v>Нет, не приходилось</v>
      </c>
      <c r="T1304" s="6" t="str">
        <f>IFERROR(__xludf.DUMMYFUNCTION("""COMPUTED_VALUE"""),"Безденежье ")</f>
        <v>Безденежье </v>
      </c>
      <c r="U1304" s="6" t="str">
        <f>IFERROR(__xludf.DUMMYFUNCTION("""COMPUTED_VALUE"""),"Площадь советов ")</f>
        <v>Площадь советов </v>
      </c>
      <c r="V1304" s="6" t="str">
        <f>IFERROR(__xludf.DUMMYFUNCTION("""COMPUTED_VALUE"""),"Трудились ")</f>
        <v>Трудились </v>
      </c>
      <c r="W1304" s="6" t="str">
        <f>IFERROR(__xludf.DUMMYFUNCTION("""COMPUTED_VALUE"""),"Свиньи ")</f>
        <v>Свиньи </v>
      </c>
      <c r="X1304" s="6" t="str">
        <f>IFERROR(__xludf.DUMMYFUNCTION("""COMPUTED_VALUE"""),"Нет такого ")</f>
        <v>Нет такого </v>
      </c>
      <c r="Y1304" s="6" t="str">
        <f>IFERROR(__xludf.DUMMYFUNCTION("""COMPUTED_VALUE"""),"Зимняя вишня ")</f>
        <v>Зимняя вишня </v>
      </c>
      <c r="Z1304" s="6" t="str">
        <f>IFERROR(__xludf.DUMMYFUNCTION("""COMPUTED_VALUE"""),"Нет такого")</f>
        <v>Нет такого</v>
      </c>
      <c r="AA1304" s="6" t="str">
        <f>IFERROR(__xludf.DUMMYFUNCTION("""COMPUTED_VALUE"""),"Акции протеста ")</f>
        <v>Акции протеста </v>
      </c>
      <c r="AB1304" s="6" t="str">
        <f>IFERROR(__xludf.DUMMYFUNCTION("""COMPUTED_VALUE"""),"Нет таких")</f>
        <v>Нет таких</v>
      </c>
      <c r="AC1304" s="6" t="str">
        <f>IFERROR(__xludf.DUMMYFUNCTION("""COMPUTED_VALUE"""),"Детский досуг")</f>
        <v>Детский досуг</v>
      </c>
      <c r="AD130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04" s="6" t="str">
        <f>IFERROR(__xludf.DUMMYFUNCTION("""COMPUTED_VALUE"""),"Женский")</f>
        <v>Женский</v>
      </c>
      <c r="AF1304" s="6" t="str">
        <f>IFERROR(__xludf.DUMMYFUNCTION("""COMPUTED_VALUE"""),"30-44")</f>
        <v>30-44</v>
      </c>
      <c r="AG1304" s="6"/>
      <c r="AH1304" s="6"/>
      <c r="AI1304" s="6"/>
      <c r="AJ1304" s="6"/>
      <c r="AK1304" s="6"/>
      <c r="AL1304" s="6"/>
      <c r="AM1304" s="6"/>
    </row>
    <row r="1305">
      <c r="A1305" s="6">
        <v>1304.0</v>
      </c>
      <c r="B1305" s="6" t="str">
        <f>IFERROR(__xludf.DUMMYFUNCTION("""COMPUTED_VALUE"""),"Я временно не работаю. ")</f>
        <v>Я временно не работаю. </v>
      </c>
      <c r="C1305" s="6" t="str">
        <f>IFERROR(__xludf.DUMMYFUNCTION("""COMPUTED_VALUE"""),"Плавание ")</f>
        <v>Плавание </v>
      </c>
      <c r="D1305" s="6" t="str">
        <f>IFERROR(__xludf.DUMMYFUNCTION("""COMPUTED_VALUE"""),"Рудничный. Живу на два города. ")</f>
        <v>Рудничный. Живу на два города. </v>
      </c>
      <c r="E1305" s="6" t="str">
        <f>IFERROR(__xludf.DUMMYFUNCTION("""COMPUTED_VALUE"""),"Сосновый Бор ")</f>
        <v>Сосновый Бор </v>
      </c>
      <c r="F1305" s="6" t="str">
        <f>IFERROR(__xludf.DUMMYFUNCTION("""COMPUTED_VALUE"""),"Живу здесь с рождения")</f>
        <v>Живу здесь с рождения</v>
      </c>
      <c r="G1305" s="6" t="str">
        <f>IFERROR(__xludf.DUMMYFUNCTION("""COMPUTED_VALUE"""),"В бор ")</f>
        <v>В бор </v>
      </c>
      <c r="H1305" s="6" t="str">
        <f>IFERROR(__xludf.DUMMYFUNCTION("""COMPUTED_VALUE"""),"Уголь, тайга, Тулеев, шахтёр, Томь ")</f>
        <v>Уголь, тайга, Тулеев, шахтёр, Томь </v>
      </c>
      <c r="I1305" s="6" t="str">
        <f>IFERROR(__xludf.DUMMYFUNCTION("""COMPUTED_VALUE"""),"Вера Волошина, Леонов, М.Волков, Ракитянский. Из руководителей региона и города, считаю, что Тулеев и Михайлов. ")</f>
        <v>Вера Волошина, Леонов, М.Волков, Ракитянский. Из руководителей региона и города, считаю, что Тулеев и Михайлов. </v>
      </c>
      <c r="J1305" s="6" t="str">
        <f>IFERROR(__xludf.DUMMYFUNCTION("""COMPUTED_VALUE"""),"Я считаю, что действующий мэр и губернатор очень достойные руководители. Город развивается и они очень хорошо справляются со своими задачами и виден результат.  Тулеев и Михайлов тоже очень достойные люди. 
")</f>
        <v>Я считаю, что действующий мэр и губернатор очень достойные руководители. Город развивается и они очень хорошо справляются со своими задачами и виден результат.  Тулеев и Михайлов тоже очень достойные люди. 
</v>
      </c>
      <c r="K1305" s="6" t="str">
        <f>IFERROR(__xludf.DUMMYFUNCTION("""COMPUTED_VALUE"""),"Памятник М. Волкова, музей  Красная Горка, ресторан Забой. По моему мнению, всем гостям города было бы интересно посмотреть, как идёт добыча угля, увидеть угольный разрез с высоты, спуститься в шахту. Может имеет смысл сделать какую- нибудь «туристическую"&amp;"» шахту. ")</f>
        <v>Памятник М. Волкова, музей  Красная Горка, ресторан Забой. По моему мнению, всем гостям города было бы интересно посмотреть, как идёт добыча угля, увидеть угольный разрез с высоты, спуститься в шахту. Может имеет смысл сделать какую- нибудь «туристическую» шахту. </v>
      </c>
      <c r="L1305" s="6" t="str">
        <f>IFERROR(__xludf.DUMMYFUNCTION("""COMPUTED_VALUE"""),"На ум приходит истории про стахановское движение, трудовые рекорды шахтеров. ")</f>
        <v>На ум приходит истории про стахановское движение, трудовые рекорды шахтеров. </v>
      </c>
      <c r="M1305" s="6" t="str">
        <f>IFERROR(__xludf.DUMMYFUNCTION("""COMPUTED_VALUE"""),"Нет, не знаю. ")</f>
        <v>Нет, не знаю. </v>
      </c>
      <c r="N1305" s="6" t="str">
        <f>IFERROR(__xludf.DUMMYFUNCTION("""COMPUTED_VALUE"""),"Экология, качественные дороги    Места досуга в шаговой доступности, парковые зоны в каждом районе, хорошая работа управляющих компаний и органов власти и возможность оперативно решать вопросы. ")</f>
        <v>Экология, качественные дороги    Места досуга в шаговой доступности, парковые зоны в каждом районе, хорошая работа управляющих компаний и органов власти и возможность оперативно решать вопросы. </v>
      </c>
      <c r="O1305" s="6" t="str">
        <f>IFERROR(__xludf.DUMMYFUNCTION("""COMPUTED_VALUE"""),"Экологию. Считаю, что город успешно развивается, но экология заставляет задуматься о переезде. Считаю, что нужно отходить от печного отопления в частном секторе и переходить на газ. Также нужно расширять город за счёт присоединения территорий района. Нужн"&amp;"ы бассейны в каждом районе города.Очень  важно, чтобы власть слышала людей и почаще выходила «в люди» и спрашивала о проблемах у горожан.  Чиновников и сотрудников муниципальных и областных учреждений необходимо учить вежливости и пониманию проблем людей,"&amp;" относится не формально к своим обязанностям. Не заниматься отписками, а реально решать проблемы. ")</f>
        <v>Экологию. Считаю, что город успешно развивается, но экология заставляет задуматься о переезде. Считаю, что нужно отходить от печного отопления в частном секторе и переходить на газ. Также нужно расширять город за счёт присоединения территорий района. Нужны бассейны в каждом районе города.Очень  важно, чтобы власть слышала людей и почаще выходила «в люди» и спрашивала о проблемах у горожан.  Чиновников и сотрудников муниципальных и областных учреждений необходимо учить вежливости и пониманию проблем людей, относится не формально к своим обязанностям. Не заниматься отписками, а реально решать проблемы. </v>
      </c>
      <c r="P1305" s="6" t="str">
        <f>IFERROR(__xludf.DUMMYFUNCTION("""COMPUTED_VALUE"""),"Интернет, Инстаграм")</f>
        <v>Интернет, Инстаграм</v>
      </c>
      <c r="Q1305" s="6" t="str">
        <f>IFERROR(__xludf.DUMMYFUNCTION("""COMPUTED_VALUE"""),"городская афиша (кино/театр/концерты), интервью с местными политиками,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интервью с экспертами"&amp;" на разные темы (напишите в разделе Другое свои предложения)")</f>
        <v>городская афиша (кино/театр/концерты), интервью с местными политиками,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305" s="6" t="str">
        <f>IFERROR(__xludf.DUMMYFUNCTION("""COMPUTED_VALUE"""),"День города ")</f>
        <v>День города </v>
      </c>
      <c r="S1305" s="6" t="str">
        <f>IFERROR(__xludf.DUMMYFUNCTION("""COMPUTED_VALUE"""),"Нет, не приходилось")</f>
        <v>Нет, не приходилось</v>
      </c>
      <c r="T1305" s="6" t="str">
        <f>IFERROR(__xludf.DUMMYFUNCTION("""COMPUTED_VALUE"""),"Знаменит наличием месторождений угля. В настоящее время, я думаю, имеет большой потенциал для развития. ")</f>
        <v>Знаменит наличием месторождений угля. В настоящее время, я думаю, имеет большой потенциал для развития. </v>
      </c>
      <c r="U1305" s="6" t="str">
        <f>IFERROR(__xludf.DUMMYFUNCTION("""COMPUTED_VALUE"""),"Площадь Советов ")</f>
        <v>Площадь Советов </v>
      </c>
      <c r="V1305" s="6" t="str">
        <f>IFERROR(__xludf.DUMMYFUNCTION("""COMPUTED_VALUE"""),"Много и упорно трудились. Много в области шахтерских династий трудились и сейчас трудятся на угольных предприятиях Кузбасса. ")</f>
        <v>Много и упорно трудились. Много в области шахтерских династий трудились и сейчас трудятся на угольных предприятиях Кузбасса. </v>
      </c>
      <c r="W1305" s="6" t="str">
        <f>IFERROR(__xludf.DUMMYFUNCTION("""COMPUTED_VALUE"""),"Кемеровчане ассоциируются с шахтерами, следовательно, обладают силой духа, смелостью, добротой, простотой, героизмом. ")</f>
        <v>Кемеровчане ассоциируются с шахтерами, следовательно, обладают силой духа, смелостью, добротой, простотой, героизмом. </v>
      </c>
      <c r="X1305" s="6" t="str">
        <f>IFERROR(__xludf.DUMMYFUNCTION("""COMPUTED_VALUE"""),"Я думаю , это будут новые маршруты по созданным к 300-летию Кузбасса объектам. На мой взгляд, центр города не очень интересен. ")</f>
        <v>Я думаю , это будут новые маршруты по созданным к 300-летию Кузбасса объектам. На мой взгляд, центр города не очень интересен. </v>
      </c>
      <c r="Y1305" s="6" t="str">
        <f>IFERROR(__xludf.DUMMYFUNCTION("""COMPUTED_VALUE"""),"Исторически важно, что в 20 годы иностранные рабочие АИК «Кузбасс» реанимировали промышленность нашего региона и фактически положили начало Кузбассу. ")</f>
        <v>Исторически важно, что в 20 годы иностранные рабочие АИК «Кузбасс» реанимировали промышленность нашего региона и фактически положили начало Кузбассу. </v>
      </c>
      <c r="Z1305" s="6" t="str">
        <f>IFERROR(__xludf.DUMMYFUNCTION("""COMPUTED_VALUE"""),"Все события, которые связаны со строительством новых объектов и организацией новых рабочих мест. Также события, направленные на поддержку предпринимателей. Радуют события о выделении федеральных денег на реализацию крупных региональных проектов. ")</f>
        <v>Все события, которые связаны со строительством новых объектов и организацией новых рабочих мест. Также события, направленные на поддержку предпринимателей. Радуют события о выделении федеральных денег на реализацию крупных региональных проектов. </v>
      </c>
      <c r="AA1305" s="6" t="str">
        <f>IFERROR(__xludf.DUMMYFUNCTION("""COMPUTED_VALUE"""),"Трагедия в Зимней вишне, также негативную реакцию вызывают новости о невыплате заработной платы на предприятиях угольной промышленности. Считаю, что труд Шахтеров должен всегда высоко и своевременно оплачиваться. ")</f>
        <v>Трагедия в Зимней вишне, также негативную реакцию вызывают новости о невыплате заработной платы на предприятиях угольной промышленности. Считаю, что труд Шахтеров должен всегда высоко и своевременно оплачиваться. </v>
      </c>
      <c r="AB1305" s="6" t="str">
        <f>IFERROR(__xludf.DUMMYFUNCTION("""COMPUTED_VALUE"""),"Сообществ для подростков, возможно каких- то волонтерских. ")</f>
        <v>Сообществ для подростков, возможно каких- то волонтерских. </v>
      </c>
      <c r="AC1305" s="6" t="str">
        <f>IFERROR(__xludf.DUMMYFUNCTION("""COMPUTED_VALUE"""),"Считаю, что нужно как можно больше спортивных и развлекательных мероприятий для детей и подростков. ")</f>
        <v>Считаю, что нужно как можно больше спортивных и развлекательных мероприятий для детей и подростков. </v>
      </c>
      <c r="AD1305" s="6" t="str">
        <f>IFERROR(__xludf.DUMMYFUNCTION("""COMPUTED_VALUE"""),"Волонтера: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305" s="6" t="str">
        <f>IFERROR(__xludf.DUMMYFUNCTION("""COMPUTED_VALUE"""),"Женский")</f>
        <v>Женский</v>
      </c>
      <c r="AF1305" s="6" t="str">
        <f>IFERROR(__xludf.DUMMYFUNCTION("""COMPUTED_VALUE"""),"30-44")</f>
        <v>30-44</v>
      </c>
      <c r="AG1305" s="6"/>
      <c r="AH1305" s="6"/>
      <c r="AI1305" s="6"/>
      <c r="AJ1305" s="6"/>
      <c r="AK1305" s="6"/>
      <c r="AL1305" s="6"/>
      <c r="AM1305" s="6"/>
    </row>
    <row r="1306">
      <c r="A1306" s="6">
        <v>1305.0</v>
      </c>
      <c r="B1306" s="6" t="str">
        <f>IFERROR(__xludf.DUMMYFUNCTION("""COMPUTED_VALUE"""),"ИТ специалист")</f>
        <v>ИТ специалист</v>
      </c>
      <c r="C1306" s="6" t="str">
        <f>IFERROR(__xludf.DUMMYFUNCTION("""COMPUTED_VALUE"""),"Аквариумистика, механика, электроника и др.")</f>
        <v>Аквариумистика, механика, электроника и др.</v>
      </c>
      <c r="D1306" s="6" t="str">
        <f>IFERROR(__xludf.DUMMYFUNCTION("""COMPUTED_VALUE"""),"На Южном")</f>
        <v>На Южном</v>
      </c>
      <c r="E1306" s="6" t="str">
        <f>IFERROR(__xludf.DUMMYFUNCTION("""COMPUTED_VALUE"""),"Ничего особенного, разве что бульвар Патриотов")</f>
        <v>Ничего особенного, разве что бульвар Патриотов</v>
      </c>
      <c r="F1306" s="6" t="str">
        <f>IFERROR(__xludf.DUMMYFUNCTION("""COMPUTED_VALUE"""),"Живу здесь с рождения")</f>
        <v>Живу здесь с рождения</v>
      </c>
      <c r="G1306" s="6" t="str">
        <f>IFERROR(__xludf.DUMMYFUNCTION("""COMPUTED_VALUE"""),"Сосновый бор в рудничном р-не, парк Жукова, набережная, Весенняя, Красная Горка")</f>
        <v>Сосновый бор в рудничном р-не, парк Жукова, набережная, Весенняя, Красная Горка</v>
      </c>
      <c r="H1306" s="6" t="str">
        <f>IFERROR(__xludf.DUMMYFUNCTION("""COMPUTED_VALUE"""),"Уголь, постоянно рассыпающиеся дороги, горсад, полу-разрушенная медицина, бардак в школах, отсутствие мест в дет садах возле дома ")</f>
        <v>Уголь, постоянно рассыпающиеся дороги, горсад, полу-разрушенная медицина, бардак в школах, отсутствие мест в дет садах возле дома </v>
      </c>
      <c r="I1306" s="6" t="str">
        <f>IFERROR(__xludf.DUMMYFUNCTION("""COMPUTED_VALUE"""),"А. Леонов, В. Мартемьянов, М. Подгорбунский, И. Якунин")</f>
        <v>А. Леонов, В. Мартемьянов, М. Подгорбунский, И. Якунин</v>
      </c>
      <c r="J1306" s="6" t="str">
        <f>IFERROR(__xludf.DUMMYFUNCTION("""COMPUTED_VALUE"""),"Нет")</f>
        <v>Нет</v>
      </c>
      <c r="K1306" s="6" t="str">
        <f>IFERROR(__xludf.DUMMYFUNCTION("""COMPUTED_VALUE"""),"Сосновый бор, Красная Горка")</f>
        <v>Сосновый бор, Красная Горка</v>
      </c>
      <c r="L1306" s="6" t="str">
        <f>IFERROR(__xludf.DUMMYFUNCTION("""COMPUTED_VALUE"""),"Он придёт и молча поправит всё, человек из Кемерово")</f>
        <v>Он придёт и молча поправит всё, человек из Кемерово</v>
      </c>
      <c r="M1306" s="6" t="str">
        <f>IFERROR(__xludf.DUMMYFUNCTION("""COMPUTED_VALUE"""),"Нет")</f>
        <v>Нет</v>
      </c>
      <c r="N1306" s="6" t="str">
        <f>IFERROR(__xludf.DUMMYFUNCTION("""COMPUTED_VALUE"""),"Доступная качественная медицина, школьное и дошкольное образование, наличие работы с достойной оплатой, чистые вода и воздух, большое количество парков и алей")</f>
        <v>Доступная качественная медицина, школьное и дошкольное образование, наличие работы с достойной оплатой, чистые вода и воздух, большое количество парков и алей</v>
      </c>
      <c r="O1306" s="6" t="str">
        <f>IFERROR(__xludf.DUMMYFUNCTION("""COMPUTED_VALUE"""),"Навести порядок в здравоохранении и образовании, возродить машиностроение, обследовать дороги и реконструировать некоторые перекрёстки (только на Космической их 3), заняться устройством зелёных зон (например возле ЦНТИ был уютный парк, снесли и построили "&amp;"уродливый магазин)")</f>
        <v>Навести порядок в здравоохранении и образовании, возродить машиностроение, обследовать дороги и реконструировать некоторые перекрёстки (только на Космической их 3), заняться устройством зелёных зон (например возле ЦНТИ был уютный парк, снесли и построили уродливый магазин)</v>
      </c>
      <c r="P1306" s="6" t="str">
        <f>IFERROR(__xludf.DUMMYFUNCTION("""COMPUTED_VALUE"""),"ВК, Кузбасс онлайн, сайты администрации Кемерово и области, радио Кузбасс ФМ")</f>
        <v>ВК, Кузбасс онлайн, сайты администрации Кемерово и области, радио Кузбасс ФМ</v>
      </c>
      <c r="Q1306"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1306" s="6" t="str">
        <f>IFERROR(__xludf.DUMMYFUNCTION("""COMPUTED_VALUE"""),"9 мая, 12 июня")</f>
        <v>9 мая, 12 июня</v>
      </c>
      <c r="S1306" s="6" t="str">
        <f>IFERROR(__xludf.DUMMYFUNCTION("""COMPUTED_VALUE"""),"Нет, не приходилось")</f>
        <v>Нет, не приходилось</v>
      </c>
      <c r="T1306" s="6" t="str">
        <f>IFERROR(__xludf.DUMMYFUNCTION("""COMPUTED_VALUE"""),"Ничего")</f>
        <v>Ничего</v>
      </c>
      <c r="U1306" s="6" t="str">
        <f>IFERROR(__xludf.DUMMYFUNCTION("""COMPUTED_VALUE"""),"Площадь советов или драматический театр")</f>
        <v>Площадь советов или драматический театр</v>
      </c>
      <c r="V1306" s="6" t="str">
        <f>IFERROR(__xludf.DUMMYFUNCTION("""COMPUTED_VALUE"""),"Что было до 1990 года оценить не могу, а после развалили и распродали промышленность города, настроили кучу бесполезных торговых центров. ")</f>
        <v>Что было до 1990 года оценить не могу, а после развалили и распродали промышленность города, настроили кучу бесполезных торговых центров. </v>
      </c>
      <c r="W1306" s="6" t="str">
        <f>IFERROR(__xludf.DUMMYFUNCTION("""COMPUTED_VALUE"""),"-")</f>
        <v>-</v>
      </c>
      <c r="X1306" s="6" t="str">
        <f>IFERROR(__xludf.DUMMYFUNCTION("""COMPUTED_VALUE"""),"Площадь Волкова - Весенняя - набережная - мост - сосновый бор - смотровая площадка в бору")</f>
        <v>Площадь Волкова - Весенняя - набережная - мост - сосновый бор - смотровая площадка в бору</v>
      </c>
      <c r="Y1306" s="6" t="str">
        <f>IFERROR(__xludf.DUMMYFUNCTION("""COMPUTED_VALUE"""),"Открытие угольных рудников, перенос промышленности во время ВОВ")</f>
        <v>Открытие угольных рудников, перенос промышленности во время ВОВ</v>
      </c>
      <c r="Z1306" s="6" t="str">
        <f>IFERROR(__xludf.DUMMYFUNCTION("""COMPUTED_VALUE"""),"Бесплатный концерт легенд рока")</f>
        <v>Бесплатный концерт легенд рока</v>
      </c>
      <c r="AA1306" s="6" t="str">
        <f>IFERROR(__xludf.DUMMYFUNCTION("""COMPUTED_VALUE"""),"Пожар в зимней вишне, рассыпающиеся за 3-4 года после кап ремонта дороги")</f>
        <v>Пожар в зимней вишне, рассыпающиеся за 3-4 года после кап ремонта дороги</v>
      </c>
      <c r="AB1306" s="6" t="str">
        <f>IFERROR(__xludf.DUMMYFUNCTION("""COMPUTED_VALUE"""),"Совета района и города")</f>
        <v>Совета района и города</v>
      </c>
      <c r="AC1306" s="6" t="str">
        <f>IFERROR(__xludf.DUMMYFUNCTION("""COMPUTED_VALUE"""),"-")</f>
        <v>-</v>
      </c>
      <c r="AD130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06" s="6" t="str">
        <f>IFERROR(__xludf.DUMMYFUNCTION("""COMPUTED_VALUE"""),"Мужской")</f>
        <v>Мужской</v>
      </c>
      <c r="AF1306" s="6" t="str">
        <f>IFERROR(__xludf.DUMMYFUNCTION("""COMPUTED_VALUE"""),"30-44")</f>
        <v>30-44</v>
      </c>
      <c r="AG1306" s="6"/>
      <c r="AH1306" s="6"/>
      <c r="AI1306" s="6"/>
      <c r="AJ1306" s="6"/>
      <c r="AK1306" s="6"/>
      <c r="AL1306" s="6"/>
      <c r="AM1306" s="6"/>
    </row>
    <row r="1307">
      <c r="A1307" s="6">
        <v>1306.0</v>
      </c>
      <c r="B1307" s="6" t="str">
        <f>IFERROR(__xludf.DUMMYFUNCTION("""COMPUTED_VALUE"""),"Служащий")</f>
        <v>Служащий</v>
      </c>
      <c r="C1307" s="6" t="str">
        <f>IFERROR(__xludf.DUMMYFUNCTION("""COMPUTED_VALUE"""),"Спорт")</f>
        <v>Спорт</v>
      </c>
      <c r="D1307" s="6" t="str">
        <f>IFERROR(__xludf.DUMMYFUNCTION("""COMPUTED_VALUE"""),"Южный")</f>
        <v>Южный</v>
      </c>
      <c r="E1307" s="6" t="str">
        <f>IFERROR(__xludf.DUMMYFUNCTION("""COMPUTED_VALUE"""),"ДК и бульвар Патриотов")</f>
        <v>ДК и бульвар Патриотов</v>
      </c>
      <c r="F1307" s="6" t="str">
        <f>IFERROR(__xludf.DUMMYFUNCTION("""COMPUTED_VALUE"""),"Живу здесь с рождения")</f>
        <v>Живу здесь с рождения</v>
      </c>
      <c r="G1307" s="6" t="str">
        <f>IFERROR(__xludf.DUMMYFUNCTION("""COMPUTED_VALUE"""),"Весь центр, бульвар Строителей")</f>
        <v>Весь центр, бульвар Строителей</v>
      </c>
      <c r="H1307" s="6" t="str">
        <f>IFERROR(__xludf.DUMMYFUNCTION("""COMPUTED_VALUE"""),"Компактный, уютный, чистый(не во все времена года) провинциальный, родина - родной край")</f>
        <v>Компактный, уютный, чистый(не во все времена года) провинциальный, родина - родной край</v>
      </c>
      <c r="I1307" s="6" t="str">
        <f>IFERROR(__xludf.DUMMYFUNCTION("""COMPUTED_VALUE"""),"Леонов, Масалов, Панин")</f>
        <v>Леонов, Масалов, Панин</v>
      </c>
      <c r="J1307" s="6" t="str">
        <f>IFERROR(__xludf.DUMMYFUNCTION("""COMPUTED_VALUE"""),"Михайлов, Середюк как не странно")</f>
        <v>Михайлов, Середюк как не странно</v>
      </c>
      <c r="K1307" s="6" t="str">
        <f>IFERROR(__xludf.DUMMYFUNCTION("""COMPUTED_VALUE"""),"Красная горка, сосноввй бор")</f>
        <v>Красная горка, сосноввй бор</v>
      </c>
      <c r="L1307" s="6" t="str">
        <f>IFERROR(__xludf.DUMMYFUNCTION("""COMPUTED_VALUE"""),"Не знаю таковых")</f>
        <v>Не знаю таковых</v>
      </c>
      <c r="M1307" s="6" t="str">
        <f>IFERROR(__xludf.DUMMYFUNCTION("""COMPUTED_VALUE"""),"Нете таких")</f>
        <v>Нете таких</v>
      </c>
      <c r="N1307" s="6" t="str">
        <f>IFERROR(__xludf.DUMMYFUNCTION("""COMPUTED_VALUE"""),"Внешний облик домов и дворов, дороги районного значения, ощущение безопасности обеспечивающиеся МВД, коммуналка без проблем и аварий,разнообразие культурных мероприятий (столичные гости)")</f>
        <v>Внешний облик домов и дворов, дороги районного значения, ощущение безопасности обеспечивающиеся МВД, коммуналка без проблем и аварий,разнообразие культурных мероприятий (столичные гости)</v>
      </c>
      <c r="O1307" s="6" t="str">
        <f>IFERROR(__xludf.DUMMYFUNCTION("""COMPUTED_VALUE"""),"ЭКОООГИЮ - 21 век Кокс Грэс Азот Химпром дымят в тихую и думают что граждане верят в сказки сми и местных властей")</f>
        <v>ЭКОООГИЮ - 21 век Кокс Грэс Азот Химпром дымят в тихую и думают что граждане верят в сказки сми и местных властей</v>
      </c>
      <c r="P1307" s="6" t="str">
        <f>IFERROR(__xludf.DUMMYFUNCTION("""COMPUTED_VALUE"""),"Вк и ВГТРК")</f>
        <v>Вк и ВГТРК</v>
      </c>
      <c r="Q1307"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307" s="6" t="str">
        <f>IFERROR(__xludf.DUMMYFUNCTION("""COMPUTED_VALUE"""),"День города День шахтёра молодёжные фестивали (студенческие)")</f>
        <v>День города День шахтёра молодёжные фестивали (студенческие)</v>
      </c>
      <c r="S1307" s="6" t="str">
        <f>IFERROR(__xludf.DUMMYFUNCTION("""COMPUTED_VALUE"""),"Обращался в редакции городских газет, телевидения, радио")</f>
        <v>Обращался в редакции городских газет, телевидения, радио</v>
      </c>
      <c r="T1307" s="6" t="str">
        <f>IFERROR(__xludf.DUMMYFUNCTION("""COMPUTED_VALUE"""),"Добродушными людьми, плохой экологией")</f>
        <v>Добродушными людьми, плохой экологией</v>
      </c>
      <c r="U1307" s="6" t="str">
        <f>IFERROR(__xludf.DUMMYFUNCTION("""COMPUTED_VALUE"""),"Театр Драмы, ул. Весенняя, пл.Пушкина")</f>
        <v>Театр Драмы, ул. Весенняя, пл.Пушкина</v>
      </c>
      <c r="V1307" s="6" t="str">
        <f>IFERROR(__xludf.DUMMYFUNCTION("""COMPUTED_VALUE"""),"Индустриальная направленность города(заводы и комбинаты) Зелёный город большие лесные, парковые посадки Кировский, Сосновый- Радуга")</f>
        <v>Индустриальная направленность города(заводы и комбинаты) Зелёный город большие лесные, парковые посадки Кировский, Сосновый- Радуга</v>
      </c>
      <c r="W1307" s="6" t="str">
        <f>IFERROR(__xludf.DUMMYFUNCTION("""COMPUTED_VALUE"""),"Доброта и безразличие к властьимущим их бездействию на всех уровнях власти от района до горадминистрации")</f>
        <v>Доброта и безразличие к властьимущим их бездействию на всех уровнях власти от района до горадминистрации</v>
      </c>
      <c r="X1307" s="6" t="str">
        <f>IFERROR(__xludf.DUMMYFUNCTION("""COMPUTED_VALUE"""),"Бор сосновый до Красной горки")</f>
        <v>Бор сосновый до Красной горки</v>
      </c>
      <c r="Y1307" s="6" t="str">
        <f>IFERROR(__xludf.DUMMYFUNCTION("""COMPUTED_VALUE"""),"Чм по хоккею с мячём")</f>
        <v>Чм по хоккею с мячём</v>
      </c>
      <c r="Z1307" s="6" t="str">
        <f>IFERROR(__xludf.DUMMYFUNCTION("""COMPUTED_VALUE"""),"Ремонт нашей крыши и концерты столичных звёзд")</f>
        <v>Ремонт нашей крыши и концерты столичных звёзд</v>
      </c>
      <c r="AA1307" s="6" t="str">
        <f>IFERROR(__xludf.DUMMYFUNCTION("""COMPUTED_VALUE"""),"Зимняя вишня хоть 3 года но как вчера, убийство Веры Пехтелевой и бездействие МВД")</f>
        <v>Зимняя вишня хоть 3 года но как вчера, убийство Веры Пехтелевой и бездействие МВД</v>
      </c>
      <c r="AB1307" s="6" t="str">
        <f>IFERROR(__xludf.DUMMYFUNCTION("""COMPUTED_VALUE"""),"Активных граждан разного возраста и статуса без политической подоплёки")</f>
        <v>Активных граждан разного возраста и статуса без политической подоплёки</v>
      </c>
      <c r="AC1307" s="6" t="str">
        <f>IFERROR(__xludf.DUMMYFUNCTION("""COMPUTED_VALUE"""),"Всеросийского масштаба ( финалы спортивных парвенств хоккей футбол) фестивали концерты со столичными гастралёрами")</f>
        <v>Всеросийского масштаба ( финалы спортивных парвенств хоккей футбол) фестивали концерты со столичными гастралёрами</v>
      </c>
      <c r="AD130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"&amp;"участников")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307" s="6" t="str">
        <f>IFERROR(__xludf.DUMMYFUNCTION("""COMPUTED_VALUE"""),"Мужской")</f>
        <v>Мужской</v>
      </c>
      <c r="AF1307" s="6" t="str">
        <f>IFERROR(__xludf.DUMMYFUNCTION("""COMPUTED_VALUE"""),"30-44")</f>
        <v>30-44</v>
      </c>
      <c r="AG1307" s="6"/>
      <c r="AH1307" s="6"/>
      <c r="AI1307" s="6"/>
      <c r="AJ1307" s="6"/>
      <c r="AK1307" s="6"/>
      <c r="AL1307" s="6"/>
      <c r="AM1307" s="6"/>
    </row>
    <row r="1308">
      <c r="A1308" s="6">
        <v>1307.0</v>
      </c>
      <c r="B1308" s="6" t="str">
        <f>IFERROR(__xludf.DUMMYFUNCTION("""COMPUTED_VALUE"""),"Работаю")</f>
        <v>Работаю</v>
      </c>
      <c r="C1308" s="6" t="str">
        <f>IFERROR(__xludf.DUMMYFUNCTION("""COMPUTED_VALUE"""),"Рисовать")</f>
        <v>Рисовать</v>
      </c>
      <c r="D1308" s="6" t="str">
        <f>IFERROR(__xludf.DUMMYFUNCTION("""COMPUTED_VALUE"""),"Центральный (гибдд)")</f>
        <v>Центральный (гибдд)</v>
      </c>
      <c r="E1308" s="6" t="str">
        <f>IFERROR(__xludf.DUMMYFUNCTION("""COMPUTED_VALUE"""),"Бульвар Пионерский, площадь Советов, парки Жукова и Антошка, обл.больница, цирк")</f>
        <v>Бульвар Пионерский, площадь Советов, парки Жукова и Антошка, обл.больница, цирк</v>
      </c>
      <c r="F1308" s="6" t="str">
        <f>IFERROR(__xludf.DUMMYFUNCTION("""COMPUTED_VALUE"""),"Переехал сюда из другого места (откуда? укажите в графе другое), Из Ленинска-Кузнецкого")</f>
        <v>Переехал сюда из другого места (откуда? укажите в графе другое), Из Ленинска-Кузнецкого</v>
      </c>
      <c r="G1308" s="6" t="str">
        <f>IFERROR(__xludf.DUMMYFUNCTION("""COMPUTED_VALUE"""),"Кино, парки, бульвары")</f>
        <v>Кино, парки, бульвары</v>
      </c>
      <c r="H1308" s="6" t="str">
        <f>IFERROR(__xludf.DUMMYFUNCTION("""COMPUTED_VALUE"""),"Столица Кузбасса, Кем")</f>
        <v>Столица Кузбасса, Кем</v>
      </c>
      <c r="I1308" s="6" t="str">
        <f>IFERROR(__xludf.DUMMYFUNCTION("""COMPUTED_VALUE"""),"Алексей Леонов, Волков")</f>
        <v>Алексей Леонов, Волков</v>
      </c>
      <c r="J1308" s="6" t="str">
        <f>IFERROR(__xludf.DUMMYFUNCTION("""COMPUTED_VALUE"""),"Тулеев, актёр Панин")</f>
        <v>Тулеев, актёр Панин</v>
      </c>
      <c r="K1308" s="6" t="str">
        <f>IFERROR(__xludf.DUMMYFUNCTION("""COMPUTED_VALUE"""),"Никакие")</f>
        <v>Никакие</v>
      </c>
      <c r="L1308" s="6" t="str">
        <f>IFERROR(__xludf.DUMMYFUNCTION("""COMPUTED_VALUE"""),"Нету")</f>
        <v>Нету</v>
      </c>
      <c r="M1308" s="6" t="str">
        <f>IFERROR(__xludf.DUMMYFUNCTION("""COMPUTED_VALUE"""),"Яшка, лапа, ")</f>
        <v>Яшка, лапа, </v>
      </c>
      <c r="N1308" s="6" t="str">
        <f>IFERROR(__xludf.DUMMYFUNCTION("""COMPUTED_VALUE"""),"Свежий воздух (которого нет), трудоустройство, достопримечательности, развлечения, кафе и рестораны")</f>
        <v>Свежий воздух (которого нет), трудоустройство, достопримечательности, развлечения, кафе и рестораны</v>
      </c>
      <c r="O1308" s="6" t="str">
        <f>IFERROR(__xludf.DUMMYFUNCTION("""COMPUTED_VALUE"""),"Экологию")</f>
        <v>Экологию</v>
      </c>
      <c r="P1308" s="6" t="str">
        <f>IFERROR(__xludf.DUMMYFUNCTION("""COMPUTED_VALUE"""),"Интернет. Группы в инстаграмме")</f>
        <v>Интернет. Группы в инстаграмме</v>
      </c>
      <c r="Q1308" s="6" t="str">
        <f>IFERROR(__xludf.DUMMYFUNCTION("""COMPUTED_VALUE"""),"новости про новые профессии/куда поступать/вакансии, результаты местных исследований (рейтинги/аналитика/тенденции)")</f>
        <v>новости про новые профессии/куда поступать/вакансии, результаты местных исследований (рейтинги/аналитика/тенденции)</v>
      </c>
      <c r="R1308" s="6" t="str">
        <f>IFERROR(__xludf.DUMMYFUNCTION("""COMPUTED_VALUE"""),"9 мая")</f>
        <v>9 мая</v>
      </c>
      <c r="S1308" s="6" t="str">
        <f>IFERROR(__xludf.DUMMYFUNCTION("""COMPUTED_VALUE"""),"Нет, не приходилось")</f>
        <v>Нет, не приходилось</v>
      </c>
      <c r="T1308" s="6" t="str">
        <f>IFERROR(__xludf.DUMMYFUNCTION("""COMPUTED_VALUE"""),"Столица Кузбасса, крупный город по численности, ВУЗы, места для отдыха")</f>
        <v>Столица Кузбасса, крупный город по численности, ВУЗы, места для отдыха</v>
      </c>
      <c r="U1308" s="6" t="str">
        <f>IFERROR(__xludf.DUMMYFUNCTION("""COMPUTED_VALUE"""),"Площадь советов, цирк ")</f>
        <v>Площадь советов, цирк </v>
      </c>
      <c r="V1308" s="6" t="str">
        <f>IFERROR(__xludf.DUMMYFUNCTION("""COMPUTED_VALUE"""),"Ничего")</f>
        <v>Ничего</v>
      </c>
      <c r="W1308" s="6" t="str">
        <f>IFERROR(__xludf.DUMMYFUNCTION("""COMPUTED_VALUE"""),"Завистливые (некоторые) весёлые,  общительные, неорганизованные ")</f>
        <v>Завистливые (некоторые) весёлые,  общительные, неорганизованные </v>
      </c>
      <c r="X1308" s="6" t="str">
        <f>IFERROR(__xludf.DUMMYFUNCTION("""COMPUTED_VALUE"""),"Бульвар строителей, проспект советский, Весенняя улица, октябрьский ")</f>
        <v>Бульвар строителей, проспект советский, Весенняя улица, октябрьский </v>
      </c>
      <c r="Y1308" s="6" t="str">
        <f>IFERROR(__xludf.DUMMYFUNCTION("""COMPUTED_VALUE"""),"🤷🏻‍♀️")</f>
        <v>🤷🏻‍♀️</v>
      </c>
      <c r="Z1308" s="6" t="str">
        <f>IFERROR(__xludf.DUMMYFUNCTION("""COMPUTED_VALUE"""),"Ремонт дорог, ремонт и строительство зданий")</f>
        <v>Ремонт дорог, ремонт и строительство зданий</v>
      </c>
      <c r="AA1308" s="6" t="str">
        <f>IFERROR(__xludf.DUMMYFUNCTION("""COMPUTED_VALUE"""),"Халатность полиции, при убийстве девушки в Ленинской районе, закрытие кинотеатров и кафе во время пандемии")</f>
        <v>Халатность полиции, при убийстве девушки в Ленинской районе, закрытие кинотеатров и кафе во время пандемии</v>
      </c>
      <c r="AB1308" s="6" t="str">
        <f>IFERROR(__xludf.DUMMYFUNCTION("""COMPUTED_VALUE"""),"-")</f>
        <v>-</v>
      </c>
      <c r="AC1308" s="6" t="str">
        <f>IFERROR(__xludf.DUMMYFUNCTION("""COMPUTED_VALUE"""),"-")</f>
        <v>-</v>
      </c>
      <c r="AD130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08" s="6" t="str">
        <f>IFERROR(__xludf.DUMMYFUNCTION("""COMPUTED_VALUE"""),"Женский")</f>
        <v>Женский</v>
      </c>
      <c r="AF1308" s="6" t="str">
        <f>IFERROR(__xludf.DUMMYFUNCTION("""COMPUTED_VALUE"""),"18-29")</f>
        <v>18-29</v>
      </c>
      <c r="AG1308" s="6"/>
      <c r="AH1308" s="6"/>
      <c r="AI1308" s="6"/>
      <c r="AJ1308" s="6"/>
      <c r="AK1308" s="6"/>
      <c r="AL1308" s="6"/>
      <c r="AM1308" s="6"/>
    </row>
    <row r="1309">
      <c r="A1309" s="6">
        <v>1308.0</v>
      </c>
      <c r="B1309" s="6" t="str">
        <f>IFERROR(__xludf.DUMMYFUNCTION("""COMPUTED_VALUE"""),"Территориальный менеджер ")</f>
        <v>Территориальный менеджер </v>
      </c>
      <c r="C1309" s="6" t="str">
        <f>IFERROR(__xludf.DUMMYFUNCTION("""COMPUTED_VALUE"""),"Спорт, прогулка, мотоциклы ")</f>
        <v>Спорт, прогулка, мотоциклы </v>
      </c>
      <c r="D1309" s="6" t="str">
        <f>IFERROR(__xludf.DUMMYFUNCTION("""COMPUTED_VALUE"""),"Ленинский ")</f>
        <v>Ленинский </v>
      </c>
      <c r="E1309" s="6" t="str">
        <f>IFERROR(__xludf.DUMMYFUNCTION("""COMPUTED_VALUE"""),"Кадетское училище, озеро Красное")</f>
        <v>Кадетское училище, озеро Красное</v>
      </c>
      <c r="F1309" s="6" t="str">
        <f>IFERROR(__xludf.DUMMYFUNCTION("""COMPUTED_VALUE"""),"Переехал сюда из другого места (откуда? укажите в графе другое), Гурьевск ")</f>
        <v>Переехал сюда из другого места (откуда? укажите в графе другое), Гурьевск </v>
      </c>
      <c r="G1309" s="6" t="str">
        <f>IFERROR(__xludf.DUMMYFUNCTION("""COMPUTED_VALUE"""),"Сосновый бор, бульвар, набережная")</f>
        <v>Сосновый бор, бульвар, набережная</v>
      </c>
      <c r="H1309" s="6" t="str">
        <f>IFERROR(__xludf.DUMMYFUNCTION("""COMPUTED_VALUE"""),"Шахтёры, уголь, спорт, ")</f>
        <v>Шахтёры, уголь, спорт, </v>
      </c>
      <c r="I1309" s="6" t="str">
        <f>IFERROR(__xludf.DUMMYFUNCTION("""COMPUTED_VALUE"""),"Леонов, Буймов, Достоевский")</f>
        <v>Леонов, Буймов, Достоевский</v>
      </c>
      <c r="J1309" s="6" t="str">
        <f>IFERROR(__xludf.DUMMYFUNCTION("""COMPUTED_VALUE"""),"Гришковец, Тулеев")</f>
        <v>Гришковец, Тулеев</v>
      </c>
      <c r="K1309" s="6" t="str">
        <f>IFERROR(__xludf.DUMMYFUNCTION("""COMPUTED_VALUE"""),"Парк победы, драм театр, Томская писаница, музеи, казанский храм")</f>
        <v>Парк победы, драм театр, Томская писаница, музеи, казанский храм</v>
      </c>
      <c r="L1309" s="6" t="str">
        <f>IFERROR(__xludf.DUMMYFUNCTION("""COMPUTED_VALUE"""),"Не знаю")</f>
        <v>Не знаю</v>
      </c>
      <c r="M1309" s="6" t="str">
        <f>IFERROR(__xludf.DUMMYFUNCTION("""COMPUTED_VALUE"""),"Нет ")</f>
        <v>Нет </v>
      </c>
      <c r="N1309" s="6" t="str">
        <f>IFERROR(__xludf.DUMMYFUNCTION("""COMPUTED_VALUE"""),"Удобное расположение города")</f>
        <v>Удобное расположение города</v>
      </c>
      <c r="O1309" s="6" t="str">
        <f>IFERROR(__xludf.DUMMYFUNCTION("""COMPUTED_VALUE"""),"Провести качественный капитальный ремонт домов, избавиться от грязи, поливать дороги")</f>
        <v>Провести качественный капитальный ремонт домов, избавиться от грязи, поливать дороги</v>
      </c>
      <c r="P1309" s="6" t="str">
        <f>IFERROR(__xludf.DUMMYFUNCTION("""COMPUTED_VALUE"""),"Слухи")</f>
        <v>Слухи</v>
      </c>
      <c r="Q1309"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п"&amp;"редложения), Разработки, достижения ")</f>
        <v>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предложения), Разработки, достижения </v>
      </c>
      <c r="R1309" s="6" t="str">
        <f>IFERROR(__xludf.DUMMYFUNCTION("""COMPUTED_VALUE"""),"Масленица, день Победы")</f>
        <v>Масленица, день Победы</v>
      </c>
      <c r="S1309" s="6" t="str">
        <f>IFERROR(__xludf.DUMMYFUNCTION("""COMPUTED_VALUE"""),"Нет, не приходилось")</f>
        <v>Нет, не приходилось</v>
      </c>
      <c r="T1309" s="6" t="str">
        <f>IFERROR(__xludf.DUMMYFUNCTION("""COMPUTED_VALUE"""),"Уголь, грязные улицы")</f>
        <v>Уголь, грязные улицы</v>
      </c>
      <c r="U1309" s="6" t="str">
        <f>IFERROR(__xludf.DUMMYFUNCTION("""COMPUTED_VALUE"""),"Незнаю")</f>
        <v>Незнаю</v>
      </c>
      <c r="V1309" s="6" t="str">
        <f>IFERROR(__xludf.DUMMYFUNCTION("""COMPUTED_VALUE"""),"Построили ГЭС")</f>
        <v>Построили ГЭС</v>
      </c>
      <c r="W1309" s="6" t="str">
        <f>IFERROR(__xludf.DUMMYFUNCTION("""COMPUTED_VALUE"""),"Сильные, мужественный, ")</f>
        <v>Сильные, мужественный, </v>
      </c>
      <c r="X1309" s="6" t="str">
        <f>IFERROR(__xludf.DUMMYFUNCTION("""COMPUTED_VALUE"""),"Кадетское училище-бульвар Строителей ")</f>
        <v>Кадетское училище-бульвар Строителей </v>
      </c>
      <c r="Y1309" s="6" t="str">
        <f>IFERROR(__xludf.DUMMYFUNCTION("""COMPUTED_VALUE"""),"Не помню ")</f>
        <v>Не помню </v>
      </c>
      <c r="Z1309" s="6" t="str">
        <f>IFERROR(__xludf.DUMMYFUNCTION("""COMPUTED_VALUE"""),"Строительство значимых объектов ")</f>
        <v>Строительство значимых объектов </v>
      </c>
      <c r="AA1309" s="6" t="str">
        <f>IFERROR(__xludf.DUMMYFUNCTION("""COMPUTED_VALUE"""),"Плохая уборка снега,грязи пыли, тем что не поливают улицы ежедневно. Зимняя вишня, ")</f>
        <v>Плохая уборка снега,грязи пыли, тем что не поливают улицы ежедневно. Зимняя вишня, </v>
      </c>
      <c r="AB1309" s="6" t="str">
        <f>IFERROR(__xludf.DUMMYFUNCTION("""COMPUTED_VALUE"""),"Всех хватает")</f>
        <v>Всех хватает</v>
      </c>
      <c r="AC1309" s="6" t="str">
        <f>IFERROR(__xludf.DUMMYFUNCTION("""COMPUTED_VALUE"""),"Уличных праздников, культурных мероприятий ")</f>
        <v>Уличных праздников, культурных мероприятий </v>
      </c>
      <c r="AD130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Запустить свой предпринимательский проект, организовать компанию.</v>
      </c>
      <c r="AE1309" s="6" t="str">
        <f>IFERROR(__xludf.DUMMYFUNCTION("""COMPUTED_VALUE"""),"Мужской")</f>
        <v>Мужской</v>
      </c>
      <c r="AF1309" s="6" t="str">
        <f>IFERROR(__xludf.DUMMYFUNCTION("""COMPUTED_VALUE"""),"30-44")</f>
        <v>30-44</v>
      </c>
      <c r="AG1309" s="6"/>
      <c r="AH1309" s="6"/>
      <c r="AI1309" s="6"/>
      <c r="AJ1309" s="6"/>
      <c r="AK1309" s="6"/>
      <c r="AL1309" s="6"/>
      <c r="AM1309" s="6"/>
    </row>
    <row r="1310">
      <c r="A1310" s="6">
        <v>1309.0</v>
      </c>
      <c r="B1310" s="6" t="str">
        <f>IFERROR(__xludf.DUMMYFUNCTION("""COMPUTED_VALUE"""),"Работаю")</f>
        <v>Работаю</v>
      </c>
      <c r="C1310" s="6" t="str">
        <f>IFERROR(__xludf.DUMMYFUNCTION("""COMPUTED_VALUE"""),"Рисовать")</f>
        <v>Рисовать</v>
      </c>
      <c r="D1310" s="6" t="str">
        <f>IFERROR(__xludf.DUMMYFUNCTION("""COMPUTED_VALUE"""),"Центральный (гибдд)")</f>
        <v>Центральный (гибдд)</v>
      </c>
      <c r="E1310" s="6" t="str">
        <f>IFERROR(__xludf.DUMMYFUNCTION("""COMPUTED_VALUE"""),"Бульвар Пионерский, площадь Советов, парки Жукова и Антошка, обл.больница, цирк")</f>
        <v>Бульвар Пионерский, площадь Советов, парки Жукова и Антошка, обл.больница, цирк</v>
      </c>
      <c r="F1310" s="6" t="str">
        <f>IFERROR(__xludf.DUMMYFUNCTION("""COMPUTED_VALUE"""),"Переехал сюда из другого места (откуда? укажите в графе другое), Из Ленинска-Кузнецкого")</f>
        <v>Переехал сюда из другого места (откуда? укажите в графе другое), Из Ленинска-Кузнецкого</v>
      </c>
      <c r="G1310" s="6" t="str">
        <f>IFERROR(__xludf.DUMMYFUNCTION("""COMPUTED_VALUE"""),"Кино, парки, бульвары")</f>
        <v>Кино, парки, бульвары</v>
      </c>
      <c r="H1310" s="6" t="str">
        <f>IFERROR(__xludf.DUMMYFUNCTION("""COMPUTED_VALUE"""),"Столица Кузбасса, Кем")</f>
        <v>Столица Кузбасса, Кем</v>
      </c>
      <c r="I1310" s="6" t="str">
        <f>IFERROR(__xludf.DUMMYFUNCTION("""COMPUTED_VALUE"""),"Алексей Леонов, Волков")</f>
        <v>Алексей Леонов, Волков</v>
      </c>
      <c r="J1310" s="6" t="str">
        <f>IFERROR(__xludf.DUMMYFUNCTION("""COMPUTED_VALUE"""),"Тулеев, актёр Панин")</f>
        <v>Тулеев, актёр Панин</v>
      </c>
      <c r="K1310" s="6" t="str">
        <f>IFERROR(__xludf.DUMMYFUNCTION("""COMPUTED_VALUE"""),"Никакие")</f>
        <v>Никакие</v>
      </c>
      <c r="L1310" s="6" t="str">
        <f>IFERROR(__xludf.DUMMYFUNCTION("""COMPUTED_VALUE"""),"Нету")</f>
        <v>Нету</v>
      </c>
      <c r="M1310" s="6" t="str">
        <f>IFERROR(__xludf.DUMMYFUNCTION("""COMPUTED_VALUE"""),"Яшка, лапа, ")</f>
        <v>Яшка, лапа, </v>
      </c>
      <c r="N1310" s="6" t="str">
        <f>IFERROR(__xludf.DUMMYFUNCTION("""COMPUTED_VALUE"""),"Свежий воздух (которого нет), трудоустройство, достопримечательности, развлечения, кафе и рестораны")</f>
        <v>Свежий воздух (которого нет), трудоустройство, достопримечательности, развлечения, кафе и рестораны</v>
      </c>
      <c r="O1310" s="6" t="str">
        <f>IFERROR(__xludf.DUMMYFUNCTION("""COMPUTED_VALUE"""),"Экологию")</f>
        <v>Экологию</v>
      </c>
      <c r="P1310" s="6" t="str">
        <f>IFERROR(__xludf.DUMMYFUNCTION("""COMPUTED_VALUE"""),"Интернет. Группы в инстаграмме")</f>
        <v>Интернет. Группы в инстаграмме</v>
      </c>
      <c r="Q1310" s="6" t="str">
        <f>IFERROR(__xludf.DUMMYFUNCTION("""COMPUTED_VALUE"""),"новости про новые профессии/куда поступать/вакансии, результаты местных исследований (рейтинги/аналитика/тенденции)")</f>
        <v>новости про новые профессии/куда поступать/вакансии, результаты местных исследований (рейтинги/аналитика/тенденции)</v>
      </c>
      <c r="R1310" s="6" t="str">
        <f>IFERROR(__xludf.DUMMYFUNCTION("""COMPUTED_VALUE"""),"9 мая")</f>
        <v>9 мая</v>
      </c>
      <c r="S1310" s="6" t="str">
        <f>IFERROR(__xludf.DUMMYFUNCTION("""COMPUTED_VALUE"""),"Нет, не приходилось")</f>
        <v>Нет, не приходилось</v>
      </c>
      <c r="T1310" s="6" t="str">
        <f>IFERROR(__xludf.DUMMYFUNCTION("""COMPUTED_VALUE"""),"Столица Кузбасса, крупный город по численности, ВУЗы, места для отдыха")</f>
        <v>Столица Кузбасса, крупный город по численности, ВУЗы, места для отдыха</v>
      </c>
      <c r="U1310" s="6" t="str">
        <f>IFERROR(__xludf.DUMMYFUNCTION("""COMPUTED_VALUE"""),"Площадь советов, цирк ")</f>
        <v>Площадь советов, цирк </v>
      </c>
      <c r="V1310" s="6" t="str">
        <f>IFERROR(__xludf.DUMMYFUNCTION("""COMPUTED_VALUE"""),"Ничего")</f>
        <v>Ничего</v>
      </c>
      <c r="W1310" s="6" t="str">
        <f>IFERROR(__xludf.DUMMYFUNCTION("""COMPUTED_VALUE"""),"Завистливые (некоторые) весёлые,  общительные, неорганизованные ")</f>
        <v>Завистливые (некоторые) весёлые,  общительные, неорганизованные </v>
      </c>
      <c r="X1310" s="6" t="str">
        <f>IFERROR(__xludf.DUMMYFUNCTION("""COMPUTED_VALUE"""),"Бульвар строителей, проспект советский, Весенняя улица, октябрьский ")</f>
        <v>Бульвар строителей, проспект советский, Весенняя улица, октябрьский </v>
      </c>
      <c r="Y1310" s="6" t="str">
        <f>IFERROR(__xludf.DUMMYFUNCTION("""COMPUTED_VALUE"""),"🤷🏻‍♀️")</f>
        <v>🤷🏻‍♀️</v>
      </c>
      <c r="Z1310" s="6" t="str">
        <f>IFERROR(__xludf.DUMMYFUNCTION("""COMPUTED_VALUE"""),"Ремонт дорог, ремонт и строительство зданий")</f>
        <v>Ремонт дорог, ремонт и строительство зданий</v>
      </c>
      <c r="AA1310" s="6" t="str">
        <f>IFERROR(__xludf.DUMMYFUNCTION("""COMPUTED_VALUE"""),"Халатность полиции, при убийстве девушки в Ленинской районе, закрытие кинотеатров и кафе во время пандемии")</f>
        <v>Халатность полиции, при убийстве девушки в Ленинской районе, закрытие кинотеатров и кафе во время пандемии</v>
      </c>
      <c r="AB1310" s="6" t="str">
        <f>IFERROR(__xludf.DUMMYFUNCTION("""COMPUTED_VALUE"""),"-")</f>
        <v>-</v>
      </c>
      <c r="AC1310" s="6" t="str">
        <f>IFERROR(__xludf.DUMMYFUNCTION("""COMPUTED_VALUE"""),"-")</f>
        <v>-</v>
      </c>
      <c r="AD131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10" s="6" t="str">
        <f>IFERROR(__xludf.DUMMYFUNCTION("""COMPUTED_VALUE"""),"Женский")</f>
        <v>Женский</v>
      </c>
      <c r="AF1310" s="6" t="str">
        <f>IFERROR(__xludf.DUMMYFUNCTION("""COMPUTED_VALUE"""),"18-29")</f>
        <v>18-29</v>
      </c>
      <c r="AG1310" s="6"/>
      <c r="AH1310" s="6"/>
      <c r="AI1310" s="6"/>
      <c r="AJ1310" s="6"/>
      <c r="AK1310" s="6"/>
      <c r="AL1310" s="6"/>
      <c r="AM1310" s="6"/>
    </row>
    <row r="1311">
      <c r="A1311" s="6">
        <v>1310.0</v>
      </c>
      <c r="B1311" s="6" t="str">
        <f>IFERROR(__xludf.DUMMYFUNCTION("""COMPUTED_VALUE"""),"Пенсионерка")</f>
        <v>Пенсионерка</v>
      </c>
      <c r="C1311" s="6" t="str">
        <f>IFERROR(__xludf.DUMMYFUNCTION("""COMPUTED_VALUE"""),"Рукоделие, чтение, сад-огород, театр, активный отдых")</f>
        <v>Рукоделие, чтение, сад-огород, театр, активный отдых</v>
      </c>
      <c r="D1311" s="6" t="str">
        <f>IFERROR(__xludf.DUMMYFUNCTION("""COMPUTED_VALUE"""),"Золотые купола")</f>
        <v>Золотые купола</v>
      </c>
      <c r="E1311" s="6" t="str">
        <f>IFERROR(__xludf.DUMMYFUNCTION("""COMPUTED_VALUE"""),"Знаменский Собор")</f>
        <v>Знаменский Собор</v>
      </c>
      <c r="F1311" s="6" t="str">
        <f>IFERROR(__xludf.DUMMYFUNCTION("""COMPUTED_VALUE"""),"Живу здесь с рождения")</f>
        <v>Живу здесь с рождения</v>
      </c>
      <c r="G1311" s="6" t="str">
        <f>IFERROR(__xludf.DUMMYFUNCTION("""COMPUTED_VALUE"""),"Набережнаые Томи, Искитимки, парки")</f>
        <v>Набережнаые Томи, Искитимки, парки</v>
      </c>
      <c r="H1311" s="6" t="str">
        <f>IFERROR(__xludf.DUMMYFUNCTION("""COMPUTED_VALUE"""),"Родина, семья, друзья, Томь, бор")</f>
        <v>Родина, семья, друзья, Томь, бор</v>
      </c>
      <c r="I1311" s="6" t="str">
        <f>IFERROR(__xludf.DUMMYFUNCTION("""COMPUTED_VALUE"""),"Рутгерс С. Ю., Вера Волошина, Юрий Двужильный, Владимир Мартемьянов, ")</f>
        <v>Рутгерс С. Ю., Вера Волошина, Юрий Двужильный, Владимир Мартемьянов, </v>
      </c>
      <c r="J1311" s="6" t="str">
        <f>IFERROR(__xludf.DUMMYFUNCTION("""COMPUTED_VALUE"""),"Затрудняюсь с ответом. Много хороших людей, но выдающимся... Трудиться честно и на благо города, в том числе, это  долг каждого гражданина, и тем более, чиновника")</f>
        <v>Затрудняюсь с ответом. Много хороших людей, но выдающимся... Трудиться честно и на благо города, в том числе, это  долг каждого гражданина, и тем более, чиновника</v>
      </c>
      <c r="K1311" s="6" t="str">
        <f>IFERROR(__xludf.DUMMYFUNCTION("""COMPUTED_VALUE"""),"Старый город: центр, площадь, набережная, парк. Новостройки: кадетское училище, Притомский, Верхний бульвар, Красная Горка, бор, пр. Шахтеров и т д. ")</f>
        <v>Старый город: центр, площадь, набережная, парк. Новостройки: кадетское училище, Притомский, Верхний бульвар, Красная Горка, бор, пр. Шахтеров и т д. </v>
      </c>
      <c r="L1311" s="6" t="str">
        <f>IFERROR(__xludf.DUMMYFUNCTION("""COMPUTED_VALUE"""),"На лицо серьёзные, добрые внутри")</f>
        <v>На лицо серьёзные, добрые внутри</v>
      </c>
      <c r="M1311" s="6" t="str">
        <f>IFERROR(__xludf.DUMMYFUNCTION("""COMPUTED_VALUE"""),"Колба (черемша) ")</f>
        <v>Колба (черемша) </v>
      </c>
      <c r="N1311" s="6" t="str">
        <f>IFERROR(__xludf.DUMMYFUNCTION("""COMPUTED_VALUE"""),"Обеспечение занятости населения с достойной оплатой, высококвалифицированное медицинское обслуживание, конкурентноспособное высшее и среднее образование, обес печенность местами в детских садахи школах. Доступность жилья для молодёжи. Ответственность ЖКХ."&amp;" Чистый воздух, опрятные зелёные улицы, парки, скверы, хорошие дороги, тротуары, благоустроенные дворы, наличие мест досуга, развитие кружков, спортивных секций для детей и взрослых. Развитие и строительство новых спортивных и культурных комплексов. Созда"&amp;"ние условий для проживания молодёжи в грроде")</f>
        <v>Обеспечение занятости населения с достойной оплатой, высококвалифицированное медицинское обслуживание, конкурентноспособное высшее и среднее образование, обес печенность местами в детских садахи школах. Доступность жилья для молодёжи. Ответственность ЖКХ. Чистый воздух, опрятные зелёные улицы, парки, скверы, хорошие дороги, тротуары, благоустроенные дворы, наличие мест досуга, развитие кружков, спортивных секций для детей и взрослых. Развитие и строительство новых спортивных и культурных комплексов. Создание условий для проживания молодёжи в грроде</v>
      </c>
      <c r="O1311" s="6" t="str">
        <f>IFERROR(__xludf.DUMMYFUNCTION("""COMPUTED_VALUE"""),"Принять меры по улучшению экологии, чтобы воздух стал чище. Улучшить медицинское обслуживание: избавится от очередей в поликлиниках, доступнее сделать приём узких специалистов и обследование. ")</f>
        <v>Принять меры по улучшению экологии, чтобы воздух стал чище. Улучшить медицинское обслуживание: избавится от очередей в поликлиниках, доступнее сделать приём узких специалистов и обследование. </v>
      </c>
      <c r="P1311" s="6" t="str">
        <f>IFERROR(__xludf.DUMMYFUNCTION("""COMPUTED_VALUE"""),"Газеты, телевидение, интернет")</f>
        <v>Газеты, телевидение, интернет</v>
      </c>
      <c r="Q1311" s="6" t="str">
        <f>IFERROR(__xludf.DUMMYFUNCTION("""COMPUTED_VALUE"""),"результаты местных исследований (рейтинги/аналитика/тенденции), интервью с экспертами на разные темы (напишите в разделе Другое свои предложения)")</f>
        <v>результаты местных исследований (рейтинги/аналитика/тенденции), интервью с экспертами на разные темы (напишите в разделе Другое свои предложения)</v>
      </c>
      <c r="R1311" s="6" t="str">
        <f>IFERROR(__xludf.DUMMYFUNCTION("""COMPUTED_VALUE"""),"День победы, День города, День Шахтера")</f>
        <v>День победы, День города, День Шахтера</v>
      </c>
      <c r="S1311" s="6" t="str">
        <f>IFERROR(__xludf.DUMMYFUNCTION("""COMPUTED_VALUE"""),"Нет, не приходилось")</f>
        <v>Нет, не приходилось</v>
      </c>
      <c r="T1311" s="6" t="str">
        <f>IFERROR(__xludf.DUMMYFUNCTION("""COMPUTED_VALUE"""),"К сожалению, плохой экологией")</f>
        <v>К сожалению, плохой экологией</v>
      </c>
      <c r="U1311" s="6" t="str">
        <f>IFERROR(__xludf.DUMMYFUNCTION("""COMPUTED_VALUE"""),"Советский проспект, набережная Томи, площадь Советов, Филармония")</f>
        <v>Советский проспект, набережная Томи, площадь Советов, Филармония</v>
      </c>
      <c r="V1311" s="6" t="str">
        <f>IFERROR(__xludf.DUMMYFUNCTION("""COMPUTED_VALUE"""),"В годы войны - труд на предприятиях оборонного назначения")</f>
        <v>В годы войны - труд на предприятиях оборонного назначения</v>
      </c>
      <c r="W1311" s="6" t="str">
        <f>IFERROR(__xludf.DUMMYFUNCTION("""COMPUTED_VALUE"""),"В основной массе любящие свой город, отзывчивые, переживающие за настоящее и будущее своего любимого города")</f>
        <v>В основной массе любящие свой город, отзывчивые, переживающие за настоящее и будущее своего любимого города</v>
      </c>
      <c r="X1311" s="6" t="str">
        <f>IFERROR(__xludf.DUMMYFUNCTION("""COMPUTED_VALUE"""),"Затрудняюсь сответом")</f>
        <v>Затрудняюсь сответом</v>
      </c>
      <c r="Y1311" s="6" t="str">
        <f>IFERROR(__xludf.DUMMYFUNCTION("""COMPUTED_VALUE"""),"Чемпионаты мира по хоккею с мячем")</f>
        <v>Чемпионаты мира по хоккею с мячем</v>
      </c>
      <c r="Z1311" s="6" t="str">
        <f>IFERROR(__xludf.DUMMYFUNCTION("""COMPUTED_VALUE"""),"Строительство и открытие кадетского корпуса, строительство на Притомском проспекте спортивных и культурных соружений, начавшееся строительство на Искитимской набеоежной")</f>
        <v>Строительство и открытие кадетского корпуса, строительство на Притомском проспекте спортивных и культурных соружений, начавшееся строительство на Искитимской набеоежной</v>
      </c>
      <c r="AA1311" s="6" t="str">
        <f>IFERROR(__xludf.DUMMYFUNCTION("""COMPUTED_VALUE"""),"Плохие дороги, грязные дворы ")</f>
        <v>Плохие дороги, грязные дворы </v>
      </c>
      <c r="AB1311" s="6" t="str">
        <f>IFERROR(__xludf.DUMMYFUNCTION("""COMPUTED_VALUE"""),"Сообщества не интересуют")</f>
        <v>Сообщества не интересуют</v>
      </c>
      <c r="AC1311" s="6" t="str">
        <f>IFERROR(__xludf.DUMMYFUNCTION("""COMPUTED_VALUE"""),"Возможно, для широкой публики, особенно для молодёжи, проведение на открытых площадках бесплатно интересных ""лекций"" с видео и фото об истории нашего края, города. О достопримечательности. Чтобы прививать любовь к нашему краю, городу. Побольше мероприят"&amp;"ий интересных молодёжи ")</f>
        <v>Возможно, для широкой публики, особенно для молодёжи, проведение на открытых площадках бесплатно интересных "лекций" с видео и фото об истории нашего края, города. О достопримечательности. Чтобы прививать любовь к нашему краю, городу. Побольше мероприятий интересных молодёжи </v>
      </c>
      <c r="AD131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11" s="6" t="str">
        <f>IFERROR(__xludf.DUMMYFUNCTION("""COMPUTED_VALUE"""),"Женский")</f>
        <v>Женский</v>
      </c>
      <c r="AF1311" s="6" t="str">
        <f>IFERROR(__xludf.DUMMYFUNCTION("""COMPUTED_VALUE"""),"старше 55")</f>
        <v>старше 55</v>
      </c>
      <c r="AG1311" s="6"/>
      <c r="AH1311" s="6"/>
      <c r="AI1311" s="6"/>
      <c r="AJ1311" s="6"/>
      <c r="AK1311" s="6"/>
      <c r="AL1311" s="6"/>
      <c r="AM1311" s="6"/>
    </row>
    <row r="1312">
      <c r="A1312" s="6">
        <v>1311.0</v>
      </c>
      <c r="B1312" s="6" t="str">
        <f>IFERROR(__xludf.DUMMYFUNCTION("""COMPUTED_VALUE"""),"ИТ")</f>
        <v>ИТ</v>
      </c>
      <c r="C1312" s="6" t="str">
        <f>IFERROR(__xludf.DUMMYFUNCTION("""COMPUTED_VALUE"""),"Плавание")</f>
        <v>Плавание</v>
      </c>
      <c r="D1312" s="6" t="str">
        <f>IFERROR(__xludf.DUMMYFUNCTION("""COMPUTED_VALUE"""),"ФПК ")</f>
        <v>ФПК </v>
      </c>
      <c r="E1312" s="6" t="str">
        <f>IFERROR(__xludf.DUMMYFUNCTION("""COMPUTED_VALUE"""),"Гостиный двор")</f>
        <v>Гостиный двор</v>
      </c>
      <c r="F1312" s="6" t="str">
        <f>IFERROR(__xludf.DUMMYFUNCTION("""COMPUTED_VALUE"""),"Живу здесь с рождения")</f>
        <v>Живу здесь с рождения</v>
      </c>
      <c r="G1312" s="6" t="str">
        <f>IFERROR(__xludf.DUMMYFUNCTION("""COMPUTED_VALUE"""),"Комсомольский парк, бульвар Строителей, Горсад, Парк Антошка/Жукова, Сосновый бор, Красное озеро, Люскус")</f>
        <v>Комсомольский парк, бульвар Строителей, Горсад, Парк Антошка/Жукова, Сосновый бор, Красное озеро, Люскус</v>
      </c>
      <c r="H1312" s="6" t="str">
        <f>IFERROR(__xludf.DUMMYFUNCTION("""COMPUTED_VALUE"""),"Смог, провинция, компактность, Зимняя вишня, транспортный тупик")</f>
        <v>Смог, провинция, компактность, Зимняя вишня, транспортный тупик</v>
      </c>
      <c r="I1312" s="6" t="str">
        <f>IFERROR(__xludf.DUMMYFUNCTION("""COMPUTED_VALUE"""),"Рутгерс, Волков")</f>
        <v>Рутгерс, Волков</v>
      </c>
      <c r="J1312" s="6" t="str">
        <f>IFERROR(__xludf.DUMMYFUNCTION("""COMPUTED_VALUE"""),"Леонов, Гришковец")</f>
        <v>Леонов, Гришковец</v>
      </c>
      <c r="K1312" s="6" t="str">
        <f>IFERROR(__xludf.DUMMYFUNCTION("""COMPUTED_VALUE"""),"За полдня весь город на машине можно показать, особо интересного нечего, только съездить за город на Томскую писаницу")</f>
        <v>За полдня весь город на машине можно показать, особо интересного нечего, только съездить за город на Томскую писаницу</v>
      </c>
      <c r="L1312" s="6" t="str">
        <f>IFERROR(__xludf.DUMMYFUNCTION("""COMPUTED_VALUE"""),"Местный фольклор:
Искитимка - горная река, Искитимка - широка и глубока, Искитимка - золотое дно, в Искитимка плавает &lt;оно&gt;. 
Бородатая история про сбежавшего из цирка бегемота в Искитимку.
Поселившиеся там же круглогодично утки.
Рассказы про утечку хлора"&amp;" в Кировском районе.
Вагоны в один конец на расстрелы в Ягуновку.
Туберкулёз с дезинфекцией общественных мест.
Тушение пожара в Зимней вишней, как и ее возникновение.
")</f>
        <v>Местный фольклор:
Искитимка - горная река, Искитимка - широка и глубока, Искитимка - золотое дно, в Искитимка плавает &lt;оно&gt;. 
Бородатая история про сбежавшего из цирка бегемота в Искитимку.
Поселившиеся там же круглогодично утки.
Рассказы про утечку хлора в Кировском районе.
Вагоны в один конец на расстрелы в Ягуновку.
Туберкулёз с дезинфекцией общественных мест.
Тушение пожара в Зимней вишней, как и ее возникновение.
</v>
      </c>
      <c r="M1312" s="6" t="str">
        <f>IFERROR(__xludf.DUMMYFUNCTION("""COMPUTED_VALUE"""),"Только ""катить арбуз"" по-прокопьевски")</f>
        <v>Только "катить арбуз" по-прокопьевски</v>
      </c>
      <c r="N1312" s="6" t="str">
        <f>IFERROR(__xludf.DUMMYFUNCTION("""COMPUTED_VALUE"""),"Транспортная доступность, экология, безопасность/отсутствие преступности, возможность зарабатывать и развиваться, климат")</f>
        <v>Транспортная доступность, экология, безопасность/отсутствие преступности, возможность зарабатывать и развиваться, климат</v>
      </c>
      <c r="O1312" s="6" t="str">
        <f>IFERROR(__xludf.DUMMYFUNCTION("""COMPUTED_VALUE"""),"Местоположение :) 
Работу транспорта: после 7 вечера в некоторые районы только на такси или пешком, да и днём прямых рейсов транспорта не бывает из тех же некоторых районов")</f>
        <v>Местоположение :) 
Работу транспорта: после 7 вечера в некоторые районы только на такси или пешком, да и днём прямых рейсов транспорта не бывает из тех же некоторых районов</v>
      </c>
      <c r="P1312" s="6" t="str">
        <f>IFERROR(__xludf.DUMMYFUNCTION("""COMPUTED_VALUE"""),"Интернет (афиша Кемерово, Сибдепо, НГС, сайты учреждений)")</f>
        <v>Интернет (афиша Кемерово, Сибдепо, НГС, сайты учреждений)</v>
      </c>
      <c r="Q131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крим"&amp;"инальные новости (происшествия/преступления),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криминальные новости (происшествия/преступления), результаты местных исследований (рейтинги/аналитика/тенденции)</v>
      </c>
      <c r="R1312" s="6" t="str">
        <f>IFERROR(__xludf.DUMMYFUNCTION("""COMPUTED_VALUE"""),"Новый год")</f>
        <v>Новый год</v>
      </c>
      <c r="S1312" s="6" t="str">
        <f>IFERROR(__xludf.DUMMYFUNCTION("""COMPUTED_VALUE"""),"Нет, не приходилось")</f>
        <v>Нет, не приходилось</v>
      </c>
      <c r="T1312" s="6" t="str">
        <f>IFERROR(__xludf.DUMMYFUNCTION("""COMPUTED_VALUE"""),"Зимней вишней. Если где-нибудь в России сказать, что ты из Кемерова, то сразу вопрос: а это у вас Зимняя вишня горела?(с)")</f>
        <v>Зимней вишней. Если где-нибудь в России сказать, что ты из Кемерова, то сразу вопрос: а это у вас Зимняя вишня горела?(с)</v>
      </c>
      <c r="U1312" s="6" t="str">
        <f>IFERROR(__xludf.DUMMYFUNCTION("""COMPUTED_VALUE"""),"Горсад, площадь Кирова")</f>
        <v>Горсад, площадь Кирова</v>
      </c>
      <c r="V1312" s="6" t="str">
        <f>IFERROR(__xludf.DUMMYFUNCTION("""COMPUTED_VALUE"""),"Не знаю")</f>
        <v>Не знаю</v>
      </c>
      <c r="W1312" s="6" t="str">
        <f>IFERROR(__xludf.DUMMYFUNCTION("""COMPUTED_VALUE"""),"Малокультурные, особенно в транспорте и на остановках")</f>
        <v>Малокультурные, особенно в транспорте и на остановках</v>
      </c>
      <c r="X1312" s="6" t="str">
        <f>IFERROR(__xludf.DUMMYFUNCTION("""COMPUTED_VALUE"""),"Велосипедный")</f>
        <v>Велосипедный</v>
      </c>
      <c r="Y1312" s="6" t="str">
        <f>IFERROR(__xludf.DUMMYFUNCTION("""COMPUTED_VALUE"""),"Фестиваль Рока, приезд Бонни М, Пинк Флойд, площадь Кузбасских историй (вроде так в парке Антошка мероприятия назывались)")</f>
        <v>Фестиваль Рока, приезд Бонни М, Пинк Флойд, площадь Кузбасских историй (вроде так в парке Антошка мероприятия назывались)</v>
      </c>
      <c r="Z1312" s="6" t="str">
        <f>IFERROR(__xludf.DUMMYFUNCTION("""COMPUTED_VALUE"""),"Благоустройство города")</f>
        <v>Благоустройство города</v>
      </c>
      <c r="AA1312" s="6" t="str">
        <f>IFERROR(__xludf.DUMMYFUNCTION("""COMPUTED_VALUE"""),"Закрытие Лазурного")</f>
        <v>Закрытие Лазурного</v>
      </c>
      <c r="AB1312" s="6" t="str">
        <f>IFERROR(__xludf.DUMMYFUNCTION("""COMPUTED_VALUE"""),"Научных, образовательных, культурных")</f>
        <v>Научных, образовательных, культурных</v>
      </c>
      <c r="AC1312" s="6" t="str">
        <f>IFERROR(__xludf.DUMMYFUNCTION("""COMPUTED_VALUE"""),"Культурные, мировые ")</f>
        <v>Культурные, мировые </v>
      </c>
      <c r="AD131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12" s="6" t="str">
        <f>IFERROR(__xludf.DUMMYFUNCTION("""COMPUTED_VALUE"""),"Женский")</f>
        <v>Женский</v>
      </c>
      <c r="AF1312" s="6" t="str">
        <f>IFERROR(__xludf.DUMMYFUNCTION("""COMPUTED_VALUE"""),"30-44")</f>
        <v>30-44</v>
      </c>
      <c r="AG1312" s="6"/>
      <c r="AH1312" s="6"/>
      <c r="AI1312" s="6"/>
      <c r="AJ1312" s="6"/>
      <c r="AK1312" s="6"/>
      <c r="AL1312" s="6"/>
      <c r="AM1312" s="6"/>
    </row>
    <row r="1313">
      <c r="A1313" s="6">
        <v>1312.0</v>
      </c>
      <c r="B1313" s="6" t="str">
        <f>IFERROR(__xludf.DUMMYFUNCTION("""COMPUTED_VALUE"""),"Культура")</f>
        <v>Культура</v>
      </c>
      <c r="C1313" s="6" t="str">
        <f>IFERROR(__xludf.DUMMYFUNCTION("""COMPUTED_VALUE"""),"Помогаю многодетной семье")</f>
        <v>Помогаю многодетной семье</v>
      </c>
      <c r="D1313" s="6" t="str">
        <f>IFERROR(__xludf.DUMMYFUNCTION("""COMPUTED_VALUE"""),"Рудничный Радуга")</f>
        <v>Рудничный Радуга</v>
      </c>
      <c r="E1313" s="6" t="str">
        <f>IFERROR(__xludf.DUMMYFUNCTION("""COMPUTED_VALUE"""),"Сердце шахтера")</f>
        <v>Сердце шахтера</v>
      </c>
      <c r="F1313" s="6" t="str">
        <f>IFERROR(__xludf.DUMMYFUNCTION("""COMPUTED_VALUE"""),"Переехал сюда из другого места (откуда? укажите в графе другое), Минусинск")</f>
        <v>Переехал сюда из другого места (откуда? укажите в графе другое), Минусинск</v>
      </c>
      <c r="G1313" s="6" t="str">
        <f>IFERROR(__xludf.DUMMYFUNCTION("""COMPUTED_VALUE"""),"Сосновый бор в районе Серебряный бор")</f>
        <v>Сосновый бор в районе Серебряный бор</v>
      </c>
      <c r="H1313" s="6" t="str">
        <f>IFERROR(__xludf.DUMMYFUNCTION("""COMPUTED_VALUE"""),"Столица, медицина, образование, завод, жд тупиковая станция")</f>
        <v>Столица, медицина, образование, завод, жд тупиковая станция</v>
      </c>
      <c r="I1313" s="6" t="str">
        <f>IFERROR(__xludf.DUMMYFUNCTION("""COMPUTED_VALUE"""),"Терешкова, Леонов, Волков ")</f>
        <v>Терешкова, Леонов, Волков </v>
      </c>
      <c r="J1313" s="6" t="str">
        <f>IFERROR(__xludf.DUMMYFUNCTION("""COMPUTED_VALUE"""),"Тулеев, Приставка")</f>
        <v>Тулеев, Приставка</v>
      </c>
      <c r="K1313" s="6" t="str">
        <f>IFERROR(__xludf.DUMMYFUNCTION("""COMPUTED_VALUE"""),"Красная Горка, Лесная поляна, Томская писаница")</f>
        <v>Красная Горка, Лесная поляна, Томская писаница</v>
      </c>
      <c r="L1313" s="6" t="str">
        <f>IFERROR(__xludf.DUMMYFUNCTION("""COMPUTED_VALUE"""),"Не знаю")</f>
        <v>Не знаю</v>
      </c>
      <c r="M1313" s="6" t="str">
        <f>IFERROR(__xludf.DUMMYFUNCTION("""COMPUTED_VALUE"""),"Колба, а не черемша")</f>
        <v>Колба, а не черемша</v>
      </c>
      <c r="N1313" s="6" t="str">
        <f>IFERROR(__xludf.DUMMYFUNCTION("""COMPUTED_VALUE"""),"Хорошие дороги, чистота улиц и парков, транспорт, медицина, культура и образование")</f>
        <v>Хорошие дороги, чистота улиц и парков, транспорт, медицина, культура и образование</v>
      </c>
      <c r="O1313" s="6" t="str">
        <f>IFERROR(__xludf.DUMMYFUNCTION("""COMPUTED_VALUE"""),"Сделать  прямые широкие тротуары со скамьями со спинками и мусорками вдоль Кузбасского проспекта с обеих сторон до улицы. Серебряный бор и парк за строящимся храмом с обустроенной детской площадкой")</f>
        <v>Сделать  прямые широкие тротуары со скамьями со спинками и мусорками вдоль Кузбасского проспекта с обеих сторон до улицы. Серебряный бор и парк за строящимся храмом с обустроенной детской площадкой</v>
      </c>
      <c r="P1313" s="6" t="str">
        <f>IFERROR(__xludf.DUMMYFUNCTION("""COMPUTED_VALUE"""),"Кузбасс онлайн, инстаграмм Середюк И. В. ")</f>
        <v>Кузбасс онлайн, инстаграмм Середюк И. В. </v>
      </c>
      <c r="Q1313"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б"&amp;"изнес-новости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Репортажи с фрагментами выступлений ко"&amp;"ллективов с фестивалей и конкурсов для пропаганды народноно песенного творчества")</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Репортажи с фрагментами выступлений коллективов с фестивалей и конкурсов для пропаганды народноно песенного творчества</v>
      </c>
      <c r="R1313" s="6" t="str">
        <f>IFERROR(__xludf.DUMMYFUNCTION("""COMPUTED_VALUE"""),"9 мая, День города, День России")</f>
        <v>9 мая, День города, День России</v>
      </c>
      <c r="S1313" s="6" t="str">
        <f>IFERROR(__xludf.DUMMYFUNCTION("""COMPUTED_VALUE"""),"Нет, не приходилось")</f>
        <v>Нет, не приходилось</v>
      </c>
      <c r="T1313" s="6" t="str">
        <f>IFERROR(__xludf.DUMMYFUNCTION("""COMPUTED_VALUE"""),"Шахтёрский край, музеи")</f>
        <v>Шахтёрский край, музеи</v>
      </c>
      <c r="U1313" s="6" t="str">
        <f>IFERROR(__xludf.DUMMYFUNCTION("""COMPUTED_VALUE"""),"Драммтеатр, музтеатр")</f>
        <v>Драммтеатр, музтеатр</v>
      </c>
      <c r="V1313" s="6" t="str">
        <f>IFERROR(__xludf.DUMMYFUNCTION("""COMPUTED_VALUE"""),"Внесли вклад")</f>
        <v>Внесли вклад</v>
      </c>
      <c r="W1313" s="6" t="str">
        <f>IFERROR(__xludf.DUMMYFUNCTION("""COMPUTED_VALUE"""),"Отзывчивые, добродушные")</f>
        <v>Отзывчивые, добродушные</v>
      </c>
      <c r="X1313" s="6" t="str">
        <f>IFERROR(__xludf.DUMMYFUNCTION("""COMPUTED_VALUE"""),"Сердце Кузбасса, Крест")</f>
        <v>Сердце Кузбасса, Крест</v>
      </c>
      <c r="Y1313" s="6" t="str">
        <f>IFERROR(__xludf.DUMMYFUNCTION("""COMPUTED_VALUE"""),"Наделение статусом столицы")</f>
        <v>Наделение статусом столицы</v>
      </c>
      <c r="Z1313" s="6" t="str">
        <f>IFERROR(__xludf.DUMMYFUNCTION("""COMPUTED_VALUE"""),"Рок-концерт, но хотелось бы такой масштаб не для пропаганды рока, а для пропаганды классики и народного жанра в современной интерпритации в исполнении известных исполнителей")</f>
        <v>Рок-концерт, но хотелось бы такой масштаб не для пропаганды рока, а для пропаганды классики и народного жанра в современной интерпритации в исполнении известных исполнителей</v>
      </c>
      <c r="AA1313" s="6" t="str">
        <f>IFERROR(__xludf.DUMMYFUNCTION("""COMPUTED_VALUE"""),"Пожар в зимней войне и его причина")</f>
        <v>Пожар в зимней войне и его причина</v>
      </c>
      <c r="AB1313" s="6" t="str">
        <f>IFERROR(__xludf.DUMMYFUNCTION("""COMPUTED_VALUE"""),"Детский фестиваль народного творчества в конце мая, июне, чтобы дети видели выступления друг друга, народные игры в трациционных костюмах. На конкурсах они других не видят, проблема связана с транспортными расходами, все быстро уезжают после выступлений. ")</f>
        <v>Детский фестиваль народного творчества в конце мая, июне, чтобы дети видели выступления друг друга, народные игры в трациционных костюмах. На конкурсах они других не видят, проблема связана с транспортными расходами, все быстро уезжают после выступлений. </v>
      </c>
      <c r="AC1313" s="6" t="str">
        <f>IFERROR(__xludf.DUMMYFUNCTION("""COMPUTED_VALUE"""),"Бесплатные концерты и творческие встречи   работников культуры с известными певцами и артистами высокого уровня")</f>
        <v>Бесплатные концерты и творческие встречи   работников культуры с известными певцами и артистами высокого уровня</v>
      </c>
      <c r="AD131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"&amp;"участников")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313" s="6" t="str">
        <f>IFERROR(__xludf.DUMMYFUNCTION("""COMPUTED_VALUE"""),"Женский")</f>
        <v>Женский</v>
      </c>
      <c r="AF1313" s="6" t="str">
        <f>IFERROR(__xludf.DUMMYFUNCTION("""COMPUTED_VALUE"""),"30-44")</f>
        <v>30-44</v>
      </c>
      <c r="AG1313" s="6"/>
      <c r="AH1313" s="6"/>
      <c r="AI1313" s="6"/>
      <c r="AJ1313" s="6"/>
      <c r="AK1313" s="6"/>
      <c r="AL1313" s="6"/>
      <c r="AM1313" s="6"/>
    </row>
    <row r="1314">
      <c r="A1314" s="6">
        <v>1313.0</v>
      </c>
      <c r="B1314" s="6" t="str">
        <f>IFERROR(__xludf.DUMMYFUNCTION("""COMPUTED_VALUE"""),"Сфера спорта")</f>
        <v>Сфера спорта</v>
      </c>
      <c r="C1314" s="6" t="str">
        <f>IFERROR(__xludf.DUMMYFUNCTION("""COMPUTED_VALUE"""),"Рыбалка")</f>
        <v>Рыбалка</v>
      </c>
      <c r="D1314" s="6" t="str">
        <f>IFERROR(__xludf.DUMMYFUNCTION("""COMPUTED_VALUE"""),"ж. р. Ягуновский")</f>
        <v>ж. р. Ягуновский</v>
      </c>
      <c r="E1314" s="6" t="str">
        <f>IFERROR(__xludf.DUMMYFUNCTION("""COMPUTED_VALUE"""),"Парк ""Победы"" ")</f>
        <v>Парк "Победы" </v>
      </c>
      <c r="F1314" s="6" t="str">
        <f>IFERROR(__xludf.DUMMYFUNCTION("""COMPUTED_VALUE"""),"Переехал сюда из другого места (откуда? укажите в графе другое), С. Тараданово")</f>
        <v>Переехал сюда из другого места (откуда? укажите в графе другое), С. Тараданово</v>
      </c>
      <c r="G1314" s="6" t="str">
        <f>IFERROR(__xludf.DUMMYFUNCTION("""COMPUTED_VALUE"""),"Парк ""Победы"" в ж. р. Ягуновский")</f>
        <v>Парк "Победы" в ж. р. Ягуновский</v>
      </c>
      <c r="H1314" s="6" t="str">
        <f>IFERROR(__xludf.DUMMYFUNCTION("""COMPUTED_VALUE"""),"Красивый, уютный, родной")</f>
        <v>Красивый, уютный, родной</v>
      </c>
      <c r="I1314" s="6" t="str">
        <f>IFERROR(__xludf.DUMMYFUNCTION("""COMPUTED_VALUE"""),"Михайлов, Тулеев")</f>
        <v>Михайлов, Тулеев</v>
      </c>
      <c r="J1314" s="6" t="str">
        <f>IFERROR(__xludf.DUMMYFUNCTION("""COMPUTED_VALUE"""),"Михайлов, Тулеев")</f>
        <v>Михайлов, Тулеев</v>
      </c>
      <c r="K1314" s="6" t="str">
        <f>IFERROR(__xludf.DUMMYFUNCTION("""COMPUTED_VALUE"""),"Набержная")</f>
        <v>Набержная</v>
      </c>
      <c r="L1314" s="6" t="str">
        <f>IFERROR(__xludf.DUMMYFUNCTION("""COMPUTED_VALUE"""),"-")</f>
        <v>-</v>
      </c>
      <c r="M1314" s="6" t="str">
        <f>IFERROR(__xludf.DUMMYFUNCTION("""COMPUTED_VALUE"""),"-")</f>
        <v>-</v>
      </c>
      <c r="N1314" s="6" t="str">
        <f>IFERROR(__xludf.DUMMYFUNCTION("""COMPUTED_VALUE"""),"Доступность")</f>
        <v>Доступность</v>
      </c>
      <c r="O1314" s="6" t="str">
        <f>IFERROR(__xludf.DUMMYFUNCTION("""COMPUTED_VALUE"""),"Парк ""Победы"" ")</f>
        <v>Парк "Победы" </v>
      </c>
      <c r="P1314" s="6" t="str">
        <f>IFERROR(__xludf.DUMMYFUNCTION("""COMPUTED_VALUE"""),"-")</f>
        <v>-</v>
      </c>
      <c r="Q1314" s="6" t="str">
        <f>IFERROR(__xludf.DUMMYFUNCTION("""COMPUTED_VALUE"""),"куда пойти в свободное время, культурные новинки (что почитать/что послушать), криминальные новости (происшествия/преступления)")</f>
        <v>куда пойти в свободное время, культурные новинки (что почитать/что послушать), криминальные новости (происшествия/преступления)</v>
      </c>
      <c r="R1314" s="6" t="str">
        <f>IFERROR(__xludf.DUMMYFUNCTION("""COMPUTED_VALUE"""),"День города, день шахтера")</f>
        <v>День города, день шахтера</v>
      </c>
      <c r="S1314" s="6" t="str">
        <f>IFERROR(__xludf.DUMMYFUNCTION("""COMPUTED_VALUE"""),"Делал рассылку по электронной почте")</f>
        <v>Делал рассылку по электронной почте</v>
      </c>
      <c r="T1314" s="6" t="str">
        <f>IFERROR(__xludf.DUMMYFUNCTION("""COMPUTED_VALUE"""),"Музей красная горка")</f>
        <v>Музей красная горка</v>
      </c>
      <c r="U1314" s="6" t="str">
        <f>IFERROR(__xludf.DUMMYFUNCTION("""COMPUTED_VALUE"""),"Фонтан, площадь Советов")</f>
        <v>Фонтан, площадь Советов</v>
      </c>
      <c r="V1314" s="6" t="str">
        <f>IFERROR(__xludf.DUMMYFUNCTION("""COMPUTED_VALUE"""),"Строили")</f>
        <v>Строили</v>
      </c>
      <c r="W1314" s="6" t="str">
        <f>IFERROR(__xludf.DUMMYFUNCTION("""COMPUTED_VALUE"""),"Добрые, отзывчитые")</f>
        <v>Добрые, отзывчитые</v>
      </c>
      <c r="X1314" s="6" t="str">
        <f>IFERROR(__xludf.DUMMYFUNCTION("""COMPUTED_VALUE"""),"Набережная или сосновый бор")</f>
        <v>Набережная или сосновый бор</v>
      </c>
      <c r="Y1314" s="6" t="str">
        <f>IFERROR(__xludf.DUMMYFUNCTION("""COMPUTED_VALUE"""),"100 летние г. Кемерово")</f>
        <v>100 летние г. Кемерово</v>
      </c>
      <c r="Z1314" s="6" t="str">
        <f>IFERROR(__xludf.DUMMYFUNCTION("""COMPUTED_VALUE"""),"Новый год")</f>
        <v>Новый год</v>
      </c>
      <c r="AA1314" s="6" t="str">
        <f>IFERROR(__xludf.DUMMYFUNCTION("""COMPUTED_VALUE"""),"Самоизоляция")</f>
        <v>Самоизоляция</v>
      </c>
      <c r="AB1314" s="6" t="str">
        <f>IFERROR(__xludf.DUMMYFUNCTION("""COMPUTED_VALUE"""),"-")</f>
        <v>-</v>
      </c>
      <c r="AC1314" s="6" t="str">
        <f>IFERROR(__xludf.DUMMYFUNCTION("""COMPUTED_VALUE"""),"-")</f>
        <v>-</v>
      </c>
      <c r="AD131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314" s="6" t="str">
        <f>IFERROR(__xludf.DUMMYFUNCTION("""COMPUTED_VALUE"""),"Женский")</f>
        <v>Женский</v>
      </c>
      <c r="AF1314" s="6" t="str">
        <f>IFERROR(__xludf.DUMMYFUNCTION("""COMPUTED_VALUE"""),"30-44")</f>
        <v>30-44</v>
      </c>
      <c r="AG1314" s="6"/>
      <c r="AH1314" s="6"/>
      <c r="AI1314" s="6"/>
      <c r="AJ1314" s="6"/>
      <c r="AK1314" s="6"/>
      <c r="AL1314" s="6"/>
      <c r="AM1314" s="6"/>
    </row>
    <row r="1315">
      <c r="A1315" s="6">
        <v>1314.0</v>
      </c>
      <c r="B1315" s="6" t="str">
        <f>IFERROR(__xludf.DUMMYFUNCTION("""COMPUTED_VALUE"""),"Преподаватель ")</f>
        <v>Преподаватель </v>
      </c>
      <c r="C1315" s="6" t="str">
        <f>IFERROR(__xludf.DUMMYFUNCTION("""COMPUTED_VALUE"""),"Чтение книг")</f>
        <v>Чтение книг</v>
      </c>
      <c r="D1315" s="6" t="str">
        <f>IFERROR(__xludf.DUMMYFUNCTION("""COMPUTED_VALUE"""),"21-микрорайон ")</f>
        <v>21-микрорайон </v>
      </c>
      <c r="E1315" s="6" t="str">
        <f>IFERROR(__xludf.DUMMYFUNCTION("""COMPUTED_VALUE"""),"Центральный сквер")</f>
        <v>Центральный сквер</v>
      </c>
      <c r="F1315"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315" s="6" t="str">
        <f>IFERROR(__xludf.DUMMYFUNCTION("""COMPUTED_VALUE"""),"Набережная Кировского района")</f>
        <v>Набережная Кировского района</v>
      </c>
      <c r="H1315" s="6" t="str">
        <f>IFERROR(__xludf.DUMMYFUNCTION("""COMPUTED_VALUE"""),"Родной, красивый, чистый, мост, пробки")</f>
        <v>Родной, красивый, чистый, мост, пробки</v>
      </c>
      <c r="I1315" s="6" t="str">
        <f>IFERROR(__xludf.DUMMYFUNCTION("""COMPUTED_VALUE"""),"А. Леонова, Волошина В., В. Машков")</f>
        <v>А. Леонова, Волошина В., В. Машков</v>
      </c>
      <c r="J1315" s="6" t="str">
        <f>IFERROR(__xludf.DUMMYFUNCTION("""COMPUTED_VALUE"""),"И. Середюк")</f>
        <v>И. Середюк</v>
      </c>
      <c r="K1315" s="6" t="str">
        <f>IFERROR(__xludf.DUMMYFUNCTION("""COMPUTED_VALUE"""),"Нет")</f>
        <v>Нет</v>
      </c>
      <c r="L1315" s="6" t="str">
        <f>IFERROR(__xludf.DUMMYFUNCTION("""COMPUTED_VALUE"""),"Города строят не языком, а рублём и топором")</f>
        <v>Города строят не языком, а рублём и топором</v>
      </c>
      <c r="M1315" s="6" t="str">
        <f>IFERROR(__xludf.DUMMYFUNCTION("""COMPUTED_VALUE"""),"Колба, пайка")</f>
        <v>Колба, пайка</v>
      </c>
      <c r="N1315" s="6" t="str">
        <f>IFERROR(__xludf.DUMMYFUNCTION("""COMPUTED_VALUE"""),"Безопасность,работа, экология, чистота, доступность образования и мед. обслуживания. ")</f>
        <v>Безопасность,работа, экология, чистота, доступность образования и мед. обслуживания. </v>
      </c>
      <c r="O1315" s="6" t="str">
        <f>IFERROR(__xludf.DUMMYFUNCTION("""COMPUTED_VALUE"""),"Экология, дороги, строительство или ремонт образовательных учреждений особенно в нашем районе. Детских площадок")</f>
        <v>Экология, дороги, строительство или ремонт образовательных учреждений особенно в нашем районе. Детских площадок</v>
      </c>
      <c r="P1315" s="6" t="str">
        <f>IFERROR(__xludf.DUMMYFUNCTION("""COMPUTED_VALUE""")," Интернет")</f>
        <v> Интернет</v>
      </c>
      <c r="Q1315"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v>
      </c>
      <c r="R1315" s="6" t="str">
        <f>IFERROR(__xludf.DUMMYFUNCTION("""COMPUTED_VALUE"""),"День города и день Шахтера")</f>
        <v>День города и день Шахтера</v>
      </c>
      <c r="S1315" s="6" t="str">
        <f>IFERROR(__xludf.DUMMYFUNCTION("""COMPUTED_VALUE"""),"Через социальные сети (Какие? Укажите в графе другое), Обращался в редакции городских газет, телевидения, радио")</f>
        <v>Через социальные сети (Какие? Укажите в графе другое), Обращался в редакции городских газет, телевидения, радио</v>
      </c>
      <c r="T1315" s="6" t="str">
        <f>IFERROR(__xludf.DUMMYFUNCTION("""COMPUTED_VALUE"""),"Кемерово очень уютный город")</f>
        <v>Кемерово очень уютный город</v>
      </c>
      <c r="U1315" s="6" t="str">
        <f>IFERROR(__xludf.DUMMYFUNCTION("""COMPUTED_VALUE"""),"Ул. Весенняя называют её Кемеровский Арбат")</f>
        <v>Ул. Весенняя называют её Кемеровский Арбат</v>
      </c>
      <c r="V1315" s="6" t="str">
        <f>IFERROR(__xludf.DUMMYFUNCTION("""COMPUTED_VALUE"""),"Строили город")</f>
        <v>Строили город</v>
      </c>
      <c r="W1315" s="6" t="str">
        <f>IFERROR(__xludf.DUMMYFUNCTION("""COMPUTED_VALUE"""),"Добрые, отзывчивые, общительные, всегда придут на помощь")</f>
        <v>Добрые, отзывчивые, общительные, всегда придут на помощь</v>
      </c>
      <c r="X1315" s="6" t="str">
        <f>IFERROR(__xludf.DUMMYFUNCTION("""COMPUTED_VALUE"""),"Музей-заповедник ""Красная Горка"" ")</f>
        <v>Музей-заповедник "Красная Горка" </v>
      </c>
      <c r="Y1315" s="6" t="str">
        <f>IFERROR(__xludf.DUMMYFUNCTION("""COMPUTED_VALUE"""),"Много событий")</f>
        <v>Много событий</v>
      </c>
      <c r="Z1315" s="6" t="str">
        <f>IFERROR(__xludf.DUMMYFUNCTION("""COMPUTED_VALUE"""),"Строительство новых объектов ")</f>
        <v>Строительство новых объектов </v>
      </c>
      <c r="AA1315" s="6" t="str">
        <f>IFERROR(__xludf.DUMMYFUNCTION("""COMPUTED_VALUE"""),"Пожар в ТЦ ""Зимняя Вишня"" ")</f>
        <v>Пожар в ТЦ "Зимняя Вишня" </v>
      </c>
      <c r="AB1315" s="6" t="str">
        <f>IFERROR(__xludf.DUMMYFUNCTION("""COMPUTED_VALUE"""),"Нет")</f>
        <v>Нет</v>
      </c>
      <c r="AC1315" s="6" t="str">
        <f>IFERROR(__xludf.DUMMYFUNCTION("""COMPUTED_VALUE"""),"Фестивали, концерты")</f>
        <v>Фестивали, концерты</v>
      </c>
      <c r="AD131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15" s="6" t="str">
        <f>IFERROR(__xludf.DUMMYFUNCTION("""COMPUTED_VALUE"""),"Женский")</f>
        <v>Женский</v>
      </c>
      <c r="AF1315" s="6" t="str">
        <f>IFERROR(__xludf.DUMMYFUNCTION("""COMPUTED_VALUE"""),"30-44")</f>
        <v>30-44</v>
      </c>
      <c r="AG1315" s="6"/>
      <c r="AH1315" s="6"/>
      <c r="AI1315" s="6"/>
      <c r="AJ1315" s="6"/>
      <c r="AK1315" s="6"/>
      <c r="AL1315" s="6"/>
      <c r="AM1315" s="6"/>
    </row>
    <row r="1316">
      <c r="A1316" s="6">
        <v>1315.0</v>
      </c>
      <c r="B1316" s="6" t="str">
        <f>IFERROR(__xludf.DUMMYFUNCTION("""COMPUTED_VALUE"""),"IT")</f>
        <v>IT</v>
      </c>
      <c r="C1316" s="6" t="str">
        <f>IFERROR(__xludf.DUMMYFUNCTION("""COMPUTED_VALUE"""),"уже нет")</f>
        <v>уже нет</v>
      </c>
      <c r="D1316" s="6" t="str">
        <f>IFERROR(__xludf.DUMMYFUNCTION("""COMPUTED_VALUE"""),"Центральный")</f>
        <v>Центральный</v>
      </c>
      <c r="E1316" s="6" t="str">
        <f>IFERROR(__xludf.DUMMYFUNCTION("""COMPUTED_VALUE"""),"Горсад")</f>
        <v>Горсад</v>
      </c>
      <c r="F1316" s="6" t="str">
        <f>IFERROR(__xludf.DUMMYFUNCTION("""COMPUTED_VALUE"""),"Переехал сюда из другого места (откуда? укажите в графе другое), Оломоуц")</f>
        <v>Переехал сюда из другого места (откуда? укажите в графе другое), Оломоуц</v>
      </c>
      <c r="G1316" s="6" t="str">
        <f>IFERROR(__xludf.DUMMYFUNCTION("""COMPUTED_VALUE"""),"Набережная/Горсад, Парк Жукова/Антошка, Сосновый бор")</f>
        <v>Набережная/Горсад, Парк Жукова/Антошка, Сосновый бор</v>
      </c>
      <c r="H1316" s="6" t="str">
        <f>IFERROR(__xludf.DUMMYFUNCTION("""COMPUTED_VALUE"""),"Серый, грязный, ветренный, компактный")</f>
        <v>Серый, грязный, ветренный, компактный</v>
      </c>
      <c r="I1316" s="6" t="str">
        <f>IFERROR(__xludf.DUMMYFUNCTION("""COMPUTED_VALUE"""),"Мартемьянов")</f>
        <v>Мартемьянов</v>
      </c>
      <c r="J1316" s="6" t="str">
        <f>IFERROR(__xludf.DUMMYFUNCTION("""COMPUTED_VALUE"""),"Не знаю таких")</f>
        <v>Не знаю таких</v>
      </c>
      <c r="K1316" s="6" t="str">
        <f>IFERROR(__xludf.DUMMYFUNCTION("""COMPUTED_VALUE"""),"Индустриальную часть, станционная-карболитовская-стахановская")</f>
        <v>Индустриальную часть, станционная-карболитовская-стахановская</v>
      </c>
      <c r="L1316" s="6" t="str">
        <f>IFERROR(__xludf.DUMMYFUNCTION("""COMPUTED_VALUE"""),"Точить в одну каску.")</f>
        <v>Точить в одну каску.</v>
      </c>
      <c r="M1316" s="6" t="str">
        <f>IFERROR(__xludf.DUMMYFUNCTION("""COMPUTED_VALUE"""),"Мультифора,")</f>
        <v>Мультифора,</v>
      </c>
      <c r="N1316" s="6" t="str">
        <f>IFERROR(__xludf.DUMMYFUNCTION("""COMPUTED_VALUE"""),"Чистота, экологичность, удобная транспортная инфраструктура, парки")</f>
        <v>Чистота, экологичность, удобная транспортная инфраструктура, парки</v>
      </c>
      <c r="O1316" s="6" t="str">
        <f>IFERROR(__xludf.DUMMYFUNCTION("""COMPUTED_VALUE"""),"Горожан")</f>
        <v>Горожан</v>
      </c>
      <c r="P1316" s="6" t="str">
        <f>IFERROR(__xludf.DUMMYFUNCTION("""COMPUTED_VALUE"""),"Телевизор, инстаграмм")</f>
        <v>Телевизор, инстаграмм</v>
      </c>
      <c r="Q1316" s="6" t="str">
        <f>IFERROR(__xludf.DUMMYFUNCTION("""COMPUTED_VALUE"""),"куда пойти в свободное время, интервью с местными политиками, результаты местных исследований (рейтинги/аналитика/тенденции)")</f>
        <v>куда пойти в свободное время, интервью с местными политиками, результаты местных исследований (рейтинги/аналитика/тенденции)</v>
      </c>
      <c r="R1316" s="6" t="str">
        <f>IFERROR(__xludf.DUMMYFUNCTION("""COMPUTED_VALUE"""),"никакие")</f>
        <v>никакие</v>
      </c>
      <c r="S1316" s="6" t="str">
        <f>IFERROR(__xludf.DUMMYFUNCTION("""COMPUTED_VALUE"""),"веб-ресурс в начале 2000-х")</f>
        <v>веб-ресурс в начале 2000-х</v>
      </c>
      <c r="T1316" s="6" t="str">
        <f>IFERROR(__xludf.DUMMYFUNCTION("""COMPUTED_VALUE"""),"Последние пару лет Зимняя вишня, в остальном сложно людям объяснить чем знаменит город. Уголь, слишком размазано в понимании.")</f>
        <v>Последние пару лет Зимняя вишня, в остальном сложно людям объяснить чем знаменит город. Уголь, слишком размазано в понимании.</v>
      </c>
      <c r="U1316" s="6" t="str">
        <f>IFERROR(__xludf.DUMMYFUNCTION("""COMPUTED_VALUE"""),"Площадь советов, хотя это уже не первый десяток лет не единственный центр")</f>
        <v>Площадь советов, хотя это уже не первый десяток лет не единственный центр</v>
      </c>
      <c r="V1316" s="6" t="str">
        <f>IFERROR(__xludf.DUMMYFUNCTION("""COMPUTED_VALUE"""),"ничего")</f>
        <v>ничего</v>
      </c>
      <c r="W1316" s="6" t="str">
        <f>IFERROR(__xludf.DUMMYFUNCTION("""COMPUTED_VALUE"""),"Озлобленные, жадные, завистливые. ")</f>
        <v>Озлобленные, жадные, завистливые. </v>
      </c>
      <c r="X1316" s="6" t="str">
        <f>IFERROR(__xludf.DUMMYFUNCTION("""COMPUTED_VALUE"""),"Пешком по проспекту Ленина")</f>
        <v>Пешком по проспекту Ленина</v>
      </c>
      <c r="Y1316" s="6" t="str">
        <f>IFERROR(__xludf.DUMMYFUNCTION("""COMPUTED_VALUE"""),"Он появился")</f>
        <v>Он появился</v>
      </c>
      <c r="Z1316" s="6" t="str">
        <f>IFERROR(__xludf.DUMMYFUNCTION("""COMPUTED_VALUE"""),"Карантин")</f>
        <v>Карантин</v>
      </c>
      <c r="AA1316" s="6" t="str">
        <f>IFERROR(__xludf.DUMMYFUNCTION("""COMPUTED_VALUE"""),"сложно сказать, возможно это частные случаи")</f>
        <v>сложно сказать, возможно это частные случаи</v>
      </c>
      <c r="AB1316" s="6" t="str">
        <f>IFERROR(__xludf.DUMMYFUNCTION("""COMPUTED_VALUE"""),"Странный вопрос, наверное сейчас можно найти любое.")</f>
        <v>Странный вопрос, наверное сейчас можно найти любое.</v>
      </c>
      <c r="AC1316" s="6" t="str">
        <f>IFERROR(__xludf.DUMMYFUNCTION("""COMPUTED_VALUE"""),"Думаю общественных, которые перманентно происходят и горожанин знает что придя туда он найдёт чем заняться.")</f>
        <v>Думаю общественных, которые перманентно происходят и горожанин знает что придя туда он найдёт чем заняться.</v>
      </c>
      <c r="AD1316" s="6" t="str">
        <f>IFERROR(__xludf.DUMMYFUNCTION("""COMPUTED_VALUE"""),"Участника: Поучаствовать в обсуждении улучшений, собраниях горожан;, Не готов принимать личное участие (укажите, пожалуйста, причину в поле «Другое»), Возможно ещё хочу, но в силу особенностей города очень трудно стартануть и поддерживать интерес у Кемеро"&amp;"вчан. Он скорее имеет взрывной характер, причём с таким началом в виде тлеющего фитиля, потом взрывной интерес и скорое угасание. Ещё Кемеровчане не любят всё кемеровское. Можем более долго пообщаться на эту тему.")</f>
        <v>Участника: Поучаствовать в обсуждении улучшений, собраниях горожан;, Не готов принимать личное участие (укажите, пожалуйста, причину в поле «Другое»), Возможно ещё хочу, но в силу особенностей города очень трудно стартануть и поддерживать интерес у Кемеровчан. Он скорее имеет взрывной характер, причём с таким началом в виде тлеющего фитиля, потом взрывной интерес и скорое угасание. Ещё Кемеровчане не любят всё кемеровское. Можем более долго пообщаться на эту тему.</v>
      </c>
      <c r="AE1316" s="6" t="str">
        <f>IFERROR(__xludf.DUMMYFUNCTION("""COMPUTED_VALUE"""),"Мужской")</f>
        <v>Мужской</v>
      </c>
      <c r="AF1316" s="6" t="str">
        <f>IFERROR(__xludf.DUMMYFUNCTION("""COMPUTED_VALUE"""),"30-44")</f>
        <v>30-44</v>
      </c>
      <c r="AG1316" s="6"/>
      <c r="AH1316" s="6"/>
      <c r="AI1316" s="6"/>
      <c r="AJ1316" s="6"/>
      <c r="AK1316" s="6"/>
      <c r="AL1316" s="6"/>
      <c r="AM1316" s="6"/>
    </row>
    <row r="1317">
      <c r="A1317" s="6">
        <v>1316.0</v>
      </c>
      <c r="B1317" s="6" t="str">
        <f>IFERROR(__xludf.DUMMYFUNCTION("""COMPUTED_VALUE"""),"Пенсионер")</f>
        <v>Пенсионер</v>
      </c>
      <c r="C1317" s="6" t="str">
        <f>IFERROR(__xludf.DUMMYFUNCTION("""COMPUTED_VALUE"""),"Дача")</f>
        <v>Дача</v>
      </c>
      <c r="D1317" s="6" t="str">
        <f>IFERROR(__xludf.DUMMYFUNCTION("""COMPUTED_VALUE"""),"Южный")</f>
        <v>Южный</v>
      </c>
      <c r="E1317" s="6" t="str">
        <f>IFERROR(__xludf.DUMMYFUNCTION("""COMPUTED_VALUE"""),"Аллея от улицы Громовой до улицы Двужильного")</f>
        <v>Аллея от улицы Громовой до улицы Двужильного</v>
      </c>
      <c r="F1317" s="6" t="str">
        <f>IFERROR(__xludf.DUMMYFUNCTION("""COMPUTED_VALUE"""),"Живу здесь с рождения")</f>
        <v>Живу здесь с рождения</v>
      </c>
      <c r="G1317" s="6" t="str">
        <f>IFERROR(__xludf.DUMMYFUNCTION("""COMPUTED_VALUE"""),"Парк Антошка")</f>
        <v>Парк Антошка</v>
      </c>
      <c r="H1317" s="6" t="str">
        <f>IFERROR(__xludf.DUMMYFUNCTION("""COMPUTED_VALUE"""),"Газ, вонь в воздухе, много цветов летом, чистые улицы")</f>
        <v>Газ, вонь в воздухе, много цветов летом, чистые улицы</v>
      </c>
      <c r="I1317" s="6" t="str">
        <f>IFERROR(__xludf.DUMMYFUNCTION("""COMPUTED_VALUE"""),"Врач Подгорбунский")</f>
        <v>Врач Подгорбунский</v>
      </c>
      <c r="J1317" s="6" t="str">
        <f>IFERROR(__xludf.DUMMYFUNCTION("""COMPUTED_VALUE"""),"Не знаю")</f>
        <v>Не знаю</v>
      </c>
      <c r="K1317" s="6" t="str">
        <f>IFERROR(__xludf.DUMMYFUNCTION("""COMPUTED_VALUE"""),"Томская писаница")</f>
        <v>Томская писаница</v>
      </c>
      <c r="L1317" s="6" t="str">
        <f>IFERROR(__xludf.DUMMYFUNCTION("""COMPUTED_VALUE"""),"Не знаю")</f>
        <v>Не знаю</v>
      </c>
      <c r="M1317" s="6" t="str">
        <f>IFERROR(__xludf.DUMMYFUNCTION("""COMPUTED_VALUE"""),"Не знаю")</f>
        <v>Не знаю</v>
      </c>
      <c r="N1317" s="6" t="str">
        <f>IFERROR(__xludf.DUMMYFUNCTION("""COMPUTED_VALUE"""),"Чистый воздух, чистые улицы, зелёные зоны отдыха, современный городской транспорт, чистые реки")</f>
        <v>Чистый воздух, чистые улицы, зелёные зоны отдыха, современный городской транспорт, чистые реки</v>
      </c>
      <c r="O1317" s="6" t="str">
        <f>IFERROR(__xludf.DUMMYFUNCTION("""COMPUTED_VALUE"""),"Экологию ")</f>
        <v>Экологию </v>
      </c>
      <c r="P1317" s="6" t="str">
        <f>IFERROR(__xludf.DUMMYFUNCTION("""COMPUTED_VALUE"""),"Кузбасс онлайн")</f>
        <v>Кузбасс онлайн</v>
      </c>
      <c r="Q1317" s="6" t="str">
        <f>IFERROR(__xludf.DUMMYFUNCTION("""COMPUTED_VALUE"""),"интервью с местными политиками, интервью с местными предпринимателями, результаты местных исследований (рейтинги/аналитика/тенденции)")</f>
        <v>интервью с местными политиками, интервью с местными предпринимателями, результаты местных исследований (рейтинги/аналитика/тенденции)</v>
      </c>
      <c r="R1317" s="6" t="str">
        <f>IFERROR(__xludf.DUMMYFUNCTION("""COMPUTED_VALUE"""),"День города")</f>
        <v>День города</v>
      </c>
      <c r="S1317" s="6" t="str">
        <f>IFERROR(__xludf.DUMMYFUNCTION("""COMPUTED_VALUE"""),"Нет, не приходилось")</f>
        <v>Нет, не приходилось</v>
      </c>
      <c r="T1317" s="6" t="str">
        <f>IFERROR(__xludf.DUMMYFUNCTION("""COMPUTED_VALUE"""),"Ничем хорошим")</f>
        <v>Ничем хорошим</v>
      </c>
      <c r="U1317" s="6" t="str">
        <f>IFERROR(__xludf.DUMMYFUNCTION("""COMPUTED_VALUE"""),"Памятник погибшим Кузбассовцам на Весенней, Набережная")</f>
        <v>Памятник погибшим Кузбассовцам на Весенней, Набережная</v>
      </c>
      <c r="V1317" s="6" t="str">
        <f>IFERROR(__xludf.DUMMYFUNCTION("""COMPUTED_VALUE"""),"Во все времена были и  сейчас есть люди, которым судьба города не безразлична")</f>
        <v>Во все времена были и  сейчас есть люди, которым судьба города не безразлична</v>
      </c>
      <c r="W1317" s="6" t="str">
        <f>IFERROR(__xludf.DUMMYFUNCTION("""COMPUTED_VALUE"""),"Хмурые, поникшие, безрадостные")</f>
        <v>Хмурые, поникшие, безрадостные</v>
      </c>
      <c r="X1317" s="6" t="str">
        <f>IFERROR(__xludf.DUMMYFUNCTION("""COMPUTED_VALUE"""),"Набережная, улица Весенняя, проспект Советский")</f>
        <v>Набережная, улица Весенняя, проспект Советский</v>
      </c>
      <c r="Y1317" s="6" t="str">
        <f>IFERROR(__xludf.DUMMYFUNCTION("""COMPUTED_VALUE"""),"Не знаю")</f>
        <v>Не знаю</v>
      </c>
      <c r="Z1317" s="6" t="str">
        <f>IFERROR(__xludf.DUMMYFUNCTION("""COMPUTED_VALUE"""),"Суд Кассационной инстанции построили, кадетский корпус открыли")</f>
        <v>Суд Кассационной инстанции построили, кадетский корпус открыли</v>
      </c>
      <c r="AA1317" s="6" t="str">
        <f>IFERROR(__xludf.DUMMYFUNCTION("""COMPUTED_VALUE"""),"Нет таких событий ")</f>
        <v>Нет таких событий </v>
      </c>
      <c r="AB1317" s="6" t="str">
        <f>IFERROR(__xludf.DUMMYFUNCTION("""COMPUTED_VALUE"""),"Не могу сказать")</f>
        <v>Не могу сказать</v>
      </c>
      <c r="AC1317" s="6" t="str">
        <f>IFERROR(__xludf.DUMMYFUNCTION("""COMPUTED_VALUE"""),"Всего достаточно. Спортивные мероприятия проводятся. Театры радуют постановками. Приезжие театры со своими спектаклями вообще просто супер! Для молодёжи тоже много концертов.")</f>
        <v>Всего достаточно. Спортивные мероприятия проводятся. Театры радуют постановками. Приезжие театры со своими спектаклями вообще просто супер! Для молодёжи тоже много концертов.</v>
      </c>
      <c r="AD131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317" s="6" t="str">
        <f>IFERROR(__xludf.DUMMYFUNCTION("""COMPUTED_VALUE"""),"Женский")</f>
        <v>Женский</v>
      </c>
      <c r="AF1317" s="6" t="str">
        <f>IFERROR(__xludf.DUMMYFUNCTION("""COMPUTED_VALUE"""),"старше 55")</f>
        <v>старше 55</v>
      </c>
      <c r="AG1317" s="6"/>
      <c r="AH1317" s="6"/>
      <c r="AI1317" s="6"/>
      <c r="AJ1317" s="6"/>
      <c r="AK1317" s="6"/>
      <c r="AL1317" s="6"/>
      <c r="AM1317" s="6"/>
    </row>
    <row r="1318">
      <c r="A1318" s="6">
        <v>1317.0</v>
      </c>
      <c r="B1318" s="6" t="str">
        <f>IFERROR(__xludf.DUMMYFUNCTION("""COMPUTED_VALUE"""),"В декрете ")</f>
        <v>В декрете </v>
      </c>
      <c r="C1318" s="6" t="str">
        <f>IFERROR(__xludf.DUMMYFUNCTION("""COMPUTED_VALUE"""),"Сад-огород, шитье-вязание")</f>
        <v>Сад-огород, шитье-вязание</v>
      </c>
      <c r="D1318" s="6" t="str">
        <f>IFERROR(__xludf.DUMMYFUNCTION("""COMPUTED_VALUE"""),"Заводский. Швейка-Сибиряки")</f>
        <v>Заводский. Швейка-Сибиряки</v>
      </c>
      <c r="E1318" s="6" t="str">
        <f>IFERROR(__xludf.DUMMYFUNCTION("""COMPUTED_VALUE"""),"Парк на месте Зимней вишни ")</f>
        <v>Парк на месте Зимней вишни </v>
      </c>
      <c r="F1318" s="6" t="str">
        <f>IFERROR(__xludf.DUMMYFUNCTION("""COMPUTED_VALUE"""),"Живу здесь с рождения")</f>
        <v>Живу здесь с рождения</v>
      </c>
      <c r="G1318" s="6" t="str">
        <f>IFERROR(__xludf.DUMMYFUNCTION("""COMPUTED_VALUE"""),"Набережная. Парк Антошка-Жукова")</f>
        <v>Набережная. Парк Антошка-Жукова</v>
      </c>
      <c r="H1318" s="6" t="str">
        <f>IFERROR(__xludf.DUMMYFUNCTION("""COMPUTED_VALUE"""),"Грязь, плохой воздух.
Река Томь (но купаться негде) 
Сосны (но их мало) 
Пыль. 
Слово Кузбасс, почти Голливуд 😁")</f>
        <v>Грязь, плохой воздух.
Река Томь (но купаться негде) 
Сосны (но их мало) 
Пыль. 
Слово Кузбасс, почти Голливуд 😁</v>
      </c>
      <c r="I1318" s="6" t="str">
        <f>IFERROR(__xludf.DUMMYFUNCTION("""COMPUTED_VALUE"""),"Подгорбунский, Леонов, Мвртемьянов, Михайлов (бывший мэр). ")</f>
        <v>Подгорбунский, Леонов, Мвртемьянов, Михайлов (бывший мэр). </v>
      </c>
      <c r="J1318" s="6" t="str">
        <f>IFERROR(__xludf.DUMMYFUNCTION("""COMPUTED_VALUE"""),"Не знаю")</f>
        <v>Не знаю</v>
      </c>
      <c r="K1318" s="6" t="str">
        <f>IFERROR(__xludf.DUMMYFUNCTION("""COMPUTED_VALUE"""),"Сосновый бор; осенью парк на Пионерском; парк за детской ЖД; памятник солдату с гармошкой у театра драмы; фонтаны; собака на колодце на набережной ; отремонтированный парк около обл. библиотеки")</f>
        <v>Сосновый бор; осенью парк на Пионерском; парк за детской ЖД; памятник солдату с гармошкой у театра драмы; фонтаны; собака на колодце на набережной ; отремонтированный парк около обл. библиотеки</v>
      </c>
      <c r="L1318" s="6" t="str">
        <f>IFERROR(__xludf.DUMMYFUNCTION("""COMPUTED_VALUE"""),"-")</f>
        <v>-</v>
      </c>
      <c r="M1318" s="6" t="str">
        <f>IFERROR(__xludf.DUMMYFUNCTION("""COMPUTED_VALUE"""),"-")</f>
        <v>-</v>
      </c>
      <c r="N1318" s="6" t="str">
        <f>IFERROR(__xludf.DUMMYFUNCTION("""COMPUTED_VALUE"""),"- Наличие берез, лип, сосен (раз в 20 больше, чем есть), больше зелени
- Трамвайные остановки прикрытые стенкой со стороны дороги. 
- Целое дорожное полотно во дворах и МЕЖДУ ДВОРАМИ.
- Закрытые мусорные площадки (как в Питере), наличие контейнеров для сб"&amp;"ора бумаги, стекла, старой одежды и обуви, пластика (с нормальным отверстием) 
- Спрятать трубы")</f>
        <v>- Наличие берез, лип, сосен (раз в 20 больше, чем есть), больше зелени
- Трамвайные остановки прикрытые стенкой со стороны дороги. 
- Целое дорожное полотно во дворах и МЕЖДУ ДВОРАМИ.
- Закрытые мусорные площадки (как в Питере), наличие контейнеров для сбора бумаги, стекла, старой одежды и обуви, пластика (с нормальным отверстием) 
- Спрятать трубы</v>
      </c>
      <c r="O1318" s="6" t="str">
        <f>IFERROR(__xludf.DUMMYFUNCTION("""COMPUTED_VALUE"""),"Навести порядок (подмести, помыть, подмазать-покрасить). ")</f>
        <v>Навести порядок (подмести, помыть, подмазать-покрасить). </v>
      </c>
      <c r="P1318" s="6" t="str">
        <f>IFERROR(__xludf.DUMMYFUNCTION("""COMPUTED_VALUE"""),"""Сарафанное радио"", инстаграм, ТВ новости")</f>
        <v>"Сарафанное радио", инстаграм, ТВ новости</v>
      </c>
      <c r="Q1318"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318" s="6" t="str">
        <f>IFERROR(__xludf.DUMMYFUNCTION("""COMPUTED_VALUE"""),"9 мая, Новый год, масленица")</f>
        <v>9 мая, Новый год, масленица</v>
      </c>
      <c r="S1318" s="6" t="str">
        <f>IFERROR(__xludf.DUMMYFUNCTION("""COMPUTED_VALUE"""),"Нет, не приходилось")</f>
        <v>Нет, не приходилось</v>
      </c>
      <c r="T1318" s="6" t="str">
        <f>IFERROR(__xludf.DUMMYFUNCTION("""COMPUTED_VALUE"""),"Сегодня известен печальной Вишней, до этого приходилось называть соседние области, говорить про Тулеева")</f>
        <v>Сегодня известен печальной Вишней, до этого приходилось называть соседние области, говорить про Тулеева</v>
      </c>
      <c r="U1318" s="6" t="str">
        <f>IFERROR(__xludf.DUMMYFUNCTION("""COMPUTED_VALUE"""),"Ул. Весенняя (в районе театра), Арочная (где Орбита), парк Антошка, парк Ангелов")</f>
        <v>Ул. Весенняя (в районе театра), Арочная (где Орбита), парк Антошка, парк Ангелов</v>
      </c>
      <c r="V1318" s="6" t="str">
        <f>IFERROR(__xludf.DUMMYFUNCTION("""COMPUTED_VALUE"""),"Не могу сказать")</f>
        <v>Не могу сказать</v>
      </c>
      <c r="W1318" s="6" t="str">
        <f>IFERROR(__xludf.DUMMYFUNCTION("""COMPUTED_VALUE"""),"Такие же, как и остальные жители страны. Хватает любых. Застенчивых и ""открытых"", улыбчивых и не очень, начитанных и..., щедрых и жадных... ")</f>
        <v>Такие же, как и остальные жители страны. Хватает любых. Застенчивых и "открытых", улыбчивых и не очень, начитанных и..., щедрых и жадных... </v>
      </c>
      <c r="X1318" s="6" t="str">
        <f>IFERROR(__xludf.DUMMYFUNCTION("""COMPUTED_VALUE"""),"Весенняя-набережная-район филармонии-пр. Пионерский-парк у детской ЖД-пр. Притомский-мост--Лесная Поляна-в обратную сторону через Журавлевы горы и д. Красную по мосту через Кадетский корпус-бульвар Строителей - пр. Ленина-парк Ангелов - Дзержинского-Комму"&amp;"нистическая - Кузнецкий - Красная горка")</f>
        <v>Весенняя-набережная-район филармонии-пр. Пионерский-парк у детской ЖД-пр. Притомский-мост--Лесная Поляна-в обратную сторону через Журавлевы горы и д. Красную по мосту через Кадетский корпус-бульвар Строителей - пр. Ленина-парк Ангелов - Дзержинского-Коммунистическая - Кузнецкий - Красная горка</v>
      </c>
      <c r="Y1318" s="6" t="str">
        <f>IFERROR(__xludf.DUMMYFUNCTION("""COMPUTED_VALUE"""),"Переименование деревни Щеглово в город КЕМЕРОВО ")</f>
        <v>Переименование деревни Щеглово в город КЕМЕРОВО </v>
      </c>
      <c r="Z1318" s="6" t="str">
        <f>IFERROR(__xludf.DUMMYFUNCTION("""COMPUTED_VALUE"""),"Открытие кадетского корпуса")</f>
        <v>Открытие кадетского корпуса</v>
      </c>
      <c r="AA1318" s="6" t="str">
        <f>IFERROR(__xludf.DUMMYFUNCTION("""COMPUTED_VALUE"""),"За 2 года не знаю, а в целом закрытие военного училища. ")</f>
        <v>За 2 года не знаю, а в целом закрытие военного училища. </v>
      </c>
      <c r="AB1318" s="6" t="str">
        <f>IFERROR(__xludf.DUMMYFUNCTION("""COMPUTED_VALUE"""),"-")</f>
        <v>-</v>
      </c>
      <c r="AC1318" s="6" t="str">
        <f>IFERROR(__xludf.DUMMYFUNCTION("""COMPUTED_VALUE"""),"Фестивали музыки, концерты, спортивные мероприятия, выставки")</f>
        <v>Фестивали музыки, концерты, спортивные мероприятия, выставки</v>
      </c>
      <c r="AD131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318" s="6" t="str">
        <f>IFERROR(__xludf.DUMMYFUNCTION("""COMPUTED_VALUE"""),"Женский")</f>
        <v>Женский</v>
      </c>
      <c r="AF1318" s="6" t="str">
        <f>IFERROR(__xludf.DUMMYFUNCTION("""COMPUTED_VALUE"""),"30-44")</f>
        <v>30-44</v>
      </c>
      <c r="AG1318" s="6"/>
      <c r="AH1318" s="6"/>
      <c r="AI1318" s="6"/>
      <c r="AJ1318" s="6"/>
      <c r="AK1318" s="6"/>
      <c r="AL1318" s="6"/>
      <c r="AM1318" s="6"/>
    </row>
    <row r="1319">
      <c r="A1319" s="6">
        <v>1318.0</v>
      </c>
      <c r="B1319" s="6" t="str">
        <f>IFERROR(__xludf.DUMMYFUNCTION("""COMPUTED_VALUE"""),"Культура и искусство")</f>
        <v>Культура и искусство</v>
      </c>
      <c r="C1319" s="6" t="str">
        <f>IFERROR(__xludf.DUMMYFUNCTION("""COMPUTED_VALUE"""),"нет")</f>
        <v>нет</v>
      </c>
      <c r="D1319" s="6" t="str">
        <f>IFERROR(__xludf.DUMMYFUNCTION("""COMPUTED_VALUE"""),"Центральный")</f>
        <v>Центральный</v>
      </c>
      <c r="E1319" s="6" t="str">
        <f>IFERROR(__xludf.DUMMYFUNCTION("""COMPUTED_VALUE"""),"набережная")</f>
        <v>набережная</v>
      </c>
      <c r="F1319" s="6" t="str">
        <f>IFERROR(__xludf.DUMMYFUNCTION("""COMPUTED_VALUE"""),"Переехал сюда из другого места (откуда? укажите в графе другое), Киселевск")</f>
        <v>Переехал сюда из другого места (откуда? укажите в графе другое), Киселевск</v>
      </c>
      <c r="G1319" s="6" t="str">
        <f>IFERROR(__xludf.DUMMYFUNCTION("""COMPUTED_VALUE"""),"сосновый бор")</f>
        <v>сосновый бор</v>
      </c>
      <c r="H1319" s="6" t="str">
        <f>IFERROR(__xludf.DUMMYFUNCTION("""COMPUTED_VALUE"""),"культура несовременность тишина удобство")</f>
        <v>культура несовременность тишина удобство</v>
      </c>
      <c r="I1319" s="6" t="str">
        <f>IFERROR(__xludf.DUMMYFUNCTION("""COMPUTED_VALUE"""),"михайлов")</f>
        <v>михайлов</v>
      </c>
      <c r="J1319" s="6" t="str">
        <f>IFERROR(__xludf.DUMMYFUNCTION("""COMPUTED_VALUE"""),"пилипчук федорова")</f>
        <v>пилипчук федорова</v>
      </c>
      <c r="K1319" s="6" t="str">
        <f>IFERROR(__xludf.DUMMYFUNCTION("""COMPUTED_VALUE"""),"набережная")</f>
        <v>набережная</v>
      </c>
      <c r="L1319" s="6" t="str">
        <f>IFERROR(__xludf.DUMMYFUNCTION("""COMPUTED_VALUE"""),"скучно живете")</f>
        <v>скучно живете</v>
      </c>
      <c r="M1319" s="6" t="str">
        <f>IFERROR(__xludf.DUMMYFUNCTION("""COMPUTED_VALUE"""),"нет")</f>
        <v>нет</v>
      </c>
      <c r="N1319" s="6" t="str">
        <f>IFERROR(__xludf.DUMMYFUNCTION("""COMPUTED_VALUE"""),"отсутствие пробок, транспорт с кондиционером, чистота улиц, общественные праздники")</f>
        <v>отсутствие пробок, транспорт с кондиционером, чистота улиц, общественные праздники</v>
      </c>
      <c r="O1319" s="6" t="str">
        <f>IFERROR(__xludf.DUMMYFUNCTION("""COMPUTED_VALUE"""),"сделать объездную дорогу, привлечь туристов")</f>
        <v>сделать объездную дорогу, привлечь туристов</v>
      </c>
      <c r="P1319" s="6" t="str">
        <f>IFERROR(__xludf.DUMMYFUNCTION("""COMPUTED_VALUE"""),"а42.ру")</f>
        <v>а42.ру</v>
      </c>
      <c r="Q1319" s="6" t="str">
        <f>IFERROR(__xludf.DUMMYFUNCTION("""COMPUTED_VALUE"""),"интервью с местными политиками,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("&amp;"напишите в разделе Другое свои предложения)")</f>
        <v>интервью с местными политиками,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319" s="6" t="str">
        <f>IFERROR(__xludf.DUMMYFUNCTION("""COMPUTED_VALUE"""),"мультиформатные: спортивные, развлекательные, зрелищные, питание")</f>
        <v>мультиформатные: спортивные, развлекательные, зрелищные, питание</v>
      </c>
      <c r="S1319" s="6" t="str">
        <f>IFERROR(__xludf.DUMMYFUNCTION("""COMPUTED_VALUE"""),"Делал рассылку по электронной почте")</f>
        <v>Делал рассылку по электронной почте</v>
      </c>
      <c r="T1319" s="6" t="str">
        <f>IFERROR(__xludf.DUMMYFUNCTION("""COMPUTED_VALUE"""),"нет ответа")</f>
        <v>нет ответа</v>
      </c>
      <c r="U1319" s="6" t="str">
        <f>IFERROR(__xludf.DUMMYFUNCTION("""COMPUTED_VALUE"""),"набережная")</f>
        <v>набережная</v>
      </c>
      <c r="V1319" s="6" t="str">
        <f>IFERROR(__xludf.DUMMYFUNCTION("""COMPUTED_VALUE"""),"построили красивый город")</f>
        <v>построили красивый город</v>
      </c>
      <c r="W1319" s="6" t="str">
        <f>IFERROR(__xludf.DUMMYFUNCTION("""COMPUTED_VALUE"""),"добрые, образованные, трудяги")</f>
        <v>добрые, образованные, трудяги</v>
      </c>
      <c r="X1319" s="6" t="str">
        <f>IFERROR(__xludf.DUMMYFUNCTION("""COMPUTED_VALUE"""),"набережная - горсад, бульвар строителей")</f>
        <v>набережная - горсад, бульвар строителей</v>
      </c>
      <c r="Y1319" s="6" t="str">
        <f>IFERROR(__xludf.DUMMYFUNCTION("""COMPUTED_VALUE"""),"пожар в зимней вишне")</f>
        <v>пожар в зимней вишне</v>
      </c>
      <c r="Z1319" s="6" t="str">
        <f>IFERROR(__xludf.DUMMYFUNCTION("""COMPUTED_VALUE"""),"нет ответа")</f>
        <v>нет ответа</v>
      </c>
      <c r="AA1319" s="6" t="str">
        <f>IFERROR(__xludf.DUMMYFUNCTION("""COMPUTED_VALUE"""),"не нашли Яшу, который сбил ребенка на Весенней лет 6-7 назад")</f>
        <v>не нашли Яшу, который сбил ребенка на Весенней лет 6-7 назад</v>
      </c>
      <c r="AB1319" s="6" t="str">
        <f>IFERROR(__xludf.DUMMYFUNCTION("""COMPUTED_VALUE"""),"объединения пенсионеров, сейчас они сами по себе и только маленькая часть ходят в советы ветеранов")</f>
        <v>объединения пенсионеров, сейчас они сами по себе и только маленькая часть ходят в советы ветеранов</v>
      </c>
      <c r="AC1319" s="6" t="str">
        <f>IFERROR(__xludf.DUMMYFUNCTION("""COMPUTED_VALUE"""),"массовые регулярные")</f>
        <v>массовые регулярные</v>
      </c>
      <c r="AD131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за"&amp;"интересованных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319" s="6" t="str">
        <f>IFERROR(__xludf.DUMMYFUNCTION("""COMPUTED_VALUE"""),"Мужской")</f>
        <v>Мужской</v>
      </c>
      <c r="AF1319" s="6" t="str">
        <f>IFERROR(__xludf.DUMMYFUNCTION("""COMPUTED_VALUE"""),"30-44")</f>
        <v>30-44</v>
      </c>
      <c r="AG1319" s="6"/>
      <c r="AH1319" s="6"/>
      <c r="AI1319" s="6"/>
      <c r="AJ1319" s="6"/>
      <c r="AK1319" s="6"/>
      <c r="AL1319" s="6"/>
      <c r="AM1319" s="6"/>
    </row>
    <row r="1320">
      <c r="A1320" s="6">
        <v>1319.0</v>
      </c>
      <c r="B1320" s="6" t="str">
        <f>IFERROR(__xludf.DUMMYFUNCTION("""COMPUTED_VALUE"""),"Энергетика")</f>
        <v>Энергетика</v>
      </c>
      <c r="C1320" s="6" t="str">
        <f>IFERROR(__xludf.DUMMYFUNCTION("""COMPUTED_VALUE"""),"Велосипед")</f>
        <v>Велосипед</v>
      </c>
      <c r="D1320" s="6" t="str">
        <f>IFERROR(__xludf.DUMMYFUNCTION("""COMPUTED_VALUE"""),"ФПК")</f>
        <v>ФПК</v>
      </c>
      <c r="E1320" s="6" t="str">
        <f>IFERROR(__xludf.DUMMYFUNCTION("""COMPUTED_VALUE"""),"Фикальные пруды Кемерово")</f>
        <v>Фикальные пруды Кемерово</v>
      </c>
      <c r="F1320" s="6" t="str">
        <f>IFERROR(__xludf.DUMMYFUNCTION("""COMPUTED_VALUE"""),"Живу здесь с рождения")</f>
        <v>Живу здесь с рождения</v>
      </c>
      <c r="G1320" s="6" t="str">
        <f>IFERROR(__xludf.DUMMYFUNCTION("""COMPUTED_VALUE"""),"Везде, парк")</f>
        <v>Везде, парк</v>
      </c>
      <c r="H1320" s="6" t="str">
        <f>IFERROR(__xludf.DUMMYFUNCTION("""COMPUTED_VALUE"""),"Зелёный, промышленный, загазованный, провинция, молодой")</f>
        <v>Зелёный, промышленный, загазованный, провинция, молодой</v>
      </c>
      <c r="I1320" s="6" t="str">
        <f>IFERROR(__xludf.DUMMYFUNCTION("""COMPUTED_VALUE"""),"Заузелков, Дружинин, Волошина, Волков, Мартемьянов")</f>
        <v>Заузелков, Дружинин, Волошина, Волков, Мартемьянов</v>
      </c>
      <c r="J1320" s="6" t="str">
        <f>IFERROR(__xludf.DUMMYFUNCTION("""COMPUTED_VALUE"""),"Тулеев, Светлаков Ю.")</f>
        <v>Тулеев, Светлаков Ю.</v>
      </c>
      <c r="K1320" s="6" t="str">
        <f>IFERROR(__xludf.DUMMYFUNCTION("""COMPUTED_VALUE"""),"Никакие")</f>
        <v>Никакие</v>
      </c>
      <c r="L1320" s="6" t="str">
        <f>IFERROR(__xludf.DUMMYFUNCTION("""COMPUTED_VALUE"""),"Город ничем не отличается от любого провинциального города")</f>
        <v>Город ничем не отличается от любого провинциального города</v>
      </c>
      <c r="M1320" s="6" t="str">
        <f>IFERROR(__xludf.DUMMYFUNCTION("""COMPUTED_VALUE"""),"Нет")</f>
        <v>Нет</v>
      </c>
      <c r="N1320" s="6" t="str">
        <f>IFERROR(__xludf.DUMMYFUNCTION("""COMPUTED_VALUE"""),"Чистый воздух, много зелёных посадок, удобная планировка улиц, парки и скверы, широкие проспекты")</f>
        <v>Чистый воздух, много зелёных посадок, удобная планировка улиц, парки и скверы, широкие проспекты</v>
      </c>
      <c r="O1320" s="6" t="str">
        <f>IFERROR(__xludf.DUMMYFUNCTION("""COMPUTED_VALUE"""),"Сделать воздух чистым, сделать город чистым, очень много мест где нет тротуаров, дорог")</f>
        <v>Сделать воздух чистым, сделать город чистым, очень много мест где нет тротуаров, дорог</v>
      </c>
      <c r="P1320" s="6" t="str">
        <f>IFERROR(__xludf.DUMMYFUNCTION("""COMPUTED_VALUE"""),"Instagram, сайт А42, КузбассОнлайн")</f>
        <v>Instagram, сайт А42, КузбассОнлайн</v>
      </c>
      <c r="Q1320" s="6" t="str">
        <f>IFERROR(__xludf.DUMMYFUNCTION("""COMPUTED_VALUE"""),"куда пойти в свободное время, городская афиша (кино/театр/концерты),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акции/запуск"&amp;"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320" s="6" t="str">
        <f>IFERROR(__xludf.DUMMYFUNCTION("""COMPUTED_VALUE"""),"Нет таких")</f>
        <v>Нет таких</v>
      </c>
      <c r="S1320" s="6" t="str">
        <f>IFERROR(__xludf.DUMMYFUNCTION("""COMPUTED_VALUE"""),"Нет, не приходилось")</f>
        <v>Нет, не приходилось</v>
      </c>
      <c r="T1320" s="6" t="str">
        <f>IFERROR(__xludf.DUMMYFUNCTION("""COMPUTED_VALUE"""),"Ничего")</f>
        <v>Ничего</v>
      </c>
      <c r="U1320" s="6" t="str">
        <f>IFERROR(__xludf.DUMMYFUNCTION("""COMPUTED_VALUE"""),"пр-кт Советский")</f>
        <v>пр-кт Советский</v>
      </c>
      <c r="V1320" s="6" t="str">
        <f>IFERROR(__xludf.DUMMYFUNCTION("""COMPUTED_VALUE"""),"Работали")</f>
        <v>Работали</v>
      </c>
      <c r="W1320" s="6" t="str">
        <f>IFERROR(__xludf.DUMMYFUNCTION("""COMPUTED_VALUE"""),"Ничем не отличаются от жителей других городов")</f>
        <v>Ничем не отличаются от жителей других городов</v>
      </c>
      <c r="X1320" s="6" t="str">
        <f>IFERROR(__xludf.DUMMYFUNCTION("""COMPUTED_VALUE"""),"Красная горка, ГРЭС, Советский, Притомский")</f>
        <v>Красная горка, ГРЭС, Советский, Притомский</v>
      </c>
      <c r="Y1320" s="6" t="str">
        <f>IFERROR(__xludf.DUMMYFUNCTION("""COMPUTED_VALUE"""),"Всероссийская студвесна")</f>
        <v>Всероссийская студвесна</v>
      </c>
      <c r="Z1320" s="6" t="str">
        <f>IFERROR(__xludf.DUMMYFUNCTION("""COMPUTED_VALUE"""),"Новое строительство, облагораживание города")</f>
        <v>Новое строительство, облагораживание города</v>
      </c>
      <c r="AA1320" s="6" t="str">
        <f>IFERROR(__xludf.DUMMYFUNCTION("""COMPUTED_VALUE"""),"Масочный режим")</f>
        <v>Масочный режим</v>
      </c>
      <c r="AB1320" s="6" t="str">
        <f>IFERROR(__xludf.DUMMYFUNCTION("""COMPUTED_VALUE"""),"Культурных")</f>
        <v>Культурных</v>
      </c>
      <c r="AC1320" s="6" t="str">
        <f>IFERROR(__xludf.DUMMYFUNCTION("""COMPUTED_VALUE"""),"Фестивали")</f>
        <v>Фестивали</v>
      </c>
      <c r="AD132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20" s="6" t="str">
        <f>IFERROR(__xludf.DUMMYFUNCTION("""COMPUTED_VALUE"""),"Женский")</f>
        <v>Женский</v>
      </c>
      <c r="AF1320" s="6" t="str">
        <f>IFERROR(__xludf.DUMMYFUNCTION("""COMPUTED_VALUE"""),"30-44")</f>
        <v>30-44</v>
      </c>
      <c r="AG1320" s="6"/>
      <c r="AH1320" s="6"/>
      <c r="AI1320" s="6"/>
      <c r="AJ1320" s="6"/>
      <c r="AK1320" s="6"/>
      <c r="AL1320" s="6"/>
      <c r="AM1320" s="6"/>
    </row>
    <row r="1321">
      <c r="A1321" s="6">
        <v>1320.0</v>
      </c>
      <c r="B1321" s="6" t="str">
        <f>IFERROR(__xludf.DUMMYFUNCTION("""COMPUTED_VALUE"""),"Работаю пытаюсь выжить")</f>
        <v>Работаю пытаюсь выжить</v>
      </c>
      <c r="C1321" s="6" t="str">
        <f>IFERROR(__xludf.DUMMYFUNCTION("""COMPUTED_VALUE"""),"Выжить")</f>
        <v>Выжить</v>
      </c>
      <c r="D1321" s="6" t="str">
        <f>IFERROR(__xludf.DUMMYFUNCTION("""COMPUTED_VALUE"""),"Ленинский")</f>
        <v>Ленинский</v>
      </c>
      <c r="E1321" s="6" t="str">
        <f>IFERROR(__xludf.DUMMYFUNCTION("""COMPUTED_VALUE"""),"Пр. Ленина")</f>
        <v>Пр. Ленина</v>
      </c>
      <c r="F1321" s="6" t="str">
        <f>IFERROR(__xludf.DUMMYFUNCTION("""COMPUTED_VALUE"""),"Родился здесь,но сейчас живу в другом городе")</f>
        <v>Родился здесь,но сейчас живу в другом городе</v>
      </c>
      <c r="G1321" s="6" t="str">
        <f>IFERROR(__xludf.DUMMYFUNCTION("""COMPUTED_VALUE"""),"Некуда ходить")</f>
        <v>Некуда ходить</v>
      </c>
      <c r="H1321" s="6" t="str">
        <f>IFERROR(__xludf.DUMMYFUNCTION("""COMPUTED_VALUE"""),"Серый, мрачный, нищий, Без Преспективный, убогий")</f>
        <v>Серый, мрачный, нищий, Без Преспективный, убогий</v>
      </c>
      <c r="I1321" s="6" t="str">
        <f>IFERROR(__xludf.DUMMYFUNCTION("""COMPUTED_VALUE"""),"Волков")</f>
        <v>Волков</v>
      </c>
      <c r="J1321" s="6" t="str">
        <f>IFERROR(__xludf.DUMMYFUNCTION("""COMPUTED_VALUE"""),"Нет таких")</f>
        <v>Нет таких</v>
      </c>
      <c r="K1321" s="6" t="str">
        <f>IFERROR(__xludf.DUMMYFUNCTION("""COMPUTED_VALUE"""),"Нет таких")</f>
        <v>Нет таких</v>
      </c>
      <c r="L1321" s="6" t="str">
        <f>IFERROR(__xludf.DUMMYFUNCTION("""COMPUTED_VALUE"""),"Нет тапих")</f>
        <v>Нет тапих</v>
      </c>
      <c r="M1321" s="6" t="str">
        <f>IFERROR(__xludf.DUMMYFUNCTION("""COMPUTED_VALUE"""),"Дыра")</f>
        <v>Дыра</v>
      </c>
      <c r="N1321" s="6" t="str">
        <f>IFERROR(__xludf.DUMMYFUNCTION("""COMPUTED_VALUE"""),"Зароботная плата,")</f>
        <v>Зароботная плата,</v>
      </c>
      <c r="O1321" s="6" t="str">
        <f>IFERROR(__xludf.DUMMYFUNCTION("""COMPUTED_VALUE"""),"Власть")</f>
        <v>Власть</v>
      </c>
      <c r="P1321" s="6" t="str">
        <f>IFERROR(__xludf.DUMMYFUNCTION("""COMPUTED_VALUE"""),"Интернет")</f>
        <v>Интернет</v>
      </c>
      <c r="Q1321" s="6" t="str">
        <f>IFERROR(__xludf.DUMMYFUNCTION("""COMPUTED_VALUE"""),"куда пойти в свободное время, где вкусно поесть/открытие новых кафе/ресторанов")</f>
        <v>куда пойти в свободное время, где вкусно поесть/открытие новых кафе/ресторанов</v>
      </c>
      <c r="R1321" s="6" t="str">
        <f>IFERROR(__xludf.DUMMYFUNCTION("""COMPUTED_VALUE"""),"День города, 9 мая")</f>
        <v>День города, 9 мая</v>
      </c>
      <c r="S1321" s="6" t="str">
        <f>IFERROR(__xludf.DUMMYFUNCTION("""COMPUTED_VALUE"""),"Нет, не приходилось")</f>
        <v>Нет, не приходилось</v>
      </c>
      <c r="T1321" s="6" t="str">
        <f>IFERROR(__xludf.DUMMYFUNCTION("""COMPUTED_VALUE"""),"Года касками стучали по рельсам")</f>
        <v>Года касками стучали по рельсам</v>
      </c>
      <c r="U1321" s="6" t="str">
        <f>IFERROR(__xludf.DUMMYFUNCTION("""COMPUTED_VALUE"""),"Ни чего")</f>
        <v>Ни чего</v>
      </c>
      <c r="V1321" s="6" t="str">
        <f>IFERROR(__xludf.DUMMYFUNCTION("""COMPUTED_VALUE"""),"Заводы которые разволили")</f>
        <v>Заводы которые разволили</v>
      </c>
      <c r="W1321" s="6" t="str">
        <f>IFERROR(__xludf.DUMMYFUNCTION("""COMPUTED_VALUE"""),"Злые")</f>
        <v>Злые</v>
      </c>
      <c r="X1321" s="6" t="str">
        <f>IFERROR(__xludf.DUMMYFUNCTION("""COMPUTED_VALUE"""),"Нет такого")</f>
        <v>Нет такого</v>
      </c>
      <c r="Y1321" s="6" t="str">
        <f>IFERROR(__xludf.DUMMYFUNCTION("""COMPUTED_VALUE"""),"Выживание города как его распродали")</f>
        <v>Выживание города как его распродали</v>
      </c>
      <c r="Z1321" s="6" t="str">
        <f>IFERROR(__xludf.DUMMYFUNCTION("""COMPUTED_VALUE"""),"Нет таких")</f>
        <v>Нет таких</v>
      </c>
      <c r="AA1321" s="6" t="str">
        <f>IFERROR(__xludf.DUMMYFUNCTION("""COMPUTED_VALUE"""),"Новый губернатор")</f>
        <v>Новый губернатор</v>
      </c>
      <c r="AB1321" s="6" t="str">
        <f>IFERROR(__xludf.DUMMYFUNCTION("""COMPUTED_VALUE"""),"Нет")</f>
        <v>Нет</v>
      </c>
      <c r="AC1321" s="6" t="str">
        <f>IFERROR(__xludf.DUMMYFUNCTION("""COMPUTED_VALUE"""),"Смена власти ")</f>
        <v>Смена власти </v>
      </c>
      <c r="AD1321" s="6" t="str">
        <f>IFERROR(__xludf.DUMMYFUNCTION("""COMPUTED_VALUE"""),"Не готов принимать личное участие (укажите, пожалуйста, причину в поле «Другое»), Без смысленно")</f>
        <v>Не готов принимать личное участие (укажите, пожалуйста, причину в поле «Другое»), Без смысленно</v>
      </c>
      <c r="AE1321" s="6" t="str">
        <f>IFERROR(__xludf.DUMMYFUNCTION("""COMPUTED_VALUE"""),"Мужской")</f>
        <v>Мужской</v>
      </c>
      <c r="AF1321" s="6" t="str">
        <f>IFERROR(__xludf.DUMMYFUNCTION("""COMPUTED_VALUE"""),"45-55")</f>
        <v>45-55</v>
      </c>
      <c r="AG1321" s="6"/>
      <c r="AH1321" s="6"/>
      <c r="AI1321" s="6"/>
      <c r="AJ1321" s="6"/>
      <c r="AK1321" s="6"/>
      <c r="AL1321" s="6"/>
      <c r="AM1321" s="6"/>
    </row>
    <row r="1322">
      <c r="A1322" s="6">
        <v>1321.0</v>
      </c>
      <c r="B1322" s="6" t="str">
        <f>IFERROR(__xludf.DUMMYFUNCTION("""COMPUTED_VALUE"""),"Работаю в РЖД")</f>
        <v>Работаю в РЖД</v>
      </c>
      <c r="C1322" s="6" t="str">
        <f>IFERROR(__xludf.DUMMYFUNCTION("""COMPUTED_VALUE"""),"Кианите на сноуборде, велопрогулки, пробежки по парку")</f>
        <v>Кианите на сноуборде, велопрогулки, пробежки по парку</v>
      </c>
      <c r="D1322" s="6" t="str">
        <f>IFERROR(__xludf.DUMMYFUNCTION("""COMPUTED_VALUE"""),"Центральный ")</f>
        <v>Центральный </v>
      </c>
      <c r="E1322" s="6" t="str">
        <f>IFERROR(__xludf.DUMMYFUNCTION("""COMPUTED_VALUE"""),"Кадетский корпус, строится Московская площадь")</f>
        <v>Кадетский корпус, строится Московская площадь</v>
      </c>
      <c r="F1322" s="6" t="str">
        <f>IFERROR(__xludf.DUMMYFUNCTION("""COMPUTED_VALUE"""),"Живу здесь с рождения")</f>
        <v>Живу здесь с рождения</v>
      </c>
      <c r="G1322" s="6" t="str">
        <f>IFERROR(__xludf.DUMMYFUNCTION("""COMPUTED_VALUE"""),"Бульвар строителей, набережная, улица весенняя, горсад, парки")</f>
        <v>Бульвар строителей, набережная, улица весенняя, горсад, парки</v>
      </c>
      <c r="H1322" s="6" t="str">
        <f>IFERROR(__xludf.DUMMYFUNCTION("""COMPUTED_VALUE"""),"Зелёный, развитие, смог, экология, любимый")</f>
        <v>Зелёный, развитие, смог, экология, любимый</v>
      </c>
      <c r="I1322" s="6" t="str">
        <f>IFERROR(__xludf.DUMMYFUNCTION("""COMPUTED_VALUE"""),"Михаил Евдокимов, Алексей Леонов")</f>
        <v>Михаил Евдокимов, Алексей Леонов</v>
      </c>
      <c r="J1322" s="6" t="str">
        <f>IFERROR(__xludf.DUMMYFUNCTION("""COMPUTED_VALUE"""),"Юрий Арбачаков, ")</f>
        <v>Юрий Арбачаков, </v>
      </c>
      <c r="K1322" s="6" t="str">
        <f>IFERROR(__xludf.DUMMYFUNCTION("""COMPUTED_VALUE"""),"Красная горка, рудничный Бор, Томская писаница ")</f>
        <v>Красная горка, рудничный Бор, Томская писаница </v>
      </c>
      <c r="L1322" s="6" t="str">
        <f>IFERROR(__xludf.DUMMYFUNCTION("""COMPUTED_VALUE"""),"Трудяга-город в западной Сибири,
Шахтерский край, любимый мой Кузбасс!")</f>
        <v>Трудяга-город в западной Сибири,
Шахтерский край, любимый мой Кузбасс!</v>
      </c>
      <c r="M1322" s="6" t="str">
        <f>IFERROR(__xludf.DUMMYFUNCTION("""COMPUTED_VALUE"""),"Нет")</f>
        <v>Нет</v>
      </c>
      <c r="N1322" s="6" t="str">
        <f>IFERROR(__xludf.DUMMYFUNCTION("""COMPUTED_VALUE"""),"Экология, наличие мест для отдыха, Развития (спортивные центры, театры, кино, выставки), чистота городских улиц")</f>
        <v>Экология, наличие мест для отдыха, Развития (спортивные центры, театры, кино, выставки), чистота городских улиц</v>
      </c>
      <c r="O1322" s="6" t="str">
        <f>IFERROR(__xludf.DUMMYFUNCTION("""COMPUTED_VALUE"""),"Экологию")</f>
        <v>Экологию</v>
      </c>
      <c r="P1322" s="6" t="str">
        <f>IFERROR(__xludf.DUMMYFUNCTION("""COMPUTED_VALUE"""),"НГС 42, в соцсетях (Инстаграмм, ВКонтакте)")</f>
        <v>НГС 42, в соцсетях (Инстаграмм, ВКонтакте)</v>
      </c>
      <c r="Q1322"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322" s="6" t="str">
        <f>IFERROR(__xludf.DUMMYFUNCTION("""COMPUTED_VALUE"""),"День Победы, день шахтера")</f>
        <v>День Победы, день шахтера</v>
      </c>
      <c r="S1322" s="6" t="str">
        <f>IFERROR(__xludf.DUMMYFUNCTION("""COMPUTED_VALUE"""),"Нет, не приходилось")</f>
        <v>Нет, не приходилось</v>
      </c>
      <c r="T1322" s="6" t="str">
        <f>IFERROR(__xludf.DUMMYFUNCTION("""COMPUTED_VALUE"""),"Печально известен «Зимней Вишней»")</f>
        <v>Печально известен «Зимней Вишней»</v>
      </c>
      <c r="U1322" s="6" t="str">
        <f>IFERROR(__xludf.DUMMYFUNCTION("""COMPUTED_VALUE"""),"Площадь Советов")</f>
        <v>Площадь Советов</v>
      </c>
      <c r="V1322" s="6" t="str">
        <f>IFERROR(__xludf.DUMMYFUNCTION("""COMPUTED_VALUE"""),"Развитие угольной промышленности")</f>
        <v>Развитие угольной промышленности</v>
      </c>
      <c r="W1322" s="6" t="str">
        <f>IFERROR(__xludf.DUMMYFUNCTION("""COMPUTED_VALUE"""),"Замкнутые, серые, не отзывчивые")</f>
        <v>Замкнутые, серые, не отзывчивые</v>
      </c>
      <c r="X1322" s="6" t="str">
        <f>IFERROR(__xludf.DUMMYFUNCTION("""COMPUTED_VALUE"""),"Весенняя с выходом на набережную и далее через горсад на Кирова на площадь советов")</f>
        <v>Весенняя с выходом на набережную и далее через горсад на Кирова на площадь советов</v>
      </c>
      <c r="Y1322" s="6" t="str">
        <f>IFERROR(__xludf.DUMMYFUNCTION("""COMPUTED_VALUE"""),"Не знаю")</f>
        <v>Не знаю</v>
      </c>
      <c r="Z1322" s="6" t="str">
        <f>IFERROR(__xludf.DUMMYFUNCTION("""COMPUTED_VALUE"""),"Строительство Московской площалюди и кадетского корпуса")</f>
        <v>Строительство Московской площалюди и кадетского корпуса</v>
      </c>
      <c r="AA1322" s="6" t="str">
        <f>IFERROR(__xludf.DUMMYFUNCTION("""COMPUTED_VALUE"""),"Пожар в Зимней Вишне, ухудшение экологии, закрытие ГСК Лазурный")</f>
        <v>Пожар в Зимней Вишне, ухудшение экологии, закрытие ГСК Лазурный</v>
      </c>
      <c r="AB1322" s="6" t="str">
        <f>IFERROR(__xludf.DUMMYFUNCTION("""COMPUTED_VALUE"""),"Всего хватает")</f>
        <v>Всего хватает</v>
      </c>
      <c r="AC1322" s="6" t="str">
        <f>IFERROR(__xludf.DUMMYFUNCTION("""COMPUTED_VALUE"""),"Посещение звёзд эстрады и проведение спортивных мероприятий (чемпионаты России/мира и тд)")</f>
        <v>Посещение звёзд эстрады и проведение спортивных мероприятий (чемпионаты России/мира и тд)</v>
      </c>
      <c r="AD132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22" s="6" t="str">
        <f>IFERROR(__xludf.DUMMYFUNCTION("""COMPUTED_VALUE"""),"Мужской")</f>
        <v>Мужской</v>
      </c>
      <c r="AF1322" s="6" t="str">
        <f>IFERROR(__xludf.DUMMYFUNCTION("""COMPUTED_VALUE"""),"30-44")</f>
        <v>30-44</v>
      </c>
      <c r="AG1322" s="6"/>
      <c r="AH1322" s="6"/>
      <c r="AI1322" s="6"/>
      <c r="AJ1322" s="6"/>
      <c r="AK1322" s="6"/>
      <c r="AL1322" s="6"/>
      <c r="AM1322" s="6"/>
    </row>
    <row r="1323">
      <c r="A1323" s="6">
        <v>1322.0</v>
      </c>
      <c r="B1323" s="6" t="str">
        <f>IFERROR(__xludf.DUMMYFUNCTION("""COMPUTED_VALUE"""),"Работаю")</f>
        <v>Работаю</v>
      </c>
      <c r="C1323" s="6" t="str">
        <f>IFERROR(__xludf.DUMMYFUNCTION("""COMPUTED_VALUE"""),"Спорт")</f>
        <v>Спорт</v>
      </c>
      <c r="D1323" s="6" t="str">
        <f>IFERROR(__xludf.DUMMYFUNCTION("""COMPUTED_VALUE"""),"Шалготарьян")</f>
        <v>Шалготарьян</v>
      </c>
      <c r="E1323" s="6" t="str">
        <f>IFERROR(__xludf.DUMMYFUNCTION("""COMPUTED_VALUE"""),"Оз.Красное")</f>
        <v>Оз.Красное</v>
      </c>
      <c r="F1323" s="6" t="str">
        <f>IFERROR(__xludf.DUMMYFUNCTION("""COMPUTED_VALUE"""),"Переехал сюда из другого места (откуда? укажите в графе другое), Ленинск-кузнецкий")</f>
        <v>Переехал сюда из другого места (откуда? укажите в графе другое), Ленинск-кузнецкий</v>
      </c>
      <c r="G1323" s="6" t="str">
        <f>IFERROR(__xludf.DUMMYFUNCTION("""COMPUTED_VALUE"""),"Речка")</f>
        <v>Речка</v>
      </c>
      <c r="H1323" s="6" t="str">
        <f>IFERROR(__xludf.DUMMYFUNCTION("""COMPUTED_VALUE"""),"Город, родной, удобный, хороший, современный")</f>
        <v>Город, родной, удобный, хороший, современный</v>
      </c>
      <c r="I1323" s="6" t="str">
        <f>IFERROR(__xludf.DUMMYFUNCTION("""COMPUTED_VALUE"""),"Не знаю")</f>
        <v>Не знаю</v>
      </c>
      <c r="J1323" s="6" t="str">
        <f>IFERROR(__xludf.DUMMYFUNCTION("""COMPUTED_VALUE"""),"Не знаю")</f>
        <v>Не знаю</v>
      </c>
      <c r="K1323" s="6" t="str">
        <f>IFERROR(__xludf.DUMMYFUNCTION("""COMPUTED_VALUE"""),"Бульвар, оз.Красное")</f>
        <v>Бульвар, оз.Красное</v>
      </c>
      <c r="L1323" s="6" t="str">
        <f>IFERROR(__xludf.DUMMYFUNCTION("""COMPUTED_VALUE"""),"Не знаю")</f>
        <v>Не знаю</v>
      </c>
      <c r="M1323" s="6" t="str">
        <f>IFERROR(__xludf.DUMMYFUNCTION("""COMPUTED_VALUE"""),"Нет")</f>
        <v>Нет</v>
      </c>
      <c r="N1323" s="6" t="str">
        <f>IFERROR(__xludf.DUMMYFUNCTION("""COMPUTED_VALUE"""),"Транспорт, природа, работа, места отдыха, удобство")</f>
        <v>Транспорт, природа, работа, места отдыха, удобство</v>
      </c>
      <c r="O1323" s="6" t="str">
        <f>IFERROR(__xludf.DUMMYFUNCTION("""COMPUTED_VALUE"""),"Профессиональный спорт развивать. Рабочие места создавать")</f>
        <v>Профессиональный спорт развивать. Рабочие места создавать</v>
      </c>
      <c r="P1323" s="6" t="str">
        <f>IFERROR(__xludf.DUMMYFUNCTION("""COMPUTED_VALUE"""),"Интернет")</f>
        <v>Интернет</v>
      </c>
      <c r="Q1323"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323" s="6" t="str">
        <f>IFERROR(__xludf.DUMMYFUNCTION("""COMPUTED_VALUE"""),"Новый год")</f>
        <v>Новый год</v>
      </c>
      <c r="S1323" s="6" t="str">
        <f>IFERROR(__xludf.DUMMYFUNCTION("""COMPUTED_VALUE"""),"Нет, не приходилось")</f>
        <v>Нет, не приходилось</v>
      </c>
      <c r="T1323" s="6" t="str">
        <f>IFERROR(__xludf.DUMMYFUNCTION("""COMPUTED_VALUE"""),"Столица угольного края")</f>
        <v>Столица угольного края</v>
      </c>
      <c r="U1323" s="6" t="str">
        <f>IFERROR(__xludf.DUMMYFUNCTION("""COMPUTED_VALUE"""),"Б-Р Строителей")</f>
        <v>Б-Р Строителей</v>
      </c>
      <c r="V1323" s="6" t="str">
        <f>IFERROR(__xludf.DUMMYFUNCTION("""COMPUTED_VALUE"""),"Не знаю")</f>
        <v>Не знаю</v>
      </c>
      <c r="W1323" s="6" t="str">
        <f>IFERROR(__xludf.DUMMYFUNCTION("""COMPUTED_VALUE"""),"Обычные")</f>
        <v>Обычные</v>
      </c>
      <c r="X1323" s="6" t="str">
        <f>IFERROR(__xludf.DUMMYFUNCTION("""COMPUTED_VALUE"""),"Б-р Стооителей")</f>
        <v>Б-р Стооителей</v>
      </c>
      <c r="Y1323" s="6" t="str">
        <f>IFERROR(__xludf.DUMMYFUNCTION("""COMPUTED_VALUE"""),"Не знаю")</f>
        <v>Не знаю</v>
      </c>
      <c r="Z1323" s="6" t="str">
        <f>IFERROR(__xludf.DUMMYFUNCTION("""COMPUTED_VALUE"""),"Строительство новых объектоа")</f>
        <v>Строительство новых объектоа</v>
      </c>
      <c r="AA1323" s="6" t="str">
        <f>IFERROR(__xludf.DUMMYFUNCTION("""COMPUTED_VALUE"""),"Низкие зарплаты")</f>
        <v>Низкие зарплаты</v>
      </c>
      <c r="AB1323" s="6" t="str">
        <f>IFERROR(__xludf.DUMMYFUNCTION("""COMPUTED_VALUE"""),"По интересам")</f>
        <v>По интересам</v>
      </c>
      <c r="AC1323" s="6" t="str">
        <f>IFERROR(__xludf.DUMMYFUNCTION("""COMPUTED_VALUE"""),"Сообщества по интересам создавать, спортивные сероприятия развивать")</f>
        <v>Сообщества по интересам создавать, спортивные сероприятия развивать</v>
      </c>
      <c r="AD132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23" s="6" t="str">
        <f>IFERROR(__xludf.DUMMYFUNCTION("""COMPUTED_VALUE"""),"Мужской")</f>
        <v>Мужской</v>
      </c>
      <c r="AF1323" s="6" t="str">
        <f>IFERROR(__xludf.DUMMYFUNCTION("""COMPUTED_VALUE"""),"30-44")</f>
        <v>30-44</v>
      </c>
      <c r="AG1323" s="6"/>
      <c r="AH1323" s="6"/>
      <c r="AI1323" s="6"/>
      <c r="AJ1323" s="6"/>
      <c r="AK1323" s="6"/>
      <c r="AL1323" s="6"/>
      <c r="AM1323" s="6"/>
    </row>
    <row r="1324">
      <c r="A1324" s="6">
        <v>1323.0</v>
      </c>
      <c r="B1324" s="6" t="str">
        <f>IFERROR(__xludf.DUMMYFUNCTION("""COMPUTED_VALUE"""),"Военный")</f>
        <v>Военный</v>
      </c>
      <c r="C1324" s="6" t="str">
        <f>IFERROR(__xludf.DUMMYFUNCTION("""COMPUTED_VALUE"""),"Велосипед")</f>
        <v>Велосипед</v>
      </c>
      <c r="D1324" s="6" t="str">
        <f>IFERROR(__xludf.DUMMYFUNCTION("""COMPUTED_VALUE"""),"Кировский")</f>
        <v>Кировский</v>
      </c>
      <c r="E1324" s="6" t="str">
        <f>IFERROR(__xludf.DUMMYFUNCTION("""COMPUTED_VALUE"""),"Набережная")</f>
        <v>Набережная</v>
      </c>
      <c r="F1324" s="6" t="str">
        <f>IFERROR(__xludf.DUMMYFUNCTION("""COMPUTED_VALUE"""),"Живу здесь с рождения")</f>
        <v>Живу здесь с рождения</v>
      </c>
      <c r="G1324" s="6" t="str">
        <f>IFERROR(__xludf.DUMMYFUNCTION("""COMPUTED_VALUE"""),"Набережная")</f>
        <v>Набережная</v>
      </c>
      <c r="H1324" s="6" t="str">
        <f>IFERROR(__xludf.DUMMYFUNCTION("""COMPUTED_VALUE"""),"Затрудняюсь ответить")</f>
        <v>Затрудняюсь ответить</v>
      </c>
      <c r="I1324" s="6" t="str">
        <f>IFERROR(__xludf.DUMMYFUNCTION("""COMPUTED_VALUE"""),"Леонов больше никого не могу вспомнить")</f>
        <v>Леонов больше никого не могу вспомнить</v>
      </c>
      <c r="J1324" s="6" t="str">
        <f>IFERROR(__xludf.DUMMYFUNCTION("""COMPUTED_VALUE"""),"Нет таких")</f>
        <v>Нет таких</v>
      </c>
      <c r="K1324" s="6" t="str">
        <f>IFERROR(__xludf.DUMMYFUNCTION("""COMPUTED_VALUE"""),"Набережную Кировского района, Томскую писаницу, Парк Ангелов")</f>
        <v>Набережную Кировского района, Томскую писаницу, Парк Ангелов</v>
      </c>
      <c r="L1324" s="6" t="str">
        <f>IFERROR(__xludf.DUMMYFUNCTION("""COMPUTED_VALUE"""),"Ничего не приходит в голову.")</f>
        <v>Ничего не приходит в голову.</v>
      </c>
      <c r="M1324" s="6" t="str">
        <f>IFERROR(__xludf.DUMMYFUNCTION("""COMPUTED_VALUE"""),"Нет")</f>
        <v>Нет</v>
      </c>
      <c r="N1324" s="6" t="str">
        <f>IFERROR(__xludf.DUMMYFUNCTION("""COMPUTED_VALUE"""),"Чистый воздух, велосипедные и пешеходные дорожки, отсутствие пробок, освещение дворов и улиц, чистота и своевременная уборка мусора, отсутствие шума по ночам.")</f>
        <v>Чистый воздух, велосипедные и пешеходные дорожки, отсутствие пробок, освещение дворов и улиц, чистота и своевременная уборка мусора, отсутствие шума по ночам.</v>
      </c>
      <c r="O1324" s="6" t="str">
        <f>IFERROR(__xludf.DUMMYFUNCTION("""COMPUTED_VALUE"""),"Нужны велосипедные дорожки, дополнительный мост через Томь")</f>
        <v>Нужны велосипедные дорожки, дополнительный мост через Томь</v>
      </c>
      <c r="P1324" s="6" t="str">
        <f>IFERROR(__xludf.DUMMYFUNCTION("""COMPUTED_VALUE"""),"Отовсюду по немногу")</f>
        <v>Отовсюду по немногу</v>
      </c>
      <c r="Q132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чек/реклам"&amp;"ные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324" s="6" t="str">
        <f>IFERROR(__xludf.DUMMYFUNCTION("""COMPUTED_VALUE"""),"Затрудняюсь с ответом")</f>
        <v>Затрудняюсь с ответом</v>
      </c>
      <c r="S1324" s="6" t="str">
        <f>IFERROR(__xludf.DUMMYFUNCTION("""COMPUTED_VALUE"""),"Нет, не приходилось")</f>
        <v>Нет, не приходилось</v>
      </c>
      <c r="T1324" s="6" t="str">
        <f>IFERROR(__xludf.DUMMYFUNCTION("""COMPUTED_VALUE"""),"Известен как столица угольщиков. И трагедией в ""Зимней вишне""")</f>
        <v>Известен как столица угольщиков. И трагедией в "Зимней вишне"</v>
      </c>
      <c r="U1324" s="6" t="str">
        <f>IFERROR(__xludf.DUMMYFUNCTION("""COMPUTED_VALUE"""),"Площадь советов. И центральную набережную.")</f>
        <v>Площадь советов. И центральную набережную.</v>
      </c>
      <c r="V1324" s="6" t="str">
        <f>IFERROR(__xludf.DUMMYFUNCTION("""COMPUTED_VALUE"""),"Строили наверно город")</f>
        <v>Строили наверно город</v>
      </c>
      <c r="W1324" s="6" t="str">
        <f>IFERROR(__xludf.DUMMYFUNCTION("""COMPUTED_VALUE"""),"Разные")</f>
        <v>Разные</v>
      </c>
      <c r="X1324" s="6" t="str">
        <f>IFERROR(__xludf.DUMMYFUNCTION("""COMPUTED_VALUE"""),"Если пешком. То сначала по центральной набережной а потом в парк Жукова. Только когда там работы по облагораживанию закончатся. Ну и потом в парк Ангелов заглянуть.")</f>
        <v>Если пешком. То сначала по центральной набережной а потом в парк Жукова. Только когда там работы по облагораживанию закончатся. Ну и потом в парк Ангелов заглянуть.</v>
      </c>
      <c r="Y1324" s="6" t="str">
        <f>IFERROR(__xludf.DUMMYFUNCTION("""COMPUTED_VALUE"""),"Образование города")</f>
        <v>Образование города</v>
      </c>
      <c r="Z1324" s="6" t="str">
        <f>IFERROR(__xludf.DUMMYFUNCTION("""COMPUTED_VALUE"""),"Не могу вспомнить")</f>
        <v>Не могу вспомнить</v>
      </c>
      <c r="AA1324" s="6" t="str">
        <f>IFERROR(__xludf.DUMMYFUNCTION("""COMPUTED_VALUE"""),"Не могу вспомнить")</f>
        <v>Не могу вспомнить</v>
      </c>
      <c r="AB1324" s="6" t="str">
        <f>IFERROR(__xludf.DUMMYFUNCTION("""COMPUTED_VALUE"""),"Затрудняюсь с ответом")</f>
        <v>Затрудняюсь с ответом</v>
      </c>
      <c r="AC1324" s="6" t="str">
        <f>IFERROR(__xludf.DUMMYFUNCTION("""COMPUTED_VALUE"""),"Бразильский карнавал :-)")</f>
        <v>Бразильский карнавал :-)</v>
      </c>
      <c r="AD1324"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324" s="6" t="str">
        <f>IFERROR(__xludf.DUMMYFUNCTION("""COMPUTED_VALUE"""),"Мужской")</f>
        <v>Мужской</v>
      </c>
      <c r="AF1324" s="6" t="str">
        <f>IFERROR(__xludf.DUMMYFUNCTION("""COMPUTED_VALUE"""),"30-44")</f>
        <v>30-44</v>
      </c>
      <c r="AG1324" s="6"/>
      <c r="AH1324" s="6"/>
      <c r="AI1324" s="6"/>
      <c r="AJ1324" s="6"/>
      <c r="AK1324" s="6"/>
      <c r="AL1324" s="6"/>
      <c r="AM1324" s="6"/>
    </row>
    <row r="1325">
      <c r="A1325" s="6">
        <v>1324.0</v>
      </c>
      <c r="B1325" s="6" t="str">
        <f>IFERROR(__xludf.DUMMYFUNCTION("""COMPUTED_VALUE"""),"Служащая")</f>
        <v>Служащая</v>
      </c>
      <c r="C1325" s="6" t="str">
        <f>IFERROR(__xludf.DUMMYFUNCTION("""COMPUTED_VALUE"""),"Путешествия, кулинария")</f>
        <v>Путешествия, кулинария</v>
      </c>
      <c r="D1325" s="6" t="str">
        <f>IFERROR(__xludf.DUMMYFUNCTION("""COMPUTED_VALUE"""),"Кировский")</f>
        <v>Кировский</v>
      </c>
      <c r="E1325" s="6" t="str">
        <f>IFERROR(__xludf.DUMMYFUNCTION("""COMPUTED_VALUE"""),"Берег реки Томь, роща")</f>
        <v>Берег реки Томь, роща</v>
      </c>
      <c r="F1325" s="6" t="str">
        <f>IFERROR(__xludf.DUMMYFUNCTION("""COMPUTED_VALUE"""),"Живу здесь с рождения, Живу с рождения, но несколько лет прожила в др.городах")</f>
        <v>Живу здесь с рождения, Живу с рождения, но несколько лет прожила в др.городах</v>
      </c>
      <c r="G1325" s="6" t="str">
        <f>IFERROR(__xludf.DUMMYFUNCTION("""COMPUTED_VALUE"""),"Парки, кафе")</f>
        <v>Парки, кафе</v>
      </c>
      <c r="H1325" s="6" t="str">
        <f>IFERROR(__xludf.DUMMYFUNCTION("""COMPUTED_VALUE"""),"Маленький, с плохим отношением к историческим зданиям, вырубленные деревья, скучный")</f>
        <v>Маленький, с плохим отношением к историческим зданиям, вырубленные деревья, скучный</v>
      </c>
      <c r="I1325" s="6" t="str">
        <f>IFERROR(__xludf.DUMMYFUNCTION("""COMPUTED_VALUE"""),"Их имена перечисленны в названиях улиц")</f>
        <v>Их имена перечисленны в названиях улиц</v>
      </c>
      <c r="J1325" s="6" t="str">
        <f>IFERROR(__xludf.DUMMYFUNCTION("""COMPUTED_VALUE"""),"В.В.Михайлов, Б.Александров, А.Тулеев, Э.Горьковский, учителя и директора школ")</f>
        <v>В.В.Михайлов, Б.Александров, А.Тулеев, Э.Горьковский, учителя и директора школ</v>
      </c>
      <c r="K1325" s="6" t="str">
        <f>IFERROR(__xludf.DUMMYFUNCTION("""COMPUTED_VALUE"""),"Красная горка, Сосновый бор, Томская писанница, ул.Весенняя, утки на р.Искитимка, Обл.библиотека, Театр оперетты, Театр для детей и молодёжи, Дом кино ""Москва"", ДК им.50летия Октября, ДК Шахтеров")</f>
        <v>Красная горка, Сосновый бор, Томская писанница, ул.Весенняя, утки на р.Искитимка, Обл.библиотека, Театр оперетты, Театр для детей и молодёжи, Дом кино "Москва", ДК им.50летия Октября, ДК Шахтеров</v>
      </c>
      <c r="L1325" s="6" t="str">
        <f>IFERROR(__xludf.DUMMYFUNCTION("""COMPUTED_VALUE"""),"- ")</f>
        <v>- </v>
      </c>
      <c r="M1325" s="6" t="str">
        <f>IFERROR(__xludf.DUMMYFUNCTION("""COMPUTED_VALUE"""),"- ")</f>
        <v>- </v>
      </c>
      <c r="N1325" s="6" t="str">
        <f>IFERROR(__xludf.DUMMYFUNCTION("""COMPUTED_VALUE"""),"Чистый воздух, наличие рабочих мест, транспортная доступность, много деревьев, разнообразный отдых")</f>
        <v>Чистый воздух, наличие рабочих мест, транспортная доступность, много деревьев, разнообразный отдых</v>
      </c>
      <c r="O1325" s="6" t="str">
        <f>IFERROR(__xludf.DUMMYFUNCTION("""COMPUTED_VALUE"""),"Экологию, рабочие места, транспортную доступность, отсутствие пробок, возможность отдыха: зоны отдыха и спорта в каждом микрорайоне для всех возрастных категорий, доступность городских служб, узнаваемое ""архитектурное лицо"" города")</f>
        <v>Экологию, рабочие места, транспортную доступность, отсутствие пробок, возможность отдыха: зоны отдыха и спорта в каждом микрорайоне для всех возрастных категорий, доступность городских служб, узнаваемое "архитектурное лицо" города</v>
      </c>
      <c r="P1325" s="6" t="str">
        <f>IFERROR(__xludf.DUMMYFUNCTION("""COMPUTED_VALUE""")," новостные ресурсы Интернета и СМИ, рассказы др.людей")</f>
        <v> новостные ресурсы Интернета и СМИ, рассказы др.людей</v>
      </c>
      <c r="Q1325"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v>
      </c>
      <c r="R1325" s="6" t="str">
        <f>IFERROR(__xludf.DUMMYFUNCTION("""COMPUTED_VALUE"""),"Новый год, Рождество, Масленница, День города, День победы, День знаний, Последний звонок. Раньше еще были демонстрации")</f>
        <v>Новый год, Рождество, Масленница, День города, День победы, День знаний, Последний звонок. Раньше еще были демонстрации</v>
      </c>
      <c r="S1325" s="6" t="str">
        <f>IFERROR(__xludf.DUMMYFUNCTION("""COMPUTED_VALUE"""),"Делал рассылку по электронной почте")</f>
        <v>Делал рассылку по электронной почте</v>
      </c>
      <c r="T1325" s="6" t="str">
        <f>IFERROR(__xludf.DUMMYFUNCTION("""COMPUTED_VALUE"""),"Областной центр")</f>
        <v>Областной центр</v>
      </c>
      <c r="U1325" s="6" t="str">
        <f>IFERROR(__xludf.DUMMYFUNCTION("""COMPUTED_VALUE"""),"От набережной р.Томь до пр.Ленина, от набережной р.Искитимка до ул Кирова и стадиона Химик")</f>
        <v>От набережной р.Томь до пр.Ленина, от набережной р.Искитимка до ул Кирова и стадиона Химик</v>
      </c>
      <c r="V1325" s="6" t="str">
        <f>IFERROR(__xludf.DUMMYFUNCTION("""COMPUTED_VALUE"""),"Строили город, высаживали деревья, занимались спортом, любили и рожали детей - жили в СВОЁМ городе))")</f>
        <v>Строили город, высаживали деревья, занимались спортом, любили и рожали детей - жили в СВОЁМ городе))</v>
      </c>
      <c r="W1325" s="6" t="str">
        <f>IFERROR(__xludf.DUMMYFUNCTION("""COMPUTED_VALUE"""),"Всякие")</f>
        <v>Всякие</v>
      </c>
      <c r="X1325" s="6" t="str">
        <f>IFERROR(__xludf.DUMMYFUNCTION("""COMPUTED_VALUE"""),"Филармония-парк Жукова- Антошка-парк Ангелов-Обл.библиотека-пл.Волкова-ул.Весенняя- Театр драмы- театр Оперетты- пл.Пушкина- сквер Орбита- набережная р.Томь- Красная горка- Сосновый бор")</f>
        <v>Филармония-парк Жукова- Антошка-парк Ангелов-Обл.библиотека-пл.Волкова-ул.Весенняя- Театр драмы- театр Оперетты- пл.Пушкина- сквер Орбита- набережная р.Томь- Красная горка- Сосновый бор</v>
      </c>
      <c r="Y1325" s="6" t="str">
        <f>IFERROR(__xludf.DUMMYFUNCTION("""COMPUTED_VALUE"""),"Некорректная формулировка вопроса")</f>
        <v>Некорректная формулировка вопроса</v>
      </c>
      <c r="Z1325" s="6" t="str">
        <f>IFERROR(__xludf.DUMMYFUNCTION("""COMPUTED_VALUE"""),"Герои рока, Чемпионат России по волейболу, Праздники на Томской писание (только если нет машины, то добираться сложно), концерты на пл Советов, премьеры спектаклей в Оперетте, ""Лучший"" и др")</f>
        <v>Герои рока, Чемпионат России по волейболу, Праздники на Томской писание (только если нет машины, то добираться сложно), концерты на пл Советов, премьеры спектаклей в Оперетте, "Лучший" и др</v>
      </c>
      <c r="AA1325" s="6" t="str">
        <f>IFERROR(__xludf.DUMMYFUNCTION("""COMPUTED_VALUE"""),"Вырубка деревьев, ухудшение работы транспорта, работа служб РЭУ, массированное строительство некрасивых и административных зданий, решение о строительстве культурного кластера, застройка прибрежных территорий ненужными городу зданиями")</f>
        <v>Вырубка деревьев, ухудшение работы транспорта, работа служб РЭУ, массированное строительство некрасивых и административных зданий, решение о строительстве культурного кластера, застройка прибрежных территорий ненужными городу зданиями</v>
      </c>
      <c r="AB1325" s="6" t="str">
        <f>IFERROR(__xludf.DUMMYFUNCTION("""COMPUTED_VALUE"""),"Поддержки семей с тяжелобольными родственниками")</f>
        <v>Поддержки семей с тяжелобольными родственниками</v>
      </c>
      <c r="AC1325" s="6" t="str">
        <f>IFERROR(__xludf.DUMMYFUNCTION("""COMPUTED_VALUE"""),"Фестивали музыки и спорта на открытом воздухе с продуманной и заранее объявленной транспортной логистикой")</f>
        <v>Фестивали музыки и спорта на открытом воздухе с продуманной и заранее объявленной транспортной логистикой</v>
      </c>
      <c r="AD132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25" s="6" t="str">
        <f>IFERROR(__xludf.DUMMYFUNCTION("""COMPUTED_VALUE"""),"Женский")</f>
        <v>Женский</v>
      </c>
      <c r="AF1325" s="6" t="str">
        <f>IFERROR(__xludf.DUMMYFUNCTION("""COMPUTED_VALUE"""),"45-55")</f>
        <v>45-55</v>
      </c>
      <c r="AG1325" s="6"/>
      <c r="AH1325" s="6"/>
      <c r="AI1325" s="6"/>
      <c r="AJ1325" s="6"/>
      <c r="AK1325" s="6"/>
      <c r="AL1325" s="6"/>
      <c r="AM1325" s="6"/>
    </row>
    <row r="1326">
      <c r="A1326" s="6">
        <v>1325.0</v>
      </c>
      <c r="B1326" s="6" t="str">
        <f>IFERROR(__xludf.DUMMYFUNCTION("""COMPUTED_VALUE"""),"Служащий ")</f>
        <v>Служащий </v>
      </c>
      <c r="C1326" s="6" t="str">
        <f>IFERROR(__xludf.DUMMYFUNCTION("""COMPUTED_VALUE"""),"Путешествия, прогулки, чтение, велосипед")</f>
        <v>Путешествия, прогулки, чтение, велосипед</v>
      </c>
      <c r="D1326" s="6" t="str">
        <f>IFERROR(__xludf.DUMMYFUNCTION("""COMPUTED_VALUE"""),"Рудничный, Радуга")</f>
        <v>Рудничный, Радуга</v>
      </c>
      <c r="E1326" s="6" t="str">
        <f>IFERROR(__xludf.DUMMYFUNCTION("""COMPUTED_VALUE"""),"Церковь, скоро будет каток")</f>
        <v>Церковь, скоро будет каток</v>
      </c>
      <c r="F1326" s="6" t="str">
        <f>IFERROR(__xludf.DUMMYFUNCTION("""COMPUTED_VALUE"""),"Переехал сюда из другого места (откуда? укажите в графе другое), В 2010 переехала из Анжеро-Судженска из-за работы ")</f>
        <v>Переехал сюда из другого места (откуда? укажите в графе другое), В 2010 переехала из Анжеро-Судженска из-за работы </v>
      </c>
      <c r="G1326" s="6" t="str">
        <f>IFERROR(__xludf.DUMMYFUNCTION("""COMPUTED_VALUE"""),"Рудничный Бор, центральная набережная Томи, кафешки")</f>
        <v>Рудничный Бор, центральная набережная Томи, кафешки</v>
      </c>
      <c r="H1326" s="6" t="str">
        <f>IFERROR(__xludf.DUMMYFUNCTION("""COMPUTED_VALUE"""),"Созидатель, большая химия, пробки с Радуги, капризные и очень требовательные горожане")</f>
        <v>Созидатель, большая химия, пробки с Радуги, капризные и очень требовательные горожане</v>
      </c>
      <c r="I1326" s="6" t="str">
        <f>IFERROR(__xludf.DUMMYFUNCTION("""COMPUTED_VALUE"""),"Михайло Волков")</f>
        <v>Михайло Волков</v>
      </c>
      <c r="J1326" s="6" t="str">
        <f>IFERROR(__xludf.DUMMYFUNCTION("""COMPUTED_VALUE"""),"Владимир Михайлов")</f>
        <v>Владимир Михайлов</v>
      </c>
      <c r="K1326" s="6" t="str">
        <f>IFERROR(__xludf.DUMMYFUNCTION("""COMPUTED_VALUE"""),"Красная Горка, набережная Томи, Ледовый дворец Кузбасс, бульвар Строителей")</f>
        <v>Красная Горка, набережная Томи, Ледовый дворец Кузбасс, бульвар Строителей</v>
      </c>
      <c r="L1326" s="6" t="str">
        <f>IFERROR(__xludf.DUMMYFUNCTION("""COMPUTED_VALUE"""),"Не знаю ")</f>
        <v>Не знаю </v>
      </c>
      <c r="M1326" s="6" t="str">
        <f>IFERROR(__xludf.DUMMYFUNCTION("""COMPUTED_VALUE"""),"Нет")</f>
        <v>Нет</v>
      </c>
      <c r="N1326" s="6" t="str">
        <f>IFERROR(__xludf.DUMMYFUNCTION("""COMPUTED_VALUE"""),"Логистическая доступность и отсутствие пробок, много зелени, детских и спортивных площадок")</f>
        <v>Логистическая доступность и отсутствие пробок, много зелени, детских и спортивных площадок</v>
      </c>
      <c r="O1326" s="6" t="str">
        <f>IFERROR(__xludf.DUMMYFUNCTION("""COMPUTED_VALUE"""),"Построить третий Автомобильный мост, помимо объездной дороги!")</f>
        <v>Построить третий Автомобильный мост, помимо объездной дороги!</v>
      </c>
      <c r="P1326" s="6" t="str">
        <f>IFERROR(__xludf.DUMMYFUNCTION("""COMPUTED_VALUE"""),"Новости на ты, Инстаграм главы города, Губернатора, различные паблики типа Кемерово official, Кемерово спортивный...")</f>
        <v>Новости на ты, Инстаграм главы города, Губернатора, различные паблики типа Кемерово official, Кемерово спортивный...</v>
      </c>
      <c r="Q132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местн"&amp;"ых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1326" s="6" t="str">
        <f>IFERROR(__xludf.DUMMYFUNCTION("""COMPUTED_VALUE"""),"День Победы, день города")</f>
        <v>День Победы, день города</v>
      </c>
      <c r="S1326" s="6" t="str">
        <f>IFERROR(__xludf.DUMMYFUNCTION("""COMPUTED_VALUE"""),"По работе постоянно )))")</f>
        <v>По работе постоянно )))</v>
      </c>
      <c r="T1326" s="6" t="str">
        <f>IFERROR(__xludf.DUMMYFUNCTION("""COMPUTED_VALUE"""),"Кроме елки за 18 миллионов? 🤣Людьми своими талантливыми и гостеприимными! Трудягами, чьим углём, металлом и химией живет вся страна! ")</f>
        <v>Кроме елки за 18 миллионов? 🤣Людьми своими талантливыми и гостеприимными! Трудягами, чьим углём, металлом и химией живет вся страна! </v>
      </c>
      <c r="U1326" s="6" t="str">
        <f>IFERROR(__xludf.DUMMYFUNCTION("""COMPUTED_VALUE"""),"Площадь Советов")</f>
        <v>Площадь Советов</v>
      </c>
      <c r="V1326" s="6" t="str">
        <f>IFERROR(__xludf.DUMMYFUNCTION("""COMPUTED_VALUE"""),"Кемеровчане прошлого создали город и его традиции, его архитектуру и дух! Сейчас пришло время обновления: набережная, культурный, юридический, спортивный кластеры! Будет гораздо современнее!")</f>
        <v>Кемеровчане прошлого создали город и его традиции, его архитектуру и дух! Сейчас пришло время обновления: набережная, культурный, юридический, спортивный кластеры! Будет гораздо современнее!</v>
      </c>
      <c r="W1326" s="6" t="str">
        <f>IFERROR(__xludf.DUMMYFUNCTION("""COMPUTED_VALUE"""),"Сильные, знающие себе цену, требовательные, капризные временами")</f>
        <v>Сильные, знающие себе цену, требовательные, капризные временами</v>
      </c>
      <c r="X1326" s="6" t="str">
        <f>IFERROR(__xludf.DUMMYFUNCTION("""COMPUTED_VALUE"""),"Проспект Советский, набережная Томи, фонтан у Драмтеатра")</f>
        <v>Проспект Советский, набережная Томи, фонтан у Драмтеатра</v>
      </c>
      <c r="Y1326" s="6" t="str">
        <f>IFERROR(__xludf.DUMMYFUNCTION("""COMPUTED_VALUE"""),"Находка угля")</f>
        <v>Находка угля</v>
      </c>
      <c r="Z1326" s="6" t="str">
        <f>IFERROR(__xludf.DUMMYFUNCTION("""COMPUTED_VALUE"""),"Взят курс на обновление инфраструктуры!")</f>
        <v>Взят курс на обновление инфраструктуры!</v>
      </c>
      <c r="AA1326" s="6" t="str">
        <f>IFERROR(__xludf.DUMMYFUNCTION("""COMPUTED_VALUE"""),"Зимняя вишня 😢 Из более мелкого неготовность родителей юных пловцов бассейна Лазурный к конструктивному диалогу.")</f>
        <v>Зимняя вишня 😢 Из более мелкого неготовность родителей юных пловцов бассейна Лазурный к конструктивному диалогу.</v>
      </c>
      <c r="AB1326" s="6" t="str">
        <f>IFERROR(__xludf.DUMMYFUNCTION("""COMPUTED_VALUE"""),"Всего хватает")</f>
        <v>Всего хватает</v>
      </c>
      <c r="AC1326" s="6" t="str">
        <f>IFERROR(__xludf.DUMMYFUNCTION("""COMPUTED_VALUE"""),"Небольших праздников в микрорайонах, для молодёжи больших Оле фестивалей под открытым небом")</f>
        <v>Небольших праздников в микрорайонах, для молодёжи больших Оле фестивалей под открытым небом</v>
      </c>
      <c r="AD132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26" s="6" t="str">
        <f>IFERROR(__xludf.DUMMYFUNCTION("""COMPUTED_VALUE"""),"Женский")</f>
        <v>Женский</v>
      </c>
      <c r="AF1326" s="6" t="str">
        <f>IFERROR(__xludf.DUMMYFUNCTION("""COMPUTED_VALUE"""),"45-55")</f>
        <v>45-55</v>
      </c>
      <c r="AG1326" s="6"/>
      <c r="AH1326" s="6"/>
      <c r="AI1326" s="6"/>
      <c r="AJ1326" s="6"/>
      <c r="AK1326" s="6"/>
      <c r="AL1326" s="6"/>
      <c r="AM1326" s="6"/>
    </row>
    <row r="1327">
      <c r="A1327" s="6">
        <v>1326.0</v>
      </c>
      <c r="B1327" s="6" t="str">
        <f>IFERROR(__xludf.DUMMYFUNCTION("""COMPUTED_VALUE"""),"Пенсионер юстиции")</f>
        <v>Пенсионер юстиции</v>
      </c>
      <c r="C1327" s="6" t="str">
        <f>IFERROR(__xludf.DUMMYFUNCTION("""COMPUTED_VALUE"""),"Садоводство и огородничество")</f>
        <v>Садоводство и огородничество</v>
      </c>
      <c r="D1327" s="6" t="str">
        <f>IFERROR(__xludf.DUMMYFUNCTION("""COMPUTED_VALUE"""),"Кемерово-Сити")</f>
        <v>Кемерово-Сити</v>
      </c>
      <c r="E1327" s="6" t="str">
        <f>IFERROR(__xludf.DUMMYFUNCTION("""COMPUTED_VALUE"""),"Бульвар Строителей")</f>
        <v>Бульвар Строителей</v>
      </c>
      <c r="F1327" s="6" t="str">
        <f>IFERROR(__xludf.DUMMYFUNCTION("""COMPUTED_VALUE"""),"Живу здесь с рождения")</f>
        <v>Живу здесь с рождения</v>
      </c>
      <c r="G1327" s="6" t="str">
        <f>IFERROR(__xludf.DUMMYFUNCTION("""COMPUTED_VALUE"""),"Берег Томи в районе Притомского, Красное озеро")</f>
        <v>Берег Томи в районе Притомского, Красное озеро</v>
      </c>
      <c r="H1327" s="6" t="str">
        <f>IFERROR(__xludf.DUMMYFUNCTION("""COMPUTED_VALUE"""),"Родной, строющийся, сибирский, дом, развивающийся")</f>
        <v>Родной, строющийся, сибирский, дом, развивающийся</v>
      </c>
      <c r="I1327" s="6" t="str">
        <f>IFERROR(__xludf.DUMMYFUNCTION("""COMPUTED_VALUE"""),"Ештокин, Тулеев, Михайлов, Бобров")</f>
        <v>Ештокин, Тулеев, Михайлов, Бобров</v>
      </c>
      <c r="J1327" s="6" t="str">
        <f>IFERROR(__xludf.DUMMYFUNCTION("""COMPUTED_VALUE"""),"Цивилев, Середюк, шахтеры")</f>
        <v>Цивилев, Середюк, шахтеры</v>
      </c>
      <c r="K1327" s="6" t="str">
        <f>IFERROR(__xludf.DUMMYFUNCTION("""COMPUTED_VALUE"""),"Таких нет")</f>
        <v>Таких нет</v>
      </c>
      <c r="L1327" s="6" t="str">
        <f>IFERROR(__xludf.DUMMYFUNCTION("""COMPUTED_VALUE"""),"Не знаю")</f>
        <v>Не знаю</v>
      </c>
      <c r="M1327" s="6" t="str">
        <f>IFERROR(__xludf.DUMMYFUNCTION("""COMPUTED_VALUE"""),"Нет затем")</f>
        <v>Нет затем</v>
      </c>
      <c r="N1327" s="6" t="str">
        <f>IFERROR(__xludf.DUMMYFUNCTION("""COMPUTED_VALUE"""),"Транспорт,дворовые территории,асфальт, детские площадки, технологичное производство")</f>
        <v>Транспорт,дворовые территории,асфальт, детские площадки, технологичное производство</v>
      </c>
      <c r="O1327" s="6" t="str">
        <f>IFERROR(__xludf.DUMMYFUNCTION("""COMPUTED_VALUE"""),"Стать промышленным городом с достаточным количеством рабочих мест")</f>
        <v>Стать промышленным городом с достаточным количеством рабочих мест</v>
      </c>
      <c r="P1327" s="6" t="str">
        <f>IFERROR(__xludf.DUMMYFUNCTION("""COMPUTED_VALUE"""),"42.ru, Яндекс новости Кемерово, новостные программы ТВ")</f>
        <v>42.ru, Яндекс новости Кемерово, новостные программы ТВ</v>
      </c>
      <c r="Q1327" s="6" t="str">
        <f>IFERROR(__xludf.DUMMYFUNCTION("""COMPUTED_VALUE"""),"городская афиша (кино/театр/концерты), интервью с местными политиками, интервью с местными творческими личностями")</f>
        <v>городская афиша (кино/театр/концерты), интервью с местными политиками, интервью с местными творческими личностями</v>
      </c>
      <c r="R1327" s="6" t="str">
        <f>IFERROR(__xludf.DUMMYFUNCTION("""COMPUTED_VALUE""")," Празднование 1 и 9 Мая, День Города")</f>
        <v> Празднование 1 и 9 Мая, День Города</v>
      </c>
      <c r="S1327" s="6" t="str">
        <f>IFERROR(__xludf.DUMMYFUNCTION("""COMPUTED_VALUE"""),"Нет, не приходилось")</f>
        <v>Нет, не приходилось</v>
      </c>
      <c r="T1327" s="6" t="str">
        <f>IFERROR(__xludf.DUMMYFUNCTION("""COMPUTED_VALUE"""),"Центр угольной промышленности России")</f>
        <v>Центр угольной промышленности России</v>
      </c>
      <c r="U1327" s="6" t="str">
        <f>IFERROR(__xludf.DUMMYFUNCTION("""COMPUTED_VALUE"""),"Центр Кировского района, район Соцгорода")</f>
        <v>Центр Кировского района, район Соцгорода</v>
      </c>
      <c r="V1327" s="6" t="str">
        <f>IFERROR(__xludf.DUMMYFUNCTION("""COMPUTED_VALUE"""),"Ковали Победу в ВОВ на предприятиях, создали лучшую химическую промышленнисть страны, героический труд шахтеров. Другими словам - Город Труженник и люди под стать Городу. ")</f>
        <v>Ковали Победу в ВОВ на предприятиях, создали лучшую химическую промышленнисть страны, героический труд шахтеров. Другими словам - Город Труженник и люди под стать Городу. </v>
      </c>
      <c r="W1327" s="6" t="str">
        <f>IFERROR(__xludf.DUMMYFUNCTION("""COMPUTED_VALUE"""),"Открытые, радушные. Но молодёжи это мало касается. Идеология - это одно из основных инструментов патриотизма и уверенности в будущее")</f>
        <v>Открытые, радушные. Но молодёжи это мало касается. Идеология - это одно из основных инструментов патриотизма и уверенности в будущее</v>
      </c>
      <c r="X1327" s="6" t="str">
        <f>IFERROR(__xludf.DUMMYFUNCTION("""COMPUTED_VALUE"""),"Когда закончится строительство всех намеченных об'ектов, тогда и поговорим о маршрутах. А пока бурно строящийся достойными об' ектами Притомский пр- т отрезан от цивилизация - практически нет общественного транспорта. ")</f>
        <v>Когда закончится строительство всех намеченных об'ектов, тогда и поговорим о маршрутах. А пока бурно строящийся достойными об' ектами Притомский пр- т отрезан от цивилизация - практически нет общественного транспорта. </v>
      </c>
      <c r="Y1327" s="6" t="str">
        <f>IFERROR(__xludf.DUMMYFUNCTION("""COMPUTED_VALUE""")," Основание АИК. ")</f>
        <v> Основание АИК. </v>
      </c>
      <c r="Z1327" s="6" t="str">
        <f>IFERROR(__xludf.DUMMYFUNCTION("""COMPUTED_VALUE"""),"Благоустройство и строительство города")</f>
        <v>Благоустройство и строительство города</v>
      </c>
      <c r="AA1327" s="6" t="str">
        <f>IFERROR(__xludf.DUMMYFUNCTION("""COMPUTED_VALUE"""),"Пандемия и все, что с ней связано: потеря работы, рост цен на продукты. ")</f>
        <v>Пандемия и все, что с ней связано: потеря работы, рост цен на продукты. </v>
      </c>
      <c r="AB1327" s="6" t="str">
        <f>IFERROR(__xludf.DUMMYFUNCTION("""COMPUTED_VALUE"""),"Не знаю")</f>
        <v>Не знаю</v>
      </c>
      <c r="AC1327" s="6" t="str">
        <f>IFERROR(__xludf.DUMMYFUNCTION("""COMPUTED_VALUE"""),"Достойная работа для трудоспособного населения, чтобы остановить отток. ")</f>
        <v>Достойная работа для трудоспособного населения, чтобы остановить отток. </v>
      </c>
      <c r="AD1327" s="6" t="str">
        <f>IFERROR(__xludf.DUMMYFUNCTION("""COMPUTED_VALUE"""),"Не готов принимать личное участие (укажите, пожалуйста, причину в поле «Другое»), Возраст не тот. ")</f>
        <v>Не готов принимать личное участие (укажите, пожалуйста, причину в поле «Другое»), Возраст не тот. </v>
      </c>
      <c r="AE1327" s="6" t="str">
        <f>IFERROR(__xludf.DUMMYFUNCTION("""COMPUTED_VALUE"""),"Женский")</f>
        <v>Женский</v>
      </c>
      <c r="AF1327" s="6" t="str">
        <f>IFERROR(__xludf.DUMMYFUNCTION("""COMPUTED_VALUE"""),"старше 55")</f>
        <v>старше 55</v>
      </c>
      <c r="AG1327" s="6"/>
      <c r="AH1327" s="6"/>
      <c r="AI1327" s="6"/>
      <c r="AJ1327" s="6"/>
      <c r="AK1327" s="6"/>
      <c r="AL1327" s="6"/>
      <c r="AM1327" s="6"/>
    </row>
    <row r="1328">
      <c r="A1328" s="6">
        <v>1327.0</v>
      </c>
      <c r="B1328" s="6" t="str">
        <f>IFERROR(__xludf.DUMMYFUNCTION("""COMPUTED_VALUE"""),"Работаю воспитателем")</f>
        <v>Работаю воспитателем</v>
      </c>
      <c r="C1328" s="6" t="str">
        <f>IFERROR(__xludf.DUMMYFUNCTION("""COMPUTED_VALUE"""),"Творчество, прогулки")</f>
        <v>Творчество, прогулки</v>
      </c>
      <c r="D1328" s="6" t="str">
        <f>IFERROR(__xludf.DUMMYFUNCTION("""COMPUTED_VALUE"""),"Южный ")</f>
        <v>Южный </v>
      </c>
      <c r="E1328" s="6" t="str">
        <f>IFERROR(__xludf.DUMMYFUNCTION("""COMPUTED_VALUE"""),"Бульвар Патриотов, есть сквер возле церкви и ВСЁ ")</f>
        <v>Бульвар Патриотов, есть сквер возле церкви и ВСЁ </v>
      </c>
      <c r="F1328" s="6" t="str">
        <f>IFERROR(__xludf.DUMMYFUNCTION("""COMPUTED_VALUE"""),"Живу здесь с рождения")</f>
        <v>Живу здесь с рождения</v>
      </c>
      <c r="G1328" s="6" t="str">
        <f>IFERROR(__xludf.DUMMYFUNCTION("""COMPUTED_VALUE"""),"В парках города")</f>
        <v>В парках города</v>
      </c>
      <c r="H1328" s="6" t="str">
        <f>IFERROR(__xludf.DUMMYFUNCTION("""COMPUTED_VALUE"""),"Компактность, аккуратность, красота и скромность, отсутствие детских площадок ")</f>
        <v>Компактность, аккуратность, красота и скромность, отсутствие детских площадок </v>
      </c>
      <c r="I1328" s="6" t="str">
        <f>IFERROR(__xludf.DUMMYFUNCTION("""COMPUTED_VALUE"""),"Люди старшего плавления, которые своим трудом поднимали город")</f>
        <v>Люди старшего плавления, которые своим трудом поднимали город</v>
      </c>
      <c r="J1328" s="6" t="str">
        <f>IFERROR(__xludf.DUMMYFUNCTION("""COMPUTED_VALUE"""),"А. Г. Тулеев, В. В. Михайлов самый лучший глава города, отличный управленец, Гришковец, В. Волошина, В. Фёдоров")</f>
        <v>А. Г. Тулеев, В. В. Михайлов самый лучший глава города, отличный управленец, Гришковец, В. Волошина, В. Фёдоров</v>
      </c>
      <c r="K1328" s="6" t="str">
        <f>IFERROR(__xludf.DUMMYFUNCTION("""COMPUTED_VALUE"""),"Памятник Шахтерам Э. Неизвестного, Набережная, аэропорт Леонова")</f>
        <v>Памятник Шахтерам Э. Неизвестного, Набережная, аэропорт Леонова</v>
      </c>
      <c r="L1328" s="6" t="str">
        <f>IFERROR(__xludf.DUMMYFUNCTION("""COMPUTED_VALUE"""),"Кто последний будет вылетать из аэропорта выключите свет ")</f>
        <v>Кто последний будет вылетать из аэропорта выключите свет </v>
      </c>
      <c r="M1328" s="6" t="str">
        <f>IFERROR(__xludf.DUMMYFUNCTION("""COMPUTED_VALUE"""),"Нет")</f>
        <v>Нет</v>
      </c>
      <c r="N1328" s="6" t="str">
        <f>IFERROR(__xludf.DUMMYFUNCTION("""COMPUTED_VALUE"""),"Компактность, есть объезднве дороги есть своя река прогулки в бору")</f>
        <v>Компактность, есть объезднве дороги есть своя река прогулки в бору</v>
      </c>
      <c r="O1328" s="6" t="str">
        <f>IFERROR(__xludf.DUMMYFUNCTION("""COMPUTED_VALUE"""),"Добавить больше современных мусорок больше красивых мест отдыха, фотозоны, развитие мест для туристов с историей, больше праздников и мероприятий для культурных выходных ")</f>
        <v>Добавить больше современных мусорок больше красивых мест отдыха, фотозоны, развитие мест для туристов с историей, больше праздников и мероприятий для культурных выходных </v>
      </c>
      <c r="P1328" s="6" t="str">
        <f>IFERROR(__xludf.DUMMYFUNCTION("""COMPUTED_VALUE"""),"А 42, интернет платформа Кузбасс онлайн, тв")</f>
        <v>А 42, интернет платформа Кузбасс онлайн, тв</v>
      </c>
      <c r="Q132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бизн"&amp;"ес-новости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328" s="6" t="str">
        <f>IFERROR(__xludf.DUMMYFUNCTION("""COMPUTED_VALUE"""),"Их мало :день защиты детей, день города, день Шахтера")</f>
        <v>Их мало :день защиты детей, день города, день Шахтера</v>
      </c>
      <c r="S1328" s="6" t="str">
        <f>IFERROR(__xludf.DUMMYFUNCTION("""COMPUTED_VALUE"""),"Нет, не приходилось")</f>
        <v>Нет, не приходилось</v>
      </c>
      <c r="T1328" s="6" t="str">
        <f>IFERROR(__xludf.DUMMYFUNCTION("""COMPUTED_VALUE"""),"Что это столица КУЗБАССА")</f>
        <v>Что это столица КУЗБАССА</v>
      </c>
      <c r="U1328" s="6" t="str">
        <f>IFERROR(__xludf.DUMMYFUNCTION("""COMPUTED_VALUE"""),"Фантан у Драмтеатра, Весенняя, площадь Советов, проспект Советский, бульвар Строителей ")</f>
        <v>Фантан у Драмтеатра, Весенняя, площадь Советов, проспект Советский, бульвар Строителей </v>
      </c>
      <c r="V1328" s="6" t="str">
        <f>IFERROR(__xludf.DUMMYFUNCTION("""COMPUTED_VALUE"""),"Построили красивый  и удобный город, ")</f>
        <v>Построили красивый  и удобный город, </v>
      </c>
      <c r="W1328" s="6" t="str">
        <f>IFERROR(__xludf.DUMMYFUNCTION("""COMPUTED_VALUE"""),"Вежливые и отзывчивые")</f>
        <v>Вежливые и отзывчивые</v>
      </c>
      <c r="X1328" s="6" t="str">
        <f>IFERROR(__xludf.DUMMYFUNCTION("""COMPUTED_VALUE"""),"В центр, Антошка Жукова, по Пр-т Ленина, сосновый бор(не считаю парк Ангелов, тем местом где необходимо устраивать прогулки,веселье  и показать для гостей, это горе и рана всего города) ")</f>
        <v>В центр, Антошка Жукова, по Пр-т Ленина, сосновый бор(не считаю парк Ангелов, тем местом где необходимо устраивать прогулки,веселье  и показать для гостей, это горе и рана всего города) </v>
      </c>
      <c r="Y1328" s="6" t="str">
        <f>IFERROR(__xludf.DUMMYFUNCTION("""COMPUTED_VALUE"""),"Красная горка")</f>
        <v>Красная горка</v>
      </c>
      <c r="Z1328" s="6" t="str">
        <f>IFERROR(__xludf.DUMMYFUNCTION("""COMPUTED_VALUE"""),"К 300-летии строительство спортивного центра, и продление набережной ")</f>
        <v>К 300-летии строительство спортивного центра, и продление набережной </v>
      </c>
      <c r="AA1328" s="6" t="str">
        <f>IFERROR(__xludf.DUMMYFUNCTION("""COMPUTED_VALUE"""),"Обнищание города, отсутствие ремонта фасадов домов, памятников ")</f>
        <v>Обнищание города, отсутствие ремонта фасадов домов, памятников </v>
      </c>
      <c r="AB1328" s="6" t="str">
        <f>IFERROR(__xludf.DUMMYFUNCTION("""COMPUTED_VALUE"""),"Парков и арт объектов для улучшения облика города и его красоты ")</f>
        <v>Парков и арт объектов для улучшения облика города и его красоты </v>
      </c>
      <c r="AC1328" s="6" t="str">
        <f>IFERROR(__xludf.DUMMYFUNCTION("""COMPUTED_VALUE"""),"Больше площадок для отдыха семьёй, семейные праздники, под музыку возможно живую")</f>
        <v>Больше площадок для отдыха семьёй, семейные праздники, под музыку возможно живую</v>
      </c>
      <c r="AD132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"&amp;"участников, Тоже бы хотела предложить некоторые мероприятия ")</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Тоже бы хотела предложить некоторые мероприятия </v>
      </c>
      <c r="AE1328" s="6" t="str">
        <f>IFERROR(__xludf.DUMMYFUNCTION("""COMPUTED_VALUE"""),"Женский")</f>
        <v>Женский</v>
      </c>
      <c r="AF1328" s="6" t="str">
        <f>IFERROR(__xludf.DUMMYFUNCTION("""COMPUTED_VALUE"""),"30-44")</f>
        <v>30-44</v>
      </c>
      <c r="AG1328" s="6"/>
      <c r="AH1328" s="6"/>
      <c r="AI1328" s="6"/>
      <c r="AJ1328" s="6"/>
      <c r="AK1328" s="6"/>
      <c r="AL1328" s="6"/>
      <c r="AM1328" s="6"/>
    </row>
    <row r="1329">
      <c r="A1329" s="6">
        <v>1328.0</v>
      </c>
      <c r="B1329" s="6" t="str">
        <f>IFERROR(__xludf.DUMMYFUNCTION("""COMPUTED_VALUE"""),"Студент биологического факультета")</f>
        <v>Студент биологического факультета</v>
      </c>
      <c r="C1329" s="6" t="str">
        <f>IFERROR(__xludf.DUMMYFUNCTION("""COMPUTED_VALUE"""),"Занимаюсь спортом на открытом воздухе")</f>
        <v>Занимаюсь спортом на открытом воздухе</v>
      </c>
      <c r="D1329" s="6" t="str">
        <f>IFERROR(__xludf.DUMMYFUNCTION("""COMPUTED_VALUE"""),"Кировский ")</f>
        <v>Кировский </v>
      </c>
      <c r="E1329" s="6" t="str">
        <f>IFERROR(__xludf.DUMMYFUNCTION("""COMPUTED_VALUE"""),"Отреставрированная набережная и березовая роща рядом ")</f>
        <v>Отреставрированная набережная и березовая роща рядом </v>
      </c>
      <c r="F1329" s="6" t="str">
        <f>IFERROR(__xludf.DUMMYFUNCTION("""COMPUTED_VALUE"""),"Живу здесь с рождения")</f>
        <v>Живу здесь с рождения</v>
      </c>
      <c r="G1329" s="6" t="str">
        <f>IFERROR(__xludf.DUMMYFUNCTION("""COMPUTED_VALUE"""),"Хожу в массовые общественные места по типу площадей, скверов и т.п.")</f>
        <v>Хожу в массовые общественные места по типу площадей, скверов и т.п.</v>
      </c>
      <c r="H1329" s="6" t="str">
        <f>IFERROR(__xludf.DUMMYFUNCTION("""COMPUTED_VALUE"""),"-")</f>
        <v>-</v>
      </c>
      <c r="I1329" s="6" t="str">
        <f>IFERROR(__xludf.DUMMYFUNCTION("""COMPUTED_VALUE"""),"-")</f>
        <v>-</v>
      </c>
      <c r="J1329" s="6" t="str">
        <f>IFERROR(__xludf.DUMMYFUNCTION("""COMPUTED_VALUE"""),"-")</f>
        <v>-</v>
      </c>
      <c r="K1329" s="6" t="str">
        <f>IFERROR(__xludf.DUMMYFUNCTION("""COMPUTED_VALUE"""),"-")</f>
        <v>-</v>
      </c>
      <c r="L1329" s="6" t="str">
        <f>IFERROR(__xludf.DUMMYFUNCTION("""COMPUTED_VALUE"""),"-")</f>
        <v>-</v>
      </c>
      <c r="M1329" s="6" t="str">
        <f>IFERROR(__xludf.DUMMYFUNCTION("""COMPUTED_VALUE"""),"Мультифора, лапа (лапландия), яшка (Центр Я)")</f>
        <v>Мультифора, лапа (лапландия), яшка (Центр Я)</v>
      </c>
      <c r="N1329" s="6" t="str">
        <f>IFERROR(__xludf.DUMMYFUNCTION("""COMPUTED_VALUE"""),"Чистота, озеленелость, культура, оздоровление")</f>
        <v>Чистота, озеленелость, культура, оздоровление</v>
      </c>
      <c r="O1329" s="6" t="str">
        <f>IFERROR(__xludf.DUMMYFUNCTION("""COMPUTED_VALUE"""),"Увеличить число мест для прогулок, пробежек и зелени на них")</f>
        <v>Увеличить число мест для прогулок, пробежек и зелени на них</v>
      </c>
      <c r="P1329" s="6" t="str">
        <f>IFERROR(__xludf.DUMMYFUNCTION("""COMPUTED_VALUE"""),"ВК группы")</f>
        <v>ВК группы</v>
      </c>
      <c r="Q1329" s="6" t="str">
        <f>IFERROR(__xludf.DUMMYFUNCTION("""COMPUTED_VALUE"""),"-")</f>
        <v>-</v>
      </c>
      <c r="R1329" s="6" t="str">
        <f>IFERROR(__xludf.DUMMYFUNCTION("""COMPUTED_VALUE"""),"-")</f>
        <v>-</v>
      </c>
      <c r="S1329" s="6" t="str">
        <f>IFERROR(__xludf.DUMMYFUNCTION("""COMPUTED_VALUE"""),"Нет, не приходилось")</f>
        <v>Нет, не приходилось</v>
      </c>
      <c r="T1329" s="6" t="str">
        <f>IFERROR(__xludf.DUMMYFUNCTION("""COMPUTED_VALUE"""),"Прославлен углем. Кемерово - это что то среднее между крупным городом и глухой провинцией")</f>
        <v>Прославлен углем. Кемерово - это что то среднее между крупным городом и глухой провинцией</v>
      </c>
      <c r="U1329" s="6" t="str">
        <f>IFERROR(__xludf.DUMMYFUNCTION("""COMPUTED_VALUE"""),"Площадь Советов")</f>
        <v>Площадь Советов</v>
      </c>
      <c r="V1329" s="6" t="str">
        <f>IFERROR(__xludf.DUMMYFUNCTION("""COMPUTED_VALUE"""),"-")</f>
        <v>-</v>
      </c>
      <c r="W1329" s="6" t="str">
        <f>IFERROR(__xludf.DUMMYFUNCTION("""COMPUTED_VALUE"""),"-")</f>
        <v>-</v>
      </c>
      <c r="X1329" s="6" t="str">
        <f>IFERROR(__xludf.DUMMYFUNCTION("""COMPUTED_VALUE"""),"Площадь Советов, Бульвар Строителей, Набережная правого берега")</f>
        <v>Площадь Советов, Бульвар Строителей, Набережная правого берега</v>
      </c>
      <c r="Y1329" s="6" t="str">
        <f>IFERROR(__xludf.DUMMYFUNCTION("""COMPUTED_VALUE"""),"-")</f>
        <v>-</v>
      </c>
      <c r="Z1329" s="6" t="str">
        <f>IFERROR(__xludf.DUMMYFUNCTION("""COMPUTED_VALUE"""),"Обновление автобусов")</f>
        <v>Обновление автобусов</v>
      </c>
      <c r="AA1329" s="6" t="str">
        <f>IFERROR(__xludf.DUMMYFUNCTION("""COMPUTED_VALUE"""),"-")</f>
        <v>-</v>
      </c>
      <c r="AB1329" s="6" t="str">
        <f>IFERROR(__xludf.DUMMYFUNCTION("""COMPUTED_VALUE"""),"-")</f>
        <v>-</v>
      </c>
      <c r="AC1329" s="6" t="str">
        <f>IFERROR(__xludf.DUMMYFUNCTION("""COMPUTED_VALUE"""),"-")</f>
        <v>-</v>
      </c>
      <c r="AD1329" s="6" t="str">
        <f>IFERROR(__xludf.DUMMYFUNCTION("""COMPUTED_VALUE"""),"-")</f>
        <v>-</v>
      </c>
      <c r="AE1329" s="6" t="str">
        <f>IFERROR(__xludf.DUMMYFUNCTION("""COMPUTED_VALUE"""),"Мужской")</f>
        <v>Мужской</v>
      </c>
      <c r="AF1329" s="6" t="str">
        <f>IFERROR(__xludf.DUMMYFUNCTION("""COMPUTED_VALUE"""),"18-29")</f>
        <v>18-29</v>
      </c>
      <c r="AG1329" s="6"/>
      <c r="AH1329" s="6"/>
      <c r="AI1329" s="6"/>
      <c r="AJ1329" s="6"/>
      <c r="AK1329" s="6"/>
      <c r="AL1329" s="6"/>
      <c r="AM1329" s="6"/>
    </row>
    <row r="1330">
      <c r="A1330" s="6">
        <v>1329.0</v>
      </c>
      <c r="B1330" s="6" t="str">
        <f>IFERROR(__xludf.DUMMYFUNCTION("""COMPUTED_VALUE"""),"Образование")</f>
        <v>Образование</v>
      </c>
      <c r="C1330" s="6" t="str">
        <f>IFERROR(__xludf.DUMMYFUNCTION("""COMPUTED_VALUE"""),"Путешествия")</f>
        <v>Путешествия</v>
      </c>
      <c r="D1330" s="6" t="str">
        <f>IFERROR(__xludf.DUMMYFUNCTION("""COMPUTED_VALUE"""),"Лесная поляна")</f>
        <v>Лесная поляна</v>
      </c>
      <c r="E1330" s="6" t="str">
        <f>IFERROR(__xludf.DUMMYFUNCTION("""COMPUTED_VALUE"""),"Часы, видовый парк с оленем, парк лесная сказка")</f>
        <v>Часы, видовый парк с оленем, парк лесная сказка</v>
      </c>
      <c r="F1330" s="6" t="str">
        <f>IFERROR(__xludf.DUMMYFUNCTION("""COMPUTED_VALUE"""),"Живу здесь с рождения")</f>
        <v>Живу здесь с рождения</v>
      </c>
      <c r="G1330" s="6" t="str">
        <f>IFERROR(__xludf.DUMMYFUNCTION("""COMPUTED_VALUE"""),"Набережная, лесной массив рядом с Лесной поляной")</f>
        <v>Набережная, лесной массив рядом с Лесной поляной</v>
      </c>
      <c r="H1330" s="6" t="str">
        <f>IFERROR(__xludf.DUMMYFUNCTION("""COMPUTED_VALUE"""),"Широкие улицы, тюльпаны, смог, трубы, Сосновый Бор ")</f>
        <v>Широкие улицы, тюльпаны, смог, трубы, Сосновый Бор </v>
      </c>
      <c r="I1330" s="6" t="str">
        <f>IFERROR(__xludf.DUMMYFUNCTION("""COMPUTED_VALUE"""),"Сарыгин, Васильев, Волошина, Двужильный")</f>
        <v>Сарыгин, Васильев, Волошина, Двужильный</v>
      </c>
      <c r="J1330" s="6" t="str">
        <f>IFERROR(__xludf.DUMMYFUNCTION("""COMPUTED_VALUE"""),"Михайлов")</f>
        <v>Михайлов</v>
      </c>
      <c r="K1330" s="6" t="str">
        <f>IFERROR(__xludf.DUMMYFUNCTION("""COMPUTED_VALUE"""),"Красная горка, лесная поляна")</f>
        <v>Красная горка, лесная поляна</v>
      </c>
      <c r="L1330" s="6" t="str">
        <f>IFERROR(__xludf.DUMMYFUNCTION("""COMPUTED_VALUE"""),"Кемерово - город молодости и смеха, молодости потому, что до старости никто не доживает, ну, а смеха, потому, что если ветер на левый берег - смеётся правая, и наоборот ")</f>
        <v>Кемерово - город молодости и смеха, молодости потому, что до старости никто не доживает, ну, а смеха, потому, что если ветер на левый берег - смеётся правая, и наоборот </v>
      </c>
      <c r="M1330" s="6" t="str">
        <f>IFERROR(__xludf.DUMMYFUNCTION("""COMPUTED_VALUE"""),"Человек из Кемерово")</f>
        <v>Человек из Кемерово</v>
      </c>
      <c r="N1330" s="6" t="str">
        <f>IFERROR(__xludf.DUMMYFUNCTION("""COMPUTED_VALUE"""),"Чистый воздух, вода из под крана нормальная - питьевая, зелёных насаждений должно быть много, Арт-пространства как в парке Горького в Москве, что бы можно было идти по улице в белой обуви и она не замаралась ")</f>
        <v>Чистый воздух, вода из под крана нормальная - питьевая, зелёных насаждений должно быть много, Арт-пространства как в парке Горького в Москве, что бы можно было идти по улице в белой обуви и она не замаралась </v>
      </c>
      <c r="O1330" s="6" t="str">
        <f>IFERROR(__xludf.DUMMYFUNCTION("""COMPUTED_VALUE"""),"Штрафовать владельцев собак за то, что не убирают за животными ")</f>
        <v>Штрафовать владельцев собак за то, что не убирают за животными </v>
      </c>
      <c r="P1330" s="6" t="str">
        <f>IFERROR(__xludf.DUMMYFUNCTION("""COMPUTED_VALUE"""),"Группы ВКонтакте - Кемерово ")</f>
        <v>Группы ВКонтакте - Кемерово </v>
      </c>
      <c r="Q1330" s="6" t="str">
        <f>IFERROR(__xludf.DUMMYFUNCTION("""COMPUTED_VALUE"""),"куда пойти в свободное время, новости про новые профессии/куда поступать/вакансии")</f>
        <v>куда пойти в свободное время, новости про новые профессии/куда поступать/вакансии</v>
      </c>
      <c r="R1330" s="6" t="str">
        <f>IFERROR(__xludf.DUMMYFUNCTION("""COMPUTED_VALUE"""),"День Победы, День шахтера")</f>
        <v>День Победы, День шахтера</v>
      </c>
      <c r="S1330" s="6" t="str">
        <f>IFERROR(__xludf.DUMMYFUNCTION("""COMPUTED_VALUE"""),"Нет, не приходилось")</f>
        <v>Нет, не приходилось</v>
      </c>
      <c r="T1330" s="6" t="str">
        <f>IFERROR(__xludf.DUMMYFUNCTION("""COMPUTED_VALUE"""),"Лесная поляна - уникальный район")</f>
        <v>Лесная поляна - уникальный район</v>
      </c>
      <c r="U1330" s="6" t="str">
        <f>IFERROR(__xludf.DUMMYFUNCTION("""COMPUTED_VALUE"""),"Площадь перед Драм театром")</f>
        <v>Площадь перед Драм театром</v>
      </c>
      <c r="V1330" s="6" t="str">
        <f>IFERROR(__xludf.DUMMYFUNCTION("""COMPUTED_VALUE"""),"Сделали")</f>
        <v>Сделали</v>
      </c>
      <c r="W1330" s="6" t="str">
        <f>IFERROR(__xludf.DUMMYFUNCTION("""COMPUTED_VALUE"""),"Суровые")</f>
        <v>Суровые</v>
      </c>
      <c r="X1330" s="6" t="str">
        <f>IFERROR(__xludf.DUMMYFUNCTION("""COMPUTED_VALUE"""),"Набережная")</f>
        <v>Набережная</v>
      </c>
      <c r="Y1330" s="6" t="str">
        <f>IFERROR(__xludf.DUMMYFUNCTION("""COMPUTED_VALUE"""),"Много")</f>
        <v>Много</v>
      </c>
      <c r="Z1330" s="6" t="str">
        <f>IFERROR(__xludf.DUMMYFUNCTION("""COMPUTED_VALUE"""),"Делают дороги, открыли кадетское училище, парк Ангелов")</f>
        <v>Делают дороги, открыли кадетское училище, парк Ангелов</v>
      </c>
      <c r="AA1330" s="6" t="str">
        <f>IFERROR(__xludf.DUMMYFUNCTION("""COMPUTED_VALUE"""),"Зимняя вишня")</f>
        <v>Зимняя вишня</v>
      </c>
      <c r="AB1330" s="6" t="str">
        <f>IFERROR(__xludf.DUMMYFUNCTION("""COMPUTED_VALUE"""),"Всего хватает")</f>
        <v>Всего хватает</v>
      </c>
      <c r="AC1330" s="6" t="str">
        <f>IFERROR(__xludf.DUMMYFUNCTION("""COMPUTED_VALUE"""),"Арт-пространства и что бы разные мероприятия под открытым небом ")</f>
        <v>Арт-пространства и что бы разные мероприятия под открытым небом </v>
      </c>
      <c r="AD133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30" s="6" t="str">
        <f>IFERROR(__xludf.DUMMYFUNCTION("""COMPUTED_VALUE"""),"Женский")</f>
        <v>Женский</v>
      </c>
      <c r="AF1330" s="6" t="str">
        <f>IFERROR(__xludf.DUMMYFUNCTION("""COMPUTED_VALUE"""),"45-55")</f>
        <v>45-55</v>
      </c>
      <c r="AG1330" s="6"/>
      <c r="AH1330" s="6"/>
      <c r="AI1330" s="6"/>
      <c r="AJ1330" s="6"/>
      <c r="AK1330" s="6"/>
      <c r="AL1330" s="6"/>
      <c r="AM1330" s="6"/>
    </row>
    <row r="1331">
      <c r="A1331" s="6">
        <v>1330.0</v>
      </c>
      <c r="B1331" s="6" t="str">
        <f>IFERROR(__xludf.DUMMYFUNCTION("""COMPUTED_VALUE"""),"Производство. Контроль за соблюдением технологического процесса")</f>
        <v>Производство. Контроль за соблюдением технологического процесса</v>
      </c>
      <c r="C1331" s="6" t="str">
        <f>IFERROR(__xludf.DUMMYFUNCTION("""COMPUTED_VALUE"""),"Выращивание цветов")</f>
        <v>Выращивание цветов</v>
      </c>
      <c r="D1331" s="6" t="str">
        <f>IFERROR(__xludf.DUMMYFUNCTION("""COMPUTED_VALUE"""),"В Кировском р-оне. Кировский")</f>
        <v>В Кировском р-оне. Кировский</v>
      </c>
      <c r="E1331" s="6" t="str">
        <f>IFERROR(__xludf.DUMMYFUNCTION("""COMPUTED_VALUE"""),"ДК, ул Севастопольская, набережная ")</f>
        <v>ДК, ул Севастопольская, набережная </v>
      </c>
      <c r="F1331" s="6" t="str">
        <f>IFERROR(__xludf.DUMMYFUNCTION("""COMPUTED_VALUE"""),"Живу здесь с рождения")</f>
        <v>Живу здесь с рождения</v>
      </c>
      <c r="G1331" s="6" t="str">
        <f>IFERROR(__xludf.DUMMYFUNCTION("""COMPUTED_VALUE"""),"Гуляю по центру, набережной , в парке ""чудес"". Хожу в филармонию, драматически театр, кинотеатр"" Космос"" ")</f>
        <v>Гуляю по центру, набережной , в парке "чудес". Хожу в филармонию, драматически театр, кинотеатр" Космос" </v>
      </c>
      <c r="H1331" s="6" t="str">
        <f>IFERROR(__xludf.DUMMYFUNCTION("""COMPUTED_VALUE"""),"Красная горка, бор, набережная, ")</f>
        <v>Красная горка, бор, набережная, </v>
      </c>
      <c r="I1331" s="6" t="str">
        <f>IFERROR(__xludf.DUMMYFUNCTION("""COMPUTED_VALUE"""),"Волков, Волошина, Толстиков, Потемкин, Двужильный и др. ")</f>
        <v>Волков, Волошина, Толстиков, Потемкин, Двужильный и др. </v>
      </c>
      <c r="J1331" s="6" t="str">
        <f>IFERROR(__xludf.DUMMYFUNCTION("""COMPUTED_VALUE"""),"Тулеев, Михайлов, Подгорбунский, Бобров")</f>
        <v>Тулеев, Михайлов, Подгорбунский, Бобров</v>
      </c>
      <c r="K1331" s="6" t="str">
        <f>IFERROR(__xludf.DUMMYFUNCTION("""COMPUTED_VALUE"""),"Ул. Севастопольскую, набережную правого и левого берега, Никольский собор")</f>
        <v>Ул. Севастопольскую, набережную правого и левого берега, Никольский собор</v>
      </c>
      <c r="L1331" s="6" t="str">
        <f>IFERROR(__xludf.DUMMYFUNCTION("""COMPUTED_VALUE"""),"Незнаю🤷‍♀️")</f>
        <v>Незнаю🤷‍♀️</v>
      </c>
      <c r="M1331" s="6" t="str">
        <f>IFERROR(__xludf.DUMMYFUNCTION("""COMPUTED_VALUE"""),"Незнаю🤷‍♀️")</f>
        <v>Незнаю🤷‍♀️</v>
      </c>
      <c r="N1331" s="6" t="str">
        <f>IFERROR(__xludf.DUMMYFUNCTION("""COMPUTED_VALUE"""),"Транспортное сообщение, безопасность, благоустройство улиц и дворовых территорий, закрытие тоговых точек по продаже пива, возможность заниматься спортом на открытом воздухе в каждом микрорайоне.")</f>
        <v>Транспортное сообщение, безопасность, благоустройство улиц и дворовых территорий, закрытие тоговых точек по продаже пива, возможность заниматься спортом на открытом воздухе в каждом микрорайоне.</v>
      </c>
      <c r="O1331" s="6" t="str">
        <f>IFERROR(__xludf.DUMMYFUNCTION("""COMPUTED_VALUE"""),"Наладить инфраструктуру города, создать условия для подростков заняться спортом  на уличных тренажёрах в каждом микрорайоне")</f>
        <v>Наладить инфраструктуру города, создать условия для подростков заняться спортом  на уличных тренажёрах в каждом микрорайоне</v>
      </c>
      <c r="P1331" s="6" t="str">
        <f>IFERROR(__xludf.DUMMYFUNCTION("""COMPUTED_VALUE"""),"ВК, Яндекс ")</f>
        <v>ВК, Яндекс </v>
      </c>
      <c r="Q1331"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331" s="6" t="str">
        <f>IFERROR(__xludf.DUMMYFUNCTION("""COMPUTED_VALUE"""),"9 мая, день города")</f>
        <v>9 мая, день города</v>
      </c>
      <c r="S1331" s="6" t="str">
        <f>IFERROR(__xludf.DUMMYFUNCTION("""COMPUTED_VALUE"""),"Нет, не приходилось")</f>
        <v>Нет, не приходилось</v>
      </c>
      <c r="T1331" s="6" t="str">
        <f>IFERROR(__xludf.DUMMYFUNCTION("""COMPUTED_VALUE"""),"Наличием угля. ")</f>
        <v>Наличием угля. </v>
      </c>
      <c r="U1331" s="6" t="str">
        <f>IFERROR(__xludf.DUMMYFUNCTION("""COMPUTED_VALUE"""),"Пл. Советов и пр.")</f>
        <v>Пл. Советов и пр.</v>
      </c>
      <c r="V1331" s="6" t="str">
        <f>IFERROR(__xludf.DUMMYFUNCTION("""COMPUTED_VALUE"""),"Развивали промышленность( угольную, химическую) , развитие образования и культуры ")</f>
        <v>Развивали промышленность( угольную, химическую) , развитие образования и культуры </v>
      </c>
      <c r="W1331" s="6" t="str">
        <f>IFERROR(__xludf.DUMMYFUNCTION("""COMPUTED_VALUE"""),"Отзывчивые, сострадательные, трудолюбивые  ")</f>
        <v>Отзывчивые, сострадательные, трудолюбивые  </v>
      </c>
      <c r="X1331" s="6" t="str">
        <f>IFERROR(__xludf.DUMMYFUNCTION("""COMPUTED_VALUE"""),"Прогулка по Кировскому р- ону")</f>
        <v>Прогулка по Кировскому р- ону</v>
      </c>
      <c r="Y1331" s="6" t="str">
        <f>IFERROR(__xludf.DUMMYFUNCTION("""COMPUTED_VALUE"""),"Затрудняюсь ответить")</f>
        <v>Затрудняюсь ответить</v>
      </c>
      <c r="Z1331" s="6" t="str">
        <f>IFERROR(__xludf.DUMMYFUNCTION("""COMPUTED_VALUE"""),"У меня таких небыло")</f>
        <v>У меня таких небыло</v>
      </c>
      <c r="AA1331" s="6" t="str">
        <f>IFERROR(__xludf.DUMMYFUNCTION("""COMPUTED_VALUE"""),"Пожар в "" зимней вишне"", митинг в поддержку Навального")</f>
        <v>Пожар в " зимней вишне", митинг в поддержку Навального</v>
      </c>
      <c r="AB1331" s="6" t="str">
        <f>IFERROR(__xludf.DUMMYFUNCTION("""COMPUTED_VALUE"""),"Затрудняюсь ответить")</f>
        <v>Затрудняюсь ответить</v>
      </c>
      <c r="AC1331" s="6" t="str">
        <f>IFERROR(__xludf.DUMMYFUNCTION("""COMPUTED_VALUE"""),"Выставки картин на открытом воздухе, концертные программы, праздники цветов")</f>
        <v>Выставки картин на открытом воздухе, концертные программы, праздники цветов</v>
      </c>
      <c r="AD1331"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331" s="6" t="str">
        <f>IFERROR(__xludf.DUMMYFUNCTION("""COMPUTED_VALUE"""),"Женский")</f>
        <v>Женский</v>
      </c>
      <c r="AF1331" s="6" t="str">
        <f>IFERROR(__xludf.DUMMYFUNCTION("""COMPUTED_VALUE"""),"45-55")</f>
        <v>45-55</v>
      </c>
      <c r="AG1331" s="6"/>
      <c r="AH1331" s="6"/>
      <c r="AI1331" s="6"/>
      <c r="AJ1331" s="6"/>
      <c r="AK1331" s="6"/>
      <c r="AL1331" s="6"/>
      <c r="AM1331" s="6"/>
    </row>
    <row r="1332">
      <c r="A1332" s="6">
        <v>1331.0</v>
      </c>
      <c r="B1332" s="6" t="str">
        <f>IFERROR(__xludf.DUMMYFUNCTION("""COMPUTED_VALUE"""),"Учитель")</f>
        <v>Учитель</v>
      </c>
      <c r="C1332" s="6" t="str">
        <f>IFERROR(__xludf.DUMMYFUNCTION("""COMPUTED_VALUE"""),"Творчество, рукоделие")</f>
        <v>Творчество, рукоделие</v>
      </c>
      <c r="D1332" s="6" t="str">
        <f>IFERROR(__xludf.DUMMYFUNCTION("""COMPUTED_VALUE"""),"Южный")</f>
        <v>Южный</v>
      </c>
      <c r="E1332" s="6" t="str">
        <f>IFERROR(__xludf.DUMMYFUNCTION("""COMPUTED_VALUE"""),"Бульвар Патриотов, дома с портретами Волошиной и Двужильного")</f>
        <v>Бульвар Патриотов, дома с портретами Волошиной и Двужильного</v>
      </c>
      <c r="F1332" s="6" t="str">
        <f>IFERROR(__xludf.DUMMYFUNCTION("""COMPUTED_VALUE"""),"Переехал сюда из другого места (откуда? укажите в графе другое), Топкинский район")</f>
        <v>Переехал сюда из другого места (откуда? укажите в графе другое), Топкинский район</v>
      </c>
      <c r="G1332" s="6" t="str">
        <f>IFERROR(__xludf.DUMMYFUNCTION("""COMPUTED_VALUE"""),"Набережная, Парк Чудес, Кузбасский парк, площадь Советов, драматический театр и др")</f>
        <v>Набережная, Парк Чудес, Кузбасский парк, площадь Советов, драматический театр и др</v>
      </c>
      <c r="H1332" s="6" t="str">
        <f>IFERROR(__xludf.DUMMYFUNCTION("""COMPUTED_VALUE"""),"Шахтер, аллея, роща")</f>
        <v>Шахтер, аллея, роща</v>
      </c>
      <c r="I1332" s="6" t="str">
        <f>IFERROR(__xludf.DUMMYFUNCTION("""COMPUTED_VALUE"""),"Волошина, Двужильный, Волков, Шилин, Леонов и др.")</f>
        <v>Волошина, Двужильный, Волков, Шилин, Леонов и др.</v>
      </c>
      <c r="J1332" s="6" t="str">
        <f>IFERROR(__xludf.DUMMYFUNCTION("""COMPUTED_VALUE"""),"Тулеев")</f>
        <v>Тулеев</v>
      </c>
      <c r="K1332" s="6" t="str">
        <f>IFERROR(__xludf.DUMMYFUNCTION("""COMPUTED_VALUE"""),"Крест, памятник шахтёрской славе, театр драмы")</f>
        <v>Крест, памятник шахтёрской славе, театр драмы</v>
      </c>
      <c r="L1332" s="6" t="str">
        <f>IFERROR(__xludf.DUMMYFUNCTION("""COMPUTED_VALUE"""),"Не знаю")</f>
        <v>Не знаю</v>
      </c>
      <c r="M1332" s="6" t="str">
        <f>IFERROR(__xludf.DUMMYFUNCTION("""COMPUTED_VALUE"""),"Шумовка")</f>
        <v>Шумовка</v>
      </c>
      <c r="N1332" s="6" t="str">
        <f>IFERROR(__xludf.DUMMYFUNCTION("""COMPUTED_VALUE"""),"Доступность, качественный частый транспорт, хорошие дороги, интересные и красивые места, развитая инфраструктура")</f>
        <v>Доступность, качественный частый транспорт, хорошие дороги, интересные и красивые места, развитая инфраструктура</v>
      </c>
      <c r="O1332" s="6" t="str">
        <f>IFERROR(__xludf.DUMMYFUNCTION("""COMPUTED_VALUE"""),"Дороги, частоту общественного транспорта")</f>
        <v>Дороги, частоту общественного транспорта</v>
      </c>
      <c r="P1332" s="6" t="str">
        <f>IFERROR(__xludf.DUMMYFUNCTION("""COMPUTED_VALUE"""),"Мой Кузбасс")</f>
        <v>Мой Кузбасс</v>
      </c>
      <c r="Q1332" s="6" t="str">
        <f>IFERROR(__xludf.DUMMYFUNCTION("""COMPUTED_VALUE"""),"куда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f>
        <v>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v>
      </c>
      <c r="R1332" s="6" t="str">
        <f>IFERROR(__xludf.DUMMYFUNCTION("""COMPUTED_VALUE"""),"День Победы, день города, день шахтера")</f>
        <v>День Победы, день города, день шахтера</v>
      </c>
      <c r="S1332" s="6" t="str">
        <f>IFERROR(__xludf.DUMMYFUNCTION("""COMPUTED_VALUE"""),"Нет, не приходилось")</f>
        <v>Нет, не приходилось</v>
      </c>
      <c r="T1332" s="6" t="str">
        <f>IFERROR(__xludf.DUMMYFUNCTION("""COMPUTED_VALUE"""),"Шахтёрская слава")</f>
        <v>Шахтёрская слава</v>
      </c>
      <c r="U1332" s="6" t="str">
        <f>IFERROR(__xludf.DUMMYFUNCTION("""COMPUTED_VALUE"""),"Площадь Советов")</f>
        <v>Площадь Советов</v>
      </c>
      <c r="V1332" s="6" t="str">
        <f>IFERROR(__xludf.DUMMYFUNCTION("""COMPUTED_VALUE"""),"Жили и работали на благо родного города")</f>
        <v>Жили и работали на благо родного города</v>
      </c>
      <c r="W1332" s="6" t="str">
        <f>IFERROR(__xludf.DUMMYFUNCTION("""COMPUTED_VALUE"""),"Добрые, надёжные, коммуникабельные")</f>
        <v>Добрые, надёжные, коммуникабельные</v>
      </c>
      <c r="X1332" s="6" t="str">
        <f>IFERROR(__xludf.DUMMYFUNCTION("""COMPUTED_VALUE"""),"Вокзал-Весенняя- набережная-площадь Пушкина - площадь Советов- парк Победы- бульвар строителей")</f>
        <v>Вокзал-Весенняя- набережная-площадь Пушкина - площадь Советов- парк Победы- бульвар строителей</v>
      </c>
      <c r="Y1332" s="6" t="str">
        <f>IFERROR(__xludf.DUMMYFUNCTION("""COMPUTED_VALUE"""),"Не могу выделить одно")</f>
        <v>Не могу выделить одно</v>
      </c>
      <c r="Z1332" s="6" t="str">
        <f>IFERROR(__xludf.DUMMYFUNCTION("""COMPUTED_VALUE"""),"Никакие - пандемия")</f>
        <v>Никакие - пандемия</v>
      </c>
      <c r="AA1332" s="6" t="str">
        <f>IFERROR(__xludf.DUMMYFUNCTION("""COMPUTED_VALUE"""),"Митинги в поддержку Навального")</f>
        <v>Митинги в поддержку Навального</v>
      </c>
      <c r="AB1332" s="6" t="str">
        <f>IFERROR(__xludf.DUMMYFUNCTION("""COMPUTED_VALUE"""),"Хватает")</f>
        <v>Хватает</v>
      </c>
      <c r="AC1332" s="6" t="str">
        <f>IFERROR(__xludf.DUMMYFUNCTION("""COMPUTED_VALUE"""),"Хватает")</f>
        <v>Хватает</v>
      </c>
      <c r="AD1332"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332" s="6" t="str">
        <f>IFERROR(__xludf.DUMMYFUNCTION("""COMPUTED_VALUE"""),"Женский")</f>
        <v>Женский</v>
      </c>
      <c r="AF1332" s="6" t="str">
        <f>IFERROR(__xludf.DUMMYFUNCTION("""COMPUTED_VALUE"""),"30-44")</f>
        <v>30-44</v>
      </c>
      <c r="AG1332" s="6"/>
      <c r="AH1332" s="6"/>
      <c r="AI1332" s="6"/>
      <c r="AJ1332" s="6"/>
      <c r="AK1332" s="6"/>
      <c r="AL1332" s="6"/>
      <c r="AM1332" s="6"/>
    </row>
    <row r="1333">
      <c r="A1333" s="6">
        <v>1332.0</v>
      </c>
      <c r="B1333" s="6" t="str">
        <f>IFERROR(__xludf.DUMMYFUNCTION("""COMPUTED_VALUE"""),"Продавец ")</f>
        <v>Продавец </v>
      </c>
      <c r="C1333" s="6" t="str">
        <f>IFERROR(__xludf.DUMMYFUNCTION("""COMPUTED_VALUE"""),"Скандинавская хотьба, фильмы, вязание")</f>
        <v>Скандинавская хотьба, фильмы, вязание</v>
      </c>
      <c r="D1333" s="6" t="str">
        <f>IFERROR(__xludf.DUMMYFUNCTION("""COMPUTED_VALUE"""),"Шалготарьян- самый лучший район города)")</f>
        <v>Шалготарьян- самый лучший район города)</v>
      </c>
      <c r="E1333" s="6" t="str">
        <f>IFERROR(__xludf.DUMMYFUNCTION("""COMPUTED_VALUE"""),"Близость природы: река, озеро, сквер блокадников Ленинграда, просторные дворы, территория за кадетским корпусом очень нравится")</f>
        <v>Близость природы: река, озеро, сквер блокадников Ленинграда, просторные дворы, территория за кадетским корпусом очень нравится</v>
      </c>
      <c r="F1333" s="6" t="str">
        <f>IFERROR(__xludf.DUMMYFUNCTION("""COMPUTED_VALUE"""),"Живу здесь с рождения")</f>
        <v>Живу здесь с рождения</v>
      </c>
      <c r="G1333" s="6" t="str">
        <f>IFERROR(__xludf.DUMMYFUNCTION("""COMPUTED_VALUE"""),"Театры, парки, скверы, оз. Красное, бар, квизшоу")</f>
        <v>Театры, парки, скверы, оз. Красное, бар, квизшоу</v>
      </c>
      <c r="H1333" s="6" t="str">
        <f>IFERROR(__xludf.DUMMYFUNCTION("""COMPUTED_VALUE"""),"Грязный воздух, шахтёрская столица, отчизна, любимый город, набережная")</f>
        <v>Грязный воздух, шахтёрская столица, отчизна, любимый город, набережная</v>
      </c>
      <c r="I1333" s="6" t="str">
        <f>IFERROR(__xludf.DUMMYFUNCTION("""COMPUTED_VALUE"""),"Волков, Леонов")</f>
        <v>Волков, Леонов</v>
      </c>
      <c r="J1333" s="6" t="str">
        <f>IFERROR(__xludf.DUMMYFUNCTION("""COMPUTED_VALUE"""),"Илья Середюк- исполнительный, деятельный, открытый для людей, хороший мэр")</f>
        <v>Илья Середюк- исполнительный, деятельный, открытый для людей, хороший мэр</v>
      </c>
      <c r="K1333" s="6" t="str">
        <f>IFERROR(__xludf.DUMMYFUNCTION("""COMPUTED_VALUE"""),"Музей КРАСНАЯ ГОРКА, ТОМСКАЯ ПИСАНИЦА,прогулка по набережной, гор. сад,  сосновый бор, парк Ангелов")</f>
        <v>Музей КРАСНАЯ ГОРКА, ТОМСКАЯ ПИСАНИЦА,прогулка по набережной, гор. сад,  сосновый бор, парк Ангелов</v>
      </c>
      <c r="L1333" s="6" t="str">
        <f>IFERROR(__xludf.DUMMYFUNCTION("""COMPUTED_VALUE"""),"Не знаю")</f>
        <v>Не знаю</v>
      </c>
      <c r="M1333" s="6" t="str">
        <f>IFERROR(__xludf.DUMMYFUNCTION("""COMPUTED_VALUE"""),"Не знаю ")</f>
        <v>Не знаю </v>
      </c>
      <c r="N1333" s="6" t="str">
        <f>IFERROR(__xludf.DUMMYFUNCTION("""COMPUTED_VALUE"""),"Чистый воздух!, транпорт( у нас грязный общественный транспорт), улицы, дворы, подъезды; просторные дворы многоквартирных домов; наличие зелёных зон, парков и скверов; качество дорог и тротуаров, ")</f>
        <v>Чистый воздух!, транпорт( у нас грязный общественный транспорт), улицы, дворы, подъезды; просторные дворы многоквартирных домов; наличие зелёных зон, парков и скверов; качество дорог и тротуаров, </v>
      </c>
      <c r="O1333" s="6" t="str">
        <f>IFERROR(__xludf.DUMMYFUNCTION("""COMPUTED_VALUE"""),"Решить вопросы экологии, грязный воздух")</f>
        <v>Решить вопросы экологии, грязный воздух</v>
      </c>
      <c r="P1333" s="6" t="str">
        <f>IFERROR(__xludf.DUMMYFUNCTION("""COMPUTED_VALUE"""),"Вк, инстаграм,  Россия 1 местное время, различные новостные порталы в интернете ")</f>
        <v>Вк, инстаграм,  Россия 1 местное время, различные новостные порталы в интернете </v>
      </c>
      <c r="Q1333"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("&amp;"происшествия/преступления),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1333" s="6" t="str">
        <f>IFERROR(__xludf.DUMMYFUNCTION("""COMPUTED_VALUE"""),"9 мая, день Шахтёра, день города")</f>
        <v>9 мая, день Шахтёра, день города</v>
      </c>
      <c r="S1333" s="6" t="str">
        <f>IFERROR(__xludf.DUMMYFUNCTION("""COMPUTED_VALUE"""),"Нет, не приходилось")</f>
        <v>Нет, не приходилось</v>
      </c>
      <c r="T1333" s="6" t="str">
        <f>IFERROR(__xludf.DUMMYFUNCTION("""COMPUTED_VALUE"""),"Кемерово- столица угольного края")</f>
        <v>Кемерово- столица угольного края</v>
      </c>
      <c r="U1333" s="6" t="str">
        <f>IFERROR(__xludf.DUMMYFUNCTION("""COMPUTED_VALUE"""),"Музей КРАСНАЯ ГОРКА, памятник Шахтерам")</f>
        <v>Музей КРАСНАЯ ГОРКА, памятник Шахтерам</v>
      </c>
      <c r="V1333" s="6" t="str">
        <f>IFERROR(__xludf.DUMMYFUNCTION("""COMPUTED_VALUE"""),"Когда люди думают не только о себе,  но и о среде, в которой они живут, меняют что-то к лучшему, создают новое, удобное комфортное.. иногда сделать что-то незначительное, высадить клумбу у подъезда или объяснить ребёнку, который обижает бездомные животное"&amp;", отмыть подъездную дверь.. понятно, что мы платим налоги, но всё начинается с малого, с осознания что наш дом это не только наша квартира.")</f>
        <v>Когда люди думают не только о себе,  но и о среде, в которой они живут, меняют что-то к лучшему, создают новое, удобное комфортное.. иногда сделать что-то незначительное, высадить клумбу у подъезда или объяснить ребёнку, который обижает бездомные животное, отмыть подъездную дверь.. понятно, что мы платим налоги, но всё начинается с малого, с осознания что наш дом это не только наша квартира.</v>
      </c>
      <c r="W1333" s="6" t="str">
        <f>IFERROR(__xludf.DUMMYFUNCTION("""COMPUTED_VALUE"""),"Разные. Есть деятельные, открытые, добрые люди, но и обозлённых, равнодушных, некультурных людей немало")</f>
        <v>Разные. Есть деятельные, открытые, добрые люди, но и обозлённых, равнодушных, некультурных людей немало</v>
      </c>
      <c r="X1333" s="6" t="str">
        <f>IFERROR(__xludf.DUMMYFUNCTION("""COMPUTED_VALUE"""),"Центр- красная горка- Томская писаница")</f>
        <v>Центр- красная горка- Томская писаница</v>
      </c>
      <c r="Y1333" s="6" t="str">
        <f>IFERROR(__xludf.DUMMYFUNCTION("""COMPUTED_VALUE"""),"Трудно сказать ")</f>
        <v>Трудно сказать </v>
      </c>
      <c r="Z1333" s="6" t="str">
        <f>IFERROR(__xludf.DUMMYFUNCTION("""COMPUTED_VALUE"""),"Реконструкция бульвара Строителей, строительство президентского кадетского корпуса, развитие спорта, контроль размножения бездомных животных")</f>
        <v>Реконструкция бульвара Строителей, строительство президентского кадетского корпуса, развитие спорта, контроль размножения бездомных животных</v>
      </c>
      <c r="AA1333" s="6" t="str">
        <f>IFERROR(__xludf.DUMMYFUNCTION("""COMPUTED_VALUE"""),"Зимняя вишня, режим чёрного неба, рост цен на продукты, жкх, снижение покупательской способности граждан, низкий уровень зп, проблема содержания бездомных животных ( всё держится на неравнодушных волонтёрах и частных передержках), ковид")</f>
        <v>Зимняя вишня, режим чёрного неба, рост цен на продукты, жкх, снижение покупательской способности граждан, низкий уровень зп, проблема содержания бездомных животных ( всё держится на неравнодушных волонтёрах и частных передержках), ковид</v>
      </c>
      <c r="AB1333" s="6" t="str">
        <f>IFERROR(__xludf.DUMMYFUNCTION("""COMPUTED_VALUE"""),"Бесплатные спортивные секции для детей, что ребёнку интересно- платно, почти нет детских лагерей отдыха( даже платных), соответственно,  нет мест")</f>
        <v>Бесплатные спортивные секции для детей, что ребёнку интересно- платно, почти нет детских лагерей отдыха( даже платных), соответственно,  нет мест</v>
      </c>
      <c r="AC1333" s="6" t="str">
        <f>IFERROR(__xludf.DUMMYFUNCTION("""COMPUTED_VALUE"""),"Городские праздники с ярмарками и мастер-классами для детей, интересны выставки современного искусства, в том числе приезжие")</f>
        <v>Городские праздники с ярмарками и мастер-классами для детей, интересны выставки современного искусства, в том числе приезжие</v>
      </c>
      <c r="AD1333"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33" s="6" t="str">
        <f>IFERROR(__xludf.DUMMYFUNCTION("""COMPUTED_VALUE"""),"Женский")</f>
        <v>Женский</v>
      </c>
      <c r="AF1333" s="6" t="str">
        <f>IFERROR(__xludf.DUMMYFUNCTION("""COMPUTED_VALUE"""),"30-44")</f>
        <v>30-44</v>
      </c>
      <c r="AG1333" s="6"/>
      <c r="AH1333" s="6"/>
      <c r="AI1333" s="6"/>
      <c r="AJ1333" s="6"/>
      <c r="AK1333" s="6"/>
      <c r="AL1333" s="6"/>
      <c r="AM1333" s="6"/>
    </row>
    <row r="1334">
      <c r="A1334" s="6">
        <v>1333.0</v>
      </c>
      <c r="B1334" s="6" t="str">
        <f>IFERROR(__xludf.DUMMYFUNCTION("""COMPUTED_VALUE"""),"домохозяйка")</f>
        <v>домохозяйка</v>
      </c>
      <c r="C1334" s="6" t="str">
        <f>IFERROR(__xludf.DUMMYFUNCTION("""COMPUTED_VALUE"""),"да, рукоделие")</f>
        <v>да, рукоделие</v>
      </c>
      <c r="D1334" s="6" t="str">
        <f>IFERROR(__xludf.DUMMYFUNCTION("""COMPUTED_VALUE"""),"ленинский, Шалготарьян")</f>
        <v>ленинский, Шалготарьян</v>
      </c>
      <c r="E1334" s="6" t="str">
        <f>IFERROR(__xludf.DUMMYFUNCTION("""COMPUTED_VALUE"""),"ботанический сад")</f>
        <v>ботанический сад</v>
      </c>
      <c r="F1334" s="6" t="str">
        <f>IFERROR(__xludf.DUMMYFUNCTION("""COMPUTED_VALUE"""),"Живу здесь с рождения")</f>
        <v>Живу здесь с рождения</v>
      </c>
      <c r="G1334" s="6" t="str">
        <f>IFERROR(__xludf.DUMMYFUNCTION("""COMPUTED_VALUE"""),"в магазин")</f>
        <v>в магазин</v>
      </c>
      <c r="H1334" s="6" t="str">
        <f>IFERROR(__xludf.DUMMYFUNCTION("""COMPUTED_VALUE"""),"красивый, зеленый, чистый, уютный, удобный")</f>
        <v>красивый, зеленый, чистый, уютный, удобный</v>
      </c>
      <c r="I1334" s="6" t="str">
        <f>IFERROR(__xludf.DUMMYFUNCTION("""COMPUTED_VALUE"""),"Леонов.")</f>
        <v>Леонов.</v>
      </c>
      <c r="J1334" s="6" t="str">
        <f>IFERROR(__xludf.DUMMYFUNCTION("""COMPUTED_VALUE"""),"воздержусь")</f>
        <v>воздержусь</v>
      </c>
      <c r="K1334" s="6" t="str">
        <f>IFERROR(__xludf.DUMMYFUNCTION("""COMPUTED_VALUE"""),"музей ""Красная горка""")</f>
        <v>музей "Красная горка"</v>
      </c>
      <c r="L1334" s="6" t="str">
        <f>IFERROR(__xludf.DUMMYFUNCTION("""COMPUTED_VALUE"""),"Не тот сибиряк кто не мерзнет, а тот кто тепло одевается.")</f>
        <v>Не тот сибиряк кто не мерзнет, а тот кто тепло одевается.</v>
      </c>
      <c r="M1334" s="6" t="str">
        <f>IFERROR(__xludf.DUMMYFUNCTION("""COMPUTED_VALUE"""),"нет")</f>
        <v>нет</v>
      </c>
      <c r="N1334" s="6" t="str">
        <f>IFERROR(__xludf.DUMMYFUNCTION("""COMPUTED_VALUE"""),"Транспорт, асфальт, месторасположение")</f>
        <v>Транспорт, асфальт, месторасположение</v>
      </c>
      <c r="O1334" s="6" t="str">
        <f>IFERROR(__xludf.DUMMYFUNCTION("""COMPUTED_VALUE"""),"по больше общественных туалетов")</f>
        <v>по больше общественных туалетов</v>
      </c>
      <c r="P1334" s="6" t="str">
        <f>IFERROR(__xludf.DUMMYFUNCTION("""COMPUTED_VALUE"""),"вести Кузбасс")</f>
        <v>вести Кузбасс</v>
      </c>
      <c r="Q1334" s="6" t="str">
        <f>IFERROR(__xludf.DUMMYFUNCTION("""COMPUTED_VALUE"""),"куда пойти в свободное время, культурные новинки (что почитать/что послушать), криминальные новости (происшествия/преступления)")</f>
        <v>куда пойти в свободное время, культурные новинки (что почитать/что послушать), криминальные новости (происшествия/преступления)</v>
      </c>
      <c r="R1334" s="6" t="str">
        <f>IFERROR(__xludf.DUMMYFUNCTION("""COMPUTED_VALUE"""),"День города")</f>
        <v>День города</v>
      </c>
      <c r="S1334" s="6" t="str">
        <f>IFERROR(__xludf.DUMMYFUNCTION("""COMPUTED_VALUE"""),"Нет, не приходилось")</f>
        <v>Нет, не приходилось</v>
      </c>
      <c r="T1334" s="6" t="str">
        <f>IFERROR(__xludf.DUMMYFUNCTION("""COMPUTED_VALUE"""),"В последнее время ""Зимней Вишней"".")</f>
        <v>В последнее время "Зимней Вишней".</v>
      </c>
      <c r="U1334" s="6" t="str">
        <f>IFERROR(__xludf.DUMMYFUNCTION("""COMPUTED_VALUE"""),"Старый центр")</f>
        <v>Старый центр</v>
      </c>
      <c r="V1334" s="6" t="str">
        <f>IFERROR(__xludf.DUMMYFUNCTION("""COMPUTED_VALUE"""),"Родились")</f>
        <v>Родились</v>
      </c>
      <c r="W1334" s="6" t="str">
        <f>IFERROR(__xludf.DUMMYFUNCTION("""COMPUTED_VALUE"""),"Отзывчивые, внимательные, добрые в основном")</f>
        <v>Отзывчивые, внимательные, добрые в основном</v>
      </c>
      <c r="X1334" s="6" t="str">
        <f>IFERROR(__xludf.DUMMYFUNCTION("""COMPUTED_VALUE"""),"Сосновый бор")</f>
        <v>Сосновый бор</v>
      </c>
      <c r="Y1334" s="6" t="str">
        <f>IFERROR(__xludf.DUMMYFUNCTION("""COMPUTED_VALUE"""),"Не знаю, что ответить")</f>
        <v>Не знаю, что ответить</v>
      </c>
      <c r="Z1334" s="6" t="str">
        <f>IFERROR(__xludf.DUMMYFUNCTION("""COMPUTED_VALUE"""),"Отремонтировали дорогу в нашем дворе, наконец-то")</f>
        <v>Отремонтировали дорогу в нашем дворе, наконец-то</v>
      </c>
      <c r="AA1334" s="6" t="str">
        <f>IFERROR(__xludf.DUMMYFUNCTION("""COMPUTED_VALUE"""),"Пожар в ""Зимней Вишне""")</f>
        <v>Пожар в "Зимней Вишне"</v>
      </c>
      <c r="AB1334" s="6" t="str">
        <f>IFERROR(__xludf.DUMMYFUNCTION("""COMPUTED_VALUE"""),"мне все хватает")</f>
        <v>мне все хватает</v>
      </c>
      <c r="AC1334" s="6" t="str">
        <f>IFERROR(__xludf.DUMMYFUNCTION("""COMPUTED_VALUE"""),"Человек сам кузнец своего счастья")</f>
        <v>Человек сам кузнец своего счастья</v>
      </c>
      <c r="AD133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334" s="6" t="str">
        <f>IFERROR(__xludf.DUMMYFUNCTION("""COMPUTED_VALUE"""),"Женский")</f>
        <v>Женский</v>
      </c>
      <c r="AF1334" s="6" t="str">
        <f>IFERROR(__xludf.DUMMYFUNCTION("""COMPUTED_VALUE"""),"30-44")</f>
        <v>30-44</v>
      </c>
      <c r="AG1334" s="6"/>
      <c r="AH1334" s="6"/>
      <c r="AI1334" s="6"/>
      <c r="AJ1334" s="6"/>
      <c r="AK1334" s="6"/>
      <c r="AL1334" s="6"/>
      <c r="AM1334" s="6"/>
    </row>
    <row r="1335">
      <c r="A1335" s="6">
        <v>1334.0</v>
      </c>
      <c r="B1335" s="6" t="str">
        <f>IFERROR(__xludf.DUMMYFUNCTION("""COMPUTED_VALUE"""),"пенсионер")</f>
        <v>пенсионер</v>
      </c>
      <c r="C1335" s="6" t="str">
        <f>IFERROR(__xludf.DUMMYFUNCTION("""COMPUTED_VALUE"""),"чтение кросворпды ")</f>
        <v>чтение кросворпды </v>
      </c>
      <c r="D1335" s="6" t="str">
        <f>IFERROR(__xludf.DUMMYFUNCTION("""COMPUTED_VALUE"""),"ленинский   шалготарьян")</f>
        <v>ленинский   шалготарьян</v>
      </c>
      <c r="E1335" s="6" t="str">
        <f>IFERROR(__xludf.DUMMYFUNCTION("""COMPUTED_VALUE"""),"сквер ленинградский- октябрьский")</f>
        <v>сквер ленинградский- октябрьский</v>
      </c>
      <c r="F1335" s="6" t="str">
        <f>IFERROR(__xludf.DUMMYFUNCTION("""COMPUTED_VALUE"""),"Живу здесь с рождения")</f>
        <v>Живу здесь с рождения</v>
      </c>
      <c r="G1335" s="6" t="str">
        <f>IFERROR(__xludf.DUMMYFUNCTION("""COMPUTED_VALUE"""),"набережная площадь пушкина")</f>
        <v>набережная площадь пушкина</v>
      </c>
      <c r="H1335" s="6" t="str">
        <f>IFERROR(__xludf.DUMMYFUNCTION("""COMPUTED_VALUE"""),"провинция загазованность  ")</f>
        <v>провинция загазованность  </v>
      </c>
      <c r="I1335" s="6" t="str">
        <f>IFERROR(__xludf.DUMMYFUNCTION("""COMPUTED_VALUE"""),"михайлов леонов барбараш")</f>
        <v>михайлов леонов барбараш</v>
      </c>
      <c r="J1335" s="6" t="str">
        <f>IFERROR(__xludf.DUMMYFUNCTION("""COMPUTED_VALUE"""),"те кто неформально относится к своей работе ")</f>
        <v>те кто неформально относится к своей работе </v>
      </c>
      <c r="K1335" s="6" t="str">
        <f>IFERROR(__xludf.DUMMYFUNCTION("""COMPUTED_VALUE"""),"томская писаница красная горка")</f>
        <v>томская писаница красная горка</v>
      </c>
      <c r="L1335" s="6" t="str">
        <f>IFERROR(__xludf.DUMMYFUNCTION("""COMPUTED_VALUE"""),"если утром туман значит выпускают газ")</f>
        <v>если утром туман значит выпускают газ</v>
      </c>
      <c r="M1335" s="6" t="str">
        <f>IFERROR(__xludf.DUMMYFUNCTION("""COMPUTED_VALUE"""),"нет")</f>
        <v>нет</v>
      </c>
      <c r="N1335" s="6" t="str">
        <f>IFERROR(__xludf.DUMMYFUNCTION("""COMPUTED_VALUE"""),"озеленение   чистота  спокойствие ")</f>
        <v>озеленение   чистота  спокойствие </v>
      </c>
      <c r="O1335" s="6" t="str">
        <f>IFERROR(__xludf.DUMMYFUNCTION("""COMPUTED_VALUE"""),"улучшить качество вывесок мелких магазинов")</f>
        <v>улучшить качество вывесок мелких магазинов</v>
      </c>
      <c r="P1335" s="6" t="str">
        <f>IFERROR(__xludf.DUMMYFUNCTION("""COMPUTED_VALUE"""),"тв новости")</f>
        <v>тв новости</v>
      </c>
      <c r="Q1335"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f>
        <v>городская афиша (кино/театр/концерты), культурные новинки (что почитать/что послушать), новости про новые профессии/куда поступать/вакансии</v>
      </c>
      <c r="R1335" s="6" t="str">
        <f>IFERROR(__xludf.DUMMYFUNCTION("""COMPUTED_VALUE"""),"связанные с городом ")</f>
        <v>связанные с городом </v>
      </c>
      <c r="S1335" s="6" t="str">
        <f>IFERROR(__xludf.DUMMYFUNCTION("""COMPUTED_VALUE"""),"Нет, не приходилось")</f>
        <v>Нет, не приходилось</v>
      </c>
      <c r="T1335" s="6" t="str">
        <f>IFERROR(__xludf.DUMMYFUNCTION("""COMPUTED_VALUE"""),"уголь ")</f>
        <v>уголь </v>
      </c>
      <c r="U1335" s="6" t="str">
        <f>IFERROR(__xludf.DUMMYFUNCTION("""COMPUTED_VALUE"""),"площадь пушкина")</f>
        <v>площадь пушкина</v>
      </c>
      <c r="V1335" s="6" t="str">
        <f>IFERROR(__xludf.DUMMYFUNCTION("""COMPUTED_VALUE""")," музей театры ")</f>
        <v> музей театры </v>
      </c>
      <c r="W1335" s="6" t="str">
        <f>IFERROR(__xludf.DUMMYFUNCTION("""COMPUTED_VALUE"""),"как все достаточно отзывчивы ")</f>
        <v>как все достаточно отзывчивы </v>
      </c>
      <c r="X1335" s="6" t="str">
        <f>IFERROR(__xludf.DUMMYFUNCTION("""COMPUTED_VALUE"""),"площадь Пушкина орбита набережная ")</f>
        <v>площадь Пушкина орбита набережная </v>
      </c>
      <c r="Y1335" s="6" t="str">
        <f>IFERROR(__xludf.DUMMYFUNCTION("""COMPUTED_VALUE"""),"открытие  картиной галереи")</f>
        <v>открытие  картиной галереи</v>
      </c>
      <c r="Z1335" s="6" t="str">
        <f>IFERROR(__xludf.DUMMYFUNCTION("""COMPUTED_VALUE"""),"строительство спорткомплекса на московском пр ")</f>
        <v>строительство спорткомплекса на московском пр </v>
      </c>
      <c r="AA1335" s="6" t="str">
        <f>IFERROR(__xludf.DUMMYFUNCTION("""COMPUTED_VALUE"""),"закрытие бассейна лазурный")</f>
        <v>закрытие бассейна лазурный</v>
      </c>
      <c r="AB1335" s="6" t="str">
        <f>IFERROR(__xludf.DUMMYFUNCTION("""COMPUTED_VALUE"""),"расказывающих о истории города")</f>
        <v>расказывающих о истории города</v>
      </c>
      <c r="AC1335" s="6" t="str">
        <f>IFERROR(__xludf.DUMMYFUNCTION("""COMPUTED_VALUE"""),"спортивные мероприятия для всех ")</f>
        <v>спортивные мероприятия для всех </v>
      </c>
      <c r="AD133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35" s="6" t="str">
        <f>IFERROR(__xludf.DUMMYFUNCTION("""COMPUTED_VALUE"""),"Женский")</f>
        <v>Женский</v>
      </c>
      <c r="AF1335" s="6" t="str">
        <f>IFERROR(__xludf.DUMMYFUNCTION("""COMPUTED_VALUE"""),"старше 55")</f>
        <v>старше 55</v>
      </c>
      <c r="AG1335" s="6"/>
      <c r="AH1335" s="6"/>
      <c r="AI1335" s="6"/>
      <c r="AJ1335" s="6"/>
      <c r="AK1335" s="6"/>
      <c r="AL1335" s="6"/>
      <c r="AM1335" s="6"/>
    </row>
    <row r="1336">
      <c r="A1336" s="6">
        <v>1335.0</v>
      </c>
      <c r="B1336" s="6" t="str">
        <f>IFERROR(__xludf.DUMMYFUNCTION("""COMPUTED_VALUE"""),"Работаю")</f>
        <v>Работаю</v>
      </c>
      <c r="C1336" s="6" t="str">
        <f>IFERROR(__xludf.DUMMYFUNCTION("""COMPUTED_VALUE"""),"Дети")</f>
        <v>Дети</v>
      </c>
      <c r="D1336" s="6" t="str">
        <f>IFERROR(__xludf.DUMMYFUNCTION("""COMPUTED_VALUE"""),"Южный")</f>
        <v>Южный</v>
      </c>
      <c r="E1336" s="6" t="str">
        <f>IFERROR(__xludf.DUMMYFUNCTION("""COMPUTED_VALUE"""),"Нет")</f>
        <v>Нет</v>
      </c>
      <c r="F1336" s="6" t="str">
        <f>IFERROR(__xludf.DUMMYFUNCTION("""COMPUTED_VALUE"""),"Живу здесь с рождения")</f>
        <v>Живу здесь с рождения</v>
      </c>
      <c r="G1336" s="6" t="str">
        <f>IFERROR(__xludf.DUMMYFUNCTION("""COMPUTED_VALUE"""),"Комсомольский парк, сосновый бор")</f>
        <v>Комсомольский парк, сосновый бор</v>
      </c>
      <c r="H1336" s="6" t="str">
        <f>IFERROR(__xludf.DUMMYFUNCTION("""COMPUTED_VALUE"""),"Уголь, шахтер, разрез, шахта, Тулеев")</f>
        <v>Уголь, шахтер, разрез, шахта, Тулеев</v>
      </c>
      <c r="I1336" s="6" t="str">
        <f>IFERROR(__xludf.DUMMYFUNCTION("""COMPUTED_VALUE"""),"Тулеев, Михайлов")</f>
        <v>Тулеев, Михайлов</v>
      </c>
      <c r="J1336" s="6" t="str">
        <f>IFERROR(__xludf.DUMMYFUNCTION("""COMPUTED_VALUE"""),"... ")</f>
        <v>... </v>
      </c>
      <c r="K1336" s="6" t="str">
        <f>IFERROR(__xludf.DUMMYFUNCTION("""COMPUTED_VALUE"""),"Сосновый бор")</f>
        <v>Сосновый бор</v>
      </c>
      <c r="L1336" s="6" t="str">
        <f>IFERROR(__xludf.DUMMYFUNCTION("""COMPUTED_VALUE"""),"... ")</f>
        <v>... </v>
      </c>
      <c r="M1336" s="6" t="str">
        <f>IFERROR(__xludf.DUMMYFUNCTION("""COMPUTED_VALUE"""),"Мультифора")</f>
        <v>Мультифора</v>
      </c>
      <c r="N1336" s="6" t="str">
        <f>IFERROR(__xludf.DUMMYFUNCTION("""COMPUTED_VALUE"""),"Парки, велосипедные дорожки, чистота, удобный общественный транспорт, продуманные пешеходные зоны")</f>
        <v>Парки, велосипедные дорожки, чистота, удобный общественный транспорт, продуманные пешеходные зоны</v>
      </c>
      <c r="O1336" s="6" t="str">
        <f>IFERROR(__xludf.DUMMYFUNCTION("""COMPUTED_VALUE"""),"Очень печалит отсутвие парка на южном, с детьми негде покататься на великах семьёй. По кварталу сделаны высоченные бордюры и катание превращается в перетаскиванее велосипедов... ")</f>
        <v>Очень печалит отсутвие парка на южном, с детьми негде покататься на великах семьёй. По кварталу сделаны высоченные бордюры и катание превращается в перетаскиванее велосипедов... </v>
      </c>
      <c r="P1336" s="6" t="str">
        <f>IFERROR(__xludf.DUMMYFUNCTION("""COMPUTED_VALUE"""),"Кемдетки")</f>
        <v>Кемдетки</v>
      </c>
      <c r="Q1336"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м"&amp;"естных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336" s="6" t="str">
        <f>IFERROR(__xludf.DUMMYFUNCTION("""COMPUTED_VALUE"""),"9мая, день города")</f>
        <v>9мая, день города</v>
      </c>
      <c r="S1336" s="6" t="str">
        <f>IFERROR(__xludf.DUMMYFUNCTION("""COMPUTED_VALUE"""),"Нет, не приходилось")</f>
        <v>Нет, не приходилось</v>
      </c>
      <c r="T1336" s="6" t="str">
        <f>IFERROR(__xludf.DUMMYFUNCTION("""COMPUTED_VALUE"""),"Зимняя вишня(")</f>
        <v>Зимняя вишня(</v>
      </c>
      <c r="U1336" s="6" t="str">
        <f>IFERROR(__xludf.DUMMYFUNCTION("""COMPUTED_VALUE"""),"Площадь Волкова")</f>
        <v>Площадь Волкова</v>
      </c>
      <c r="V1336" s="6" t="str">
        <f>IFERROR(__xludf.DUMMYFUNCTION("""COMPUTED_VALUE"""),"Открывали заводы и фабрики, строили мосты")</f>
        <v>Открывали заводы и фабрики, строили мосты</v>
      </c>
      <c r="W1336" s="6" t="str">
        <f>IFERROR(__xludf.DUMMYFUNCTION("""COMPUTED_VALUE"""),"Угрюмые")</f>
        <v>Угрюмые</v>
      </c>
      <c r="X1336" s="6" t="str">
        <f>IFERROR(__xludf.DUMMYFUNCTION("""COMPUTED_VALUE"""),"Зимняя вишня-парк Антошка-парк Жукова-филармония-набережная-весенняя-Дзержинского-зимняя вишня")</f>
        <v>Зимняя вишня-парк Антошка-парк Жукова-филармония-набережная-весенняя-Дзержинского-зимняя вишня</v>
      </c>
      <c r="Y1336" s="6" t="str">
        <f>IFERROR(__xludf.DUMMYFUNCTION("""COMPUTED_VALUE"""),"Зимняя вишня")</f>
        <v>Зимняя вишня</v>
      </c>
      <c r="Z1336" s="6" t="str">
        <f>IFERROR(__xludf.DUMMYFUNCTION("""COMPUTED_VALUE"""),"Не запомнились")</f>
        <v>Не запомнились</v>
      </c>
      <c r="AA1336" s="6" t="str">
        <f>IFERROR(__xludf.DUMMYFUNCTION("""COMPUTED_VALUE"""),"Нет")</f>
        <v>Нет</v>
      </c>
      <c r="AB1336" s="6" t="str">
        <f>IFERROR(__xludf.DUMMYFUNCTION("""COMPUTED_VALUE"""),"Не нуждаюсь в сообществах")</f>
        <v>Не нуждаюсь в сообществах</v>
      </c>
      <c r="AC1336" s="6" t="str">
        <f>IFERROR(__xludf.DUMMYFUNCTION("""COMPUTED_VALUE"""),"Семейные праздники")</f>
        <v>Семейные праздники</v>
      </c>
      <c r="AD133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36" s="6" t="str">
        <f>IFERROR(__xludf.DUMMYFUNCTION("""COMPUTED_VALUE"""),"Женский")</f>
        <v>Женский</v>
      </c>
      <c r="AF1336" s="6" t="str">
        <f>IFERROR(__xludf.DUMMYFUNCTION("""COMPUTED_VALUE"""),"30-44")</f>
        <v>30-44</v>
      </c>
      <c r="AG1336" s="6"/>
      <c r="AH1336" s="6"/>
      <c r="AI1336" s="6"/>
      <c r="AJ1336" s="6"/>
      <c r="AK1336" s="6"/>
      <c r="AL1336" s="6"/>
      <c r="AM1336" s="6"/>
    </row>
    <row r="1337">
      <c r="A1337" s="6">
        <v>1336.0</v>
      </c>
      <c r="B1337" s="6" t="str">
        <f>IFERROR(__xludf.DUMMYFUNCTION("""COMPUTED_VALUE"""),"Пенсионер")</f>
        <v>Пенсионер</v>
      </c>
      <c r="C1337" s="6" t="str">
        <f>IFERROR(__xludf.DUMMYFUNCTION("""COMPUTED_VALUE"""),"Старшая по дому")</f>
        <v>Старшая по дому</v>
      </c>
      <c r="D1337" s="6" t="str">
        <f>IFERROR(__xludf.DUMMYFUNCTION("""COMPUTED_VALUE"""),"Центральный, Центр")</f>
        <v>Центральный, Центр</v>
      </c>
      <c r="E1337" s="6" t="str">
        <f>IFERROR(__xludf.DUMMYFUNCTION("""COMPUTED_VALUE"""),"Набережная, ДК ""Москва"", здание 41 школы на Ермака,7, Бор, Стадион Химик")</f>
        <v>Набережная, ДК "Москва", здание 41 школы на Ермака,7, Бор, Стадион Химик</v>
      </c>
      <c r="F1337" s="6" t="str">
        <f>IFERROR(__xludf.DUMMYFUNCTION("""COMPUTED_VALUE"""),"Живу здесь с рождения")</f>
        <v>Живу здесь с рождения</v>
      </c>
      <c r="G1337" s="6" t="str">
        <f>IFERROR(__xludf.DUMMYFUNCTION("""COMPUTED_VALUE"""),"Горсад, Сквер Юности, Набережная, Весенняя")</f>
        <v>Горсад, Сквер Юности, Набережная, Весенняя</v>
      </c>
      <c r="H1337" s="6" t="str">
        <f>IFERROR(__xludf.DUMMYFUNCTION("""COMPUTED_VALUE"""),"Волков, уголь, Томь, Весенняя, Бор")</f>
        <v>Волков, уголь, Томь, Весенняя, Бор</v>
      </c>
      <c r="I1337" s="6" t="str">
        <f>IFERROR(__xludf.DUMMYFUNCTION("""COMPUTED_VALUE"""),"Мартемьянов, Волошина")</f>
        <v>Мартемьянов, Волошина</v>
      </c>
      <c r="J1337" s="6" t="str">
        <f>IFERROR(__xludf.DUMMYFUNCTION("""COMPUTED_VALUE"""),"Самой интересно")</f>
        <v>Самой интересно</v>
      </c>
      <c r="K1337" s="6" t="str">
        <f>IFERROR(__xludf.DUMMYFUNCTION("""COMPUTED_VALUE"""),"Бор, Красная горка, Томская писаница, площадь Пушкина, памятник М. Волкову")</f>
        <v>Бор, Красная горка, Томская писаница, площадь Пушкина, памятник М. Волкову</v>
      </c>
      <c r="L1337" s="6" t="str">
        <f>IFERROR(__xludf.DUMMYFUNCTION("""COMPUTED_VALUE"""),"Шахтеры с касками")</f>
        <v>Шахтеры с касками</v>
      </c>
      <c r="M1337" s="6" t="str">
        <f>IFERROR(__xludf.DUMMYFUNCTION("""COMPUTED_VALUE"""),"Нет")</f>
        <v>Нет</v>
      </c>
      <c r="N1337" s="6" t="str">
        <f>IFERROR(__xludf.DUMMYFUNCTION("""COMPUTED_VALUE"""),"Отствие режима Черного неба и черного снега в городе; снижение автомобильного потока в историческом центре; снос кафе на Притомской Набережной, находящегося в водоохранной зоне и портящего вид; сохранение исторического центра, запрет точечной застройки; с"&amp;"нос металлических гаражей.")</f>
        <v>Отствие режима Черного неба и черного снега в городе; снижение автомобильного потока в историческом центре; снос кафе на Притомской Набережной, находящегося в водоохранной зоне и портящего вид; сохранение исторического центра, запрет точечной застройки; снос металлических гаражей.</v>
      </c>
      <c r="O1337" s="6" t="str">
        <f>IFERROR(__xludf.DUMMYFUNCTION("""COMPUTED_VALUE"""),"Решить проблемы экологии")</f>
        <v>Решить проблемы экологии</v>
      </c>
      <c r="P1337" s="6" t="str">
        <f>IFERROR(__xludf.DUMMYFUNCTION("""COMPUTED_VALUE"""),"Инстаграм, телеграмм")</f>
        <v>Инстаграм, телеграмм</v>
      </c>
      <c r="Q1337" s="6" t="str">
        <f>IFERROR(__xludf.DUMMYFUNCTION("""COMPUTED_VALUE"""),"куда пойти в свободное время, криминальные новости (происшествия/преступления), результаты местных исследований (рейтинги/аналитика/тенденции)")</f>
        <v>куда пойти в свободное время, криминальные новости (происшествия/преступления), результаты местных исследований (рейтинги/аналитика/тенденции)</v>
      </c>
      <c r="R1337" s="6" t="str">
        <f>IFERROR(__xludf.DUMMYFUNCTION("""COMPUTED_VALUE"""),"9 мая, День Шахтеров")</f>
        <v>9 мая, День Шахтеров</v>
      </c>
      <c r="S1337" s="6" t="str">
        <f>IFERROR(__xludf.DUMMYFUNCTION("""COMPUTED_VALUE"""),"Нет, не приходилось")</f>
        <v>Нет, не приходилось</v>
      </c>
      <c r="T1337" s="6" t="str">
        <f>IFERROR(__xludf.DUMMYFUNCTION("""COMPUTED_VALUE"""),"Гришковец, песня БГ")</f>
        <v>Гришковец, песня БГ</v>
      </c>
      <c r="U1337" s="6" t="str">
        <f>IFERROR(__xludf.DUMMYFUNCTION("""COMPUTED_VALUE"""),"Площади Волкова и Пушкина, Набережная")</f>
        <v>Площади Волкова и Пушкина, Набережная</v>
      </c>
      <c r="V1337" s="6" t="str">
        <f>IFERROR(__xludf.DUMMYFUNCTION("""COMPUTED_VALUE"""),"Жили и строили город")</f>
        <v>Жили и строили город</v>
      </c>
      <c r="W1337" s="6" t="str">
        <f>IFERROR(__xludf.DUMMYFUNCTION("""COMPUTED_VALUE"""),"Суровые")</f>
        <v>Суровые</v>
      </c>
      <c r="X1337" s="6" t="str">
        <f>IFERROR(__xludf.DUMMYFUNCTION("""COMPUTED_VALUE"""),"Набережная, Весенняя")</f>
        <v>Набережная, Весенняя</v>
      </c>
      <c r="Y1337" s="6" t="str">
        <f>IFERROR(__xludf.DUMMYFUNCTION("""COMPUTED_VALUE"""),"Пожар в Зимней Вишне, забастовка шахтеров")</f>
        <v>Пожар в Зимней Вишне, забастовка шахтеров</v>
      </c>
      <c r="Z1337" s="6" t="str">
        <f>IFERROR(__xludf.DUMMYFUNCTION("""COMPUTED_VALUE"""),"Ничего не приходит на ум. Плохо с позитивом последние 2 года. Ковид, маски")</f>
        <v>Ничего не приходит на ум. Плохо с позитивом последние 2 года. Ковид, маски</v>
      </c>
      <c r="AA1337" s="6" t="str">
        <f>IFERROR(__xludf.DUMMYFUNCTION("""COMPUTED_VALUE"""),"Перенос мемориальной таблички о том, что там находился госпиталь, в период ВОВ со знания на Ермака, 7.
Постройка кафе на Притомской Набережной, которая испортила вид. 
")</f>
        <v>Перенос мемориальной таблички о том, что там находился госпиталь, в период ВОВ со знания на Ермака, 7.
Постройка кафе на Притомской Набережной, которая испортила вид. 
</v>
      </c>
      <c r="AB1337" s="6" t="str">
        <f>IFERROR(__xludf.DUMMYFUNCTION("""COMPUTED_VALUE"""),"Не хватает рабочих мест с адекватной оплатой труда.")</f>
        <v>Не хватает рабочих мест с адекватной оплатой труда.</v>
      </c>
      <c r="AC1337" s="6" t="str">
        <f>IFERROR(__xludf.DUMMYFUNCTION("""COMPUTED_VALUE""")," ***")</f>
        <v> ***</v>
      </c>
      <c r="AD1337"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337" s="6" t="str">
        <f>IFERROR(__xludf.DUMMYFUNCTION("""COMPUTED_VALUE"""),"Женский")</f>
        <v>Женский</v>
      </c>
      <c r="AF1337" s="6" t="str">
        <f>IFERROR(__xludf.DUMMYFUNCTION("""COMPUTED_VALUE"""),"старше 55")</f>
        <v>старше 55</v>
      </c>
      <c r="AG1337" s="6"/>
      <c r="AH1337" s="6"/>
      <c r="AI1337" s="6"/>
      <c r="AJ1337" s="6"/>
      <c r="AK1337" s="6"/>
      <c r="AL1337" s="6"/>
      <c r="AM1337" s="6"/>
    </row>
    <row r="1338">
      <c r="A1338" s="6">
        <v>1337.0</v>
      </c>
      <c r="B1338" s="6" t="str">
        <f>IFERROR(__xludf.DUMMYFUNCTION("""COMPUTED_VALUE"""),"безопасность информации")</f>
        <v>безопасность информации</v>
      </c>
      <c r="C1338" s="6" t="str">
        <f>IFERROR(__xludf.DUMMYFUNCTION("""COMPUTED_VALUE"""),"спорт")</f>
        <v>спорт</v>
      </c>
      <c r="D1338" s="6" t="str">
        <f>IFERROR(__xludf.DUMMYFUNCTION("""COMPUTED_VALUE"""),"заводский (южный)")</f>
        <v>заводский (южный)</v>
      </c>
      <c r="E1338" s="6" t="str">
        <f>IFERROR(__xludf.DUMMYFUNCTION("""COMPUTED_VALUE"""),"аллея Патриотов")</f>
        <v>аллея Патриотов</v>
      </c>
      <c r="F1338" s="6" t="str">
        <f>IFERROR(__xludf.DUMMYFUNCTION("""COMPUTED_VALUE"""),"Живу здесь с рождения")</f>
        <v>Живу здесь с рождения</v>
      </c>
      <c r="G1338" s="6" t="str">
        <f>IFERROR(__xludf.DUMMYFUNCTION("""COMPUTED_VALUE"""),"Летом: бульвар Строителей, Набережная. Зимой: Сосновый бор, томская писанница")</f>
        <v>Летом: бульвар Строителей, Набережная. Зимой: Сосновый бор, томская писанница</v>
      </c>
      <c r="H1338" s="6" t="str">
        <f>IFERROR(__xludf.DUMMYFUNCTION("""COMPUTED_VALUE"""),"родной, томь, томская писанница")</f>
        <v>родной, томь, томская писанница</v>
      </c>
      <c r="I1338" s="6" t="str">
        <f>IFERROR(__xludf.DUMMYFUNCTION("""COMPUTED_VALUE"""),"Волков Михайло")</f>
        <v>Волков Михайло</v>
      </c>
      <c r="J1338" s="6" t="str">
        <f>IFERROR(__xludf.DUMMYFUNCTION("""COMPUTED_VALUE"""),"А.П. Волков")</f>
        <v>А.П. Волков</v>
      </c>
      <c r="K1338" s="6" t="str">
        <f>IFERROR(__xludf.DUMMYFUNCTION("""COMPUTED_VALUE"""),"ботанический сад, томская писанница")</f>
        <v>ботанический сад, томская писанница</v>
      </c>
      <c r="L1338" s="6" t="str">
        <f>IFERROR(__xludf.DUMMYFUNCTION("""COMPUTED_VALUE"""),"никогда богатыми не были и начинать нечего")</f>
        <v>никогда богатыми не были и начинать нечего</v>
      </c>
      <c r="M1338" s="6" t="str">
        <f>IFERROR(__xludf.DUMMYFUNCTION("""COMPUTED_VALUE"""),"нет")</f>
        <v>нет</v>
      </c>
      <c r="N1338" s="6" t="str">
        <f>IFERROR(__xludf.DUMMYFUNCTION("""COMPUTED_VALUE"""),"чистота, тишина, малочисленность граждан ")</f>
        <v>чистота, тишина, малочисленность граждан </v>
      </c>
      <c r="O1338" s="6" t="str">
        <f>IFERROR(__xludf.DUMMYFUNCTION("""COMPUTED_VALUE"""),"старые дома снести")</f>
        <v>старые дома снести</v>
      </c>
      <c r="P1338" s="6" t="str">
        <f>IFERROR(__xludf.DUMMYFUNCTION("""COMPUTED_VALUE"""),"на работе от сотрудников, все42.ру")</f>
        <v>на работе от сотрудников, все42.ру</v>
      </c>
      <c r="Q1338"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338" s="6" t="str">
        <f>IFERROR(__xludf.DUMMYFUNCTION("""COMPUTED_VALUE"""),"день победы, новый год")</f>
        <v>день победы, новый год</v>
      </c>
      <c r="S1338" s="6" t="str">
        <f>IFERROR(__xludf.DUMMYFUNCTION("""COMPUTED_VALUE"""),"Нет, не приходилось")</f>
        <v>Нет, не приходилось</v>
      </c>
      <c r="T1338" s="6" t="str">
        <f>IFERROR(__xludf.DUMMYFUNCTION("""COMPUTED_VALUE"""),"красивые парки")</f>
        <v>красивые парки</v>
      </c>
      <c r="U1338" s="6" t="str">
        <f>IFERROR(__xludf.DUMMYFUNCTION("""COMPUTED_VALUE"""),"набережная, бульвар строителей")</f>
        <v>набережная, бульвар строителей</v>
      </c>
      <c r="V1338" s="6" t="str">
        <f>IFERROR(__xludf.DUMMYFUNCTION("""COMPUTED_VALUE"""),"развили научную составляющую КемГУ и Института углехимии")</f>
        <v>развили научную составляющую КемГУ и Института углехимии</v>
      </c>
      <c r="W1338" s="6" t="str">
        <f>IFERROR(__xludf.DUMMYFUNCTION("""COMPUTED_VALUE"""),"добрые, некрасивые")</f>
        <v>добрые, некрасивые</v>
      </c>
      <c r="X1338" s="6" t="str">
        <f>IFERROR(__xludf.DUMMYFUNCTION("""COMPUTED_VALUE"""),"набережная (колесо обозрения)-лесная поляна (ботанический сад)-томская писанница")</f>
        <v>набережная (колесо обозрения)-лесная поляна (ботанический сад)-томская писанница</v>
      </c>
      <c r="Y1338" s="6" t="str">
        <f>IFERROR(__xludf.DUMMYFUNCTION("""COMPUTED_VALUE"""),"концерт посвященный 25-летию стойсервиса 2020 г.")</f>
        <v>концерт посвященный 25-летию стойсервиса 2020 г.</v>
      </c>
      <c r="Z1338" s="6" t="str">
        <f>IFERROR(__xludf.DUMMYFUNCTION("""COMPUTED_VALUE"""),"концерт посвященный 25-летию стойсервиса 2020 г.")</f>
        <v>концерт посвященный 25-летию стойсервиса 2020 г.</v>
      </c>
      <c r="AA1338" s="6" t="str">
        <f>IFERROR(__xludf.DUMMYFUNCTION("""COMPUTED_VALUE"""),"митинги ")</f>
        <v>митинги </v>
      </c>
      <c r="AB1338" s="6" t="str">
        <f>IFERROR(__xludf.DUMMYFUNCTION("""COMPUTED_VALUE"""),"выставки картин ")</f>
        <v>выставки картин </v>
      </c>
      <c r="AC1338" s="6" t="str">
        <f>IFERROR(__xludf.DUMMYFUNCTION("""COMPUTED_VALUE"""),"больше концертов современных исполнителей")</f>
        <v>больше концертов современных исполнителей</v>
      </c>
      <c r="AD133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38" s="6" t="str">
        <f>IFERROR(__xludf.DUMMYFUNCTION("""COMPUTED_VALUE"""),"Женский")</f>
        <v>Женский</v>
      </c>
      <c r="AF1338" s="6" t="str">
        <f>IFERROR(__xludf.DUMMYFUNCTION("""COMPUTED_VALUE"""),"30-44")</f>
        <v>30-44</v>
      </c>
      <c r="AG1338" s="6"/>
      <c r="AH1338" s="6"/>
      <c r="AI1338" s="6"/>
      <c r="AJ1338" s="6"/>
      <c r="AK1338" s="6"/>
      <c r="AL1338" s="6"/>
      <c r="AM1338" s="6"/>
    </row>
    <row r="1339">
      <c r="A1339" s="6">
        <v>1338.0</v>
      </c>
      <c r="B1339" s="6" t="str">
        <f>IFERROR(__xludf.DUMMYFUNCTION("""COMPUTED_VALUE"""),"финансы")</f>
        <v>финансы</v>
      </c>
      <c r="C1339" s="6" t="str">
        <f>IFERROR(__xludf.DUMMYFUNCTION("""COMPUTED_VALUE"""),"скрапбукинг")</f>
        <v>скрапбукинг</v>
      </c>
      <c r="D1339" s="6" t="str">
        <f>IFERROR(__xludf.DUMMYFUNCTION("""COMPUTED_VALUE"""),"фпк")</f>
        <v>фпк</v>
      </c>
      <c r="E1339" s="6" t="str">
        <f>IFERROR(__xludf.DUMMYFUNCTION("""COMPUTED_VALUE"""),"парк Новорожденных")</f>
        <v>парк Новорожденных</v>
      </c>
      <c r="F1339" s="6" t="str">
        <f>IFERROR(__xludf.DUMMYFUNCTION("""COMPUTED_VALUE"""),"Живу здесь с рождения")</f>
        <v>Живу здесь с рождения</v>
      </c>
      <c r="G1339" s="6" t="str">
        <f>IFERROR(__xludf.DUMMYFUNCTION("""COMPUTED_VALUE"""),"Комсомольский парк, горсад")</f>
        <v>Комсомольский парк, горсад</v>
      </c>
      <c r="H1339" s="6" t="str">
        <f>IFERROR(__xludf.DUMMYFUNCTION("""COMPUTED_VALUE"""),"дом, река,мост, парк")</f>
        <v>дом, река,мост, парк</v>
      </c>
      <c r="I1339" s="6" t="str">
        <f>IFERROR(__xludf.DUMMYFUNCTION("""COMPUTED_VALUE""")," Подгорбунский")</f>
        <v> Подгорбунский</v>
      </c>
      <c r="J1339" s="6" t="str">
        <f>IFERROR(__xludf.DUMMYFUNCTION("""COMPUTED_VALUE"""),"В.В. Михайлов")</f>
        <v>В.В. Михайлов</v>
      </c>
      <c r="K1339" s="6" t="str">
        <f>IFERROR(__xludf.DUMMYFUNCTION("""COMPUTED_VALUE"""),"Набережная в центре, горсад, комсомольский парк, бульвар строителей")</f>
        <v>Набережная в центре, горсад, комсомольский парк, бульвар строителей</v>
      </c>
      <c r="L1339" s="6" t="str">
        <f>IFERROR(__xludf.DUMMYFUNCTION("""COMPUTED_VALUE"""),"-")</f>
        <v>-</v>
      </c>
      <c r="M1339" s="6" t="str">
        <f>IFERROR(__xludf.DUMMYFUNCTION("""COMPUTED_VALUE"""),"нет")</f>
        <v>нет</v>
      </c>
      <c r="N1339" s="6" t="str">
        <f>IFERROR(__xludf.DUMMYFUNCTION("""COMPUTED_VALUE"""),"доступный транспорт, много зелени, красивые дома, красивые яркие фасады, а не серые скучные здания, много необычных архитектурных форм")</f>
        <v>доступный транспорт, много зелени, красивые дома, красивые яркие фасады, а не серые скучные здания, много необычных архитектурных форм</v>
      </c>
      <c r="O1339" s="6" t="str">
        <f>IFERROR(__xludf.DUMMYFUNCTION("""COMPUTED_VALUE"""),"поставить очистные сооружения на химические заводы, посадить больше хвойных деревьев в городе, больше подсветки")</f>
        <v>поставить очистные сооружения на химические заводы, посадить больше хвойных деревьев в городе, больше подсветки</v>
      </c>
      <c r="P1339" s="6" t="str">
        <f>IFERROR(__xludf.DUMMYFUNCTION("""COMPUTED_VALUE"""),"инстаграм")</f>
        <v>инстаграм</v>
      </c>
      <c r="Q1339" s="6" t="str">
        <f>IFERROR(__xludf.DUMMYFUNCTION("""COMPUTED_VALUE"""),"городская афиша (кино/театр/концерты), интервью с местными творческими личностями")</f>
        <v>городская афиша (кино/театр/концерты), интервью с местными творческими личностями</v>
      </c>
      <c r="R1339" s="6" t="str">
        <f>IFERROR(__xludf.DUMMYFUNCTION("""COMPUTED_VALUE"""),"день города, день шахтера")</f>
        <v>день города, день шахтера</v>
      </c>
      <c r="S1339" s="6" t="str">
        <f>IFERROR(__xludf.DUMMYFUNCTION("""COMPUTED_VALUE"""),"Нет, не приходилось")</f>
        <v>Нет, не приходилось</v>
      </c>
      <c r="T1339" s="6" t="str">
        <f>IFERROR(__xludf.DUMMYFUNCTION("""COMPUTED_VALUE"""),"Это Сибирь! ")</f>
        <v>Это Сибирь! </v>
      </c>
      <c r="U1339" s="6" t="str">
        <f>IFERROR(__xludf.DUMMYFUNCTION("""COMPUTED_VALUE"""),"набережную реки Томь в центре, горсад, центральный универмаг, стадион Химик, швейка")</f>
        <v>набережную реки Томь в центре, горсад, центральный универмаг, стадион Химик, швейка</v>
      </c>
      <c r="V1339" s="6" t="str">
        <f>IFERROR(__xludf.DUMMYFUNCTION("""COMPUTED_VALUE""")," не могу так сразу сказать")</f>
        <v> не могу так сразу сказать</v>
      </c>
      <c r="W1339" s="6" t="str">
        <f>IFERROR(__xludf.DUMMYFUNCTION("""COMPUTED_VALUE"""),"раньше были люди более дружелюбные, помогали. Сейчас немного времена изменились, каждый стал сам за себя, нет сплочения")</f>
        <v>раньше были люди более дружелюбные, помогали. Сейчас немного времена изменились, каждый стал сам за себя, нет сплочения</v>
      </c>
      <c r="X1339" s="6" t="str">
        <f>IFERROR(__xludf.DUMMYFUNCTION("""COMPUTED_VALUE"""),"Драмтеатр, ул. Весенняя, набережная реки Томь и прогулка по Горсаду")</f>
        <v>Драмтеатр, ул. Весенняя, набережная реки Томь и прогулка по Горсаду</v>
      </c>
      <c r="Y1339" s="6" t="str">
        <f>IFERROR(__xludf.DUMMYFUNCTION("""COMPUTED_VALUE"""),"открытие обновленного Бульвара строителей")</f>
        <v>открытие обновленного Бульвара строителей</v>
      </c>
      <c r="Z1339" s="6" t="str">
        <f>IFERROR(__xludf.DUMMYFUNCTION("""COMPUTED_VALUE"""),"-")</f>
        <v>-</v>
      </c>
      <c r="AA1339" s="6" t="str">
        <f>IFERROR(__xludf.DUMMYFUNCTION("""COMPUTED_VALUE"""),"-")</f>
        <v>-</v>
      </c>
      <c r="AB1339" s="6" t="str">
        <f>IFERROR(__xludf.DUMMYFUNCTION("""COMPUTED_VALUE"""),"-")</f>
        <v>-</v>
      </c>
      <c r="AC1339" s="6" t="str">
        <f>IFERROR(__xludf.DUMMYFUNCTION("""COMPUTED_VALUE"""),"больше детских праздников, фестивалей")</f>
        <v>больше детских праздников, фестивалей</v>
      </c>
      <c r="AD133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39" s="6" t="str">
        <f>IFERROR(__xludf.DUMMYFUNCTION("""COMPUTED_VALUE"""),"Женский")</f>
        <v>Женский</v>
      </c>
      <c r="AF1339" s="6" t="str">
        <f>IFERROR(__xludf.DUMMYFUNCTION("""COMPUTED_VALUE"""),"30-44")</f>
        <v>30-44</v>
      </c>
      <c r="AG1339" s="6"/>
      <c r="AH1339" s="6"/>
      <c r="AI1339" s="6"/>
      <c r="AJ1339" s="6"/>
      <c r="AK1339" s="6"/>
      <c r="AL1339" s="6"/>
      <c r="AM1339" s="6"/>
    </row>
    <row r="1340">
      <c r="A1340" s="6">
        <v>1339.0</v>
      </c>
      <c r="B1340" s="6" t="str">
        <f>IFERROR(__xludf.DUMMYFUNCTION("""COMPUTED_VALUE"""),"Организация обучения")</f>
        <v>Организация обучения</v>
      </c>
      <c r="C1340" s="6" t="str">
        <f>IFERROR(__xludf.DUMMYFUNCTION("""COMPUTED_VALUE"""),"активный отдых, творчество")</f>
        <v>активный отдых, творчество</v>
      </c>
      <c r="D1340" s="6" t="str">
        <f>IFERROR(__xludf.DUMMYFUNCTION("""COMPUTED_VALUE"""),"Ленинский район (за бульваром)")</f>
        <v>Ленинский район (за бульваром)</v>
      </c>
      <c r="E1340" s="6" t="str">
        <f>IFERROR(__xludf.DUMMYFUNCTION("""COMPUTED_VALUE"""),"Кузбасский парк, бульвар строителей, красное озеро, парк около кадетского училища")</f>
        <v>Кузбасский парк, бульвар строителей, красное озеро, парк около кадетского училища</v>
      </c>
      <c r="F1340" s="6" t="str">
        <f>IFERROR(__xludf.DUMMYFUNCTION("""COMPUTED_VALUE"""),"Переехал сюда из другого места (откуда? укажите в графе другое), Ленинск-Кузнецка")</f>
        <v>Переехал сюда из другого места (откуда? укажите в графе другое), Ленинск-Кузнецка</v>
      </c>
      <c r="G1340" s="6" t="str">
        <f>IFERROR(__xludf.DUMMYFUNCTION("""COMPUTED_VALUE"""),"Сосновый бор, Набережная в центре, Кузбасский парк, Бульвар строителей")</f>
        <v>Сосновый бор, Набережная в центре, Кузбасский парк, Бульвар строителей</v>
      </c>
      <c r="H1340" s="6" t="str">
        <f>IFERROR(__xludf.DUMMYFUNCTION("""COMPUTED_VALUE"""),"Уголь, столица Кузбасса, столица промышленного региона,")</f>
        <v>Уголь, столица Кузбасса, столица промышленного региона,</v>
      </c>
      <c r="I1340" s="6" t="str">
        <f>IFERROR(__xludf.DUMMYFUNCTION("""COMPUTED_VALUE""")," Вера Волошина, Двужильный, Подгорбунский, Штоколов")</f>
        <v> Вера Волошина, Двужильный, Подгорбунский, Штоколов</v>
      </c>
      <c r="J1340" s="6" t="str">
        <f>IFERROR(__xludf.DUMMYFUNCTION("""COMPUTED_VALUE"""),"Евгений Гришковец, Аман Тулеев,  Алексей Леонов,  ")</f>
        <v>Евгений Гришковец, Аман Тулеев,  Алексей Леонов,  </v>
      </c>
      <c r="K1340" s="6" t="str">
        <f>IFERROR(__xludf.DUMMYFUNCTION("""COMPUTED_VALUE"""),"Красная горка, улица весенняя")</f>
        <v>Красная горка, улица весенняя</v>
      </c>
      <c r="L1340" s="6" t="str">
        <f>IFERROR(__xludf.DUMMYFUNCTION("""COMPUTED_VALUE"""),"-")</f>
        <v>-</v>
      </c>
      <c r="M1340" s="6" t="str">
        <f>IFERROR(__xludf.DUMMYFUNCTION("""COMPUTED_VALUE"""),"маленько")</f>
        <v>маленько</v>
      </c>
      <c r="N1340" s="6" t="str">
        <f>IFERROR(__xludf.DUMMYFUNCTION("""COMPUTED_VALUE"""),"чисто, уютно, оборудованные места для отдыха, прогулок, хорошие дороги, инфраструктура")</f>
        <v>чисто, уютно, оборудованные места для отдыха, прогулок, хорошие дороги, инфраструктура</v>
      </c>
      <c r="O1340" s="6" t="str">
        <f>IFERROR(__xludf.DUMMYFUNCTION("""COMPUTED_VALUE"""),"экологическую ситуацию, смог, выбросы  в воздух")</f>
        <v>экологическую ситуацию, смог, выбросы  в воздух</v>
      </c>
      <c r="P1340" s="6" t="str">
        <f>IFERROR(__xludf.DUMMYFUNCTION("""COMPUTED_VALUE""")," от знакомых и друзей")</f>
        <v> от знакомых и друзей</v>
      </c>
      <c r="Q1340"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v>
      </c>
      <c r="R1340" s="6" t="str">
        <f>IFERROR(__xludf.DUMMYFUNCTION("""COMPUTED_VALUE"""),"день города")</f>
        <v>день города</v>
      </c>
      <c r="S1340" s="6" t="str">
        <f>IFERROR(__xludf.DUMMYFUNCTION("""COMPUTED_VALUE"""),"Нет, не приходилось")</f>
        <v>Нет, не приходилось</v>
      </c>
      <c r="T1340" s="6" t="str">
        <f>IFERROR(__xludf.DUMMYFUNCTION("""COMPUTED_VALUE"""),"пожаром в Зимней вишне")</f>
        <v>пожаром в Зимней вишне</v>
      </c>
      <c r="U1340" s="6" t="str">
        <f>IFERROR(__xludf.DUMMYFUNCTION("""COMPUTED_VALUE"""),"памятник Михайло Волкову, памятник шахтерам Э.Неизвестного")</f>
        <v>памятник Михайло Волкову, памятник шахтерам Э.Неизвестного</v>
      </c>
      <c r="V1340" s="6" t="str">
        <f>IFERROR(__xludf.DUMMYFUNCTION("""COMPUTED_VALUE"""),"любили город")</f>
        <v>любили город</v>
      </c>
      <c r="W1340" s="6" t="str">
        <f>IFERROR(__xludf.DUMMYFUNCTION("""COMPUTED_VALUE"""),"смелые, суровые, веселые")</f>
        <v>смелые, суровые, веселые</v>
      </c>
      <c r="X1340" s="6" t="str">
        <f>IFERROR(__xludf.DUMMYFUNCTION("""COMPUTED_VALUE"""),"прогулка по Красной горке")</f>
        <v>прогулка по Красной горке</v>
      </c>
      <c r="Y1340" s="6" t="str">
        <f>IFERROR(__xludf.DUMMYFUNCTION("""COMPUTED_VALUE"""),"Чемпионат мира по хоккею с мячом")</f>
        <v>Чемпионат мира по хоккею с мячом</v>
      </c>
      <c r="Z1340" s="6" t="str">
        <f>IFERROR(__xludf.DUMMYFUNCTION("""COMPUTED_VALUE"""),"ремонт бульвара строителей")</f>
        <v>ремонт бульвара строителей</v>
      </c>
      <c r="AA1340" s="6" t="str">
        <f>IFERROR(__xludf.DUMMYFUNCTION("""COMPUTED_VALUE"""),"-")</f>
        <v>-</v>
      </c>
      <c r="AB1340" s="6" t="str">
        <f>IFERROR(__xludf.DUMMYFUNCTION("""COMPUTED_VALUE"""),"мне хватает")</f>
        <v>мне хватает</v>
      </c>
      <c r="AC1340" s="6" t="str">
        <f>IFERROR(__xludf.DUMMYFUNCTION("""COMPUTED_VALUE"""),"йоги-фестивали, экологические тусовки,  спортивные мероприятия для пожилых людей")</f>
        <v>йоги-фестивали, экологические тусовки,  спортивные мероприятия для пожилых людей</v>
      </c>
      <c r="AD1340"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340" s="6" t="str">
        <f>IFERROR(__xludf.DUMMYFUNCTION("""COMPUTED_VALUE"""),"Женский")</f>
        <v>Женский</v>
      </c>
      <c r="AF1340" s="6" t="str">
        <f>IFERROR(__xludf.DUMMYFUNCTION("""COMPUTED_VALUE"""),"30-44")</f>
        <v>30-44</v>
      </c>
      <c r="AG1340" s="6"/>
      <c r="AH1340" s="6"/>
      <c r="AI1340" s="6"/>
      <c r="AJ1340" s="6"/>
      <c r="AK1340" s="6"/>
      <c r="AL1340" s="6"/>
      <c r="AM1340" s="6"/>
    </row>
    <row r="1341">
      <c r="A1341" s="6">
        <v>1340.0</v>
      </c>
      <c r="B1341" s="6" t="str">
        <f>IFERROR(__xludf.DUMMYFUNCTION("""COMPUTED_VALUE"""),"Оборудование для горных работ")</f>
        <v>Оборудование для горных работ</v>
      </c>
      <c r="C1341" s="6" t="str">
        <f>IFERROR(__xludf.DUMMYFUNCTION("""COMPUTED_VALUE"""),"Прогулки")</f>
        <v>Прогулки</v>
      </c>
      <c r="D1341" s="6" t="str">
        <f>IFERROR(__xludf.DUMMYFUNCTION("""COMPUTED_VALUE"""),"Поляна - Лесная Поляна ")</f>
        <v>Поляна - Лесная Поляна </v>
      </c>
      <c r="E1341" s="6" t="str">
        <f>IFERROR(__xludf.DUMMYFUNCTION("""COMPUTED_VALUE"""),"Парк Лесная сказка, бульвар Осенний")</f>
        <v>Парк Лесная сказка, бульвар Осенний</v>
      </c>
      <c r="F134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341" s="6" t="str">
        <f>IFERROR(__xludf.DUMMYFUNCTION("""COMPUTED_VALUE"""),"Гуляем по району Лесная Поляна, летом играем на школьном стадионе, зимой каток и просто катаемся со снежных склонов")</f>
        <v>Гуляем по району Лесная Поляна, летом играем на школьном стадионе, зимой каток и просто катаемся со снежных склонов</v>
      </c>
      <c r="H1341" s="6" t="str">
        <f>IFERROR(__xludf.DUMMYFUNCTION("""COMPUTED_VALUE"""),"Промышленность, экология, Томь, Зимняя Вишня, дороги")</f>
        <v>Промышленность, экология, Томь, Зимняя Вишня, дороги</v>
      </c>
      <c r="I1341" s="6" t="str">
        <f>IFERROR(__xludf.DUMMYFUNCTION("""COMPUTED_VALUE"""),"Михайлов")</f>
        <v>Михайлов</v>
      </c>
      <c r="J1341" s="6" t="str">
        <f>IFERROR(__xludf.DUMMYFUNCTION("""COMPUTED_VALUE"""),"Михайлов")</f>
        <v>Михайлов</v>
      </c>
      <c r="K1341" s="6" t="str">
        <f>IFERROR(__xludf.DUMMYFUNCTION("""COMPUTED_VALUE"""),"Сейчас бы с гордостью показал большие стройки в городе связанные с культурным и спортивным кластером, также здания суда, кадетского училища - город развивается. Раньше очень нравился негустонаселённый, но ухоженный и современный, красивый и удобный район "&amp;"Лесная Поляна, сейчас к большому сожалению кажется концепция района подменялась…")</f>
        <v>Сейчас бы с гордостью показал большие стройки в городе связанные с культурным и спортивным кластером, также здания суда, кадетского училища - город развивается. Раньше очень нравился негустонаселённый, но ухоженный и современный, красивый и удобный район Лесная Поляна, сейчас к большому сожалению кажется концепция района подменялась…</v>
      </c>
      <c r="L1341" s="6" t="str">
        <f>IFERROR(__xludf.DUMMYFUNCTION("""COMPUTED_VALUE"""),"Не знаю")</f>
        <v>Не знаю</v>
      </c>
      <c r="M1341" s="6" t="str">
        <f>IFERROR(__xludf.DUMMYFUNCTION("""COMPUTED_VALUE"""),"Мультифора - папка ")</f>
        <v>Мультифора - папка </v>
      </c>
      <c r="N1341" s="6" t="str">
        <f>IFERROR(__xludf.DUMMYFUNCTION("""COMPUTED_VALUE"""),"-Экология;
-Безопасность (правоохранители);
-Доступная инфраструктура (школы, садики, медицинские учреждения и т.д.);
-Дороги. Достаточное их количество в хорошем состоянии, без существенных перегрузов транспортных потоком в часы пик;
-Ухоженность города.")</f>
        <v>-Экология;
-Безопасность (правоохранители);
-Доступная инфраструктура (школы, садики, медицинские учреждения и т.д.);
-Дороги. Достаточное их количество в хорошем состоянии, без существенных перегрузов транспортных потоком в часы пик;
-Ухоженность города.</v>
      </c>
      <c r="O1341" s="6" t="str">
        <f>IFERROR(__xludf.DUMMYFUNCTION("""COMPUTED_VALUE"""),"Экологию и медицину. Если первый пункт связан с частными предприятиями которые приносят прибыль в виде налогов и влияние города ограничено (но должно быть), то с достойной медициной в городе и тем более в остальной части области все очень плохо и со специ"&amp;"алистами и со современными методами и оборудованием и это прямая ответственность местной власти в т.ч.")</f>
        <v>Экологию и медицину. Если первый пункт связан с частными предприятиями которые приносят прибыль в виде налогов и влияние города ограничено (но должно быть), то с достойной медициной в городе и тем более в остальной части области все очень плохо и со специалистами и со современными методами и оборудованием и это прямая ответственность местной власти в т.ч.</v>
      </c>
      <c r="P1341" s="6" t="str">
        <f>IFERROR(__xludf.DUMMYFUNCTION("""COMPUTED_VALUE"""),"Сибдепо, Ваш город, форум vk Лесная поляна")</f>
        <v>Сибдепо, Ваш город, форум vk Лесная поляна</v>
      </c>
      <c r="Q1341" s="6" t="str">
        <f>IFERROR(__xludf.DUMMYFUNCTION("""COMPUTED_VALUE"""),"где вкусно поесть/открытие новых кафе/ресторанов, Как развивается город")</f>
        <v>где вкусно поесть/открытие новых кафе/ресторанов, Как развивается город</v>
      </c>
      <c r="R1341" s="6" t="str">
        <f>IFERROR(__xludf.DUMMYFUNCTION("""COMPUTED_VALUE"""),"День города. В Новокузнецке - День металлурга")</f>
        <v>День города. В Новокузнецке - День металлурга</v>
      </c>
      <c r="S1341" s="6" t="str">
        <f>IFERROR(__xludf.DUMMYFUNCTION("""COMPUTED_VALUE"""),"Нет, не приходилось")</f>
        <v>Нет, не приходилось</v>
      </c>
      <c r="T1341" s="6" t="str">
        <f>IFERROR(__xludf.DUMMYFUNCTION("""COMPUTED_VALUE"""),"К сожалению печально известен трагедией в Зимней вишни. Немногие вспоминаю Кузбасс - район добычи угля")</f>
        <v>К сожалению печально известен трагедией в Зимней вишни. Немногие вспоминаю Кузбасс - район добычи угля</v>
      </c>
      <c r="U1341" s="6" t="str">
        <f>IFERROR(__xludf.DUMMYFUNCTION("""COMPUTED_VALUE"""),"Площадь Советов, улица Весенняя")</f>
        <v>Площадь Советов, улица Весенняя</v>
      </c>
      <c r="V1341" s="6" t="str">
        <f>IFERROR(__xludf.DUMMYFUNCTION("""COMPUTED_VALUE"""),"Кажется город строили по плану и компактно с хорошими дорогами и широким мостом через Томь")</f>
        <v>Кажется город строили по плану и компактно с хорошими дорогами и широким мостом через Томь</v>
      </c>
      <c r="W1341" s="6" t="str">
        <f>IFERROR(__xludf.DUMMYFUNCTION("""COMPUTED_VALUE"""),"Загруженные, не веселые, немного депрессивные.
Значительно отличаются, раньше в большей степени, более счастливые жители Лесной поляны.")</f>
        <v>Загруженные, не веселые, немного депрессивные.
Значительно отличаются, раньше в большей степени, более счастливые жители Лесной поляны.</v>
      </c>
      <c r="X1341" s="6" t="str">
        <f>IFERROR(__xludf.DUMMYFUNCTION("""COMPUTED_VALUE"""),"Пешком по Весенней, потом по набережной (надеюсь она станет еще более продолжительной и красивой)")</f>
        <v>Пешком по Весенней, потом по набережной (надеюсь она станет еще более продолжительной и красивой)</v>
      </c>
      <c r="Y1341" s="6" t="str">
        <f>IFERROR(__xludf.DUMMYFUNCTION("""COMPUTED_VALUE"""),"Наверное когда его назначили столицей области")</f>
        <v>Наверное когда его назначили столицей области</v>
      </c>
      <c r="Z1341" s="6" t="str">
        <f>IFERROR(__xludf.DUMMYFUNCTION("""COMPUTED_VALUE"""),"Строительство аэропорта, здания суда, кадетского училища, конечно Культурного кластера и спортивной арены. Очень важным было решение о строительстве объездной дороги федеральной трассы вокруг Кемерово.")</f>
        <v>Строительство аэропорта, здания суда, кадетского училища, конечно Культурного кластера и спортивной арены. Очень важным было решение о строительстве объездной дороги федеральной трассы вокруг Кемерово.</v>
      </c>
      <c r="AA1341" s="6" t="str">
        <f>IFERROR(__xludf.DUMMYFUNCTION("""COMPUTED_VALUE"""),"Процесс разрешения строительства предприятия добычи угля рядом с Лесной поляной - шахта Лапичевская")</f>
        <v>Процесс разрешения строительства предприятия добычи угля рядом с Лесной поляной - шахта Лапичевская</v>
      </c>
      <c r="AB1341" s="6" t="str">
        <f>IFERROR(__xludf.DUMMYFUNCTION("""COMPUTED_VALUE"""),"Обсуждения проектов города архитекторами, урбанистами и просто людьми с активной гражданской позицией. 
Публичное обсуждение незначительных административных правонарушений, например мусор, выгул собак и т.п. Раньше была хорошая практика на форуме Лесной п"&amp;"оляны.")</f>
        <v>Обсуждения проектов города архитекторами, урбанистами и просто людьми с активной гражданской позицией. 
Публичное обсуждение незначительных административных правонарушений, например мусор, выгул собак и т.п. Раньше была хорошая практика на форуме Лесной поляны.</v>
      </c>
      <c r="AC1341" s="6" t="str">
        <f>IFERROR(__xludf.DUMMYFUNCTION("""COMPUTED_VALUE"""),"Концерты известных звёзд на достойной площадке и крупные спортивные мероприятия ")</f>
        <v>Концерты известных звёзд на достойной площадке и крупные спортивные мероприятия </v>
      </c>
      <c r="AD1341" s="6" t="str">
        <f>IFERROR(__xludf.DUMMYFUNCTION("""COMPUTED_VALUE"""),"Могу поделится идеями, если возникнут)")</f>
        <v>Могу поделится идеями, если возникнут)</v>
      </c>
      <c r="AE1341" s="6" t="str">
        <f>IFERROR(__xludf.DUMMYFUNCTION("""COMPUTED_VALUE"""),"Мужской")</f>
        <v>Мужской</v>
      </c>
      <c r="AF1341" s="6" t="str">
        <f>IFERROR(__xludf.DUMMYFUNCTION("""COMPUTED_VALUE"""),"30-44")</f>
        <v>30-44</v>
      </c>
      <c r="AG1341" s="6"/>
      <c r="AH1341" s="6"/>
      <c r="AI1341" s="6"/>
      <c r="AJ1341" s="6"/>
      <c r="AK1341" s="6"/>
      <c r="AL1341" s="6"/>
      <c r="AM1341" s="6"/>
    </row>
    <row r="1342">
      <c r="A1342" s="6">
        <v>1341.0</v>
      </c>
      <c r="B1342" s="6" t="str">
        <f>IFERROR(__xludf.DUMMYFUNCTION("""COMPUTED_VALUE"""),"IT")</f>
        <v>IT</v>
      </c>
      <c r="C1342" s="6" t="str">
        <f>IFERROR(__xludf.DUMMYFUNCTION("""COMPUTED_VALUE"""),"Спортзал, прорубь, баня, плавание, рейвы, тусовки, музыка, эзотерика, психология")</f>
        <v>Спортзал, прорубь, баня, плавание, рейвы, тусовки, музыка, эзотерика, психология</v>
      </c>
      <c r="D1342" s="6" t="str">
        <f>IFERROR(__xludf.DUMMYFUNCTION("""COMPUTED_VALUE"""),"Центральный")</f>
        <v>Центральный</v>
      </c>
      <c r="E1342" s="6" t="str">
        <f>IFERROR(__xludf.DUMMYFUNCTION("""COMPUTED_VALUE"""),"Площадь советов, фонтан драмтеатра, набережная, весенняя")</f>
        <v>Площадь советов, фонтан драмтеатра, набережная, весенняя</v>
      </c>
      <c r="F1342" s="6" t="str">
        <f>IFERROR(__xludf.DUMMYFUNCTION("""COMPUTED_VALUE"""),"Живу здесь с рождения")</f>
        <v>Живу здесь с рождения</v>
      </c>
      <c r="G1342" s="6" t="str">
        <f>IFERROR(__xludf.DUMMYFUNCTION("""COMPUTED_VALUE"""),"Jawsspot, Ultimatum, Reload, Драмтеатр, Сосновый бор, Красное озеро")</f>
        <v>Jawsspot, Ultimatum, Reload, Драмтеатр, Сосновый бор, Красное озеро</v>
      </c>
      <c r="H1342" s="6" t="str">
        <f>IFERROR(__xludf.DUMMYFUNCTION("""COMPUTED_VALUE"""),"Томь, Бор, ГРЭС, Волков, Уголь")</f>
        <v>Томь, Бор, ГРЭС, Волков, Уголь</v>
      </c>
      <c r="I1342" s="6" t="str">
        <f>IFERROR(__xludf.DUMMYFUNCTION("""COMPUTED_VALUE"""),"Леонов, Волков, Тулеев")</f>
        <v>Леонов, Волков, Тулеев</v>
      </c>
      <c r="J1342" s="6" t="str">
        <f>IFERROR(__xludf.DUMMYFUNCTION("""COMPUTED_VALUE"""),"Валецкий Игорь Борисович, Борис Гребенщиков")</f>
        <v>Валецкий Игорь Борисович, Борис Гребенщиков</v>
      </c>
      <c r="K1342" s="6" t="str">
        <f>IFERROR(__xludf.DUMMYFUNCTION("""COMPUTED_VALUE"""),"Набережная центрального района, Набережная кировского района, Драмтеатр, ул. Весенняя, пл. Советов, Филармония, Парк ангелов, , пл. Волкова, Jawsspot, Ultimatum, Reload, Сосновый бор, Красное озеро")</f>
        <v>Набережная центрального района, Набережная кировского района, Драмтеатр, ул. Весенняя, пл. Советов, Филармония, Парк ангелов, , пл. Волкова, Jawsspot, Ultimatum, Reload, Сосновый бор, Красное озеро</v>
      </c>
      <c r="L1342" s="6" t="str">
        <f>IFERROR(__xludf.DUMMYFUNCTION("""COMPUTED_VALUE"""),"не знаю")</f>
        <v>не знаю</v>
      </c>
      <c r="M1342" s="6" t="str">
        <f>IFERROR(__xludf.DUMMYFUNCTION("""COMPUTED_VALUE"""),"нет")</f>
        <v>нет</v>
      </c>
      <c r="N1342" s="6" t="str">
        <f>IFERROR(__xludf.DUMMYFUNCTION("""COMPUTED_VALUE"""),"Отсутствие пробок, широкие дороги и развязки, хорошие дороги, удобное расположение ТЦ, наличие водоёмов")</f>
        <v>Отсутствие пробок, широкие дороги и развязки, хорошие дороги, удобное расположение ТЦ, наличие водоёмов</v>
      </c>
      <c r="O1342" s="6" t="str">
        <f>IFERROR(__xludf.DUMMYFUNCTION("""COMPUTED_VALUE"""),"Убрать по максимуму частный сектор внутри города")</f>
        <v>Убрать по максимуму частный сектор внутри города</v>
      </c>
      <c r="P1342" s="6" t="str">
        <f>IFERROR(__xludf.DUMMYFUNCTION("""COMPUTED_VALUE"""),"Instagram, VSE42, A42")</f>
        <v>Instagram, VSE42, A42</v>
      </c>
      <c r="Q1342" s="6" t="str">
        <f>IFERROR(__xludf.DUMMYFUNCTION("""COMPUTED_VALUE"""),"городская афиша (кино/театр/концерты), обзор андеграундных мероприятий и концертов")</f>
        <v>городская афиша (кино/театр/концерты), обзор андеграундных мероприятий и концертов</v>
      </c>
      <c r="R1342" s="6" t="str">
        <f>IFERROR(__xludf.DUMMYFUNCTION("""COMPUTED_VALUE"""),"День города")</f>
        <v>День города</v>
      </c>
      <c r="S1342" s="6" t="str">
        <f>IFERROR(__xludf.DUMMYFUNCTION("""COMPUTED_VALUE"""),"Писал и расклеивал объявления/афиши, Через социальные сети (Какие? Укажите в графе другое), Обращался в редакции электронных городских СМИ, VK, Instagram")</f>
        <v>Писал и расклеивал объявления/афиши, Через социальные сети (Какие? Укажите в графе другое), Обращался в редакции электронных городских СМИ, VK, Instagram</v>
      </c>
      <c r="T1342" s="6" t="str">
        <f>IFERROR(__xludf.DUMMYFUNCTION("""COMPUTED_VALUE"""),"Красивая архитектура и центральные улицы, компактность, наличие реки, озера и леса в городе")</f>
        <v>Красивая архитектура и центральные улицы, компактность, наличие реки, озера и леса в городе</v>
      </c>
      <c r="U1342" s="6" t="str">
        <f>IFERROR(__xludf.DUMMYFUNCTION("""COMPUTED_VALUE"""),"пл. Советов, пр. Советский, Драмтеатр")</f>
        <v>пл. Советов, пр. Советский, Драмтеатр</v>
      </c>
      <c r="V1342" s="6" t="str">
        <f>IFERROR(__xludf.DUMMYFUNCTION("""COMPUTED_VALUE"""),"работали")</f>
        <v>работали</v>
      </c>
      <c r="W1342" s="6" t="str">
        <f>IFERROR(__xludf.DUMMYFUNCTION("""COMPUTED_VALUE"""),"Добрые и интересные.")</f>
        <v>Добрые и интересные.</v>
      </c>
      <c r="X1342" s="6" t="str">
        <f>IFERROR(__xludf.DUMMYFUNCTION("""COMPUTED_VALUE"""),"набережная в центре, ул. весенняя, драмтеатр, пл. советов, ул. арочная, филармония")</f>
        <v>набережная в центре, ул. весенняя, драмтеатр, пл. советов, ул. арочная, филармония</v>
      </c>
      <c r="Y1342" s="6" t="str">
        <f>IFERROR(__xludf.DUMMYFUNCTION("""COMPUTED_VALUE"""),"Колхозный рейв")</f>
        <v>Колхозный рейв</v>
      </c>
      <c r="Z1342" s="6" t="str">
        <f>IFERROR(__xludf.DUMMYFUNCTION("""COMPUTED_VALUE"""),"Последний рейв, Колхозный рейв, Герои мирового рока, В ритме леса")</f>
        <v>Последний рейв, Колхозный рейв, Герои мирового рока, В ритме леса</v>
      </c>
      <c r="AA1342" s="6" t="str">
        <f>IFERROR(__xludf.DUMMYFUNCTION("""COMPUTED_VALUE"""),"Зимняя вишня, закрытие Лазурного")</f>
        <v>Зимняя вишня, закрытие Лазурного</v>
      </c>
      <c r="AB1342" s="6" t="str">
        <f>IFERROR(__xludf.DUMMYFUNCTION("""COMPUTED_VALUE"""),"Андеграунд сообществ, метал-сообществ, рейвовых сообществ")</f>
        <v>Андеграунд сообществ, метал-сообществ, рейвовых сообществ</v>
      </c>
      <c r="AC1342" s="6" t="str">
        <f>IFERROR(__xludf.DUMMYFUNCTION("""COMPUTED_VALUE"""),"Опен-эйров, Фестивалей электронной и металл музыки, АРТ-фестивалей")</f>
        <v>Опен-эйров, Фестивалей электронной и металл музыки, АРТ-фестивалей</v>
      </c>
      <c r="AD1342"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св"&amp;"ои знакомства для приглашения потенциально заинтересованных участников, Эзотерика, Психология")</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Эзотерика, Психология</v>
      </c>
      <c r="AE1342" s="6" t="str">
        <f>IFERROR(__xludf.DUMMYFUNCTION("""COMPUTED_VALUE"""),"Мужской")</f>
        <v>Мужской</v>
      </c>
      <c r="AF1342" s="6" t="str">
        <f>IFERROR(__xludf.DUMMYFUNCTION("""COMPUTED_VALUE"""),"30-44")</f>
        <v>30-44</v>
      </c>
      <c r="AG1342" s="6"/>
      <c r="AH1342" s="6"/>
      <c r="AI1342" s="6"/>
      <c r="AJ1342" s="6"/>
      <c r="AK1342" s="6"/>
      <c r="AL1342" s="6"/>
      <c r="AM1342" s="6"/>
    </row>
    <row r="1343">
      <c r="A1343" s="6">
        <v>1342.0</v>
      </c>
      <c r="B1343" s="6" t="str">
        <f>IFERROR(__xludf.DUMMYFUNCTION("""COMPUTED_VALUE"""),"служащий")</f>
        <v>служащий</v>
      </c>
      <c r="C1343" s="6" t="str">
        <f>IFERROR(__xludf.DUMMYFUNCTION("""COMPUTED_VALUE"""),"читаю, вышиваю")</f>
        <v>читаю, вышиваю</v>
      </c>
      <c r="D1343" s="6" t="str">
        <f>IFERROR(__xludf.DUMMYFUNCTION("""COMPUTED_VALUE"""),"Южный")</f>
        <v>Южный</v>
      </c>
      <c r="E1343" s="6" t="str">
        <f>IFERROR(__xludf.DUMMYFUNCTION("""COMPUTED_VALUE"""),"поликлиники что детская что взрослая в барачном здании")</f>
        <v>поликлиники что детская что взрослая в барачном здании</v>
      </c>
      <c r="F1343" s="6" t="str">
        <f>IFERROR(__xludf.DUMMYFUNCTION("""COMPUTED_VALUE"""),"Переехал сюда из другого места (откуда? укажите в графе другое), г. Магадан")</f>
        <v>Переехал сюда из другого места (откуда? укажите в графе другое), г. Магадан</v>
      </c>
      <c r="G1343" s="6" t="str">
        <f>IFERROR(__xludf.DUMMYFUNCTION("""COMPUTED_VALUE"""),"Парки города")</f>
        <v>Парки города</v>
      </c>
      <c r="H1343" s="6" t="str">
        <f>IFERROR(__xludf.DUMMYFUNCTION("""COMPUTED_VALUE"""),"плохой воздух, мрачные люди, чисто, хорошие дороги, отсутствие доступной медицины")</f>
        <v>плохой воздух, мрачные люди, чисто, хорошие дороги, отсутствие доступной медицины</v>
      </c>
      <c r="I1343" s="6" t="str">
        <f>IFERROR(__xludf.DUMMYFUNCTION("""COMPUTED_VALUE"""),"Тулеев")</f>
        <v>Тулеев</v>
      </c>
      <c r="J1343" s="6" t="str">
        <f>IFERROR(__xludf.DUMMYFUNCTION("""COMPUTED_VALUE"""),"Тулеев")</f>
        <v>Тулеев</v>
      </c>
      <c r="K1343" s="6" t="str">
        <f>IFERROR(__xludf.DUMMYFUNCTION("""COMPUTED_VALUE"""),"Парк чудес, памятник шахтеру, Томская писаница")</f>
        <v>Парк чудес, памятник шахтеру, Томская писаница</v>
      </c>
      <c r="L1343" s="6" t="str">
        <f>IFERROR(__xludf.DUMMYFUNCTION("""COMPUTED_VALUE"""),"не знаю")</f>
        <v>не знаю</v>
      </c>
      <c r="M1343" s="6" t="str">
        <f>IFERROR(__xludf.DUMMYFUNCTION("""COMPUTED_VALUE"""),"""мультифора"" - файл, строгалка - резинка, ластик")</f>
        <v>"мультифора" - файл, строгалка - резинка, ластик</v>
      </c>
      <c r="N1343" s="6" t="str">
        <f>IFERROR(__xludf.DUMMYFUNCTION("""COMPUTED_VALUE"""),"чистота, доступность медицины/д/садов/школ, экология, места отдыха, транспорт")</f>
        <v>чистота, доступность медицины/д/садов/школ, экология, места отдыха, транспорт</v>
      </c>
      <c r="O1343" s="6" t="str">
        <f>IFERROR(__xludf.DUMMYFUNCTION("""COMPUTED_VALUE"""),"в Районе ""Южный"" где идет массовая застройка наконец-то что построили Поликлиники детскую и взрослую")</f>
        <v>в Районе "Южный" где идет массовая застройка наконец-то что построили Поликлиники детскую и взрослую</v>
      </c>
      <c r="P1343" s="6" t="str">
        <f>IFERROR(__xludf.DUMMYFUNCTION("""COMPUTED_VALUE"""),"Интернет - авант-партнер, рбк, яндекс, инстаграмм")</f>
        <v>Интернет - авант-партнер, рбк, яндекс, инстаграмм</v>
      </c>
      <c r="Q1343"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343" s="6" t="str">
        <f>IFERROR(__xludf.DUMMYFUNCTION("""COMPUTED_VALUE"""),"нет таких")</f>
        <v>нет таких</v>
      </c>
      <c r="S1343" s="6" t="str">
        <f>IFERROR(__xludf.DUMMYFUNCTION("""COMPUTED_VALUE"""),"Нет, не приходилось")</f>
        <v>Нет, не приходилось</v>
      </c>
      <c r="T1343" s="6" t="str">
        <f>IFERROR(__xludf.DUMMYFUNCTION("""COMPUTED_VALUE"""),"добыча угля, Тулеев")</f>
        <v>добыча угля, Тулеев</v>
      </c>
      <c r="U1343" s="6" t="str">
        <f>IFERROR(__xludf.DUMMYFUNCTION("""COMPUTED_VALUE"""),"парк чудес")</f>
        <v>парк чудес</v>
      </c>
      <c r="V1343" s="6" t="str">
        <f>IFERROR(__xludf.DUMMYFUNCTION("""COMPUTED_VALUE"""),"не знаю")</f>
        <v>не знаю</v>
      </c>
      <c r="W1343" s="6" t="str">
        <f>IFERROR(__xludf.DUMMYFUNCTION("""COMPUTED_VALUE"""),"мрачные, отсутствие перспективного мышления, криминальные")</f>
        <v>мрачные, отсутствие перспективного мышления, криминальные</v>
      </c>
      <c r="X1343" s="6" t="str">
        <f>IFERROR(__xludf.DUMMYFUNCTION("""COMPUTED_VALUE"""),"Площадь Администрации и дальше по набережной")</f>
        <v>Площадь Администрации и дальше по набережной</v>
      </c>
      <c r="Y1343" s="6" t="str">
        <f>IFERROR(__xludf.DUMMYFUNCTION("""COMPUTED_VALUE"""),"не знаю")</f>
        <v>не знаю</v>
      </c>
      <c r="Z1343" s="6" t="str">
        <f>IFERROR(__xludf.DUMMYFUNCTION("""COMPUTED_VALUE"""),"нет таких")</f>
        <v>нет таких</v>
      </c>
      <c r="AA1343" s="6" t="str">
        <f>IFERROR(__xludf.DUMMYFUNCTION("""COMPUTED_VALUE"""),"Зимняя вишня и все что с этим связано")</f>
        <v>Зимняя вишня и все что с этим связано</v>
      </c>
      <c r="AB1343" s="6" t="str">
        <f>IFERROR(__xludf.DUMMYFUNCTION("""COMPUTED_VALUE"""),"нет таких")</f>
        <v>нет таких</v>
      </c>
      <c r="AC1343" s="6" t="str">
        <f>IFERROR(__xludf.DUMMYFUNCTION("""COMPUTED_VALUE"""),"больше мастер классов. особенно в летнее время для детей и пенсионеров")</f>
        <v>больше мастер классов. особенно в летнее время для детей и пенсионеров</v>
      </c>
      <c r="AD134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343" s="6" t="str">
        <f>IFERROR(__xludf.DUMMYFUNCTION("""COMPUTED_VALUE"""),"Мужской")</f>
        <v>Мужской</v>
      </c>
      <c r="AF1343" s="6" t="str">
        <f>IFERROR(__xludf.DUMMYFUNCTION("""COMPUTED_VALUE"""),"45-55")</f>
        <v>45-55</v>
      </c>
      <c r="AG1343" s="6"/>
      <c r="AH1343" s="6"/>
      <c r="AI1343" s="6"/>
      <c r="AJ1343" s="6"/>
      <c r="AK1343" s="6"/>
      <c r="AL1343" s="6"/>
      <c r="AM1343" s="6"/>
    </row>
    <row r="1344">
      <c r="A1344" s="6">
        <v>1343.0</v>
      </c>
      <c r="B1344" s="6" t="str">
        <f>IFERROR(__xludf.DUMMYFUNCTION("""COMPUTED_VALUE"""),"Логистика")</f>
        <v>Логистика</v>
      </c>
      <c r="C1344" s="6" t="str">
        <f>IFERROR(__xludf.DUMMYFUNCTION("""COMPUTED_VALUE"""),"Рыбалка")</f>
        <v>Рыбалка</v>
      </c>
      <c r="D1344" s="6" t="str">
        <f>IFERROR(__xludf.DUMMYFUNCTION("""COMPUTED_VALUE"""),"Заводский, Южный")</f>
        <v>Заводский, Южный</v>
      </c>
      <c r="E1344" s="6" t="str">
        <f>IFERROR(__xludf.DUMMYFUNCTION("""COMPUTED_VALUE"""),"Бульвар Патриотов, Церковь, Пожарка")</f>
        <v>Бульвар Патриотов, Церковь, Пожарка</v>
      </c>
      <c r="F1344" s="6" t="str">
        <f>IFERROR(__xludf.DUMMYFUNCTION("""COMPUTED_VALUE"""),"Живу здесь с рождения")</f>
        <v>Живу здесь с рождения</v>
      </c>
      <c r="G1344" s="6" t="str">
        <f>IFERROR(__xludf.DUMMYFUNCTION("""COMPUTED_VALUE"""),"Набережная, Весенняя, Драмтеатр, Советский, ")</f>
        <v>Набережная, Весенняя, Драмтеатр, Советский, </v>
      </c>
      <c r="H1344" s="6" t="str">
        <f>IFERROR(__xludf.DUMMYFUNCTION("""COMPUTED_VALUE"""),"грязный, плохая экология, упадочная промышленность, нет мест для рыбалки")</f>
        <v>грязный, плохая экология, упадочная промышленность, нет мест для рыбалки</v>
      </c>
      <c r="I1344" s="6" t="str">
        <f>IFERROR(__xludf.DUMMYFUNCTION("""COMPUTED_VALUE"""),"Евгений Гришковец, остальных не могу вспомнить сразу, но есть точно")</f>
        <v>Евгений Гришковец, остальных не могу вспомнить сразу, но есть точно</v>
      </c>
      <c r="J1344" s="6" t="str">
        <f>IFERROR(__xludf.DUMMYFUNCTION("""COMPUTED_VALUE"""),"незнаю")</f>
        <v>незнаю</v>
      </c>
      <c r="K1344" s="6" t="str">
        <f>IFERROR(__xludf.DUMMYFUNCTION("""COMPUTED_VALUE"""),"Сердце шахтера, Крест, набережная, Лысая гора, ")</f>
        <v>Сердце шахтера, Крест, набережная, Лысая гора, </v>
      </c>
      <c r="L1344" s="6" t="str">
        <f>IFERROR(__xludf.DUMMYFUNCTION("""COMPUTED_VALUE"""),"Кузбасс во тьме погас, уголь живет народ мрет")</f>
        <v>Кузбасс во тьме погас, уголь живет народ мрет</v>
      </c>
      <c r="M1344" s="6" t="str">
        <f>IFERROR(__xludf.DUMMYFUNCTION("""COMPUTED_VALUE"""),"незнаю")</f>
        <v>незнаю</v>
      </c>
      <c r="N1344" s="6" t="str">
        <f>IFERROR(__xludf.DUMMYFUNCTION("""COMPUTED_VALUE"""),"развитие инфраструктуры, наличие достойных мест работы с зп, чистота. экология")</f>
        <v>развитие инфраструктуры, наличие достойных мест работы с зп, чистота. экология</v>
      </c>
      <c r="O1344" s="6" t="str">
        <f>IFERROR(__xludf.DUMMYFUNCTION("""COMPUTED_VALUE"""),"Экологию")</f>
        <v>Экологию</v>
      </c>
      <c r="P1344" s="6" t="str">
        <f>IFERROR(__xludf.DUMMYFUNCTION("""COMPUTED_VALUE"""),"Газеты, интернет, яндекс далее разветвление")</f>
        <v>Газеты, интернет, яндекс далее разветвление</v>
      </c>
      <c r="Q1344" s="6" t="str">
        <f>IFERROR(__xludf.DUMMYFUNCTION("""COMPUTED_VALUE"""),"городская афиша (кино/театр/концерты), криминальные новости (происшествия/преступления)")</f>
        <v>городская афиша (кино/театр/концерты), криминальные новости (происшествия/преступления)</v>
      </c>
      <c r="R1344" s="6" t="str">
        <f>IFERROR(__xludf.DUMMYFUNCTION("""COMPUTED_VALUE"""),"день города, день победы")</f>
        <v>день города, день победы</v>
      </c>
      <c r="S1344" s="6" t="str">
        <f>IFERROR(__xludf.DUMMYFUNCTION("""COMPUTED_VALUE"""),"Нет, не приходилось")</f>
        <v>Нет, не приходилось</v>
      </c>
      <c r="T1344" s="6" t="str">
        <f>IFERROR(__xludf.DUMMYFUNCTION("""COMPUTED_VALUE"""),"только углем")</f>
        <v>только углем</v>
      </c>
      <c r="U1344" s="6" t="str">
        <f>IFERROR(__xludf.DUMMYFUNCTION("""COMPUTED_VALUE"""),"Драмтеатр")</f>
        <v>Драмтеатр</v>
      </c>
      <c r="V1344" s="6" t="str">
        <f>IFERROR(__xludf.DUMMYFUNCTION("""COMPUTED_VALUE"""),"не могу ответить")</f>
        <v>не могу ответить</v>
      </c>
      <c r="W1344" s="6" t="str">
        <f>IFERROR(__xludf.DUMMYFUNCTION("""COMPUTED_VALUE"""),"модные добрые люди")</f>
        <v>модные добрые люди</v>
      </c>
      <c r="X1344" s="6" t="str">
        <f>IFERROR(__xludf.DUMMYFUNCTION("""COMPUTED_VALUE"""),"начать с драммы")</f>
        <v>начать с драммы</v>
      </c>
      <c r="Y1344" s="6" t="str">
        <f>IFERROR(__xludf.DUMMYFUNCTION("""COMPUTED_VALUE"""),"чемпионат мира по бэнди")</f>
        <v>чемпионат мира по бэнди</v>
      </c>
      <c r="Z1344" s="6" t="str">
        <f>IFERROR(__xludf.DUMMYFUNCTION("""COMPUTED_VALUE"""),"никаких")</f>
        <v>никаких</v>
      </c>
      <c r="AA1344" s="6" t="str">
        <f>IFERROR(__xludf.DUMMYFUNCTION("""COMPUTED_VALUE""")," отмена стройки аквапарка,  ")</f>
        <v> отмена стройки аквапарка,  </v>
      </c>
      <c r="AB1344" s="6" t="str">
        <f>IFERROR(__xludf.DUMMYFUNCTION("""COMPUTED_VALUE"""),"не состою в сообществах")</f>
        <v>не состою в сообществах</v>
      </c>
      <c r="AC1344" s="6" t="str">
        <f>IFERROR(__xludf.DUMMYFUNCTION("""COMPUTED_VALUE"""),"не могу сказать однозначно, но экология главное")</f>
        <v>не могу сказать однозначно, но экология главное</v>
      </c>
      <c r="AD134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44" s="6" t="str">
        <f>IFERROR(__xludf.DUMMYFUNCTION("""COMPUTED_VALUE"""),"Мужской")</f>
        <v>Мужской</v>
      </c>
      <c r="AF1344" s="6" t="str">
        <f>IFERROR(__xludf.DUMMYFUNCTION("""COMPUTED_VALUE"""),"30-44")</f>
        <v>30-44</v>
      </c>
      <c r="AG1344" s="6"/>
      <c r="AH1344" s="6"/>
      <c r="AI1344" s="6"/>
      <c r="AJ1344" s="6"/>
      <c r="AK1344" s="6"/>
      <c r="AL1344" s="6"/>
      <c r="AM1344" s="6"/>
    </row>
    <row r="1345">
      <c r="A1345" s="6">
        <v>1344.0</v>
      </c>
      <c r="B1345" s="6" t="str">
        <f>IFERROR(__xludf.DUMMYFUNCTION("""COMPUTED_VALUE"""),"Служащий ")</f>
        <v>Служащий </v>
      </c>
      <c r="C1345" s="6" t="str">
        <f>IFERROR(__xludf.DUMMYFUNCTION("""COMPUTED_VALUE"""),"Путешествия, прогулки, чтение, велосипед")</f>
        <v>Путешествия, прогулки, чтение, велосипед</v>
      </c>
      <c r="D1345" s="6" t="str">
        <f>IFERROR(__xludf.DUMMYFUNCTION("""COMPUTED_VALUE"""),"Рудничный, Радуга")</f>
        <v>Рудничный, Радуга</v>
      </c>
      <c r="E1345" s="6" t="str">
        <f>IFERROR(__xludf.DUMMYFUNCTION("""COMPUTED_VALUE"""),"Церковь, скоро будет каток")</f>
        <v>Церковь, скоро будет каток</v>
      </c>
      <c r="F1345" s="6" t="str">
        <f>IFERROR(__xludf.DUMMYFUNCTION("""COMPUTED_VALUE"""),"Переехал сюда из другого места (откуда? укажите в графе другое), В 2010 переехала из Анжеро-Судженска из-за работы ")</f>
        <v>Переехал сюда из другого места (откуда? укажите в графе другое), В 2010 переехала из Анжеро-Судженска из-за работы </v>
      </c>
      <c r="G1345" s="6" t="str">
        <f>IFERROR(__xludf.DUMMYFUNCTION("""COMPUTED_VALUE"""),"Рудничный Бор, центральная набережная Томи, кафешки")</f>
        <v>Рудничный Бор, центральная набережная Томи, кафешки</v>
      </c>
      <c r="H1345" s="6" t="str">
        <f>IFERROR(__xludf.DUMMYFUNCTION("""COMPUTED_VALUE"""),"Созидатель, большая химия, пробки с Радуги, капризные и очень требовательные горожане")</f>
        <v>Созидатель, большая химия, пробки с Радуги, капризные и очень требовательные горожане</v>
      </c>
      <c r="I1345" s="6" t="str">
        <f>IFERROR(__xludf.DUMMYFUNCTION("""COMPUTED_VALUE"""),"Михайло Волков")</f>
        <v>Михайло Волков</v>
      </c>
      <c r="J1345" s="6" t="str">
        <f>IFERROR(__xludf.DUMMYFUNCTION("""COMPUTED_VALUE"""),"Владимир Михайлов")</f>
        <v>Владимир Михайлов</v>
      </c>
      <c r="K1345" s="6" t="str">
        <f>IFERROR(__xludf.DUMMYFUNCTION("""COMPUTED_VALUE"""),"Красная Горка, набережная Томи, Ледовый дворец Кузбасс, бульвар Строителей")</f>
        <v>Красная Горка, набережная Томи, Ледовый дворец Кузбасс, бульвар Строителей</v>
      </c>
      <c r="L1345" s="6" t="str">
        <f>IFERROR(__xludf.DUMMYFUNCTION("""COMPUTED_VALUE"""),"Не знаю ")</f>
        <v>Не знаю </v>
      </c>
      <c r="M1345" s="6" t="str">
        <f>IFERROR(__xludf.DUMMYFUNCTION("""COMPUTED_VALUE"""),"Нет")</f>
        <v>Нет</v>
      </c>
      <c r="N1345" s="6" t="str">
        <f>IFERROR(__xludf.DUMMYFUNCTION("""COMPUTED_VALUE"""),"Логистическая доступность и отсутствие пробок, много зелени, детских и спортивных площадок")</f>
        <v>Логистическая доступность и отсутствие пробок, много зелени, детских и спортивных площадок</v>
      </c>
      <c r="O1345" s="6" t="str">
        <f>IFERROR(__xludf.DUMMYFUNCTION("""COMPUTED_VALUE"""),"Построить третий Автомобильный мост, помимо объездной дороги!")</f>
        <v>Построить третий Автомобильный мост, помимо объездной дороги!</v>
      </c>
      <c r="P1345" s="6" t="str">
        <f>IFERROR(__xludf.DUMMYFUNCTION("""COMPUTED_VALUE"""),"Новости на ты, Инстаграм главы города, Губернатора, различные паблики типа Кемерово official, Кемерово спортивный...")</f>
        <v>Новости на ты, Инстаграм главы города, Губернатора, различные паблики типа Кемерово official, Кемерово спортивный...</v>
      </c>
      <c r="Q134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местн"&amp;"ых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1345" s="6" t="str">
        <f>IFERROR(__xludf.DUMMYFUNCTION("""COMPUTED_VALUE"""),"День Победы, день города")</f>
        <v>День Победы, день города</v>
      </c>
      <c r="S1345" s="6" t="str">
        <f>IFERROR(__xludf.DUMMYFUNCTION("""COMPUTED_VALUE"""),"По работе постоянно )))")</f>
        <v>По работе постоянно )))</v>
      </c>
      <c r="T1345" s="6" t="str">
        <f>IFERROR(__xludf.DUMMYFUNCTION("""COMPUTED_VALUE"""),"Кроме елки за 18 миллионов? 🤣Людьми своими талантливыми и гостеприимными! Трудягами, чьим углём, металлом и химией живет вся страна! ")</f>
        <v>Кроме елки за 18 миллионов? 🤣Людьми своими талантливыми и гостеприимными! Трудягами, чьим углём, металлом и химией живет вся страна! </v>
      </c>
      <c r="U1345" s="6" t="str">
        <f>IFERROR(__xludf.DUMMYFUNCTION("""COMPUTED_VALUE"""),"Площадь Советов")</f>
        <v>Площадь Советов</v>
      </c>
      <c r="V1345" s="6" t="str">
        <f>IFERROR(__xludf.DUMMYFUNCTION("""COMPUTED_VALUE"""),"Кемеровчане прошлого создали город и его традиции, его архитектуру и дух! Сейчас пришло время обновления: набережная, культурный, юридический, спортивный кластеры! Будет гораздо современнее!")</f>
        <v>Кемеровчане прошлого создали город и его традиции, его архитектуру и дух! Сейчас пришло время обновления: набережная, культурный, юридический, спортивный кластеры! Будет гораздо современнее!</v>
      </c>
      <c r="W1345" s="6" t="str">
        <f>IFERROR(__xludf.DUMMYFUNCTION("""COMPUTED_VALUE"""),"Сильные, знающие себе цену, требовательные, капризные временами")</f>
        <v>Сильные, знающие себе цену, требовательные, капризные временами</v>
      </c>
      <c r="X1345" s="6" t="str">
        <f>IFERROR(__xludf.DUMMYFUNCTION("""COMPUTED_VALUE"""),"Проспект Советский, набережная Томи, фонтан у Драмтеатра")</f>
        <v>Проспект Советский, набережная Томи, фонтан у Драмтеатра</v>
      </c>
      <c r="Y1345" s="6" t="str">
        <f>IFERROR(__xludf.DUMMYFUNCTION("""COMPUTED_VALUE"""),"Находка угля")</f>
        <v>Находка угля</v>
      </c>
      <c r="Z1345" s="6" t="str">
        <f>IFERROR(__xludf.DUMMYFUNCTION("""COMPUTED_VALUE"""),"Взят курс на обновление инфраструктуры!")</f>
        <v>Взят курс на обновление инфраструктуры!</v>
      </c>
      <c r="AA1345" s="6" t="str">
        <f>IFERROR(__xludf.DUMMYFUNCTION("""COMPUTED_VALUE"""),"Зимняя вишня 😢 Из более мелкого неготовность родителей юных пловцов бассейна Лазурный к конструктивному диалогу.")</f>
        <v>Зимняя вишня 😢 Из более мелкого неготовность родителей юных пловцов бассейна Лазурный к конструктивному диалогу.</v>
      </c>
      <c r="AB1345" s="6" t="str">
        <f>IFERROR(__xludf.DUMMYFUNCTION("""COMPUTED_VALUE"""),"Всего хватает")</f>
        <v>Всего хватает</v>
      </c>
      <c r="AC1345" s="6" t="str">
        <f>IFERROR(__xludf.DUMMYFUNCTION("""COMPUTED_VALUE"""),"Небольших праздников в микрорайонах, для молодёжи больших Оле фестивалей под открытым небом")</f>
        <v>Небольших праздников в микрорайонах, для молодёжи больших Оле фестивалей под открытым небом</v>
      </c>
      <c r="AD134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45" s="6" t="str">
        <f>IFERROR(__xludf.DUMMYFUNCTION("""COMPUTED_VALUE"""),"Женский")</f>
        <v>Женский</v>
      </c>
      <c r="AF1345" s="6" t="str">
        <f>IFERROR(__xludf.DUMMYFUNCTION("""COMPUTED_VALUE"""),"45-55")</f>
        <v>45-55</v>
      </c>
      <c r="AG1345" s="6"/>
      <c r="AH1345" s="6"/>
      <c r="AI1345" s="6"/>
      <c r="AJ1345" s="6"/>
      <c r="AK1345" s="6"/>
      <c r="AL1345" s="6"/>
      <c r="AM1345" s="6"/>
    </row>
    <row r="1346">
      <c r="A1346" s="6">
        <v>1345.0</v>
      </c>
      <c r="B1346" s="6" t="str">
        <f>IFERROR(__xludf.DUMMYFUNCTION("""COMPUTED_VALUE"""),"Государственный служащий")</f>
        <v>Государственный служащий</v>
      </c>
      <c r="C1346" s="6" t="str">
        <f>IFERROR(__xludf.DUMMYFUNCTION("""COMPUTED_VALUE"""),"Банное парение, травяные чаи из сибирских трав")</f>
        <v>Банное парение, травяные чаи из сибирских трав</v>
      </c>
      <c r="D1346" s="6" t="str">
        <f>IFERROR(__xludf.DUMMYFUNCTION("""COMPUTED_VALUE"""),"Заводский район, называем - Южный, в районе Гагарина")</f>
        <v>Заводский район, называем - Южный, в районе Гагарина</v>
      </c>
      <c r="E1346" s="6" t="str">
        <f>IFERROR(__xludf.DUMMYFUNCTION("""COMPUTED_VALUE"""),"памятник Ю.А. Гагарину, Центральное кладбище, место для ассенизаторного слива в реку Искитимка,  прогулочная зона по ул. Патриотов, Областной Центр дополнительного образования детей,")</f>
        <v>памятник Ю.А. Гагарину, Центральное кладбище, место для ассенизаторного слива в реку Искитимка,  прогулочная зона по ул. Патриотов, Областной Центр дополнительного образования детей,</v>
      </c>
      <c r="F1346" s="6" t="str">
        <f>IFERROR(__xludf.DUMMYFUNCTION("""COMPUTED_VALUE"""),"Переехал сюда из другого места (откуда? укажите в графе другое), рождена в Магаданской области, приехала в детстве с родителями - жителями Кемерово")</f>
        <v>Переехал сюда из другого места (откуда? укажите в графе другое), рождена в Магаданской области, приехала в детстве с родителями - жителями Кемерово</v>
      </c>
      <c r="G1346" s="6" t="str">
        <f>IFERROR(__xludf.DUMMYFUNCTION("""COMPUTED_VALUE"""),"На набержную р. Томь, парк им. В. Волошиной (Комсомольский), Сосновый Бор, в театр детей и молодежи, музыкальный театр, филармонию.")</f>
        <v>На набержную р. Томь, парк им. В. Волошиной (Комсомольский), Сосновый Бор, в театр детей и молодежи, музыкальный театр, филармонию.</v>
      </c>
      <c r="H1346" s="6" t="str">
        <f>IFERROR(__xludf.DUMMYFUNCTION("""COMPUTED_VALUE"""),"Спокойный, простой, чистый, понятный, ожидающий")</f>
        <v>Спокойный, простой, чистый, понятный, ожидающий</v>
      </c>
      <c r="I1346" s="6" t="str">
        <f>IFERROR(__xludf.DUMMYFUNCTION("""COMPUTED_VALUE"""),"Михайло Волков (первооткрыватель), Т.Ф. Горбачев (ученый - горняк), Ю.М. Двужильный( герой ВОВ), В. Волошина (герой ВОВ), Мартемьянов В.Д. (герой ВОВ)")</f>
        <v>Михайло Волков (первооткрыватель), Т.Ф. Горбачев (ученый - горняк), Ю.М. Двужильный( герой ВОВ), В. Волошина (герой ВОВ), Мартемьянов В.Д. (герой ВОВ)</v>
      </c>
      <c r="J1346" s="6" t="str">
        <f>IFERROR(__xludf.DUMMYFUNCTION("""COMPUTED_VALUE"""),"Михайлов В.В. (глава города),  Раздаев В.А. (футболист), Тулеев А.Г. (экс-губернатор), Федорова И.Ф. (депутат Парламента Кузбасса)")</f>
        <v>Михайлов В.В. (глава города),  Раздаев В.А. (футболист), Тулеев А.Г. (экс-губернатор), Федорова И.Ф. (депутат Парламента Кузбасса)</v>
      </c>
      <c r="K1346" s="6" t="str">
        <f>IFERROR(__xludf.DUMMYFUNCTION("""COMPUTED_VALUE"""),"В центре - пр. Советский, Набережную р. Томь, сквер ""Орбита"", ул. Весенняя, памятник А.С. Пушкину, памятник героям- Кузбассовцам, Променад -3, в Ленинском - ленточный парк б-р Строителей, в Рудничном - музей Красная Горка, в Заводском - только проехать "&amp;"по улицам - ходить скучно, плохие тротуары, бедные окна, ободранные фасады в старой части района. В новостройках - тесно и объкновенно. Можно проехать по соборам и церквям - кто религиозен. ")</f>
        <v>В центре - пр. Советский, Набережную р. Томь, сквер "Орбита", ул. Весенняя, памятник А.С. Пушкину, памятник героям- Кузбассовцам, Променад -3, в Ленинском - ленточный парк б-р Строителей, в Рудничном - музей Красная Горка, в Заводском - только проехать по улицам - ходить скучно, плохие тротуары, бедные окна, ободранные фасады в старой части района. В новостройках - тесно и объкновенно. Можно проехать по соборам и церквям - кто религиозен. </v>
      </c>
      <c r="L1346" s="6" t="str">
        <f>IFERROR(__xludf.DUMMYFUNCTION("""COMPUTED_VALUE"""),"Южный - не кому не нужный; ")</f>
        <v>Южный - не кому не нужный; </v>
      </c>
      <c r="M1346" s="6" t="str">
        <f>IFERROR(__xludf.DUMMYFUNCTION("""COMPUTED_VALUE"""),"Жить на Радуге, фабричка, швейка, напроменадиться (по магазинам находиться), ""поехали в лапу"" (визит в Лапландию), конченный (хуже нет)")</f>
        <v>Жить на Радуге, фабричка, швейка, напроменадиться (по магазинам находиться), "поехали в лапу" (визит в Лапландию), конченный (хуже нет)</v>
      </c>
      <c r="N1346" s="6" t="str">
        <f>IFERROR(__xludf.DUMMYFUNCTION("""COMPUTED_VALUE"""),"Удобный по логистике, временным интервалам и комфортный общественный транспорт и его остановки. Уютные дворы и оригинальные внутриквартальные зоны - кафе, клубы, фитнес, велодорожки, министадионы. Детский сад, школа, допобразование - безопасные для детей "&amp;"растояния от жилья, освещенность (темно утром и вечером 9 месяцев в год), тротуары без колдобин, льда, снега.  Культурная среда (и др дни недели)  (соблюдение правил тишины, поддержание чистоты, удовлетворение эстетических потребностей разных возрастов). ")</f>
        <v>Удобный по логистике, временным интервалам и комфортный общественный транспорт и его остановки. Уютные дворы и оригинальные внутриквартальные зоны - кафе, клубы, фитнес, велодорожки, министадионы. Детский сад, школа, допобразование - безопасные для детей растояния от жилья, освещенность (темно утром и вечером 9 месяцев в год), тротуары без колдобин, льда, снега.  Культурная среда (и др дни недели)  (соблюдение правил тишины, поддержание чистоты, удовлетворение эстетических потребностей разных возрастов). </v>
      </c>
      <c r="O1346" s="6" t="str">
        <f>IFERROR(__xludf.DUMMYFUNCTION("""COMPUTED_VALUE"""),"Мышление жителей, формировать позитивное общественное мнение без лжи и принуждения")</f>
        <v>Мышление жителей, формировать позитивное общественное мнение без лжи и принуждения</v>
      </c>
      <c r="P1346" s="6" t="str">
        <f>IFERROR(__xludf.DUMMYFUNCTION("""COMPUTED_VALUE"""),"Фейсбук, https://www.e-kuzbass.ru/afisha/kemerovo/")</f>
        <v>Фейсбук, https://www.e-kuzbass.ru/afisha/kemerovo/</v>
      </c>
      <c r="Q1346" s="6" t="str">
        <f>IFERROR(__xludf.DUMMYFUNCTION("""COMPUTED_VALUE"""),"куда пойти в свободное время, интервью с местными политиками, интервью с экспертами на разные темы (напишите в разделе Другое свои предложения)")</f>
        <v>куда пойти в свободное время, интервью с местными политиками, интервью с экспертами на разные темы (напишите в разделе Другое свои предложения)</v>
      </c>
      <c r="R1346" s="6" t="str">
        <f>IFERROR(__xludf.DUMMYFUNCTION("""COMPUTED_VALUE"""),"День Победы, День защиты детей")</f>
        <v>День Победы, День защиты детей</v>
      </c>
      <c r="S1346" s="6" t="str">
        <f>IFERROR(__xludf.DUMMYFUNCTION("""COMPUTED_VALUE"""),"Нет, не приходилось")</f>
        <v>Нет, не приходилось</v>
      </c>
      <c r="T1346" s="6" t="str">
        <f>IFERROR(__xludf.DUMMYFUNCTION("""COMPUTED_VALUE"""),"Кемерово - столица шахтерского края Кузбасса. Уникально то, что я (и каждый кемеровчанин) живу в этом городе, со своей семьей. Гостей - ждут и им рады. Мало что показать, за то можно много, что рассказать)) неспеша обсуждать общечеловеческое и частное)). "&amp;"Гости по бизнесу найдут свое интеллектуальное пространство, так же, как творческие люди. Просто ""заехавших"" мало.")</f>
        <v>Кемерово - столица шахтерского края Кузбасса. Уникально то, что я (и каждый кемеровчанин) живу в этом городе, со своей семьей. Гостей - ждут и им рады. Мало что показать, за то можно много, что рассказать)) неспеша обсуждать общечеловеческое и частное)). Гости по бизнесу найдут свое интеллектуальное пространство, так же, как творческие люди. Просто "заехавших" мало.</v>
      </c>
      <c r="U1346" s="6" t="str">
        <f>IFERROR(__xludf.DUMMYFUNCTION("""COMPUTED_VALUE"""),"пр.Советский и пл. Советов. ")</f>
        <v>пр.Советский и пл. Советов. </v>
      </c>
      <c r="V1346" s="6" t="str">
        <f>IFERROR(__xludf.DUMMYFUNCTION("""COMPUTED_VALUE"""),"Построили крупные промышленные предприятия, посадили деревья парки, аллеи "" Я садил эти деревья в... году""). Профессионально реализуются. Строят частные котеджи с красивой территорией. Рождали и ростили своих детей.")</f>
        <v>Построили крупные промышленные предприятия, посадили деревья парки, аллеи " Я садил эти деревья в... году"). Профессионально реализуются. Строят частные котеджи с красивой территорией. Рождали и ростили своих детей.</v>
      </c>
      <c r="W1346" s="6" t="str">
        <f>IFERROR(__xludf.DUMMYFUNCTION("""COMPUTED_VALUE"""),"Рациональные. Простые. Зацикленные на своем благе. Мечтающие. Дисциплинированные.")</f>
        <v>Рациональные. Простые. Зацикленные на своем благе. Мечтающие. Дисциплинированные.</v>
      </c>
      <c r="X1346" s="6" t="str">
        <f>IFERROR(__xludf.DUMMYFUNCTION("""COMPUTED_VALUE"""),"От пл. Советов по Советскому, через городской парк, по набережной к скверу ""Орбита"" мимо филармонии до парка Жукова - тут бы классное просторное кафе (отдохнуть )вместо ларька с ""подорожником"". ")</f>
        <v>От пл. Советов по Советскому, через городской парк, по набережной к скверу "Орбита" мимо филармонии до парка Жукова - тут бы классное просторное кафе (отдохнуть )вместо ларька с "подорожником". </v>
      </c>
      <c r="Y1346" s="6" t="str">
        <f>IFERROR(__xludf.DUMMYFUNCTION("""COMPUTED_VALUE"""),"Историческое - развитие в период НЭПа, социальные волнения в 90-х. Культурное - в будущем.")</f>
        <v>Историческое - развитие в период НЭПа, социальные волнения в 90-х. Культурное - в будущем.</v>
      </c>
      <c r="Z1346" s="6" t="str">
        <f>IFERROR(__xludf.DUMMYFUNCTION("""COMPUTED_VALUE"""),"Ярких и неповторимы - не помню. Симфо-ночь (Томская писаница. Да, на выезде, но для горожан)). ")</f>
        <v>Ярких и неповторимы - не помню. Симфо-ночь (Томская писаница. Да, на выезде, но для горожан)). </v>
      </c>
      <c r="AA1346" s="6" t="str">
        <f>IFERROR(__xludf.DUMMYFUNCTION("""COMPUTED_VALUE"""),"Закрытие бассейна ""Лазурный"".")</f>
        <v>Закрытие бассейна "Лазурный".</v>
      </c>
      <c r="AB1346" s="6" t="str">
        <f>IFERROR(__xludf.DUMMYFUNCTION("""COMPUTED_VALUE"""),"Не хватает сообщества счастливых людей, у которых есть время и СИЛЫ на обыкновенные городские радости. У большинства горожан время отдается  обязаностям перед работодателям. Пусть Кемерово станет первым городом, где рабочий день будет сокращен на 1 час (х"&amp;"отябы), без уменьшения зарплаты. ")</f>
        <v>Не хватает сообщества счастливых людей, у которых есть время и СИЛЫ на обыкновенные городские радости. У большинства горожан время отдается  обязаностям перед работодателям. Пусть Кемерово станет первым городом, где рабочий день будет сокращен на 1 час (хотябы), без уменьшения зарплаты. </v>
      </c>
      <c r="AC1346" s="6" t="str">
        <f>IFERROR(__xludf.DUMMYFUNCTION("""COMPUTED_VALUE"""),"Чествование выпускников школ - их шествие красивых и полных надежд, публичное признание их успешности. Хороводы национальных культур. Дни брутальности и женственности. ")</f>
        <v>Чествование выпускников школ - их шествие красивых и полных надежд, публичное признание их успешности. Хороводы национальных культур. Дни брутальности и женственности. </v>
      </c>
      <c r="AD134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46" s="6" t="str">
        <f>IFERROR(__xludf.DUMMYFUNCTION("""COMPUTED_VALUE"""),"Женский")</f>
        <v>Женский</v>
      </c>
      <c r="AF1346" s="6" t="str">
        <f>IFERROR(__xludf.DUMMYFUNCTION("""COMPUTED_VALUE"""),"45-55")</f>
        <v>45-55</v>
      </c>
      <c r="AG1346" s="6"/>
      <c r="AH1346" s="6"/>
      <c r="AI1346" s="6"/>
      <c r="AJ1346" s="6"/>
      <c r="AK1346" s="6"/>
      <c r="AL1346" s="6"/>
      <c r="AM1346" s="6"/>
    </row>
    <row r="1347">
      <c r="A1347" s="6">
        <v>1346.0</v>
      </c>
      <c r="B1347" s="6" t="str">
        <f>IFERROR(__xludf.DUMMYFUNCTION("""COMPUTED_VALUE"""),"Снабжение")</f>
        <v>Снабжение</v>
      </c>
      <c r="C1347" s="6" t="str">
        <f>IFERROR(__xludf.DUMMYFUNCTION("""COMPUTED_VALUE"""),"Кататься на велосипеде, роликах, бег, постоянные длительные прогулки")</f>
        <v>Кататься на велосипеде, роликах, бег, постоянные длительные прогулки</v>
      </c>
      <c r="D1347" s="6" t="str">
        <f>IFERROR(__xludf.DUMMYFUNCTION("""COMPUTED_VALUE"""),"Заводский")</f>
        <v>Заводский</v>
      </c>
      <c r="E1347" s="6" t="str">
        <f>IFERROR(__xludf.DUMMYFUNCTION("""COMPUTED_VALUE"""),"Парк Антошки и Парк Победы")</f>
        <v>Парк Антошки и Парк Победы</v>
      </c>
      <c r="F1347" s="6" t="str">
        <f>IFERROR(__xludf.DUMMYFUNCTION("""COMPUTED_VALUE"""),"Живу здесь с рождения")</f>
        <v>Живу здесь с рождения</v>
      </c>
      <c r="G1347" s="6" t="str">
        <f>IFERROR(__xludf.DUMMYFUNCTION("""COMPUTED_VALUE"""),"Парк Антошки и Парк Победы, Набережная")</f>
        <v>Парк Антошки и Парк Победы, Набережная</v>
      </c>
      <c r="H1347" s="6" t="str">
        <f>IFERROR(__xludf.DUMMYFUNCTION("""COMPUTED_VALUE"""),"Уголь, Леонов Алексей")</f>
        <v>Уголь, Леонов Алексей</v>
      </c>
      <c r="I1347" s="6" t="str">
        <f>IFERROR(__xludf.DUMMYFUNCTION("""COMPUTED_VALUE"""),"Леонов Алексей, Волков, Волошина")</f>
        <v>Леонов Алексей, Волков, Волошина</v>
      </c>
      <c r="J1347" s="6" t="str">
        <f>IFERROR(__xludf.DUMMYFUNCTION("""COMPUTED_VALUE"""),"-")</f>
        <v>-</v>
      </c>
      <c r="K1347" s="6" t="str">
        <f>IFERROR(__xludf.DUMMYFUNCTION("""COMPUTED_VALUE"""),"Красная горка, Набережная, Центральный район, Лесная поляна, Ботанический сад")</f>
        <v>Красная горка, Набережная, Центральный район, Лесная поляна, Ботанический сад</v>
      </c>
      <c r="L1347" s="6" t="str">
        <f>IFERROR(__xludf.DUMMYFUNCTION("""COMPUTED_VALUE"""),"-")</f>
        <v>-</v>
      </c>
      <c r="M1347" s="6" t="str">
        <f>IFERROR(__xludf.DUMMYFUNCTION("""COMPUTED_VALUE"""),"Южный не кому не нужный")</f>
        <v>Южный не кому не нужный</v>
      </c>
      <c r="N1347" s="6" t="str">
        <f>IFERROR(__xludf.DUMMYFUNCTION("""COMPUTED_VALUE"""),"Обустроенные парки с ровным асфальтом. дорожек для бегунов. Мусорки их очень мало в городе, а где то вообще не встречаются. В жилых домах особенно в старых нет хороших детских площадок. ")</f>
        <v>Обустроенные парки с ровным асфальтом. дорожек для бегунов. Мусорки их очень мало в городе, а где то вообще не встречаются. В жилых домах особенно в старых нет хороших детских площадок. </v>
      </c>
      <c r="O1347" s="6" t="str">
        <f>IFERROR(__xludf.DUMMYFUNCTION("""COMPUTED_VALUE"""),"Уложить асфальт в парках, взять парк Антошка, это кошмар со стороны речке какая там дорога....а там гуляют мамочки с колясками и ребятишки на самокате...это просто ужас")</f>
        <v>Уложить асфальт в парках, взять парк Антошка, это кошмар со стороны речке какая там дорога....а там гуляют мамочки с колясками и ребятишки на самокате...это просто ужас</v>
      </c>
      <c r="P1347" s="6" t="str">
        <f>IFERROR(__xludf.DUMMYFUNCTION("""COMPUTED_VALUE"""),"Инстаграм, вк")</f>
        <v>Инстаграм, вк</v>
      </c>
      <c r="Q134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347" s="6" t="str">
        <f>IFERROR(__xludf.DUMMYFUNCTION("""COMPUTED_VALUE"""),"День шахтера, т к начинают облагораживать город)")</f>
        <v>День шахтера, т к начинают облагораживать город)</v>
      </c>
      <c r="S1347" s="6" t="str">
        <f>IFERROR(__xludf.DUMMYFUNCTION("""COMPUTED_VALUE"""),"Нет, не приходилось")</f>
        <v>Нет, не приходилось</v>
      </c>
      <c r="T1347" s="6" t="str">
        <f>IFERROR(__xludf.DUMMYFUNCTION("""COMPUTED_VALUE"""),"Если честно, то за несколько лет город стал хуже((( серый...в осенний период после зимы, улицы практически не убираются, вся грязь лежит...да понятно что жители города загрязняют, если бы урн было больше, возможно такого не происходило")</f>
        <v>Если честно, то за несколько лет город стал хуже((( серый...в осенний период после зимы, улицы практически не убираются, вся грязь лежит...да понятно что жители города загрязняют, если бы урн было больше, возможно такого не происходило</v>
      </c>
      <c r="U1347" s="6" t="str">
        <f>IFERROR(__xludf.DUMMYFUNCTION("""COMPUTED_VALUE"""),"-")</f>
        <v>-</v>
      </c>
      <c r="V1347" s="6" t="str">
        <f>IFERROR(__xludf.DUMMYFUNCTION("""COMPUTED_VALUE"""),"-")</f>
        <v>-</v>
      </c>
      <c r="W1347" s="6" t="str">
        <f>IFERROR(__xludf.DUMMYFUNCTION("""COMPUTED_VALUE"""),"Отзывчивые, ")</f>
        <v>Отзывчивые, </v>
      </c>
      <c r="X1347" s="6" t="str">
        <f>IFERROR(__xludf.DUMMYFUNCTION("""COMPUTED_VALUE"""),"от Вокзала, до парка Ангелов( как не грустно это) через парк Победы и на площадь,  Лесная поляна")</f>
        <v>от Вокзала, до парка Ангелов( как не грустно это) через парк Победы и на площадь,  Лесная поляна</v>
      </c>
      <c r="Y1347" s="6" t="str">
        <f>IFERROR(__xludf.DUMMYFUNCTION("""COMPUTED_VALUE"""),"-")</f>
        <v>-</v>
      </c>
      <c r="Z1347" s="6" t="str">
        <f>IFERROR(__xludf.DUMMYFUNCTION("""COMPUTED_VALUE"""),"-")</f>
        <v>-</v>
      </c>
      <c r="AA1347" s="6" t="str">
        <f>IFERROR(__xludf.DUMMYFUNCTION("""COMPUTED_VALUE"""),"Зимняя вишня((( это показывает что у нас можно решить все $ купить разрешения и запустить в эксплуатацию где есть нарушения, и к сожалению это не чему так и не научило((( это очень грустно.")</f>
        <v>Зимняя вишня((( это показывает что у нас можно решить все $ купить разрешения и запустить в эксплуатацию где есть нарушения, и к сожалению это не чему так и не научило((( это очень грустно.</v>
      </c>
      <c r="AB1347" s="6" t="str">
        <f>IFERROR(__xludf.DUMMYFUNCTION("""COMPUTED_VALUE"""),"Творческих ( к примеру у нас есть парковые зоны, где можно проводить для детей и взрослых, хенд мей мероприятия) Спортивных ( зоны для проведения физ. нагрузок)")</f>
        <v>Творческих ( к примеру у нас есть парковые зоны, где можно проводить для детей и взрослых, хенд мей мероприятия) Спортивных ( зоны для проведения физ. нагрузок)</v>
      </c>
      <c r="AC1347" s="6" t="str">
        <f>IFERROR(__xludf.DUMMYFUNCTION("""COMPUTED_VALUE"""),"В летний период, можно проводить очень много разных мероприятий ( творческие, спортивные, музыкальные, просмотр фильмов) В зимний период ( пешие прогулки по маршруту определенному, соревнования семейного плана) ")</f>
        <v>В летний период, можно проводить очень много разных мероприятий ( творческие, спортивные, музыкальные, просмотр фильмов) В зимний период ( пешие прогулки по маршруту определенному, соревнования семейного плана) </v>
      </c>
      <c r="AD134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47" s="6" t="str">
        <f>IFERROR(__xludf.DUMMYFUNCTION("""COMPUTED_VALUE"""),"Женский")</f>
        <v>Женский</v>
      </c>
      <c r="AF1347" s="6" t="str">
        <f>IFERROR(__xludf.DUMMYFUNCTION("""COMPUTED_VALUE"""),"30-44")</f>
        <v>30-44</v>
      </c>
      <c r="AG1347" s="6"/>
      <c r="AH1347" s="6"/>
      <c r="AI1347" s="6"/>
      <c r="AJ1347" s="6"/>
      <c r="AK1347" s="6"/>
      <c r="AL1347" s="6"/>
      <c r="AM1347" s="6"/>
    </row>
    <row r="1348">
      <c r="A1348" s="6">
        <v>1347.0</v>
      </c>
      <c r="B1348" s="6" t="str">
        <f>IFERROR(__xludf.DUMMYFUNCTION("""COMPUTED_VALUE"""),"Руководитель")</f>
        <v>Руководитель</v>
      </c>
      <c r="C1348" s="6" t="str">
        <f>IFERROR(__xludf.DUMMYFUNCTION("""COMPUTED_VALUE"""),"Творчество. Музыка")</f>
        <v>Творчество. Музыка</v>
      </c>
      <c r="D1348" s="6" t="str">
        <f>IFERROR(__xludf.DUMMYFUNCTION("""COMPUTED_VALUE"""),"Центральный")</f>
        <v>Центральный</v>
      </c>
      <c r="E1348" s="6" t="str">
        <f>IFERROR(__xludf.DUMMYFUNCTION("""COMPUTED_VALUE"""),"Цирк, Пионерский бульвар, Парк Ангелов, Парк Антошка, Парк Жукова, Искитимская Набережная")</f>
        <v>Цирк, Пионерский бульвар, Парк Ангелов, Парк Антошка, Парк Жукова, Искитимская Набережная</v>
      </c>
      <c r="F1348" s="6" t="str">
        <f>IFERROR(__xludf.DUMMYFUNCTION("""COMPUTED_VALUE"""),"Родился в Кемерово, долгое время жил в других городах, в 1995 году переехал на ПМЖ в Кемерово")</f>
        <v>Родился в Кемерово, долгое время жил в других городах, в 1995 году переехал на ПМЖ в Кемерово</v>
      </c>
      <c r="G1348" s="6" t="str">
        <f>IFERROR(__xludf.DUMMYFUNCTION("""COMPUTED_VALUE"""),"Парк Антошка, Парк Жукова, Парк Ангелов, Парк Чудес, Сосновый бор")</f>
        <v>Парк Антошка, Парк Жукова, Парк Ангелов, Парк Чудес, Сосновый бор</v>
      </c>
      <c r="H1348" s="6" t="str">
        <f>IFERROR(__xludf.DUMMYFUNCTION("""COMPUTED_VALUE"""),"Уголь, Шахтерский край, Река Томь, Провинция, Отсутствие рабочих мест")</f>
        <v>Уголь, Шахтерский край, Река Томь, Провинция, Отсутствие рабочих мест</v>
      </c>
      <c r="I1348" s="6" t="str">
        <f>IFERROR(__xludf.DUMMYFUNCTION("""COMPUTED_VALUE"""),"Михайло Волков")</f>
        <v>Михайло Волков</v>
      </c>
      <c r="J1348" s="6" t="str">
        <f>IFERROR(__xludf.DUMMYFUNCTION("""COMPUTED_VALUE"""),"Аман Тулеев")</f>
        <v>Аман Тулеев</v>
      </c>
      <c r="K1348" s="6" t="str">
        <f>IFERROR(__xludf.DUMMYFUNCTION("""COMPUTED_VALUE"""),"Памятник Шахтерам, Набережная реки Томь, Парк Ангелов, ")</f>
        <v>Памятник Шахтерам, Набережная реки Томь, Парк Ангелов, </v>
      </c>
      <c r="L1348" s="6" t="str">
        <f>IFERROR(__xludf.DUMMYFUNCTION("""COMPUTED_VALUE"""),"История открытия угольных залежей на правом берегу реки Томь")</f>
        <v>История открытия угольных залежей на правом берегу реки Томь</v>
      </c>
      <c r="M1348" s="6" t="str">
        <f>IFERROR(__xludf.DUMMYFUNCTION("""COMPUTED_VALUE"""),"НЕТ")</f>
        <v>НЕТ</v>
      </c>
      <c r="N1348" s="6" t="str">
        <f>IFERROR(__xludf.DUMMYFUNCTION("""COMPUTED_VALUE"""),"Нормальные автомобильные дороги, Нормальное благоустройство улиц и мест общественного отдыха, достаточное количество парковочных мест, доступность (близость) всех учреждений в силу небольшого размера города")</f>
        <v>Нормальные автомобильные дороги, Нормальное благоустройство улиц и мест общественного отдыха, достаточное количество парковочных мест, доступность (близость) всех учреждений в силу небольшого размера города</v>
      </c>
      <c r="O1348" s="6" t="str">
        <f>IFERROR(__xludf.DUMMYFUNCTION("""COMPUTED_VALUE"""),"Развитие производств + Рабочие места в производствах")</f>
        <v>Развитие производств + Рабочие места в производствах</v>
      </c>
      <c r="P1348" s="6" t="str">
        <f>IFERROR(__xludf.DUMMYFUNCTION("""COMPUTED_VALUE"""),"Интернет")</f>
        <v>Интернет</v>
      </c>
      <c r="Q1348"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бизнес-новости "&amp;"(средний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348" s="6" t="str">
        <f>IFERROR(__xludf.DUMMYFUNCTION("""COMPUTED_VALUE"""),"День города, День Шахтера")</f>
        <v>День города, День Шахтера</v>
      </c>
      <c r="S1348" s="6" t="str">
        <f>IFERROR(__xludf.DUMMYFUNCTION("""COMPUTED_VALUE"""),"Нет, не приходилось")</f>
        <v>Нет, не приходилось</v>
      </c>
      <c r="T1348" s="6" t="str">
        <f>IFERROR(__xludf.DUMMYFUNCTION("""COMPUTED_VALUE"""),"Небольшой, не особо привлекательный город шахтерской славы. При этом город уютный и комфортный для проживания.")</f>
        <v>Небольшой, не особо привлекательный город шахтерской славы. При этом город уютный и комфортный для проживания.</v>
      </c>
      <c r="U1348" s="6" t="str">
        <f>IFERROR(__xludf.DUMMYFUNCTION("""COMPUTED_VALUE"""),"Площадь Советов")</f>
        <v>Площадь Советов</v>
      </c>
      <c r="V1348" s="6" t="str">
        <f>IFERROR(__xludf.DUMMYFUNCTION("""COMPUTED_VALUE"""),"Затрудняюсь ответить")</f>
        <v>Затрудняюсь ответить</v>
      </c>
      <c r="W1348" s="6" t="str">
        <f>IFERROR(__xludf.DUMMYFUNCTION("""COMPUTED_VALUE"""),"Суровость, Угрюмость, Молчаливость. При этом широкая душа, доброта и щедрость")</f>
        <v>Суровость, Угрюмость, Молчаливость. При этом широкая душа, доброта и щедрость</v>
      </c>
      <c r="X1348" s="6" t="str">
        <f>IFERROR(__xludf.DUMMYFUNCTION("""COMPUTED_VALUE"""),"-")</f>
        <v>-</v>
      </c>
      <c r="Y1348" s="6" t="str">
        <f>IFERROR(__xludf.DUMMYFUNCTION("""COMPUTED_VALUE"""),"Открытие угольных залежей")</f>
        <v>Открытие угольных залежей</v>
      </c>
      <c r="Z1348" s="6" t="str">
        <f>IFERROR(__xludf.DUMMYFUNCTION("""COMPUTED_VALUE"""),"Строительство объектов на набережной Томи (проспект Притомский), Открытие нового терминала аэропорта, Строительство кассационного суда")</f>
        <v>Строительство объектов на набережной Томи (проспект Притомский), Открытие нового терминала аэропорта, Строительство кассационного суда</v>
      </c>
      <c r="AA1348" s="6" t="str">
        <f>IFERROR(__xludf.DUMMYFUNCTION("""COMPUTED_VALUE"""),"-")</f>
        <v>-</v>
      </c>
      <c r="AB1348" s="6" t="str">
        <f>IFERROR(__xludf.DUMMYFUNCTION("""COMPUTED_VALUE"""),"-")</f>
        <v>-</v>
      </c>
      <c r="AC1348" s="6" t="str">
        <f>IFERROR(__xludf.DUMMYFUNCTION("""COMPUTED_VALUE"""),"Больше спортивных событие национального и международного уровня, организация крупных выставок, конференций ит.д., привлекающих большое количество участников из других регионов")</f>
        <v>Больше спортивных событие национального и международного уровня, организация крупных выставок, конференций ит.д., привлекающих большое количество участников из других регионов</v>
      </c>
      <c r="AD134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48" s="6" t="str">
        <f>IFERROR(__xludf.DUMMYFUNCTION("""COMPUTED_VALUE"""),"Мужской")</f>
        <v>Мужской</v>
      </c>
      <c r="AF1348" s="6" t="str">
        <f>IFERROR(__xludf.DUMMYFUNCTION("""COMPUTED_VALUE"""),"30-44")</f>
        <v>30-44</v>
      </c>
      <c r="AG1348" s="6"/>
      <c r="AH1348" s="6"/>
      <c r="AI1348" s="6"/>
      <c r="AJ1348" s="6"/>
      <c r="AK1348" s="6"/>
      <c r="AL1348" s="6"/>
      <c r="AM1348" s="6"/>
    </row>
    <row r="1349">
      <c r="A1349" s="6">
        <v>1348.0</v>
      </c>
      <c r="B1349" s="6" t="str">
        <f>IFERROR(__xludf.DUMMYFUNCTION("""COMPUTED_VALUE"""),"Учу парикмахеров, ногтевому сервису, визажистов")</f>
        <v>Учу парикмахеров, ногтевому сервису, визажистов</v>
      </c>
      <c r="C1349" s="6" t="str">
        <f>IFERROR(__xludf.DUMMYFUNCTION("""COMPUTED_VALUE"""),"Собака")</f>
        <v>Собака</v>
      </c>
      <c r="D1349" s="6" t="str">
        <f>IFERROR(__xludf.DUMMYFUNCTION("""COMPUTED_VALUE"""),"В Кедровке, рудничный, так и называю, Кедровка")</f>
        <v>В Кедровке, рудничный, так и называю, Кедровка</v>
      </c>
      <c r="E1349" s="6" t="str">
        <f>IFERROR(__xludf.DUMMYFUNCTION("""COMPUTED_VALUE"""),"Озеро, стадион, храм")</f>
        <v>Озеро, стадион, храм</v>
      </c>
      <c r="F134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349" s="6" t="str">
        <f>IFERROR(__xludf.DUMMYFUNCTION("""COMPUTED_VALUE"""),"На Новогоднюю, пешеходную улицу, во двор, в храм")</f>
        <v>На Новогоднюю, пешеходную улицу, во двор, в храм</v>
      </c>
      <c r="H1349" s="6" t="str">
        <f>IFERROR(__xludf.DUMMYFUNCTION("""COMPUTED_VALUE"""),"Разрез, кедровка, кролики, ДК Содружество, школа70")</f>
        <v>Разрез, кедровка, кролики, ДК Содружество, школа70</v>
      </c>
      <c r="I1349" s="6" t="str">
        <f>IFERROR(__xludf.DUMMYFUNCTION("""COMPUTED_VALUE"""),"В.М. Михайлов, Подгорбунский, В.К. Жмурко, А.Г.Тулеев, Евсеева Татьяна Анатольевна, Леонид Леонов")</f>
        <v>В.М. Михайлов, Подгорбунский, В.К. Жмурко, А.Г.Тулеев, Евсеева Татьяна Анатольевна, Леонид Леонов</v>
      </c>
      <c r="J1349" s="6" t="str">
        <f>IFERROR(__xludf.DUMMYFUNCTION("""COMPUTED_VALUE"""),"Михайлов В.М., Середюк И.Н., турбаба О.В.")</f>
        <v>Михайлов В.М., Середюк И.Н., турбаба О.В.</v>
      </c>
      <c r="K1349" s="6" t="str">
        <f>IFERROR(__xludf.DUMMYFUNCTION("""COMPUTED_VALUE"""),"Памятник Э. Неизвестного Шахтерское сердце")</f>
        <v>Памятник Э. Неизвестного Шахтерское сердце</v>
      </c>
      <c r="L1349" s="6" t="str">
        <f>IFERROR(__xludf.DUMMYFUNCTION("""COMPUTED_VALUE"""),"История о Михайле Волкове, он на склоне у Томи нашел каменный уголь в конце 18го века")</f>
        <v>История о Михайле Волкове, он на склоне у Томи нашел каменный уголь в конце 18го века</v>
      </c>
      <c r="M1349" s="6" t="str">
        <f>IFERROR(__xludf.DUMMYFUNCTION("""COMPUTED_VALUE"""),"Иди погуляй на драму, встречаемся на фонтане, гульнем на Бульваре, пошли на Кольцо.")</f>
        <v>Иди погуляй на драму, встречаемся на фонтане, гульнем на Бульваре, пошли на Кольцо.</v>
      </c>
      <c r="N1349" s="6" t="str">
        <f>IFERROR(__xludf.DUMMYFUNCTION("""COMPUTED_VALUE"""),"Свежий воздух, отсутствие пробок, свободные парковки, удобные магазины и культурные обьекты недалеко от места проживания, экологичность гтродских систем, чистота, новый своевременный транспорт.")</f>
        <v>Свежий воздух, отсутствие пробок, свободные парковки, удобные магазины и культурные обьекты недалеко от места проживания, экологичность гтродских систем, чистота, новый своевременный транспорт.</v>
      </c>
      <c r="O1349" s="6" t="str">
        <f>IFERROR(__xludf.DUMMYFUNCTION("""COMPUTED_VALUE"""),"Экологию, загрязнен воздух, создать рабочие места, обеспечить людям нормальное здравоохранение и образование.")</f>
        <v>Экологию, загрязнен воздух, создать рабочие места, обеспечить людям нормальное здравоохранение и образование.</v>
      </c>
      <c r="P1349" s="6" t="str">
        <f>IFERROR(__xludf.DUMMYFUNCTION("""COMPUTED_VALUE"""),"Инстаграм, kuzbass_news, тв, 4,7 ксналы, Вести кузбасса, 2й канал, Россия")</f>
        <v>Инстаграм, kuzbass_news, тв, 4,7 ксналы, Вести кузбасса, 2й канал, Россия</v>
      </c>
      <c r="Q1349" s="6" t="str">
        <f>IFERROR(__xludf.DUMMYFUNCTION("""COMPUTED_VALUE"""),"куда пойти в свободное время, культурные новинки (что почитать/что послушать),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предложени"&amp;"я), Новости бьюти-индустрии, праздники, театральные программы")</f>
        <v>куда пойти в свободное время, культурные новинки (что почитать/что послушать),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предложения), Новости бьюти-индустрии, праздники, театральные программы</v>
      </c>
      <c r="R1349" s="6" t="str">
        <f>IFERROR(__xludf.DUMMYFUNCTION("""COMPUTED_VALUE"""),"День Шахтера, День города, День матери, День победы")</f>
        <v>День Шахтера, День города, День матери, День победы</v>
      </c>
      <c r="S1349" s="6" t="str">
        <f>IFERROR(__xludf.DUMMYFUNCTION("""COMPUTED_VALUE"""),"Организовывала события. Молодежный бульвар, молодежную биржу труда, была спонсором городских мероприятий")</f>
        <v>Организовывала события. Молодежный бульвар, молодежную биржу труда, была спонсором городских мероприятий</v>
      </c>
      <c r="T1349" s="6" t="str">
        <f>IFERROR(__xludf.DUMMYFUNCTION("""COMPUTED_VALUE"""),"Люди главное богатство, много хороших специалистов, КемГу, КузГТУ, актеры, ученые, управленцы")</f>
        <v>Люди главное богатство, много хороших специалистов, КемГу, КузГТУ, актеры, ученые, управленцы</v>
      </c>
      <c r="U1349" s="6" t="str">
        <f>IFERROR(__xludf.DUMMYFUNCTION("""COMPUTED_VALUE"""),"Площадь Советов, ул. Весеннюю")</f>
        <v>Площадь Советов, ул. Весеннюю</v>
      </c>
      <c r="V1349" s="6" t="str">
        <f>IFERROR(__xludf.DUMMYFUNCTION("""COMPUTED_VALUE"""),"Трудились, строили, создавали, 1991й забастовка шахтеров когда касками стучали у здания администрации дала импульс смене власти, появлению Ельцина, как политика тяжеловеса.")</f>
        <v>Трудились, строили, создавали, 1991й забастовка шахтеров когда касками стучали у здания администрации дала импульс смене власти, появлению Ельцина, как политика тяжеловеса.</v>
      </c>
      <c r="W1349" s="6" t="str">
        <f>IFERROR(__xludf.DUMMYFUNCTION("""COMPUTED_VALUE"""),"Стойкие, жестковатые, упорные, трудолюбивые, неубиваемые и простые")</f>
        <v>Стойкие, жестковатые, упорные, трудолюбивые, неубиваемые и простые</v>
      </c>
      <c r="X1349" s="6" t="str">
        <f>IFERROR(__xludf.DUMMYFUNCTION("""COMPUTED_VALUE"""),"Московская площадь, вечером. Набережная")</f>
        <v>Московская площадь, вечером. Набережная</v>
      </c>
      <c r="Y1349" s="6" t="str">
        <f>IFERROR(__xludf.DUMMYFUNCTION("""COMPUTED_VALUE"""),"300 летие Кузбасса и приезд Qween")</f>
        <v>300 летие Кузбасса и приезд Qween</v>
      </c>
      <c r="Z1349" s="6" t="str">
        <f>IFERROR(__xludf.DUMMYFUNCTION("""COMPUTED_VALUE"""),"300летие Кузбасса, открытие ледового дворца")</f>
        <v>300летие Кузбасса, открытие ледового дворца</v>
      </c>
      <c r="AA1349" s="6" t="str">
        <f>IFERROR(__xludf.DUMMYFUNCTION("""COMPUTED_VALUE"""),"Зимняя вишня и трусость Тулеева А.Г. в этой ситуации")</f>
        <v>Зимняя вишня и трусость Тулеева А.Г. в этой ситуации</v>
      </c>
      <c r="AB1349" s="6" t="str">
        <f>IFERROR(__xludf.DUMMYFUNCTION("""COMPUTED_VALUE"""),"Фестивалей бьюти индустрии, приезда звезд этой сферы: Гречкино, Кота, Татьянина и т.д. ")</f>
        <v>Фестивалей бьюти индустрии, приезда звезд этой сферы: Гречкино, Кота, Татьянина и т.д. </v>
      </c>
      <c r="AC1349" s="6" t="str">
        <f>IFERROR(__xludf.DUMMYFUNCTION("""COMPUTED_VALUE"""),"Зарплата своевременна,, новые рабочие места и культурное обновление, балет бы  или оперу, почаще бы известных артистов и групп, но не по 15т. Билет, как было у Стаса Михайлова, выставок побольше, один Ван Гог был, а мировые шедевры других эпох и направлен"&amp;"ий???")</f>
        <v>Зарплата своевременна,, новые рабочие места и культурное обновление, балет бы  или оперу, почаще бы известных артистов и групп, но не по 15т. Билет, как было у Стаса Михайлова, выставок побольше, один Ван Гог был, а мировые шедевры других эпох и направлений???</v>
      </c>
      <c r="AD1349"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св"&amp;"ои знакомства для приглашения потенциально заинтересованных участников, Сделать шоу для парикмахеров")</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Сделать шоу для парикмахеров</v>
      </c>
      <c r="AE1349" s="6" t="str">
        <f>IFERROR(__xludf.DUMMYFUNCTION("""COMPUTED_VALUE"""),"Женский")</f>
        <v>Женский</v>
      </c>
      <c r="AF1349" s="6" t="str">
        <f>IFERROR(__xludf.DUMMYFUNCTION("""COMPUTED_VALUE"""),"45-55")</f>
        <v>45-55</v>
      </c>
      <c r="AG1349" s="6"/>
      <c r="AH1349" s="6"/>
      <c r="AI1349" s="6"/>
      <c r="AJ1349" s="6"/>
      <c r="AK1349" s="6"/>
      <c r="AL1349" s="6"/>
      <c r="AM1349" s="6"/>
    </row>
    <row r="1350">
      <c r="A1350" s="6">
        <v>1349.0</v>
      </c>
      <c r="B1350" s="6" t="str">
        <f>IFERROR(__xludf.DUMMYFUNCTION("""COMPUTED_VALUE"""),"Работаю в рекламной сфере")</f>
        <v>Работаю в рекламной сфере</v>
      </c>
      <c r="C1350" s="6" t="str">
        <f>IFERROR(__xludf.DUMMYFUNCTION("""COMPUTED_VALUE"""),"Велосипед и книги")</f>
        <v>Велосипед и книги</v>
      </c>
      <c r="D1350" s="6" t="str">
        <f>IFERROR(__xludf.DUMMYFUNCTION("""COMPUTED_VALUE"""),"Ленинский")</f>
        <v>Ленинский</v>
      </c>
      <c r="E1350" s="6" t="str">
        <f>IFERROR(__xludf.DUMMYFUNCTION("""COMPUTED_VALUE"""),"Ботанический сад")</f>
        <v>Ботанический сад</v>
      </c>
      <c r="F1350" s="6" t="str">
        <f>IFERROR(__xludf.DUMMYFUNCTION("""COMPUTED_VALUE"""),"Родился здесь,но сейчас живу в другом городе")</f>
        <v>Родился здесь,но сейчас живу в другом городе</v>
      </c>
      <c r="G1350" s="6" t="str">
        <f>IFERROR(__xludf.DUMMYFUNCTION("""COMPUTED_VALUE"""),"Сосновый бор, Ботанический сад, ул. Весенняя, Комсомольский парк")</f>
        <v>Сосновый бор, Ботанический сад, ул. Весенняя, Комсомольский парк</v>
      </c>
      <c r="H1350" s="6" t="str">
        <f>IFERROR(__xludf.DUMMYFUNCTION("""COMPUTED_VALUE"""),"Суровый, чистый, бесперспективный, нерадостный, родной")</f>
        <v>Суровый, чистый, бесперспективный, нерадостный, родной</v>
      </c>
      <c r="I1350" s="6" t="str">
        <f>IFERROR(__xludf.DUMMYFUNCTION("""COMPUTED_VALUE"""),"К своему стыду, не знаю")</f>
        <v>К своему стыду, не знаю</v>
      </c>
      <c r="J1350" s="6" t="str">
        <f>IFERROR(__xludf.DUMMYFUNCTION("""COMPUTED_VALUE"""),"Васильева Ольга (Фёдора). Бывшая владелица лучшего антикафе в Кемерово. Автор и организатор самых интересных экскурсий по Кемерово. ")</f>
        <v>Васильева Ольга (Фёдора). Бывшая владелица лучшего антикафе в Кемерово. Автор и организатор самых интересных экскурсий по Кемерово. </v>
      </c>
      <c r="K1350" s="6" t="str">
        <f>IFERROR(__xludf.DUMMYFUNCTION("""COMPUTED_VALUE"""),"Сосновый бор, Красная горка, ул. Весенняя, Лесная Поляна")</f>
        <v>Сосновый бор, Красная горка, ул. Весенняя, Лесная Поляна</v>
      </c>
      <c r="L1350" s="6" t="str">
        <f>IFERROR(__xludf.DUMMYFUNCTION("""COMPUTED_VALUE"""),"Не помню таких")</f>
        <v>Не помню таких</v>
      </c>
      <c r="M1350" s="6" t="str">
        <f>IFERROR(__xludf.DUMMYFUNCTION("""COMPUTED_VALUE"""),"Чё по чем, чё попало, чё к чему, бикарасы")</f>
        <v>Чё по чем, чё попало, чё к чему, бикарасы</v>
      </c>
      <c r="N1350" s="6" t="str">
        <f>IFERROR(__xludf.DUMMYFUNCTION("""COMPUTED_VALUE"""),"Много зелени, парков, вело дорожки и спортивные площадки, парковки в достаточном количестве для авто, налаженный общественный транспорт, социально-культурный и образовательный комплекс, как например в Казани, НКЦ ""Казань"". ")</f>
        <v>Много зелени, парков, вело дорожки и спортивные площадки, парковки в достаточном количестве для авто, налаженный общественный транспорт, социально-культурный и образовательный комплекс, как например в Казани, НКЦ "Казань". </v>
      </c>
      <c r="O1350" s="6" t="str">
        <f>IFERROR(__xludf.DUMMYFUNCTION("""COMPUTED_VALUE"""),"Изменить городскую среду, см 13й пункт. ")</f>
        <v>Изменить городскую среду, см 13й пункт. </v>
      </c>
      <c r="P1350" s="6" t="str">
        <f>IFERROR(__xludf.DUMMYFUNCTION("""COMPUTED_VALUE"""),"Группа VK ""Типичный Кемерово"" ")</f>
        <v>Группа VK "Типичный Кемерово" </v>
      </c>
      <c r="Q1350" s="6" t="str">
        <f>IFERROR(__xludf.DUMMYFUNCTION("""COMPUTED_VALUE"""),"новости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 Экология, здравоохранение, перспективы развития города")</f>
        <v>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 Экология, здравоохранение, перспективы развития города</v>
      </c>
      <c r="R1350" s="6" t="str">
        <f>IFERROR(__xludf.DUMMYFUNCTION("""COMPUTED_VALUE"""),"День города")</f>
        <v>День города</v>
      </c>
      <c r="S1350" s="6" t="str">
        <f>IFERROR(__xludf.DUMMYFUNCTION("""COMPUTED_VALUE"""),"Нет, не приходилось")</f>
        <v>Нет, не приходилось</v>
      </c>
      <c r="T1350" s="6" t="str">
        <f>IFERROR(__xludf.DUMMYFUNCTION("""COMPUTED_VALUE"""),"Сегодня только печально курьезными событиями: упавшим светофором на Советском, и НГ ёлкой за 18 млн.
Пока ничего уникального на мой взгляд нет. ")</f>
        <v>Сегодня только печально курьезными событиями: упавшим светофором на Советском, и НГ ёлкой за 18 млн.
Пока ничего уникального на мой взгляд нет. </v>
      </c>
      <c r="U1350" s="6" t="str">
        <f>IFERROR(__xludf.DUMMYFUNCTION("""COMPUTED_VALUE"""),"Площадь с фонтаном перед Драмтеатром, ул. Весеннюю. ")</f>
        <v>Площадь с фонтаном перед Драмтеатром, ул. Весеннюю. </v>
      </c>
      <c r="V1350" s="6" t="str">
        <f>IFERROR(__xludf.DUMMYFUNCTION("""COMPUTED_VALUE"""),"Одно время в Кемерово и Кем области дороги считались одними из самых лучших в РФ. Сейчас это далеко не так, к сожалению. И город был чище. ")</f>
        <v>Одно время в Кемерово и Кем области дороги считались одними из самых лучших в РФ. Сейчас это далеко не так, к сожалению. И город был чище. </v>
      </c>
      <c r="W1350" s="6" t="str">
        <f>IFERROR(__xludf.DUMMYFUNCTION("""COMPUTED_VALUE"""),"Неприветливые, резкие, но обстоятельные и настоящие, когда узнаешь их ближе) ")</f>
        <v>Неприветливые, резкие, но обстоятельные и настоящие, когда узнаешь их ближе) </v>
      </c>
      <c r="X1350" s="6" t="str">
        <f>IFERROR(__xludf.DUMMYFUNCTION("""COMPUTED_VALUE"""),"С пл. Кирова по Набережной, далее по Советскому через университетской мост по Притомскому через Новый мост в Сосновый бор и на Красную горку. ")</f>
        <v>С пл. Кирова по Набережной, далее по Советскому через университетской мост по Притомскому через Новый мост в Сосновый бор и на Красную горку. </v>
      </c>
      <c r="Y1350" s="6" t="str">
        <f>IFERROR(__xludf.DUMMYFUNCTION("""COMPUTED_VALUE"""),"Не было таких событий, на мой взгляд")</f>
        <v>Не было таких событий, на мой взгляд</v>
      </c>
      <c r="Z1350" s="6" t="str">
        <f>IFERROR(__xludf.DUMMYFUNCTION("""COMPUTED_VALUE"""),"Строительство культурного кластера, надеюсь, это принесёт свои плоды, и оживит город. Строительство нового аэропорта. ")</f>
        <v>Строительство культурного кластера, надеюсь, это принесёт свои плоды, и оживит город. Строительство нового аэропорта. </v>
      </c>
      <c r="AA1350" s="6" t="str">
        <f>IFERROR(__xludf.DUMMYFUNCTION("""COMPUTED_VALUE"""),"Отток денежных средств в федеральный бюджет, отток молодёжи, умных, думающих, деятельных людей в др регионы. Ситуация со здравоохранение, экологией и безработицей в городе. ")</f>
        <v>Отток денежных средств в федеральный бюджет, отток молодёжи, умных, думающих, деятельных людей в др регионы. Ситуация со здравоохранение, экологией и безработицей в городе. </v>
      </c>
      <c r="AB1350" s="6" t="str">
        <f>IFERROR(__xludf.DUMMYFUNCTION("""COMPUTED_VALUE"""),"Обратите внимание на НКЦ ""Казань"", в г. Казани. Там удалось создать общественно-культурное пространство для казанцев где есть:потрясающая современная библиотека, места для отдыха, кафе, театр, лектории, студию звукозаписи. И все под одной крышей, в крас"&amp;"ивом месте. Будет такое место, появится и больше сообществ, тех, кто желает и может вкладывать в развитие города. ")</f>
        <v>Обратите внимание на НКЦ "Казань", в г. Казани. Там удалось создать общественно-культурное пространство для казанцев где есть:потрясающая современная библиотека, места для отдыха, кафе, театр, лектории, студию звукозаписи. И все под одной крышей, в красивом месте. Будет такое место, появится и больше сообществ, тех, кто желает и может вкладывать в развитие города. </v>
      </c>
      <c r="AC1350" s="6" t="str">
        <f>IFERROR(__xludf.DUMMYFUNCTION("""COMPUTED_VALUE"""),"Образовательные мероприятия для молодёжи, где компании могут рассказывать о новых рабочих местах, брать на стажировку перспективных студентов. Оздоровительные мероприятия, велозабеги. Приглашать специалистов из др регионов и стран из разных сфер, проводит"&amp;"ь различные форумы с открытым доступом или символически платой. Концерты, рок-фестивали, концерты классической музыки в парках. Больше социально-культурных пространств. ")</f>
        <v>Образовательные мероприятия для молодёжи, где компании могут рассказывать о новых рабочих местах, брать на стажировку перспективных студентов. Оздоровительные мероприятия, велозабеги. Приглашать специалистов из др регионов и стран из разных сфер, проводить различные форумы с открытым доступом или символически платой. Концерты, рок-фестивали, концерты классической музыки в парках. Больше социально-культурных пространств. </v>
      </c>
      <c r="AD135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350" s="6" t="str">
        <f>IFERROR(__xludf.DUMMYFUNCTION("""COMPUTED_VALUE"""),"Женский")</f>
        <v>Женский</v>
      </c>
      <c r="AF1350" s="6" t="str">
        <f>IFERROR(__xludf.DUMMYFUNCTION("""COMPUTED_VALUE"""),"30-44")</f>
        <v>30-44</v>
      </c>
      <c r="AG1350" s="6"/>
      <c r="AH1350" s="6"/>
      <c r="AI1350" s="6"/>
      <c r="AJ1350" s="6"/>
      <c r="AK1350" s="6"/>
      <c r="AL1350" s="6"/>
      <c r="AM1350" s="6"/>
    </row>
    <row r="1351">
      <c r="A1351" s="6">
        <v>1350.0</v>
      </c>
      <c r="B1351" s="6" t="str">
        <f>IFERROR(__xludf.DUMMYFUNCTION("""COMPUTED_VALUE"""),"Как и все")</f>
        <v>Как и все</v>
      </c>
      <c r="C1351" s="6" t="str">
        <f>IFERROR(__xludf.DUMMYFUNCTION("""COMPUTED_VALUE"""),"Рыбалка")</f>
        <v>Рыбалка</v>
      </c>
      <c r="D1351" s="6" t="str">
        <f>IFERROR(__xludf.DUMMYFUNCTION("""COMPUTED_VALUE"""),"Кировский")</f>
        <v>Кировский</v>
      </c>
      <c r="E1351" s="6" t="str">
        <f>IFERROR(__xludf.DUMMYFUNCTION("""COMPUTED_VALUE"""),"набереджная")</f>
        <v>набереджная</v>
      </c>
      <c r="F135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351" s="6" t="str">
        <f>IFERROR(__xludf.DUMMYFUNCTION("""COMPUTED_VALUE"""),"Никуда")</f>
        <v>Никуда</v>
      </c>
      <c r="H1351" s="6" t="str">
        <f>IFERROR(__xludf.DUMMYFUNCTION("""COMPUTED_VALUE"""),"Химия азот администрация леонов лапландия")</f>
        <v>Химия азот администрация леонов лапландия</v>
      </c>
      <c r="I1351" s="6" t="str">
        <f>IFERROR(__xludf.DUMMYFUNCTION("""COMPUTED_VALUE"""),"леонов терешкова")</f>
        <v>леонов терешкова</v>
      </c>
      <c r="J1351" s="6" t="str">
        <f>IFERROR(__xludf.DUMMYFUNCTION("""COMPUTED_VALUE"""),"не знаю")</f>
        <v>не знаю</v>
      </c>
      <c r="K1351" s="6" t="str">
        <f>IFERROR(__xludf.DUMMYFUNCTION("""COMPUTED_VALUE"""),"картинг боулинг ")</f>
        <v>картинг боулинг </v>
      </c>
      <c r="L1351" s="6" t="str">
        <f>IFERROR(__xludf.DUMMYFUNCTION("""COMPUTED_VALUE"""),"не знаю")</f>
        <v>не знаю</v>
      </c>
      <c r="M1351" s="6" t="str">
        <f>IFERROR(__xludf.DUMMYFUNCTION("""COMPUTED_VALUE"""),"не знаю")</f>
        <v>не знаю</v>
      </c>
      <c r="N1351" s="6" t="str">
        <f>IFERROR(__xludf.DUMMYFUNCTION("""COMPUTED_VALUE"""),"транспорт комуналка доступные по деньгам театры музеи кино")</f>
        <v>транспорт комуналка доступные по деньгам театры музеи кино</v>
      </c>
      <c r="O1351" s="6" t="str">
        <f>IFERROR(__xludf.DUMMYFUNCTION("""COMPUTED_VALUE"""),"траспортную инфрастуктуру (дороги пешеходки для елосипедов нет дорог между районами)")</f>
        <v>траспортную инфрастуктуру (дороги пешеходки для елосипедов нет дорог между районами)</v>
      </c>
      <c r="P1351" s="6" t="str">
        <f>IFERROR(__xludf.DUMMYFUNCTION("""COMPUTED_VALUE"""),"яндекс")</f>
        <v>яндекс</v>
      </c>
      <c r="Q1351"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351" s="6" t="str">
        <f>IFERROR(__xludf.DUMMYFUNCTION("""COMPUTED_VALUE"""),"9 мая день города ")</f>
        <v>9 мая день города </v>
      </c>
      <c r="S1351" s="6" t="str">
        <f>IFERROR(__xludf.DUMMYFUNCTION("""COMPUTED_VALUE"""),"Нет, не приходилось")</f>
        <v>Нет, не приходилось</v>
      </c>
      <c r="T1351" s="6" t="str">
        <f>IFERROR(__xludf.DUMMYFUNCTION("""COMPUTED_VALUE"""),"не знаю")</f>
        <v>не знаю</v>
      </c>
      <c r="U1351" s="6" t="str">
        <f>IFERROR(__xludf.DUMMYFUNCTION("""COMPUTED_VALUE"""),"администрация")</f>
        <v>администрация</v>
      </c>
      <c r="V1351" s="6" t="str">
        <f>IFERROR(__xludf.DUMMYFUNCTION("""COMPUTED_VALUE"""),"не знаю")</f>
        <v>не знаю</v>
      </c>
      <c r="W1351" s="6" t="str">
        <f>IFERROR(__xludf.DUMMYFUNCTION("""COMPUTED_VALUE"""),"странные")</f>
        <v>странные</v>
      </c>
      <c r="X1351" s="6" t="str">
        <f>IFERROR(__xludf.DUMMYFUNCTION("""COMPUTED_VALUE"""),"через цирк администрация парк")</f>
        <v>через цирк администрация парк</v>
      </c>
      <c r="Y1351" s="6" t="str">
        <f>IFERROR(__xludf.DUMMYFUNCTION("""COMPUTED_VALUE"""),"не знаю")</f>
        <v>не знаю</v>
      </c>
      <c r="Z1351" s="6" t="str">
        <f>IFERROR(__xludf.DUMMYFUNCTION("""COMPUTED_VALUE"""),"нет таких")</f>
        <v>нет таких</v>
      </c>
      <c r="AA1351" s="6" t="str">
        <f>IFERROR(__xludf.DUMMYFUNCTION("""COMPUTED_VALUE"""),"подорожание продуктов")</f>
        <v>подорожание продуктов</v>
      </c>
      <c r="AB1351" s="6" t="str">
        <f>IFERROR(__xludf.DUMMYFUNCTION("""COMPUTED_VALUE"""),"не знаю")</f>
        <v>не знаю</v>
      </c>
      <c r="AC1351" s="6" t="str">
        <f>IFERROR(__xludf.DUMMYFUNCTION("""COMPUTED_VALUE"""),"культурно массовые флешмобы")</f>
        <v>культурно массовые флешмобы</v>
      </c>
      <c r="AD1351"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51" s="6" t="str">
        <f>IFERROR(__xludf.DUMMYFUNCTION("""COMPUTED_VALUE"""),"Мужской")</f>
        <v>Мужской</v>
      </c>
      <c r="AF1351" s="6" t="str">
        <f>IFERROR(__xludf.DUMMYFUNCTION("""COMPUTED_VALUE"""),"30-44")</f>
        <v>30-44</v>
      </c>
      <c r="AG1351" s="6"/>
      <c r="AH1351" s="6"/>
      <c r="AI1351" s="6"/>
      <c r="AJ1351" s="6"/>
      <c r="AK1351" s="6"/>
      <c r="AL1351" s="6"/>
      <c r="AM1351" s="6"/>
    </row>
    <row r="1352">
      <c r="A1352" s="6">
        <v>1351.0</v>
      </c>
      <c r="B1352" s="6" t="str">
        <f>IFERROR(__xludf.DUMMYFUNCTION("""COMPUTED_VALUE"""),"Маркетинг в автобизнесе ")</f>
        <v>Маркетинг в автобизнесе </v>
      </c>
      <c r="C1352" s="6" t="str">
        <f>IFERROR(__xludf.DUMMYFUNCTION("""COMPUTED_VALUE"""),"Чтение книг, кулинария")</f>
        <v>Чтение книг, кулинария</v>
      </c>
      <c r="D1352" s="6" t="str">
        <f>IFERROR(__xludf.DUMMYFUNCTION("""COMPUTED_VALUE"""),"Ленинский ")</f>
        <v>Ленинский </v>
      </c>
      <c r="E1352" s="6" t="str">
        <f>IFERROR(__xludf.DUMMYFUNCTION("""COMPUTED_VALUE"""),"Пешеходные дорожки у Президентского училища")</f>
        <v>Пешеходные дорожки у Президентского училища</v>
      </c>
      <c r="F1352" s="6" t="str">
        <f>IFERROR(__xludf.DUMMYFUNCTION("""COMPUTED_VALUE"""),"Живу здесь с рождения")</f>
        <v>Живу здесь с рождения</v>
      </c>
      <c r="G1352" s="6" t="str">
        <f>IFERROR(__xludf.DUMMYFUNCTION("""COMPUTED_VALUE"""),"В ТЦ, супермаркеты, в гости к друзьям и родным, иногда Бор. В центре делать нечего и дышать нечем. Максимум прокатиться на машине.")</f>
        <v>В ТЦ, супермаркеты, в гости к друзьям и родным, иногда Бор. В центре делать нечего и дышать нечем. Максимум прокатиться на машине.</v>
      </c>
      <c r="H1352" s="6" t="str">
        <f>IFERROR(__xludf.DUMMYFUNCTION("""COMPUTED_VALUE"""),"Уголь, шахты, чёрное небо, тулеев, Кузбасс ")</f>
        <v>Уголь, шахты, чёрное небо, тулеев, Кузбасс </v>
      </c>
      <c r="I1352" s="6" t="str">
        <f>IFERROR(__xludf.DUMMYFUNCTION("""COMPUTED_VALUE"""),"Тулеев, Леонов ")</f>
        <v>Тулеев, Леонов </v>
      </c>
      <c r="J1352" s="6" t="str">
        <f>IFERROR(__xludf.DUMMYFUNCTION("""COMPUTED_VALUE"""),"Тулеев ")</f>
        <v>Тулеев </v>
      </c>
      <c r="K1352" s="6" t="str">
        <f>IFERROR(__xludf.DUMMYFUNCTION("""COMPUTED_VALUE"""),"Парк ангелов")</f>
        <v>Парк ангелов</v>
      </c>
      <c r="L1352" s="6" t="str">
        <f>IFERROR(__xludf.DUMMYFUNCTION("""COMPUTED_VALUE"""),"Сгорел сарай, норм и хата ")</f>
        <v>Сгорел сарай, норм и хата </v>
      </c>
      <c r="M1352" s="6" t="str">
        <f>IFERROR(__xludf.DUMMYFUNCTION("""COMPUTED_VALUE"""),"Мультифора ")</f>
        <v>Мультифора </v>
      </c>
      <c r="N1352" s="6" t="str">
        <f>IFERROR(__xludf.DUMMYFUNCTION("""COMPUTED_VALUE"""),"1. Чистый воздух 2. Рабочие места разных специализаций с достойной заработной платой 3. новое комфортное жилье и его доступность 4. Ровные дороги круглые год, уборка снега. 5. Современные Парки развлечений для детей и взрослых ")</f>
        <v>1. Чистый воздух 2. Рабочие места разных специализаций с достойной заработной платой 3. новое комфортное жилье и его доступность 4. Ровные дороги круглые год, уборка снега. 5. Современные Парки развлечений для детей и взрослых </v>
      </c>
      <c r="O1352" s="6" t="str">
        <f>IFERROR(__xludf.DUMMYFUNCTION("""COMPUTED_VALUE"""),"Экология!!!!!")</f>
        <v>Экология!!!!!</v>
      </c>
      <c r="P1352" s="6" t="str">
        <f>IFERROR(__xludf.DUMMYFUNCTION("""COMPUTED_VALUE"""),"Инстаграм ")</f>
        <v>Инстаграм </v>
      </c>
      <c r="Q1352" s="6" t="str">
        <f>IFERROR(__xludf.DUMMYFUNCTION("""COMPUTED_VALUE"""),"городская афиша (кино/театр/концерты), культурные новинки (что почитать/что послушать), бизнес-новости (средний чек/рекламные акции/запуск новых предприятий)")</f>
        <v>городская афиша (кино/театр/концерты), культурные новинки (что почитать/что послушать), бизнес-новости (средний чек/рекламные акции/запуск новых предприятий)</v>
      </c>
      <c r="R1352" s="6" t="str">
        <f>IFERROR(__xludf.DUMMYFUNCTION("""COMPUTED_VALUE"""),"День города с концертом")</f>
        <v>День города с концертом</v>
      </c>
      <c r="S1352"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Инстаграм, ВК")</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Инстаграм, ВК</v>
      </c>
      <c r="T1352" s="6" t="str">
        <f>IFERROR(__xludf.DUMMYFUNCTION("""COMPUTED_VALUE"""),"Уголь, шерегш, чудовищная экология ")</f>
        <v>Уголь, шерегш, чудовищная экология </v>
      </c>
      <c r="U1352" s="6" t="str">
        <f>IFERROR(__xludf.DUMMYFUNCTION("""COMPUTED_VALUE"""),"Хотелось бы, чтобы это был новый центр на Притомском - Московском")</f>
        <v>Хотелось бы, чтобы это был новый центр на Притомском - Московском</v>
      </c>
      <c r="V1352" s="6" t="str">
        <f>IFERROR(__xludf.DUMMYFUNCTION("""COMPUTED_VALUE"""),"Забастовки шахтёров. 
Уехали от сюда.")</f>
        <v>Забастовки шахтёров. 
Уехали от сюда.</v>
      </c>
      <c r="W1352" s="6" t="str">
        <f>IFERROR(__xludf.DUMMYFUNCTION("""COMPUTED_VALUE"""),"Очень терпеливые.")</f>
        <v>Очень терпеливые.</v>
      </c>
      <c r="X1352" s="6" t="str">
        <f>IFERROR(__xludf.DUMMYFUNCTION("""COMPUTED_VALUE"""),"Пару ангелов, дорожки у президентского училища")</f>
        <v>Пару ангелов, дорожки у президентского училища</v>
      </c>
      <c r="Y1352" s="6" t="str">
        <f>IFERROR(__xludf.DUMMYFUNCTION("""COMPUTED_VALUE"""),"Забастовки шахтёров, распадская шахта, зимняя вишня. Из хорошего чемпионат мира по хоккею Бенди.")</f>
        <v>Забастовки шахтёров, распадская шахта, зимняя вишня. Из хорошего чемпионат мира по хоккею Бенди.</v>
      </c>
      <c r="Z1352" s="6" t="str">
        <f>IFERROR(__xludf.DUMMYFUNCTION("""COMPUTED_VALUE"""),"Карантин, удаленная работа, стройка ледового центра.")</f>
        <v>Карантин, удаленная работа, стройка ледового центра.</v>
      </c>
      <c r="AA1352" s="6" t="str">
        <f>IFERROR(__xludf.DUMMYFUNCTION("""COMPUTED_VALUE"""),"Зимняя вишня. ")</f>
        <v>Зимняя вишня. </v>
      </c>
      <c r="AB1352" s="6" t="str">
        <f>IFERROR(__xludf.DUMMYFUNCTION("""COMPUTED_VALUE"""),"Не поняла вопрос")</f>
        <v>Не поняла вопрос</v>
      </c>
      <c r="AC1352" s="6" t="str">
        <f>IFERROR(__xludf.DUMMYFUNCTION("""COMPUTED_VALUE"""),"Аквапарк, больше детских развлечений, спортивных соревнований, привозить артистов")</f>
        <v>Аквапарк, больше детских развлечений, спортивных соревнований, привозить артистов</v>
      </c>
      <c r="AD1352" s="6" t="str">
        <f>IFERROR(__xludf.DUMMYFUNCTION("""COMPUTED_VALUE"""),"Заполнила анкету ")</f>
        <v>Заполнила анкету </v>
      </c>
      <c r="AE1352" s="6" t="str">
        <f>IFERROR(__xludf.DUMMYFUNCTION("""COMPUTED_VALUE"""),"Женский")</f>
        <v>Женский</v>
      </c>
      <c r="AF1352" s="6" t="str">
        <f>IFERROR(__xludf.DUMMYFUNCTION("""COMPUTED_VALUE"""),"18-29")</f>
        <v>18-29</v>
      </c>
      <c r="AG1352" s="6"/>
      <c r="AH1352" s="6"/>
      <c r="AI1352" s="6"/>
      <c r="AJ1352" s="6"/>
      <c r="AK1352" s="6"/>
      <c r="AL1352" s="6"/>
      <c r="AM1352" s="6"/>
    </row>
    <row r="1353">
      <c r="A1353" s="6">
        <v>1352.0</v>
      </c>
      <c r="B1353" s="6" t="str">
        <f>IFERROR(__xludf.DUMMYFUNCTION("""COMPUTED_VALUE"""),"Работаю")</f>
        <v>Работаю</v>
      </c>
      <c r="C1353" s="6" t="str">
        <f>IFERROR(__xludf.DUMMYFUNCTION("""COMPUTED_VALUE"""),"Сноуборд, картины")</f>
        <v>Сноуборд, картины</v>
      </c>
      <c r="D1353" s="6" t="str">
        <f>IFERROR(__xludf.DUMMYFUNCTION("""COMPUTED_VALUE"""),"Центр")</f>
        <v>Центр</v>
      </c>
      <c r="E1353" s="6" t="str">
        <f>IFERROR(__xludf.DUMMYFUNCTION("""COMPUTED_VALUE"""),"Парк Антошка, парк победы, парк Ангелов, фонтан")</f>
        <v>Парк Антошка, парк победы, парк Ангелов, фонтан</v>
      </c>
      <c r="F1353" s="6" t="str">
        <f>IFERROR(__xludf.DUMMYFUNCTION("""COMPUTED_VALUE"""),"Живу здесь с рождения")</f>
        <v>Живу здесь с рождения</v>
      </c>
      <c r="G1353" s="6" t="str">
        <f>IFERROR(__xludf.DUMMYFUNCTION("""COMPUTED_VALUE"""),"Парки, кафе")</f>
        <v>Парки, кафе</v>
      </c>
      <c r="H1353" s="6" t="str">
        <f>IFERROR(__xludf.DUMMYFUNCTION("""COMPUTED_VALUE"""),"Зелёный, грязный, спокойный, скучный, теплый")</f>
        <v>Зелёный, грязный, спокойный, скучный, теплый</v>
      </c>
      <c r="I1353" s="6" t="str">
        <f>IFERROR(__xludf.DUMMYFUNCTION("""COMPUTED_VALUE"""),"Михайло Волков")</f>
        <v>Михайло Волков</v>
      </c>
      <c r="J1353" s="6" t="str">
        <f>IFERROR(__xludf.DUMMYFUNCTION("""COMPUTED_VALUE"""),"Не знаю")</f>
        <v>Не знаю</v>
      </c>
      <c r="K1353" s="6" t="str">
        <f>IFERROR(__xludf.DUMMYFUNCTION("""COMPUTED_VALUE"""),"Музей Красная Горка")</f>
        <v>Музей Красная Горка</v>
      </c>
      <c r="L1353" s="6" t="str">
        <f>IFERROR(__xludf.DUMMYFUNCTION("""COMPUTED_VALUE"""),"Таких не знаю")</f>
        <v>Таких не знаю</v>
      </c>
      <c r="M1353" s="6" t="str">
        <f>IFERROR(__xludf.DUMMYFUNCTION("""COMPUTED_VALUE"""),"Не знаю")</f>
        <v>Не знаю</v>
      </c>
      <c r="N1353" s="6" t="str">
        <f>IFERROR(__xludf.DUMMYFUNCTION("""COMPUTED_VALUE"""),"Чистота, возможность посещать парки с собаками ( обязательно, чтобы за собакой убирали), возможность посещать кафе и магазины с собакой, много зелёных насаждений, чистые и сухие тротуары и пешеходные переходы.")</f>
        <v>Чистота, возможность посещать парки с собаками ( обязательно, чтобы за собакой убирали), возможность посещать кафе и магазины с собакой, много зелёных насаждений, чистые и сухие тротуары и пешеходные переходы.</v>
      </c>
      <c r="O1353" s="6" t="str">
        <f>IFERROR(__xludf.DUMMYFUNCTION("""COMPUTED_VALUE"""),"Доступность прогулок в парках с собаками, больше площадок для выгула.")</f>
        <v>Доступность прогулок в парках с собаками, больше площадок для выгула.</v>
      </c>
      <c r="P1353" s="6" t="str">
        <f>IFERROR(__xludf.DUMMYFUNCTION("""COMPUTED_VALUE"""),"Инстаграм")</f>
        <v>Инстаграм</v>
      </c>
      <c r="Q1353" s="6" t="str">
        <f>IFERROR(__xludf.DUMMYFUNCTION("""COMPUTED_VALUE"""),"куда пойти в свободное время, где вкусно поесть/открытие новых кафе/ресторанов")</f>
        <v>куда пойти в свободное время, где вкусно поесть/открытие новых кафе/ресторанов</v>
      </c>
      <c r="R1353" s="6" t="str">
        <f>IFERROR(__xludf.DUMMYFUNCTION("""COMPUTED_VALUE"""),"Нейтрально")</f>
        <v>Нейтрально</v>
      </c>
      <c r="S1353" s="6" t="str">
        <f>IFERROR(__xludf.DUMMYFUNCTION("""COMPUTED_VALUE"""),"Нет, не приходилось")</f>
        <v>Нет, не приходилось</v>
      </c>
      <c r="T1353" s="6" t="str">
        <f>IFERROR(__xludf.DUMMYFUNCTION("""COMPUTED_VALUE"""),"Ничего")</f>
        <v>Ничего</v>
      </c>
      <c r="U1353" s="6" t="str">
        <f>IFERROR(__xludf.DUMMYFUNCTION("""COMPUTED_VALUE"""),"Площадь советов")</f>
        <v>Площадь советов</v>
      </c>
      <c r="V1353" s="6" t="str">
        <f>IFERROR(__xludf.DUMMYFUNCTION("""COMPUTED_VALUE"""),"Не знаю")</f>
        <v>Не знаю</v>
      </c>
      <c r="W1353" s="6" t="str">
        <f>IFERROR(__xludf.DUMMYFUNCTION("""COMPUTED_VALUE"""),"Хмурые, злые")</f>
        <v>Хмурые, злые</v>
      </c>
      <c r="X1353" s="6" t="str">
        <f>IFERROR(__xludf.DUMMYFUNCTION("""COMPUTED_VALUE"""),"Прогулка от набережной до Красной Горки")</f>
        <v>Прогулка от набережной до Красной Горки</v>
      </c>
      <c r="Y1353" s="6" t="str">
        <f>IFERROR(__xludf.DUMMYFUNCTION("""COMPUTED_VALUE"""),"Не знаю")</f>
        <v>Не знаю</v>
      </c>
      <c r="Z1353" s="6" t="str">
        <f>IFERROR(__xludf.DUMMYFUNCTION("""COMPUTED_VALUE"""),"Нет такого")</f>
        <v>Нет такого</v>
      </c>
      <c r="AA1353" s="6" t="str">
        <f>IFERROR(__xludf.DUMMYFUNCTION("""COMPUTED_VALUE"""),"Нет таких")</f>
        <v>Нет таких</v>
      </c>
      <c r="AB1353" s="6" t="str">
        <f>IFERROR(__xludf.DUMMYFUNCTION("""COMPUTED_VALUE"""),"Собаководов")</f>
        <v>Собаководов</v>
      </c>
      <c r="AC1353" s="6" t="str">
        <f>IFERROR(__xludf.DUMMYFUNCTION("""COMPUTED_VALUE"""),"Концерты на открытых площадках, выставки, мастер классы")</f>
        <v>Концерты на открытых площадках, выставки, мастер классы</v>
      </c>
      <c r="AD1353"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353" s="6" t="str">
        <f>IFERROR(__xludf.DUMMYFUNCTION("""COMPUTED_VALUE"""),"Женский")</f>
        <v>Женский</v>
      </c>
      <c r="AF1353" s="6" t="str">
        <f>IFERROR(__xludf.DUMMYFUNCTION("""COMPUTED_VALUE"""),"18-29")</f>
        <v>18-29</v>
      </c>
      <c r="AG1353" s="6"/>
      <c r="AH1353" s="6"/>
      <c r="AI1353" s="6"/>
      <c r="AJ1353" s="6"/>
      <c r="AK1353" s="6"/>
      <c r="AL1353" s="6"/>
      <c r="AM1353" s="6"/>
    </row>
    <row r="1354">
      <c r="A1354" s="6">
        <v>1353.0</v>
      </c>
      <c r="B1354" s="6" t="str">
        <f>IFERROR(__xludf.DUMMYFUNCTION("""COMPUTED_VALUE"""),"Экономист")</f>
        <v>Экономист</v>
      </c>
      <c r="C1354" s="6" t="str">
        <f>IFERROR(__xludf.DUMMYFUNCTION("""COMPUTED_VALUE"""),"Пение, Квизы")</f>
        <v>Пение, Квизы</v>
      </c>
      <c r="D1354" s="6" t="str">
        <f>IFERROR(__xludf.DUMMYFUNCTION("""COMPUTED_VALUE"""),"Рудничный")</f>
        <v>Рудничный</v>
      </c>
      <c r="E1354" s="6" t="str">
        <f>IFERROR(__xludf.DUMMYFUNCTION("""COMPUTED_VALUE"""),"Красная горка")</f>
        <v>Красная горка</v>
      </c>
      <c r="F135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354" s="6" t="str">
        <f>IFERROR(__xludf.DUMMYFUNCTION("""COMPUTED_VALUE"""),"Никуда")</f>
        <v>Никуда</v>
      </c>
      <c r="H1354" s="6" t="str">
        <f>IFERROR(__xludf.DUMMYFUNCTION("""COMPUTED_VALUE"""),"Серость, смог, ямы, тоска, безперспективность")</f>
        <v>Серость, смог, ямы, тоска, безперспективность</v>
      </c>
      <c r="I1354" s="6" t="str">
        <f>IFERROR(__xludf.DUMMYFUNCTION("""COMPUTED_VALUE"""),"Михайло Волков")</f>
        <v>Михайло Волков</v>
      </c>
      <c r="J1354" s="6" t="str">
        <f>IFERROR(__xludf.DUMMYFUNCTION("""COMPUTED_VALUE"""),"Нет таких")</f>
        <v>Нет таких</v>
      </c>
      <c r="K1354" s="6" t="str">
        <f>IFERROR(__xludf.DUMMYFUNCTION("""COMPUTED_VALUE"""),"Музей красная горка, томская писаница")</f>
        <v>Музей красная горка, томская писаница</v>
      </c>
      <c r="L1354" s="6" t="str">
        <f>IFERROR(__xludf.DUMMYFUNCTION("""COMPUTED_VALUE"""),"В России две беды, дураки и дороги.")</f>
        <v>В России две беды, дураки и дороги.</v>
      </c>
      <c r="M1354" s="6" t="str">
        <f>IFERROR(__xludf.DUMMYFUNCTION("""COMPUTED_VALUE"""),"Нет")</f>
        <v>Нет</v>
      </c>
      <c r="N1354" s="6" t="str">
        <f>IFERROR(__xludf.DUMMYFUNCTION("""COMPUTED_VALUE"""),"Качественная медицина, обширный рынок труда, чистота, много парков и зон отдыха.")</f>
        <v>Качественная медицина, обширный рынок труда, чистота, много парков и зон отдыха.</v>
      </c>
      <c r="O1354" s="6" t="str">
        <f>IFERROR(__xludf.DUMMYFUNCTION("""COMPUTED_VALUE"""),"Экология")</f>
        <v>Экология</v>
      </c>
      <c r="P1354" s="6" t="str">
        <f>IFERROR(__xludf.DUMMYFUNCTION("""COMPUTED_VALUE"""),"В нашем городе нет интересных мероприятий и событий")</f>
        <v>В нашем городе нет интересных мероприятий и событий</v>
      </c>
      <c r="Q1354" s="6" t="str">
        <f>IFERROR(__xludf.DUMMYFUNCTION("""COMPUTED_VALUE"""),"куда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f>
        <v>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v>
      </c>
      <c r="R1354" s="6" t="str">
        <f>IFERROR(__xludf.DUMMYFUNCTION("""COMPUTED_VALUE"""),"Ни какие, не посещаю")</f>
        <v>Ни какие, не посещаю</v>
      </c>
      <c r="S1354" s="6" t="str">
        <f>IFERROR(__xludf.DUMMYFUNCTION("""COMPUTED_VALUE"""),"Нет, не приходилось")</f>
        <v>Нет, не приходилось</v>
      </c>
      <c r="T1354" s="6" t="str">
        <f>IFERROR(__xludf.DUMMYFUNCTION("""COMPUTED_VALUE"""),"Уголь")</f>
        <v>Уголь</v>
      </c>
      <c r="U1354" s="6" t="str">
        <f>IFERROR(__xludf.DUMMYFUNCTION("""COMPUTED_VALUE"""),"Весенняя улица, набережная")</f>
        <v>Весенняя улица, набережная</v>
      </c>
      <c r="V1354" s="6" t="str">
        <f>IFERROR(__xludf.DUMMYFUNCTION("""COMPUTED_VALUE"""),"Нет вариантов")</f>
        <v>Нет вариантов</v>
      </c>
      <c r="W1354" s="6" t="str">
        <f>IFERROR(__xludf.DUMMYFUNCTION("""COMPUTED_VALUE"""),"Хмурые, уставшие")</f>
        <v>Хмурые, уставшие</v>
      </c>
      <c r="X1354" s="6" t="str">
        <f>IFERROR(__xludf.DUMMYFUNCTION("""COMPUTED_VALUE"""),"Нет такого")</f>
        <v>Нет такого</v>
      </c>
      <c r="Y1354" s="6" t="str">
        <f>IFERROR(__xludf.DUMMYFUNCTION("""COMPUTED_VALUE"""),"Незнаю")</f>
        <v>Незнаю</v>
      </c>
      <c r="Z1354" s="6" t="str">
        <f>IFERROR(__xludf.DUMMYFUNCTION("""COMPUTED_VALUE"""),"Нет таких")</f>
        <v>Нет таких</v>
      </c>
      <c r="AA1354" s="6" t="str">
        <f>IFERROR(__xludf.DUMMYFUNCTION("""COMPUTED_VALUE"""),"Нет таких")</f>
        <v>Нет таких</v>
      </c>
      <c r="AB1354" s="6" t="str">
        <f>IFERROR(__xludf.DUMMYFUNCTION("""COMPUTED_VALUE"""),"Нет ответа")</f>
        <v>Нет ответа</v>
      </c>
      <c r="AC1354" s="6" t="str">
        <f>IFERROR(__xludf.DUMMYFUNCTION("""COMPUTED_VALUE"""),"Больше различных курсов по саморазвитию")</f>
        <v>Больше различных курсов по саморазвитию</v>
      </c>
      <c r="AD135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54" s="6" t="str">
        <f>IFERROR(__xludf.DUMMYFUNCTION("""COMPUTED_VALUE"""),"Женский")</f>
        <v>Женский</v>
      </c>
      <c r="AF1354" s="6" t="str">
        <f>IFERROR(__xludf.DUMMYFUNCTION("""COMPUTED_VALUE"""),"30-44")</f>
        <v>30-44</v>
      </c>
      <c r="AG1354" s="6"/>
      <c r="AH1354" s="6"/>
      <c r="AI1354" s="6"/>
      <c r="AJ1354" s="6"/>
      <c r="AK1354" s="6"/>
      <c r="AL1354" s="6"/>
      <c r="AM1354" s="6"/>
    </row>
    <row r="1355">
      <c r="A1355" s="6">
        <v>1354.0</v>
      </c>
      <c r="B1355" s="6" t="str">
        <f>IFERROR(__xludf.DUMMYFUNCTION("""COMPUTED_VALUE"""),"Маркетинг ")</f>
        <v>Маркетинг </v>
      </c>
      <c r="C1355" s="6" t="str">
        <f>IFERROR(__xludf.DUMMYFUNCTION("""COMPUTED_VALUE"""),"Лыжи, рукоделие, бег, велосипед ")</f>
        <v>Лыжи, рукоделие, бег, велосипед </v>
      </c>
      <c r="D1355" s="6" t="str">
        <f>IFERROR(__xludf.DUMMYFUNCTION("""COMPUTED_VALUE"""),"Центральный ")</f>
        <v>Центральный </v>
      </c>
      <c r="E1355" s="6" t="str">
        <f>IFERROR(__xludf.DUMMYFUNCTION("""COMPUTED_VALUE"""),"Парки все, преимущественно Жукова и набережная ")</f>
        <v>Парки все, преимущественно Жукова и набережная </v>
      </c>
      <c r="F1355" s="6" t="str">
        <f>IFERROR(__xludf.DUMMYFUNCTION("""COMPUTED_VALUE"""),"Переехал сюда из другого места (откуда? укажите в графе другое), Приехала учиться")</f>
        <v>Переехал сюда из другого места (откуда? укажите в графе другое), Приехала учиться</v>
      </c>
      <c r="G1355" s="6" t="str">
        <f>IFERROR(__xludf.DUMMYFUNCTION("""COMPUTED_VALUE"""),"Парк жукова, набережная. ")</f>
        <v>Парк жукова, набережная. </v>
      </c>
      <c r="H1355" s="6" t="str">
        <f>IFERROR(__xludf.DUMMYFUNCTION("""COMPUTED_VALUE"""),"Дым, газ, грязь, смог. Редкая зелень ")</f>
        <v>Дым, газ, грязь, смог. Редкая зелень </v>
      </c>
      <c r="I1355" s="6" t="str">
        <f>IFERROR(__xludf.DUMMYFUNCTION("""COMPUTED_VALUE"""),"Михайло Волков")</f>
        <v>Михайло Волков</v>
      </c>
      <c r="J1355" s="6" t="str">
        <f>IFERROR(__xludf.DUMMYFUNCTION("""COMPUTED_VALUE"""),"Есть люди на слуху, самопиар. Но сделали ли они или скорее оказались в нужном месте ")</f>
        <v>Есть люди на слуху, самопиар. Но сделали ли они или скорее оказались в нужном месте </v>
      </c>
      <c r="K1355" s="6" t="str">
        <f>IFERROR(__xludf.DUMMYFUNCTION("""COMPUTED_VALUE"""),"Шахтёр, Красная горка и Сосновый бор (но до красивого места идти не всем хочется) ")</f>
        <v>Шахтёр, Красная горка и Сосновый бор (но до красивого места идти не всем хочется) </v>
      </c>
      <c r="L1355" s="6" t="str">
        <f>IFERROR(__xludf.DUMMYFUNCTION("""COMPUTED_VALUE"""),"Ох засыпали ")</f>
        <v>Ох засыпали </v>
      </c>
      <c r="M1355" s="6" t="str">
        <f>IFERROR(__xludf.DUMMYFUNCTION("""COMPUTED_VALUE"""),"Нет")</f>
        <v>Нет</v>
      </c>
      <c r="N1355" s="6" t="str">
        <f>IFERROR(__xludf.DUMMYFUNCTION("""COMPUTED_VALUE"""),"Чистота воздуха, беговые дорожки на набережных, чистые, не ""ароматные"" туалеты на улицах, БАССЕЙН. Это конечно плюс к тому многому что уже есть")</f>
        <v>Чистота воздуха, беговые дорожки на набережных, чистые, не "ароматные" туалеты на улицах, БАССЕЙН. Это конечно плюс к тому многому что уже есть</v>
      </c>
      <c r="O1355" s="6" t="str">
        <f>IFERROR(__xludf.DUMMYFUNCTION("""COMPUTED_VALUE"""),"Место отдыха для людей. В частности привести жукова и антошку в единую ухоженную концепцию. ")</f>
        <v>Место отдыха для людей. В частности привести жукова и антошку в единую ухоженную концепцию. </v>
      </c>
      <c r="P1355" s="6" t="str">
        <f>IFERROR(__xludf.DUMMYFUNCTION("""COMPUTED_VALUE"""),"Не интересно. Ищу по необходимости
В сообществах по интересам ")</f>
        <v>Не интересно. Ищу по необходимости
В сообществах по интересам </v>
      </c>
      <c r="Q1355" s="6" t="str">
        <f>IFERROR(__xludf.DUMMYFUNCTION("""COMPUTED_VALUE"""),"куда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v>
      </c>
      <c r="R1355" s="6" t="str">
        <f>IFERROR(__xludf.DUMMYFUNCTION("""COMPUTED_VALUE"""),"12 июня ")</f>
        <v>12 июня </v>
      </c>
      <c r="S1355" s="6" t="str">
        <f>IFERROR(__xludf.DUMMYFUNCTION("""COMPUTED_VALUE"""),"Нет, не приходилось")</f>
        <v>Нет, не приходилось</v>
      </c>
      <c r="T1355" s="6" t="str">
        <f>IFERROR(__xludf.DUMMYFUNCTION("""COMPUTED_VALUE"""),"Очень среднестатистический город")</f>
        <v>Очень среднестатистический город</v>
      </c>
      <c r="U1355" s="6" t="str">
        <f>IFERROR(__xludf.DUMMYFUNCTION("""COMPUTED_VALUE"""),"ПОЧТАМТ И НУЛЕВОЙ КМ")</f>
        <v>ПОЧТАМТ И НУЛЕВОЙ КМ</v>
      </c>
      <c r="V1355" s="6" t="str">
        <f>IFERROR(__xludf.DUMMYFUNCTION("""COMPUTED_VALUE"""),". ")</f>
        <v>. </v>
      </c>
      <c r="W1355" s="6" t="str">
        <f>IFERROR(__xludf.DUMMYFUNCTION("""COMPUTED_VALUE"""),"Преимущественно на улице хмурые, заводчане. Но в своих компаниях очень душевные и настоящие люди. ")</f>
        <v>Преимущественно на улице хмурые, заводчане. Но в своих компаниях очень душевные и настоящие люди. </v>
      </c>
      <c r="X1355" s="6" t="str">
        <f>IFERROR(__xludf.DUMMYFUNCTION("""COMPUTED_VALUE"""),"Центр и шахтёр. Я обычно своих гостей так вожу. ")</f>
        <v>Центр и шахтёр. Я обычно своих гостей так вожу. </v>
      </c>
      <c r="Y1355" s="6" t="str">
        <f>IFERROR(__xludf.DUMMYFUNCTION("""COMPUTED_VALUE"""),". ")</f>
        <v>. </v>
      </c>
      <c r="Z1355" s="6" t="str">
        <f>IFERROR(__xludf.DUMMYFUNCTION("""COMPUTED_VALUE"""),"Антошка открытие площадки. Но много не довели до ума. ")</f>
        <v>Антошка открытие площадки. Но много не довели до ума. </v>
      </c>
      <c r="AA1355" s="6" t="str">
        <f>IFERROR(__xludf.DUMMYFUNCTION("""COMPUTED_VALUE"""),". ")</f>
        <v>. </v>
      </c>
      <c r="AB1355" s="6" t="str">
        <f>IFERROR(__xludf.DUMMYFUNCTION("""COMPUTED_VALUE"""),"Их сложно найти, нет единого окна сплачающего все мероприятия города в единую сеть")</f>
        <v>Их сложно найти, нет единого окна сплачающего все мероприятия города в единую сеть</v>
      </c>
      <c r="AC1355" s="6" t="str">
        <f>IFERROR(__xludf.DUMMYFUNCTION("""COMPUTED_VALUE"""),"Выставки, их очень мало. Закрытые показы фильмов, в плане арткино. Чтото что не для массовости")</f>
        <v>Выставки, их очень мало. Закрытые показы фильмов, в плане арткино. Чтото что не для массовости</v>
      </c>
      <c r="AD135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55" s="6" t="str">
        <f>IFERROR(__xludf.DUMMYFUNCTION("""COMPUTED_VALUE"""),"Женский")</f>
        <v>Женский</v>
      </c>
      <c r="AF1355" s="6" t="str">
        <f>IFERROR(__xludf.DUMMYFUNCTION("""COMPUTED_VALUE"""),"30-44")</f>
        <v>30-44</v>
      </c>
      <c r="AG1355" s="6"/>
      <c r="AH1355" s="6"/>
      <c r="AI1355" s="6"/>
      <c r="AJ1355" s="6"/>
      <c r="AK1355" s="6"/>
      <c r="AL1355" s="6"/>
      <c r="AM1355" s="6"/>
    </row>
    <row r="1356">
      <c r="A1356" s="6">
        <v>1355.0</v>
      </c>
      <c r="B1356" s="6" t="str">
        <f>IFERROR(__xludf.DUMMYFUNCTION("""COMPUTED_VALUE"""),"Работа")</f>
        <v>Работа</v>
      </c>
      <c r="C1356" s="6" t="str">
        <f>IFERROR(__xludf.DUMMYFUNCTION("""COMPUTED_VALUE"""),"Футбол, волейбол, чтение")</f>
        <v>Футбол, волейбол, чтение</v>
      </c>
      <c r="D1356" s="6" t="str">
        <f>IFERROR(__xludf.DUMMYFUNCTION("""COMPUTED_VALUE"""),"Кировский")</f>
        <v>Кировский</v>
      </c>
      <c r="E1356" s="6" t="str">
        <f>IFERROR(__xludf.DUMMYFUNCTION("""COMPUTED_VALUE"""),"Набережная ")</f>
        <v>Набережная </v>
      </c>
      <c r="F1356" s="6" t="str">
        <f>IFERROR(__xludf.DUMMYFUNCTION("""COMPUTED_VALUE"""),"Живу здесь с рождения")</f>
        <v>Живу здесь с рождения</v>
      </c>
      <c r="G1356" s="6" t="str">
        <f>IFERROR(__xludf.DUMMYFUNCTION("""COMPUTED_VALUE"""),"Набережные города, парк Чудес, Весенняя, парк Жукова, бульвар Строителей")</f>
        <v>Набережные города, парк Чудес, Весенняя, парк Жукова, бульвар Строителей</v>
      </c>
      <c r="H1356" s="6" t="str">
        <f>IFERROR(__xludf.DUMMYFUNCTION("""COMPUTED_VALUE"""),"Дым, пробки, зелень, скука, серость ")</f>
        <v>Дым, пробки, зелень, скука, серость </v>
      </c>
      <c r="I1356" s="6" t="str">
        <f>IFERROR(__xludf.DUMMYFUNCTION("""COMPUTED_VALUE"""),"Леонов")</f>
        <v>Леонов</v>
      </c>
      <c r="J1356" s="6" t="str">
        <f>IFERROR(__xludf.DUMMYFUNCTION("""COMPUTED_VALUE"""),"Нет таких ")</f>
        <v>Нет таких </v>
      </c>
      <c r="K1356" s="6" t="str">
        <f>IFERROR(__xludf.DUMMYFUNCTION("""COMPUTED_VALUE"""),"Парк Ангелов, Весенняя, Бульвар Строителей")</f>
        <v>Парк Ангелов, Весенняя, Бульвар Строителей</v>
      </c>
      <c r="L1356" s="6" t="str">
        <f>IFERROR(__xludf.DUMMYFUNCTION("""COMPUTED_VALUE"""),"Не знаю таких")</f>
        <v>Не знаю таких</v>
      </c>
      <c r="M1356" s="6" t="str">
        <f>IFERROR(__xludf.DUMMYFUNCTION("""COMPUTED_VALUE"""),"Нет")</f>
        <v>Нет</v>
      </c>
      <c r="N1356" s="6" t="str">
        <f>IFERROR(__xludf.DUMMYFUNCTION("""COMPUTED_VALUE"""),"Хорошая экология, отсутствие пробок, чистый город, доступный общественный транспорт, наличие развлекательных мест ")</f>
        <v>Хорошая экология, отсутствие пробок, чистый город, доступный общественный транспорт, наличие развлекательных мест </v>
      </c>
      <c r="O1356" s="6" t="str">
        <f>IFERROR(__xludf.DUMMYFUNCTION("""COMPUTED_VALUE"""),"Культуру жителей ")</f>
        <v>Культуру жителей </v>
      </c>
      <c r="P1356" s="6" t="str">
        <f>IFERROR(__xludf.DUMMYFUNCTION("""COMPUTED_VALUE"""),"Паблики ВК и телеграмм - каналы (а42, Открытый город, vse42 и прочие) ")</f>
        <v>Паблики ВК и телеграмм - каналы (а42, Открытый город, vse42 и прочие) </v>
      </c>
      <c r="Q1356"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356" s="6" t="str">
        <f>IFERROR(__xludf.DUMMYFUNCTION("""COMPUTED_VALUE"""),"День города, день шахтёра, день молодёжи ")</f>
        <v>День города, день шахтёра, день молодёжи </v>
      </c>
      <c r="S1356" s="6" t="str">
        <f>IFERROR(__xludf.DUMMYFUNCTION("""COMPUTED_VALUE"""),"Нет, не приходилось")</f>
        <v>Нет, не приходилось</v>
      </c>
      <c r="T1356" s="6" t="str">
        <f>IFERROR(__xludf.DUMMYFUNCTION("""COMPUTED_VALUE"""),"Знаменит в основном по трешовым новостям. Уникального разве что наличие бора посреди города. ")</f>
        <v>Знаменит в основном по трешовым новостям. Уникального разве что наличие бора посреди города. </v>
      </c>
      <c r="U1356" s="6" t="str">
        <f>IFERROR(__xludf.DUMMYFUNCTION("""COMPUTED_VALUE"""),"Площадь Советов ")</f>
        <v>Площадь Советов </v>
      </c>
      <c r="V1356" s="6" t="str">
        <f>IFERROR(__xludf.DUMMYFUNCTION("""COMPUTED_VALUE"""),"Почти ничего")</f>
        <v>Почти ничего</v>
      </c>
      <c r="W1356" s="6" t="str">
        <f>IFERROR(__xludf.DUMMYFUNCTION("""COMPUTED_VALUE"""),"Угрюмые. Часто хамы. Реже отзывчивые. Почти никогда не улыбающиеся. Безинициативные. ")</f>
        <v>Угрюмые. Часто хамы. Реже отзывчивые. Почти никогда не улыбающиеся. Безинициативные. </v>
      </c>
      <c r="X1356" s="6" t="str">
        <f>IFERROR(__xludf.DUMMYFUNCTION("""COMPUTED_VALUE"""),"Из заводского в Кировский 😄")</f>
        <v>Из заводского в Кировский 😄</v>
      </c>
      <c r="Y1356" s="6" t="str">
        <f>IFERROR(__xludf.DUMMYFUNCTION("""COMPUTED_VALUE"""),"Пожар в Зимней вишне. Из позитивных нет никаких. Культурных тем более. ")</f>
        <v>Пожар в Зимней вишне. Из позитивных нет никаких. Культурных тем более. </v>
      </c>
      <c r="Z1356" s="6" t="str">
        <f>IFERROR(__xludf.DUMMYFUNCTION("""COMPUTED_VALUE"""),"Празднование 100-летия города и чемпионство ВК Кузбасс ")</f>
        <v>Празднование 100-летия города и чемпионство ВК Кузбасс </v>
      </c>
      <c r="AA1356" s="6" t="str">
        <f>IFERROR(__xludf.DUMMYFUNCTION("""COMPUTED_VALUE"""),"Их много ")</f>
        <v>Их много </v>
      </c>
      <c r="AB1356" s="6" t="str">
        <f>IFERROR(__xludf.DUMMYFUNCTION("""COMPUTED_VALUE"""),"По культурным интересам, по спортивным интересам, по общественной жизни ")</f>
        <v>По культурным интересам, по спортивным интересам, по общественной жизни </v>
      </c>
      <c r="AC1356" s="6" t="str">
        <f>IFERROR(__xludf.DUMMYFUNCTION("""COMPUTED_VALUE"""),"Больше спортивных команд и разного рода развлекательной жизни (театры, современные музеи, выставки, концерты) ")</f>
        <v>Больше спортивных команд и разного рода развлекательной жизни (театры, современные музеи, выставки, концерты) </v>
      </c>
      <c r="AD135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56" s="6" t="str">
        <f>IFERROR(__xludf.DUMMYFUNCTION("""COMPUTED_VALUE"""),"Мужской")</f>
        <v>Мужской</v>
      </c>
      <c r="AF1356" s="6" t="str">
        <f>IFERROR(__xludf.DUMMYFUNCTION("""COMPUTED_VALUE"""),"30-44")</f>
        <v>30-44</v>
      </c>
      <c r="AG1356" s="6"/>
      <c r="AH1356" s="6"/>
      <c r="AI1356" s="6"/>
      <c r="AJ1356" s="6"/>
      <c r="AK1356" s="6"/>
      <c r="AL1356" s="6"/>
      <c r="AM1356" s="6"/>
    </row>
    <row r="1357">
      <c r="A1357" s="6">
        <v>1356.0</v>
      </c>
      <c r="B1357" s="6" t="str">
        <f>IFERROR(__xludf.DUMMYFUNCTION("""COMPUTED_VALUE"""),"Секретарь")</f>
        <v>Секретарь</v>
      </c>
      <c r="C1357" s="6" t="str">
        <f>IFERROR(__xludf.DUMMYFUNCTION("""COMPUTED_VALUE"""),"Садоводство")</f>
        <v>Садоводство</v>
      </c>
      <c r="D1357" s="6" t="str">
        <f>IFERROR(__xludf.DUMMYFUNCTION("""COMPUTED_VALUE"""),"Центральный ")</f>
        <v>Центральный </v>
      </c>
      <c r="E1357" s="6" t="str">
        <f>IFERROR(__xludf.DUMMYFUNCTION("""COMPUTED_VALUE"""),"Набережная ")</f>
        <v>Набережная </v>
      </c>
      <c r="F1357" s="6" t="str">
        <f>IFERROR(__xludf.DUMMYFUNCTION("""COMPUTED_VALUE"""),"Живу здесь с рождения")</f>
        <v>Живу здесь с рождения</v>
      </c>
      <c r="G1357" s="6" t="str">
        <f>IFERROR(__xludf.DUMMYFUNCTION("""COMPUTED_VALUE"""),"Пляж в д. Пугачи")</f>
        <v>Пляж в д. Пугачи</v>
      </c>
      <c r="H1357" s="6" t="str">
        <f>IFERROR(__xludf.DUMMYFUNCTION("""COMPUTED_VALUE"""),"Озеленненый, скучный, грязный, неорганизованный, новый")</f>
        <v>Озеленненый, скучный, грязный, неорганизованный, новый</v>
      </c>
      <c r="I1357" s="6" t="str">
        <f>IFERROR(__xludf.DUMMYFUNCTION("""COMPUTED_VALUE"""),"Рутгерс")</f>
        <v>Рутгерс</v>
      </c>
      <c r="J1357" s="6" t="str">
        <f>IFERROR(__xludf.DUMMYFUNCTION("""COMPUTED_VALUE"""),"Михайлов")</f>
        <v>Михайлов</v>
      </c>
      <c r="K1357" s="6" t="str">
        <f>IFERROR(__xludf.DUMMYFUNCTION("""COMPUTED_VALUE"""),"Поехать посмотреть на карьеры в п. Промышленновский, ж.р. Кедровка. ")</f>
        <v>Поехать посмотреть на карьеры в п. Промышленновский, ж.р. Кедровка. </v>
      </c>
      <c r="L1357" s="6" t="str">
        <f>IFERROR(__xludf.DUMMYFUNCTION("""COMPUTED_VALUE"""),"Лебедь, рак и щука. Тянут в разные стороны город")</f>
        <v>Лебедь, рак и щука. Тянут в разные стороны город</v>
      </c>
      <c r="M1357" s="6" t="str">
        <f>IFERROR(__xludf.DUMMYFUNCTION("""COMPUTED_VALUE"""),"Около ""Яшки"" (ТЦ ""Я"") ")</f>
        <v>Около "Яшки" (ТЦ "Я") </v>
      </c>
      <c r="N1357" s="6" t="str">
        <f>IFERROR(__xludf.DUMMYFUNCTION("""COMPUTED_VALUE"""),"Чистота, транспортная доступность, ухоженность пешеходной зоны, отсутствие визуального шума, органозованность парковок не в ущерб пешеходов")</f>
        <v>Чистота, транспортная доступность, ухоженность пешеходной зоны, отсутствие визуального шума, органозованность парковок не в ущерб пешеходов</v>
      </c>
      <c r="O1357" s="6" t="str">
        <f>IFERROR(__xludf.DUMMYFUNCTION("""COMPUTED_VALUE"""),"Улучшить поверхность пешеходных дорожек во всем городе (я автомобилист и совершая пешие прогулки, нахожусь в ужасном разочаровании от того что приходится обходить какие нибудь препятствия из грязи и ям.)")</f>
        <v>Улучшить поверхность пешеходных дорожек во всем городе (я автомобилист и совершая пешие прогулки, нахожусь в ужасном разочаровании от того что приходится обходить какие нибудь препятствия из грязи и ям.)</v>
      </c>
      <c r="P1357" s="6" t="str">
        <f>IFERROR(__xludf.DUMMYFUNCTION("""COMPUTED_VALUE"""),"Случайные всплывающие окна и страницы в интернете")</f>
        <v>Случайные всплывающие окна и страницы в интернете</v>
      </c>
      <c r="Q1357"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357" s="6" t="str">
        <f>IFERROR(__xludf.DUMMYFUNCTION("""COMPUTED_VALUE"""),"День детей")</f>
        <v>День детей</v>
      </c>
      <c r="S1357" s="6" t="str">
        <f>IFERROR(__xludf.DUMMYFUNCTION("""COMPUTED_VALUE"""),"Нет, не приходилось")</f>
        <v>Нет, не приходилось</v>
      </c>
      <c r="T1357" s="6" t="str">
        <f>IFERROR(__xludf.DUMMYFUNCTION("""COMPUTED_VALUE"""),"Шахты в близи города")</f>
        <v>Шахты в близи города</v>
      </c>
      <c r="U1357" s="6" t="str">
        <f>IFERROR(__xludf.DUMMYFUNCTION("""COMPUTED_VALUE"""),"Торговые центры")</f>
        <v>Торговые центры</v>
      </c>
      <c r="V1357" s="6" t="str">
        <f>IFERROR(__xludf.DUMMYFUNCTION("""COMPUTED_VALUE"""),"Нет информации")</f>
        <v>Нет информации</v>
      </c>
      <c r="W1357" s="6" t="str">
        <f>IFERROR(__xludf.DUMMYFUNCTION("""COMPUTED_VALUE"""),"Спокойные ")</f>
        <v>Спокойные </v>
      </c>
      <c r="X1357" s="6" t="str">
        <f>IFERROR(__xludf.DUMMYFUNCTION("""COMPUTED_VALUE"""),"Улица весенняя, набережная")</f>
        <v>Улица весенняя, набережная</v>
      </c>
      <c r="Y1357" s="6" t="str">
        <f>IFERROR(__xludf.DUMMYFUNCTION("""COMPUTED_VALUE"""),"Легенды рока")</f>
        <v>Легенды рока</v>
      </c>
      <c r="Z1357" s="6" t="str">
        <f>IFERROR(__xludf.DUMMYFUNCTION("""COMPUTED_VALUE"""),"Изменения на реке Истикимка")</f>
        <v>Изменения на реке Истикимка</v>
      </c>
      <c r="AA1357" s="6" t="str">
        <f>IFERROR(__xludf.DUMMYFUNCTION("""COMPUTED_VALUE"""),"Пожар в строящемся объекте ""Арена"" ")</f>
        <v>Пожар в строящемся объекте "Арена" </v>
      </c>
      <c r="AB1357" s="6" t="str">
        <f>IFERROR(__xludf.DUMMYFUNCTION("""COMPUTED_VALUE"""),"А какие есть? ")</f>
        <v>А какие есть? </v>
      </c>
      <c r="AC1357" s="6" t="str">
        <f>IFERROR(__xludf.DUMMYFUNCTION("""COMPUTED_VALUE"""),"Рассказ администрации о настоящих планах по улучшению города. Изменения района с частной жилой застройкой- деревня посреди города по Сибиряков - Гвардейцев")</f>
        <v>Рассказ администрации о настоящих планах по улучшению города. Изменения района с частной жилой застройкой- деревня посреди города по Сибиряков - Гвардейцев</v>
      </c>
      <c r="AD135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357" s="6" t="str">
        <f>IFERROR(__xludf.DUMMYFUNCTION("""COMPUTED_VALUE"""),"Женский")</f>
        <v>Женский</v>
      </c>
      <c r="AF1357" s="6" t="str">
        <f>IFERROR(__xludf.DUMMYFUNCTION("""COMPUTED_VALUE"""),"30-44")</f>
        <v>30-44</v>
      </c>
      <c r="AG1357" s="6"/>
      <c r="AH1357" s="6"/>
      <c r="AI1357" s="6"/>
      <c r="AJ1357" s="6"/>
      <c r="AK1357" s="6"/>
      <c r="AL1357" s="6"/>
      <c r="AM1357" s="6"/>
    </row>
    <row r="1358">
      <c r="A1358" s="6">
        <v>1357.0</v>
      </c>
      <c r="B1358" s="6" t="str">
        <f>IFERROR(__xludf.DUMMYFUNCTION("""COMPUTED_VALUE"""),"Техподдержка абонентов в колл-центре интернет-провайдера")</f>
        <v>Техподдержка абонентов в колл-центре интернет-провайдера</v>
      </c>
      <c r="C1358" s="6" t="str">
        <f>IFERROR(__xludf.DUMMYFUNCTION("""COMPUTED_VALUE"""),"Аниме, видеоигры")</f>
        <v>Аниме, видеоигры</v>
      </c>
      <c r="D1358" s="6" t="str">
        <f>IFERROR(__xludf.DUMMYFUNCTION("""COMPUTED_VALUE"""),"Кировский")</f>
        <v>Кировский</v>
      </c>
      <c r="E1358" s="6" t="str">
        <f>IFERROR(__xludf.DUMMYFUNCTION("""COMPUTED_VALUE"""),"Фонтан у Драмтеатра")</f>
        <v>Фонтан у Драмтеатра</v>
      </c>
      <c r="F1358" s="6" t="str">
        <f>IFERROR(__xludf.DUMMYFUNCTION("""COMPUTED_VALUE"""),"Живу здесь с рождения")</f>
        <v>Живу здесь с рождения</v>
      </c>
      <c r="G1358" s="6" t="str">
        <f>IFERROR(__xludf.DUMMYFUNCTION("""COMPUTED_VALUE"""),"В KFC и в Ленту, по больницам еще")</f>
        <v>В KFC и в Ленту, по больницам еще</v>
      </c>
      <c r="H1358" s="6" t="str">
        <f>IFERROR(__xludf.DUMMYFUNCTION("""COMPUTED_VALUE"""),"Уголь, шахтер, дом")</f>
        <v>Уголь, шахтер, дом</v>
      </c>
      <c r="I1358" s="6" t="str">
        <f>IFERROR(__xludf.DUMMYFUNCTION("""COMPUTED_VALUE"""),"Волков")</f>
        <v>Волков</v>
      </c>
      <c r="J1358" s="6" t="str">
        <f>IFERROR(__xludf.DUMMYFUNCTION("""COMPUTED_VALUE"""),"-")</f>
        <v>-</v>
      </c>
      <c r="K1358" s="6" t="str">
        <f>IFERROR(__xludf.DUMMYFUNCTION("""COMPUTED_VALUE"""),"-")</f>
        <v>-</v>
      </c>
      <c r="L1358" s="6" t="str">
        <f>IFERROR(__xludf.DUMMYFUNCTION("""COMPUTED_VALUE"""),"-")</f>
        <v>-</v>
      </c>
      <c r="M1358" s="6" t="str">
        <f>IFERROR(__xludf.DUMMYFUNCTION("""COMPUTED_VALUE"""),"-")</f>
        <v>-</v>
      </c>
      <c r="N1358" s="6" t="str">
        <f>IFERROR(__xludf.DUMMYFUNCTION("""COMPUTED_VALUE"""),"Частые маршрутки и трамваи со свободными местами, много магазинов, много столовых, чисто на улицах, много тротуаров")</f>
        <v>Частые маршрутки и трамваи со свободными местами, много магазинов, много столовых, чисто на улицах, много тротуаров</v>
      </c>
      <c r="O1358" s="6" t="str">
        <f>IFERROR(__xludf.DUMMYFUNCTION("""COMPUTED_VALUE"""),"Больше маршруток и трамваев")</f>
        <v>Больше маршруток и трамваев</v>
      </c>
      <c r="P1358" s="6" t="str">
        <f>IFERROR(__xludf.DUMMYFUNCTION("""COMPUTED_VALUE"""),"Паблик А42 в VK")</f>
        <v>Паблик А42 в VK</v>
      </c>
      <c r="Q1358" s="6" t="str">
        <f>IFERROR(__xludf.DUMMYFUNCTION("""COMPUTED_VALUE"""),"где вкусно поесть/открытие новых кафе/ресторанов, криминальные новости (происшествия/преступления), результаты местных исследований (рейтинги/аналитика/тенденции)")</f>
        <v>где вкусно поесть/открытие новых кафе/ресторанов, криминальные новости (происшествия/преступления), результаты местных исследований (рейтинги/аналитика/тенденции)</v>
      </c>
      <c r="R1358" s="6" t="str">
        <f>IFERROR(__xludf.DUMMYFUNCTION("""COMPUTED_VALUE"""),"День города")</f>
        <v>День города</v>
      </c>
      <c r="S1358" s="6" t="str">
        <f>IFERROR(__xludf.DUMMYFUNCTION("""COMPUTED_VALUE"""),"Нет, не приходилось")</f>
        <v>Нет, не приходилось</v>
      </c>
      <c r="T1358" s="6" t="str">
        <f>IFERROR(__xludf.DUMMYFUNCTION("""COMPUTED_VALUE"""),"Зимняя вишня сгорела, а также что это шахтерский край")</f>
        <v>Зимняя вишня сгорела, а также что это шахтерский край</v>
      </c>
      <c r="U1358" s="6" t="str">
        <f>IFERROR(__xludf.DUMMYFUNCTION("""COMPUTED_VALUE"""),"Пл. Советов")</f>
        <v>Пл. Советов</v>
      </c>
      <c r="V1358" s="6" t="str">
        <f>IFERROR(__xludf.DUMMYFUNCTION("""COMPUTED_VALUE"""),"-")</f>
        <v>-</v>
      </c>
      <c r="W1358" s="6" t="str">
        <f>IFERROR(__xludf.DUMMYFUNCTION("""COMPUTED_VALUE"""),"Злые недружелюбные люди, с отсутствием критического мышления")</f>
        <v>Злые недружелюбные люди, с отсутствием критического мышления</v>
      </c>
      <c r="X1358" s="6" t="str">
        <f>IFERROR(__xludf.DUMMYFUNCTION("""COMPUTED_VALUE"""),"-")</f>
        <v>-</v>
      </c>
      <c r="Y1358" s="6" t="str">
        <f>IFERROR(__xludf.DUMMYFUNCTION("""COMPUTED_VALUE"""),"Его основание")</f>
        <v>Его основание</v>
      </c>
      <c r="Z1358" s="6" t="str">
        <f>IFERROR(__xludf.DUMMYFUNCTION("""COMPUTED_VALUE"""),"-")</f>
        <v>-</v>
      </c>
      <c r="AA1358" s="6" t="str">
        <f>IFERROR(__xludf.DUMMYFUNCTION("""COMPUTED_VALUE"""),"Требование губернатора надевать маску")</f>
        <v>Требование губернатора надевать маску</v>
      </c>
      <c r="AB1358" s="6" t="str">
        <f>IFERROR(__xludf.DUMMYFUNCTION("""COMPUTED_VALUE"""),"Больше сообществ анимешников")</f>
        <v>Больше сообществ анимешников</v>
      </c>
      <c r="AC1358" s="6" t="str">
        <f>IFERROR(__xludf.DUMMYFUNCTION("""COMPUTED_VALUE"""),"Сходки анимешников")</f>
        <v>Сходки анимешников</v>
      </c>
      <c r="AD135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58" s="6" t="str">
        <f>IFERROR(__xludf.DUMMYFUNCTION("""COMPUTED_VALUE"""),"Мужской")</f>
        <v>Мужской</v>
      </c>
      <c r="AF1358" s="6" t="str">
        <f>IFERROR(__xludf.DUMMYFUNCTION("""COMPUTED_VALUE"""),"18-29")</f>
        <v>18-29</v>
      </c>
      <c r="AG1358" s="6"/>
      <c r="AH1358" s="6"/>
      <c r="AI1358" s="6"/>
      <c r="AJ1358" s="6"/>
      <c r="AK1358" s="6"/>
      <c r="AL1358" s="6"/>
      <c r="AM1358" s="6"/>
    </row>
    <row r="1359">
      <c r="A1359" s="6">
        <v>1358.0</v>
      </c>
      <c r="B1359" s="6" t="str">
        <f>IFERROR(__xludf.DUMMYFUNCTION("""COMPUTED_VALUE"""),"Реклама")</f>
        <v>Реклама</v>
      </c>
      <c r="C1359" s="6" t="str">
        <f>IFERROR(__xludf.DUMMYFUNCTION("""COMPUTED_VALUE"""),"Ребенок, кино")</f>
        <v>Ребенок, кино</v>
      </c>
      <c r="D1359" s="6" t="str">
        <f>IFERROR(__xludf.DUMMYFUNCTION("""COMPUTED_VALUE"""),"Рудничный")</f>
        <v>Рудничный</v>
      </c>
      <c r="E1359" s="6" t="str">
        <f>IFERROR(__xludf.DUMMYFUNCTION("""COMPUTED_VALUE"""),"Бор")</f>
        <v>Бор</v>
      </c>
      <c r="F1359" s="6" t="str">
        <f>IFERROR(__xludf.DUMMYFUNCTION("""COMPUTED_VALUE"""),"Живу здесь с рождения")</f>
        <v>Живу здесь с рождения</v>
      </c>
      <c r="G1359" s="6" t="str">
        <f>IFERROR(__xludf.DUMMYFUNCTION("""COMPUTED_VALUE"""),"Детские площадки, кино, парки")</f>
        <v>Детские площадки, кино, парки</v>
      </c>
      <c r="H1359" s="6" t="str">
        <f>IFERROR(__xludf.DUMMYFUNCTION("""COMPUTED_VALUE"""),"Скука, грязный воздух, дорогие продукты, родина")</f>
        <v>Скука, грязный воздух, дорогие продукты, родина</v>
      </c>
      <c r="I1359" s="6" t="str">
        <f>IFERROR(__xludf.DUMMYFUNCTION("""COMPUTED_VALUE"""),"Олег Кошевой")</f>
        <v>Олег Кошевой</v>
      </c>
      <c r="J1359" s="6" t="str">
        <f>IFERROR(__xludf.DUMMYFUNCTION("""COMPUTED_VALUE"""),"Не знаю ")</f>
        <v>Не знаю </v>
      </c>
      <c r="K1359" s="6" t="str">
        <f>IFERROR(__xludf.DUMMYFUNCTION("""COMPUTED_VALUE"""),"Томская писаница, памятник Шахтеру ")</f>
        <v>Томская писаница, памятник Шахтеру </v>
      </c>
      <c r="L1359" s="6" t="str">
        <f>IFERROR(__xludf.DUMMYFUNCTION("""COMPUTED_VALUE"""),"Не знаю")</f>
        <v>Не знаю</v>
      </c>
      <c r="M1359" s="6" t="str">
        <f>IFERROR(__xludf.DUMMYFUNCTION("""COMPUTED_VALUE"""),"Нет")</f>
        <v>Нет</v>
      </c>
      <c r="N1359" s="6" t="str">
        <f>IFERROR(__xludf.DUMMYFUNCTION("""COMPUTED_VALUE"""),"Природа, аквапарк,свежий воздух, работа ")</f>
        <v>Природа, аквапарк,свежий воздух, работа </v>
      </c>
      <c r="O1359" s="6" t="str">
        <f>IFERROR(__xludf.DUMMYFUNCTION("""COMPUTED_VALUE"""),"Экологию ")</f>
        <v>Экологию </v>
      </c>
      <c r="P1359" s="6" t="str">
        <f>IFERROR(__xludf.DUMMYFUNCTION("""COMPUTED_VALUE"""),"Фея скидок ")</f>
        <v>Фея скидок </v>
      </c>
      <c r="Q1359"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359" s="6" t="str">
        <f>IFERROR(__xludf.DUMMYFUNCTION("""COMPUTED_VALUE"""),"9 мая ")</f>
        <v>9 мая </v>
      </c>
      <c r="S1359"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Да")</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Да</v>
      </c>
      <c r="T1359" s="6" t="str">
        <f>IFERROR(__xludf.DUMMYFUNCTION("""COMPUTED_VALUE"""),"Что регион богатый, а денег в нем нет")</f>
        <v>Что регион богатый, а денег в нем нет</v>
      </c>
      <c r="U1359" s="6" t="str">
        <f>IFERROR(__xludf.DUMMYFUNCTION("""COMPUTED_VALUE"""),"Площадь Советов ")</f>
        <v>Площадь Советов </v>
      </c>
      <c r="V1359" s="6" t="str">
        <f>IFERROR(__xludf.DUMMYFUNCTION("""COMPUTED_VALUE"""),"Не уезжали)))")</f>
        <v>Не уезжали)))</v>
      </c>
      <c r="W1359" s="6" t="str">
        <f>IFERROR(__xludf.DUMMYFUNCTION("""COMPUTED_VALUE"""),"Разные ")</f>
        <v>Разные </v>
      </c>
      <c r="X1359" s="6" t="str">
        <f>IFERROR(__xludf.DUMMYFUNCTION("""COMPUTED_VALUE"""),"Центр , памятник Шахтеру , писаница ")</f>
        <v>Центр , памятник Шахтеру , писаница </v>
      </c>
      <c r="Y1359" s="6" t="str">
        <f>IFERROR(__xludf.DUMMYFUNCTION("""COMPUTED_VALUE"""),"Не знаю ")</f>
        <v>Не знаю </v>
      </c>
      <c r="Z1359" s="6" t="str">
        <f>IFERROR(__xludf.DUMMYFUNCTION("""COMPUTED_VALUE"""),"Ёлка за 18 млн))))")</f>
        <v>Ёлка за 18 млн))))</v>
      </c>
      <c r="AA1359" s="6" t="str">
        <f>IFERROR(__xludf.DUMMYFUNCTION("""COMPUTED_VALUE"""),"Зимняя Вишня ")</f>
        <v>Зимняя Вишня </v>
      </c>
      <c r="AB1359" s="6" t="str">
        <f>IFERROR(__xludf.DUMMYFUNCTION("""COMPUTED_VALUE"""),"Не знаю ")</f>
        <v>Не знаю </v>
      </c>
      <c r="AC1359" s="6" t="str">
        <f>IFERROR(__xludf.DUMMYFUNCTION("""COMPUTED_VALUE"""),"Концерты на набережной, аниматоры")</f>
        <v>Концерты на набережной, аниматоры</v>
      </c>
      <c r="AD135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359" s="6" t="str">
        <f>IFERROR(__xludf.DUMMYFUNCTION("""COMPUTED_VALUE"""),"Женский")</f>
        <v>Женский</v>
      </c>
      <c r="AF1359" s="6" t="str">
        <f>IFERROR(__xludf.DUMMYFUNCTION("""COMPUTED_VALUE"""),"30-44")</f>
        <v>30-44</v>
      </c>
      <c r="AG1359" s="6"/>
      <c r="AH1359" s="6"/>
      <c r="AI1359" s="6"/>
      <c r="AJ1359" s="6"/>
      <c r="AK1359" s="6"/>
      <c r="AL1359" s="6"/>
      <c r="AM1359" s="6"/>
    </row>
    <row r="1360">
      <c r="A1360" s="6">
        <v>1359.0</v>
      </c>
      <c r="B1360" s="6" t="str">
        <f>IFERROR(__xludf.DUMMYFUNCTION("""COMPUTED_VALUE"""),"менеджер")</f>
        <v>менеджер</v>
      </c>
      <c r="C1360" s="6" t="str">
        <f>IFERROR(__xludf.DUMMYFUNCTION("""COMPUTED_VALUE"""),"Кондитер")</f>
        <v>Кондитер</v>
      </c>
      <c r="D1360" s="6" t="str">
        <f>IFERROR(__xludf.DUMMYFUNCTION("""COMPUTED_VALUE"""),"ленинский ")</f>
        <v>ленинский </v>
      </c>
      <c r="E1360" s="6" t="str">
        <f>IFERROR(__xludf.DUMMYFUNCTION("""COMPUTED_VALUE"""),"СК Кузбасс, б-р Строителей центр")</f>
        <v>СК Кузбасс, б-р Строителей центр</v>
      </c>
      <c r="F1360" s="6" t="str">
        <f>IFERROR(__xludf.DUMMYFUNCTION("""COMPUTED_VALUE"""),"Переехал сюда из другого места (откуда? укажите в графе другое), из междуреченска , по учебе 12 лет назад")</f>
        <v>Переехал сюда из другого места (откуда? укажите в графе другое), из междуреченска , по учебе 12 лет назад</v>
      </c>
      <c r="G1360" s="6" t="str">
        <f>IFERROR(__xludf.DUMMYFUNCTION("""COMPUTED_VALUE"""),"набережная, бульвар строителей, парк Кузбасский, елыкаевская слобода ")</f>
        <v>набережная, бульвар строителей, парк Кузбасский, елыкаевская слобода </v>
      </c>
      <c r="H1360" s="6" t="str">
        <f>IFERROR(__xludf.DUMMYFUNCTION("""COMPUTED_VALUE"""),"Шахта,азот, вишня,пробки, загазованность")</f>
        <v>Шахта,азот, вишня,пробки, загазованность</v>
      </c>
      <c r="I1360" s="6" t="str">
        <f>IFERROR(__xludf.DUMMYFUNCTION("""COMPUTED_VALUE"""),"Леонов, Михайло Волков, Аман Тулеев")</f>
        <v>Леонов, Михайло Волков, Аман Тулеев</v>
      </c>
      <c r="J1360" s="6" t="str">
        <f>IFERROR(__xludf.DUMMYFUNCTION("""COMPUTED_VALUE"""),"Середюк до прихода Цивилева")</f>
        <v>Середюк до прихода Цивилева</v>
      </c>
      <c r="K1360" s="6" t="str">
        <f>IFERROR(__xludf.DUMMYFUNCTION("""COMPUTED_VALUE"""),"Набережная, надпись Кузбасс, Красная горка")</f>
        <v>Набережная, надпись Кузбасс, Красная горка</v>
      </c>
      <c r="L1360" s="6" t="str">
        <f>IFERROR(__xludf.DUMMYFUNCTION("""COMPUTED_VALUE"""),"Ну, Вот и всё, я больше не буду прежним,
Ну, Вот и всё, и все разлетелись надежды.
Как бы я хотел вас всех обнять
И просто о многом молчать.
И ""Зимняя вишня"" уже не горит, —
Кричала несчастная мать!
И сердце уже не будет стучать, как всегда.
И встали "&amp;"часы, и будут длиннее года.
Вы — Ангелы наши, мы будем молиться за вас
Каждую секунду и час.")</f>
        <v>Ну, Вот и всё, я больше не буду прежним,
Ну, Вот и всё, и все разлетелись надежды.
Как бы я хотел вас всех обнять
И просто о многом молчать.
И "Зимняя вишня" уже не горит, —
Кричала несчастная мать!
И сердце уже не будет стучать, как всегда.
И встали часы, и будут длиннее года.
Вы — Ангелы наши, мы будем молиться за вас
Каждую секунду и час.</v>
      </c>
      <c r="M1360" s="6" t="str">
        <f>IFERROR(__xludf.DUMMYFUNCTION("""COMPUTED_VALUE"""),"мультифора")</f>
        <v>мультифора</v>
      </c>
      <c r="N1360" s="6" t="str">
        <f>IFERROR(__xludf.DUMMYFUNCTION("""COMPUTED_VALUE"""),"отсутствие пробок, чистый воздух, своевременная уборка снега, детские площадки, площадки для выгула собак")</f>
        <v>отсутствие пробок, чистый воздух, своевременная уборка снега, детские площадки, площадки для выгула собак</v>
      </c>
      <c r="O1360" s="6" t="str">
        <f>IFERROR(__xludf.DUMMYFUNCTION("""COMPUTED_VALUE"""),"очистить воздух")</f>
        <v>очистить воздух</v>
      </c>
      <c r="P1360" s="6" t="str">
        <f>IFERROR(__xludf.DUMMYFUNCTION("""COMPUTED_VALUE"""),"инстаграм")</f>
        <v>инстаграм</v>
      </c>
      <c r="Q1360" s="6" t="str">
        <f>IFERROR(__xludf.DUMMYFUNCTION("""COMPUTED_VALUE"""),"куда пойти в свободное время, где вкусно поесть/открытие новых кафе/ресторанов, бизнес-новости (средний чек/рекламные акции/запуск новых предприятий)")</f>
        <v>куда пойти в свободное время, где вкусно поесть/открытие новых кафе/ресторанов, бизнес-новости (средний чек/рекламные акции/запуск новых предприятий)</v>
      </c>
      <c r="R1360" s="6" t="str">
        <f>IFERROR(__xludf.DUMMYFUNCTION("""COMPUTED_VALUE"""),"9 мая, день шахтера")</f>
        <v>9 мая, день шахтера</v>
      </c>
      <c r="S1360" s="6" t="str">
        <f>IFERROR(__xludf.DUMMYFUNCTION("""COMPUTED_VALUE"""),"Нет, не приходилось")</f>
        <v>Нет, не приходилось</v>
      </c>
      <c r="T1360" s="6" t="str">
        <f>IFERROR(__xludf.DUMMYFUNCTION("""COMPUTED_VALUE"""),"Томская Писаница, Красная горка")</f>
        <v>Томская Писаница, Красная горка</v>
      </c>
      <c r="U1360" s="6" t="str">
        <f>IFERROR(__xludf.DUMMYFUNCTION("""COMPUTED_VALUE"""),"набережная")</f>
        <v>набережная</v>
      </c>
      <c r="V1360" s="6" t="str">
        <f>IFERROR(__xludf.DUMMYFUNCTION("""COMPUTED_VALUE"""),"откопали рудники")</f>
        <v>откопали рудники</v>
      </c>
      <c r="W1360" s="6" t="str">
        <f>IFERROR(__xludf.DUMMYFUNCTION("""COMPUTED_VALUE"""),"закрытые,злые, не доверяют друг другу")</f>
        <v>закрытые,злые, не доверяют друг другу</v>
      </c>
      <c r="X1360" s="6" t="str">
        <f>IFERROR(__xludf.DUMMYFUNCTION("""COMPUTED_VALUE"""),"набережная, парк ангелов")</f>
        <v>набережная, парк ангелов</v>
      </c>
      <c r="Y1360" s="6" t="str">
        <f>IFERROR(__xludf.DUMMYFUNCTION("""COMPUTED_VALUE"""),"зимняя вишня")</f>
        <v>зимняя вишня</v>
      </c>
      <c r="Z1360" s="6" t="str">
        <f>IFERROR(__xludf.DUMMYFUNCTION("""COMPUTED_VALUE"""),"международные соревнования")</f>
        <v>международные соревнования</v>
      </c>
      <c r="AA1360" s="6" t="str">
        <f>IFERROR(__xludf.DUMMYFUNCTION("""COMPUTED_VALUE"""),"Вишня,разрушение дорог, подтопление  ")</f>
        <v>Вишня,разрушение дорог, подтопление  </v>
      </c>
      <c r="AB1360" s="6" t="str">
        <f>IFERROR(__xludf.DUMMYFUNCTION("""COMPUTED_VALUE"""),"детских бесплатных секций, площадок ")</f>
        <v>детских бесплатных секций, площадок </v>
      </c>
      <c r="AC1360" s="6" t="str">
        <f>IFERROR(__xludf.DUMMYFUNCTION("""COMPUTED_VALUE"""),"аквапарк, турслеты , спортивные мероприятия ")</f>
        <v>аквапарк, турслеты , спортивные мероприятия </v>
      </c>
      <c r="AD1360"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60" s="6" t="str">
        <f>IFERROR(__xludf.DUMMYFUNCTION("""COMPUTED_VALUE"""),"Женский")</f>
        <v>Женский</v>
      </c>
      <c r="AF1360" s="6" t="str">
        <f>IFERROR(__xludf.DUMMYFUNCTION("""COMPUTED_VALUE"""),"18-29")</f>
        <v>18-29</v>
      </c>
      <c r="AG1360" s="6"/>
      <c r="AH1360" s="6"/>
      <c r="AI1360" s="6"/>
      <c r="AJ1360" s="6"/>
      <c r="AK1360" s="6"/>
      <c r="AL1360" s="6"/>
      <c r="AM1360" s="6"/>
    </row>
    <row r="1361">
      <c r="A1361" s="6">
        <v>1360.0</v>
      </c>
      <c r="B1361" s="6" t="str">
        <f>IFERROR(__xludf.DUMMYFUNCTION("""COMPUTED_VALUE"""),"Мастер ногтевого сервиса ")</f>
        <v>Мастер ногтевого сервиса </v>
      </c>
      <c r="C1361" s="6" t="str">
        <f>IFERROR(__xludf.DUMMYFUNCTION("""COMPUTED_VALUE"""),"Моя работа")</f>
        <v>Моя работа</v>
      </c>
      <c r="D1361" s="6" t="str">
        <f>IFERROR(__xludf.DUMMYFUNCTION("""COMPUTED_VALUE"""),"Центральный ")</f>
        <v>Центральный </v>
      </c>
      <c r="E1361" s="6" t="str">
        <f>IFERROR(__xludf.DUMMYFUNCTION("""COMPUTED_VALUE"""),"Парк ангелов, парк Жукова, Антошка, булочная # 1, фонтан ⛲️, набережная реки Томь.")</f>
        <v>Парк ангелов, парк Жукова, Антошка, булочная # 1, фонтан ⛲️, набережная реки Томь.</v>
      </c>
      <c r="F1361" s="6" t="str">
        <f>IFERROR(__xludf.DUMMYFUNCTION("""COMPUTED_VALUE"""),"Живу здесь с рождения")</f>
        <v>Живу здесь с рождения</v>
      </c>
      <c r="G1361" s="6" t="str">
        <f>IFERROR(__xludf.DUMMYFUNCTION("""COMPUTED_VALUE"""),"В указанные места в пункте 4.")</f>
        <v>В указанные места в пункте 4.</v>
      </c>
      <c r="H1361" s="6" t="str">
        <f>IFERROR(__xludf.DUMMYFUNCTION("""COMPUTED_VALUE"""),"Угольный бассейн, плохая экология, застойный провинциальный городок, родные места, дом- семья- родные.")</f>
        <v>Угольный бассейн, плохая экология, застойный провинциальный городок, родные места, дом- семья- родные.</v>
      </c>
      <c r="I1361" s="6" t="str">
        <f>IFERROR(__xludf.DUMMYFUNCTION("""COMPUTED_VALUE"""),"Их очень много, по именам не помню")</f>
        <v>Их очень много, по именам не помню</v>
      </c>
      <c r="J1361" s="6" t="str">
        <f>IFERROR(__xludf.DUMMYFUNCTION("""COMPUTED_VALUE"""),"А.Леонов, А. Тулеев, ")</f>
        <v>А.Леонов, А. Тулеев, </v>
      </c>
      <c r="K1361" s="6" t="str">
        <f>IFERROR(__xludf.DUMMYFUNCTION("""COMPUTED_VALUE"""),"⛲️ Фонтан и драмтеатр, филармония, площадь советов, Томская писаница, санаторий кедровый бор, улица Весенняя и набережная, Парки: чудес, Жукова, ангелов, антошка, бульвар строителей.")</f>
        <v>⛲️ Фонтан и драмтеатр, филармония, площадь советов, Томская писаница, санаторий кедровый бор, улица Весенняя и набережная, Парки: чудес, Жукова, ангелов, антошка, бульвар строителей.</v>
      </c>
      <c r="L1361" s="6" t="str">
        <f>IFERROR(__xludf.DUMMYFUNCTION("""COMPUTED_VALUE"""),"Не знаю таких ")</f>
        <v>Не знаю таких </v>
      </c>
      <c r="M1361" s="6" t="str">
        <f>IFERROR(__xludf.DUMMYFUNCTION("""COMPUTED_VALUE"""),"Язык ничем не отличается от федерального ")</f>
        <v>Язык ничем не отличается от федерального </v>
      </c>
      <c r="N1361" s="6" t="str">
        <f>IFERROR(__xludf.DUMMYFUNCTION("""COMPUTED_VALUE"""),"Чистые ровные дороги, развитая инфраструктура в шаговой доступности, возможность достойного заработка, низкий уровень преступности, доступность образования, медицины, достойные соц. гарантии")</f>
        <v>Чистые ровные дороги, развитая инфраструктура в шаговой доступности, возможность достойного заработка, низкий уровень преступности, доступность образования, медицины, достойные соц. гарантии</v>
      </c>
      <c r="O1361" s="6" t="str">
        <f>IFERROR(__xludf.DUMMYFUNCTION("""COMPUTED_VALUE"""),"Экология")</f>
        <v>Экология</v>
      </c>
      <c r="P1361" s="6" t="str">
        <f>IFERROR(__xludf.DUMMYFUNCTION("""COMPUTED_VALUE"""),"Друзья, тв, интернет( тик ток)")</f>
        <v>Друзья, тв, интернет( тик ток)</v>
      </c>
      <c r="Q1361" s="6" t="str">
        <f>IFERROR(__xludf.DUMMYFUNCTION("""COMPUTED_VALUE"""),"куда пойти в свободное время, новости про новые профессии/куда поступать/вакансии, интервью с экспертами на разные темы (напишите в разделе Другое свои предложения)")</f>
        <v>куда пойти в свободное время, новости про новые профессии/куда поступать/вакансии, интервью с экспертами на разные темы (напишите в разделе Другое свои предложения)</v>
      </c>
      <c r="R1361" s="6" t="str">
        <f>IFERROR(__xludf.DUMMYFUNCTION("""COMPUTED_VALUE"""),"День города, 8 мая, новый год ")</f>
        <v>День города, 8 мая, новый год </v>
      </c>
      <c r="S1361" s="6" t="str">
        <f>IFERROR(__xludf.DUMMYFUNCTION("""COMPUTED_VALUE"""),"Нет, не приходилось")</f>
        <v>Нет, не приходилось</v>
      </c>
      <c r="T1361" s="6" t="str">
        <f>IFERROR(__xludf.DUMMYFUNCTION("""COMPUTED_VALUE"""),"Михайло Волковым и угольной отраслью. Ничего уникального не вижу. ")</f>
        <v>Михайло Волковым и угольной отраслью. Ничего уникального не вижу. </v>
      </c>
      <c r="U1361" s="6" t="str">
        <f>IFERROR(__xludf.DUMMYFUNCTION("""COMPUTED_VALUE"""),"Улица весенняя, набережная, фонтан у драмтеатра ")</f>
        <v>Улица весенняя, набережная, фонтан у драмтеатра </v>
      </c>
      <c r="V1361" s="6" t="str">
        <f>IFERROR(__xludf.DUMMYFUNCTION("""COMPUTED_VALUE"""),"Внесли свой посильный вклад")</f>
        <v>Внесли свой посильный вклад</v>
      </c>
      <c r="W1361" s="6" t="str">
        <f>IFERROR(__xludf.DUMMYFUNCTION("""COMPUTED_VALUE"""),"Агрессивные, недружелюбные, разные.")</f>
        <v>Агрессивные, недружелюбные, разные.</v>
      </c>
      <c r="X1361" s="6" t="str">
        <f>IFERROR(__xludf.DUMMYFUNCTION("""COMPUTED_VALUE"""),"Парк ангелов, ул. весенняя в августе")</f>
        <v>Парк ангелов, ул. весенняя в августе</v>
      </c>
      <c r="Y1361" s="6" t="str">
        <f>IFERROR(__xludf.DUMMYFUNCTION("""COMPUTED_VALUE"""),"Открытие угольного месторождения ")</f>
        <v>Открытие угольного месторождения </v>
      </c>
      <c r="Z1361" s="6" t="str">
        <f>IFERROR(__xludf.DUMMYFUNCTION("""COMPUTED_VALUE"""),"Городские салюты")</f>
        <v>Городские салюты</v>
      </c>
      <c r="AA1361" s="6" t="str">
        <f>IFERROR(__xludf.DUMMYFUNCTION("""COMPUTED_VALUE"""),"Запрет на митинг против властей, унизительных форм существования и недостойной оплаты труда.")</f>
        <v>Запрет на митинг против властей, унизительных форм существования и недостойной оплаты труда.</v>
      </c>
      <c r="AB1361" s="6" t="str">
        <f>IFERROR(__xludf.DUMMYFUNCTION("""COMPUTED_VALUE"""),"СИЛЬНЫХ профсоюзов ")</f>
        <v>СИЛЬНЫХ профсоюзов </v>
      </c>
      <c r="AC1361" s="6" t="str">
        <f>IFERROR(__xludf.DUMMYFUNCTION("""COMPUTED_VALUE"""),"Налаживание собственного производства и открытие новых рабочих мест.")</f>
        <v>Налаживание собственного производства и открытие новых рабочих мест.</v>
      </c>
      <c r="AD1361" s="6" t="str">
        <f>IFERROR(__xludf.DUMMYFUNCTION("""COMPUTED_VALUE"""),"Участника: Поучаствовать в обсуждении улучшений, собраниях горожан;, Не готов принимать личное участие (укажите, пожалуйста, причину в поле «Другое»), Это работа местных властей, они за это получают деньги. А не обычных простых людей.")</f>
        <v>Участника: Поучаствовать в обсуждении улучшений, собраниях горожан;, Не готов принимать личное участие (укажите, пожалуйста, причину в поле «Другое»), Это работа местных властей, они за это получают деньги. А не обычных простых людей.</v>
      </c>
      <c r="AE1361" s="6" t="str">
        <f>IFERROR(__xludf.DUMMYFUNCTION("""COMPUTED_VALUE"""),"Женский")</f>
        <v>Женский</v>
      </c>
      <c r="AF1361" s="6" t="str">
        <f>IFERROR(__xludf.DUMMYFUNCTION("""COMPUTED_VALUE"""),"30-44")</f>
        <v>30-44</v>
      </c>
      <c r="AG1361" s="6"/>
      <c r="AH1361" s="6"/>
      <c r="AI1361" s="6"/>
      <c r="AJ1361" s="6"/>
      <c r="AK1361" s="6"/>
      <c r="AL1361" s="6"/>
      <c r="AM1361" s="6"/>
    </row>
    <row r="1362">
      <c r="A1362" s="6">
        <v>1361.0</v>
      </c>
      <c r="B1362" s="6" t="str">
        <f>IFERROR(__xludf.DUMMYFUNCTION("""COMPUTED_VALUE"""),"Учусь ")</f>
        <v>Учусь </v>
      </c>
      <c r="C1362" s="6" t="str">
        <f>IFERROR(__xludf.DUMMYFUNCTION("""COMPUTED_VALUE"""),"Пение")</f>
        <v>Пение</v>
      </c>
      <c r="D1362" s="6" t="str">
        <f>IFERROR(__xludf.DUMMYFUNCTION("""COMPUTED_VALUE"""),"Заводской район, ягуновка")</f>
        <v>Заводской район, ягуновка</v>
      </c>
      <c r="E1362" s="6" t="str">
        <f>IFERROR(__xludf.DUMMYFUNCTION("""COMPUTED_VALUE"""),"парк, стадион ")</f>
        <v>парк, стадион </v>
      </c>
      <c r="F1362" s="6" t="str">
        <f>IFERROR(__xludf.DUMMYFUNCTION("""COMPUTED_VALUE"""),"Живу здесь с рождения")</f>
        <v>Живу здесь с рождения</v>
      </c>
      <c r="G1362" s="6" t="str">
        <f>IFERROR(__xludf.DUMMYFUNCTION("""COMPUTED_VALUE"""),"центр города, набережная")</f>
        <v>центр города, набережная</v>
      </c>
      <c r="H1362" s="6" t="str">
        <f>IFERROR(__xludf.DUMMYFUNCTION("""COMPUTED_VALUE"""),"маленький, грязный, хмурый, родной, спокойный ")</f>
        <v>маленький, грязный, хмурый, родной, спокойный </v>
      </c>
      <c r="I1362" s="6" t="str">
        <f>IFERROR(__xludf.DUMMYFUNCTION("""COMPUTED_VALUE"""),"Михайло Волков")</f>
        <v>Михайло Волков</v>
      </c>
      <c r="J1362" s="6" t="str">
        <f>IFERROR(__xludf.DUMMYFUNCTION("""COMPUTED_VALUE"""),"затрудняюсь ответить ")</f>
        <v>затрудняюсь ответить </v>
      </c>
      <c r="K1362" s="6" t="str">
        <f>IFERROR(__xludf.DUMMYFUNCTION("""COMPUTED_VALUE"""),"вечный огонь ")</f>
        <v>вечный огонь </v>
      </c>
      <c r="L1362" s="6" t="str">
        <f>IFERROR(__xludf.DUMMYFUNCTION("""COMPUTED_VALUE"""),"не знаю ")</f>
        <v>не знаю </v>
      </c>
      <c r="M1362" s="6" t="str">
        <f>IFERROR(__xludf.DUMMYFUNCTION("""COMPUTED_VALUE"""),"«маленечко», люди с близ сталичный городов так не говорят, говорят «маленько»")</f>
        <v>«маленечко», люди с близ сталичный городов так не говорят, говорят «маленько»</v>
      </c>
      <c r="N1362" s="6" t="str">
        <f>IFERROR(__xludf.DUMMYFUNCTION("""COMPUTED_VALUE"""),"чистый, уютный, современный, надежный ")</f>
        <v>чистый, уютный, современный, надежный </v>
      </c>
      <c r="O1362" s="6" t="str">
        <f>IFERROR(__xludf.DUMMYFUNCTION("""COMPUTED_VALUE"""),"снести аварийный здания (Каркасная улица в кировском, обещают уже порядка 10-15 лет)")</f>
        <v>снести аварийный здания (Каркасная улица в кировском, обещают уже порядка 10-15 лет)</v>
      </c>
      <c r="P1362" s="6" t="str">
        <f>IFERROR(__xludf.DUMMYFUNCTION("""COMPUTED_VALUE"""),"паблики в соц. сетях")</f>
        <v>паблики в соц. сетях</v>
      </c>
      <c r="Q1362"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v>
      </c>
      <c r="R1362" s="6" t="str">
        <f>IFERROR(__xludf.DUMMYFUNCTION("""COMPUTED_VALUE"""),"день города, Ивана купала")</f>
        <v>день города, Ивана купала</v>
      </c>
      <c r="S1362" s="6" t="str">
        <f>IFERROR(__xludf.DUMMYFUNCTION("""COMPUTED_VALUE"""),"Нет, не приходилось")</f>
        <v>Нет, не приходилось</v>
      </c>
      <c r="T1362" s="6" t="str">
        <f>IFERROR(__xludf.DUMMYFUNCTION("""COMPUTED_VALUE"""),"знаменит добычей угля")</f>
        <v>знаменит добычей угля</v>
      </c>
      <c r="U1362" s="6" t="str">
        <f>IFERROR(__xludf.DUMMYFUNCTION("""COMPUTED_VALUE"""),"парк чудес ")</f>
        <v>парк чудес </v>
      </c>
      <c r="V1362" s="6" t="str">
        <f>IFERROR(__xludf.DUMMYFUNCTION("""COMPUTED_VALUE"""),"начали работать над его усовершенствованием ")</f>
        <v>начали работать над его усовершенствованием </v>
      </c>
      <c r="W1362" s="6" t="str">
        <f>IFERROR(__xludf.DUMMYFUNCTION("""COMPUTED_VALUE"""),"спокойные, добрые, простые")</f>
        <v>спокойные, добрые, простые</v>
      </c>
      <c r="X1362" s="6" t="str">
        <f>IFERROR(__xludf.DUMMYFUNCTION("""COMPUTED_VALUE"""),"центр города, парк чудес, парк ангелов, бульвар стрителей(аллея), парк Комсомольский ")</f>
        <v>центр города, парк чудес, парк ангелов, бульвар стрителей(аллея), парк Комсомольский </v>
      </c>
      <c r="Y1362" s="6" t="str">
        <f>IFERROR(__xludf.DUMMYFUNCTION("""COMPUTED_VALUE"""),"большой концерт на день города ")</f>
        <v>большой концерт на день города </v>
      </c>
      <c r="Z1362" s="6" t="str">
        <f>IFERROR(__xludf.DUMMYFUNCTION("""COMPUTED_VALUE"""),"кино под открытым небом ")</f>
        <v>кино под открытым небом </v>
      </c>
      <c r="AA1362" s="6" t="str">
        <f>IFERROR(__xludf.DUMMYFUNCTION("""COMPUTED_VALUE"""),"ужасное состояние дорог, некультурные люди, митинг ")</f>
        <v>ужасное состояние дорог, некультурные люди, митинг </v>
      </c>
      <c r="AB1362" s="6" t="str">
        <f>IFERROR(__xludf.DUMMYFUNCTION("""COMPUTED_VALUE"""),"не интересуюсь таким ")</f>
        <v>не интересуюсь таким </v>
      </c>
      <c r="AC1362" s="6" t="str">
        <f>IFERROR(__xludf.DUMMYFUNCTION("""COMPUTED_VALUE"""),"больше открытого кино, для машин или самих людей, выставки ")</f>
        <v>больше открытого кино, для машин или самих людей, выставки </v>
      </c>
      <c r="AD136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62" s="6" t="str">
        <f>IFERROR(__xludf.DUMMYFUNCTION("""COMPUTED_VALUE"""),"Женский")</f>
        <v>Женский</v>
      </c>
      <c r="AF1362" s="6" t="str">
        <f>IFERROR(__xludf.DUMMYFUNCTION("""COMPUTED_VALUE"""),"18-29")</f>
        <v>18-29</v>
      </c>
      <c r="AG1362" s="6"/>
      <c r="AH1362" s="6"/>
      <c r="AI1362" s="6"/>
      <c r="AJ1362" s="6"/>
      <c r="AK1362" s="6"/>
      <c r="AL1362" s="6"/>
      <c r="AM1362" s="6"/>
    </row>
    <row r="1363">
      <c r="A1363" s="6">
        <v>1362.0</v>
      </c>
      <c r="B1363" s="6" t="str">
        <f>IFERROR(__xludf.DUMMYFUNCTION("""COMPUTED_VALUE"""),"Домохозяйка")</f>
        <v>Домохозяйка</v>
      </c>
      <c r="C1363" s="6" t="str">
        <f>IFERROR(__xludf.DUMMYFUNCTION("""COMPUTED_VALUE"""),"Шью вещи для себя и детей. Выращиваю цветы. ")</f>
        <v>Шью вещи для себя и детей. Выращиваю цветы. </v>
      </c>
      <c r="D1363" s="6" t="str">
        <f>IFERROR(__xludf.DUMMYFUNCTION("""COMPUTED_VALUE"""),"Центральный")</f>
        <v>Центральный</v>
      </c>
      <c r="E1363" s="6" t="str">
        <f>IFERROR(__xludf.DUMMYFUNCTION("""COMPUTED_VALUE"""),"Бульвар Строителей, Цирк,  Парк Комсомольский,  Антошка, парк Жукова,  Набережная,  Парк Чудес,  Сосновый Бор. ")</f>
        <v>Бульвар Строителей, Цирк,  Парк Комсомольский,  Антошка, парк Жукова,  Набережная,  Парк Чудес,  Сосновый Бор. </v>
      </c>
      <c r="F1363" s="6" t="str">
        <f>IFERROR(__xludf.DUMMYFUNCTION("""COMPUTED_VALUE"""),"Живу здесь с рождения")</f>
        <v>Живу здесь с рождения</v>
      </c>
      <c r="G1363" s="6" t="str">
        <f>IFERROR(__xludf.DUMMYFUNCTION("""COMPUTED_VALUE"""),"Бульвар Строителей, Цирк,  Парк Комсомольский,  Антошка, парк Жукова,  Набережная,  Парк Чудес,  Сосновый Бор. ")</f>
        <v>Бульвар Строителей, Цирк,  Парк Комсомольский,  Антошка, парк Жукова,  Набережная,  Парк Чудес,  Сосновый Бор. </v>
      </c>
      <c r="H1363" s="6" t="str">
        <f>IFERROR(__xludf.DUMMYFUNCTION("""COMPUTED_VALUE"""),"Река,  бор,  утки, салют, библиотека. ")</f>
        <v>Река,  бор,  утки, салют, библиотека. </v>
      </c>
      <c r="I1363" s="6" t="str">
        <f>IFERROR(__xludf.DUMMYFUNCTION("""COMPUTED_VALUE"""),"Леонов, Панин, Высоцкий.")</f>
        <v>Леонов, Панин, Высоцкий.</v>
      </c>
      <c r="J1363" s="6" t="str">
        <f>IFERROR(__xludf.DUMMYFUNCTION("""COMPUTED_VALUE"""),"Спасибо всем, кто обновляет парки, строит новые места отдыха,  улучшает внешний вид города. 
Спасибо всем тренерам,  учителям,  врачам,  врспитателям,  и т. д.  кто занимается и помогает детям. 
")</f>
        <v>Спасибо всем, кто обновляет парки, строит новые места отдыха,  улучшает внешний вид города. 
Спасибо всем тренерам,  учителям,  врачам,  врспитателям,  и т. д.  кто занимается и помогает детям. 
</v>
      </c>
      <c r="K1363" s="6" t="str">
        <f>IFERROR(__xludf.DUMMYFUNCTION("""COMPUTED_VALUE"""),"Сосновый бор, Антошка,  Парк Жукова")</f>
        <v>Сосновый бор, Антошка,  Парк Жукова</v>
      </c>
      <c r="L1363" s="6" t="str">
        <f>IFERROR(__xludf.DUMMYFUNCTION("""COMPUTED_VALUE"""),"По Томи сплавлялся Ермак, покоритель Сибири. ")</f>
        <v>По Томи сплавлялся Ермак, покоритель Сибири. </v>
      </c>
      <c r="M1363" s="6" t="str">
        <f>IFERROR(__xludf.DUMMYFUNCTION("""COMPUTED_VALUE"""),"Жар костей не ломит. ")</f>
        <v>Жар костей не ломит. </v>
      </c>
      <c r="N1363" s="6" t="str">
        <f>IFERROR(__xludf.DUMMYFUNCTION("""COMPUTED_VALUE""")," Свежий воздух,  наличие секций для детей,  доброта горожан, образование детей, доступная медицина. ")</f>
        <v> Свежий воздух,  наличие секций для детей,  доброта горожан, образование детей, доступная медицина. </v>
      </c>
      <c r="O1363" s="6" t="str">
        <f>IFERROR(__xludf.DUMMYFUNCTION("""COMPUTED_VALUE"""),"Проложить 4 тропинки и сделать детскую площадку и футбольную коробку во дворе дома по ул.  Спортивная 20 А. 
Или хорошо бы сделать беговую дорожку внутри двора. 
")</f>
        <v>Проложить 4 тропинки и сделать детскую площадку и футбольную коробку во дворе дома по ул.  Спортивная 20 А. 
Или хорошо бы сделать беговую дорожку внутри двора. 
</v>
      </c>
      <c r="P1363" s="6" t="str">
        <f>IFERROR(__xludf.DUMMYFUNCTION("""COMPUTED_VALUE"""),"Через гугл. ")</f>
        <v>Через гугл. </v>
      </c>
      <c r="Q1363" s="6" t="str">
        <f>IFERROR(__xludf.DUMMYFUNCTION("""COMPUTED_VALUE"""),"Хорошо если бы были мероприятия для участия в них детей. Например бег,  велозабег,  пионербол на свежем воздухе. ")</f>
        <v>Хорошо если бы были мероприятия для участия в них детей. Например бег,  велозабег,  пионербол на свежем воздухе. </v>
      </c>
      <c r="R1363" s="6" t="str">
        <f>IFERROR(__xludf.DUMMYFUNCTION("""COMPUTED_VALUE"""),"Новый год,  Масленица,  День города и День шахтера. ")</f>
        <v>Новый год,  Масленица,  День города и День шахтера. </v>
      </c>
      <c r="S1363" s="6" t="str">
        <f>IFERROR(__xludf.DUMMYFUNCTION("""COMPUTED_VALUE"""),"Нет, не приходилось")</f>
        <v>Нет, не приходилось</v>
      </c>
      <c r="T1363" s="6" t="str">
        <f>IFERROR(__xludf.DUMMYFUNCTION("""COMPUTED_VALUE"""),"Тем что здесь добывают уголь.   ")</f>
        <v>Тем что здесь добывают уголь.   </v>
      </c>
      <c r="U1363" s="6" t="str">
        <f>IFERROR(__xludf.DUMMYFUNCTION("""COMPUTED_VALUE"""),"Площадь Советов. ")</f>
        <v>Площадь Советов. </v>
      </c>
      <c r="V1363" s="6" t="str">
        <f>IFERROR(__xludf.DUMMYFUNCTION("""COMPUTED_VALUE"""),"Труженники Тыла трудились в главпочтамте, где производили пули.   Женщины работали укладчицами рельс. 
")</f>
        <v>Труженники Тыла трудились в главпочтамте, где производили пули.   Женщины работали укладчицами рельс. 
</v>
      </c>
      <c r="W1363" s="6" t="str">
        <f>IFERROR(__xludf.DUMMYFUNCTION("""COMPUTED_VALUE"""),"Выносливые.")</f>
        <v>Выносливые.</v>
      </c>
      <c r="X1363" s="6" t="str">
        <f>IFERROR(__xludf.DUMMYFUNCTION("""COMPUTED_VALUE"""),"На велосипеде от Цирка до Набережной, затем по мосту в Сосновый бор, там купить шашлычок и обратно.")</f>
        <v>На велосипеде от Цирка до Набережной, затем по мосту в Сосновый бор, там купить шашлычок и обратно.</v>
      </c>
      <c r="Y1363" s="6" t="str">
        <f>IFERROR(__xludf.DUMMYFUNCTION("""COMPUTED_VALUE"""),"Когда к Кемерову построили железную дорогу от Новокузнецка. ")</f>
        <v>Когда к Кемерову построили железную дорогу от Новокузнецка. </v>
      </c>
      <c r="Z1363" s="6" t="str">
        <f>IFERROR(__xludf.DUMMYFUNCTION("""COMPUTED_VALUE"""),"Появление парка Ангелов и фонтан.")</f>
        <v>Появление парка Ангелов и фонтан.</v>
      </c>
      <c r="AA1363" s="6" t="str">
        <f>IFERROR(__xludf.DUMMYFUNCTION("""COMPUTED_VALUE"""),"Митинг из-за пожара. Сам пожар в Зимней Вишне.")</f>
        <v>Митинг из-за пожара. Сам пожар в Зимней Вишне.</v>
      </c>
      <c r="AB1363" s="6" t="str">
        <f>IFERROR(__xludf.DUMMYFUNCTION("""COMPUTED_VALUE"""),"Женского клуба.")</f>
        <v>Женского клуба.</v>
      </c>
      <c r="AC1363" s="6" t="str">
        <f>IFERROR(__xludf.DUMMYFUNCTION("""COMPUTED_VALUE"""),"Участие детей и родителей в соревнованиях на улице. ")</f>
        <v>Участие детей и родителей в соревнованиях на улице. </v>
      </c>
      <c r="AD136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363" s="6" t="str">
        <f>IFERROR(__xludf.DUMMYFUNCTION("""COMPUTED_VALUE"""),"Женский")</f>
        <v>Женский</v>
      </c>
      <c r="AF1363" s="6" t="str">
        <f>IFERROR(__xludf.DUMMYFUNCTION("""COMPUTED_VALUE"""),"30-44")</f>
        <v>30-44</v>
      </c>
      <c r="AG1363" s="6"/>
      <c r="AH1363" s="6"/>
      <c r="AI1363" s="6"/>
      <c r="AJ1363" s="6"/>
      <c r="AK1363" s="6"/>
      <c r="AL1363" s="6"/>
      <c r="AM1363" s="6"/>
    </row>
    <row r="1364">
      <c r="A1364" s="6">
        <v>1363.0</v>
      </c>
      <c r="B1364" s="6" t="str">
        <f>IFERROR(__xludf.DUMMYFUNCTION("""COMPUTED_VALUE"""),"Программирую немного")</f>
        <v>Программирую немного</v>
      </c>
      <c r="C1364" s="6" t="str">
        <f>IFERROR(__xludf.DUMMYFUNCTION("""COMPUTED_VALUE"""),"Нет постоянного")</f>
        <v>Нет постоянного</v>
      </c>
      <c r="D1364" s="6" t="str">
        <f>IFERROR(__xludf.DUMMYFUNCTION("""COMPUTED_VALUE"""),"Заводский. Так и называю")</f>
        <v>Заводский. Так и называю</v>
      </c>
      <c r="E1364" s="6" t="str">
        <f>IFERROR(__xludf.DUMMYFUNCTION("""COMPUTED_VALUE"""),"«Швейка»")</f>
        <v>«Швейка»</v>
      </c>
      <c r="F1364" s="6" t="str">
        <f>IFERROR(__xludf.DUMMYFUNCTION("""COMPUTED_VALUE"""),"Живу здесь с рождения")</f>
        <v>Живу здесь с рождения</v>
      </c>
      <c r="G1364" s="6" t="str">
        <f>IFERROR(__xludf.DUMMYFUNCTION("""COMPUTED_VALUE"""),"В харатс")</f>
        <v>В харатс</v>
      </c>
      <c r="H1364" s="6" t="str">
        <f>IFERROR(__xludf.DUMMYFUNCTION("""COMPUTED_VALUE"""),"Набережная, крест, бульвар, кировский, шанхай")</f>
        <v>Набережная, крест, бульвар, кировский, шанхай</v>
      </c>
      <c r="I1364" s="6" t="str">
        <f>IFERROR(__xludf.DUMMYFUNCTION("""COMPUTED_VALUE"""),"Не знаю таких")</f>
        <v>Не знаю таких</v>
      </c>
      <c r="J1364" s="6" t="str">
        <f>IFERROR(__xludf.DUMMYFUNCTION("""COMPUTED_VALUE"""),"Не знаю таких")</f>
        <v>Не знаю таких</v>
      </c>
      <c r="K1364" s="6" t="str">
        <f>IFERROR(__xludf.DUMMYFUNCTION("""COMPUTED_VALUE"""),"Парк ангелов, бульвар")</f>
        <v>Парк ангелов, бульвар</v>
      </c>
      <c r="L1364" s="6" t="str">
        <f>IFERROR(__xludf.DUMMYFUNCTION("""COMPUTED_VALUE"""),"Не знаю")</f>
        <v>Не знаю</v>
      </c>
      <c r="M1364" s="6" t="str">
        <f>IFERROR(__xludf.DUMMYFUNCTION("""COMPUTED_VALUE"""),"Нет")</f>
        <v>Нет</v>
      </c>
      <c r="N1364" s="6" t="str">
        <f>IFERROR(__xludf.DUMMYFUNCTION("""COMPUTED_VALUE"""),"Велодорожки, наличие инфраструктуры(магазины, больницы рядом с местом проживания), хорошие автомобильные дороги")</f>
        <v>Велодорожки, наличие инфраструктуры(магазины, больницы рядом с местом проживания), хорошие автомобильные дороги</v>
      </c>
      <c r="O1364" s="6" t="str">
        <f>IFERROR(__xludf.DUMMYFUNCTION("""COMPUTED_VALUE"""),"Власть. Целиком. ")</f>
        <v>Власть. Целиком. </v>
      </c>
      <c r="P1364" s="6" t="str">
        <f>IFERROR(__xludf.DUMMYFUNCTION("""COMPUTED_VALUE"""),"Таковых мероприятий в городе нет")</f>
        <v>Таковых мероприятий в городе нет</v>
      </c>
      <c r="Q1364" s="6" t="str">
        <f>IFERROR(__xludf.DUMMYFUNCTION("""COMPUTED_VALUE"""),"где вкусно поесть/открытие новых кафе/ресторанов")</f>
        <v>где вкусно поесть/открытие новых кафе/ресторанов</v>
      </c>
      <c r="R1364" s="6" t="str">
        <f>IFERROR(__xludf.DUMMYFUNCTION("""COMPUTED_VALUE"""),"Никакие")</f>
        <v>Никакие</v>
      </c>
      <c r="S1364" s="6" t="str">
        <f>IFERROR(__xludf.DUMMYFUNCTION("""COMPUTED_VALUE"""),"Нет, не приходилось")</f>
        <v>Нет, не приходилось</v>
      </c>
      <c r="T1364" s="6" t="str">
        <f>IFERROR(__xludf.DUMMYFUNCTION("""COMPUTED_VALUE"""),"Ничего интересного")</f>
        <v>Ничего интересного</v>
      </c>
      <c r="U1364" s="6" t="str">
        <f>IFERROR(__xludf.DUMMYFUNCTION("""COMPUTED_VALUE"""),"Площадь Пушкина")</f>
        <v>Площадь Пушкина</v>
      </c>
      <c r="V1364" s="6" t="str">
        <f>IFERROR(__xludf.DUMMYFUNCTION("""COMPUTED_VALUE"""),"Ничего")</f>
        <v>Ничего</v>
      </c>
      <c r="W1364" s="6" t="str">
        <f>IFERROR(__xludf.DUMMYFUNCTION("""COMPUTED_VALUE"""),"Чаще всего быдло")</f>
        <v>Чаще всего быдло</v>
      </c>
      <c r="X1364" s="6" t="str">
        <f>IFERROR(__xludf.DUMMYFUNCTION("""COMPUTED_VALUE"""),"Весенняя-Притомска")</f>
        <v>Весенняя-Притомска</v>
      </c>
      <c r="Y1364" s="6" t="str">
        <f>IFERROR(__xludf.DUMMYFUNCTION("""COMPUTED_VALUE"""),"Не знаю")</f>
        <v>Не знаю</v>
      </c>
      <c r="Z1364" s="6" t="str">
        <f>IFERROR(__xludf.DUMMYFUNCTION("""COMPUTED_VALUE"""),"Не было таковых")</f>
        <v>Не было таковых</v>
      </c>
      <c r="AA1364" s="6" t="str">
        <f>IFERROR(__xludf.DUMMYFUNCTION("""COMPUTED_VALUE"""),"Полно")</f>
        <v>Полно</v>
      </c>
      <c r="AB1364" s="6" t="str">
        <f>IFERROR(__xludf.DUMMYFUNCTION("""COMPUTED_VALUE"""),"IT")</f>
        <v>IT</v>
      </c>
      <c r="AC1364" s="6" t="str">
        <f>IFERROR(__xludf.DUMMYFUNCTION("""COMPUTED_VALUE"""),"Выборы нормальные")</f>
        <v>Выборы нормальные</v>
      </c>
      <c r="AD136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64" s="6" t="str">
        <f>IFERROR(__xludf.DUMMYFUNCTION("""COMPUTED_VALUE"""),"Мужской")</f>
        <v>Мужской</v>
      </c>
      <c r="AF1364" s="6" t="str">
        <f>IFERROR(__xludf.DUMMYFUNCTION("""COMPUTED_VALUE"""),"18-29")</f>
        <v>18-29</v>
      </c>
      <c r="AG1364" s="6"/>
      <c r="AH1364" s="6"/>
      <c r="AI1364" s="6"/>
      <c r="AJ1364" s="6"/>
      <c r="AK1364" s="6"/>
      <c r="AL1364" s="6"/>
      <c r="AM1364" s="6"/>
    </row>
    <row r="1365">
      <c r="A1365" s="6">
        <v>1364.0</v>
      </c>
      <c r="B1365" s="6" t="str">
        <f>IFERROR(__xludf.DUMMYFUNCTION("""COMPUTED_VALUE"""),"Учусь ")</f>
        <v>Учусь </v>
      </c>
      <c r="C1365" s="6" t="str">
        <f>IFERROR(__xludf.DUMMYFUNCTION("""COMPUTED_VALUE"""),"Пение")</f>
        <v>Пение</v>
      </c>
      <c r="D1365" s="6" t="str">
        <f>IFERROR(__xludf.DUMMYFUNCTION("""COMPUTED_VALUE"""),"Заводской район, ягуновка")</f>
        <v>Заводской район, ягуновка</v>
      </c>
      <c r="E1365" s="6" t="str">
        <f>IFERROR(__xludf.DUMMYFUNCTION("""COMPUTED_VALUE"""),"парк, стадион ")</f>
        <v>парк, стадион </v>
      </c>
      <c r="F1365" s="6" t="str">
        <f>IFERROR(__xludf.DUMMYFUNCTION("""COMPUTED_VALUE"""),"Живу здесь с рождения")</f>
        <v>Живу здесь с рождения</v>
      </c>
      <c r="G1365" s="6" t="str">
        <f>IFERROR(__xludf.DUMMYFUNCTION("""COMPUTED_VALUE"""),"центр города, набережная")</f>
        <v>центр города, набережная</v>
      </c>
      <c r="H1365" s="6" t="str">
        <f>IFERROR(__xludf.DUMMYFUNCTION("""COMPUTED_VALUE"""),"маленький, грязный, хмурый, родной, спокойный ")</f>
        <v>маленький, грязный, хмурый, родной, спокойный </v>
      </c>
      <c r="I1365" s="6" t="str">
        <f>IFERROR(__xludf.DUMMYFUNCTION("""COMPUTED_VALUE"""),"Михайло Волков")</f>
        <v>Михайло Волков</v>
      </c>
      <c r="J1365" s="6" t="str">
        <f>IFERROR(__xludf.DUMMYFUNCTION("""COMPUTED_VALUE"""),"затрудняюсь ответить ")</f>
        <v>затрудняюсь ответить </v>
      </c>
      <c r="K1365" s="6" t="str">
        <f>IFERROR(__xludf.DUMMYFUNCTION("""COMPUTED_VALUE"""),"вечный огонь ")</f>
        <v>вечный огонь </v>
      </c>
      <c r="L1365" s="6" t="str">
        <f>IFERROR(__xludf.DUMMYFUNCTION("""COMPUTED_VALUE"""),"не знаю ")</f>
        <v>не знаю </v>
      </c>
      <c r="M1365" s="6" t="str">
        <f>IFERROR(__xludf.DUMMYFUNCTION("""COMPUTED_VALUE"""),"«маленечко», люди с близ сталичный городов так не говорят, говорят «маленько»")</f>
        <v>«маленечко», люди с близ сталичный городов так не говорят, говорят «маленько»</v>
      </c>
      <c r="N1365" s="6" t="str">
        <f>IFERROR(__xludf.DUMMYFUNCTION("""COMPUTED_VALUE"""),"чистый, уютный, современный, надежный ")</f>
        <v>чистый, уютный, современный, надежный </v>
      </c>
      <c r="O1365" s="6" t="str">
        <f>IFERROR(__xludf.DUMMYFUNCTION("""COMPUTED_VALUE"""),"снести аварийный здания (Каркасная улица в кировском, обещают уже порядка 10-15 лет)")</f>
        <v>снести аварийный здания (Каркасная улица в кировском, обещают уже порядка 10-15 лет)</v>
      </c>
      <c r="P1365" s="6" t="str">
        <f>IFERROR(__xludf.DUMMYFUNCTION("""COMPUTED_VALUE"""),"паблики в соц. сетях")</f>
        <v>паблики в соц. сетях</v>
      </c>
      <c r="Q1365"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v>
      </c>
      <c r="R1365" s="6" t="str">
        <f>IFERROR(__xludf.DUMMYFUNCTION("""COMPUTED_VALUE"""),"день города, Ивана купала")</f>
        <v>день города, Ивана купала</v>
      </c>
      <c r="S1365" s="6" t="str">
        <f>IFERROR(__xludf.DUMMYFUNCTION("""COMPUTED_VALUE"""),"Нет, не приходилось")</f>
        <v>Нет, не приходилось</v>
      </c>
      <c r="T1365" s="6" t="str">
        <f>IFERROR(__xludf.DUMMYFUNCTION("""COMPUTED_VALUE"""),"знаменит добычей угля")</f>
        <v>знаменит добычей угля</v>
      </c>
      <c r="U1365" s="6" t="str">
        <f>IFERROR(__xludf.DUMMYFUNCTION("""COMPUTED_VALUE"""),"парк чудес ")</f>
        <v>парк чудес </v>
      </c>
      <c r="V1365" s="6" t="str">
        <f>IFERROR(__xludf.DUMMYFUNCTION("""COMPUTED_VALUE"""),"начали работать над его усовершенствованием ")</f>
        <v>начали работать над его усовершенствованием </v>
      </c>
      <c r="W1365" s="6" t="str">
        <f>IFERROR(__xludf.DUMMYFUNCTION("""COMPUTED_VALUE"""),"спокойные, добрые, простые")</f>
        <v>спокойные, добрые, простые</v>
      </c>
      <c r="X1365" s="6" t="str">
        <f>IFERROR(__xludf.DUMMYFUNCTION("""COMPUTED_VALUE"""),"центр города, парк чудес, парк ангелов, бульвар стрителей(аллея), парк Комсомольский ")</f>
        <v>центр города, парк чудес, парк ангелов, бульвар стрителей(аллея), парк Комсомольский </v>
      </c>
      <c r="Y1365" s="6" t="str">
        <f>IFERROR(__xludf.DUMMYFUNCTION("""COMPUTED_VALUE"""),"большой концерт на день города ")</f>
        <v>большой концерт на день города </v>
      </c>
      <c r="Z1365" s="6" t="str">
        <f>IFERROR(__xludf.DUMMYFUNCTION("""COMPUTED_VALUE"""),"кино под открытым небом ")</f>
        <v>кино под открытым небом </v>
      </c>
      <c r="AA1365" s="6" t="str">
        <f>IFERROR(__xludf.DUMMYFUNCTION("""COMPUTED_VALUE"""),"ужасное состояние дорог, некультурные люди, митинг ")</f>
        <v>ужасное состояние дорог, некультурные люди, митинг </v>
      </c>
      <c r="AB1365" s="6" t="str">
        <f>IFERROR(__xludf.DUMMYFUNCTION("""COMPUTED_VALUE"""),"не интересуюсь таким ")</f>
        <v>не интересуюсь таким </v>
      </c>
      <c r="AC1365" s="6" t="str">
        <f>IFERROR(__xludf.DUMMYFUNCTION("""COMPUTED_VALUE"""),"больше открытого кино, для машин или самих людей, выставки ")</f>
        <v>больше открытого кино, для машин или самих людей, выставки </v>
      </c>
      <c r="AD136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65" s="6" t="str">
        <f>IFERROR(__xludf.DUMMYFUNCTION("""COMPUTED_VALUE"""),"Женский")</f>
        <v>Женский</v>
      </c>
      <c r="AF1365" s="6" t="str">
        <f>IFERROR(__xludf.DUMMYFUNCTION("""COMPUTED_VALUE"""),"18-29")</f>
        <v>18-29</v>
      </c>
      <c r="AG1365" s="6"/>
      <c r="AH1365" s="6"/>
      <c r="AI1365" s="6"/>
      <c r="AJ1365" s="6"/>
      <c r="AK1365" s="6"/>
      <c r="AL1365" s="6"/>
      <c r="AM1365" s="6"/>
    </row>
    <row r="1366">
      <c r="A1366" s="6">
        <v>1365.0</v>
      </c>
      <c r="B1366" s="6" t="str">
        <f>IFERROR(__xludf.DUMMYFUNCTION("""COMPUTED_VALUE"""),"Маркетинг, дизайн, видеомейкер")</f>
        <v>Маркетинг, дизайн, видеомейкер</v>
      </c>
      <c r="C1366" s="6" t="str">
        <f>IFERROR(__xludf.DUMMYFUNCTION("""COMPUTED_VALUE"""),"Вышивка")</f>
        <v>Вышивка</v>
      </c>
      <c r="D1366" s="6" t="str">
        <f>IFERROR(__xludf.DUMMYFUNCTION("""COMPUTED_VALUE"""),"Центральный")</f>
        <v>Центральный</v>
      </c>
      <c r="E1366" s="6" t="str">
        <f>IFERROR(__xludf.DUMMYFUNCTION("""COMPUTED_VALUE"""),"Дом")</f>
        <v>Дом</v>
      </c>
      <c r="F1366" s="6" t="str">
        <f>IFERROR(__xludf.DUMMYFUNCTION("""COMPUTED_VALUE"""),"Живу здесь с рождения")</f>
        <v>Живу здесь с рождения</v>
      </c>
      <c r="G1366" s="6" t="str">
        <f>IFERROR(__xludf.DUMMYFUNCTION("""COMPUTED_VALUE"""),"Парк Чудес, ул Весенняя")</f>
        <v>Парк Чудес, ул Весенняя</v>
      </c>
      <c r="H1366" s="6" t="str">
        <f>IFERROR(__xludf.DUMMYFUNCTION("""COMPUTED_VALUE"""),"Семья, Томь, заводы, уголь, промышленность")</f>
        <v>Семья, Томь, заводы, уголь, промышленность</v>
      </c>
      <c r="I1366" s="6" t="str">
        <f>IFERROR(__xludf.DUMMYFUNCTION("""COMPUTED_VALUE"""),"Леонов, Волков, Ворошина")</f>
        <v>Леонов, Волков, Ворошина</v>
      </c>
      <c r="J1366" s="6" t="str">
        <f>IFERROR(__xludf.DUMMYFUNCTION("""COMPUTED_VALUE"""),"Тулеев, Гришковец")</f>
        <v>Тулеев, Гришковец</v>
      </c>
      <c r="K1366" s="6" t="str">
        <f>IFERROR(__xludf.DUMMYFUNCTION("""COMPUTED_VALUE"""),"Красная горка, набережная, сосновый бор, музей краеведческий")</f>
        <v>Красная горка, набережная, сосновый бор, музей краеведческий</v>
      </c>
      <c r="L1366" s="6" t="str">
        <f>IFERROR(__xludf.DUMMYFUNCTION("""COMPUTED_VALUE"""),"Затрудняюсь ответить")</f>
        <v>Затрудняюсь ответить</v>
      </c>
      <c r="M1366" s="6" t="str">
        <f>IFERROR(__xludf.DUMMYFUNCTION("""COMPUTED_VALUE"""),"Не могу ответить")</f>
        <v>Не могу ответить</v>
      </c>
      <c r="N1366" s="6" t="str">
        <f>IFERROR(__xludf.DUMMYFUNCTION("""COMPUTED_VALUE"""),"Общественный транспорт, ")</f>
        <v>Общественный транспорт, </v>
      </c>
      <c r="O1366" s="6" t="str">
        <f>IFERROR(__xludf.DUMMYFUNCTION("""COMPUTED_VALUE"""),"Детские площадки, доступность экологичной жизни (например, организованный сбор мусора разного вида и переработка его)")</f>
        <v>Детские площадки, доступность экологичной жизни (например, организованный сбор мусора разного вида и переработка его)</v>
      </c>
      <c r="P1366" s="6" t="str">
        <f>IFERROR(__xludf.DUMMYFUNCTION("""COMPUTED_VALUE"""),"Сайт администрации г Кемерово, паблики в мой сети ВКонтакте, афиша ру")</f>
        <v>Сайт администрации г Кемерово, паблики в мой сети ВКонтакте, афиша ру</v>
      </c>
      <c r="Q1366"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366" s="6" t="str">
        <f>IFERROR(__xludf.DUMMYFUNCTION("""COMPUTED_VALUE"""),"День шахтера, день города")</f>
        <v>День шахтера, день города</v>
      </c>
      <c r="S1366"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1366" s="6" t="str">
        <f>IFERROR(__xludf.DUMMYFUNCTION("""COMPUTED_VALUE"""),"В данный момент известен печальным событием, связанным с Зимней вишней")</f>
        <v>В данный момент известен печальным событием, связанным с Зимней вишней</v>
      </c>
      <c r="U1366" s="6" t="str">
        <f>IFERROR(__xludf.DUMMYFUNCTION("""COMPUTED_VALUE"""),"Площадь советов, парк ангелов, бульвар строителей")</f>
        <v>Площадь советов, парк ангелов, бульвар строителей</v>
      </c>
      <c r="V1366" s="6" t="str">
        <f>IFERROR(__xludf.DUMMYFUNCTION("""COMPUTED_VALUE"""),"Шахтеры на красной площади в 90е")</f>
        <v>Шахтеры на красной площади в 90е</v>
      </c>
      <c r="W1366" s="6" t="str">
        <f>IFERROR(__xludf.DUMMYFUNCTION("""COMPUTED_VALUE"""),"Грубость и безразличие")</f>
        <v>Грубость и безразличие</v>
      </c>
      <c r="X1366" s="6" t="str">
        <f>IFERROR(__xludf.DUMMYFUNCTION("""COMPUTED_VALUE"""),"Не могу ответить")</f>
        <v>Не могу ответить</v>
      </c>
      <c r="Y1366" s="6" t="str">
        <f>IFERROR(__xludf.DUMMYFUNCTION("""COMPUTED_VALUE"""),"Затрудняюсь ответить")</f>
        <v>Затрудняюсь ответить</v>
      </c>
      <c r="Z1366" s="6" t="str">
        <f>IFERROR(__xludf.DUMMYFUNCTION("""COMPUTED_VALUE"""),"Митинг 23 января")</f>
        <v>Митинг 23 января</v>
      </c>
      <c r="AA1366" s="6" t="str">
        <f>IFERROR(__xludf.DUMMYFUNCTION("""COMPUTED_VALUE"""),"Ссора с кондуктором трамвая")</f>
        <v>Ссора с кондуктором трамвая</v>
      </c>
      <c r="AB1366" s="6" t="str">
        <f>IFERROR(__xludf.DUMMYFUNCTION("""COMPUTED_VALUE"""),"Добрых")</f>
        <v>Добрых</v>
      </c>
      <c r="AC1366" s="6" t="str">
        <f>IFERROR(__xludf.DUMMYFUNCTION("""COMPUTED_VALUE"""),"Что-то наподобие "" небофест"" (название точно не помню, но вроде как-то)")</f>
        <v>Что-то наподобие " небофест" (название точно не помню, но вроде как-то)</v>
      </c>
      <c r="AD1366"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366" s="6" t="str">
        <f>IFERROR(__xludf.DUMMYFUNCTION("""COMPUTED_VALUE"""),"Женский")</f>
        <v>Женский</v>
      </c>
      <c r="AF1366" s="6" t="str">
        <f>IFERROR(__xludf.DUMMYFUNCTION("""COMPUTED_VALUE"""),"18-29")</f>
        <v>18-29</v>
      </c>
      <c r="AG1366" s="6"/>
      <c r="AH1366" s="6"/>
      <c r="AI1366" s="6"/>
      <c r="AJ1366" s="6"/>
      <c r="AK1366" s="6"/>
      <c r="AL1366" s="6"/>
      <c r="AM1366" s="6"/>
    </row>
    <row r="1367">
      <c r="A1367" s="6">
        <v>1366.0</v>
      </c>
      <c r="B1367" s="6" t="str">
        <f>IFERROR(__xludf.DUMMYFUNCTION("""COMPUTED_VALUE"""),"Проектирование")</f>
        <v>Проектирование</v>
      </c>
      <c r="C1367" s="6" t="str">
        <f>IFERROR(__xludf.DUMMYFUNCTION("""COMPUTED_VALUE"""),"Нет")</f>
        <v>Нет</v>
      </c>
      <c r="D1367" s="6" t="str">
        <f>IFERROR(__xludf.DUMMYFUNCTION("""COMPUTED_VALUE"""),"Центральный")</f>
        <v>Центральный</v>
      </c>
      <c r="E1367" s="6" t="str">
        <f>IFERROR(__xludf.DUMMYFUNCTION("""COMPUTED_VALUE"""),"Парк Ангелов")</f>
        <v>Парк Ангелов</v>
      </c>
      <c r="F1367" s="6" t="str">
        <f>IFERROR(__xludf.DUMMYFUNCTION("""COMPUTED_VALUE"""),"Переехал сюда из другого места (откуда? укажите в графе другое), Гурьевск")</f>
        <v>Переехал сюда из другого места (откуда? укажите в графе другое), Гурьевск</v>
      </c>
      <c r="G1367" s="6" t="str">
        <f>IFERROR(__xludf.DUMMYFUNCTION("""COMPUTED_VALUE"""),"В парки")</f>
        <v>В парки</v>
      </c>
      <c r="H1367" s="6" t="str">
        <f>IFERROR(__xludf.DUMMYFUNCTION("""COMPUTED_VALUE"""),"Неторопливый, угрюмый, бульвар, дружелюбный, красивый")</f>
        <v>Неторопливый, угрюмый, бульвар, дружелюбный, красивый</v>
      </c>
      <c r="I1367" s="6" t="str">
        <f>IFERROR(__xludf.DUMMYFUNCTION("""COMPUTED_VALUE"""),"Волков, Эрнст Неизвестный")</f>
        <v>Волков, Эрнст Неизвестный</v>
      </c>
      <c r="J1367" s="6" t="str">
        <f>IFERROR(__xludf.DUMMYFUNCTION("""COMPUTED_VALUE"""),"Тулеев")</f>
        <v>Тулеев</v>
      </c>
      <c r="K1367" s="6" t="str">
        <f>IFERROR(__xludf.DUMMYFUNCTION("""COMPUTED_VALUE"""),"Сосновый бор, набережная")</f>
        <v>Сосновый бор, набережная</v>
      </c>
      <c r="L1367" s="6" t="str">
        <f>IFERROR(__xludf.DUMMYFUNCTION("""COMPUTED_VALUE"""),"-")</f>
        <v>-</v>
      </c>
      <c r="M1367" s="6" t="str">
        <f>IFERROR(__xludf.DUMMYFUNCTION("""COMPUTED_VALUE"""),"-")</f>
        <v>-</v>
      </c>
      <c r="N1367" s="6" t="str">
        <f>IFERROR(__xludf.DUMMYFUNCTION("""COMPUTED_VALUE"""),"Качественное дорожное полотно, дружелюбные жители, чистый город, достаточное количество рабочих мест, высокий уровень зарплат")</f>
        <v>Качественное дорожное полотно, дружелюбные жители, чистый город, достаточное количество рабочих мест, высокий уровень зарплат</v>
      </c>
      <c r="O1367" s="6" t="str">
        <f>IFERROR(__xludf.DUMMYFUNCTION("""COMPUTED_VALUE"""),"Отношение людей к городу")</f>
        <v>Отношение людей к городу</v>
      </c>
      <c r="P1367" s="6" t="str">
        <f>IFERROR(__xludf.DUMMYFUNCTION("""COMPUTED_VALUE"""),"Инстаграм, все42")</f>
        <v>Инстаграм, все42</v>
      </c>
      <c r="Q1367" s="6" t="str">
        <f>IFERROR(__xludf.DUMMYFUNCTION("""COMPUTED_VALUE"""),"интервью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f>
        <v>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367" s="6" t="str">
        <f>IFERROR(__xludf.DUMMYFUNCTION("""COMPUTED_VALUE"""),"-")</f>
        <v>-</v>
      </c>
      <c r="S1367" s="6" t="str">
        <f>IFERROR(__xludf.DUMMYFUNCTION("""COMPUTED_VALUE"""),"Нет, не приходилось")</f>
        <v>Нет, не приходилось</v>
      </c>
      <c r="T1367" s="6" t="str">
        <f>IFERROR(__xludf.DUMMYFUNCTION("""COMPUTED_VALUE"""),"Зимняя вишня, угольная промышленность")</f>
        <v>Зимняя вишня, угольная промышленность</v>
      </c>
      <c r="U1367" s="6" t="str">
        <f>IFERROR(__xludf.DUMMYFUNCTION("""COMPUTED_VALUE"""),"Площадь Советов")</f>
        <v>Площадь Советов</v>
      </c>
      <c r="V1367" s="6" t="str">
        <f>IFERROR(__xludf.DUMMYFUNCTION("""COMPUTED_VALUE"""),"-")</f>
        <v>-</v>
      </c>
      <c r="W1367" s="6" t="str">
        <f>IFERROR(__xludf.DUMMYFUNCTION("""COMPUTED_VALUE"""),"Угрюмые, Неразговорчивые")</f>
        <v>Угрюмые, Неразговорчивые</v>
      </c>
      <c r="X1367" s="6" t="str">
        <f>IFERROR(__xludf.DUMMYFUNCTION("""COMPUTED_VALUE"""),"Притомская набережная")</f>
        <v>Притомская набережная</v>
      </c>
      <c r="Y1367" s="6" t="str">
        <f>IFERROR(__xludf.DUMMYFUNCTION("""COMPUTED_VALUE"""),"Зимняя вишня")</f>
        <v>Зимняя вишня</v>
      </c>
      <c r="Z1367" s="6" t="str">
        <f>IFERROR(__xludf.DUMMYFUNCTION("""COMPUTED_VALUE"""),"-")</f>
        <v>-</v>
      </c>
      <c r="AA1367" s="6" t="str">
        <f>IFERROR(__xludf.DUMMYFUNCTION("""COMPUTED_VALUE"""),"Работа коммунальных служб зимой")</f>
        <v>Работа коммунальных служб зимой</v>
      </c>
      <c r="AB1367" s="6" t="str">
        <f>IFERROR(__xludf.DUMMYFUNCTION("""COMPUTED_VALUE"""),"Гринпис")</f>
        <v>Гринпис</v>
      </c>
      <c r="AC1367" s="6" t="str">
        <f>IFERROR(__xludf.DUMMYFUNCTION("""COMPUTED_VALUE"""),"-")</f>
        <v>-</v>
      </c>
      <c r="AD136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67" s="6" t="str">
        <f>IFERROR(__xludf.DUMMYFUNCTION("""COMPUTED_VALUE"""),"Мужской")</f>
        <v>Мужской</v>
      </c>
      <c r="AF1367" s="6" t="str">
        <f>IFERROR(__xludf.DUMMYFUNCTION("""COMPUTED_VALUE"""),"18-29")</f>
        <v>18-29</v>
      </c>
      <c r="AG1367" s="6"/>
      <c r="AH1367" s="6"/>
      <c r="AI1367" s="6"/>
      <c r="AJ1367" s="6"/>
      <c r="AK1367" s="6"/>
      <c r="AL1367" s="6"/>
      <c r="AM1367" s="6"/>
    </row>
    <row r="1368">
      <c r="A1368" s="6">
        <v>1367.0</v>
      </c>
      <c r="B1368" s="6" t="str">
        <f>IFERROR(__xludf.DUMMYFUNCTION("""COMPUTED_VALUE"""),"Программист ")</f>
        <v>Программист </v>
      </c>
      <c r="C1368" s="6" t="str">
        <f>IFERROR(__xludf.DUMMYFUNCTION("""COMPUTED_VALUE"""),"CrossFit")</f>
        <v>CrossFit</v>
      </c>
      <c r="D1368" s="6" t="str">
        <f>IFERROR(__xludf.DUMMYFUNCTION("""COMPUTED_VALUE"""),"Ленинский")</f>
        <v>Ленинский</v>
      </c>
      <c r="E1368" s="6" t="str">
        <f>IFERROR(__xludf.DUMMYFUNCTION("""COMPUTED_VALUE"""),"Комсомольский парк")</f>
        <v>Комсомольский парк</v>
      </c>
      <c r="F1368" s="6" t="str">
        <f>IFERROR(__xludf.DUMMYFUNCTION("""COMPUTED_VALUE"""),"Живу здесь с рождения")</f>
        <v>Живу здесь с рождения</v>
      </c>
      <c r="G1368" s="6" t="str">
        <f>IFERROR(__xludf.DUMMYFUNCTION("""COMPUTED_VALUE"""),"В зал, в кино, в кафе")</f>
        <v>В зал, в кино, в кафе</v>
      </c>
      <c r="H1368" s="6" t="str">
        <f>IFERROR(__xludf.DUMMYFUNCTION("""COMPUTED_VALUE"""),"Грязь, серость, смог, лужи, старость")</f>
        <v>Грязь, серость, смог, лужи, старость</v>
      </c>
      <c r="I1368" s="6" t="str">
        <f>IFERROR(__xludf.DUMMYFUNCTION("""COMPUTED_VALUE"""),"Вера Волошина")</f>
        <v>Вера Волошина</v>
      </c>
      <c r="J1368" s="6" t="str">
        <f>IFERROR(__xludf.DUMMYFUNCTION("""COMPUTED_VALUE"""),"Нет таких")</f>
        <v>Нет таких</v>
      </c>
      <c r="K1368" s="6" t="str">
        <f>IFERROR(__xludf.DUMMYFUNCTION("""COMPUTED_VALUE"""),"Лагуна в промышленке")</f>
        <v>Лагуна в промышленке</v>
      </c>
      <c r="L1368" s="6" t="str">
        <f>IFERROR(__xludf.DUMMYFUNCTION("""COMPUTED_VALUE"""),"Не знаю ")</f>
        <v>Не знаю </v>
      </c>
      <c r="M1368" s="6" t="str">
        <f>IFERROR(__xludf.DUMMYFUNCTION("""COMPUTED_VALUE"""),"Не знаю")</f>
        <v>Не знаю</v>
      </c>
      <c r="N1368" s="6" t="str">
        <f>IFERROR(__xludf.DUMMYFUNCTION("""COMPUTED_VALUE"""),"Чистые тротуары наличие их вообще, современные парковые зоны, спорт площадки во дворах, наличие интересных мне магазинов, развлекательных мест")</f>
        <v>Чистые тротуары наличие их вообще, современные парковые зоны, спорт площадки во дворах, наличие интересных мне магазинов, развлекательных мест</v>
      </c>
      <c r="O1368" s="6" t="str">
        <f>IFERROR(__xludf.DUMMYFUNCTION("""COMPUTED_VALUE"""),"Следить за чистотой, помыть тротуары от грязи и остатков жизнедеятельности людей и животных")</f>
        <v>Следить за чистотой, помыть тротуары от грязи и остатков жизнедеятельности людей и животных</v>
      </c>
      <c r="P1368" s="6" t="str">
        <f>IFERROR(__xludf.DUMMYFUNCTION("""COMPUTED_VALUE"""),"Не знаю ")</f>
        <v>Не знаю </v>
      </c>
      <c r="Q1368"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чек/рекла"&amp;"мные акции/запуск новых предприятий)")</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368" s="6" t="str">
        <f>IFERROR(__xludf.DUMMYFUNCTION("""COMPUTED_VALUE"""),"Нет таких")</f>
        <v>Нет таких</v>
      </c>
      <c r="S1368" s="6" t="str">
        <f>IFERROR(__xludf.DUMMYFUNCTION("""COMPUTED_VALUE"""),"Нет, не приходилось")</f>
        <v>Нет, не приходилось</v>
      </c>
      <c r="T1368" s="6" t="str">
        <f>IFERROR(__xludf.DUMMYFUNCTION("""COMPUTED_VALUE"""),"Не чем и не чего")</f>
        <v>Не чем и не чего</v>
      </c>
      <c r="U1368" s="6" t="str">
        <f>IFERROR(__xludf.DUMMYFUNCTION("""COMPUTED_VALUE"""),"Комсомольский парк")</f>
        <v>Комсомольский парк</v>
      </c>
      <c r="V1368" s="6" t="str">
        <f>IFERROR(__xludf.DUMMYFUNCTION("""COMPUTED_VALUE"""),"Ни чего ")</f>
        <v>Ни чего </v>
      </c>
      <c r="W1368" s="6" t="str">
        <f>IFERROR(__xludf.DUMMYFUNCTION("""COMPUTED_VALUE"""),"Очень много свиней, мусорят, справляют нужду, не убирают за животными, злые, но также есть много хороших и позитивных людей")</f>
        <v>Очень много свиней, мусорят, справляют нужду, не убирают за животными, злые, но также есть много хороших и позитивных людей</v>
      </c>
      <c r="X1368" s="6" t="str">
        <f>IFERROR(__xludf.DUMMYFUNCTION("""COMPUTED_VALUE"""),"Набережная")</f>
        <v>Набережная</v>
      </c>
      <c r="Y1368" s="6" t="str">
        <f>IFERROR(__xludf.DUMMYFUNCTION("""COMPUTED_VALUE"""),"Не знаю")</f>
        <v>Не знаю</v>
      </c>
      <c r="Z1368" s="6" t="str">
        <f>IFERROR(__xludf.DUMMYFUNCTION("""COMPUTED_VALUE"""),"Отремонтировали бульвар строителей")</f>
        <v>Отремонтировали бульвар строителей</v>
      </c>
      <c r="AA1368" s="6" t="str">
        <f>IFERROR(__xludf.DUMMYFUNCTION("""COMPUTED_VALUE"""),"Запретили строительство аквапарка")</f>
        <v>Запретили строительство аквапарка</v>
      </c>
      <c r="AB1368" s="6" t="str">
        <f>IFERROR(__xludf.DUMMYFUNCTION("""COMPUTED_VALUE"""),"Не знаю")</f>
        <v>Не знаю</v>
      </c>
      <c r="AC1368" s="6" t="str">
        <f>IFERROR(__xludf.DUMMYFUNCTION("""COMPUTED_VALUE"""),"Спортивных")</f>
        <v>Спортивных</v>
      </c>
      <c r="AD136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68" s="6" t="str">
        <f>IFERROR(__xludf.DUMMYFUNCTION("""COMPUTED_VALUE"""),"Женский")</f>
        <v>Женский</v>
      </c>
      <c r="AF1368" s="6" t="str">
        <f>IFERROR(__xludf.DUMMYFUNCTION("""COMPUTED_VALUE"""),"18-29")</f>
        <v>18-29</v>
      </c>
      <c r="AG1368" s="6"/>
      <c r="AH1368" s="6"/>
      <c r="AI1368" s="6"/>
      <c r="AJ1368" s="6"/>
      <c r="AK1368" s="6"/>
      <c r="AL1368" s="6"/>
      <c r="AM1368" s="6"/>
    </row>
    <row r="1369">
      <c r="A1369" s="6">
        <v>1368.0</v>
      </c>
      <c r="B1369" s="6" t="str">
        <f>IFERROR(__xludf.DUMMYFUNCTION("""COMPUTED_VALUE"""),"Руководитель среднего звена ")</f>
        <v>Руководитель среднего звена </v>
      </c>
      <c r="C1369" s="6" t="str">
        <f>IFERROR(__xludf.DUMMYFUNCTION("""COMPUTED_VALUE"""),"Чтение, спорт, загородный дом")</f>
        <v>Чтение, спорт, загородный дом</v>
      </c>
      <c r="D1369" s="6" t="str">
        <f>IFERROR(__xludf.DUMMYFUNCTION("""COMPUTED_VALUE"""),"Центральный ")</f>
        <v>Центральный </v>
      </c>
      <c r="E1369" s="6" t="str">
        <f>IFERROR(__xludf.DUMMYFUNCTION("""COMPUTED_VALUE"""),"Парк Ангелов ")</f>
        <v>Парк Ангелов </v>
      </c>
      <c r="F1369" s="6" t="str">
        <f>IFERROR(__xludf.DUMMYFUNCTION("""COMPUTED_VALUE"""),"Живу здесь с рождения")</f>
        <v>Живу здесь с рождения</v>
      </c>
      <c r="G1369" s="6" t="str">
        <f>IFERROR(__xludf.DUMMYFUNCTION("""COMPUTED_VALUE"""),"Ул. Весенняя, набережная, парк жукова, парк Ангелов. ")</f>
        <v>Ул. Весенняя, набережная, парк жукова, парк Ангелов. </v>
      </c>
      <c r="H1369" s="6" t="str">
        <f>IFERROR(__xludf.DUMMYFUNCTION("""COMPUTED_VALUE"""),"Зелёный, старый, красивый, гостеприимный, чистый")</f>
        <v>Зелёный, старый, красивый, гостеприимный, чистый</v>
      </c>
      <c r="I1369" s="6" t="str">
        <f>IFERROR(__xludf.DUMMYFUNCTION("""COMPUTED_VALUE"""),"Алексей Леонов, Михайло Волков")</f>
        <v>Алексей Леонов, Михайло Волков</v>
      </c>
      <c r="J1369" s="6" t="str">
        <f>IFERROR(__xludf.DUMMYFUNCTION("""COMPUTED_VALUE"""),"Селиванов ")</f>
        <v>Селиванов </v>
      </c>
      <c r="K1369" s="6" t="str">
        <f>IFERROR(__xludf.DUMMYFUNCTION("""COMPUTED_VALUE"""),"Набережная. ")</f>
        <v>Набережная. </v>
      </c>
      <c r="L1369" s="6" t="str">
        <f>IFERROR(__xludf.DUMMYFUNCTION("""COMPUTED_VALUE"""),"-")</f>
        <v>-</v>
      </c>
      <c r="M1369" s="6" t="str">
        <f>IFERROR(__xludf.DUMMYFUNCTION("""COMPUTED_VALUE"""),"Напильньник, Драма, Яшка, Часовня. ")</f>
        <v>Напильньник, Драма, Яшка, Часовня. </v>
      </c>
      <c r="N1369" s="6" t="str">
        <f>IFERROR(__xludf.DUMMYFUNCTION("""COMPUTED_VALUE"""),"Экология, транспортные развязки, обьездная дорога, снижение криминогенности, детские объекты. ")</f>
        <v>Экология, транспортные развязки, обьездная дорога, снижение криминогенности, детские объекты. </v>
      </c>
      <c r="O1369" s="6" t="str">
        <f>IFERROR(__xludf.DUMMYFUNCTION("""COMPUTED_VALUE"""),"Экологическую ситуацию. ")</f>
        <v>Экологическую ситуацию. </v>
      </c>
      <c r="P1369" s="6" t="str">
        <f>IFERROR(__xludf.DUMMYFUNCTION("""COMPUTED_VALUE"""),"Официальные страницы мэра в Соцсетях. ")</f>
        <v>Официальные страницы мэра в Соцсетях. </v>
      </c>
      <c r="Q1369" s="6" t="str">
        <f>IFERROR(__xludf.DUMMYFUNCTION("""COMPUTED_VALUE"""),"где вкусно поесть/открытие новых кафе/ресторанов, интервью с местными предпринимателями, бизнес-новости (средний чек/рекламные акции/запуск новых предприятий)")</f>
        <v>где вкусно поесть/открытие новых кафе/ресторанов, интервью с местными предпринимателями, бизнес-новости (средний чек/рекламные акции/запуск новых предприятий)</v>
      </c>
      <c r="R1369" s="6" t="str">
        <f>IFERROR(__xludf.DUMMYFUNCTION("""COMPUTED_VALUE"""),"12 июня ")</f>
        <v>12 июня </v>
      </c>
      <c r="S1369" s="6" t="str">
        <f>IFERROR(__xludf.DUMMYFUNCTION("""COMPUTED_VALUE"""),"Организация уличных гонок на официальной основе ")</f>
        <v>Организация уличных гонок на официальной основе </v>
      </c>
      <c r="T1369" s="6" t="str">
        <f>IFERROR(__xludf.DUMMYFUNCTION("""COMPUTED_VALUE"""),"Уголь. ")</f>
        <v>Уголь. </v>
      </c>
      <c r="U1369" s="6" t="str">
        <f>IFERROR(__xludf.DUMMYFUNCTION("""COMPUTED_VALUE"""),"Ул. Весенняя, проспект Советский. ")</f>
        <v>Ул. Весенняя, проспект Советский. </v>
      </c>
      <c r="V1369" s="6" t="str">
        <f>IFERROR(__xludf.DUMMYFUNCTION("""COMPUTED_VALUE"""),"Озеленение. ")</f>
        <v>Озеленение. </v>
      </c>
      <c r="W1369" s="6" t="str">
        <f>IFERROR(__xludf.DUMMYFUNCTION("""COMPUTED_VALUE"""),"Мрачность, угрюмость. ")</f>
        <v>Мрачность, угрюмость. </v>
      </c>
      <c r="X1369" s="6" t="str">
        <f>IFERROR(__xludf.DUMMYFUNCTION("""COMPUTED_VALUE"""),"Вопрос повторяется. ")</f>
        <v>Вопрос повторяется. </v>
      </c>
      <c r="Y1369" s="6" t="str">
        <f>IFERROR(__xludf.DUMMYFUNCTION("""COMPUTED_VALUE"""),"Зимняя вишня. ")</f>
        <v>Зимняя вишня. </v>
      </c>
      <c r="Z1369" s="6" t="str">
        <f>IFERROR(__xludf.DUMMYFUNCTION("""COMPUTED_VALUE"""),"Снятие режима ограничения по Ковид 19")</f>
        <v>Снятие режима ограничения по Ковид 19</v>
      </c>
      <c r="AA1369" s="6" t="str">
        <f>IFERROR(__xludf.DUMMYFUNCTION("""COMPUTED_VALUE"""),"Распространение ВИЧ инфекции, наркомания, экология. ")</f>
        <v>Распространение ВИЧ инфекции, наркомания, экология. </v>
      </c>
      <c r="AB1369" s="6" t="str">
        <f>IFERROR(__xludf.DUMMYFUNCTION("""COMPUTED_VALUE"""),"Ретроградов. ")</f>
        <v>Ретроградов. </v>
      </c>
      <c r="AC1369" s="6" t="str">
        <f>IFERROR(__xludf.DUMMYFUNCTION("""COMPUTED_VALUE"""),"Уличные мероприятия с обеспечением безопасности и возрастных цензом. ")</f>
        <v>Уличные мероприятия с обеспечением безопасности и возрастных цензом. </v>
      </c>
      <c r="AD1369" s="6" t="str">
        <f>IFERROR(__xludf.DUMMYFUNCTION("""COMPUTED_VALUE"""),"Партнера. Скинуться (деньгами, материалами, инструментом) с другими жителями на благоустройство двора, микрорайона, Коммуникатора: Готов задействовать свои знакомства для приглашения потенциально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Коммуникатора: Готов задействовать свои знакомства для приглашения потенциально заинтересованных участников</v>
      </c>
      <c r="AE1369" s="6" t="str">
        <f>IFERROR(__xludf.DUMMYFUNCTION("""COMPUTED_VALUE"""),"Мужской")</f>
        <v>Мужской</v>
      </c>
      <c r="AF1369" s="6" t="str">
        <f>IFERROR(__xludf.DUMMYFUNCTION("""COMPUTED_VALUE"""),"30-44")</f>
        <v>30-44</v>
      </c>
      <c r="AG1369" s="6"/>
      <c r="AH1369" s="6"/>
      <c r="AI1369" s="6"/>
      <c r="AJ1369" s="6"/>
      <c r="AK1369" s="6"/>
      <c r="AL1369" s="6"/>
      <c r="AM1369" s="6"/>
    </row>
    <row r="1370">
      <c r="A1370" s="6">
        <v>1369.0</v>
      </c>
      <c r="B1370" s="6" t="str">
        <f>IFERROR(__xludf.DUMMYFUNCTION("""COMPUTED_VALUE"""),"Ведущий специалист по работе с госзаказчиками")</f>
        <v>Ведущий специалист по работе с госзаказчиками</v>
      </c>
      <c r="C1370" s="6" t="str">
        <f>IFERROR(__xludf.DUMMYFUNCTION("""COMPUTED_VALUE"""),"Да, ведение страниц в соц сети")</f>
        <v>Да, ведение страниц в соц сети</v>
      </c>
      <c r="D1370" s="6" t="str">
        <f>IFERROR(__xludf.DUMMYFUNCTION("""COMPUTED_VALUE"""),"Ленинский
На бульваре")</f>
        <v>Ленинский
На бульваре</v>
      </c>
      <c r="E1370" s="6" t="str">
        <f>IFERROR(__xludf.DUMMYFUNCTION("""COMPUTED_VALUE"""),"Конь на бульваре строителей, сцена, мишки")</f>
        <v>Конь на бульваре строителей, сцена, мишки</v>
      </c>
      <c r="F1370" s="6" t="str">
        <f>IFERROR(__xludf.DUMMYFUNCTION("""COMPUTED_VALUE"""),"Переехал сюда из другого места (откуда? укажите в графе другое), Из междуреченска, из за учебы")</f>
        <v>Переехал сюда из другого места (откуда? укажите в графе другое), Из междуреченска, из за учебы</v>
      </c>
      <c r="G1370" s="6" t="str">
        <f>IFERROR(__xludf.DUMMYFUNCTION("""COMPUTED_VALUE"""),"Парки, набережная")</f>
        <v>Парки, набережная</v>
      </c>
      <c r="H1370" s="6" t="str">
        <f>IFERROR(__xludf.DUMMYFUNCTION("""COMPUTED_VALUE"""),"Набережная, весенняя улица, фонтан, парк ангелов")</f>
        <v>Набережная, весенняя улица, фонтан, парк ангелов</v>
      </c>
      <c r="I1370" s="6" t="str">
        <f>IFERROR(__xludf.DUMMYFUNCTION("""COMPUTED_VALUE"""),"Леонов, гришковец, панин")</f>
        <v>Леонов, гришковец, панин</v>
      </c>
      <c r="J1370" s="6" t="str">
        <f>IFERROR(__xludf.DUMMYFUNCTION("""COMPUTED_VALUE"""),"Леонов, гришковец, панин")</f>
        <v>Леонов, гришковец, панин</v>
      </c>
      <c r="K1370" s="6" t="str">
        <f>IFERROR(__xludf.DUMMYFUNCTION("""COMPUTED_VALUE"""),"Томская писаница")</f>
        <v>Томская писаница</v>
      </c>
      <c r="L1370" s="6" t="str">
        <f>IFERROR(__xludf.DUMMYFUNCTION("""COMPUTED_VALUE"""),"_")</f>
        <v>_</v>
      </c>
      <c r="M1370" s="6" t="str">
        <f>IFERROR(__xludf.DUMMYFUNCTION("""COMPUTED_VALUE"""),"_")</f>
        <v>_</v>
      </c>
      <c r="N1370" s="6" t="str">
        <f>IFERROR(__xludf.DUMMYFUNCTION("""COMPUTED_VALUE"""),"Современный, цифровой, яркий, безопасный")</f>
        <v>Современный, цифровой, яркий, безопасный</v>
      </c>
      <c r="O1370" s="6" t="str">
        <f>IFERROR(__xludf.DUMMYFUNCTION("""COMPUTED_VALUE"""),"_")</f>
        <v>_</v>
      </c>
      <c r="P1370" s="6" t="str">
        <f>IFERROR(__xludf.DUMMYFUNCTION("""COMPUTED_VALUE"""),"Интернет")</f>
        <v>Интернет</v>
      </c>
      <c r="Q1370"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но"&amp;"вых предприятий)")</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v>
      </c>
      <c r="R1370" s="6" t="str">
        <f>IFERROR(__xludf.DUMMYFUNCTION("""COMPUTED_VALUE"""),"9 мая, день города")</f>
        <v>9 мая, день города</v>
      </c>
      <c r="S1370" s="6" t="str">
        <f>IFERROR(__xludf.DUMMYFUNCTION("""COMPUTED_VALUE"""),"Нет, не приходилось")</f>
        <v>Нет, не приходилось</v>
      </c>
      <c r="T1370" s="6" t="str">
        <f>IFERROR(__xludf.DUMMYFUNCTION("""COMPUTED_VALUE"""),"К сожалению сгоревший тц")</f>
        <v>К сожалению сгоревший тц</v>
      </c>
      <c r="U1370" s="6" t="str">
        <f>IFERROR(__xludf.DUMMYFUNCTION("""COMPUTED_VALUE"""),"Фонтан у драмы")</f>
        <v>Фонтан у драмы</v>
      </c>
      <c r="V1370" s="6" t="str">
        <f>IFERROR(__xludf.DUMMYFUNCTION("""COMPUTED_VALUE"""),"-")</f>
        <v>-</v>
      </c>
      <c r="W1370" s="6" t="str">
        <f>IFERROR(__xludf.DUMMYFUNCTION("""COMPUTED_VALUE"""),"-")</f>
        <v>-</v>
      </c>
      <c r="X1370" s="6" t="str">
        <f>IFERROR(__xludf.DUMMYFUNCTION("""COMPUTED_VALUE"""),"-")</f>
        <v>-</v>
      </c>
      <c r="Y1370" s="6" t="str">
        <f>IFERROR(__xludf.DUMMYFUNCTION("""COMPUTED_VALUE"""),"-")</f>
        <v>-</v>
      </c>
      <c r="Z1370" s="6" t="str">
        <f>IFERROR(__xludf.DUMMYFUNCTION("""COMPUTED_VALUE"""),"-")</f>
        <v>-</v>
      </c>
      <c r="AA1370" s="6" t="str">
        <f>IFERROR(__xludf.DUMMYFUNCTION("""COMPUTED_VALUE"""),"-")</f>
        <v>-</v>
      </c>
      <c r="AB1370" s="6" t="str">
        <f>IFERROR(__xludf.DUMMYFUNCTION("""COMPUTED_VALUE"""),"-")</f>
        <v>-</v>
      </c>
      <c r="AC1370" s="6" t="str">
        <f>IFERROR(__xludf.DUMMYFUNCTION("""COMPUTED_VALUE"""),"-")</f>
        <v>-</v>
      </c>
      <c r="AD1370"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св"&amp;"ои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370" s="6" t="str">
        <f>IFERROR(__xludf.DUMMYFUNCTION("""COMPUTED_VALUE"""),"Женский")</f>
        <v>Женский</v>
      </c>
      <c r="AF1370" s="6" t="str">
        <f>IFERROR(__xludf.DUMMYFUNCTION("""COMPUTED_VALUE"""),"30-44")</f>
        <v>30-44</v>
      </c>
      <c r="AG1370" s="6"/>
      <c r="AH1370" s="6"/>
      <c r="AI1370" s="6"/>
      <c r="AJ1370" s="6"/>
      <c r="AK1370" s="6"/>
      <c r="AL1370" s="6"/>
      <c r="AM1370" s="6"/>
    </row>
    <row r="1371">
      <c r="A1371" s="6">
        <v>1370.0</v>
      </c>
      <c r="B1371" s="6" t="str">
        <f>IFERROR(__xludf.DUMMYFUNCTION("""COMPUTED_VALUE"""),"Бухгалтер в монтажной организации ")</f>
        <v>Бухгалтер в монтажной организации </v>
      </c>
      <c r="C1371" s="6" t="str">
        <f>IFERROR(__xludf.DUMMYFUNCTION("""COMPUTED_VALUE"""),"Занимаюсь парфюмерией")</f>
        <v>Занимаюсь парфюмерией</v>
      </c>
      <c r="D1371" s="6" t="str">
        <f>IFERROR(__xludf.DUMMYFUNCTION("""COMPUTED_VALUE"""),"Лесная поляна")</f>
        <v>Лесная поляна</v>
      </c>
      <c r="E1371" s="6" t="str">
        <f>IFERROR(__xludf.DUMMYFUNCTION("""COMPUTED_VALUE"""),"Два мои двора детства (Волгоградская 17, Мирная 8), бульвар Строителей, именно весной, ул. Весенняя (именно в сентябре)")</f>
        <v>Два мои двора детства (Волгоградская 17, Мирная 8), бульвар Строителей, именно весной, ул. Весенняя (именно в сентябре)</v>
      </c>
      <c r="F1371" s="6" t="str">
        <f>IFERROR(__xludf.DUMMYFUNCTION("""COMPUTED_VALUE"""),"Живу здесь с рождения")</f>
        <v>Живу здесь с рождения</v>
      </c>
      <c r="G1371" s="6" t="str">
        <f>IFERROR(__xludf.DUMMYFUNCTION("""COMPUTED_VALUE"""),"Драмтеатр, кинотеатр в 3 променаде, гуляем центре города, на бульваре Строителей")</f>
        <v>Драмтеатр, кинотеатр в 3 променаде, гуляем центре города, на бульваре Строителей</v>
      </c>
      <c r="H1371" s="6" t="str">
        <f>IFERROR(__xludf.DUMMYFUNCTION("""COMPUTED_VALUE"""),"Симпатичный , аккуратный, уютный, скучный, приятный")</f>
        <v>Симпатичный , аккуратный, уютный, скучный, приятный</v>
      </c>
      <c r="I1371" s="6" t="str">
        <f>IFERROR(__xludf.DUMMYFUNCTION("""COMPUTED_VALUE"""),"Леонов Алексей Архипович, Михайлов (бывший мэр)")</f>
        <v>Леонов Алексей Архипович, Михайлов (бывший мэр)</v>
      </c>
      <c r="J1371" s="6" t="str">
        <f>IFERROR(__xludf.DUMMYFUNCTION("""COMPUTED_VALUE"""),"Евгения Волкова (инста блогер)")</f>
        <v>Евгения Волкова (инста блогер)</v>
      </c>
      <c r="K1371" s="6" t="str">
        <f>IFERROR(__xludf.DUMMYFUNCTION("""COMPUTED_VALUE"""),"Лесную поляну ")</f>
        <v>Лесную поляну </v>
      </c>
      <c r="L1371" s="6" t="str">
        <f>IFERROR(__xludf.DUMMYFUNCTION("""COMPUTED_VALUE"""),"Когда из политеха выпустится девственница, Михайло Волков уронит уголь из рук")</f>
        <v>Когда из политеха выпустится девственница, Михайло Волков уронит уголь из рук</v>
      </c>
      <c r="M1371" s="6" t="str">
        <f>IFERROR(__xludf.DUMMYFUNCTION("""COMPUTED_VALUE"""),"Не припомню ")</f>
        <v>Не припомню </v>
      </c>
      <c r="N1371" s="6" t="str">
        <f>IFERROR(__xludf.DUMMYFUNCTION("""COMPUTED_VALUE"""),"Чистота, хорошая экология, хороший чистый регулярный общественный транспорт, много мест где можно провести досуг, много «зеленых» зон")</f>
        <v>Чистота, хорошая экология, хороший чистый регулярный общественный транспорт, много мест где можно провести досуг, много «зеленых» зон</v>
      </c>
      <c r="O1371" s="6" t="str">
        <f>IFERROR(__xludf.DUMMYFUNCTION("""COMPUTED_VALUE"""),"ЭКОЛОГИЮ!!!!!!!")</f>
        <v>ЭКОЛОГИЮ!!!!!!!</v>
      </c>
      <c r="P1371" s="6" t="str">
        <f>IFERROR(__xludf.DUMMYFUNCTION("""COMPUTED_VALUE"""),"Инстаграм ")</f>
        <v>Инстаграм </v>
      </c>
      <c r="Q1371"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371" s="6" t="str">
        <f>IFERROR(__xludf.DUMMYFUNCTION("""COMPUTED_VALUE"""),"День города, день шахтера")</f>
        <v>День города, день шахтера</v>
      </c>
      <c r="S1371" s="6" t="str">
        <f>IFERROR(__xludf.DUMMYFUNCTION("""COMPUTED_VALUE"""),"Нет, не приходилось")</f>
        <v>Нет, не приходилось</v>
      </c>
      <c r="T1371" s="6" t="str">
        <f>IFERROR(__xludf.DUMMYFUNCTION("""COMPUTED_VALUE"""),"Елкой за 18 млн😁😁😁 а если серьезно, нет ничего такого выдающегося положительного, чем знаменит наш город ")</f>
        <v>Елкой за 18 млн😁😁😁 а если серьезно, нет ничего такого выдающегося положительного, чем знаменит наш город </v>
      </c>
      <c r="U1371" s="6" t="str">
        <f>IFERROR(__xludf.DUMMYFUNCTION("""COMPUTED_VALUE"""),"Проспект Советский, ул Весенняя, набережная ")</f>
        <v>Проспект Советский, ул Весенняя, набережная </v>
      </c>
      <c r="V1371" s="6" t="str">
        <f>IFERROR(__xludf.DUMMYFUNCTION("""COMPUTED_VALUE"""),"Ничего ")</f>
        <v>Ничего </v>
      </c>
      <c r="W1371" s="6" t="str">
        <f>IFERROR(__xludf.DUMMYFUNCTION("""COMPUTED_VALUE"""),"К сожалению грустные")</f>
        <v>К сожалению грустные</v>
      </c>
      <c r="X1371" s="6" t="str">
        <f>IFERROR(__xludf.DUMMYFUNCTION("""COMPUTED_VALUE"""),"Центр города, Сосновый бор и Лесная поляна")</f>
        <v>Центр города, Сосновый бор и Лесная поляна</v>
      </c>
      <c r="Y1371" s="6" t="str">
        <f>IFERROR(__xludf.DUMMYFUNCTION("""COMPUTED_VALUE"""),"Чемпионат мира по хоккею с мячом в 2007 году")</f>
        <v>Чемпионат мира по хоккею с мячом в 2007 году</v>
      </c>
      <c r="Z1371" s="6" t="str">
        <f>IFERROR(__xludf.DUMMYFUNCTION("""COMPUTED_VALUE"""),"К сожалению никакие")</f>
        <v>К сожалению никакие</v>
      </c>
      <c r="AA1371" s="6" t="str">
        <f>IFERROR(__xludf.DUMMYFUNCTION("""COMPUTED_VALUE"""),"Немного больше, чем два года, но самое ужасное событие, которое навсегда останется в памяти - это пожар в Зимней вишне")</f>
        <v>Немного больше, чем два года, но самое ужасное событие, которое навсегда останется в памяти - это пожар в Зимней вишне</v>
      </c>
      <c r="AB1371" s="6" t="str">
        <f>IFERROR(__xludf.DUMMYFUNCTION("""COMPUTED_VALUE"""),"Затрудняюсь ответить ")</f>
        <v>Затрудняюсь ответить </v>
      </c>
      <c r="AC1371" s="6" t="str">
        <f>IFERROR(__xludf.DUMMYFUNCTION("""COMPUTED_VALUE"""),"Масштабные фестивали, концерты и та")</f>
        <v>Масштабные фестивали, концерты и та</v>
      </c>
      <c r="AD1371"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371" s="6" t="str">
        <f>IFERROR(__xludf.DUMMYFUNCTION("""COMPUTED_VALUE"""),"Женский")</f>
        <v>Женский</v>
      </c>
      <c r="AF1371" s="6" t="str">
        <f>IFERROR(__xludf.DUMMYFUNCTION("""COMPUTED_VALUE"""),"18-29")</f>
        <v>18-29</v>
      </c>
      <c r="AG1371" s="6"/>
      <c r="AH1371" s="6"/>
      <c r="AI1371" s="6"/>
      <c r="AJ1371" s="6"/>
      <c r="AK1371" s="6"/>
      <c r="AL1371" s="6"/>
      <c r="AM1371" s="6"/>
    </row>
    <row r="1372">
      <c r="A1372" s="6">
        <v>1371.0</v>
      </c>
      <c r="B1372" s="6" t="str">
        <f>IFERROR(__xludf.DUMMYFUNCTION("""COMPUTED_VALUE"""),"Студент")</f>
        <v>Студент</v>
      </c>
      <c r="C1372" s="6" t="str">
        <f>IFERROR(__xludf.DUMMYFUNCTION("""COMPUTED_VALUE"""),"Да. Танцы, рисование, изготовление выпечки и десертов  и т. д.")</f>
        <v>Да. Танцы, рисование, изготовление выпечки и десертов  и т. д.</v>
      </c>
      <c r="D1372" s="6" t="str">
        <f>IFERROR(__xludf.DUMMYFUNCTION("""COMPUTED_VALUE"""),"Ленинский")</f>
        <v>Ленинский</v>
      </c>
      <c r="E1372" s="6" t="str">
        <f>IFERROR(__xludf.DUMMYFUNCTION("""COMPUTED_VALUE"""),"Набережная, фонтан")</f>
        <v>Набережная, фонтан</v>
      </c>
      <c r="F1372" s="6" t="str">
        <f>IFERROR(__xludf.DUMMYFUNCTION("""COMPUTED_VALUE"""),"Живу здесь с рождения")</f>
        <v>Живу здесь с рождения</v>
      </c>
      <c r="G1372" s="6" t="str">
        <f>IFERROR(__xludf.DUMMYFUNCTION("""COMPUTED_VALUE"""),"Кузбасский парк, центр")</f>
        <v>Кузбасский парк, центр</v>
      </c>
      <c r="H1372" s="6" t="str">
        <f>IFERROR(__xludf.DUMMYFUNCTION("""COMPUTED_VALUE"""),"Уют, неопрятность, природа, невостребованность, плавность")</f>
        <v>Уют, неопрятность, природа, невостребованность, плавность</v>
      </c>
      <c r="I1372" s="6" t="str">
        <f>IFERROR(__xludf.DUMMYFUNCTION("""COMPUTED_VALUE"""),"Волков, Волошина, Леонов, Заузелков")</f>
        <v>Волков, Волошина, Леонов, Заузелков</v>
      </c>
      <c r="J1372" s="6" t="str">
        <f>IFERROR(__xludf.DUMMYFUNCTION("""COMPUTED_VALUE"""),"Бакши, Дацук, Редина")</f>
        <v>Бакши, Дацук, Редина</v>
      </c>
      <c r="K1372" s="6" t="str">
        <f>IFERROR(__xludf.DUMMYFUNCTION("""COMPUTED_VALUE"""),"Набережная, Лесная поляна, водопадик возле деревни, центральная площадь зимой, Красная горка, Томская писаница, Сосновый бор")</f>
        <v>Набережная, Лесная поляна, водопадик возле деревни, центральная площадь зимой, Красная горка, Томская писаница, Сосновый бор</v>
      </c>
      <c r="L1372" s="6" t="str">
        <f>IFERROR(__xludf.DUMMYFUNCTION("""COMPUTED_VALUE"""),"Под лежачий камень и вода не течет. 
Мы есть то, о чем мы думаем. С помощью мыслей мы создаём наш мир")</f>
        <v>Под лежачий камень и вода не течет. 
Мы есть то, о чем мы думаем. С помощью мыслей мы создаём наш мир</v>
      </c>
      <c r="M1372" s="6" t="str">
        <f>IFERROR(__xludf.DUMMYFUNCTION("""COMPUTED_VALUE"""),"Файлик, вехотка, буробить")</f>
        <v>Файлик, вехотка, буробить</v>
      </c>
      <c r="N1372" s="6" t="str">
        <f>IFERROR(__xludf.DUMMYFUNCTION("""COMPUTED_VALUE"""),"1) наличие доступных мероприятий и мест отдыха на любой вкус
2) чистота и опрятность не только в центральном районе, но и в других частях города
3) отсутствие заброшенных зданий/мест (не эксплуатируются, портят вид города)
4) безопасность на улицах 
5) оп"&amp;"тимальное количество транспортных средств для комфортных поездок до места учебы/работы")</f>
        <v>1) наличие доступных мероприятий и мест отдыха на любой вкус
2) чистота и опрятность не только в центральном районе, но и в других частях города
3) отсутствие заброшенных зданий/мест (не эксплуатируются, портят вид города)
4) безопасность на улицах 
5) оптимальное количество транспортных средств для комфортных поездок до места учебы/работы</v>
      </c>
      <c r="O1372" s="6" t="str">
        <f>IFERROR(__xludf.DUMMYFUNCTION("""COMPUTED_VALUE"""),"Фасады домов, позаботиться о чистоте города")</f>
        <v>Фасады домов, позаботиться о чистоте города</v>
      </c>
      <c r="P1372" s="6" t="str">
        <f>IFERROR(__xludf.DUMMYFUNCTION("""COMPUTED_VALUE"""),"Инстаграм, ВКонтакте")</f>
        <v>Инстаграм, ВКонтакте</v>
      </c>
      <c r="Q1372"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372" s="6" t="str">
        <f>IFERROR(__xludf.DUMMYFUNCTION("""COMPUTED_VALUE"""),"Новый год, масленица")</f>
        <v>Новый год, масленица</v>
      </c>
      <c r="S1372" s="6" t="str">
        <f>IFERROR(__xludf.DUMMYFUNCTION("""COMPUTED_VALUE"""),"Нет, не приходилось")</f>
        <v>Нет, не приходилось</v>
      </c>
      <c r="T1372" s="6" t="str">
        <f>IFERROR(__xludf.DUMMYFUNCTION("""COMPUTED_VALUE"""),"Шахтерами, Томской писаницей")</f>
        <v>Шахтерами, Томской писаницей</v>
      </c>
      <c r="U1372" s="6" t="str">
        <f>IFERROR(__xludf.DUMMYFUNCTION("""COMPUTED_VALUE"""),"Городские парки")</f>
        <v>Городские парки</v>
      </c>
      <c r="V1372" s="6" t="str">
        <f>IFERROR(__xludf.DUMMYFUNCTION("""COMPUTED_VALUE"""),"Построили относительно удобные для проживания дома, обустроили улицы, создали интересные места для отдыха горожан")</f>
        <v>Построили относительно удобные для проживания дома, обустроили улицы, создали интересные места для отдыха горожан</v>
      </c>
      <c r="W1372" s="6" t="str">
        <f>IFERROR(__xludf.DUMMYFUNCTION("""COMPUTED_VALUE"""),"Живые, деятельные, равнодушные")</f>
        <v>Живые, деятельные, равнодушные</v>
      </c>
      <c r="X1372" s="6" t="str">
        <f>IFERROR(__xludf.DUMMYFUNCTION("""COMPUTED_VALUE"""),"Вокзал, Центр, Сосновый бор, Лесная поляна, Томская писаница")</f>
        <v>Вокзал, Центр, Сосновый бор, Лесная поляна, Томская писаница</v>
      </c>
      <c r="Y1372" s="6" t="str">
        <f>IFERROR(__xludf.DUMMYFUNCTION("""COMPUTED_VALUE"""),"Смена губернатора")</f>
        <v>Смена губернатора</v>
      </c>
      <c r="Z1372" s="6" t="str">
        <f>IFERROR(__xludf.DUMMYFUNCTION("""COMPUTED_VALUE"""),"Фестиваль ""Мы""")</f>
        <v>Фестиваль "Мы"</v>
      </c>
      <c r="AA1372" s="6" t="str">
        <f>IFERROR(__xludf.DUMMYFUNCTION("""COMPUTED_VALUE"""),"Митинг за свободу Навального")</f>
        <v>Митинг за свободу Навального</v>
      </c>
      <c r="AB1372" s="6" t="str">
        <f>IFERROR(__xludf.DUMMYFUNCTION("""COMPUTED_VALUE"""),"Художественных, литературных, танцевальных и т.д.")</f>
        <v>Художественных, литературных, танцевальных и т.д.</v>
      </c>
      <c r="AC1372" s="6" t="str">
        <f>IFERROR(__xludf.DUMMYFUNCTION("""COMPUTED_VALUE"""),"Похожие на те, что проводятся в Москве и Петербурге")</f>
        <v>Похожие на те, что проводятся в Москве и Петербурге</v>
      </c>
      <c r="AD137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72" s="6" t="str">
        <f>IFERROR(__xludf.DUMMYFUNCTION("""COMPUTED_VALUE"""),"Женский")</f>
        <v>Женский</v>
      </c>
      <c r="AF1372" s="6" t="str">
        <f>IFERROR(__xludf.DUMMYFUNCTION("""COMPUTED_VALUE"""),"18-29")</f>
        <v>18-29</v>
      </c>
      <c r="AG1372" s="6"/>
      <c r="AH1372" s="6"/>
      <c r="AI1372" s="6"/>
      <c r="AJ1372" s="6"/>
      <c r="AK1372" s="6"/>
      <c r="AL1372" s="6"/>
      <c r="AM1372" s="6"/>
    </row>
    <row r="1373">
      <c r="A1373" s="6">
        <v>1372.0</v>
      </c>
      <c r="B1373" s="6" t="str">
        <f>IFERROR(__xludf.DUMMYFUNCTION("""COMPUTED_VALUE"""),"Работаю в саморегулировании в области строительства")</f>
        <v>Работаю в саморегулировании в области строительства</v>
      </c>
      <c r="C1373" s="6" t="str">
        <f>IFERROR(__xludf.DUMMYFUNCTION("""COMPUTED_VALUE"""),"Астрология, скрапбукинг, психология ")</f>
        <v>Астрология, скрапбукинг, психология </v>
      </c>
      <c r="D1373" s="6" t="str">
        <f>IFERROR(__xludf.DUMMYFUNCTION("""COMPUTED_VALUE"""),"Центральный. Называю центр")</f>
        <v>Центральный. Называю центр</v>
      </c>
      <c r="E1373" s="6" t="str">
        <f>IFERROR(__xludf.DUMMYFUNCTION("""COMPUTED_VALUE"""),"Набережная, ул. Весенняя, парк Жукова , парк Антошка, утки на Искитимке, парк Ангелов(, театры и музеи")</f>
        <v>Набережная, ул. Весенняя, парк Жукова , парк Антошка, утки на Искитимке, парк Ангелов(, театры и музеи</v>
      </c>
      <c r="F1373" s="6" t="str">
        <f>IFERROR(__xludf.DUMMYFUNCTION("""COMPUTED_VALUE"""),"Живу здесь с рождения")</f>
        <v>Живу здесь с рождения</v>
      </c>
      <c r="G1373" s="6" t="str">
        <f>IFERROR(__xludf.DUMMYFUNCTION("""COMPUTED_VALUE"""),"Гуляю в центре по перечисленным местам в 4 пункте")</f>
        <v>Гуляю в центре по перечисленным местам в 4 пункте</v>
      </c>
      <c r="H1373" s="6" t="str">
        <f>IFERROR(__xludf.DUMMYFUNCTION("""COMPUTED_VALUE"""),"Родной,  грязный, серый, ностальгия, скучный")</f>
        <v>Родной,  грязный, серый, ностальгия, скучный</v>
      </c>
      <c r="I1373" s="6" t="str">
        <f>IFERROR(__xludf.DUMMYFUNCTION("""COMPUTED_VALUE"""),"Волков")</f>
        <v>Волков</v>
      </c>
      <c r="J1373" s="6" t="str">
        <f>IFERROR(__xludf.DUMMYFUNCTION("""COMPUTED_VALUE"""),"Мэр города Михайлов, город при нем действительно был в хозяйских руках")</f>
        <v>Мэр города Михайлов, город при нем действительно был в хозяйских руках</v>
      </c>
      <c r="K1373" s="6" t="str">
        <f>IFERROR(__xludf.DUMMYFUNCTION("""COMPUTED_VALUE"""),"Центр старый, дом на Жуковского 3, Горсад")</f>
        <v>Центр старый, дом на Жуковского 3, Горсад</v>
      </c>
      <c r="L1373" s="6" t="str">
        <f>IFERROR(__xludf.DUMMYFUNCTION("""COMPUTED_VALUE"""),"Моя хата с краю")</f>
        <v>Моя хата с краю</v>
      </c>
      <c r="M1373" s="6" t="str">
        <f>IFERROR(__xludf.DUMMYFUNCTION("""COMPUTED_VALUE"""),"Нет")</f>
        <v>Нет</v>
      </c>
      <c r="N1373" s="6" t="str">
        <f>IFERROR(__xludf.DUMMYFUNCTION("""COMPUTED_VALUE"""),"Больше музеев, театров, парков, набережных, прогулочных мест")</f>
        <v>Больше музеев, театров, парков, набережных, прогулочных мест</v>
      </c>
      <c r="O1373" s="6" t="str">
        <f>IFERROR(__xludf.DUMMYFUNCTION("""COMPUTED_VALUE"""),"Наладить экологию города , активнее заняться переработкой мусора, поставить в каждом дворе мусорки для пластика любого еще город стал очень грязным,  его совсем не любят, во дворах и на улицах очень  много мусора, мало урн. Еще надо выкрасить в яркие цвет"&amp;"а Ленинский район и заводской, разбить дополнительные парки с большим количеством деревьев и мест для прогулок по всему городу.")</f>
        <v>Наладить экологию города , активнее заняться переработкой мусора, поставить в каждом дворе мусорки для пластика любого еще город стал очень грязным,  его совсем не любят, во дворах и на улицах очень  много мусора, мало урн. Еще надо выкрасить в яркие цвета Ленинский район и заводской, разбить дополнительные парки с большим количеством деревьев и мест для прогулок по всему городу.</v>
      </c>
      <c r="P1373" s="6" t="str">
        <f>IFERROR(__xludf.DUMMYFUNCTION("""COMPUTED_VALUE"""),"Просто интернет")</f>
        <v>Просто интернет</v>
      </c>
      <c r="Q1373"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1373" s="6" t="str">
        <f>IFERROR(__xludf.DUMMYFUNCTION("""COMPUTED_VALUE"""),"9 мая")</f>
        <v>9 мая</v>
      </c>
      <c r="S1373" s="6" t="str">
        <f>IFERROR(__xludf.DUMMYFUNCTION("""COMPUTED_VALUE"""),"Нет, не приходилось")</f>
        <v>Нет, не приходилось</v>
      </c>
      <c r="T1373" s="6" t="str">
        <f>IFERROR(__xludf.DUMMYFUNCTION("""COMPUTED_VALUE"""),"Заводы")</f>
        <v>Заводы</v>
      </c>
      <c r="U1373" s="6" t="str">
        <f>IFERROR(__xludf.DUMMYFUNCTION("""COMPUTED_VALUE"""),"Проспект Советский, Весенняя и Набережная")</f>
        <v>Проспект Советский, Весенняя и Набережная</v>
      </c>
      <c r="V1373" s="6" t="str">
        <f>IFERROR(__xludf.DUMMYFUNCTION("""COMPUTED_VALUE"""),"Строили, поднимали город")</f>
        <v>Строили, поднимали город</v>
      </c>
      <c r="W1373" s="6" t="str">
        <f>IFERROR(__xludf.DUMMYFUNCTION("""COMPUTED_VALUE"""),"Сложный вопрос. Открытые, простые
")</f>
        <v>Сложный вопрос. Открытые, простые
</v>
      </c>
      <c r="X1373" s="6" t="str">
        <f>IFERROR(__xludf.DUMMYFUNCTION("""COMPUTED_VALUE"""),"Центр")</f>
        <v>Центр</v>
      </c>
      <c r="Y1373" s="6" t="str">
        <f>IFERROR(__xludf.DUMMYFUNCTION("""COMPUTED_VALUE"""),"Затрудняюсь")</f>
        <v>Затрудняюсь</v>
      </c>
      <c r="Z1373" s="6" t="str">
        <f>IFERROR(__xludf.DUMMYFUNCTION("""COMPUTED_VALUE"""),"Началась стройка набережной, музея, лесенки филиала")</f>
        <v>Началась стройка набережной, музея, лесенки филиала</v>
      </c>
      <c r="AA1373" s="6" t="str">
        <f>IFERROR(__xludf.DUMMYFUNCTION("""COMPUTED_VALUE"""),"Пожар в зимней вишне")</f>
        <v>Пожар в зимней вишне</v>
      </c>
      <c r="AB1373" s="6" t="str">
        <f>IFERROR(__xludf.DUMMYFUNCTION("""COMPUTED_VALUE"""),"Больше выставок хочется разнообразных")</f>
        <v>Больше выставок хочется разнообразных</v>
      </c>
      <c r="AC1373" s="6" t="str">
        <f>IFERROR(__xludf.DUMMYFUNCTION("""COMPUTED_VALUE"""),"Ярмарки мастеров, выступления разных вокальных и инструментальных современных групп и исполнителей просто на улицах города , без каких-либо поводов,  выставки разные, на разные тематики, мастер-классы")</f>
        <v>Ярмарки мастеров, выступления разных вокальных и инструментальных современных групп и исполнителей просто на улицах города , без каких-либо поводов,  выставки разные, на разные тематики, мастер-классы</v>
      </c>
      <c r="AD137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73" s="6" t="str">
        <f>IFERROR(__xludf.DUMMYFUNCTION("""COMPUTED_VALUE"""),"Женский")</f>
        <v>Женский</v>
      </c>
      <c r="AF1373" s="6" t="str">
        <f>IFERROR(__xludf.DUMMYFUNCTION("""COMPUTED_VALUE"""),"30-44")</f>
        <v>30-44</v>
      </c>
      <c r="AG1373" s="6"/>
      <c r="AH1373" s="6"/>
      <c r="AI1373" s="6"/>
      <c r="AJ1373" s="6"/>
      <c r="AK1373" s="6"/>
      <c r="AL1373" s="6"/>
      <c r="AM1373" s="6"/>
    </row>
    <row r="1374">
      <c r="A1374" s="6">
        <v>1373.0</v>
      </c>
      <c r="B1374" s="6" t="str">
        <f>IFERROR(__xludf.DUMMYFUNCTION("""COMPUTED_VALUE"""),"Программист ")</f>
        <v>Программист </v>
      </c>
      <c r="C1374" s="6" t="str">
        <f>IFERROR(__xludf.DUMMYFUNCTION("""COMPUTED_VALUE"""),"CrossFit")</f>
        <v>CrossFit</v>
      </c>
      <c r="D1374" s="6" t="str">
        <f>IFERROR(__xludf.DUMMYFUNCTION("""COMPUTED_VALUE"""),"Ленинский")</f>
        <v>Ленинский</v>
      </c>
      <c r="E1374" s="6" t="str">
        <f>IFERROR(__xludf.DUMMYFUNCTION("""COMPUTED_VALUE"""),"Комсомольский парк")</f>
        <v>Комсомольский парк</v>
      </c>
      <c r="F1374" s="6" t="str">
        <f>IFERROR(__xludf.DUMMYFUNCTION("""COMPUTED_VALUE"""),"Живу здесь с рождения")</f>
        <v>Живу здесь с рождения</v>
      </c>
      <c r="G1374" s="6" t="str">
        <f>IFERROR(__xludf.DUMMYFUNCTION("""COMPUTED_VALUE"""),"В зал, в кино, в кафе")</f>
        <v>В зал, в кино, в кафе</v>
      </c>
      <c r="H1374" s="6" t="str">
        <f>IFERROR(__xludf.DUMMYFUNCTION("""COMPUTED_VALUE"""),"Грязь, серость, смог, лужи, старость")</f>
        <v>Грязь, серость, смог, лужи, старость</v>
      </c>
      <c r="I1374" s="6" t="str">
        <f>IFERROR(__xludf.DUMMYFUNCTION("""COMPUTED_VALUE"""),"Вера Волошина")</f>
        <v>Вера Волошина</v>
      </c>
      <c r="J1374" s="6" t="str">
        <f>IFERROR(__xludf.DUMMYFUNCTION("""COMPUTED_VALUE"""),"Нет таких")</f>
        <v>Нет таких</v>
      </c>
      <c r="K1374" s="6" t="str">
        <f>IFERROR(__xludf.DUMMYFUNCTION("""COMPUTED_VALUE"""),"Лагуна в промышленке")</f>
        <v>Лагуна в промышленке</v>
      </c>
      <c r="L1374" s="6" t="str">
        <f>IFERROR(__xludf.DUMMYFUNCTION("""COMPUTED_VALUE"""),"Не знаю ")</f>
        <v>Не знаю </v>
      </c>
      <c r="M1374" s="6" t="str">
        <f>IFERROR(__xludf.DUMMYFUNCTION("""COMPUTED_VALUE"""),"Не знаю")</f>
        <v>Не знаю</v>
      </c>
      <c r="N1374" s="6" t="str">
        <f>IFERROR(__xludf.DUMMYFUNCTION("""COMPUTED_VALUE"""),"Чистые тротуары наличие их вообще, современные парковые зоны, спорт площадки во дворах, наличие интересных мне магазинов, развлекательных мест")</f>
        <v>Чистые тротуары наличие их вообще, современные парковые зоны, спорт площадки во дворах, наличие интересных мне магазинов, развлекательных мест</v>
      </c>
      <c r="O1374" s="6" t="str">
        <f>IFERROR(__xludf.DUMMYFUNCTION("""COMPUTED_VALUE"""),"Следить за чистотой, помыть тротуары от грязи и остатков жизнедеятельности людей и животных")</f>
        <v>Следить за чистотой, помыть тротуары от грязи и остатков жизнедеятельности людей и животных</v>
      </c>
      <c r="P1374" s="6" t="str">
        <f>IFERROR(__xludf.DUMMYFUNCTION("""COMPUTED_VALUE"""),"Не знаю ")</f>
        <v>Не знаю </v>
      </c>
      <c r="Q1374"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чек/рекла"&amp;"мные акции/запуск новых предприятий)")</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374" s="6" t="str">
        <f>IFERROR(__xludf.DUMMYFUNCTION("""COMPUTED_VALUE"""),"Нет таких")</f>
        <v>Нет таких</v>
      </c>
      <c r="S1374" s="6" t="str">
        <f>IFERROR(__xludf.DUMMYFUNCTION("""COMPUTED_VALUE"""),"Нет, не приходилось")</f>
        <v>Нет, не приходилось</v>
      </c>
      <c r="T1374" s="6" t="str">
        <f>IFERROR(__xludf.DUMMYFUNCTION("""COMPUTED_VALUE"""),"Не чем и не чего")</f>
        <v>Не чем и не чего</v>
      </c>
      <c r="U1374" s="6" t="str">
        <f>IFERROR(__xludf.DUMMYFUNCTION("""COMPUTED_VALUE"""),"Комсомольский парк")</f>
        <v>Комсомольский парк</v>
      </c>
      <c r="V1374" s="6" t="str">
        <f>IFERROR(__xludf.DUMMYFUNCTION("""COMPUTED_VALUE"""),"Ни чего ")</f>
        <v>Ни чего </v>
      </c>
      <c r="W1374" s="6" t="str">
        <f>IFERROR(__xludf.DUMMYFUNCTION("""COMPUTED_VALUE"""),"Очень много свиней, мусорят, справляют нужду, не убирают за животными, злые, но также есть много хороших и позитивных людей")</f>
        <v>Очень много свиней, мусорят, справляют нужду, не убирают за животными, злые, но также есть много хороших и позитивных людей</v>
      </c>
      <c r="X1374" s="6" t="str">
        <f>IFERROR(__xludf.DUMMYFUNCTION("""COMPUTED_VALUE"""),"Набережная")</f>
        <v>Набережная</v>
      </c>
      <c r="Y1374" s="6" t="str">
        <f>IFERROR(__xludf.DUMMYFUNCTION("""COMPUTED_VALUE"""),"Не знаю")</f>
        <v>Не знаю</v>
      </c>
      <c r="Z1374" s="6" t="str">
        <f>IFERROR(__xludf.DUMMYFUNCTION("""COMPUTED_VALUE"""),"Отремонтировали бульвар строителей")</f>
        <v>Отремонтировали бульвар строителей</v>
      </c>
      <c r="AA1374" s="6" t="str">
        <f>IFERROR(__xludf.DUMMYFUNCTION("""COMPUTED_VALUE"""),"Запретили строительство аквапарка")</f>
        <v>Запретили строительство аквапарка</v>
      </c>
      <c r="AB1374" s="6" t="str">
        <f>IFERROR(__xludf.DUMMYFUNCTION("""COMPUTED_VALUE"""),"Не знаю")</f>
        <v>Не знаю</v>
      </c>
      <c r="AC1374" s="6" t="str">
        <f>IFERROR(__xludf.DUMMYFUNCTION("""COMPUTED_VALUE"""),"Спортивных")</f>
        <v>Спортивных</v>
      </c>
      <c r="AD137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74" s="6" t="str">
        <f>IFERROR(__xludf.DUMMYFUNCTION("""COMPUTED_VALUE"""),"Женский")</f>
        <v>Женский</v>
      </c>
      <c r="AF1374" s="6" t="str">
        <f>IFERROR(__xludf.DUMMYFUNCTION("""COMPUTED_VALUE"""),"18-29")</f>
        <v>18-29</v>
      </c>
      <c r="AG1374" s="6"/>
      <c r="AH1374" s="6"/>
      <c r="AI1374" s="6"/>
      <c r="AJ1374" s="6"/>
      <c r="AK1374" s="6"/>
      <c r="AL1374" s="6"/>
      <c r="AM1374" s="6"/>
    </row>
    <row r="1375">
      <c r="A1375" s="6">
        <v>1374.0</v>
      </c>
      <c r="B1375" s="6" t="str">
        <f>IFERROR(__xludf.DUMMYFUNCTION("""COMPUTED_VALUE"""),"Видео-сьемка, монтаж")</f>
        <v>Видео-сьемка, монтаж</v>
      </c>
      <c r="C1375" s="6" t="str">
        <f>IFERROR(__xludf.DUMMYFUNCTION("""COMPUTED_VALUE"""),"Историческая реконструкция")</f>
        <v>Историческая реконструкция</v>
      </c>
      <c r="D1375" s="6" t="str">
        <f>IFERROR(__xludf.DUMMYFUNCTION("""COMPUTED_VALUE"""),"Ценральном, центр")</f>
        <v>Ценральном, центр</v>
      </c>
      <c r="E1375" s="6" t="str">
        <f>IFERROR(__xludf.DUMMYFUNCTION("""COMPUTED_VALUE"""),"Алея победы, парк Жукова, был сквер космонавтики, но памятник снесли и поставили какую-то чушь с танцами. ")</f>
        <v>Алея победы, парк Жукова, был сквер космонавтики, но памятник снесли и поставили какую-то чушь с танцами. </v>
      </c>
      <c r="F1375" s="6" t="str">
        <f>IFERROR(__xludf.DUMMYFUNCTION("""COMPUTED_VALUE"""),"Живу здесь с рождения")</f>
        <v>Живу здесь с рождения</v>
      </c>
      <c r="G1375" s="6" t="str">
        <f>IFERROR(__xludf.DUMMYFUNCTION("""COMPUTED_VALUE"""),"Набережная и ближайшие парки, больше просто не где")</f>
        <v>Набережная и ближайшие парки, больше просто не где</v>
      </c>
      <c r="H1375" s="6" t="str">
        <f>IFERROR(__xludf.DUMMYFUNCTION("""COMPUTED_VALUE"""),"Грязь, иллюзии, серость, обман, обида")</f>
        <v>Грязь, иллюзии, серость, обман, обида</v>
      </c>
      <c r="I1375" s="6" t="str">
        <f>IFERROR(__xludf.DUMMYFUNCTION("""COMPUTED_VALUE"""),"Коровин Сергей Дмитриевич физик, Андреев Валерий Павлович историк, Леонов Алексей Архипович космотнавт, Логинов Виктор Александрович актер. ")</f>
        <v>Коровин Сергей Дмитриевич физик, Андреев Валерий Павлович историк, Леонов Алексей Архипович космотнавт, Логинов Виктор Александрович актер. </v>
      </c>
      <c r="J1375" s="6" t="str">
        <f>IFERROR(__xludf.DUMMYFUNCTION("""COMPUTED_VALUE"""),"Не знакома и не слышала о таких")</f>
        <v>Не знакома и не слышала о таких</v>
      </c>
      <c r="K1375" s="6" t="str">
        <f>IFERROR(__xludf.DUMMYFUNCTION("""COMPUTED_VALUE"""),"Всегда показываю музей военной истории, красную горку и томскую писаницу. ")</f>
        <v>Всегда показываю музей военной истории, красную горку и томскую писаницу. </v>
      </c>
      <c r="L1375" s="6" t="str">
        <f>IFERROR(__xludf.DUMMYFUNCTION("""COMPUTED_VALUE"""),"Рыба гниёт с головы")</f>
        <v>Рыба гниёт с головы</v>
      </c>
      <c r="M1375" s="6" t="str">
        <f>IFERROR(__xludf.DUMMYFUNCTION("""COMPUTED_VALUE"""),"Нет")</f>
        <v>Нет</v>
      </c>
      <c r="N1375" s="6" t="str">
        <f>IFERROR(__xludf.DUMMYFUNCTION("""COMPUTED_VALUE"""),"Чистый, с честной властью, ровными дорогами, ")</f>
        <v>Чистый, с честной властью, ровными дорогами, </v>
      </c>
      <c r="O1375" s="6" t="str">
        <f>IFERROR(__xludf.DUMMYFUNCTION("""COMPUTED_VALUE"""),"Губернатора")</f>
        <v>Губернатора</v>
      </c>
      <c r="P1375" s="6" t="str">
        <f>IFERROR(__xludf.DUMMYFUNCTION("""COMPUTED_VALUE"""),"Телеграм, вконтакте")</f>
        <v>Телеграм, вконтакте</v>
      </c>
      <c r="Q1375"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375" s="6" t="str">
        <f>IFERROR(__xludf.DUMMYFUNCTION("""COMPUTED_VALUE"""),"Никакие, на все из них уезжаем из города как можно дальше")</f>
        <v>Никакие, на все из них уезжаем из города как можно дальше</v>
      </c>
      <c r="S1375" s="6" t="str">
        <f>IFERROR(__xludf.DUMMYFUNCTION("""COMPUTED_VALUE"""),"Нет, не приходилось")</f>
        <v>Нет, не приходилось</v>
      </c>
      <c r="T1375" s="6" t="str">
        <f>IFERROR(__xludf.DUMMYFUNCTION("""COMPUTED_VALUE"""),"Углем и происшествием с зимней вишней")</f>
        <v>Углем и происшествием с зимней вишней</v>
      </c>
      <c r="U1375" s="6" t="str">
        <f>IFERROR(__xludf.DUMMYFUNCTION("""COMPUTED_VALUE"""),"Ничего")</f>
        <v>Ничего</v>
      </c>
      <c r="V1375" s="6" t="str">
        <f>IFERROR(__xludf.DUMMYFUNCTION("""COMPUTED_VALUE"""),"Не знаю")</f>
        <v>Не знаю</v>
      </c>
      <c r="W1375" s="6" t="str">
        <f>IFERROR(__xludf.DUMMYFUNCTION("""COMPUTED_VALUE"""),"Волевые, несгибаемые, прямолинейные")</f>
        <v>Волевые, несгибаемые, прямолинейные</v>
      </c>
      <c r="X1375" s="6" t="str">
        <f>IFERROR(__xludf.DUMMYFUNCTION("""COMPUTED_VALUE"""),"Площадь Волкова, Весенняя, набережная, через филармонию в парк Жукова после Антошка и по красноармейской возвращаемся. ")</f>
        <v>Площадь Волкова, Весенняя, набережная, через филармонию в парк Жукова после Антошка и по красноармейской возвращаемся. </v>
      </c>
      <c r="Y1375" s="6" t="str">
        <f>IFERROR(__xludf.DUMMYFUNCTION("""COMPUTED_VALUE"""),"Сгорела зимняя вишня и взрывы в шахтах")</f>
        <v>Сгорела зимняя вишня и взрывы в шахтах</v>
      </c>
      <c r="Z1375" s="6" t="str">
        <f>IFERROR(__xludf.DUMMYFUNCTION("""COMPUTED_VALUE"""),"Дистанционная работа в связи с пандемией")</f>
        <v>Дистанционная работа в связи с пандемией</v>
      </c>
      <c r="AA1375" s="6" t="str">
        <f>IFERROR(__xludf.DUMMYFUNCTION("""COMPUTED_VALUE"""),"Новый губернатор, площадь торжеств, огромная стройка на притомском, убийство зеленых насаждений возле ЗАГСА центрального района и вобще по всему городу")</f>
        <v>Новый губернатор, площадь торжеств, огромная стройка на притомском, убийство зеленых насаждений возле ЗАГСА центрального района и вобще по всему городу</v>
      </c>
      <c r="AB1375" s="6" t="str">
        <f>IFERROR(__xludf.DUMMYFUNCTION("""COMPUTED_VALUE"""),"Все что мне необходимо есть")</f>
        <v>Все что мне необходимо есть</v>
      </c>
      <c r="AC1375" s="6" t="str">
        <f>IFERROR(__xludf.DUMMYFUNCTION("""COMPUTED_VALUE"""),"Все что нужно есть, даже с перебором")</f>
        <v>Все что нужно есть, даже с перебором</v>
      </c>
      <c r="AD1375" s="6" t="str">
        <f>IFERROR(__xludf.DUMMYFUNCTION("""COMPUTED_VALUE"""),"Не готов принимать личное участие (укажите, пожалуйста, причину в поле «Другое»), Переезжаю в другой город")</f>
        <v>Не готов принимать личное участие (укажите, пожалуйста, причину в поле «Другое»), Переезжаю в другой город</v>
      </c>
      <c r="AE1375" s="6" t="str">
        <f>IFERROR(__xludf.DUMMYFUNCTION("""COMPUTED_VALUE"""),"Женский")</f>
        <v>Женский</v>
      </c>
      <c r="AF1375" s="6" t="str">
        <f>IFERROR(__xludf.DUMMYFUNCTION("""COMPUTED_VALUE"""),"18-29")</f>
        <v>18-29</v>
      </c>
      <c r="AG1375" s="6"/>
      <c r="AH1375" s="6"/>
      <c r="AI1375" s="6"/>
      <c r="AJ1375" s="6"/>
      <c r="AK1375" s="6"/>
      <c r="AL1375" s="6"/>
      <c r="AM1375" s="6"/>
    </row>
    <row r="1376">
      <c r="A1376" s="6">
        <v>1375.0</v>
      </c>
      <c r="B1376" s="6" t="str">
        <f>IFERROR(__xludf.DUMMYFUNCTION("""COMPUTED_VALUE"""),"Преподаватель")</f>
        <v>Преподаватель</v>
      </c>
      <c r="C1376" s="6" t="str">
        <f>IFERROR(__xludf.DUMMYFUNCTION("""COMPUTED_VALUE"""),"Танец")</f>
        <v>Танец</v>
      </c>
      <c r="D1376" s="6" t="str">
        <f>IFERROR(__xludf.DUMMYFUNCTION("""COMPUTED_VALUE"""),"Кировский")</f>
        <v>Кировский</v>
      </c>
      <c r="E1376" s="6" t="str">
        <f>IFERROR(__xludf.DUMMYFUNCTION("""COMPUTED_VALUE"""),"Набережная")</f>
        <v>Набережная</v>
      </c>
      <c r="F1376" s="6" t="str">
        <f>IFERROR(__xludf.DUMMYFUNCTION("""COMPUTED_VALUE"""),"Живу здесь с рождения")</f>
        <v>Живу здесь с рождения</v>
      </c>
      <c r="G1376" s="6" t="str">
        <f>IFERROR(__xludf.DUMMYFUNCTION("""COMPUTED_VALUE"""),"Сосновый бор, набережная")</f>
        <v>Сосновый бор, набережная</v>
      </c>
      <c r="H1376" s="6" t="str">
        <f>IFERROR(__xludf.DUMMYFUNCTION("""COMPUTED_VALUE"""),"Газ клумбы безработица театры ")</f>
        <v>Газ клумбы безработица театры </v>
      </c>
      <c r="I1376" s="6" t="str">
        <f>IFERROR(__xludf.DUMMYFUNCTION("""COMPUTED_VALUE"""),"Леонов, Григорьев, Двужильный, Волошина")</f>
        <v>Леонов, Григорьев, Двужильный, Волошина</v>
      </c>
      <c r="J1376" s="6" t="str">
        <f>IFERROR(__xludf.DUMMYFUNCTION("""COMPUTED_VALUE"""),"-")</f>
        <v>-</v>
      </c>
      <c r="K1376" s="6" t="str">
        <f>IFERROR(__xludf.DUMMYFUNCTION("""COMPUTED_VALUE"""),"Памятник шахтерам, ")</f>
        <v>Памятник шахтерам, </v>
      </c>
      <c r="L1376" s="6" t="str">
        <f>IFERROR(__xludf.DUMMYFUNCTION("""COMPUTED_VALUE"""),"-")</f>
        <v>-</v>
      </c>
      <c r="M1376" s="6" t="str">
        <f>IFERROR(__xludf.DUMMYFUNCTION("""COMPUTED_VALUE"""),"-")</f>
        <v>-</v>
      </c>
      <c r="N1376" s="6" t="str">
        <f>IFERROR(__xludf.DUMMYFUNCTION("""COMPUTED_VALUE"""),"Чистота воздуха, чистота улиц, хорошие дороги, работа для всех категорий граждан, престижные ВУЗы")</f>
        <v>Чистота воздуха, чистота улиц, хорошие дороги, работа для всех категорий граждан, престижные ВУЗы</v>
      </c>
      <c r="O1376" s="6" t="str">
        <f>IFERROR(__xludf.DUMMYFUNCTION("""COMPUTED_VALUE"""),"Улучшить экологическую обстановку")</f>
        <v>Улучшить экологическую обстановку</v>
      </c>
      <c r="P1376" s="6" t="str">
        <f>IFERROR(__xludf.DUMMYFUNCTION("""COMPUTED_VALUE"""),"Сиб депо, местные новости на тв")</f>
        <v>Сиб депо, местные новости на тв</v>
      </c>
      <c r="Q1376" s="6" t="str">
        <f>IFERROR(__xludf.DUMMYFUNCTION("""COMPUTED_VALUE"""),"куда пойти в свободное время,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Друго"&amp;"е свои предложения)")</f>
        <v>куда пойти в свободное время,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376" s="6" t="str">
        <f>IFERROR(__xludf.DUMMYFUNCTION("""COMPUTED_VALUE"""),"Любые, главное чтобы проводились интересно, а не для галочки")</f>
        <v>Любые, главное чтобы проводились интересно, а не для галочки</v>
      </c>
      <c r="S1376" s="6" t="str">
        <f>IFERROR(__xludf.DUMMYFUNCTION("""COMPUTED_VALUE"""),"Нет, не приходилось")</f>
        <v>Нет, не приходилось</v>
      </c>
      <c r="T1376" s="6" t="str">
        <f>IFERROR(__xludf.DUMMYFUNCTION("""COMPUTED_VALUE"""),"Как столица угольной промышленности")</f>
        <v>Как столица угольной промышленности</v>
      </c>
      <c r="U1376" s="6" t="str">
        <f>IFERROR(__xludf.DUMMYFUNCTION("""COMPUTED_VALUE"""),"Нет такого")</f>
        <v>Нет такого</v>
      </c>
      <c r="V1376" s="6" t="str">
        <f>IFERROR(__xludf.DUMMYFUNCTION("""COMPUTED_VALUE"""),"-")</f>
        <v>-</v>
      </c>
      <c r="W1376" s="6" t="str">
        <f>IFERROR(__xludf.DUMMYFUNCTION("""COMPUTED_VALUE""")," Уставшие")</f>
        <v> Уставшие</v>
      </c>
      <c r="X1376" s="6" t="str">
        <f>IFERROR(__xludf.DUMMYFUNCTION("""COMPUTED_VALUE"""),"Красная Горка для понорамы города")</f>
        <v>Красная Горка для понорамы города</v>
      </c>
      <c r="Y1376" s="6" t="str">
        <f>IFERROR(__xludf.DUMMYFUNCTION("""COMPUTED_VALUE"""),"-")</f>
        <v>-</v>
      </c>
      <c r="Z1376" s="6" t="str">
        <f>IFERROR(__xludf.DUMMYFUNCTION("""COMPUTED_VALUE"""),"Ремонт набережной в Кировском районе")</f>
        <v>Ремонт набережной в Кировском районе</v>
      </c>
      <c r="AA1376" s="6" t="str">
        <f>IFERROR(__xludf.DUMMYFUNCTION("""COMPUTED_VALUE"""),"Попытки изменить Сосновый бор, закрытие бассейна")</f>
        <v>Попытки изменить Сосновый бор, закрытие бассейна</v>
      </c>
      <c r="AB1376" s="6" t="str">
        <f>IFERROR(__xludf.DUMMYFUNCTION("""COMPUTED_VALUE"""),"-")</f>
        <v>-</v>
      </c>
      <c r="AC1376" s="6" t="str">
        <f>IFERROR(__xludf.DUMMYFUNCTION("""COMPUTED_VALUE"""),"Просто нужны ВУЗы, дающие настоящее образование и работа для выпускников")</f>
        <v>Просто нужны ВУЗы, дающие настоящее образование и работа для выпускников</v>
      </c>
      <c r="AD1376"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376" s="6" t="str">
        <f>IFERROR(__xludf.DUMMYFUNCTION("""COMPUTED_VALUE"""),"Женский")</f>
        <v>Женский</v>
      </c>
      <c r="AF1376" s="6" t="str">
        <f>IFERROR(__xludf.DUMMYFUNCTION("""COMPUTED_VALUE"""),"45-55")</f>
        <v>45-55</v>
      </c>
      <c r="AG1376" s="6"/>
      <c r="AH1376" s="6"/>
      <c r="AI1376" s="6"/>
      <c r="AJ1376" s="6"/>
      <c r="AK1376" s="6"/>
      <c r="AL1376" s="6"/>
      <c r="AM1376" s="6"/>
    </row>
    <row r="1377">
      <c r="A1377" s="6">
        <v>1376.0</v>
      </c>
      <c r="B1377" s="6" t="str">
        <f>IFERROR(__xludf.DUMMYFUNCTION("""COMPUTED_VALUE"""),"Сотрудник ""АЗОТ""")</f>
        <v>Сотрудник "АЗОТ"</v>
      </c>
      <c r="C1377" s="6" t="str">
        <f>IFERROR(__xludf.DUMMYFUNCTION("""COMPUTED_VALUE"""),"Нет")</f>
        <v>Нет</v>
      </c>
      <c r="D1377" s="6" t="str">
        <f>IFERROR(__xludf.DUMMYFUNCTION("""COMPUTED_VALUE"""),"Заводской")</f>
        <v>Заводской</v>
      </c>
      <c r="E1377" s="6" t="str">
        <f>IFERROR(__xludf.DUMMYFUNCTION("""COMPUTED_VALUE"""),"В заводском районе не знаю, гуляю по центральному району")</f>
        <v>В заводском районе не знаю, гуляю по центральному району</v>
      </c>
      <c r="F1377" s="6" t="str">
        <f>IFERROR(__xludf.DUMMYFUNCTION("""COMPUTED_VALUE"""),"Переехал сюда из другого места (откуда? укажите в графе другое), Переехала в связи с учебой из Ижморского района")</f>
        <v>Переехал сюда из другого места (откуда? укажите в графе другое), Переехала в связи с учебой из Ижморского района</v>
      </c>
      <c r="G1377" s="6" t="str">
        <f>IFERROR(__xludf.DUMMYFUNCTION("""COMPUTED_VALUE"""),"Центр, набережная, улица Весенняя, парк Ангелов, парк Победы, сосновый бор, комсомольский парк, бульвар строителей, пионерский бульвар, гора ""Люскус"", боулинг в Байконуре, кафе додо пицца, гриль бар шашлыков и т.п.")</f>
        <v>Центр, набережная, улица Весенняя, парк Ангелов, парк Победы, сосновый бор, комсомольский парк, бульвар строителей, пионерский бульвар, гора "Люскус", боулинг в Байконуре, кафе додо пицца, гриль бар шашлыков и т.п.</v>
      </c>
      <c r="H1377" s="6" t="str">
        <f>IFERROR(__xludf.DUMMYFUNCTION("""COMPUTED_VALUE"""),"Производственная площадка, стройка, режим чёрного неба, набережная, ""зимняя вишня""")</f>
        <v>Производственная площадка, стройка, режим чёрного неба, набережная, "зимняя вишня"</v>
      </c>
      <c r="I1377" s="6" t="str">
        <f>IFERROR(__xludf.DUMMYFUNCTION("""COMPUTED_VALUE"""),"Михайло Волков, Вера Волошина, В.И. Ленин, ")</f>
        <v>Михайло Волков, Вера Волошина, В.И. Ленин, </v>
      </c>
      <c r="J1377" s="6" t="str">
        <f>IFERROR(__xludf.DUMMYFUNCTION("""COMPUTED_VALUE"""),"А.Г. Тулеев, Федяев, Гришковец, Бобров, Головин")</f>
        <v>А.Г. Тулеев, Федяев, Гришковец, Бобров, Головин</v>
      </c>
      <c r="K1377" s="6" t="str">
        <f>IFERROR(__xludf.DUMMYFUNCTION("""COMPUTED_VALUE"""),"Памятник шахтерам, президентское кадетское училище, парк Ангелов, набережная, филармония, ""крест"", ботанический сад")</f>
        <v>Памятник шахтерам, президентское кадетское училище, парк Ангелов, набережная, филармония, "крест", ботанический сад</v>
      </c>
      <c r="L1377" s="6" t="str">
        <f>IFERROR(__xludf.DUMMYFUNCTION("""COMPUTED_VALUE"""),"Терпение и труд всё перетрут")</f>
        <v>Терпение и труд всё перетрут</v>
      </c>
      <c r="M1377" s="6" t="str">
        <f>IFERROR(__xludf.DUMMYFUNCTION("""COMPUTED_VALUE"""),"Он из Кировского")</f>
        <v>Он из Кировского</v>
      </c>
      <c r="N1377" s="6" t="str">
        <f>IFERROR(__xludf.DUMMYFUNCTION("""COMPUTED_VALUE"""),"Уют, чистота, ровные и чистые дороги и тротуары, много парков и скверов, доступное жильё ")</f>
        <v>Уют, чистота, ровные и чистые дороги и тротуары, много парков и скверов, доступное жильё </v>
      </c>
      <c r="O1377" s="6" t="str">
        <f>IFERROR(__xludf.DUMMYFUNCTION("""COMPUTED_VALUE"""),"Экологию, власть")</f>
        <v>Экологию, власть</v>
      </c>
      <c r="P1377" s="6" t="str">
        <f>IFERROR(__xludf.DUMMYFUNCTION("""COMPUTED_VALUE"""),"Афиши,рекламные плакаты, сайты инцидент Кузбасс, афиша.ру")</f>
        <v>Афиши,рекламные плакаты, сайты инцидент Кузбасс, афиша.ру</v>
      </c>
      <c r="Q1377" s="6" t="str">
        <f>IFERROR(__xludf.DUMMYFUNCTION("""COMPUTED_VALUE"""),"куда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 интервью с экспе"&amp;"ртами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377" s="6" t="str">
        <f>IFERROR(__xludf.DUMMYFUNCTION("""COMPUTED_VALUE"""),"9 мая, День города, новый год")</f>
        <v>9 мая, День города, новый год</v>
      </c>
      <c r="S1377" s="6" t="str">
        <f>IFERROR(__xludf.DUMMYFUNCTION("""COMPUTED_VALUE"""),"Нет, не приходилось")</f>
        <v>Нет, не приходилось</v>
      </c>
      <c r="T1377" s="6" t="str">
        <f>IFERROR(__xludf.DUMMYFUNCTION("""COMPUTED_VALUE"""),"Шахтёрский край, музеи, Томская писаница")</f>
        <v>Шахтёрский край, музеи, Томская писаница</v>
      </c>
      <c r="U1377" s="6" t="str">
        <f>IFERROR(__xludf.DUMMYFUNCTION("""COMPUTED_VALUE"""),"Набережная, музей красная горка, ")</f>
        <v>Набережная, музей красная горка, </v>
      </c>
      <c r="V1377" s="6" t="str">
        <f>IFERROR(__xludf.DUMMYFUNCTION("""COMPUTED_VALUE"""),"Угольная, химическая промышленность")</f>
        <v>Угольная, химическая промышленность</v>
      </c>
      <c r="W1377" s="6" t="str">
        <f>IFERROR(__xludf.DUMMYFUNCTION("""COMPUTED_VALUE"""),"Добрые, отзывчивые, занятые, хмурые")</f>
        <v>Добрые, отзывчивые, занятые, хмурые</v>
      </c>
      <c r="X1377" s="6" t="str">
        <f>IFERROR(__xludf.DUMMYFUNCTION("""COMPUTED_VALUE"""),"Весенняя, набережная, парк чудес")</f>
        <v>Весенняя, набережная, парк чудес</v>
      </c>
      <c r="Y1377" s="6" t="str">
        <f>IFERROR(__xludf.DUMMYFUNCTION("""COMPUTED_VALUE"""),"Власть Тулеева")</f>
        <v>Власть Тулеева</v>
      </c>
      <c r="Z1377" s="6" t="str">
        <f>IFERROR(__xludf.DUMMYFUNCTION("""COMPUTED_VALUE"""),"Президентское кадетское училище, празднование 9го мая")</f>
        <v>Президентское кадетское училище, празднование 9го мая</v>
      </c>
      <c r="AA1377" s="6" t="str">
        <f>IFERROR(__xludf.DUMMYFUNCTION("""COMPUTED_VALUE"""),"Зимняя вишня, закрытие Лазурного, несанкционированные митинги")</f>
        <v>Зимняя вишня, закрытие Лазурного, несанкционированные митинги</v>
      </c>
      <c r="AB1377" s="6" t="str">
        <f>IFERROR(__xludf.DUMMYFUNCTION("""COMPUTED_VALUE"""),"Экологических, тех кто отвечает за уборку города")</f>
        <v>Экологических, тех кто отвечает за уборку города</v>
      </c>
      <c r="AC1377" s="6" t="str">
        <f>IFERROR(__xludf.DUMMYFUNCTION("""COMPUTED_VALUE"""),"Спортивные мероприятия, выступление известных людей")</f>
        <v>Спортивные мероприятия, выступление известных людей</v>
      </c>
      <c r="AD137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377" s="6" t="str">
        <f>IFERROR(__xludf.DUMMYFUNCTION("""COMPUTED_VALUE"""),"Женский")</f>
        <v>Женский</v>
      </c>
      <c r="AF1377" s="6" t="str">
        <f>IFERROR(__xludf.DUMMYFUNCTION("""COMPUTED_VALUE"""),"18-29")</f>
        <v>18-29</v>
      </c>
      <c r="AG1377" s="6"/>
      <c r="AH1377" s="6"/>
      <c r="AI1377" s="6"/>
      <c r="AJ1377" s="6"/>
      <c r="AK1377" s="6"/>
      <c r="AL1377" s="6"/>
      <c r="AM1377" s="6"/>
    </row>
    <row r="1378">
      <c r="A1378" s="6">
        <v>1377.0</v>
      </c>
      <c r="B1378" s="6" t="str">
        <f>IFERROR(__xludf.DUMMYFUNCTION("""COMPUTED_VALUE"""),"В декрете. Основная работа на заводе. ")</f>
        <v>В декрете. Основная работа на заводе. </v>
      </c>
      <c r="C1378" s="6" t="str">
        <f>IFERROR(__xludf.DUMMYFUNCTION("""COMPUTED_VALUE"""),"Спорт, чтение, рукоделие ")</f>
        <v>Спорт, чтение, рукоделие </v>
      </c>
      <c r="D1378" s="6" t="str">
        <f>IFERROR(__xludf.DUMMYFUNCTION("""COMPUTED_VALUE"""),"Ленинский и кировский, оба называю отшиб. ")</f>
        <v>Ленинский и кировский, оба называю отшиб. </v>
      </c>
      <c r="E1378" s="6" t="str">
        <f>IFERROR(__xludf.DUMMYFUNCTION("""COMPUTED_VALUE"""),"Бульвар с одной качелей на кучу детей и фонтаном, который ни как не могут доконца доделать. Роща (до конца так и не облагороженная) и набережная кировского ")</f>
        <v>Бульвар с одной качелей на кучу детей и фонтаном, который ни как не могут доконца доделать. Роща (до конца так и не облагороженная) и набережная кировского </v>
      </c>
      <c r="F1378" s="6" t="str">
        <f>IFERROR(__xludf.DUMMYFUNCTION("""COMPUTED_VALUE"""),"Живу здесь с рождения")</f>
        <v>Живу здесь с рождения</v>
      </c>
      <c r="G1378" s="6" t="str">
        <f>IFERROR(__xludf.DUMMYFUNCTION("""COMPUTED_VALUE"""),"Набережная кировского и центрального, бульвар, весенняя, редко парк Антошка и Жукова и парк Веры Волошиной. ")</f>
        <v>Набережная кировского и центрального, бульвар, весенняя, редко парк Антошка и Жукова и парк Веры Волошиной. </v>
      </c>
      <c r="H1378" s="6" t="str">
        <f>IFERROR(__xludf.DUMMYFUNCTION("""COMPUTED_VALUE"""),"Грязные улицы, отсутствие нормальных детских площадок, развитие")</f>
        <v>Грязные улицы, отсутствие нормальных детских площадок, развитие</v>
      </c>
      <c r="I1378" s="6" t="str">
        <f>IFERROR(__xludf.DUMMYFUNCTION("""COMPUTED_VALUE"""),"Леонов, Вера Волошина, Подгорбунский, Гришковец, Григорьевич, Двужильный, Егоров, Мартемьянов,Бабенко,Панин.")</f>
        <v>Леонов, Вера Волошина, Подгорбунский, Гришковец, Григорьевич, Двужильный, Егоров, Мартемьянов,Бабенко,Панин.</v>
      </c>
      <c r="J1378" s="6" t="str">
        <f>IFERROR(__xludf.DUMMYFUNCTION("""COMPUTED_VALUE"""),"Затрудняюсь с ответом. ")</f>
        <v>Затрудняюсь с ответом. </v>
      </c>
      <c r="K1378" s="6" t="str">
        <f>IFERROR(__xludf.DUMMYFUNCTION("""COMPUTED_VALUE"""),"Музей ""Красная горка"" , набережная кировского, аллея славы, музей- заповедник ""Томская писаница"", краеведческий музей, музыкальный театр Кузбасса, театр для детей и молодёжи. Сосновый бор. ")</f>
        <v>Музей "Красная горка" , набережная кировского, аллея славы, музей- заповедник "Томская писаница", краеведческий музей, музыкальный театр Кузбасса, театр для детей и молодёжи. Сосновый бор. </v>
      </c>
      <c r="L1378" s="6" t="str">
        <f>IFERROR(__xludf.DUMMYFUNCTION("""COMPUTED_VALUE"""),"""Человек из города Кемерово""-песня Гребенщикова.
В годы войны численность населения Кемеровской области достигла почти 1,9 млн человек. Кроме эвакуированных были и те, кто оказался здесь в принудительном порядке. На некоторых шахтах более 20% рабочих со"&amp;"ставляли представители так называемого «спецконтингента» – спецпоселенцы из кулаков, депортированные немцы Поволжья, заключённые. ")</f>
        <v>"Человек из города Кемерово"-песня Гребенщикова.
В годы войны численность населения Кемеровской области достигла почти 1,9 млн человек. Кроме эвакуированных были и те, кто оказался здесь в принудительном порядке. На некоторых шахтах более 20% рабочих составляли представители так называемого «спецконтингента» – спецпоселенцы из кулаков, депортированные немцы Поволжья, заключённые. </v>
      </c>
      <c r="M1378" s="6" t="str">
        <f>IFERROR(__xludf.DUMMYFUNCTION("""COMPUTED_VALUE"""),"Нет. Но у кемеровчан самый чистый говор. ")</f>
        <v>Нет. Но у кемеровчан самый чистый говор. </v>
      </c>
      <c r="N1378" s="6" t="str">
        <f>IFERROR(__xludf.DUMMYFUNCTION("""COMPUTED_VALUE"""),"Чистота, места для отдыха, наличие достойной работы. ")</f>
        <v>Чистота, места для отдыха, наличие достойной работы. </v>
      </c>
      <c r="O1378" s="6" t="str">
        <f>IFERROR(__xludf.DUMMYFUNCTION("""COMPUTED_VALUE"""),"Слишком много всего, что нужно сделать. Но думаю сделать достойные площадки( с правильным покрытием, качелями и турниками) для детей во дворах своих жилых домов, чтобы не нужно было куда-то специально идти, чтобы ребёнок погулял. ")</f>
        <v>Слишком много всего, что нужно сделать. Но думаю сделать достойные площадки( с правильным покрытием, качелями и турниками) для детей во дворах своих жилых домов, чтобы не нужно было куда-то специально идти, чтобы ребёнок погулял. </v>
      </c>
      <c r="P1378" s="6" t="str">
        <f>IFERROR(__xludf.DUMMYFUNCTION("""COMPUTED_VALUE"""),"СМИ, Инстаграм, яндекс новости. ")</f>
        <v>СМИ, Инстаграм, яндекс новости. </v>
      </c>
      <c r="Q1378"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378" s="6" t="str">
        <f>IFERROR(__xludf.DUMMYFUNCTION("""COMPUTED_VALUE"""),"9 мая, день защиты детей, день города и день шахтёров. ")</f>
        <v>9 мая, день защиты детей, день города и день шахтёров. </v>
      </c>
      <c r="S1378" s="6" t="str">
        <f>IFERROR(__xludf.DUMMYFUNCTION("""COMPUTED_VALUE"""),"Нет, не приходилось")</f>
        <v>Нет, не приходилось</v>
      </c>
      <c r="T1378" s="6" t="str">
        <f>IFERROR(__xludf.DUMMYFUNCTION("""COMPUTED_VALUE"""),"Последнее чем мы стали известны, к сожалению, трагедия в трк ""Зимняя вишня"" ")</f>
        <v>Последнее чем мы стали известны, к сожалению, трагедия в трк "Зимняя вишня" </v>
      </c>
      <c r="U1378" s="6" t="str">
        <f>IFERROR(__xludf.DUMMYFUNCTION("""COMPUTED_VALUE"""),"Площадь советов ")</f>
        <v>Площадь советов </v>
      </c>
      <c r="V1378" s="6" t="str">
        <f>IFERROR(__xludf.DUMMYFUNCTION("""COMPUTED_VALUE"""),"Работали на завода для фронта и далее в мирное время заводчане были гордостью Кузбасса. А также наши шахтёры. И знаменитые спортсмены. Наши вузы входят в топ востребованных вузов уже много лет, кемеровский учёные регулярно получают гранды и побеждают в ме"&amp;"ждународных конкурсах, множество достойных классических и экспериментальный театров. ")</f>
        <v>Работали на завода для фронта и далее в мирное время заводчане были гордостью Кузбасса. А также наши шахтёры. И знаменитые спортсмены. Наши вузы входят в топ востребованных вузов уже много лет, кемеровский учёные регулярно получают гранды и побеждают в международных конкурсах, множество достойных классических и экспериментальный театров. </v>
      </c>
      <c r="W1378" s="6" t="str">
        <f>IFERROR(__xludf.DUMMYFUNCTION("""COMPUTED_VALUE"""),"Гостеприимные, трудолюбивые,весёлые, не много злые. ")</f>
        <v>Гостеприимные, трудолюбивые,весёлые, не много злые. </v>
      </c>
      <c r="X1378" s="6" t="str">
        <f>IFERROR(__xludf.DUMMYFUNCTION("""COMPUTED_VALUE"""),"Он огромен и охватывает два берега. ")</f>
        <v>Он огромен и охватывает два берега. </v>
      </c>
      <c r="Y1378" s="6" t="str">
        <f>IFERROR(__xludf.DUMMYFUNCTION("""COMPUTED_VALUE"""),"Один из самых широких мостов в Сибири — Кузнецкий. 
1 июля 2015 года в Кемерове запустили реверсивное движение. 
Житель Кемерово Алексей Леонов первый человек вышедший в космос!
Первое, что пришло на ум. ")</f>
        <v>Один из самых широких мостов в Сибири — Кузнецкий. 
1 июля 2015 года в Кемерове запустили реверсивное движение. 
Житель Кемерово Алексей Леонов первый человек вышедший в космос!
Первое, что пришло на ум. </v>
      </c>
      <c r="Z1378" s="6" t="str">
        <f>IFERROR(__xludf.DUMMYFUNCTION("""COMPUTED_VALUE"""),"Расстройка города. ")</f>
        <v>Расстройка города. </v>
      </c>
      <c r="AA1378" s="6" t="str">
        <f>IFERROR(__xludf.DUMMYFUNCTION("""COMPUTED_VALUE"""),"Зимняя вишня, состояние улиц. ")</f>
        <v>Зимняя вишня, состояние улиц. </v>
      </c>
      <c r="AB1378" s="6" t="str">
        <f>IFERROR(__xludf.DUMMYFUNCTION("""COMPUTED_VALUE"""),"Сообществ для матерей в декрете. ")</f>
        <v>Сообществ для матерей в декрете. </v>
      </c>
      <c r="AC1378" s="6" t="str">
        <f>IFERROR(__xludf.DUMMYFUNCTION("""COMPUTED_VALUE"""),"Больше концертов с нормальными знаменитости, праздники и мероприятия для деток разной возрастной категории. ")</f>
        <v>Больше концертов с нормальными знаменитости, праздники и мероприятия для деток разной возрастной категории. </v>
      </c>
      <c r="AD137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78" s="6" t="str">
        <f>IFERROR(__xludf.DUMMYFUNCTION("""COMPUTED_VALUE"""),"Женский")</f>
        <v>Женский</v>
      </c>
      <c r="AF1378" s="6" t="str">
        <f>IFERROR(__xludf.DUMMYFUNCTION("""COMPUTED_VALUE"""),"30-44")</f>
        <v>30-44</v>
      </c>
      <c r="AG1378" s="6"/>
      <c r="AH1378" s="6"/>
      <c r="AI1378" s="6"/>
      <c r="AJ1378" s="6"/>
      <c r="AK1378" s="6"/>
      <c r="AL1378" s="6"/>
      <c r="AM1378" s="6"/>
    </row>
    <row r="1379">
      <c r="A1379" s="6">
        <v>1378.0</v>
      </c>
      <c r="B1379" s="6" t="str">
        <f>IFERROR(__xludf.DUMMYFUNCTION("""COMPUTED_VALUE"""),"Студент")</f>
        <v>Студент</v>
      </c>
      <c r="C1379" s="6" t="str">
        <f>IFERROR(__xludf.DUMMYFUNCTION("""COMPUTED_VALUE"""),"Видеомонтаж, гитара")</f>
        <v>Видеомонтаж, гитара</v>
      </c>
      <c r="D1379" s="6" t="str">
        <f>IFERROR(__xludf.DUMMYFUNCTION("""COMPUTED_VALUE"""),"Ягуновка")</f>
        <v>Ягуновка</v>
      </c>
      <c r="E1379" s="6" t="str">
        <f>IFERROR(__xludf.DUMMYFUNCTION("""COMPUTED_VALUE"""),"Парк, старая водонапорная башня, церковь")</f>
        <v>Парк, старая водонапорная башня, церковь</v>
      </c>
      <c r="F1379" s="6" t="str">
        <f>IFERROR(__xludf.DUMMYFUNCTION("""COMPUTED_VALUE"""),"Живу здесь с рождения")</f>
        <v>Живу здесь с рождения</v>
      </c>
      <c r="G1379" s="6" t="str">
        <f>IFERROR(__xludf.DUMMYFUNCTION("""COMPUTED_VALUE"""),"Парк Ангелов, исторический центр")</f>
        <v>Парк Ангелов, исторический центр</v>
      </c>
      <c r="H1379" s="6" t="str">
        <f>IFERROR(__xludf.DUMMYFUNCTION("""COMPUTED_VALUE"""),"Ветер, жёлтый, аккуратный, деревья, граффити")</f>
        <v>Ветер, жёлтый, аккуратный, деревья, граффити</v>
      </c>
      <c r="I1379" s="6" t="str">
        <f>IFERROR(__xludf.DUMMYFUNCTION("""COMPUTED_VALUE"""),"Волков, Леонов, Подгорбунский")</f>
        <v>Волков, Леонов, Подгорбунский</v>
      </c>
      <c r="J1379" s="6" t="str">
        <f>IFERROR(__xludf.DUMMYFUNCTION("""COMPUTED_VALUE"""),"-")</f>
        <v>-</v>
      </c>
      <c r="K1379" s="6" t="str">
        <f>IFERROR(__xludf.DUMMYFUNCTION("""COMPUTED_VALUE"""),"Сосновый бор, парк ангелов, место под кузнецким мостом")</f>
        <v>Сосновый бор, парк ангелов, место под кузнецким мостом</v>
      </c>
      <c r="L1379" s="6" t="str">
        <f>IFERROR(__xludf.DUMMYFUNCTION("""COMPUTED_VALUE"""),"В Кемерово пьяный мужчина катал на угнанной иномарке бомжа и гуся")</f>
        <v>В Кемерово пьяный мужчина катал на угнанной иномарке бомжа и гуся</v>
      </c>
      <c r="M1379" s="6" t="str">
        <f>IFERROR(__xludf.DUMMYFUNCTION("""COMPUTED_VALUE"""),"Нет")</f>
        <v>Нет</v>
      </c>
      <c r="N1379" s="6" t="str">
        <f>IFERROR(__xludf.DUMMYFUNCTION("""COMPUTED_VALUE"""),"Отсутствие открытого грунта и пыли, красивые остановки, грамотный водоотвод, деревья, хорошие урны и мусорные площадки")</f>
        <v>Отсутствие открытого грунта и пыли, красивые остановки, грамотный водоотвод, деревья, хорошие урны и мусорные площадки</v>
      </c>
      <c r="O1379" s="6" t="str">
        <f>IFERROR(__xludf.DUMMYFUNCTION("""COMPUTED_VALUE"""),"Убрать лужи и пыль ")</f>
        <v>Убрать лужи и пыль </v>
      </c>
      <c r="P1379" s="6" t="str">
        <f>IFERROR(__xludf.DUMMYFUNCTION("""COMPUTED_VALUE"""),"Всë42, типичный Кемерово")</f>
        <v>Всë42, типичный Кемерово</v>
      </c>
      <c r="Q1379" s="6" t="str">
        <f>IFERROR(__xludf.DUMMYFUNCTION("""COMPUTED_VALUE"""),"куда пойти в свободное время, интервью с местными политиками, интервью с местными творческими личностями")</f>
        <v>куда пойти в свободное время, интервью с местными политиками, интервью с местными творческими личностями</v>
      </c>
      <c r="R1379" s="6" t="str">
        <f>IFERROR(__xludf.DUMMYFUNCTION("""COMPUTED_VALUE"""),"Где есть салюты")</f>
        <v>Где есть салюты</v>
      </c>
      <c r="S1379" s="6" t="str">
        <f>IFERROR(__xludf.DUMMYFUNCTION("""COMPUTED_VALUE"""),"Нет, не приходилось")</f>
        <v>Нет, не приходилось</v>
      </c>
      <c r="T1379" s="6" t="str">
        <f>IFERROR(__xludf.DUMMYFUNCTION("""COMPUTED_VALUE"""),"К сожалению, Зимней вишней")</f>
        <v>К сожалению, Зимней вишней</v>
      </c>
      <c r="U1379" s="6" t="str">
        <f>IFERROR(__xludf.DUMMYFUNCTION("""COMPUTED_VALUE"""),"Советский, весенняя, 50 лет октября, красная")</f>
        <v>Советский, весенняя, 50 лет октября, красная</v>
      </c>
      <c r="V1379" s="6" t="str">
        <f>IFERROR(__xludf.DUMMYFUNCTION("""COMPUTED_VALUE"""),"Постоили красивые дома в центре, высадили деревья, закупили новый общественный транспорт, меняют остановки")</f>
        <v>Постоили красивые дома в центре, высадили деревья, закупили новый общественный транспорт, меняют остановки</v>
      </c>
      <c r="W1379" s="6" t="str">
        <f>IFERROR(__xludf.DUMMYFUNCTION("""COMPUTED_VALUE"""),"Очень разные, это можно заметить переходы из одного района в другой. Есть хорошие, вежливые, красиво одетые люди. Есть негативные, которые вечно всем недовольны. ")</f>
        <v>Очень разные, это можно заметить переходы из одного района в другой. Есть хорошие, вежливые, красиво одетые люди. Есть негативные, которые вечно всем недовольны. </v>
      </c>
      <c r="X1379" s="6" t="str">
        <f>IFERROR(__xludf.DUMMYFUNCTION("""COMPUTED_VALUE"""),"Вокзал (по Ленина где граффити) - парк ангелов - кузгту по (50 лет октября) - весенняя - драмтеатр - набережная")</f>
        <v>Вокзал (по Ленина где граффити) - парк ангелов - кузгту по (50 лет октября) - весенняя - драмтеатр - набережная</v>
      </c>
      <c r="Y1379" s="6" t="str">
        <f>IFERROR(__xludf.DUMMYFUNCTION("""COMPUTED_VALUE"""),"Пожар в ЗВ")</f>
        <v>Пожар в ЗВ</v>
      </c>
      <c r="Z1379" s="6" t="str">
        <f>IFERROR(__xludf.DUMMYFUNCTION("""COMPUTED_VALUE"""),"Фестиваль Легенды мирового рока")</f>
        <v>Фестиваль Легенды мирового рока</v>
      </c>
      <c r="AA1379" s="6" t="str">
        <f>IFERROR(__xludf.DUMMYFUNCTION("""COMPUTED_VALUE"""),"Убийство студентки её бывшим и нереагирование полиции")</f>
        <v>Убийство студентки её бывшим и нереагирование полиции</v>
      </c>
      <c r="AB1379" s="6" t="str">
        <f>IFERROR(__xludf.DUMMYFUNCTION("""COMPUTED_VALUE"""),"-")</f>
        <v>-</v>
      </c>
      <c r="AC1379" s="6" t="str">
        <f>IFERROR(__xludf.DUMMYFUNCTION("""COMPUTED_VALUE"""),"Фестивали уличной кухни, что-нибудь с автомобилями")</f>
        <v>Фестивали уличной кухни, что-нибудь с автомобилями</v>
      </c>
      <c r="AD137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79" s="6" t="str">
        <f>IFERROR(__xludf.DUMMYFUNCTION("""COMPUTED_VALUE"""),"Женский")</f>
        <v>Женский</v>
      </c>
      <c r="AF1379" s="6" t="str">
        <f>IFERROR(__xludf.DUMMYFUNCTION("""COMPUTED_VALUE"""),"18-29")</f>
        <v>18-29</v>
      </c>
      <c r="AG1379" s="6"/>
      <c r="AH1379" s="6"/>
      <c r="AI1379" s="6"/>
      <c r="AJ1379" s="6"/>
      <c r="AK1379" s="6"/>
      <c r="AL1379" s="6"/>
      <c r="AM1379" s="6"/>
    </row>
    <row r="1380">
      <c r="A1380" s="6">
        <v>1379.0</v>
      </c>
      <c r="B1380" s="6" t="str">
        <f>IFERROR(__xludf.DUMMYFUNCTION("""COMPUTED_VALUE"""),"Психолог")</f>
        <v>Психолог</v>
      </c>
      <c r="C1380" s="6" t="str">
        <f>IFERROR(__xludf.DUMMYFUNCTION("""COMPUTED_VALUE"""),"Спорт")</f>
        <v>Спорт</v>
      </c>
      <c r="D1380" s="6" t="str">
        <f>IFERROR(__xludf.DUMMYFUNCTION("""COMPUTED_VALUE"""),"Южный, Южный")</f>
        <v>Южный, Южный</v>
      </c>
      <c r="E1380" s="6" t="str">
        <f>IFERROR(__xludf.DUMMYFUNCTION("""COMPUTED_VALUE"""),"кладбища с разных сторон Южного")</f>
        <v>кладбища с разных сторон Южного</v>
      </c>
      <c r="F1380" s="6" t="str">
        <f>IFERROR(__xludf.DUMMYFUNCTION("""COMPUTED_VALUE"""),"Переехал сюда из другого места (откуда? укажите в графе другое), Из другого города, потом из Ленинского района")</f>
        <v>Переехал сюда из другого места (откуда? укажите в графе другое), Из другого города, потом из Ленинского района</v>
      </c>
      <c r="G1380" s="6" t="str">
        <f>IFERROR(__xludf.DUMMYFUNCTION("""COMPUTED_VALUE"""),"Центр, набережная, бор")</f>
        <v>Центр, набережная, бор</v>
      </c>
      <c r="H1380" s="6" t="str">
        <f>IFERROR(__xludf.DUMMYFUNCTION("""COMPUTED_VALUE"""),"Дымящиеся трубы, бор, уголь, зимняя вишня, Томь")</f>
        <v>Дымящиеся трубы, бор, уголь, зимняя вишня, Томь</v>
      </c>
      <c r="I1380" s="6" t="str">
        <f>IFERROR(__xludf.DUMMYFUNCTION("""COMPUTED_VALUE"""),"Ван Лохем, Подгорбунский, Леонов")</f>
        <v>Ван Лохем, Подгорбунский, Леонов</v>
      </c>
      <c r="J1380" s="6" t="str">
        <f>IFERROR(__xludf.DUMMYFUNCTION("""COMPUTED_VALUE"""),"Гришковец, ребята из Кота да Винчи, ребята из гудлайна, которые делали проекты для городских сообществ, Кукушкин, другие инициаторы общественных инициатив")</f>
        <v>Гришковец, ребята из Кота да Винчи, ребята из гудлайна, которые делали проекты для городских сообществ, Кукушкин, другие инициаторы общественных инициатив</v>
      </c>
      <c r="K1380" s="6" t="str">
        <f>IFERROR(__xludf.DUMMYFUNCTION("""COMPUTED_VALUE"""),"Бор, красная горка, набережная")</f>
        <v>Бор, красная горка, набережная</v>
      </c>
      <c r="L1380" s="6" t="str">
        <f>IFERROR(__xludf.DUMMYFUNCTION("""COMPUTED_VALUE"""),"Человек из Кемерово (Гребенщиков)")</f>
        <v>Человек из Кемерово (Гребенщиков)</v>
      </c>
      <c r="M1380" s="6" t="str">
        <f>IFERROR(__xludf.DUMMYFUNCTION("""COMPUTED_VALUE"""),"Не уверен, что они есть")</f>
        <v>Не уверен, что они есть</v>
      </c>
      <c r="N1380" s="6" t="str">
        <f>IFERROR(__xludf.DUMMYFUNCTION("""COMPUTED_VALUE"""),"Парковые зоны, детские площадки, много скамеек, много общественных туалетов, которые открыты")</f>
        <v>Парковые зоны, детские площадки, много скамеек, много общественных туалетов, которые открыты</v>
      </c>
      <c r="O1380" s="6" t="str">
        <f>IFERROR(__xludf.DUMMYFUNCTION("""COMPUTED_VALUE"""),"Оставить бор в покое, забыть про идиотскую идею с памятником святой варваре, облагораживать дворы зеленью, а не асфальтом, делать больше небольших локальных зелёных территорий с детскими площадками, ставить повсюду скамейки и общественные туалеты. Забыть "&amp;"мегаломанические проекты первости-за-уралом и делать городскую среду дружелюбной.")</f>
        <v>Оставить бор в покое, забыть про идиотскую идею с памятником святой варваре, облагораживать дворы зеленью, а не асфальтом, делать больше небольших локальных зелёных территорий с детскими площадками, ставить повсюду скамейки и общественные туалеты. Забыть мегаломанические проекты первости-за-уралом и делать городскую среду дружелюбной.</v>
      </c>
      <c r="P1380" s="6" t="str">
        <f>IFERROR(__xludf.DUMMYFUNCTION("""COMPUTED_VALUE"""),"Телеграм")</f>
        <v>Телеграм</v>
      </c>
      <c r="Q1380" s="6" t="str">
        <f>IFERROR(__xludf.DUMMYFUNCTION("""COMPUTED_VALUE"""),"Общественные инициативы, которым власть помогает")</f>
        <v>Общественные инициативы, которым власть помогает</v>
      </c>
      <c r="R1380" s="6" t="str">
        <f>IFERROR(__xludf.DUMMYFUNCTION("""COMPUTED_VALUE"""),"Официальные - никакие")</f>
        <v>Официальные - никакие</v>
      </c>
      <c r="S1380" s="6" t="str">
        <f>IFERROR(__xludf.DUMMYFUNCTION("""COMPUTED_VALUE"""),"Нет, не приходилось")</f>
        <v>Нет, не приходилось</v>
      </c>
      <c r="T1380" s="6" t="str">
        <f>IFERROR(__xludf.DUMMYFUNCTION("""COMPUTED_VALUE"""),"Для гостей - зимняя вишня, холод, уголь, забастовки 1990-х, Тулеев, Кузбасс как заповедник застоя. Для жителей -  самый большой в мире кусок леса в  границах города, Томская писаница, бессмысленный и беспощадный зоокузбасс.")</f>
        <v>Для гостей - зимняя вишня, холод, уголь, забастовки 1990-х, Тулеев, Кузбасс как заповедник застоя. Для жителей -  самый большой в мире кусок леса в  границах города, Томская писаница, бессмысленный и беспощадный зоокузбасс.</v>
      </c>
      <c r="U1380" s="6" t="str">
        <f>IFERROR(__xludf.DUMMYFUNCTION("""COMPUTED_VALUE"""),"Центр города с кварталами застройки 60-70-х годов, центр Кировского с такими же старыми кварталами, старый квартал около Азота")</f>
        <v>Центр города с кварталами застройки 60-70-х годов, центр Кировского с такими же старыми кварталами, старый квартал около Азота</v>
      </c>
      <c r="V1380" s="6" t="str">
        <f>IFERROR(__xludf.DUMMYFUNCTION("""COMPUTED_VALUE"""),"Не надо смешивать гордость за себя и за город.Те, кто создали и создавали  этот город в первые десятилетия, могли этим гордиться. Сейчас у города и региона другой жизненный цикл. Многие покидают или хотят покинуть эти места. Не думаю, что сейчас многие го"&amp;"родом гордятся.")</f>
        <v>Не надо смешивать гордость за себя и за город.Те, кто создали и создавали  этот город в первые десятилетия, могли этим гордиться. Сейчас у города и региона другой жизненный цикл. Многие покидают или хотят покинуть эти места. Не думаю, что сейчас многие городом гордятся.</v>
      </c>
      <c r="W1380" s="6" t="str">
        <f>IFERROR(__xludf.DUMMYFUNCTION("""COMPUTED_VALUE"""),"Такие же, как и все остальные. Ну, ещё мб теряющие надежду и покидающие этот город")</f>
        <v>Такие же, как и все остальные. Ну, ещё мб теряющие надежду и покидающие этот город</v>
      </c>
      <c r="X1380" s="6" t="str">
        <f>IFERROR(__xludf.DUMMYFUNCTION("""COMPUTED_VALUE"""),"Красная горка, бор, трамвай в  Кировский")</f>
        <v>Красная горка, бор, трамвай в  Кировский</v>
      </c>
      <c r="Y1380" s="6" t="str">
        <f>IFERROR(__xludf.DUMMYFUNCTION("""COMPUTED_VALUE"""),"За всё время не могу сказать. За последние годы - Рок-фестиваль 2019, городские проекты Детализация, цикл проектов от Гудлайна для городских сообществ + Парк Антошка + приезд Свята Мурунова")</f>
        <v>За всё время не могу сказать. За последние годы - Рок-фестиваль 2019, городские проекты Детализация, цикл проектов от Гудлайна для городских сообществ + Парк Антошка + приезд Свята Мурунова</v>
      </c>
      <c r="Z1380" s="6" t="str">
        <f>IFERROR(__xludf.DUMMYFUNCTION("""COMPUTED_VALUE"""),"Рок-фестиваль 2019")</f>
        <v>Рок-фестиваль 2019</v>
      </c>
      <c r="AA1380" s="6" t="str">
        <f>IFERROR(__xludf.DUMMYFUNCTION("""COMPUTED_VALUE"""),"Попытки ""облагородить"" бор, поставить святую варвару, отсутствующие или вечно закрытые общественные туалеты во всех районах, попытки разогнать мирные шествия людей в январе 21-го года, попытки закрыть роддом и станцию скорой помощи в Кировском и тп иниц"&amp;"иативы местного руководства")</f>
        <v>Попытки "облагородить" бор, поставить святую варвару, отсутствующие или вечно закрытые общественные туалеты во всех районах, попытки разогнать мирные шествия людей в январе 21-го года, попытки закрыть роддом и станцию скорой помощи в Кировском и тп инициативы местного руководства</v>
      </c>
      <c r="AB1380" s="6" t="str">
        <f>IFERROR(__xludf.DUMMYFUNCTION("""COMPUTED_VALUE"""),"Открытые дискуссионные площадки для обсуждения проблем города, региона, страны с представителями власти")</f>
        <v>Открытые дискуссионные площадки для обсуждения проблем города, региона, страны с представителями власти</v>
      </c>
      <c r="AC1380" s="6" t="str">
        <f>IFERROR(__xludf.DUMMYFUNCTION("""COMPUTED_VALUE"""),"Уличные фестивали, открытые танц площадки, музыканты с живыми инструментами, открытые публичные обсуждения проблем города, региона, страны с представителями власти на регулярной основе, свободные протесты против беззакония и несправедливости ")</f>
        <v>Уличные фестивали, открытые танц площадки, музыканты с живыми инструментами, открытые публичные обсуждения проблем города, региона, страны с представителями власти на регулярной основе, свободные протесты против беззакония и несправедливости </v>
      </c>
      <c r="AD138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80" s="6" t="str">
        <f>IFERROR(__xludf.DUMMYFUNCTION("""COMPUTED_VALUE"""),"Мужской")</f>
        <v>Мужской</v>
      </c>
      <c r="AF1380" s="6" t="str">
        <f>IFERROR(__xludf.DUMMYFUNCTION("""COMPUTED_VALUE"""),"45-55")</f>
        <v>45-55</v>
      </c>
      <c r="AG1380" s="6"/>
      <c r="AH1380" s="6"/>
      <c r="AI1380" s="6"/>
      <c r="AJ1380" s="6"/>
      <c r="AK1380" s="6"/>
      <c r="AL1380" s="6"/>
      <c r="AM1380" s="6"/>
    </row>
    <row r="1381">
      <c r="A1381" s="6">
        <v>1380.0</v>
      </c>
      <c r="B1381" s="6" t="str">
        <f>IFERROR(__xludf.DUMMYFUNCTION("""COMPUTED_VALUE"""),"Директор логистическая компания")</f>
        <v>Директор логистическая компания</v>
      </c>
      <c r="C1381" s="6" t="str">
        <f>IFERROR(__xludf.DUMMYFUNCTION("""COMPUTED_VALUE"""),"Путешествия, чтение, театр")</f>
        <v>Путешествия, чтение, театр</v>
      </c>
      <c r="D1381" s="6" t="str">
        <f>IFERROR(__xludf.DUMMYFUNCTION("""COMPUTED_VALUE"""),"Лесная Поляна")</f>
        <v>Лесная Поляна</v>
      </c>
      <c r="E1381" s="6" t="str">
        <f>IFERROR(__xludf.DUMMYFUNCTION("""COMPUTED_VALUE"""),"Панорамная площадка, сквер лесная сказка")</f>
        <v>Панорамная площадка, сквер лесная сказка</v>
      </c>
      <c r="F1381" s="6" t="str">
        <f>IFERROR(__xludf.DUMMYFUNCTION("""COMPUTED_VALUE"""),"Переехал сюда из другого места (откуда? укажите в графе другое), Омск")</f>
        <v>Переехал сюда из другого места (откуда? укажите в графе другое), Омск</v>
      </c>
      <c r="G1381" s="6" t="str">
        <f>IFERROR(__xludf.DUMMYFUNCTION("""COMPUTED_VALUE"""),"Набережная Томи, пешеходные зоны Весенней улицы,  парк Победы, Антошка")</f>
        <v>Набережная Томи, пешеходные зоны Весенней улицы,  парк Победы, Антошка</v>
      </c>
      <c r="H1381" s="6" t="str">
        <f>IFERROR(__xludf.DUMMYFUNCTION("""COMPUTED_VALUE"""),"Уголь(шахты, разрезы, белазы), Сибирь, Тайга, Зелень, Природа ")</f>
        <v>Уголь(шахты, разрезы, белазы), Сибирь, Тайга, Зелень, Природа </v>
      </c>
      <c r="I1381" s="6" t="str">
        <f>IFERROR(__xludf.DUMMYFUNCTION("""COMPUTED_VALUE"""),"Леонов, Волошина")</f>
        <v>Леонов, Волошина</v>
      </c>
      <c r="J1381" s="6" t="str">
        <f>IFERROR(__xludf.DUMMYFUNCTION("""COMPUTED_VALUE"""),"Тулеев, Гришковец")</f>
        <v>Тулеев, Гришковец</v>
      </c>
      <c r="K1381" s="6" t="str">
        <f>IFERROR(__xludf.DUMMYFUNCTION("""COMPUTED_VALUE"""),"Белаз в политехе, Красная горка, Набережная, Бор")</f>
        <v>Белаз в политехе, Красная горка, Набережная, Бор</v>
      </c>
      <c r="L1381" s="6" t="str">
        <f>IFERROR(__xludf.DUMMYFUNCTION("""COMPUTED_VALUE"""),"Не знаю таких")</f>
        <v>Не знаю таких</v>
      </c>
      <c r="M1381" s="6" t="str">
        <f>IFERROR(__xludf.DUMMYFUNCTION("""COMPUTED_VALUE"""),"Мультифора, но это скорее всего из Новосибирска пришло")</f>
        <v>Мультифора, но это скорее всего из Новосибирска пришло</v>
      </c>
      <c r="N1381" s="6" t="str">
        <f>IFERROR(__xludf.DUMMYFUNCTION("""COMPUTED_VALUE"""),"Отсутствие пробок, развитое авиасообщение, культурная жизнь, театры, концерты, природа, места для прогулок и отдыха, спортивные меропричтия")</f>
        <v>Отсутствие пробок, развитое авиасообщение, культурная жизнь, театры, концерты, природа, места для прогулок и отдыха, спортивные меропричтия</v>
      </c>
      <c r="O1381" s="6" t="str">
        <f>IFERROR(__xludf.DUMMYFUNCTION("""COMPUTED_VALUE"""),"
Больше мест для прогулок (скверов, парков, пешеходных зон). Крупные трк, спортивные комплексы, пассажирский транспорт расширение географии времени и интервалов движения, перестройка старых кварталов и частного сектора, крупные инфраструктурные проекты")</f>
        <v>
Больше мест для прогулок (скверов, парков, пешеходных зон). Крупные трк, спортивные комплексы, пассажирский транспорт расширение географии времени и интервалов движения, перестройка старых кварталов и частного сектора, крупные инфраструктурные проекты</v>
      </c>
      <c r="P1381" s="6" t="str">
        <f>IFERROR(__xludf.DUMMYFUNCTION("""COMPUTED_VALUE"""),"Нет хороших новостных сайтов не о жизни ни о бизнесе")</f>
        <v>Нет хороших новостных сайтов не о жизни ни о бизнесе</v>
      </c>
      <c r="Q138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381" s="6" t="str">
        <f>IFERROR(__xludf.DUMMYFUNCTION("""COMPUTED_VALUE"""),"День шахтера, день города, 1 май, 9 мая")</f>
        <v>День шахтера, день города, 1 май, 9 мая</v>
      </c>
      <c r="S1381" s="6" t="str">
        <f>IFERROR(__xludf.DUMMYFUNCTION("""COMPUTED_VALUE"""),"Нет, не приходилось")</f>
        <v>Нет, не приходилось</v>
      </c>
      <c r="T1381" s="6" t="str">
        <f>IFERROR(__xludf.DUMMYFUNCTION("""COMPUTED_VALUE"""),"Уголь")</f>
        <v>Уголь</v>
      </c>
      <c r="U1381" s="6" t="str">
        <f>IFERROR(__xludf.DUMMYFUNCTION("""COMPUTED_VALUE"""),"Площадь советов, но это только географически, ничего примечательного там нет")</f>
        <v>Площадь советов, но это только географически, ничего примечательного там нет</v>
      </c>
      <c r="V1381" s="6" t="str">
        <f>IFERROR(__xludf.DUMMYFUNCTION("""COMPUTED_VALUE"""),"Созидали, сейчас ничего, ")</f>
        <v>Созидали, сейчас ничего, </v>
      </c>
      <c r="W1381" s="6" t="str">
        <f>IFERROR(__xludf.DUMMYFUNCTION("""COMPUTED_VALUE"""),"Нытики, пессимисты, негативисты")</f>
        <v>Нытики, пессимисты, негативисты</v>
      </c>
      <c r="X1381" s="6" t="str">
        <f>IFERROR(__xludf.DUMMYFUNCTION("""COMPUTED_VALUE"""),"От Кузнецкого моста по набережной через Орбиту и Площадь Пушкина на площадь Советов по советскому проспекту")</f>
        <v>От Кузнецкого моста по набережной через Орбиту и Площадь Пушкина на площадь Советов по советскому проспекту</v>
      </c>
      <c r="Y1381" s="6" t="str">
        <f>IFERROR(__xludf.DUMMYFUNCTION("""COMPUTED_VALUE"""),"Только локальные события")</f>
        <v>Только локальные события</v>
      </c>
      <c r="Z1381" s="6" t="str">
        <f>IFERROR(__xludf.DUMMYFUNCTION("""COMPUTED_VALUE"""),"Решение о строительстве спортивно культурного кластера")</f>
        <v>Решение о строительстве спортивно культурного кластера</v>
      </c>
      <c r="AA1381" s="6" t="str">
        <f>IFERROR(__xludf.DUMMYFUNCTION("""COMPUTED_VALUE"""),"Решение о строительстве казарм в место аквапарка")</f>
        <v>Решение о строительстве казарм в место аквапарка</v>
      </c>
      <c r="AB1381" s="6" t="str">
        <f>IFERROR(__xludf.DUMMYFUNCTION("""COMPUTED_VALUE"""),"Экоактивизм, инвестплощадки")</f>
        <v>Экоактивизм, инвестплощадки</v>
      </c>
      <c r="AC1381" s="6" t="str">
        <f>IFERROR(__xludf.DUMMYFUNCTION("""COMPUTED_VALUE"""),"Спортивномассовые, гастроли известных театров")</f>
        <v>Спортивномассовые, гастроли известных театров</v>
      </c>
      <c r="AD138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 Запустить свой предпринимательский проект, организовать компанию.")</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381" s="6" t="str">
        <f>IFERROR(__xludf.DUMMYFUNCTION("""COMPUTED_VALUE"""),"Мужской")</f>
        <v>Мужской</v>
      </c>
      <c r="AF1381" s="6" t="str">
        <f>IFERROR(__xludf.DUMMYFUNCTION("""COMPUTED_VALUE"""),"30-44")</f>
        <v>30-44</v>
      </c>
      <c r="AG1381" s="6"/>
      <c r="AH1381" s="6"/>
      <c r="AI1381" s="6"/>
      <c r="AJ1381" s="6"/>
      <c r="AK1381" s="6"/>
      <c r="AL1381" s="6"/>
      <c r="AM1381" s="6"/>
    </row>
    <row r="1382">
      <c r="A1382" s="6">
        <v>1381.0</v>
      </c>
      <c r="B1382" s="6" t="str">
        <f>IFERROR(__xludf.DUMMYFUNCTION("""COMPUTED_VALUE"""),"журналист")</f>
        <v>журналист</v>
      </c>
      <c r="C1382" s="6" t="str">
        <f>IFERROR(__xludf.DUMMYFUNCTION("""COMPUTED_VALUE"""),"спорт")</f>
        <v>спорт</v>
      </c>
      <c r="D1382" s="6" t="str">
        <f>IFERROR(__xludf.DUMMYFUNCTION("""COMPUTED_VALUE"""),"верхний бульвар")</f>
        <v>верхний бульвар</v>
      </c>
      <c r="E1382" s="6" t="str">
        <f>IFERROR(__xludf.DUMMYFUNCTION("""COMPUTED_VALUE"""),"бульвар строителей")</f>
        <v>бульвар строителей</v>
      </c>
      <c r="F1382" s="6" t="str">
        <f>IFERROR(__xludf.DUMMYFUNCTION("""COMPUTED_VALUE"""),"Живу здесь с рождения")</f>
        <v>Живу здесь с рождения</v>
      </c>
      <c r="G1382" s="6" t="str">
        <f>IFERROR(__xludf.DUMMYFUNCTION("""COMPUTED_VALUE"""),"в поля")</f>
        <v>в поля</v>
      </c>
      <c r="H1382" s="6" t="str">
        <f>IFERROR(__xludf.DUMMYFUNCTION("""COMPUTED_VALUE"""),"пыльный , крепкий, уютный, знакомый, правильный.
")</f>
        <v>пыльный , крепкий, уютный, знакомый, правильный.
</v>
      </c>
      <c r="I1382" s="6" t="str">
        <f>IFERROR(__xludf.DUMMYFUNCTION("""COMPUTED_VALUE"""),"ван Лохем, Ештокин,Вдовин.")</f>
        <v>ван Лохем, Ештокин,Вдовин.</v>
      </c>
      <c r="J1382" s="6" t="str">
        <f>IFERROR(__xludf.DUMMYFUNCTION("""COMPUTED_VALUE"""),"Михайлов
")</f>
        <v>Михайлов
</v>
      </c>
      <c r="K1382" s="6" t="str">
        <f>IFERROR(__xludf.DUMMYFUNCTION("""COMPUTED_VALUE"""),"Красную Горку, работу Эрнста Неизвестного дома -колбасы, ""Азот""")</f>
        <v>Красную Горку, работу Эрнста Неизвестного дома -колбасы, "Азот"</v>
      </c>
      <c r="L1382" s="6" t="str">
        <f>IFERROR(__xludf.DUMMYFUNCTION("""COMPUTED_VALUE"""),"КузбассОвцы")</f>
        <v>КузбассОвцы</v>
      </c>
      <c r="M1382" s="6" t="str">
        <f>IFERROR(__xludf.DUMMYFUNCTION("""COMPUTED_VALUE"""),"НЕТ")</f>
        <v>НЕТ</v>
      </c>
      <c r="N1382" s="6" t="str">
        <f>IFERROR(__xludf.DUMMYFUNCTION("""COMPUTED_VALUE"""),"Транспорт, (в том числе авиа и жд трансфер) чистота улиц, площадки для выгула собак, городские кафе. ")</f>
        <v>Транспорт, (в том числе авиа и жд трансфер) чистота улиц, площадки для выгула собак, городские кафе. </v>
      </c>
      <c r="O1382" s="6" t="str">
        <f>IFERROR(__xludf.DUMMYFUNCTION("""COMPUTED_VALUE"""),"красить не только фасады домов. и убирать так же не только там, где видно.
")</f>
        <v>красить не только фасады домов. и убирать так же не только там, где видно.
</v>
      </c>
      <c r="P1382" s="6" t="str">
        <f>IFERROR(__xludf.DUMMYFUNCTION("""COMPUTED_VALUE"""),"от коллег.")</f>
        <v>от коллег.</v>
      </c>
      <c r="Q1382"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1382" s="6" t="str">
        <f>IFERROR(__xludf.DUMMYFUNCTION("""COMPUTED_VALUE"""),"9 мая")</f>
        <v>9 мая</v>
      </c>
      <c r="S1382" s="6" t="str">
        <f>IFERROR(__xludf.DUMMYFUNCTION("""COMPUTED_VALUE"""),"моя работа")</f>
        <v>моя работа</v>
      </c>
      <c r="T1382" s="6" t="str">
        <f>IFERROR(__xludf.DUMMYFUNCTION("""COMPUTED_VALUE"""),"бор")</f>
        <v>бор</v>
      </c>
      <c r="U1382" s="6" t="str">
        <f>IFERROR(__xludf.DUMMYFUNCTION("""COMPUTED_VALUE"""),"дома""искра"" и соцгород")</f>
        <v>дома"искра" и соцгород</v>
      </c>
      <c r="V1382" s="6" t="str">
        <f>IFERROR(__xludf.DUMMYFUNCTION("""COMPUTED_VALUE"""),"просто любят и сами не гадят и другим не советуют")</f>
        <v>просто любят и сами не гадят и другим не советуют</v>
      </c>
      <c r="W1382" s="6" t="str">
        <f>IFERROR(__xludf.DUMMYFUNCTION("""COMPUTED_VALUE"""),"стойкие , честные, искренние")</f>
        <v>стойкие , честные, искренние</v>
      </c>
      <c r="X1382" s="6" t="str">
        <f>IFERROR(__xludf.DUMMYFUNCTION("""COMPUTED_VALUE"""),"вокзал, сталь -мост, кировский  ""прогресс""")</f>
        <v>вокзал, сталь -мост, кировский  "прогресс"</v>
      </c>
      <c r="Y1382" s="6" t="str">
        <f>IFERROR(__xludf.DUMMYFUNCTION("""COMPUTED_VALUE"""),"""лучший""")</f>
        <v>"лучший"</v>
      </c>
      <c r="Z1382" s="6" t="str">
        <f>IFERROR(__xludf.DUMMYFUNCTION("""COMPUTED_VALUE"""),"открытие линейного парка Бульвара Строителей. ( ВОЛШЕБНО)")</f>
        <v>открытие линейного парка Бульвара Строителей. ( ВОЛШЕБНО)</v>
      </c>
      <c r="AA1382" s="6" t="str">
        <f>IFERROR(__xludf.DUMMYFUNCTION("""COMPUTED_VALUE"""),"экспансия бора")</f>
        <v>экспансия бора</v>
      </c>
      <c r="AB1382" s="6" t="str">
        <f>IFERROR(__xludf.DUMMYFUNCTION("""COMPUTED_VALUE"""),"всего много")</f>
        <v>всего много</v>
      </c>
      <c r="AC1382" s="6" t="str">
        <f>IFERROR(__xludf.DUMMYFUNCTION("""COMPUTED_VALUE"""),"все есть , кроме денег")</f>
        <v>все есть , кроме денег</v>
      </c>
      <c r="AD138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1382" s="6" t="str">
        <f>IFERROR(__xludf.DUMMYFUNCTION("""COMPUTED_VALUE"""),"Женский")</f>
        <v>Женский</v>
      </c>
      <c r="AF1382" s="6" t="str">
        <f>IFERROR(__xludf.DUMMYFUNCTION("""COMPUTED_VALUE"""),"45-55")</f>
        <v>45-55</v>
      </c>
      <c r="AG1382" s="6"/>
      <c r="AH1382" s="6"/>
      <c r="AI1382" s="6"/>
      <c r="AJ1382" s="6"/>
      <c r="AK1382" s="6"/>
      <c r="AL1382" s="6"/>
      <c r="AM1382" s="6"/>
    </row>
    <row r="1383">
      <c r="A1383" s="6">
        <v>1382.0</v>
      </c>
      <c r="B1383" s="6" t="str">
        <f>IFERROR(__xludf.DUMMYFUNCTION("""COMPUTED_VALUE"""),"Прпеодаватель")</f>
        <v>Прпеодаватель</v>
      </c>
      <c r="C1383" s="6" t="str">
        <f>IFERROR(__xludf.DUMMYFUNCTION("""COMPUTED_VALUE"""),"История, рисование")</f>
        <v>История, рисование</v>
      </c>
      <c r="D1383" s="6" t="str">
        <f>IFERROR(__xludf.DUMMYFUNCTION("""COMPUTED_VALUE"""),"Кировский")</f>
        <v>Кировский</v>
      </c>
      <c r="E1383" s="6" t="str">
        <f>IFERROR(__xludf.DUMMYFUNCTION("""COMPUTED_VALUE"""),"Набережная")</f>
        <v>Набережная</v>
      </c>
      <c r="F1383" s="6" t="str">
        <f>IFERROR(__xludf.DUMMYFUNCTION("""COMPUTED_VALUE"""),"Живу здесь с рождения")</f>
        <v>Живу здесь с рождения</v>
      </c>
      <c r="G1383" s="6" t="str">
        <f>IFERROR(__xludf.DUMMYFUNCTION("""COMPUTED_VALUE"""),"Гулять в центре, на набережные Кировского и Центрального районов, в Бор,")</f>
        <v>Гулять в центре, на набережные Кировского и Центрального районов, в Бор,</v>
      </c>
      <c r="H1383" s="6" t="str">
        <f>IFERROR(__xludf.DUMMYFUNCTION("""COMPUTED_VALUE"""),"Сталинский ампир +современность, тихий и уютный, творческий.")</f>
        <v>Сталинский ампир +современность, тихий и уютный, творческий.</v>
      </c>
      <c r="I1383" s="6" t="str">
        <f>IFERROR(__xludf.DUMMYFUNCTION("""COMPUTED_VALUE"""),"Алексей Леонов, Михайло Волков ")</f>
        <v>Алексей Леонов, Михайло Волков </v>
      </c>
      <c r="J1383" s="6" t="str">
        <f>IFERROR(__xludf.DUMMYFUNCTION("""COMPUTED_VALUE"""),"Гоишковец, ")</f>
        <v>Гоишковец, </v>
      </c>
      <c r="K1383" s="6" t="str">
        <f>IFERROR(__xludf.DUMMYFUNCTION("""COMPUTED_VALUE"""),"Бор, Весенную улицу и Притомскую набержную, старые дома на Рутгерса")</f>
        <v>Бор, Весенную улицу и Притомскую набержную, старые дома на Рутгерса</v>
      </c>
      <c r="L1383" s="6" t="str">
        <f>IFERROR(__xludf.DUMMYFUNCTION("""COMPUTED_VALUE"""),"Человек из Кемерово")</f>
        <v>Человек из Кемерово</v>
      </c>
      <c r="M1383" s="6" t="str">
        <f>IFERROR(__xludf.DUMMYFUNCTION("""COMPUTED_VALUE"""),"«Не бери до головы», только у нас слышала")</f>
        <v>«Не бери до головы», только у нас слышала</v>
      </c>
      <c r="N1383" s="6" t="str">
        <f>IFERROR(__xludf.DUMMYFUNCTION("""COMPUTED_VALUE"""),"Чистый воздух. Много зелени, социальная инфраструктура (парки, сады, кафе, магазины, поликлиники), транспортная доступность районов, культурные события")</f>
        <v>Чистый воздух. Много зелени, социальная инфраструктура (парки, сады, кафе, магазины, поликлиники), транспортная доступность районов, культурные события</v>
      </c>
      <c r="O1383" s="6" t="str">
        <f>IFERROR(__xludf.DUMMYFUNCTION("""COMPUTED_VALUE"""),"Экологическую ситуацию")</f>
        <v>Экологическую ситуацию</v>
      </c>
      <c r="P1383" s="6" t="str">
        <f>IFERROR(__xludf.DUMMYFUNCTION("""COMPUTED_VALUE"""),"Vse42., паблики в Инстаграм")</f>
        <v>Vse42., паблики в Инстаграм</v>
      </c>
      <c r="Q1383" s="6" t="str">
        <f>IFERROR(__xludf.DUMMYFUNCTION("""COMPUTED_VALUE"""),"куда пойти в свободное время,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f>
        <v>куда пойти в свободное время,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v>
      </c>
      <c r="R1383" s="6" t="str">
        <f>IFERROR(__xludf.DUMMYFUNCTION("""COMPUTED_VALUE"""),"День города. День Победы. День шахтера.")</f>
        <v>День города. День Победы. День шахтера.</v>
      </c>
      <c r="S1383" s="6" t="str">
        <f>IFERROR(__xludf.DUMMYFUNCTION("""COMPUTED_VALUE"""),"Нет, не приходилось")</f>
        <v>Нет, не приходилось</v>
      </c>
      <c r="T1383" s="6" t="str">
        <f>IFERROR(__xludf.DUMMYFUNCTION("""COMPUTED_VALUE"""),"На данный момент скорее печально знаменит Зимней Вишней.")</f>
        <v>На данный момент скорее печально знаменит Зимней Вишней.</v>
      </c>
      <c r="U1383" s="6" t="str">
        <f>IFERROR(__xludf.DUMMYFUNCTION("""COMPUTED_VALUE"""),"Улица Весенняя, Советский проспект, набережная")</f>
        <v>Улица Весенняя, Советский проспект, набережная</v>
      </c>
      <c r="V1383" s="6" t="str">
        <f>IFERROR(__xludf.DUMMYFUNCTION("""COMPUTED_VALUE"""),"Неравнодушных много, например субботники и приведение двора в порядок своими силами. Много творческих людей и в принципе тех, кому небезразлична судьба города")</f>
        <v>Неравнодушных много, например субботники и приведение двора в порядок своими силами. Много творческих людей и в принципе тех, кому небезразлична судьба города</v>
      </c>
      <c r="W1383" s="6" t="str">
        <f>IFERROR(__xludf.DUMMYFUNCTION("""COMPUTED_VALUE"""),"Открытые, помогающие, творческие, непафосные")</f>
        <v>Открытые, помогающие, творческие, непафосные</v>
      </c>
      <c r="X1383" s="6" t="str">
        <f>IFERROR(__xludf.DUMMYFUNCTION("""COMPUTED_VALUE"""),"По центру пешком и затем на трамвае на правый берег, на Красную горку и в Бор")</f>
        <v>По центру пешком и затем на трамвае на правый берег, на Красную горку и в Бор</v>
      </c>
      <c r="Y1383" s="6" t="str">
        <f>IFERROR(__xludf.DUMMYFUNCTION("""COMPUTED_VALUE"""),"Затрудняюсь выделить одно ")</f>
        <v>Затрудняюсь выделить одно </v>
      </c>
      <c r="Z1383" s="6" t="str">
        <f>IFERROR(__xludf.DUMMYFUNCTION("""COMPUTED_VALUE"""),"Для жителей Кировского района- реставрация набережной")</f>
        <v>Для жителей Кировского района- реставрация набережной</v>
      </c>
      <c r="AA1383" s="6" t="str">
        <f>IFERROR(__xludf.DUMMYFUNCTION("""COMPUTED_VALUE"""),"Зимняя Вишня")</f>
        <v>Зимняя Вишня</v>
      </c>
      <c r="AB1383" s="6" t="str">
        <f>IFERROR(__xludf.DUMMYFUNCTION("""COMPUTED_VALUE"""),"Концертов, коворкингов, мест для отдыха всей семьей, детских центров.")</f>
        <v>Концертов, коворкингов, мест для отдыха всей семьей, детских центров.</v>
      </c>
      <c r="AC1383" s="6" t="str">
        <f>IFERROR(__xludf.DUMMYFUNCTION("""COMPUTED_VALUE"""),"Концертов, коворкингов, мест для отдыха всей семьей, детских центров.")</f>
        <v>Концертов, коворкингов, мест для отдыха всей семьей, детских центров.</v>
      </c>
      <c r="AD1383"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Участник"&amp;"а: Поучаствовать в обсуждении улучшений, собраниях горожан;,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83" s="6" t="str">
        <f>IFERROR(__xludf.DUMMYFUNCTION("""COMPUTED_VALUE"""),"Женский")</f>
        <v>Женский</v>
      </c>
      <c r="AF1383" s="6" t="str">
        <f>IFERROR(__xludf.DUMMYFUNCTION("""COMPUTED_VALUE"""),"30-44")</f>
        <v>30-44</v>
      </c>
      <c r="AG1383" s="6"/>
      <c r="AH1383" s="6"/>
      <c r="AI1383" s="6"/>
      <c r="AJ1383" s="6"/>
      <c r="AK1383" s="6"/>
      <c r="AL1383" s="6"/>
      <c r="AM1383" s="6"/>
    </row>
    <row r="1384">
      <c r="A1384" s="6">
        <v>1383.0</v>
      </c>
      <c r="B1384" s="6" t="str">
        <f>IFERROR(__xludf.DUMMYFUNCTION("""COMPUTED_VALUE"""),"Нахожусь в декрете")</f>
        <v>Нахожусь в декрете</v>
      </c>
      <c r="C1384" s="6" t="str">
        <f>IFERROR(__xludf.DUMMYFUNCTION("""COMPUTED_VALUE"""),"Читаю ")</f>
        <v>Читаю </v>
      </c>
      <c r="D1384" s="6" t="str">
        <f>IFERROR(__xludf.DUMMYFUNCTION("""COMPUTED_VALUE"""),"В центральном районе. Центр")</f>
        <v>В центральном районе. Центр</v>
      </c>
      <c r="E1384" s="6" t="str">
        <f>IFERROR(__xludf.DUMMYFUNCTION("""COMPUTED_VALUE"""),"Площадь советов, площадь Пушкина, арки на улице Арочной, набережная, Весенняя ")</f>
        <v>Площадь советов, площадь Пушкина, арки на улице Арочной, набережная, Весенняя </v>
      </c>
      <c r="F1384" s="6" t="str">
        <f>IFERROR(__xludf.DUMMYFUNCTION("""COMPUTED_VALUE"""),"Переехал сюда из другого места (откуда? укажите в графе другое), Из Ленинска-Кузнецкого")</f>
        <v>Переехал сюда из другого места (откуда? укажите в графе другое), Из Ленинска-Кузнецкого</v>
      </c>
      <c r="G1384" s="6" t="str">
        <f>IFERROR(__xludf.DUMMYFUNCTION("""COMPUTED_VALUE"""),"Сосновый бор, Красная Горка, театр для детей и молодёжи, кукольный театр, кинотеатр Юбилейный ")</f>
        <v>Сосновый бор, Красная Горка, театр для детей и молодёжи, кукольный театр, кинотеатр Юбилейный </v>
      </c>
      <c r="H1384" s="6" t="str">
        <f>IFERROR(__xludf.DUMMYFUNCTION("""COMPUTED_VALUE"""),"Промышленность, река Томь, уголь, рабочий, смог ")</f>
        <v>Промышленность, река Томь, уголь, рабочий, смог </v>
      </c>
      <c r="I1384" s="6" t="str">
        <f>IFERROR(__xludf.DUMMYFUNCTION("""COMPUTED_VALUE"""),"Мессершмидт, ФедорОвич, Рутгерс, архитекторы Моисеенко, Донбай и Нещадимов, скульптор Хмелевской, певец А. Бобров, врач Подгорбунский, поэт Василий Фёдоров, Владимир Михайлов ")</f>
        <v>Мессершмидт, ФедорОвич, Рутгерс, архитекторы Моисеенко, Донбай и Нещадимов, скульптор Хмелевской, певец А. Бобров, врач Подгорбунский, поэт Василий Фёдоров, Владимир Михайлов </v>
      </c>
      <c r="J1384" s="6" t="str">
        <f>IFERROR(__xludf.DUMMYFUNCTION("""COMPUTED_VALUE"""),"И. Фёдорова, И. Середюк, И.Усков, А. Цивилёва")</f>
        <v>И. Фёдорова, И. Середюк, И.Усков, А. Цивилёва</v>
      </c>
      <c r="K1384" s="6" t="str">
        <f>IFERROR(__xludf.DUMMYFUNCTION("""COMPUTED_VALUE"""),"Красная Горка, бульвар Строителей, парк ангелов, набережная ")</f>
        <v>Красная Горка, бульвар Строителей, парк ангелов, набережная </v>
      </c>
      <c r="L1384" s="6" t="str">
        <f>IFERROR(__xludf.DUMMYFUNCTION("""COMPUTED_VALUE"""),"Не знаю")</f>
        <v>Не знаю</v>
      </c>
      <c r="M1384" s="6" t="str">
        <f>IFERROR(__xludf.DUMMYFUNCTION("""COMPUTED_VALUE"""),"Нет")</f>
        <v>Нет</v>
      </c>
      <c r="N1384" s="6" t="str">
        <f>IFERROR(__xludf.DUMMYFUNCTION("""COMPUTED_VALUE"""),"Хорошие пешеходные зоны, хорошие дороги, транспортная доступность (общественный транспорт), чистота ")</f>
        <v>Хорошие пешеходные зоны, хорошие дороги, транспортная доступность (общественный транспорт), чистота </v>
      </c>
      <c r="O1384" s="6" t="str">
        <f>IFERROR(__xludf.DUMMYFUNCTION("""COMPUTED_VALUE"""),"Сделать пешеходные зоны ")</f>
        <v>Сделать пешеходные зоны </v>
      </c>
      <c r="P1384" s="6" t="str">
        <f>IFERROR(__xludf.DUMMYFUNCTION("""COMPUTED_VALUE"""),"Сайты и соцсети организаций культуры, афиши на улицах, все42 афиша ")</f>
        <v>Сайты и соцсети организаций культуры, афиши на улицах, все42 афиша </v>
      </c>
      <c r="Q1384"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1384" s="6" t="str">
        <f>IFERROR(__xludf.DUMMYFUNCTION("""COMPUTED_VALUE"""),"Новый год ")</f>
        <v>Новый год </v>
      </c>
      <c r="S1384" s="6" t="str">
        <f>IFERROR(__xludf.DUMMYFUNCTION("""COMPUTED_VALUE"""),"Через социальные сети (Какие? Укажите в графе другое), Обращался в редакции электронных городских СМИ")</f>
        <v>Через социальные сети (Какие? Укажите в графе другое), Обращался в редакции электронных городских СМИ</v>
      </c>
      <c r="T1384" s="6" t="str">
        <f>IFERROR(__xludf.DUMMYFUNCTION("""COMPUTED_VALUE"""),"Известен Кемерово пожаром в Зимней вишне, Тулеевым и песней  «Человек из Кемерова» Гребенщикова. Известен промышленностью. 
Уникальна история АИК «Кузбасс». Сейчас - трудно сказать об уникальности 
")</f>
        <v>Известен Кемерово пожаром в Зимней вишне, Тулеевым и песней  «Человек из Кемерова» Гребенщикова. Известен промышленностью. 
Уникальна история АИК «Кузбасс». Сейчас - трудно сказать об уникальности 
</v>
      </c>
      <c r="U1384" s="6" t="str">
        <f>IFERROR(__xludf.DUMMYFUNCTION("""COMPUTED_VALUE"""),"Проспект Советский, Красная Горка, ДК 50-летия Октября в Кировском, бульвар Строителей в Ленинском ")</f>
        <v>Проспект Советский, Красная Горка, ДК 50-летия Октября в Кировском, бульвар Строителей в Ленинском </v>
      </c>
      <c r="V1384" s="6" t="str">
        <f>IFERROR(__xludf.DUMMYFUNCTION("""COMPUTED_VALUE"""),"Много чего сделали. Главное - построили город практически с нуля. Заводы, шахты, жильё, соцкультбыт. В годы войны приняли производство из европейской части ссср. Работали и строили. Медицина, образование, культура - всё создавалось тяжело и в короткие сро"&amp;"ки ")</f>
        <v>Много чего сделали. Главное - построили город практически с нуля. Заводы, шахты, жильё, соцкультбыт. В годы войны приняли производство из европейской части ссср. Работали и строили. Медицина, образование, культура - всё создавалось тяжело и в короткие сроки </v>
      </c>
      <c r="W1384" s="6" t="str">
        <f>IFERROR(__xludf.DUMMYFUNCTION("""COMPUTED_VALUE"""),"Суровость, оптимизм, интеллигентность (не всегда, но часто)")</f>
        <v>Суровость, оптимизм, интеллигентность (не всегда, но часто)</v>
      </c>
      <c r="X1384" s="6" t="str">
        <f>IFERROR(__xludf.DUMMYFUNCTION("""COMPUTED_VALUE""")," Красная горка, Лесная поляна, бульвар Строителей, парк ангелов, набережная")</f>
        <v> Красная горка, Лесная поляна, бульвар Строителей, парк ангелов, набережная</v>
      </c>
      <c r="Y1384" s="6" t="str">
        <f>IFERROR(__xludf.DUMMYFUNCTION("""COMPUTED_VALUE"""),"АИК «Кузбасс»
Строительство Коксохимзавода ")</f>
        <v>АИК «Кузбасс»
Строительство Коксохимзавода </v>
      </c>
      <c r="Z1384" s="6" t="str">
        <f>IFERROR(__xludf.DUMMYFUNCTION("""COMPUTED_VALUE"""),"Ремонты улиц")</f>
        <v>Ремонты улиц</v>
      </c>
      <c r="AA1384" s="6" t="str">
        <f>IFERROR(__xludf.DUMMYFUNCTION("""COMPUTED_VALUE"""),"Слишком много криминальных новостей ")</f>
        <v>Слишком много криминальных новостей </v>
      </c>
      <c r="AB1384" s="6" t="str">
        <f>IFERROR(__xludf.DUMMYFUNCTION("""COMPUTED_VALUE"""),"Адекватных авторитетных городских активистов")</f>
        <v>Адекватных авторитетных городских активистов</v>
      </c>
      <c r="AC1384" s="6" t="str">
        <f>IFERROR(__xludf.DUMMYFUNCTION("""COMPUTED_VALUE"""),"Гастроли известных театров, артистов. Фестиваль местной культуры. Индустриальный туризм ")</f>
        <v>Гастроли известных театров, артистов. Фестиваль местной культуры. Индустриальный туризм </v>
      </c>
      <c r="AD1384" s="6" t="str">
        <f>IFERROR(__xludf.DUMMYFUNCTION("""COMPUTED_VALUE"""),"Не готов принимать личное участие (укажите, пожалуйста, причину в поле «Другое»), Т.к. нахожусь в декрете ")</f>
        <v>Не готов принимать личное участие (укажите, пожалуйста, причину в поле «Другое»), Т.к. нахожусь в декрете </v>
      </c>
      <c r="AE1384" s="6" t="str">
        <f>IFERROR(__xludf.DUMMYFUNCTION("""COMPUTED_VALUE"""),"Женский")</f>
        <v>Женский</v>
      </c>
      <c r="AF1384" s="6" t="str">
        <f>IFERROR(__xludf.DUMMYFUNCTION("""COMPUTED_VALUE"""),"30-44")</f>
        <v>30-44</v>
      </c>
      <c r="AG1384" s="6"/>
      <c r="AH1384" s="6"/>
      <c r="AI1384" s="6"/>
      <c r="AJ1384" s="6"/>
      <c r="AK1384" s="6"/>
      <c r="AL1384" s="6"/>
      <c r="AM1384" s="6"/>
    </row>
    <row r="1385">
      <c r="A1385" s="6">
        <v>1384.0</v>
      </c>
      <c r="B1385" s="6" t="str">
        <f>IFERROR(__xludf.DUMMYFUNCTION("""COMPUTED_VALUE"""),"Диктор")</f>
        <v>Диктор</v>
      </c>
      <c r="C1385" s="6" t="str">
        <f>IFERROR(__xludf.DUMMYFUNCTION("""COMPUTED_VALUE"""),"Языки, вышивка, фото, литература")</f>
        <v>Языки, вышивка, фото, литература</v>
      </c>
      <c r="D1385" s="6" t="str">
        <f>IFERROR(__xludf.DUMMYFUNCTION("""COMPUTED_VALUE"""),"Центральный")</f>
        <v>Центральный</v>
      </c>
      <c r="E1385" s="6" t="str">
        <f>IFERROR(__xludf.DUMMYFUNCTION("""COMPUTED_VALUE"""),"Набережная, Советский, Весенняя")</f>
        <v>Набережная, Советский, Весенняя</v>
      </c>
      <c r="F1385" s="6" t="str">
        <f>IFERROR(__xludf.DUMMYFUNCTION("""COMPUTED_VALUE"""),"Живу здесь с рождения")</f>
        <v>Живу здесь с рождения</v>
      </c>
      <c r="G1385" s="6" t="str">
        <f>IFERROR(__xludf.DUMMYFUNCTION("""COMPUTED_VALUE"""),"Хожу пешком до Кировского из центра, в Флармонию, в театр")</f>
        <v>Хожу пешком до Кировского из центра, в Флармонию, в театр</v>
      </c>
      <c r="H1385" s="6" t="str">
        <f>IFERROR(__xludf.DUMMYFUNCTION("""COMPUTED_VALUE""")," бор, АиК, липы, Томь, промзона")</f>
        <v> бор, АиК, липы, Томь, промзона</v>
      </c>
      <c r="I1385" s="6" t="str">
        <f>IFERROR(__xludf.DUMMYFUNCTION("""COMPUTED_VALUE"""),"Волков, Ештокин, Рутгерс, Мартемьянов")</f>
        <v>Волков, Ештокин, Рутгерс, Мартемьянов</v>
      </c>
      <c r="J1385" s="6" t="str">
        <f>IFERROR(__xludf.DUMMYFUNCTION("""COMPUTED_VALUE"""),"-")</f>
        <v>-</v>
      </c>
      <c r="K1385" s="6" t="str">
        <f>IFERROR(__xludf.DUMMYFUNCTION("""COMPUTED_VALUE"""),"Промзона. Бывший Коммунар, Прогресс. Постройки Рутгерса.")</f>
        <v>Промзона. Бывший Коммунар, Прогресс. Постройки Рутгерса.</v>
      </c>
      <c r="L1385" s="6" t="str">
        <f>IFERROR(__xludf.DUMMYFUNCTION("""COMPUTED_VALUE"""),"-")</f>
        <v>-</v>
      </c>
      <c r="M1385" s="6" t="str">
        <f>IFERROR(__xludf.DUMMYFUNCTION("""COMPUTED_VALUE"""),"Мультифора)")</f>
        <v>Мультифора)</v>
      </c>
      <c r="N1385" s="6" t="str">
        <f>IFERROR(__xludf.DUMMYFUNCTION("""COMPUTED_VALUE"""),"Регулярный транспорт, парки для прогулок, близость к природе, культурные учреждения, визуально приятные архитектурные решения")</f>
        <v>Регулярный транспорт, парки для прогулок, близость к природе, культурные учреждения, визуально приятные архитектурные решения</v>
      </c>
      <c r="O1385" s="6" t="str">
        <f>IFERROR(__xludf.DUMMYFUNCTION("""COMPUTED_VALUE"""),"Убрать адские корявые постройки из пластика и отвратительные остановочные павильоны) и эти дурацкие скульптурки из новодела!)) ")</f>
        <v>Убрать адские корявые постройки из пластика и отвратительные остановочные павильоны) и эти дурацкие скульптурки из новодела!)) </v>
      </c>
      <c r="P1385" s="6" t="str">
        <f>IFERROR(__xludf.DUMMYFUNCTION("""COMPUTED_VALUE"""),"Как повезет")</f>
        <v>Как повезет</v>
      </c>
      <c r="Q1385"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385" s="6" t="str">
        <f>IFERROR(__xludf.DUMMYFUNCTION("""COMPUTED_VALUE"""),"9 мая")</f>
        <v>9 мая</v>
      </c>
      <c r="S1385" s="6" t="str">
        <f>IFERROR(__xludf.DUMMYFUNCTION("""COMPUTED_VALUE"""),"Нет, не приходилось")</f>
        <v>Нет, не приходилось</v>
      </c>
      <c r="T1385" s="6" t="str">
        <f>IFERROR(__xludf.DUMMYFUNCTION("""COMPUTED_VALUE"""),"АиК  ")</f>
        <v>АиК  </v>
      </c>
      <c r="U1385" s="6" t="str">
        <f>IFERROR(__xludf.DUMMYFUNCTION("""COMPUTED_VALUE"""),"Советский")</f>
        <v>Советский</v>
      </c>
      <c r="V1385" s="6" t="str">
        <f>IFERROR(__xludf.DUMMYFUNCTION("""COMPUTED_VALUE"""),"Бурный рост строительства в 60е")</f>
        <v>Бурный рост строительства в 60е</v>
      </c>
      <c r="W1385" s="6" t="str">
        <f>IFERROR(__xludf.DUMMYFUNCTION("""COMPUTED_VALUE"""),"В основном люди открытые и приветливые")</f>
        <v>В основном люди открытые и приветливые</v>
      </c>
      <c r="X1385" s="6" t="str">
        <f>IFERROR(__xludf.DUMMYFUNCTION("""COMPUTED_VALUE"""),"Так мой любимый - из центра в Кировский ))")</f>
        <v>Так мой любимый - из центра в Кировский ))</v>
      </c>
      <c r="Y1385" s="6" t="str">
        <f>IFERROR(__xludf.DUMMYFUNCTION("""COMPUTED_VALUE"""),"АиК")</f>
        <v>АиК</v>
      </c>
      <c r="Z1385" s="6" t="str">
        <f>IFERROR(__xludf.DUMMYFUNCTION("""COMPUTED_VALUE"""),"Фест.Тезисы, экскурсии по городу, малая сцена в драмтеатре")</f>
        <v>Фест.Тезисы, экскурсии по городу, малая сцена в драмтеатре</v>
      </c>
      <c r="AA1385" s="6" t="str">
        <f>IFERROR(__xludf.DUMMYFUNCTION("""COMPUTED_VALUE"""),"Для меня актуальна проблема сортировки и переработки мусора.")</f>
        <v>Для меня актуальна проблема сортировки и переработки мусора.</v>
      </c>
      <c r="AB1385" s="6" t="str">
        <f>IFERROR(__xludf.DUMMYFUNCTION("""COMPUTED_VALUE"""),"Экологических")</f>
        <v>Экологических</v>
      </c>
      <c r="AC1385" s="6" t="str">
        <f>IFERROR(__xludf.DUMMYFUNCTION("""COMPUTED_VALUE"""),"Маленьким фестивалям (театральным и виз.искусств) необходима поддержка. В городе не хватает альтернативного кино (документального, не массового). ")</f>
        <v>Маленьким фестивалям (театральным и виз.искусств) необходима поддержка. В городе не хватает альтернативного кино (документального, не массового). </v>
      </c>
      <c r="AD138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385" s="6" t="str">
        <f>IFERROR(__xludf.DUMMYFUNCTION("""COMPUTED_VALUE"""),"Женский")</f>
        <v>Женский</v>
      </c>
      <c r="AF1385" s="6" t="str">
        <f>IFERROR(__xludf.DUMMYFUNCTION("""COMPUTED_VALUE"""),"30-44")</f>
        <v>30-44</v>
      </c>
      <c r="AG1385" s="6"/>
      <c r="AH1385" s="6"/>
      <c r="AI1385" s="6"/>
      <c r="AJ1385" s="6"/>
      <c r="AK1385" s="6"/>
      <c r="AL1385" s="6"/>
      <c r="AM1385" s="6"/>
    </row>
    <row r="1386">
      <c r="A1386" s="6">
        <v>1385.0</v>
      </c>
      <c r="B1386" s="6" t="str">
        <f>IFERROR(__xludf.DUMMYFUNCTION("""COMPUTED_VALUE"""),"работаю в ГЛ")</f>
        <v>работаю в ГЛ</v>
      </c>
      <c r="C1386" s="6" t="str">
        <f>IFERROR(__xludf.DUMMYFUNCTION("""COMPUTED_VALUE"""),"выращиваю суккуленты")</f>
        <v>выращиваю суккуленты</v>
      </c>
      <c r="D1386" s="6" t="str">
        <f>IFERROR(__xludf.DUMMYFUNCTION("""COMPUTED_VALUE"""),"Заводский р-н, ФПК")</f>
        <v>Заводский р-н, ФПК</v>
      </c>
      <c r="E1386" s="6" t="str">
        <f>IFERROR(__xludf.DUMMYFUNCTION("""COMPUTED_VALUE"""),"5 зона, парк новорожденных, ТЦ Гринвич")</f>
        <v>5 зона, парк новорожденных, ТЦ Гринвич</v>
      </c>
      <c r="F1386" s="6" t="str">
        <f>IFERROR(__xludf.DUMMYFUNCTION("""COMPUTED_VALUE"""),"Переехал сюда из другого места (откуда? укажите в графе другое), г.Прокопьевск")</f>
        <v>Переехал сюда из другого места (откуда? укажите в графе другое), г.Прокопьевск</v>
      </c>
      <c r="G1386" s="6" t="str">
        <f>IFERROR(__xludf.DUMMYFUNCTION("""COMPUTED_VALUE"""),"набережная, бор")</f>
        <v>набережная, бор</v>
      </c>
      <c r="H1386" s="6" t="str">
        <f>IFERROR(__xludf.DUMMYFUNCTION("""COMPUTED_VALUE"""),"грязь, нечем дышать, просторно, мало мест, тишина")</f>
        <v>грязь, нечем дышать, просторно, мало мест, тишина</v>
      </c>
      <c r="I1386" s="6" t="str">
        <f>IFERROR(__xludf.DUMMYFUNCTION("""COMPUTED_VALUE"""),"Волков")</f>
        <v>Волков</v>
      </c>
      <c r="J1386" s="6" t="str">
        <f>IFERROR(__xludf.DUMMYFUNCTION("""COMPUTED_VALUE"""),"Тулеев")</f>
        <v>Тулеев</v>
      </c>
      <c r="K1386" s="6" t="str">
        <f>IFERROR(__xludf.DUMMYFUNCTION("""COMPUTED_VALUE"""),"сердце шахтера, аллея Пушкина")</f>
        <v>сердце шахтера, аллея Пушкина</v>
      </c>
      <c r="L1386" s="6" t="str">
        <f>IFERROR(__xludf.DUMMYFUNCTION("""COMPUTED_VALUE"""),"не было бы счастья, да несчастье помогло")</f>
        <v>не было бы счастья, да несчастье помогло</v>
      </c>
      <c r="M1386" s="6" t="str">
        <f>IFERROR(__xludf.DUMMYFUNCTION("""COMPUTED_VALUE"""),"нет")</f>
        <v>нет</v>
      </c>
      <c r="N1386" s="6" t="str">
        <f>IFERROR(__xludf.DUMMYFUNCTION("""COMPUTED_VALUE"""),"мало транспорта (машин), тишина улиц, чистота, свежий воздух, развитая инфраструктура")</f>
        <v>мало транспорта (машин), тишина улиц, чистота, свежий воздух, развитая инфраструктура</v>
      </c>
      <c r="O1386" s="6" t="str">
        <f>IFERROR(__xludf.DUMMYFUNCTION("""COMPUTED_VALUE"""),"загазованность воздуха!")</f>
        <v>загазованность воздуха!</v>
      </c>
      <c r="P1386" s="6" t="str">
        <f>IFERROR(__xludf.DUMMYFUNCTION("""COMPUTED_VALUE"""),"инстаграм, от друзей")</f>
        <v>инстаграм, от друзей</v>
      </c>
      <c r="Q1386" s="6" t="str">
        <f>IFERROR(__xludf.DUMMYFUNCTION("""COMPUTED_VALUE"""),"где вкусно поесть/открытие новых кафе/ресторанов, городская афиша (кино/театр/концерты), бизнес-новости (средний чек/рекламные акции/запуск новых предприятий)")</f>
        <v>где вкусно поесть/открытие новых кафе/ресторанов, городская афиша (кино/театр/концерты), бизнес-новости (средний чек/рекламные акции/запуск новых предприятий)</v>
      </c>
      <c r="R1386" s="6" t="str">
        <f>IFERROR(__xludf.DUMMYFUNCTION("""COMPUTED_VALUE"""),"День победы, день города")</f>
        <v>День победы, день города</v>
      </c>
      <c r="S1386" s="6" t="str">
        <f>IFERROR(__xludf.DUMMYFUNCTION("""COMPUTED_VALUE"""),"Писал и расклеивал объявления/афиши")</f>
        <v>Писал и расклеивал объявления/афиши</v>
      </c>
      <c r="T1386" s="6" t="str">
        <f>IFERROR(__xludf.DUMMYFUNCTION("""COMPUTED_VALUE"""),"центр Кузбасса, КузГТУ")</f>
        <v>центр Кузбасса, КузГТУ</v>
      </c>
      <c r="U1386" s="6" t="str">
        <f>IFERROR(__xludf.DUMMYFUNCTION("""COMPUTED_VALUE"""),"центр.набережную ")</f>
        <v>центр.набережную </v>
      </c>
      <c r="V1386" s="6" t="str">
        <f>IFERROR(__xludf.DUMMYFUNCTION("""COMPUTED_VALUE"""),"проведение субботников, организация поисковых групп (типа Лизы Аллерт), помощь приютам для животных (неравнодушие)")</f>
        <v>проведение субботников, организация поисковых групп (типа Лизы Аллерт), помощь приютам для животных (неравнодушие)</v>
      </c>
      <c r="W1386" s="6" t="str">
        <f>IFERROR(__xludf.DUMMYFUNCTION("""COMPUTED_VALUE"""),"неравнодушные, открытые, единомышленники")</f>
        <v>неравнодушные, открытые, единомышленники</v>
      </c>
      <c r="X1386" s="6" t="str">
        <f>IFERROR(__xludf.DUMMYFUNCTION("""COMPUTED_VALUE"""),"Весенняя-Набережная")</f>
        <v>Весенняя-Набережная</v>
      </c>
      <c r="Y1386" s="6" t="str">
        <f>IFERROR(__xludf.DUMMYFUNCTION("""COMPUTED_VALUE"""),"Зимняя вишня, митинг по этому поводу")</f>
        <v>Зимняя вишня, митинг по этому поводу</v>
      </c>
      <c r="Z1386" s="6" t="str">
        <f>IFERROR(__xludf.DUMMYFUNCTION("""COMPUTED_VALUE"""),"не таких")</f>
        <v>не таких</v>
      </c>
      <c r="AA1386" s="6" t="str">
        <f>IFERROR(__xludf.DUMMYFUNCTION("""COMPUTED_VALUE"""),"пандемия, ограничения, Зимняя вишня")</f>
        <v>пандемия, ограничения, Зимняя вишня</v>
      </c>
      <c r="AB1386" s="6" t="str">
        <f>IFERROR(__xludf.DUMMYFUNCTION("""COMPUTED_VALUE"""),"нет такой потребности")</f>
        <v>нет такой потребности</v>
      </c>
      <c r="AC1386" s="6" t="str">
        <f>IFERROR(__xludf.DUMMYFUNCTION("""COMPUTED_VALUE"""),"больше заведений, больше аллей и прогулочных мест, оснащение беседками/лавочками/зонами отдыха, наведение чистоты улиц/зданий")</f>
        <v>больше заведений, больше аллей и прогулочных мест, оснащение беседками/лавочками/зонами отдыха, наведение чистоты улиц/зданий</v>
      </c>
      <c r="AD1386"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386" s="6" t="str">
        <f>IFERROR(__xludf.DUMMYFUNCTION("""COMPUTED_VALUE"""),"Женский")</f>
        <v>Женский</v>
      </c>
      <c r="AF1386" s="6" t="str">
        <f>IFERROR(__xludf.DUMMYFUNCTION("""COMPUTED_VALUE"""),"30-44")</f>
        <v>30-44</v>
      </c>
      <c r="AG1386" s="6"/>
      <c r="AH1386" s="6"/>
      <c r="AI1386" s="6"/>
      <c r="AJ1386" s="6"/>
      <c r="AK1386" s="6"/>
      <c r="AL1386" s="6"/>
      <c r="AM1386" s="6"/>
    </row>
    <row r="1387">
      <c r="A1387" s="6">
        <v>1386.0</v>
      </c>
      <c r="B1387" s="6" t="str">
        <f>IFERROR(__xludf.DUMMYFUNCTION("""COMPUTED_VALUE"""),"Услуги ")</f>
        <v>Услуги </v>
      </c>
      <c r="C1387" s="6" t="str">
        <f>IFERROR(__xludf.DUMMYFUNCTION("""COMPUTED_VALUE"""),"Да ")</f>
        <v>Да </v>
      </c>
      <c r="D1387" s="6" t="str">
        <f>IFERROR(__xludf.DUMMYFUNCTION("""COMPUTED_VALUE"""),"Центральный")</f>
        <v>Центральный</v>
      </c>
      <c r="E1387" s="6" t="str">
        <f>IFERROR(__xludf.DUMMYFUNCTION("""COMPUTED_VALUE"""),"Парк")</f>
        <v>Парк</v>
      </c>
      <c r="F1387" s="6" t="str">
        <f>IFERROR(__xludf.DUMMYFUNCTION("""COMPUTED_VALUE"""),"Переехал сюда из другого места (откуда? укажите в графе другое), Прокопьевск ")</f>
        <v>Переехал сюда из другого места (откуда? укажите в графе другое), Прокопьевск </v>
      </c>
      <c r="G1387" s="6" t="str">
        <f>IFERROR(__xludf.DUMMYFUNCTION("""COMPUTED_VALUE"""),"Набережная ")</f>
        <v>Набережная </v>
      </c>
      <c r="H1387" s="6" t="str">
        <f>IFERROR(__xludf.DUMMYFUNCTION("""COMPUTED_VALUE"""),"Площадь, набережная, парк Ангелов,")</f>
        <v>Площадь, набережная, парк Ангелов,</v>
      </c>
      <c r="I1387" s="6" t="str">
        <f>IFERROR(__xludf.DUMMYFUNCTION("""COMPUTED_VALUE"""),"К своему стыду не знаю ")</f>
        <v>К своему стыду не знаю </v>
      </c>
      <c r="J1387" s="6" t="str">
        <f>IFERROR(__xludf.DUMMYFUNCTION("""COMPUTED_VALUE"""),"Не знаю")</f>
        <v>Не знаю</v>
      </c>
      <c r="K1387" s="6" t="str">
        <f>IFERROR(__xludf.DUMMYFUNCTION("""COMPUTED_VALUE"""),"Мало проживаю")</f>
        <v>Мало проживаю</v>
      </c>
      <c r="L1387" s="6" t="str">
        <f>IFERROR(__xludf.DUMMYFUNCTION("""COMPUTED_VALUE"""),"Не знаю")</f>
        <v>Не знаю</v>
      </c>
      <c r="M1387" s="6" t="str">
        <f>IFERROR(__xludf.DUMMYFUNCTION("""COMPUTED_VALUE"""),"Нет")</f>
        <v>Нет</v>
      </c>
      <c r="N1387" s="6" t="str">
        <f>IFERROR(__xludf.DUMMYFUNCTION("""COMPUTED_VALUE"""),"Чистота, доступность, ")</f>
        <v>Чистота, доступность, </v>
      </c>
      <c r="O1387" s="6" t="str">
        <f>IFERROR(__xludf.DUMMYFUNCTION("""COMPUTED_VALUE"""),"Грязно")</f>
        <v>Грязно</v>
      </c>
      <c r="P1387" s="6" t="str">
        <f>IFERROR(__xludf.DUMMYFUNCTION("""COMPUTED_VALUE"""),"Интернет")</f>
        <v>Интернет</v>
      </c>
      <c r="Q1387" s="6" t="str">
        <f>IFERROR(__xludf.DUMMYFUNCTION("""COMPUTED_VALUE"""),"куда пойти в свободное время, городская афиша (кино/театр/концерты), культурные новинки (что почитать/что послушать), бизнес-новости (средний чек/рекламные акции/запуск новых предприятий)")</f>
        <v>куда пойти в свободное время, городская афиша (кино/театр/концерты), культурные новинки (что почитать/что послушать), бизнес-новости (средний чек/рекламные акции/запуск новых предприятий)</v>
      </c>
      <c r="R1387" s="6" t="str">
        <f>IFERROR(__xludf.DUMMYFUNCTION("""COMPUTED_VALUE"""),"9 мая, Новый год, день города ")</f>
        <v>9 мая, Новый год, день города </v>
      </c>
      <c r="S1387" s="6" t="str">
        <f>IFERROR(__xludf.DUMMYFUNCTION("""COMPUTED_VALUE"""),"Нет, не приходилось")</f>
        <v>Нет, не приходилось</v>
      </c>
      <c r="T1387" s="6" t="str">
        <f>IFERROR(__xludf.DUMMYFUNCTION("""COMPUTED_VALUE"""),"Затрудняюсь ответить ")</f>
        <v>Затрудняюсь ответить </v>
      </c>
      <c r="U1387" s="6" t="str">
        <f>IFERROR(__xludf.DUMMYFUNCTION("""COMPUTED_VALUE"""),"Затрудняюсь ответить ")</f>
        <v>Затрудняюсь ответить </v>
      </c>
      <c r="V1387" s="6" t="str">
        <f>IFERROR(__xludf.DUMMYFUNCTION("""COMPUTED_VALUE"""),"Сложно судить")</f>
        <v>Сложно судить</v>
      </c>
      <c r="W1387" s="6" t="str">
        <f>IFERROR(__xludf.DUMMYFUNCTION("""COMPUTED_VALUE"""),"Обозлённые ")</f>
        <v>Обозлённые </v>
      </c>
      <c r="X1387" s="6" t="str">
        <f>IFERROR(__xludf.DUMMYFUNCTION("""COMPUTED_VALUE"""),"Набережная")</f>
        <v>Набережная</v>
      </c>
      <c r="Y1387" s="6" t="str">
        <f>IFERROR(__xludf.DUMMYFUNCTION("""COMPUTED_VALUE"""),"Нет")</f>
        <v>Нет</v>
      </c>
      <c r="Z1387" s="6" t="str">
        <f>IFERROR(__xludf.DUMMYFUNCTION("""COMPUTED_VALUE"""),"Нет")</f>
        <v>Нет</v>
      </c>
      <c r="AA1387" s="6" t="str">
        <f>IFERROR(__xludf.DUMMYFUNCTION("""COMPUTED_VALUE"""),"Нет")</f>
        <v>Нет</v>
      </c>
      <c r="AB1387" s="6" t="str">
        <f>IFERROR(__xludf.DUMMYFUNCTION("""COMPUTED_VALUE"""),"Нет")</f>
        <v>Нет</v>
      </c>
      <c r="AC1387" s="6" t="str">
        <f>IFERROR(__xludf.DUMMYFUNCTION("""COMPUTED_VALUE"""),"Нет ")</f>
        <v>Нет </v>
      </c>
      <c r="AD138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87" s="6" t="str">
        <f>IFERROR(__xludf.DUMMYFUNCTION("""COMPUTED_VALUE"""),"Женский")</f>
        <v>Женский</v>
      </c>
      <c r="AF1387" s="6" t="str">
        <f>IFERROR(__xludf.DUMMYFUNCTION("""COMPUTED_VALUE"""),"30-44")</f>
        <v>30-44</v>
      </c>
      <c r="AG1387" s="6"/>
      <c r="AH1387" s="6"/>
      <c r="AI1387" s="6"/>
      <c r="AJ1387" s="6"/>
      <c r="AK1387" s="6"/>
      <c r="AL1387" s="6"/>
      <c r="AM1387" s="6"/>
    </row>
    <row r="1388">
      <c r="A1388" s="6">
        <v>1387.0</v>
      </c>
      <c r="B1388" s="6" t="str">
        <f>IFERROR(__xludf.DUMMYFUNCTION("""COMPUTED_VALUE"""),"Директор турагентства ")</f>
        <v>Директор турагентства </v>
      </c>
      <c r="C1388" s="6" t="str">
        <f>IFERROR(__xludf.DUMMYFUNCTION("""COMPUTED_VALUE"""),"Дизайн")</f>
        <v>Дизайн</v>
      </c>
      <c r="D1388" s="6" t="str">
        <f>IFERROR(__xludf.DUMMYFUNCTION("""COMPUTED_VALUE"""),"Объект 1200")</f>
        <v>Объект 1200</v>
      </c>
      <c r="E1388" s="6" t="str">
        <f>IFERROR(__xludf.DUMMYFUNCTION("""COMPUTED_VALUE"""),"Военный завод ( его так все называют, подземный законсервированный, где работали немцы, японцы пленные)")</f>
        <v>Военный завод ( его так все называют, подземный законсервированный, где работали немцы, японцы пленные)</v>
      </c>
      <c r="F1388" s="6" t="str">
        <f>IFERROR(__xludf.DUMMYFUNCTION("""COMPUTED_VALUE"""),"Живу здесь с рождения")</f>
        <v>Живу здесь с рождения</v>
      </c>
      <c r="G1388" s="6" t="str">
        <f>IFERROR(__xludf.DUMMYFUNCTION("""COMPUTED_VALUE"""),"Некуда")</f>
        <v>Некуда</v>
      </c>
      <c r="H1388" s="6" t="str">
        <f>IFERROR(__xludf.DUMMYFUNCTION("""COMPUTED_VALUE"""),"Уголь, томь, шахтёр,школьная  грязь,  тулеев")</f>
        <v>Уголь, томь, шахтёр,школьная  грязь,  тулеев</v>
      </c>
      <c r="I1388" s="6" t="str">
        <f>IFERROR(__xludf.DUMMYFUNCTION("""COMPUTED_VALUE"""),"Тулеев, кислюк")</f>
        <v>Тулеев, кислюк</v>
      </c>
      <c r="J1388" s="6" t="str">
        <f>IFERROR(__xludf.DUMMYFUNCTION("""COMPUTED_VALUE"""),"Тулеев")</f>
        <v>Тулеев</v>
      </c>
      <c r="K1388" s="6" t="str">
        <f>IFERROR(__xludf.DUMMYFUNCTION("""COMPUTED_VALUE"""),"Набережная ")</f>
        <v>Набережная </v>
      </c>
      <c r="L1388" s="6" t="str">
        <f>IFERROR(__xludf.DUMMYFUNCTION("""COMPUTED_VALUE"""),"Нет")</f>
        <v>Нет</v>
      </c>
      <c r="M1388" s="6" t="str">
        <f>IFERROR(__xludf.DUMMYFUNCTION("""COMPUTED_VALUE"""),"Нет")</f>
        <v>Нет</v>
      </c>
      <c r="N1388" s="6" t="str">
        <f>IFERROR(__xludf.DUMMYFUNCTION("""COMPUTED_VALUE"""),"Чистота, хорошие дороги")</f>
        <v>Чистота, хорошие дороги</v>
      </c>
      <c r="O1388" s="6" t="str">
        <f>IFERROR(__xludf.DUMMYFUNCTION("""COMPUTED_VALUE"""),"Дороги")</f>
        <v>Дороги</v>
      </c>
      <c r="P1388" s="6" t="str">
        <f>IFERROR(__xludf.DUMMYFUNCTION("""COMPUTED_VALUE"""),"Инстаграм ")</f>
        <v>Инстаграм </v>
      </c>
      <c r="Q1388"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388" s="6" t="str">
        <f>IFERROR(__xludf.DUMMYFUNCTION("""COMPUTED_VALUE"""),"День города")</f>
        <v>День города</v>
      </c>
      <c r="S1388" s="6" t="str">
        <f>IFERROR(__xludf.DUMMYFUNCTION("""COMPUTED_VALUE"""),"Нет, не приходилось")</f>
        <v>Нет, не приходилось</v>
      </c>
      <c r="T1388" s="6" t="str">
        <f>IFERROR(__xludf.DUMMYFUNCTION("""COMPUTED_VALUE"""),"Томская писаница")</f>
        <v>Томская писаница</v>
      </c>
      <c r="U1388" s="6" t="str">
        <f>IFERROR(__xludf.DUMMYFUNCTION("""COMPUTED_VALUE"""),"Цирк")</f>
        <v>Цирк</v>
      </c>
      <c r="V1388" s="6" t="str">
        <f>IFERROR(__xludf.DUMMYFUNCTION("""COMPUTED_VALUE"""),"Лесная поляна")</f>
        <v>Лесная поляна</v>
      </c>
      <c r="W1388" s="6" t="str">
        <f>IFERROR(__xludf.DUMMYFUNCTION("""COMPUTED_VALUE"""),"Злые, угрюмые")</f>
        <v>Злые, угрюмые</v>
      </c>
      <c r="X1388" s="6" t="str">
        <f>IFERROR(__xludf.DUMMYFUNCTION("""COMPUTED_VALUE"""),"Набережная, весенняя")</f>
        <v>Набережная, весенняя</v>
      </c>
      <c r="Y1388" s="6" t="str">
        <f>IFERROR(__xludf.DUMMYFUNCTION("""COMPUTED_VALUE"""),"Ничего ")</f>
        <v>Ничего </v>
      </c>
      <c r="Z1388" s="6" t="str">
        <f>IFERROR(__xludf.DUMMYFUNCTION("""COMPUTED_VALUE"""),"Нет")</f>
        <v>Нет</v>
      </c>
      <c r="AA1388" s="6" t="str">
        <f>IFERROR(__xludf.DUMMYFUNCTION("""COMPUTED_VALUE"""),"Зимняя вишня ")</f>
        <v>Зимняя вишня </v>
      </c>
      <c r="AB1388" s="6" t="str">
        <f>IFERROR(__xludf.DUMMYFUNCTION("""COMPUTED_VALUE"""),"Пляж")</f>
        <v>Пляж</v>
      </c>
      <c r="AC1388" s="6" t="str">
        <f>IFERROR(__xludf.DUMMYFUNCTION("""COMPUTED_VALUE"""),"Концерты заезд эстрады  перестали к нам ездить")</f>
        <v>Концерты заезд эстрады  перестали к нам ездить</v>
      </c>
      <c r="AD1388"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388" s="6" t="str">
        <f>IFERROR(__xludf.DUMMYFUNCTION("""COMPUTED_VALUE"""),"Женский")</f>
        <v>Женский</v>
      </c>
      <c r="AF1388" s="6" t="str">
        <f>IFERROR(__xludf.DUMMYFUNCTION("""COMPUTED_VALUE"""),"45-55")</f>
        <v>45-55</v>
      </c>
      <c r="AG1388" s="6"/>
      <c r="AH1388" s="6"/>
      <c r="AI1388" s="6"/>
      <c r="AJ1388" s="6"/>
      <c r="AK1388" s="6"/>
      <c r="AL1388" s="6"/>
      <c r="AM1388" s="6"/>
    </row>
    <row r="1389">
      <c r="A1389" s="6">
        <v>1388.0</v>
      </c>
      <c r="B1389" s="6" t="str">
        <f>IFERROR(__xludf.DUMMYFUNCTION("""COMPUTED_VALUE"""),"Специалист по кадровой работе. Сейчас в декретном отпуске")</f>
        <v>Специалист по кадровой работе. Сейчас в декретном отпуске</v>
      </c>
      <c r="C1389" s="6" t="str">
        <f>IFERROR(__xludf.DUMMYFUNCTION("""COMPUTED_VALUE"""),"Люблю фотографировать для себя")</f>
        <v>Люблю фотографировать для себя</v>
      </c>
      <c r="D1389" s="6" t="str">
        <f>IFERROR(__xludf.DUMMYFUNCTION("""COMPUTED_VALUE"""),"Недалеко от парка Ангелов. Называю район «швейка»")</f>
        <v>Недалеко от парка Ангелов. Называю район «швейка»</v>
      </c>
      <c r="E1389" s="6" t="str">
        <f>IFERROR(__xludf.DUMMYFUNCTION("""COMPUTED_VALUE"""),"Парк Ангелов")</f>
        <v>Парк Ангелов</v>
      </c>
      <c r="F1389" s="6" t="str">
        <f>IFERROR(__xludf.DUMMYFUNCTION("""COMPUTED_VALUE"""),"Живу здесь с рождения")</f>
        <v>Живу здесь с рождения</v>
      </c>
      <c r="G1389" s="6" t="str">
        <f>IFERROR(__xludf.DUMMYFUNCTION("""COMPUTED_VALUE"""),"Набережная, парк Победы, парк Ангелов, парк Чудес, район Лесная поляна, Сосновый бор")</f>
        <v>Набережная, парк Победы, парк Ангелов, парк Чудес, район Лесная поляна, Сосновый бор</v>
      </c>
      <c r="H1389" s="6" t="str">
        <f>IFERROR(__xludf.DUMMYFUNCTION("""COMPUTED_VALUE"""),"Небольшой, часто пасмурный, с красивым центром, уютный, с ужасным центральным проспектом")</f>
        <v>Небольшой, часто пасмурный, с красивым центром, уютный, с ужасным центральным проспектом</v>
      </c>
      <c r="I1389" s="6" t="str">
        <f>IFERROR(__xludf.DUMMYFUNCTION("""COMPUTED_VALUE"""),"Сарыгин А.В. , Михайло Волков")</f>
        <v>Сарыгин А.В. , Михайло Волков</v>
      </c>
      <c r="J1389" s="6" t="str">
        <f>IFERROR(__xludf.DUMMYFUNCTION("""COMPUTED_VALUE"""),"Не могу таких выделить")</f>
        <v>Не могу таких выделить</v>
      </c>
      <c r="K1389" s="6" t="str">
        <f>IFERROR(__xludf.DUMMYFUNCTION("""COMPUTED_VALUE"""),"Парк Ангелов, музей Красная Горка, парк Чудес и набережная, Район Лесная поляна, Сосновый бор")</f>
        <v>Парк Ангелов, музей Красная Горка, парк Чудес и набережная, Район Лесная поляна, Сосновый бор</v>
      </c>
      <c r="L1389" s="6" t="str">
        <f>IFERROR(__xludf.DUMMYFUNCTION("""COMPUTED_VALUE"""),"Не знаю таких")</f>
        <v>Не знаю таких</v>
      </c>
      <c r="M1389" s="6" t="str">
        <f>IFERROR(__xludf.DUMMYFUNCTION("""COMPUTED_VALUE"""),"Нет")</f>
        <v>Нет</v>
      </c>
      <c r="N1389" s="6" t="str">
        <f>IFERROR(__xludf.DUMMYFUNCTION("""COMPUTED_VALUE"""),"Отремонтированные дворы с детскими площадками, наличие торговых центров, наличие парков, хорошие дороги, достойно оплачиваемые рабочие места")</f>
        <v>Отремонтированные дворы с детскими площадками, наличие торговых центров, наличие парков, хорошие дороги, достойно оплачиваемые рабочие места</v>
      </c>
      <c r="O1389" s="6" t="str">
        <f>IFERROR(__xludf.DUMMYFUNCTION("""COMPUTED_VALUE"""),"Навести порядок дворовых территорий")</f>
        <v>Навести порядок дворовых территорий</v>
      </c>
      <c r="P1389" s="6" t="str">
        <f>IFERROR(__xludf.DUMMYFUNCTION("""COMPUTED_VALUE"""),"На официальных сайтах. На сайте администрации, на сайтах парков, театров. В яндекс афише ")</f>
        <v>На официальных сайтах. На сайте администрации, на сайтах парков, театров. В яндекс афише </v>
      </c>
      <c r="Q1389"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389" s="6" t="str">
        <f>IFERROR(__xludf.DUMMYFUNCTION("""COMPUTED_VALUE"""),"День города, день Победы")</f>
        <v>День города, день Победы</v>
      </c>
      <c r="S1389" s="6" t="str">
        <f>IFERROR(__xludf.DUMMYFUNCTION("""COMPUTED_VALUE"""),"Нет, не приходилось")</f>
        <v>Нет, не приходилось</v>
      </c>
      <c r="T1389" s="6" t="str">
        <f>IFERROR(__xludf.DUMMYFUNCTION("""COMPUTED_VALUE"""),"Затрудняюсь ответить")</f>
        <v>Затрудняюсь ответить</v>
      </c>
      <c r="U1389" s="6" t="str">
        <f>IFERROR(__xludf.DUMMYFUNCTION("""COMPUTED_VALUE"""),"Памятник шахтёрам ")</f>
        <v>Памятник шахтёрам </v>
      </c>
      <c r="V1389" s="6" t="str">
        <f>IFERROR(__xludf.DUMMYFUNCTION("""COMPUTED_VALUE"""),"Затрудняюсь ответить")</f>
        <v>Затрудняюсь ответить</v>
      </c>
      <c r="W1389" s="6" t="str">
        <f>IFERROR(__xludf.DUMMYFUNCTION("""COMPUTED_VALUE"""),"Дружелюбные, добрые, отзывчивые")</f>
        <v>Дружелюбные, добрые, отзывчивые</v>
      </c>
      <c r="X1389" s="6" t="str">
        <f>IFERROR(__xludf.DUMMYFUNCTION("""COMPUTED_VALUE"""),"Центр города, набережная, музей Красная горка")</f>
        <v>Центр города, набережная, музей Красная горка</v>
      </c>
      <c r="Y1389" s="6" t="str">
        <f>IFERROR(__xludf.DUMMYFUNCTION("""COMPUTED_VALUE"""),"Чемпионат Мира по хоккею с мячом")</f>
        <v>Чемпионат Мира по хоккею с мячом</v>
      </c>
      <c r="Z1389" s="6" t="str">
        <f>IFERROR(__xludf.DUMMYFUNCTION("""COMPUTED_VALUE"""),"Строительство новой набережной и спортивных объектов")</f>
        <v>Строительство новой набережной и спортивных объектов</v>
      </c>
      <c r="AA1389" s="6" t="str">
        <f>IFERROR(__xludf.DUMMYFUNCTION("""COMPUTED_VALUE"""),"Закрытие всех заведений на карантин")</f>
        <v>Закрытие всех заведений на карантин</v>
      </c>
      <c r="AB1389" s="6" t="str">
        <f>IFERROR(__xludf.DUMMYFUNCTION("""COMPUTED_VALUE"""),"Всего хватает ")</f>
        <v>Всего хватает </v>
      </c>
      <c r="AC1389" s="6" t="str">
        <f>IFERROR(__xludf.DUMMYFUNCTION("""COMPUTED_VALUE"""),"Мастерклассы, концерты, чтобы можно было провести время всей семьей вместе ")</f>
        <v>Мастерклассы, концерты, чтобы можно было провести время всей семьей вместе </v>
      </c>
      <c r="AD138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89" s="6" t="str">
        <f>IFERROR(__xludf.DUMMYFUNCTION("""COMPUTED_VALUE"""),"Женский")</f>
        <v>Женский</v>
      </c>
      <c r="AF1389" s="6" t="str">
        <f>IFERROR(__xludf.DUMMYFUNCTION("""COMPUTED_VALUE"""),"30-44")</f>
        <v>30-44</v>
      </c>
      <c r="AG1389" s="6"/>
      <c r="AH1389" s="6"/>
      <c r="AI1389" s="6"/>
      <c r="AJ1389" s="6"/>
      <c r="AK1389" s="6"/>
      <c r="AL1389" s="6"/>
      <c r="AM1389" s="6"/>
    </row>
    <row r="1390">
      <c r="A1390" s="6">
        <v>1389.0</v>
      </c>
      <c r="B1390" s="6" t="str">
        <f>IFERROR(__xludf.DUMMYFUNCTION("""COMPUTED_VALUE"""),"Декретный отпуск")</f>
        <v>Декретный отпуск</v>
      </c>
      <c r="C1390" s="6" t="str">
        <f>IFERROR(__xludf.DUMMYFUNCTION("""COMPUTED_VALUE"""),"Чтение книг, фильмы, рисование. ")</f>
        <v>Чтение книг, фильмы, рисование. </v>
      </c>
      <c r="D1390" s="6" t="str">
        <f>IFERROR(__xludf.DUMMYFUNCTION("""COMPUTED_VALUE"""),"Рудничный. 🌈Радуга. ")</f>
        <v>Рудничный. 🌈Радуга. </v>
      </c>
      <c r="E1390" s="6" t="str">
        <f>IFERROR(__xludf.DUMMYFUNCTION("""COMPUTED_VALUE"""),"Рудничный бор и Серебряный бор. ")</f>
        <v>Рудничный бор и Серебряный бор. </v>
      </c>
      <c r="F1390" s="6" t="str">
        <f>IFERROR(__xludf.DUMMYFUNCTION("""COMPUTED_VALUE"""),"Переехал сюда из другого места (откуда? укажите в графе другое), Город Березовский, Кузбасс. ")</f>
        <v>Переехал сюда из другого места (откуда? укажите в графе другое), Город Березовский, Кузбасс. </v>
      </c>
      <c r="G1390" s="6" t="str">
        <f>IFERROR(__xludf.DUMMYFUNCTION("""COMPUTED_VALUE"""),"Двор своего дома, Серебряный бор, тц Радуга, парк ангелов, Рудничный бор, набережная, парк чудес, лесная поляна. ")</f>
        <v>Двор своего дома, Серебряный бор, тц Радуга, парк ангелов, Рудничный бор, набережная, парк чудес, лесная поляна. </v>
      </c>
      <c r="H1390" s="6" t="str">
        <f>IFERROR(__xludf.DUMMYFUNCTION("""COMPUTED_VALUE"""),"Уютный, чистый, компактный, комфортный, запоминающийся. ")</f>
        <v>Уютный, чистый, компактный, комфортный, запоминающийся. </v>
      </c>
      <c r="I1390" s="6" t="str">
        <f>IFERROR(__xludf.DUMMYFUNCTION("""COMPUTED_VALUE"""),"Михайло Волков, Алексей Леонов, Вера Волошина. ")</f>
        <v>Михайло Волков, Алексей Леонов, Вера Волошина. </v>
      </c>
      <c r="J1390" s="6" t="str">
        <f>IFERROR(__xludf.DUMMYFUNCTION("""COMPUTED_VALUE"""),"Евгений Гришковец, Алексей Леонов. ")</f>
        <v>Евгений Гришковец, Алексей Леонов. </v>
      </c>
      <c r="K1390" s="6" t="str">
        <f>IFERROR(__xludf.DUMMYFUNCTION("""COMPUTED_VALUE"""),"Показала бы карьер, который находится возле Мариинского поворота, там чистая голубая вода. Лесная поляна, томская писаница, набережная, кадетский корпус. ")</f>
        <v>Показала бы карьер, который находится возле Мариинского поворота, там чистая голубая вода. Лесная поляна, томская писаница, набережная, кадетский корпус. </v>
      </c>
      <c r="L1390" s="6" t="str">
        <f>IFERROR(__xludf.DUMMYFUNCTION("""COMPUTED_VALUE"""),"""Что ни город, то норов"".
Аквариум "" Человек из Кемерова""
У ак 47 есть песня: я еду в Кемерово. ")</f>
        <v>"Что ни город, то норов".
Аквариум " Человек из Кемерова"
У ак 47 есть песня: я еду в Кемерово. </v>
      </c>
      <c r="M1390" s="6" t="str">
        <f>IFERROR(__xludf.DUMMYFUNCTION("""COMPUTED_VALUE"""),"Мультифора, шоркаться, ")</f>
        <v>Мультифора, шоркаться, </v>
      </c>
      <c r="N1390" s="6" t="str">
        <f>IFERROR(__xludf.DUMMYFUNCTION("""COMPUTED_VALUE"""),"Экологическая обстановка, доступная среда, чистота во всем, наличие зеленых зон, безопасность во всем. ")</f>
        <v>Экологическая обстановка, доступная среда, чистота во всем, наличие зеленых зон, безопасность во всем. </v>
      </c>
      <c r="O1390" s="6" t="str">
        <f>IFERROR(__xludf.DUMMYFUNCTION("""COMPUTED_VALUE"""),"Благоустройство детских площадок во всех дворах города, обеспечение доступной среды для людей с ограниченными возможностями и для родителей с маленькими детьми. Бесплатная медицина с более быстрыми сроками для записи, приходится ждать неделями, чтобы попа"&amp;"сть к врачу.  Сортировка мусора в каждом дворе. ")</f>
        <v>Благоустройство детских площадок во всех дворах города, обеспечение доступной среды для людей с ограниченными возможностями и для родителей с маленькими детьми. Бесплатная медицина с более быстрыми сроками для записи, приходится ждать неделями, чтобы попасть к врачу.  Сортировка мусора в каждом дворе. </v>
      </c>
      <c r="P1390" s="6" t="str">
        <f>IFERROR(__xludf.DUMMYFUNCTION("""COMPUTED_VALUE"""),"Инстаграмм. ")</f>
        <v>Инстаграмм. </v>
      </c>
      <c r="Q1390"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результаты местных исследований (рейтинги/аналитика/тенденции"&amp;")")</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результаты местных исследований (рейтинги/аналитика/тенденции)</v>
      </c>
      <c r="R1390" s="6" t="str">
        <f>IFERROR(__xludf.DUMMYFUNCTION("""COMPUTED_VALUE"""),"День Шахтера, День России, 9 Мая. ")</f>
        <v>День Шахтера, День России, 9 Мая. </v>
      </c>
      <c r="S1390" s="6" t="str">
        <f>IFERROR(__xludf.DUMMYFUNCTION("""COMPUTED_VALUE"""),"Нет, не приходилось")</f>
        <v>Нет, не приходилось</v>
      </c>
      <c r="T1390" s="6" t="str">
        <f>IFERROR(__xludf.DUMMYFUNCTION("""COMPUTED_VALUE"""),"Шахтерами, участие в КВН, спортсменами. 
Уникальность в людях, у нас есть душа, искренность и трудолюбие. ")</f>
        <v>Шахтерами, участие в КВН, спортсменами. 
Уникальность в людях, у нас есть душа, искренность и трудолюбие. </v>
      </c>
      <c r="U1390" s="6" t="str">
        <f>IFERROR(__xludf.DUMMYFUNCTION("""COMPUTED_VALUE"""),"Центр города-набережная, проспект советский, театр драмы. ")</f>
        <v>Центр города-набережная, проспект советский, театр драмы. </v>
      </c>
      <c r="V1390" s="6" t="str">
        <f>IFERROR(__xludf.DUMMYFUNCTION("""COMPUTED_VALUE"""),"Угледобывающая промышленность")</f>
        <v>Угледобывающая промышленность</v>
      </c>
      <c r="W1390" s="6" t="str">
        <f>IFERROR(__xludf.DUMMYFUNCTION("""COMPUTED_VALUE"""),"Резкие, порой грубые, при этом открытые, искренние и с душой. ")</f>
        <v>Резкие, порой грубые, при этом открытые, искренние и с душой. </v>
      </c>
      <c r="X1390" s="6" t="str">
        <f>IFERROR(__xludf.DUMMYFUNCTION("""COMPUTED_VALUE"""),"Набережная-Театр драмы-площадь Советов-Парк Ангелов-Лесная поляна-Рудничный и Серебряный бор-Красная горка. ")</f>
        <v>Набережная-Театр драмы-площадь Советов-Парк Ангелов-Лесная поляна-Рудничный и Серебряный бор-Красная горка. </v>
      </c>
      <c r="Y1390" s="6" t="str">
        <f>IFERROR(__xludf.DUMMYFUNCTION("""COMPUTED_VALUE"""),"2019 год- празднования юбилея стройсервиса, приезд иностранных групп. ")</f>
        <v>2019 год- празднования юбилея стройсервиса, приезд иностранных групп. </v>
      </c>
      <c r="Z1390" s="6" t="str">
        <f>IFERROR(__xludf.DUMMYFUNCTION("""COMPUTED_VALUE"""),"2019 год- празднования юбилея стройсервиса, приезд иностранных групп. Строительство разных объектов-парк ангелов, кадетский корпус, арена и т. Д")</f>
        <v>2019 год- празднования юбилея стройсервиса, приезд иностранных групп. Строительство разных объектов-парк ангелов, кадетский корпус, арена и т. Д</v>
      </c>
      <c r="AA1390" s="6" t="str">
        <f>IFERROR(__xludf.DUMMYFUNCTION("""COMPUTED_VALUE"""),"За последние 2 года скорее никаких. Но все мы помним 2018 год-пожар, зимняя вишня. ")</f>
        <v>За последние 2 года скорее никаких. Но все мы помним 2018 год-пожар, зимняя вишня. </v>
      </c>
      <c r="AB1390" s="6" t="str">
        <f>IFERROR(__xludf.DUMMYFUNCTION("""COMPUTED_VALUE"""),"Сообществ по организации порядка в городе, начиная с мусора, до обусройства крупных объектов. Было бы здорово, если бы существовали разные сообщества, пусть волонтерскин, которые отвечали за разные сферы жизни в городе, кто то за обустройство площадок, кт"&amp;"о то за уборку мусора и тд")</f>
        <v>Сообществ по организации порядка в городе, начиная с мусора, до обусройства крупных объектов. Было бы здорово, если бы существовали разные сообщества, пусть волонтерскин, которые отвечали за разные сферы жизни в городе, кто то за обустройство площадок, кто то за уборку мусора и тд</v>
      </c>
      <c r="AC1390" s="6" t="str">
        <f>IFERROR(__xludf.DUMMYFUNCTION("""COMPUTED_VALUE"""),"Профессиональное и качественное проведение городских мероприятий, таких как 9 мая, День Шахтера и т.д. На данный момент все праздники проводятся для галочки. По сравнению с цкр города Березовского, где работают профессионалы и праздники проводятся намного"&amp;" качественный, чем в Кемерово. ")</f>
        <v>Профессиональное и качественное проведение городских мероприятий, таких как 9 мая, День Шахтера и т.д. На данный момент все праздники проводятся для галочки. По сравнению с цкр города Березовского, где работают профессионалы и праздники проводятся намного качественный, чем в Кемерово. </v>
      </c>
      <c r="AD1390"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390" s="6" t="str">
        <f>IFERROR(__xludf.DUMMYFUNCTION("""COMPUTED_VALUE"""),"Женский")</f>
        <v>Женский</v>
      </c>
      <c r="AF1390" s="6" t="str">
        <f>IFERROR(__xludf.DUMMYFUNCTION("""COMPUTED_VALUE"""),"30-44")</f>
        <v>30-44</v>
      </c>
      <c r="AG1390" s="6"/>
      <c r="AH1390" s="6"/>
      <c r="AI1390" s="6"/>
      <c r="AJ1390" s="6"/>
      <c r="AK1390" s="6"/>
      <c r="AL1390" s="6"/>
      <c r="AM1390" s="6"/>
    </row>
    <row r="1391">
      <c r="A1391" s="6">
        <v>1390.0</v>
      </c>
      <c r="B1391" s="6" t="str">
        <f>IFERROR(__xludf.DUMMYFUNCTION("""COMPUTED_VALUE"""),"Служащий")</f>
        <v>Служащий</v>
      </c>
      <c r="C1391" s="6" t="str">
        <f>IFERROR(__xludf.DUMMYFUNCTION("""COMPUTED_VALUE"""),"Создание бижутерии в технике WireWrap")</f>
        <v>Создание бижутерии в технике WireWrap</v>
      </c>
      <c r="D1391" s="6" t="str">
        <f>IFERROR(__xludf.DUMMYFUNCTION("""COMPUTED_VALUE"""),"Красная Горка")</f>
        <v>Красная Горка</v>
      </c>
      <c r="E1391" s="6" t="str">
        <f>IFERROR(__xludf.DUMMYFUNCTION("""COMPUTED_VALUE"""),"Сосновый бор, Памятник Шахтерам, Музей Красная Горка, страя школа №16, дома-колбасы на Абызова")</f>
        <v>Сосновый бор, Памятник Шахтерам, Музей Красная Горка, страя школа №16, дома-колбасы на Абызова</v>
      </c>
      <c r="F1391" s="6" t="str">
        <f>IFERROR(__xludf.DUMMYFUNCTION("""COMPUTED_VALUE"""),"Живу здесь с рождения")</f>
        <v>Живу здесь с рождения</v>
      </c>
      <c r="G1391" s="6" t="str">
        <f>IFERROR(__xludf.DUMMYFUNCTION("""COMPUTED_VALUE"""),"Сосновый бор, Памятник Шахтерам, Музей Красная Горка, на берег реки")</f>
        <v>Сосновый бор, Памятник Шахтерам, Музей Красная Горка, на берег реки</v>
      </c>
      <c r="H1391" s="6" t="str">
        <f>IFERROR(__xludf.DUMMYFUNCTION("""COMPUTED_VALUE"""),"Интересная архитектура (местами), сосновый бор, река, индустриализация, спад (к сожалению)")</f>
        <v>Интересная архитектура (местами), сосновый бор, река, индустриализация, спад (к сожалению)</v>
      </c>
      <c r="I1391" s="6" t="str">
        <f>IFERROR(__xludf.DUMMYFUNCTION("""COMPUTED_VALUE"""),"Рутгерс")</f>
        <v>Рутгерс</v>
      </c>
      <c r="J1391" s="6" t="str">
        <f>IFERROR(__xludf.DUMMYFUNCTION("""COMPUTED_VALUE"""),"Михайлов")</f>
        <v>Михайлов</v>
      </c>
      <c r="K1391" s="6" t="str">
        <f>IFERROR(__xludf.DUMMYFUNCTION("""COMPUTED_VALUE"""),"Сосновый бор, Памятник Шахтерам, Музей Красная Горка, Парк Ангелов, озеро в Кировском районе")</f>
        <v>Сосновый бор, Памятник Шахтерам, Музей Красная Горка, Парк Ангелов, озеро в Кировском районе</v>
      </c>
      <c r="L1391" s="6" t="str">
        <f>IFERROR(__xludf.DUMMYFUNCTION("""COMPUTED_VALUE"""),"Создание АИК, когда вдохновленные идеей построить лучшее общество иностранцы ехали в совершенно незнакомую страну и местность")</f>
        <v>Создание АИК, когда вдохновленные идеей построить лучшее общество иностранцы ехали в совершенно незнакомую страну и местность</v>
      </c>
      <c r="M1391" s="6" t="str">
        <f>IFERROR(__xludf.DUMMYFUNCTION("""COMPUTED_VALUE"""),"водить авто по-кемеровски (это не комплимент)")</f>
        <v>водить авто по-кемеровски (это не комплимент)</v>
      </c>
      <c r="N1391" s="6" t="str">
        <f>IFERROR(__xludf.DUMMYFUNCTION("""COMPUTED_VALUE"""),"возможность учиться в вузах, зеленые зоны отдыха, неперенаселенность, доступность культуры и спорта (в будущем при строительстве культурно-спотивного кластера), современные детские сады")</f>
        <v>возможность учиться в вузах, зеленые зоны отдыха, неперенаселенность, доступность культуры и спорта (в будущем при строительстве культурно-спотивного кластера), современные детские сады</v>
      </c>
      <c r="O1391" s="6" t="str">
        <f>IFERROR(__xludf.DUMMYFUNCTION("""COMPUTED_VALUE"""),"элементарно круглогодично соблюдать чистоту и порядок в городе, снизить захламленность города (свалки в городе, заросли, ямы, частный сектор неухожен, заброшенные здания), обеспечить стабильную и безопасную работу городского пассажирского транспорта, обес"&amp;"печить места для бесплатных парковок, обеспечить места для досуга молодежи (графити, уличные танцы, моноспектакли, спортивные мини-состоязания и пр.), привести в порядок исторические памятники в городе (старая школа №16, дома-колбасы на Абызова), обеспечи"&amp;"ть безопасность (много наркоманов по частному сектору ищут закладки)")</f>
        <v>элементарно круглогодично соблюдать чистоту и порядок в городе, снизить захламленность города (свалки в городе, заросли, ямы, частный сектор неухожен, заброшенные здания), обеспечить стабильную и безопасную работу городского пассажирского транспорта, обеспечить места для бесплатных парковок, обеспечить места для досуга молодежи (графити, уличные танцы, моноспектакли, спортивные мини-состоязания и пр.), привести в порядок исторические памятники в городе (старая школа №16, дома-колбасы на Абызова), обеспечить безопасность (много наркоманов по частному сектору ищут закладки)</v>
      </c>
      <c r="P1391" s="6" t="str">
        <f>IFERROR(__xludf.DUMMYFUNCTION("""COMPUTED_VALUE"""),"Инстраграм")</f>
        <v>Инстраграм</v>
      </c>
      <c r="Q1391" s="6" t="str">
        <f>IFERROR(__xludf.DUMMYFUNCTION("""COMPUTED_VALUE"""),"куда пойти в свободное время, культурные новинки (что почитать/что послушать), результаты местных исследований (рейтинги/аналитика/тенденции)")</f>
        <v>куда пойти в свободное время, культурные новинки (что почитать/что послушать), результаты местных исследований (рейтинги/аналитика/тенденции)</v>
      </c>
      <c r="R1391" s="6" t="str">
        <f>IFERROR(__xludf.DUMMYFUNCTION("""COMPUTED_VALUE"""),"У города нет собственного праздника (как, например, Алые паруса в Питере, Grelka в Шерегеше)")</f>
        <v>У города нет собственного праздника (как, например, Алые паруса в Питере, Grelka в Шерегеше)</v>
      </c>
      <c r="S1391" s="6" t="str">
        <f>IFERROR(__xludf.DUMMYFUNCTION("""COMPUTED_VALUE"""),"Нет, не приходилось")</f>
        <v>Нет, не приходилось</v>
      </c>
      <c r="T1391" s="6" t="str">
        <f>IFERROR(__xludf.DUMMYFUNCTION("""COMPUTED_VALUE"""),"Известен, к сожалению, трагедией в Зимней Вишне")</f>
        <v>Известен, к сожалению, трагедией в Зимней Вишне</v>
      </c>
      <c r="U1391" s="6" t="str">
        <f>IFERROR(__xludf.DUMMYFUNCTION("""COMPUTED_VALUE"""),"Скульптура Ленина на площади Советов (его можно сделать более интересным - покрасить ботинки, пальто и кепку в яркие цвета), Горелая гора, Сосновый бор")</f>
        <v>Скульптура Ленина на площади Советов (его можно сделать более интересным - покрасить ботинки, пальто и кепку в яркие цвета), Горелая гора, Сосновый бор</v>
      </c>
      <c r="V1391" s="6" t="str">
        <f>IFERROR(__xludf.DUMMYFUNCTION("""COMPUTED_VALUE"""),"в годы ВОВ ковали общую победу, в Афганистане и Чеченских кампаниях проявляли героизм и товарищество, внесли большой научный вклад в развитие горного машиностроения и природоохраны")</f>
        <v>в годы ВОВ ковали общую победу, в Афганистане и Чеченских кампаниях проявляли героизм и товарищество, внесли большой научный вклад в развитие горного машиностроения и природоохраны</v>
      </c>
      <c r="W1391" s="6" t="str">
        <f>IFERROR(__xludf.DUMMYFUNCTION("""COMPUTED_VALUE"""),"самоотверженные, неравнодушные, оптимисты, предприимчивые, творческие, жизнелюбы")</f>
        <v>самоотверженные, неравнодушные, оптимисты, предприимчивые, творческие, жизнелюбы</v>
      </c>
      <c r="X1391" s="6" t="str">
        <f>IFERROR(__xludf.DUMMYFUNCTION("""COMPUTED_VALUE"""),"Драмтеатр, набережная, площадь Советов, Парк Ангелов, Музей Красная Горка, в будущем - спортивно-культурный кластер")</f>
        <v>Драмтеатр, набережная, площадь Советов, Парк Ангелов, Музей Красная Горка, в будущем - спортивно-культурный кластер</v>
      </c>
      <c r="Y1391" s="6" t="str">
        <f>IFERROR(__xludf.DUMMYFUNCTION("""COMPUTED_VALUE"""),"АИК в 20-х годах, международный чемпионат по Bandy, международный ART-фестиваль (граффити на домах, космонавт на набережной0")</f>
        <v>АИК в 20-х годах, международный чемпионат по Bandy, международный ART-фестиваль (граффити на домах, космонавт на набережной0</v>
      </c>
      <c r="Z1391" s="6" t="str">
        <f>IFERROR(__xludf.DUMMYFUNCTION("""COMPUTED_VALUE"""),"ремонт и обустройство дорог в городе (местами)")</f>
        <v>ремонт и обустройство дорог в городе (местами)</v>
      </c>
      <c r="AA1391" s="6" t="str">
        <f>IFERROR(__xludf.DUMMYFUNCTION("""COMPUTED_VALUE"""),"Пожар в Зимней Вишне (это за три года), убийство студентки в общежитии на Ленинградском пр. при полном отсутствии помощи со стороны полиции")</f>
        <v>Пожар в Зимней Вишне (это за три года), убийство студентки в общежитии на Ленинградском пр. при полном отсутствии помощи со стороны полиции</v>
      </c>
      <c r="AB1391" s="6" t="str">
        <f>IFERROR(__xludf.DUMMYFUNCTION("""COMPUTED_VALUE"""),"обучающие по направлению малого фермерства (домашние сыры, пиво, колбасы и пр.)")</f>
        <v>обучающие по направлению малого фермерства (домашние сыры, пиво, колбасы и пр.)</v>
      </c>
      <c r="AC1391" s="6" t="str">
        <f>IFERROR(__xludf.DUMMYFUNCTION("""COMPUTED_VALUE"""),"возможность проведения специфических коротких немасштабных уличных фестивалей, например, спеть громко на крыше, разрисовать стену забора, показать миниспектакль, лучший дрифт (но в безопасном месте и в соответствии с ПДД). можно даже площадки свободного т"&amp;"ворчества организовать (как Клумба, фотостудия А5, Флакон в Москве)")</f>
        <v>возможность проведения специфических коротких немасштабных уличных фестивалей, например, спеть громко на крыше, разрисовать стену забора, показать миниспектакль, лучший дрифт (но в безопасном месте и в соответствии с ПДД). можно даже площадки свободного творчества организовать (как Клумба, фотостудия А5, Флакон в Москве)</v>
      </c>
      <c r="AD1391"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Запустить свой предпринимательский проект, организовать компанию.")</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Запустить свой предпринимательский проект, организовать компанию.</v>
      </c>
      <c r="AE1391" s="6" t="str">
        <f>IFERROR(__xludf.DUMMYFUNCTION("""COMPUTED_VALUE"""),"Женский")</f>
        <v>Женский</v>
      </c>
      <c r="AF1391" s="6" t="str">
        <f>IFERROR(__xludf.DUMMYFUNCTION("""COMPUTED_VALUE"""),"30-44")</f>
        <v>30-44</v>
      </c>
      <c r="AG1391" s="6"/>
      <c r="AH1391" s="6"/>
      <c r="AI1391" s="6"/>
      <c r="AJ1391" s="6"/>
      <c r="AK1391" s="6"/>
      <c r="AL1391" s="6"/>
      <c r="AM1391" s="6"/>
    </row>
    <row r="1392">
      <c r="A1392" s="6">
        <v>1391.0</v>
      </c>
      <c r="B1392" s="6" t="str">
        <f>IFERROR(__xludf.DUMMYFUNCTION("""COMPUTED_VALUE"""),"Строительство")</f>
        <v>Строительство</v>
      </c>
      <c r="C1392" s="6" t="str">
        <f>IFERROR(__xludf.DUMMYFUNCTION("""COMPUTED_VALUE"""),"Физическая культура и спорт")</f>
        <v>Физическая культура и спорт</v>
      </c>
      <c r="D1392" s="6" t="str">
        <f>IFERROR(__xludf.DUMMYFUNCTION("""COMPUTED_VALUE"""),"Шалготарьян, Ленинский район")</f>
        <v>Шалготарьян, Ленинский район</v>
      </c>
      <c r="E1392" s="6" t="str">
        <f>IFERROR(__xludf.DUMMYFUNCTION("""COMPUTED_VALUE"""),"Ноград, Красное озеро, двор Школы 33")</f>
        <v>Ноград, Красное озеро, двор Школы 33</v>
      </c>
      <c r="F1392" s="6" t="str">
        <f>IFERROR(__xludf.DUMMYFUNCTION("""COMPUTED_VALUE"""),"Живу здесь с рождения")</f>
        <v>Живу здесь с рождения</v>
      </c>
      <c r="G1392" s="6" t="str">
        <f>IFERROR(__xludf.DUMMYFUNCTION("""COMPUTED_VALUE"""),"Притомская набережная, Красное озеро, бульвар Строителей, Лесная поляна, Рудничный бор, Красная горка, улица Весенняя")</f>
        <v>Притомская набережная, Красное озеро, бульвар Строителей, Лесная поляна, Рудничный бор, Красная горка, улица Весенняя</v>
      </c>
      <c r="H1392" s="6" t="str">
        <f>IFERROR(__xludf.DUMMYFUNCTION("""COMPUTED_VALUE"""),"Светлый, зелёный, душевный, свежий, свободный")</f>
        <v>Светлый, зелёный, душевный, свежий, свободный</v>
      </c>
      <c r="I1392" s="6" t="str">
        <f>IFERROR(__xludf.DUMMYFUNCTION("""COMPUTED_VALUE"""),"В.В.Михайлов, Леонов, Терешкова, А.Г. Тулеев")</f>
        <v>В.В.Михайлов, Леонов, Терешкова, А.Г. Тулеев</v>
      </c>
      <c r="J1392" s="6" t="str">
        <f>IFERROR(__xludf.DUMMYFUNCTION("""COMPUTED_VALUE"""),"Михайлов В.В.")</f>
        <v>Михайлов В.В.</v>
      </c>
      <c r="K1392" s="6" t="str">
        <f>IFERROR(__xludf.DUMMYFUNCTION("""COMPUTED_VALUE"""),"Исторический центр города Кемерово (ул.Весенняя, Притомская набережная), Красная горка, музей в том числе, город-спутник Лесная поляна.")</f>
        <v>Исторический центр города Кемерово (ул.Весенняя, Притомская набережная), Красная горка, музей в том числе, город-спутник Лесная поляна.</v>
      </c>
      <c r="L1392" s="6" t="str">
        <f>IFERROR(__xludf.DUMMYFUNCTION("""COMPUTED_VALUE"""),"Человек из Кемерово (песенное от Бориса Гребенщикова),  Ты можешь уехать из Кемерово уехать можно, но Кемерово из тебя никуда не уедет.)")</f>
        <v>Человек из Кемерово (песенное от Бориса Гребенщикова),  Ты можешь уехать из Кемерово уехать можно, но Кемерово из тебя никуда не уедет.)</v>
      </c>
      <c r="M1392" s="6" t="str">
        <f>IFERROR(__xludf.DUMMYFUNCTION("""COMPUTED_VALUE"""),"Нет")</f>
        <v>Нет</v>
      </c>
      <c r="N1392" s="6" t="str">
        <f>IFERROR(__xludf.DUMMYFUNCTION("""COMPUTED_VALUE"""),"Чистые проезжие части и тротуары, доступность и комфортность общественного транспорта, шаговая доступность образовательных учреждений, наличие объектов соцкультбыта и насыщенная культурная жизнь, наличие общедоступных развлекательных и научно-образователь"&amp;"ных мероприятий на регулярной основе, насыщенная спортивная и околоспортивная жизнь, возможность участия в общественной жизни, возможность участия активной части населения в самоуправлении, общественной и политической жизни.")</f>
        <v>Чистые проезжие части и тротуары, доступность и комфортность общественного транспорта, шаговая доступность образовательных учреждений, наличие объектов соцкультбыта и насыщенная культурная жизнь, наличие общедоступных развлекательных и научно-образовательных мероприятий на регулярной основе, насыщенная спортивная и околоспортивная жизнь, возможность участия в общественной жизни, возможность участия активной части населения в самоуправлении, общественной и политической жизни.</v>
      </c>
      <c r="O1392" s="6" t="str">
        <f>IFERROR(__xludf.DUMMYFUNCTION("""COMPUTED_VALUE"""),"Обязательный оперативный отклик коммунальных, дорожных служб. Обеспечить город организованными стоянками личного автотранспорта и убрать автомобили из дворов, хотя бы с дворовых проездов. Обеспечить граждан интересной работой с достойным уровнем оплаты тр"&amp;"уда, работой соответствующей их квалификации, личным качествам, предпочтениям по сфере деятельности, физическим и умственным возможностям. Работа это большая часть жизни. Даже наибОльшая!")</f>
        <v>Обязательный оперативный отклик коммунальных, дорожных служб. Обеспечить город организованными стоянками личного автотранспорта и убрать автомобили из дворов, хотя бы с дворовых проездов. Обеспечить граждан интересной работой с достойным уровнем оплаты труда, работой соответствующей их квалификации, личным качествам, предпочтениям по сфере деятельности, физическим и умственным возможностям. Работа это большая часть жизни. Даже наибОльшая!</v>
      </c>
      <c r="P1392" s="6" t="str">
        <f>IFERROR(__xludf.DUMMYFUNCTION("""COMPUTED_VALUE"""),"Инстаграмм, афиша Кемерово, баннеры.")</f>
        <v>Инстаграмм, афиша Кемерово, баннеры.</v>
      </c>
      <c r="Q1392" s="6" t="str">
        <f>IFERROR(__xludf.DUMMYFUNCTION("""COMPUTED_VALUE"""),"куда пойти в свободное время,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(нап"&amp;"ишите в разделе Другое свои предложения), спортивные новости и анонсы мероприятий")</f>
        <v>куда пойти в свободное время,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спортивные новости и анонсы мероприятий</v>
      </c>
      <c r="R1392" s="6" t="str">
        <f>IFERROR(__xludf.DUMMYFUNCTION("""COMPUTED_VALUE"""),"День Победы.")</f>
        <v>День Победы.</v>
      </c>
      <c r="S1392" s="6" t="str">
        <f>IFERROR(__xludf.DUMMYFUNCTION("""COMPUTED_VALUE"""),"Нет, не приходилось")</f>
        <v>Нет, не приходилось</v>
      </c>
      <c r="T1392" s="6" t="str">
        <f>IFERROR(__xludf.DUMMYFUNCTION("""COMPUTED_VALUE"""),"Шахтеры, уголь.")</f>
        <v>Шахтеры, уголь.</v>
      </c>
      <c r="U1392" s="6" t="str">
        <f>IFERROR(__xludf.DUMMYFUNCTION("""COMPUTED_VALUE"""),"Площадь Советов, место пересечения Терешковой и пр.Октябрьский, пойма реки Искитимка, бульварное кольцо на б-ре Строителей.")</f>
        <v>Площадь Советов, место пересечения Терешковой и пр.Октябрьский, пойма реки Искитимка, бульварное кольцо на б-ре Строителей.</v>
      </c>
      <c r="V1392" s="6" t="str">
        <f>IFERROR(__xludf.DUMMYFUNCTION("""COMPUTED_VALUE"""),"Построили город, родили здесь детей, остались несмотря на сравнительно небольшие масштабы и ограниченные возможности.")</f>
        <v>Построили город, родили здесь детей, остались несмотря на сравнительно небольшие масштабы и ограниченные возможности.</v>
      </c>
      <c r="W1392" s="6" t="str">
        <f>IFERROR(__xludf.DUMMYFUNCTION("""COMPUTED_VALUE"""),"Интеллигентные, отзывчивые, смелые, терпеливые, веселые.")</f>
        <v>Интеллигентные, отзывчивые, смелые, терпеливые, веселые.</v>
      </c>
      <c r="X1392" s="6" t="str">
        <f>IFERROR(__xludf.DUMMYFUNCTION("""COMPUTED_VALUE"""),"Кузгту главный корпус-памятник Кузбассовцам на Притомской набережной-Гостиница Томь - Орбита- площадь Пушкина- площадь Советов.")</f>
        <v>Кузгту главный корпус-памятник Кузбассовцам на Притомской набережной-Гостиница Томь - Орбита- площадь Пушкина- площадь Советов.</v>
      </c>
      <c r="Y1392" s="6" t="str">
        <f>IFERROR(__xludf.DUMMYFUNCTION("""COMPUTED_VALUE"""),"Получение статуса областного центра.")</f>
        <v>Получение статуса областного центра.</v>
      </c>
      <c r="Z1392" s="6" t="str">
        <f>IFERROR(__xludf.DUMMYFUNCTION("""COMPUTED_VALUE"""),"Чемпионство ВК Кузбасс")</f>
        <v>Чемпионство ВК Кузбасс</v>
      </c>
      <c r="AA1392" s="6" t="str">
        <f>IFERROR(__xludf.DUMMYFUNCTION("""COMPUTED_VALUE"""),"Открытие новых угледобывающих предприятий, ухудшение качества воздуха, обманутые дольщики.")</f>
        <v>Открытие новых угледобывающих предприятий, ухудшение качества воздуха, обманутые дольщики.</v>
      </c>
      <c r="AB1392" s="6" t="str">
        <f>IFERROR(__xludf.DUMMYFUNCTION("""COMPUTED_VALUE"""),"Профессиональных объединений, типа профсоюзов, но только чтобы ради людей, а не для управления. Творческих не для профи, а для рядовых, которые стесняются и не могут найти средства. ")</f>
        <v>Профессиональных объединений, типа профсоюзов, но только чтобы ради людей, а не для управления. Творческих не для профи, а для рядовых, которые стесняются и не могут найти средства. </v>
      </c>
      <c r="AC1392" s="6" t="str">
        <f>IFERROR(__xludf.DUMMYFUNCTION("""COMPUTED_VALUE"""),"Различные форумы и выставки, которые позволят заинтересоваться, воодушевиться, дадут толчок для развития совершенно новых сфер деятельности. Дни открытых дверей, образовательные выставки, которые презентуют программы обучения, будущие профессии, карьерные"&amp;" лифты.")</f>
        <v>Различные форумы и выставки, которые позволят заинтересоваться, воодушевиться, дадут толчок для развития совершенно новых сфер деятельности. Дни открытых дверей, образовательные выставки, которые презентуют программы обучения, будущие профессии, карьерные лифты.</v>
      </c>
      <c r="AD139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за"&amp;"интересованных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392" s="6" t="str">
        <f>IFERROR(__xludf.DUMMYFUNCTION("""COMPUTED_VALUE"""),"Мужской")</f>
        <v>Мужской</v>
      </c>
      <c r="AF1392" s="6" t="str">
        <f>IFERROR(__xludf.DUMMYFUNCTION("""COMPUTED_VALUE"""),"30-44")</f>
        <v>30-44</v>
      </c>
      <c r="AG1392" s="6"/>
      <c r="AH1392" s="6"/>
      <c r="AI1392" s="6"/>
      <c r="AJ1392" s="6"/>
      <c r="AK1392" s="6"/>
      <c r="AL1392" s="6"/>
      <c r="AM1392" s="6"/>
    </row>
    <row r="1393">
      <c r="A1393" s="6">
        <v>1392.0</v>
      </c>
      <c r="B1393" s="6" t="str">
        <f>IFERROR(__xludf.DUMMYFUNCTION("""COMPUTED_VALUE"""),"Работаю в Good Line, занимаюсь автоматизацией процессов")</f>
        <v>Работаю в Good Line, занимаюсь автоматизацией процессов</v>
      </c>
      <c r="C1393" s="6" t="str">
        <f>IFERROR(__xludf.DUMMYFUNCTION("""COMPUTED_VALUE"""),"Нет")</f>
        <v>Нет</v>
      </c>
      <c r="D1393" s="6" t="str">
        <f>IFERROR(__xludf.DUMMYFUNCTION("""COMPUTED_VALUE"""),"Живу в ЖК Северная звезда. Называю «Шахта северная» или «Конец радуги»")</f>
        <v>Живу в ЖК Северная звезда. Называю «Шахта северная» или «Конец радуги»</v>
      </c>
      <c r="E1393" s="6" t="str">
        <f>IFERROR(__xludf.DUMMYFUNCTION("""COMPUTED_VALUE"""),"На шахте северной нет ничего, ни знаковых мест, ни аллей (район улицы Нахимова), а вот на радуге есть детская аллея около ТЦ Радуга. ")</f>
        <v>На шахте северной нет ничего, ни знаковых мест, ни аллей (район улицы Нахимова), а вот на радуге есть детская аллея около ТЦ Радуга. </v>
      </c>
      <c r="F1393" s="6" t="str">
        <f>IFERROR(__xludf.DUMMYFUNCTION("""COMPUTED_VALUE"""),"Переехал сюда из другого места (откуда? укажите в графе другое), Приехала в 2013 году из Юрги, учиться, так и осталась. ")</f>
        <v>Переехал сюда из другого места (откуда? укажите в графе другое), Приехала в 2013 году из Юрги, учиться, так и осталась. </v>
      </c>
      <c r="G1393" s="6" t="str">
        <f>IFERROR(__xludf.DUMMYFUNCTION("""COMPUTED_VALUE"""),"В кинотеатр ТЦ Рио, гулять по набережной в центре. ")</f>
        <v>В кинотеатр ТЦ Рио, гулять по набережной в центре. </v>
      </c>
      <c r="H1393" s="6" t="str">
        <f>IFERROR(__xludf.DUMMYFUNCTION("""COMPUTED_VALUE"""),"Столица, Угольный край")</f>
        <v>Столица, Угольный край</v>
      </c>
      <c r="I1393" s="6" t="str">
        <f>IFERROR(__xludf.DUMMYFUNCTION("""COMPUTED_VALUE"""),"Волков. ")</f>
        <v>Волков. </v>
      </c>
      <c r="J1393" s="6" t="str">
        <f>IFERROR(__xludf.DUMMYFUNCTION("""COMPUTED_VALUE"""),"Только мер - Илья Владимирович. ")</f>
        <v>Только мер - Илья Владимирович. </v>
      </c>
      <c r="K1393" s="6" t="str">
        <f>IFERROR(__xludf.DUMMYFUNCTION("""COMPUTED_VALUE"""),"Смотровая площадка после Кузнецкого моста (по-моему памятник Шахтеров). ")</f>
        <v>Смотровая площадка после Кузнецкого моста (по-моему памятник Шахтеров). </v>
      </c>
      <c r="L1393" s="6" t="str">
        <f>IFERROR(__xludf.DUMMYFUNCTION("""COMPUTED_VALUE"""),"-")</f>
        <v>-</v>
      </c>
      <c r="M1393" s="6" t="str">
        <f>IFERROR(__xludf.DUMMYFUNCTION("""COMPUTED_VALUE"""),"В КемеровЕ :) ")</f>
        <v>В КемеровЕ :) </v>
      </c>
      <c r="N1393" s="6" t="str">
        <f>IFERROR(__xludf.DUMMYFUNCTION("""COMPUTED_VALUE"""),"1. Все близко расположено 
2. Доступный общественный транспорт (сейчас нет) 
3. Близость остановок (сейчас нет) ")</f>
        <v>1. Все близко расположено 
2. Доступный общественный транспорт (сейчас нет) 
3. Близость остановок (сейчас нет) </v>
      </c>
      <c r="O1393" s="6" t="str">
        <f>IFERROR(__xludf.DUMMYFUNCTION("""COMPUTED_VALUE"""),"1. Добавить прогулочные зоны, аллеи, остановки в отдаленных/недавно построенных районах города.(ЖК Северная звезда)  2. Дороги во дворах")</f>
        <v>1. Добавить прогулочные зоны, аллеи, остановки в отдаленных/недавно построенных районах города.(ЖК Северная звезда)  2. Дороги во дворах</v>
      </c>
      <c r="P1393" s="6" t="str">
        <f>IFERROR(__xludf.DUMMYFUNCTION("""COMPUTED_VALUE"""),"Негде узнавать (( ")</f>
        <v>Негде узнавать (( </v>
      </c>
      <c r="Q1393" s="6" t="str">
        <f>IFERROR(__xludf.DUMMYFUNCTION("""COMPUTED_VALUE"""),"куда пойти в свободное время, где вкусно поесть/открытие новых кафе/ресторанов, интервью с местными творческими личностями, интервью с местными предпринимателями")</f>
        <v>куда пойти в свободное время, где вкусно поесть/открытие новых кафе/ресторанов, интервью с местными творческими личностями, интервью с местными предпринимателями</v>
      </c>
      <c r="R1393" s="6" t="str">
        <f>IFERROR(__xludf.DUMMYFUNCTION("""COMPUTED_VALUE"""),"Выставки местных ремесленников, мастер классы. ")</f>
        <v>Выставки местных ремесленников, мастер классы. </v>
      </c>
      <c r="S1393" s="6" t="str">
        <f>IFERROR(__xludf.DUMMYFUNCTION("""COMPUTED_VALUE"""),"Нет, не приходилось")</f>
        <v>Нет, не приходилось</v>
      </c>
      <c r="T1393" s="6" t="str">
        <f>IFERROR(__xludf.DUMMYFUNCTION("""COMPUTED_VALUE"""),"Ничем, кроме зимней вишни ")</f>
        <v>Ничем, кроме зимней вишни </v>
      </c>
      <c r="U1393" s="6" t="str">
        <f>IFERROR(__xludf.DUMMYFUNCTION("""COMPUTED_VALUE"""),"Площадь около администрации города. ")</f>
        <v>Площадь около администрации города. </v>
      </c>
      <c r="V1393" s="6" t="str">
        <f>IFERROR(__xludf.DUMMYFUNCTION("""COMPUTED_VALUE"""),"Занимались добычей угля ")</f>
        <v>Занимались добычей угля </v>
      </c>
      <c r="W1393" s="6" t="str">
        <f>IFERROR(__xludf.DUMMYFUNCTION("""COMPUTED_VALUE"""),"Злые. Жадные. Усталые( ")</f>
        <v>Злые. Жадные. Усталые( </v>
      </c>
      <c r="X1393" s="6" t="str">
        <f>IFERROR(__xludf.DUMMYFUNCTION("""COMPUTED_VALUE"""),"От жд вокзала на южный, с южного на фпк, далее с фпк на гостиницу кристал, лапландия, и на радугу через мост)  ")</f>
        <v>От жд вокзала на южный, с южного на фпк, далее с фпк на гостиницу кристал, лапландия, и на радугу через мост)  </v>
      </c>
      <c r="Y1393" s="6" t="str">
        <f>IFERROR(__xludf.DUMMYFUNCTION("""COMPUTED_VALUE"""),"300 лет Кузбассу (будет) ")</f>
        <v>300 лет Кузбассу (будет) </v>
      </c>
      <c r="Z1393" s="6" t="str">
        <f>IFERROR(__xludf.DUMMYFUNCTION("""COMPUTED_VALUE"""),"К сожалению никаких. ")</f>
        <v>К сожалению никаких. </v>
      </c>
      <c r="AA1393" s="6" t="str">
        <f>IFERROR(__xludf.DUMMYFUNCTION("""COMPUTED_VALUE"""),"Зимняя вишня. Митинги Навального. (Негодования по поводу самих ситуаций, а не проведение митингов ) ")</f>
        <v>Зимняя вишня. Митинги Навального. (Негодования по поводу самих ситуаций, а не проведение митингов ) </v>
      </c>
      <c r="AB1393" s="6" t="str">
        <f>IFERROR(__xludf.DUMMYFUNCTION("""COMPUTED_VALUE"""),"Выступления с лекциями местных предпринимателей ")</f>
        <v>Выступления с лекциями местных предпринимателей </v>
      </c>
      <c r="AC1393" s="6" t="str">
        <f>IFERROR(__xludf.DUMMYFUNCTION("""COMPUTED_VALUE"""),"Различные молодежные ивенты (например как кино показ от GL) ")</f>
        <v>Различные молодежные ивенты (например как кино показ от GL) </v>
      </c>
      <c r="AD139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393" s="6" t="str">
        <f>IFERROR(__xludf.DUMMYFUNCTION("""COMPUTED_VALUE"""),"Женский")</f>
        <v>Женский</v>
      </c>
      <c r="AF1393" s="6" t="str">
        <f>IFERROR(__xludf.DUMMYFUNCTION("""COMPUTED_VALUE"""),"18-29")</f>
        <v>18-29</v>
      </c>
      <c r="AG1393" s="6"/>
      <c r="AH1393" s="6"/>
      <c r="AI1393" s="6"/>
      <c r="AJ1393" s="6"/>
      <c r="AK1393" s="6"/>
      <c r="AL1393" s="6"/>
      <c r="AM1393" s="6"/>
    </row>
    <row r="1394">
      <c r="A1394" s="6">
        <v>1393.0</v>
      </c>
      <c r="B1394" s="6" t="str">
        <f>IFERROR(__xludf.DUMMYFUNCTION("""COMPUTED_VALUE"""),"Работник медицинской сферы")</f>
        <v>Работник медицинской сферы</v>
      </c>
      <c r="C1394" s="6" t="str">
        <f>IFERROR(__xludf.DUMMYFUNCTION("""COMPUTED_VALUE"""),"Бег, экология , коучинг")</f>
        <v>Бег, экология , коучинг</v>
      </c>
      <c r="D1394" s="6" t="str">
        <f>IFERROR(__xludf.DUMMYFUNCTION("""COMPUTED_VALUE"""),"Ленинский ")</f>
        <v>Ленинский </v>
      </c>
      <c r="E1394" s="6" t="str">
        <f>IFERROR(__xludf.DUMMYFUNCTION("""COMPUTED_VALUE"""),"Бульвар Строителей, Кузбасский парк, кадетка с парком ")</f>
        <v>Бульвар Строителей, Кузбасский парк, кадетка с парком </v>
      </c>
      <c r="F1394" s="6" t="str">
        <f>IFERROR(__xludf.DUMMYFUNCTION("""COMPUTED_VALUE"""),"Живу здесь с рождения")</f>
        <v>Живу здесь с рождения</v>
      </c>
      <c r="G1394" s="6" t="str">
        <f>IFERROR(__xludf.DUMMYFUNCTION("""COMPUTED_VALUE"""),"Центр набережная, б-р Строителей ")</f>
        <v>Центр набережная, б-р Строителей </v>
      </c>
      <c r="H1394" s="6" t="str">
        <f>IFERROR(__xludf.DUMMYFUNCTION("""COMPUTED_VALUE"""),"Развивающийся, загазованный ")</f>
        <v>Развивающийся, загазованный </v>
      </c>
      <c r="I1394" s="6" t="str">
        <f>IFERROR(__xludf.DUMMYFUNCTION("""COMPUTED_VALUE"""),"Волков, Тулеев ")</f>
        <v>Волков, Тулеев </v>
      </c>
      <c r="J1394" s="6" t="str">
        <f>IFERROR(__xludf.DUMMYFUNCTION("""COMPUTED_VALUE"""),"Не знаю ")</f>
        <v>Не знаю </v>
      </c>
      <c r="K1394" s="6" t="str">
        <f>IFERROR(__xludf.DUMMYFUNCTION("""COMPUTED_VALUE"""),"Памятник Шахтеру, Лесную поляну ")</f>
        <v>Памятник Шахтеру, Лесную поляну </v>
      </c>
      <c r="L1394" s="6" t="str">
        <f>IFERROR(__xludf.DUMMYFUNCTION("""COMPUTED_VALUE"""),"Затрудняюсь ответить ")</f>
        <v>Затрудняюсь ответить </v>
      </c>
      <c r="M1394" s="6" t="str">
        <f>IFERROR(__xludf.DUMMYFUNCTION("""COMPUTED_VALUE"""),"Нет")</f>
        <v>Нет</v>
      </c>
      <c r="N1394" s="6" t="str">
        <f>IFERROR(__xludf.DUMMYFUNCTION("""COMPUTED_VALUE"""),"Хорошая экология, современные места для отдыха, хорошие дороги, наличие разнообразных рабочих мест, качественная медицина ")</f>
        <v>Хорошая экология, современные места для отдыха, хорошие дороги, наличие разнообразных рабочих мест, качественная медицина </v>
      </c>
      <c r="O1394" s="6" t="str">
        <f>IFERROR(__xludf.DUMMYFUNCTION("""COMPUTED_VALUE"""),"Экологию и зарплаты ")</f>
        <v>Экологию и зарплаты </v>
      </c>
      <c r="P1394" s="6" t="str">
        <f>IFERROR(__xludf.DUMMYFUNCTION("""COMPUTED_VALUE"""),"Новости в интернете и Кемеровские паблики ")</f>
        <v>Новости в интернете и Кемеровские паблики </v>
      </c>
      <c r="Q139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Обустройство города")</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Обустройство города</v>
      </c>
      <c r="R1394" s="6" t="str">
        <f>IFERROR(__xludf.DUMMYFUNCTION("""COMPUTED_VALUE"""),"День Города и день Шахтера ")</f>
        <v>День Города и день Шахтера </v>
      </c>
      <c r="S1394" s="6" t="str">
        <f>IFERROR(__xludf.DUMMYFUNCTION("""COMPUTED_VALUE"""),"Нет, не приходилось")</f>
        <v>Нет, не приходилось</v>
      </c>
      <c r="T1394" s="6" t="str">
        <f>IFERROR(__xludf.DUMMYFUNCTION("""COMPUTED_VALUE"""),"Не могу ответить ")</f>
        <v>Не могу ответить </v>
      </c>
      <c r="U1394" s="6" t="str">
        <f>IFERROR(__xludf.DUMMYFUNCTION("""COMPUTED_VALUE"""),"Площадь Советов ")</f>
        <v>Площадь Советов </v>
      </c>
      <c r="V1394" s="6" t="str">
        <f>IFERROR(__xludf.DUMMYFUNCTION("""COMPUTED_VALUE"""),"Не знаю")</f>
        <v>Не знаю</v>
      </c>
      <c r="W1394" s="6" t="str">
        <f>IFERROR(__xludf.DUMMYFUNCTION("""COMPUTED_VALUE"""),"Обычные ")</f>
        <v>Обычные </v>
      </c>
      <c r="X1394" s="6" t="str">
        <f>IFERROR(__xludf.DUMMYFUNCTION("""COMPUTED_VALUE"""),"Весенняя- набережная- филармония - Советский -парк Жукова ")</f>
        <v>Весенняя- набережная- филармония - Советский -парк Жукова </v>
      </c>
      <c r="Y1394" s="6" t="str">
        <f>IFERROR(__xludf.DUMMYFUNCTION("""COMPUTED_VALUE"""),"?")</f>
        <v>?</v>
      </c>
      <c r="Z1394" s="6" t="str">
        <f>IFERROR(__xludf.DUMMYFUNCTION("""COMPUTED_VALUE"""),"Ремонт бульвара Строителей ")</f>
        <v>Ремонт бульвара Строителей </v>
      </c>
      <c r="AA1394" s="6" t="str">
        <f>IFERROR(__xludf.DUMMYFUNCTION("""COMPUTED_VALUE"""),"Пожар в Зимней вишне ")</f>
        <v>Пожар в Зимней вишне </v>
      </c>
      <c r="AB1394" s="6" t="str">
        <f>IFERROR(__xludf.DUMMYFUNCTION("""COMPUTED_VALUE"""),"Любых по интересам ")</f>
        <v>Любых по интересам </v>
      </c>
      <c r="AC1394" s="6" t="str">
        <f>IFERROR(__xludf.DUMMYFUNCTION("""COMPUTED_VALUE"""),"Не знаю ")</f>
        <v>Не знаю </v>
      </c>
      <c r="AD139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394" s="6" t="str">
        <f>IFERROR(__xludf.DUMMYFUNCTION("""COMPUTED_VALUE"""),"Женский")</f>
        <v>Женский</v>
      </c>
      <c r="AF1394" s="6" t="str">
        <f>IFERROR(__xludf.DUMMYFUNCTION("""COMPUTED_VALUE"""),"30-44")</f>
        <v>30-44</v>
      </c>
      <c r="AG1394" s="6"/>
      <c r="AH1394" s="6"/>
      <c r="AI1394" s="6"/>
      <c r="AJ1394" s="6"/>
      <c r="AK1394" s="6"/>
      <c r="AL1394" s="6"/>
      <c r="AM1394" s="6"/>
    </row>
    <row r="1395">
      <c r="A1395" s="6">
        <v>1394.0</v>
      </c>
      <c r="B1395" s="6" t="str">
        <f>IFERROR(__xludf.DUMMYFUNCTION("""COMPUTED_VALUE"""),"Свое дело.")</f>
        <v>Свое дело.</v>
      </c>
      <c r="C1395" s="6" t="str">
        <f>IFERROR(__xludf.DUMMYFUNCTION("""COMPUTED_VALUE"""),"Рыбалка")</f>
        <v>Рыбалка</v>
      </c>
      <c r="D1395" s="6" t="str">
        <f>IFERROR(__xludf.DUMMYFUNCTION("""COMPUTED_VALUE"""),"Ленинский, так и называем.")</f>
        <v>Ленинский, так и называем.</v>
      </c>
      <c r="E1395" s="6" t="str">
        <f>IFERROR(__xludf.DUMMYFUNCTION("""COMPUTED_VALUE"""),"Бульвар Строителей, Президентское кадетское училище, храм.")</f>
        <v>Бульвар Строителей, Президентское кадетское училище, храм.</v>
      </c>
      <c r="F1395" s="6" t="str">
        <f>IFERROR(__xludf.DUMMYFUNCTION("""COMPUTED_VALUE"""),"Переехал сюда из другого места (откуда? укажите в графе другое), Приехали из Белово")</f>
        <v>Переехал сюда из другого места (откуда? укажите в графе другое), Приехали из Белово</v>
      </c>
      <c r="G1395" s="6" t="str">
        <f>IFERROR(__xludf.DUMMYFUNCTION("""COMPUTED_VALUE"""),"Бор, набережная, бульвар мтроителей")</f>
        <v>Бор, набережная, бульвар мтроителей</v>
      </c>
      <c r="H1395" s="6" t="str">
        <f>IFERROR(__xludf.DUMMYFUNCTION("""COMPUTED_VALUE"""),"Кузбасс, Томь, уголь, бульвар, набережная.")</f>
        <v>Кузбасс, Томь, уголь, бульвар, набережная.</v>
      </c>
      <c r="I1395" s="6" t="str">
        <f>IFERROR(__xludf.DUMMYFUNCTION("""COMPUTED_VALUE"""),"Тулеев, Михайлов, Литвин, Резников,. Волков")</f>
        <v>Тулеев, Михайлов, Литвин, Резников,. Волков</v>
      </c>
      <c r="J1395" s="6" t="str">
        <f>IFERROR(__xludf.DUMMYFUNCTION("""COMPUTED_VALUE"""),"Середюк, Федяев, Цивилев, ")</f>
        <v>Середюк, Федяев, Цивилев, </v>
      </c>
      <c r="K1395" s="6" t="str">
        <f>IFERROR(__xludf.DUMMYFUNCTION("""COMPUTED_VALUE"""),"Собор, набережная, сосновый бор, весенняя улица.")</f>
        <v>Собор, набережная, сосновый бор, весенняя улица.</v>
      </c>
      <c r="L1395" s="6" t="str">
        <f>IFERROR(__xludf.DUMMYFUNCTION("""COMPUTED_VALUE"""),"Кузбасс никогда не спит)")</f>
        <v>Кузбасс никогда не спит)</v>
      </c>
      <c r="M1395" s="6" t="str">
        <f>IFERROR(__xludf.DUMMYFUNCTION("""COMPUTED_VALUE"""),"На радуге) ")</f>
        <v>На радуге) </v>
      </c>
      <c r="N1395" s="6" t="str">
        <f>IFERROR(__xludf.DUMMYFUNCTION("""COMPUTED_VALUE"""),"Прямые широкие проспекты и бульвары, современные жилые районы с инфраструктурой, близость к лесному массиву, река..")</f>
        <v>Прямые широкие проспекты и бульвары, современные жилые районы с инфраструктурой, близость к лесному массиву, река..</v>
      </c>
      <c r="O1395" s="6" t="str">
        <f>IFERROR(__xludf.DUMMYFUNCTION("""COMPUTED_VALUE"""),"Необходим Аква-парк!")</f>
        <v>Необходим Аква-парк!</v>
      </c>
      <c r="P1395" s="6" t="str">
        <f>IFERROR(__xludf.DUMMYFUNCTION("""COMPUTED_VALUE"""),"Инстаграм, телевидение.")</f>
        <v>Инстаграм, телевидение.</v>
      </c>
      <c r="Q1395" s="6" t="str">
        <f>IFERROR(__xludf.DUMMYFUNCTION("""COMPUTED_VALUE"""),"куда пойти в свободное время, 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 ин"&amp;"тервью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395" s="6" t="str">
        <f>IFERROR(__xludf.DUMMYFUNCTION("""COMPUTED_VALUE"""),"День города, День Победы, Новый год, День Шахтера.")</f>
        <v>День города, День Победы, Новый год, День Шахтера.</v>
      </c>
      <c r="S1395" s="6" t="str">
        <f>IFERROR(__xludf.DUMMYFUNCTION("""COMPUTED_VALUE"""),"Нет, не приходилось")</f>
        <v>Нет, не приходилось</v>
      </c>
      <c r="T1395" s="6" t="str">
        <f>IFERROR(__xludf.DUMMYFUNCTION("""COMPUTED_VALUE"""),"Угольная столица России, ")</f>
        <v>Угольная столица России, </v>
      </c>
      <c r="U1395" s="6" t="str">
        <f>IFERROR(__xludf.DUMMYFUNCTION("""COMPUTED_VALUE"""),"Весенняя, Советский, бульвар Строителей")</f>
        <v>Весенняя, Советский, бульвар Строителей</v>
      </c>
      <c r="V1395" s="6" t="str">
        <f>IFERROR(__xludf.DUMMYFUNCTION("""COMPUTED_VALUE"""),"Они построили Кемерово и Кузбасс")</f>
        <v>Они построили Кемерово и Кузбасс</v>
      </c>
      <c r="W1395" s="6" t="str">
        <f>IFERROR(__xludf.DUMMYFUNCTION("""COMPUTED_VALUE"""),"Трудолюбивые")</f>
        <v>Трудолюбивые</v>
      </c>
      <c r="X1395" s="6" t="str">
        <f>IFERROR(__xludf.DUMMYFUNCTION("""COMPUTED_VALUE"""),"От Волкова до набережной, ")</f>
        <v>От Волкова до набережной, </v>
      </c>
      <c r="Y1395" s="6" t="str">
        <f>IFERROR(__xludf.DUMMYFUNCTION("""COMPUTED_VALUE"""),"Когда он признан городом, когда город стал столицей области")</f>
        <v>Когда он признан городом, когда город стал столицей области</v>
      </c>
      <c r="Z1395" s="6" t="str">
        <f>IFERROR(__xludf.DUMMYFUNCTION("""COMPUTED_VALUE"""),"Подготовка к 300 летию, весь город одна большая стройка)")</f>
        <v>Подготовка к 300 летию, весь город одна большая стройка)</v>
      </c>
      <c r="AA1395" s="6" t="str">
        <f>IFERROR(__xludf.DUMMYFUNCTION("""COMPUTED_VALUE"""),"Зимняя вишня")</f>
        <v>Зимняя вишня</v>
      </c>
      <c r="AB1395" s="6" t="str">
        <f>IFERROR(__xludf.DUMMYFUNCTION("""COMPUTED_VALUE"""),"Совет жителей района ( проблемы жкх, благоустройства и тд)")</f>
        <v>Совет жителей района ( проблемы жкх, благоустройства и тд)</v>
      </c>
      <c r="AC1395" s="6" t="str">
        <f>IFERROR(__xludf.DUMMYFUNCTION("""COMPUTED_VALUE"""),"День начало лета, начало осени и тд")</f>
        <v>День начало лета, начало осени и тд</v>
      </c>
      <c r="AD139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395" s="6" t="str">
        <f>IFERROR(__xludf.DUMMYFUNCTION("""COMPUTED_VALUE"""),"Мужской")</f>
        <v>Мужской</v>
      </c>
      <c r="AF1395" s="6" t="str">
        <f>IFERROR(__xludf.DUMMYFUNCTION("""COMPUTED_VALUE"""),"45-55")</f>
        <v>45-55</v>
      </c>
      <c r="AG1395" s="6"/>
      <c r="AH1395" s="6"/>
      <c r="AI1395" s="6"/>
      <c r="AJ1395" s="6"/>
      <c r="AK1395" s="6"/>
      <c r="AL1395" s="6"/>
      <c r="AM1395" s="6"/>
    </row>
    <row r="1396">
      <c r="A1396" s="6">
        <v>1395.0</v>
      </c>
      <c r="B1396" s="6" t="str">
        <f>IFERROR(__xludf.DUMMYFUNCTION("""COMPUTED_VALUE"""),"Менеджер по продажам. Розница")</f>
        <v>Менеджер по продажам. Розница</v>
      </c>
      <c r="C1396" s="6" t="str">
        <f>IFERROR(__xludf.DUMMYFUNCTION("""COMPUTED_VALUE"""),"Стройка дачи.")</f>
        <v>Стройка дачи.</v>
      </c>
      <c r="D1396" s="6" t="str">
        <f>IFERROR(__xludf.DUMMYFUNCTION("""COMPUTED_VALUE"""),"Центральный. центр.")</f>
        <v>Центральный. центр.</v>
      </c>
      <c r="E1396" s="6" t="str">
        <f>IFERROR(__xludf.DUMMYFUNCTION("""COMPUTED_VALUE"""),"Весенняя, советский, набережная.площадь Советов.")</f>
        <v>Весенняя, советский, набережная.площадь Советов.</v>
      </c>
      <c r="F1396" s="6" t="str">
        <f>IFERROR(__xludf.DUMMYFUNCTION("""COMPUTED_VALUE"""),"Переехал сюда из другого места (откуда? укажите в графе другое), 1995г поступил в КузГТУ и с тех пор живу в Кемерово.")</f>
        <v>Переехал сюда из другого места (откуда? укажите в графе другое), 1995г поступил в КузГТУ и с тех пор живу в Кемерово.</v>
      </c>
      <c r="G1396" s="6" t="str">
        <f>IFERROR(__xludf.DUMMYFUNCTION("""COMPUTED_VALUE"""),"Весенняя , набережная.")</f>
        <v>Весенняя , набережная.</v>
      </c>
      <c r="H1396" s="6" t="str">
        <f>IFERROR(__xludf.DUMMYFUNCTION("""COMPUTED_VALUE"""),"Кузбасс, Щегловск, заводы Кемерово, старый центр, искитимка.")</f>
        <v>Кузбасс, Щегловск, заводы Кемерово, старый центр, искитимка.</v>
      </c>
      <c r="I1396" s="6" t="str">
        <f>IFERROR(__xludf.DUMMYFUNCTION("""COMPUTED_VALUE"""),"Мартемьянов, Волошина")</f>
        <v>Мартемьянов, Волошина</v>
      </c>
      <c r="J1396" s="6" t="str">
        <f>IFERROR(__xludf.DUMMYFUNCTION("""COMPUTED_VALUE"""),"Михайлов")</f>
        <v>Михайлов</v>
      </c>
      <c r="K1396" s="6" t="str">
        <f>IFERROR(__xludf.DUMMYFUNCTION("""COMPUTED_VALUE"""),"Арочная, Ермака, Красная горка , Сосновый Бор.")</f>
        <v>Арочная, Ермака, Красная горка , Сосновый Бор.</v>
      </c>
      <c r="L1396" s="6" t="str">
        <f>IFERROR(__xludf.DUMMYFUNCTION("""COMPUTED_VALUE"""),"БГ Человек из Кемерово")</f>
        <v>БГ Человек из Кемерово</v>
      </c>
      <c r="M1396" s="6" t="str">
        <f>IFERROR(__xludf.DUMMYFUNCTION("""COMPUTED_VALUE"""),"Не знаю")</f>
        <v>Не знаю</v>
      </c>
      <c r="N1396" s="6" t="str">
        <f>IFERROR(__xludf.DUMMYFUNCTION("""COMPUTED_VALUE"""),"Простота передвижения, удобство застройки, наличие магазинов, наличие мест отдыха, регулярность массовых мероприятий.")</f>
        <v>Простота передвижения, удобство застройки, наличие магазинов, наличие мест отдыха, регулярность массовых мероприятий.</v>
      </c>
      <c r="O1396" s="6" t="str">
        <f>IFERROR(__xludf.DUMMYFUNCTION("""COMPUTED_VALUE"""),"Чаще мыть и убирать улицы. Делать красивые фасады домов.")</f>
        <v>Чаще мыть и убирать улицы. Делать красивые фасады домов.</v>
      </c>
      <c r="P1396" s="6" t="str">
        <f>IFERROR(__xludf.DUMMYFUNCTION("""COMPUTED_VALUE"""),"А42, инцидент42, вести ВГТРК")</f>
        <v>А42, инцидент42, вести ВГТРК</v>
      </c>
      <c r="Q1396" s="6" t="str">
        <f>IFERROR(__xludf.DUMMYFUNCTION("""COMPUTED_VALUE"""),"куда пойти в свободное время, бизнес-новости (средний чек/рекламные акции/запуск новых предприятий), интервью с экспертами на разные темы (напишите в разделе Другое свои предложения)")</f>
        <v>куда пойти в свободное время,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396" s="6" t="str">
        <f>IFERROR(__xludf.DUMMYFUNCTION("""COMPUTED_VALUE"""),"Спорт и культ масс мероприятия")</f>
        <v>Спорт и культ масс мероприятия</v>
      </c>
      <c r="S1396" s="6" t="str">
        <f>IFERROR(__xludf.DUMMYFUNCTION("""COMPUTED_VALUE"""),"Нет, не приходилось")</f>
        <v>Нет, не приходилось</v>
      </c>
      <c r="T1396" s="6" t="str">
        <f>IFERROR(__xludf.DUMMYFUNCTION("""COMPUTED_VALUE"""),"Угольное сердце России.")</f>
        <v>Угольное сердце России.</v>
      </c>
      <c r="U1396" s="6" t="str">
        <f>IFERROR(__xludf.DUMMYFUNCTION("""COMPUTED_VALUE"""),"Весенняя")</f>
        <v>Весенняя</v>
      </c>
      <c r="V1396" s="6" t="str">
        <f>IFERROR(__xludf.DUMMYFUNCTION("""COMPUTED_VALUE"""),"Выжили, выстояли, отстояли")</f>
        <v>Выжили, выстояли, отстояли</v>
      </c>
      <c r="W1396" s="6" t="str">
        <f>IFERROR(__xludf.DUMMYFUNCTION("""COMPUTED_VALUE"""),"Отзывчивые, искренние , сильные духом.")</f>
        <v>Отзывчивые, искренние , сильные духом.</v>
      </c>
      <c r="X1396" s="6" t="str">
        <f>IFERROR(__xludf.DUMMYFUNCTION("""COMPUTED_VALUE"""),"Весенняя, набережная, красная , площадь Советов.")</f>
        <v>Весенняя, набережная, красная , площадь Советов.</v>
      </c>
      <c r="Y1396" s="6" t="str">
        <f>IFERROR(__xludf.DUMMYFUNCTION("""COMPUTED_VALUE"""),"Перенос предприятий в годы войны и их работа в дальнейшем.")</f>
        <v>Перенос предприятий в годы войны и их работа в дальнейшем.</v>
      </c>
      <c r="Z1396" s="6" t="str">
        <f>IFERROR(__xludf.DUMMYFUNCTION("""COMPUTED_VALUE"""),"Рок-концерт от Стройсервис.")</f>
        <v>Рок-концерт от Стройсервис.</v>
      </c>
      <c r="AA1396" s="6" t="str">
        <f>IFERROR(__xludf.DUMMYFUNCTION("""COMPUTED_VALUE"""),"Зимняя вишня.")</f>
        <v>Зимняя вишня.</v>
      </c>
      <c r="AB1396" s="6" t="str">
        <f>IFERROR(__xludf.DUMMYFUNCTION("""COMPUTED_VALUE"""),"Нет ответа.")</f>
        <v>Нет ответа.</v>
      </c>
      <c r="AC1396" s="6" t="str">
        <f>IFERROR(__xludf.DUMMYFUNCTION("""COMPUTED_VALUE"""),"Крупные спорт мероприятия и культ фестивали.")</f>
        <v>Крупные спорт мероприятия и культ фестивали.</v>
      </c>
      <c r="AD139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396" s="6" t="str">
        <f>IFERROR(__xludf.DUMMYFUNCTION("""COMPUTED_VALUE"""),"Мужской")</f>
        <v>Мужской</v>
      </c>
      <c r="AF1396" s="6" t="str">
        <f>IFERROR(__xludf.DUMMYFUNCTION("""COMPUTED_VALUE"""),"30-44")</f>
        <v>30-44</v>
      </c>
      <c r="AG1396" s="6"/>
      <c r="AH1396" s="6"/>
      <c r="AI1396" s="6"/>
      <c r="AJ1396" s="6"/>
      <c r="AK1396" s="6"/>
      <c r="AL1396" s="6"/>
      <c r="AM1396" s="6"/>
    </row>
    <row r="1397">
      <c r="A1397" s="6">
        <v>1396.0</v>
      </c>
      <c r="B1397" s="6" t="str">
        <f>IFERROR(__xludf.DUMMYFUNCTION("""COMPUTED_VALUE"""),"инженер проектировщик")</f>
        <v>инженер проектировщик</v>
      </c>
      <c r="C1397" s="6" t="str">
        <f>IFERROR(__xludf.DUMMYFUNCTION("""COMPUTED_VALUE"""),"ландшафтный дизайн, литература")</f>
        <v>ландшафтный дизайн, литература</v>
      </c>
      <c r="D1397" s="6" t="str">
        <f>IFERROR(__xludf.DUMMYFUNCTION("""COMPUTED_VALUE"""),"Кемерово сити (сад машин)")</f>
        <v>Кемерово сити (сад машин)</v>
      </c>
      <c r="E1397" s="6" t="str">
        <f>IFERROR(__xludf.DUMMYFUNCTION("""COMPUTED_VALUE"""),"старый центр, центральная набережная")</f>
        <v>старый центр, центральная набережная</v>
      </c>
      <c r="F1397" s="6" t="str">
        <f>IFERROR(__xludf.DUMMYFUNCTION("""COMPUTED_VALUE"""),"Переехал сюда из другого места (откуда? укажите в графе другое), Полысаево")</f>
        <v>Переехал сюда из другого места (откуда? укажите в графе другое), Полысаево</v>
      </c>
      <c r="G1397" s="6" t="str">
        <f>IFERROR(__xludf.DUMMYFUNCTION("""COMPUTED_VALUE"""),"Парки и набережная")</f>
        <v>Парки и набережная</v>
      </c>
      <c r="H1397" s="6" t="str">
        <f>IFERROR(__xludf.DUMMYFUNCTION("""COMPUTED_VALUE"""),"небольшой, удобный, жертва сдс, мгла, обнадёживающий.")</f>
        <v>небольшой, удобный, жертва сдс, мгла, обнадёживающий.</v>
      </c>
      <c r="I1397" s="6" t="str">
        <f>IFERROR(__xludf.DUMMYFUNCTION("""COMPUTED_VALUE"""),"Леонов")</f>
        <v>Леонов</v>
      </c>
      <c r="J1397" s="6" t="str">
        <f>IFERROR(__xludf.DUMMYFUNCTION("""COMPUTED_VALUE"""),"к сожалению, не знаю")</f>
        <v>к сожалению, не знаю</v>
      </c>
      <c r="K1397" s="6" t="str">
        <f>IFERROR(__xludf.DUMMYFUNCTION("""COMPUTED_VALUE"""),"ботанический сад, парк Ангелов, красная горка")</f>
        <v>ботанический сад, парк Ангелов, красная горка</v>
      </c>
      <c r="L1397" s="6" t="str">
        <f>IFERROR(__xludf.DUMMYFUNCTION("""COMPUTED_VALUE"""),"я инженер на сотню рублей и больше я не получу")</f>
        <v>я инженер на сотню рублей и больше я не получу</v>
      </c>
      <c r="M1397" s="6" t="str">
        <f>IFERROR(__xludf.DUMMYFUNCTION("""COMPUTED_VALUE"""),"не уверенна")</f>
        <v>не уверенна</v>
      </c>
      <c r="N1397" s="6" t="str">
        <f>IFERROR(__xludf.DUMMYFUNCTION("""COMPUTED_VALUE"""),"водоотводы и ливневка, большие городские автобусы, много зелени и хорошие набережные, качественная продукция в магазинах.")</f>
        <v>водоотводы и ливневка, большие городские автобусы, много зелени и хорошие набережные, качественная продукция в магазинах.</v>
      </c>
      <c r="O1397" s="6" t="str">
        <f>IFERROR(__xludf.DUMMYFUNCTION("""COMPUTED_VALUE"""),"прекратить строительство сдс")</f>
        <v>прекратить строительство сдс</v>
      </c>
      <c r="P1397" s="6" t="str">
        <f>IFERROR(__xludf.DUMMYFUNCTION("""COMPUTED_VALUE"""),"инстаграм, вк")</f>
        <v>инстаграм, вк</v>
      </c>
      <c r="Q1397" s="6" t="str">
        <f>IFERROR(__xludf.DUMMYFUNCTION("""COMPUTED_VALUE"""),"куда пойти в свободное время, где вкусно поесть/открытие новых кафе/ресторанов, культурные новинки (что почитать/что послушать), интервью с местными творческими личностями, интервью с местными предпринимателями")</f>
        <v>куда пойти в свободное время, где вкусно поесть/открытие новых кафе/ресторанов, культурные новинки (что почитать/что послушать), интервью с местными творческими личностями, интервью с местными предпринимателями</v>
      </c>
      <c r="R1397" s="6" t="str">
        <f>IFERROR(__xludf.DUMMYFUNCTION("""COMPUTED_VALUE"""),"нет таких")</f>
        <v>нет таких</v>
      </c>
      <c r="S1397" s="6" t="str">
        <f>IFERROR(__xludf.DUMMYFUNCTION("""COMPUTED_VALUE"""),"Нет, не приходилось")</f>
        <v>Нет, не приходилось</v>
      </c>
      <c r="T1397" s="6" t="str">
        <f>IFERROR(__xludf.DUMMYFUNCTION("""COMPUTED_VALUE"""),"уникального ничего нет, известен, насколько это понятно со стороны лишь как угольная столица.")</f>
        <v>уникального ничего нет, известен, насколько это понятно со стороны лишь как угольная столица.</v>
      </c>
      <c r="U1397" s="6" t="str">
        <f>IFERROR(__xludf.DUMMYFUNCTION("""COMPUTED_VALUE"""),"драмтеатр")</f>
        <v>драмтеатр</v>
      </c>
      <c r="V1397" s="6" t="str">
        <f>IFERROR(__xludf.DUMMYFUNCTION("""COMPUTED_VALUE"""),"качественно проектировали")</f>
        <v>качественно проектировали</v>
      </c>
      <c r="W1397" s="6" t="str">
        <f>IFERROR(__xludf.DUMMYFUNCTION("""COMPUTED_VALUE"""),"суровые, равнодушные, наивные")</f>
        <v>суровые, равнодушные, наивные</v>
      </c>
      <c r="X1397" s="6" t="str">
        <f>IFERROR(__xludf.DUMMYFUNCTION("""COMPUTED_VALUE"""),"центр-набережная-бульвар строителей")</f>
        <v>центр-набережная-бульвар строителей</v>
      </c>
      <c r="Y1397" s="6" t="str">
        <f>IFERROR(__xludf.DUMMYFUNCTION("""COMPUTED_VALUE"""),"не знаю о таком")</f>
        <v>не знаю о таком</v>
      </c>
      <c r="Z1397" s="6" t="str">
        <f>IFERROR(__xludf.DUMMYFUNCTION("""COMPUTED_VALUE"""),"проект оперного театра, новый ботанический сад")</f>
        <v>проект оперного театра, новый ботанический сад</v>
      </c>
      <c r="AA1397" s="6" t="str">
        <f>IFERROR(__xludf.DUMMYFUNCTION("""COMPUTED_VALUE"""),"сдс два года строит под моими окнами снабжая меня пылью, какой гений сначала продает квартиры, а после в центре квартала два года на открытом поле земли строит объекты?!")</f>
        <v>сдс два года строит под моими окнами снабжая меня пылью, какой гений сначала продает квартиры, а после в центре квартала два года на открытом поле земли строит объекты?!</v>
      </c>
      <c r="AB1397" s="6" t="str">
        <f>IFERROR(__xludf.DUMMYFUNCTION("""COMPUTED_VALUE"""),"садово-паркового проектирования, обучения архитектуры и градостроительства в городе.")</f>
        <v>садово-паркового проектирования, обучения архитектуры и градостроительства в городе.</v>
      </c>
      <c r="AC1397" s="6" t="str">
        <f>IFERROR(__xludf.DUMMYFUNCTION("""COMPUTED_VALUE"""),"важны не столько события, столько среда, у нас очень ""скучные"" новые районы, от сдс даже дворов нет при многоквартирных домах! это очень удручает")</f>
        <v>важны не столько события, столько среда, у нас очень "скучные" новые районы, от сдс даже дворов нет при многоквартирных домах! это очень удручает</v>
      </c>
      <c r="AD1397"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Запустить свой предпринимательский проект, организовать компанию.")</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Запустить свой предпринимательский проект, организовать компанию.</v>
      </c>
      <c r="AE1397" s="6" t="str">
        <f>IFERROR(__xludf.DUMMYFUNCTION("""COMPUTED_VALUE"""),"Женский")</f>
        <v>Женский</v>
      </c>
      <c r="AF1397" s="6" t="str">
        <f>IFERROR(__xludf.DUMMYFUNCTION("""COMPUTED_VALUE"""),"30-44")</f>
        <v>30-44</v>
      </c>
      <c r="AG1397" s="6"/>
      <c r="AH1397" s="6"/>
      <c r="AI1397" s="6"/>
      <c r="AJ1397" s="6"/>
      <c r="AK1397" s="6"/>
      <c r="AL1397" s="6"/>
      <c r="AM1397" s="6"/>
    </row>
    <row r="1398">
      <c r="A1398" s="6">
        <v>1397.0</v>
      </c>
      <c r="B1398" s="6" t="str">
        <f>IFERROR(__xludf.DUMMYFUNCTION("""COMPUTED_VALUE"""),"Государственный служащий")</f>
        <v>Государственный служащий</v>
      </c>
      <c r="C1398" s="6" t="str">
        <f>IFERROR(__xludf.DUMMYFUNCTION("""COMPUTED_VALUE"""),"Да. Танцы, пение, психология, кулинария, дизайн, цветоводство")</f>
        <v>Да. Танцы, пение, психология, кулинария, дизайн, цветоводство</v>
      </c>
      <c r="D1398" s="6" t="str">
        <f>IFERROR(__xludf.DUMMYFUNCTION("""COMPUTED_VALUE"""),"Лесная поляна.")</f>
        <v>Лесная поляна.</v>
      </c>
      <c r="E1398" s="6" t="str">
        <f>IFERROR(__xludf.DUMMYFUNCTION("""COMPUTED_VALUE"""),"У нас каждое место является достопримечательностью. Особенно олень")</f>
        <v>У нас каждое место является достопримечательностью. Особенно олень</v>
      </c>
      <c r="F1398" s="6" t="str">
        <f>IFERROR(__xludf.DUMMYFUNCTION("""COMPUTED_VALUE"""),"Живу здесь с рождения")</f>
        <v>Живу здесь с рождения</v>
      </c>
      <c r="G1398" s="6" t="str">
        <f>IFERROR(__xludf.DUMMYFUNCTION("""COMPUTED_VALUE"""),"Никуда ")</f>
        <v>Никуда </v>
      </c>
      <c r="H1398" s="6" t="str">
        <f>IFERROR(__xludf.DUMMYFUNCTION("""COMPUTED_VALUE"""),"Креативный, уютный, обновлённый, милый, зелёный ")</f>
        <v>Креативный, уютный, обновлённый, милый, зелёный </v>
      </c>
      <c r="I1398" s="6" t="str">
        <f>IFERROR(__xludf.DUMMYFUNCTION("""COMPUTED_VALUE"""),"Михаил Волков, Алексей Леонов, Аман Тулеев, Владимир Михайлов")</f>
        <v>Михаил Волков, Алексей Леонов, Аман Тулеев, Владимир Михайлов</v>
      </c>
      <c r="J1398" s="6" t="str">
        <f>IFERROR(__xludf.DUMMYFUNCTION("""COMPUTED_VALUE"""),"Владимир Михайлов")</f>
        <v>Владимир Михайлов</v>
      </c>
      <c r="K1398" s="6" t="str">
        <f>IFERROR(__xludf.DUMMYFUNCTION("""COMPUTED_VALUE"""),"Таких мест много")</f>
        <v>Таких мест много</v>
      </c>
      <c r="L1398" s="6" t="str">
        <f>IFERROR(__xludf.DUMMYFUNCTION("""COMPUTED_VALUE"""),"Историй, связанных с городом немало.")</f>
        <v>Историй, связанных с городом немало.</v>
      </c>
      <c r="M1398" s="6" t="str">
        <f>IFERROR(__xludf.DUMMYFUNCTION("""COMPUTED_VALUE"""),"Нет")</f>
        <v>Нет</v>
      </c>
      <c r="N1398" s="6" t="str">
        <f>IFERROR(__xludf.DUMMYFUNCTION("""COMPUTED_VALUE"""),"Чистота, экология, уровень жизни, доступная медицина и образование, комфортное жилье. Борьба с коррупцией, снижение и преступности.")</f>
        <v>Чистота, экология, уровень жизни, доступная медицина и образование, комфортное жилье. Борьба с коррупцией, снижение и преступности.</v>
      </c>
      <c r="O1398" s="6" t="str">
        <f>IFERROR(__xludf.DUMMYFUNCTION("""COMPUTED_VALUE"""),"В первую очередь необходимо решить вопрос с экологической ситуацией, более детальный контроль за ценами, услугами ЖКХ, навести порядок в медицине.Борьба с коррупцией, снижения уровня преступности. Увеличение уровня жизни, снижение смертности.")</f>
        <v>В первую очередь необходимо решить вопрос с экологической ситуацией, более детальный контроль за ценами, услугами ЖКХ, навести порядок в медицине.Борьба с коррупцией, снижения уровня преступности. Увеличение уровня жизни, снижение смертности.</v>
      </c>
      <c r="P1398" s="6" t="str">
        <f>IFERROR(__xludf.DUMMYFUNCTION("""COMPUTED_VALUE"""),"Инстаграм")</f>
        <v>Инстаграм</v>
      </c>
      <c r="Q1398" s="6" t="str">
        <f>IFERROR(__xludf.DUMMYFUNCTION("""COMPUTED_VALUE"""),"куда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f>
        <v>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v>
      </c>
      <c r="R1398" s="6" t="str">
        <f>IFERROR(__xludf.DUMMYFUNCTION("""COMPUTED_VALUE"""),"День победы, день города, день любви, семьи и верности")</f>
        <v>День победы, день города, день любви, семьи и верности</v>
      </c>
      <c r="S1398" s="6" t="str">
        <f>IFERROR(__xludf.DUMMYFUNCTION("""COMPUTED_VALUE"""),"Нет, не приходилось")</f>
        <v>Нет, не приходилось</v>
      </c>
      <c r="T1398" s="6" t="str">
        <f>IFERROR(__xludf.DUMMYFUNCTION("""COMPUTED_VALUE"""),"Его жителями")</f>
        <v>Его жителями</v>
      </c>
      <c r="U1398" s="6" t="str">
        <f>IFERROR(__xludf.DUMMYFUNCTION("""COMPUTED_VALUE"""),"Набережную")</f>
        <v>Набережную</v>
      </c>
      <c r="V1398" s="6" t="str">
        <f>IFERROR(__xludf.DUMMYFUNCTION("""COMPUTED_VALUE"""),"Много чего сделали, и много чего предстоит ещё сделать.")</f>
        <v>Много чего сделали, и много чего предстоит ещё сделать.</v>
      </c>
      <c r="W1398" s="6" t="str">
        <f>IFERROR(__xludf.DUMMYFUNCTION("""COMPUTED_VALUE"""),"Каждый индивидуален по-своему")</f>
        <v>Каждый индивидуален по-своему</v>
      </c>
      <c r="X1398" s="6" t="str">
        <f>IFERROR(__xludf.DUMMYFUNCTION("""COMPUTED_VALUE"""),"Маршрут по Лесной поляне")</f>
        <v>Маршрут по Лесной поляне</v>
      </c>
      <c r="Y1398" s="6" t="str">
        <f>IFERROR(__xludf.DUMMYFUNCTION("""COMPUTED_VALUE"""),"Бессмертный полк")</f>
        <v>Бессмертный полк</v>
      </c>
      <c r="Z1398" s="6" t="str">
        <f>IFERROR(__xludf.DUMMYFUNCTION("""COMPUTED_VALUE"""),"Никакие")</f>
        <v>Никакие</v>
      </c>
      <c r="AA1398" s="6" t="str">
        <f>IFERROR(__xludf.DUMMYFUNCTION("""COMPUTED_VALUE"""),"Много вариантов")</f>
        <v>Много вариантов</v>
      </c>
      <c r="AB1398" s="6" t="str">
        <f>IFERROR(__xludf.DUMMYFUNCTION("""COMPUTED_VALUE"""),"А какие вообще есть сообщества")</f>
        <v>А какие вообще есть сообщества</v>
      </c>
      <c r="AC1398" s="6" t="str">
        <f>IFERROR(__xludf.DUMMYFUNCTION("""COMPUTED_VALUE"""),"Необходимо больше экскурсий, где бы рассказывали об истории города, а то многие живя в городе, не знают его истории. ")</f>
        <v>Необходимо больше экскурсий, где бы рассказывали об истории города, а то многие живя в городе, не знают его истории. </v>
      </c>
      <c r="AD139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398" s="6" t="str">
        <f>IFERROR(__xludf.DUMMYFUNCTION("""COMPUTED_VALUE"""),"Женский")</f>
        <v>Женский</v>
      </c>
      <c r="AF1398" s="6" t="str">
        <f>IFERROR(__xludf.DUMMYFUNCTION("""COMPUTED_VALUE"""),"30-44")</f>
        <v>30-44</v>
      </c>
      <c r="AG1398" s="6"/>
      <c r="AH1398" s="6"/>
      <c r="AI1398" s="6"/>
      <c r="AJ1398" s="6"/>
      <c r="AK1398" s="6"/>
      <c r="AL1398" s="6"/>
      <c r="AM1398" s="6"/>
    </row>
    <row r="1399">
      <c r="A1399" s="6">
        <v>1398.0</v>
      </c>
      <c r="B1399" s="6" t="str">
        <f>IFERROR(__xludf.DUMMYFUNCTION("""COMPUTED_VALUE"""),"Декрет,а вообще Минспорт и менеджер Сати Казановой")</f>
        <v>Декрет,а вообще Минспорт и менеджер Сати Казановой</v>
      </c>
      <c r="C1399" s="6" t="str">
        <f>IFERROR(__xludf.DUMMYFUNCTION("""COMPUTED_VALUE"""),"Физическая культура, йога, медитация, шоппинг ")</f>
        <v>Физическая культура, йога, медитация, шоппинг </v>
      </c>
      <c r="D1399" s="6" t="str">
        <f>IFERROR(__xludf.DUMMYFUNCTION("""COMPUTED_VALUE"""),"Фпк")</f>
        <v>Фпк</v>
      </c>
      <c r="E1399" s="6" t="str">
        <f>IFERROR(__xludf.DUMMYFUNCTION("""COMPUTED_VALUE"""),"Гринвич")</f>
        <v>Гринвич</v>
      </c>
      <c r="F1399" s="6" t="str">
        <f>IFERROR(__xludf.DUMMYFUNCTION("""COMPUTED_VALUE"""),"Живу здесь с рождения")</f>
        <v>Живу здесь с рождения</v>
      </c>
      <c r="G1399" s="6" t="str">
        <f>IFERROR(__xludf.DUMMYFUNCTION("""COMPUTED_VALUE"""),"Набережная,лесная поляна, весенняя ")</f>
        <v>Набережная,лесная поляна, весенняя </v>
      </c>
      <c r="H1399" s="6" t="str">
        <f>IFERROR(__xludf.DUMMYFUNCTION("""COMPUTED_VALUE"""),"Перспективный, уютный, отсталый, спортивный, дорогие перелёты ")</f>
        <v>Перспективный, уютный, отсталый, спортивный, дорогие перелёты </v>
      </c>
      <c r="I1399" s="6" t="str">
        <f>IFERROR(__xludf.DUMMYFUNCTION("""COMPUTED_VALUE"""),"Владимир Михайлов, Иван который сто лет назад спас бор от вырубки:))), Алексей Леонов")</f>
        <v>Владимир Михайлов, Иван который сто лет назад спас бор от вырубки:))), Алексей Леонов</v>
      </c>
      <c r="J1399" s="6" t="str">
        <f>IFERROR(__xludf.DUMMYFUNCTION("""COMPUTED_VALUE"""),"Цивилевы Сергей и Анна, Кривко Ксения, Николаев (Стройсервис), Бессмертных Александр, Арбачаков Юрий, Дрозд, Регион сервис ")</f>
        <v>Цивилевы Сергей и Анна, Кривко Ксения, Николаев (Стройсервис), Бессмертных Александр, Арбачаков Юрий, Дрозд, Регион сервис </v>
      </c>
      <c r="K1399" s="6" t="str">
        <f>IFERROR(__xludf.DUMMYFUNCTION("""COMPUTED_VALUE"""),"Лесная поляна и набережная ")</f>
        <v>Лесная поляна и набережная </v>
      </c>
      <c r="L1399" s="6" t="str">
        <f>IFERROR(__xludf.DUMMYFUNCTION("""COMPUTED_VALUE"""),"Затрудняюсь")</f>
        <v>Затрудняюсь</v>
      </c>
      <c r="M1399" s="6" t="str">
        <f>IFERROR(__xludf.DUMMYFUNCTION("""COMPUTED_VALUE"""),"Мультифора")</f>
        <v>Мультифора</v>
      </c>
      <c r="N1399" s="6" t="str">
        <f>IFERROR(__xludf.DUMMYFUNCTION("""COMPUTED_VALUE"""),"Много прогулочных территорий, доступные и качественные спортивные объекты, массовые физкультурные, качественно брендированные мероприятия, чистота (экология), гуманность к бездомным животным.")</f>
        <v>Много прогулочных территорий, доступные и качественные спортивные объекты, массовые физкультурные, качественно брендированные мероприятия, чистота (экология), гуманность к бездомным животным.</v>
      </c>
      <c r="O1399" s="6" t="str">
        <f>IFERROR(__xludf.DUMMYFUNCTION("""COMPUTED_VALUE"""),"Экологию")</f>
        <v>Экологию</v>
      </c>
      <c r="P1399" s="6" t="str">
        <f>IFERROR(__xludf.DUMMYFUNCTION("""COMPUTED_VALUE"""),"Друзья в инстаграм")</f>
        <v>Друзья в инстаграм</v>
      </c>
      <c r="Q1399" s="6" t="str">
        <f>IFERROR(__xludf.DUMMYFUNCTION("""COMPUTED_VALUE"""),"городская афиша (кино/театр/концерты), бизнес-новости (средний чек/рекламные акции/запуск новых предприятий)")</f>
        <v>городская афиша (кино/театр/концерты), бизнес-новости (средний чек/рекламные акции/запуск новых предприятий)</v>
      </c>
      <c r="R1399" s="6" t="str">
        <f>IFERROR(__xludf.DUMMYFUNCTION("""COMPUTED_VALUE"""),"Таких нет")</f>
        <v>Таких нет</v>
      </c>
      <c r="S1399"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v>
      </c>
      <c r="T1399" s="6" t="str">
        <f>IFERROR(__xludf.DUMMYFUNCTION("""COMPUTED_VALUE"""),"Ещё долго будем известны только углем и зимней вишней, и ""Ааа,это тот город который между Новосибирском и Красноярском""))")</f>
        <v>Ещё долго будем известны только углем и зимней вишней, и "Ааа,это тот город который между Новосибирском и Красноярском"))</v>
      </c>
      <c r="U1399" s="6" t="str">
        <f>IFERROR(__xludf.DUMMYFUNCTION("""COMPUTED_VALUE"""),"Фонтан ")</f>
        <v>Фонтан </v>
      </c>
      <c r="V1399" s="6" t="str">
        <f>IFERROR(__xludf.DUMMYFUNCTION("""COMPUTED_VALUE"""),"Не знаю")</f>
        <v>Не знаю</v>
      </c>
      <c r="W1399" s="6" t="str">
        <f>IFERROR(__xludf.DUMMYFUNCTION("""COMPUTED_VALUE"""),"Вечно чем-то недовольные")</f>
        <v>Вечно чем-то недовольные</v>
      </c>
      <c r="X1399" s="6" t="str">
        <f>IFERROR(__xludf.DUMMYFUNCTION("""COMPUTED_VALUE"""),"Весь центр хорошо! И если набережную продлят, то вообще супер будет")</f>
        <v>Весь центр хорошо! И если набережную продлят, то вообще супер будет</v>
      </c>
      <c r="Y1399" s="6" t="str">
        <f>IFERROR(__xludf.DUMMYFUNCTION("""COMPUTED_VALUE"""),"Концерт Стройсервис возле главного Сбербанка, реально круто было!")</f>
        <v>Концерт Стройсервис возле главного Сбербанка, реально круто было!</v>
      </c>
      <c r="Z1399" s="6" t="str">
        <f>IFERROR(__xludf.DUMMYFUNCTION("""COMPUTED_VALUE"""),"Концерт Стройсервиса Легенды мирового рока, лыжный марафон Кузбасс-ски, трейлы регионсервиса в сосновом бору, ")</f>
        <v>Концерт Стройсервиса Легенды мирового рока, лыжный марафон Кузбасс-ски, трейлы регионсервиса в сосновом бору, </v>
      </c>
      <c r="AA1399" s="6" t="str">
        <f>IFERROR(__xludf.DUMMYFUNCTION("""COMPUTED_VALUE"""),"Митинги")</f>
        <v>Митинги</v>
      </c>
      <c r="AB1399" s="6" t="str">
        <f>IFERROR(__xludf.DUMMYFUNCTION("""COMPUTED_VALUE"""),"Релакс зон, мест где нет шумных и не воспитанных детей ")</f>
        <v>Релакс зон, мест где нет шумных и не воспитанных детей </v>
      </c>
      <c r="AC1399" s="6" t="str">
        <f>IFERROR(__xludf.DUMMYFUNCTION("""COMPUTED_VALUE"""),"Трейлы, забеги, концерты типа легенды мирового рока")</f>
        <v>Трейлы, забеги, концерты типа легенды мирового рока</v>
      </c>
      <c r="AD139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399" s="6" t="str">
        <f>IFERROR(__xludf.DUMMYFUNCTION("""COMPUTED_VALUE"""),"Женский")</f>
        <v>Женский</v>
      </c>
      <c r="AF1399" s="6" t="str">
        <f>IFERROR(__xludf.DUMMYFUNCTION("""COMPUTED_VALUE"""),"30-44")</f>
        <v>30-44</v>
      </c>
      <c r="AG1399" s="6"/>
      <c r="AH1399" s="6"/>
      <c r="AI1399" s="6"/>
      <c r="AJ1399" s="6"/>
      <c r="AK1399" s="6"/>
      <c r="AL1399" s="6"/>
      <c r="AM1399" s="6"/>
    </row>
    <row r="1400">
      <c r="A1400" s="6">
        <v>1399.0</v>
      </c>
      <c r="B1400" s="6" t="str">
        <f>IFERROR(__xludf.DUMMYFUNCTION("""COMPUTED_VALUE"""),"Образование")</f>
        <v>Образование</v>
      </c>
      <c r="C1400" s="6" t="str">
        <f>IFERROR(__xludf.DUMMYFUNCTION("""COMPUTED_VALUE"""),"Рукоделие ")</f>
        <v>Рукоделие </v>
      </c>
      <c r="D1400" s="6" t="str">
        <f>IFERROR(__xludf.DUMMYFUNCTION("""COMPUTED_VALUE"""),"Лесная Поляна")</f>
        <v>Лесная Поляна</v>
      </c>
      <c r="E1400" s="6" t="str">
        <f>IFERROR(__xludf.DUMMYFUNCTION("""COMPUTED_VALUE"""),"Их много. Я знаю весь район ")</f>
        <v>Их много. Я знаю весь район </v>
      </c>
      <c r="F1400" s="6" t="str">
        <f>IFERROR(__xludf.DUMMYFUNCTION("""COMPUTED_VALUE"""),"Живу здесь с рождения")</f>
        <v>Живу здесь с рождения</v>
      </c>
      <c r="G1400" s="6" t="str">
        <f>IFERROR(__xludf.DUMMYFUNCTION("""COMPUTED_VALUE"""),"Гуляю по своему району ")</f>
        <v>Гуляю по своему району </v>
      </c>
      <c r="H1400" s="6" t="str">
        <f>IFERROR(__xludf.DUMMYFUNCTION("""COMPUTED_VALUE"""),"Не знаю ")</f>
        <v>Не знаю </v>
      </c>
      <c r="I1400" s="6" t="str">
        <f>IFERROR(__xludf.DUMMYFUNCTION("""COMPUTED_VALUE"""),"Владимир Михайлов, Аман Тулеев ")</f>
        <v>Владимир Михайлов, Аман Тулеев </v>
      </c>
      <c r="J1400" s="6" t="str">
        <f>IFERROR(__xludf.DUMMYFUNCTION("""COMPUTED_VALUE"""),"Их нет ")</f>
        <v>Их нет </v>
      </c>
      <c r="K1400" s="6" t="str">
        <f>IFERROR(__xludf.DUMMYFUNCTION("""COMPUTED_VALUE"""),"Лесная Поляна")</f>
        <v>Лесная Поляна</v>
      </c>
      <c r="L1400" s="6" t="str">
        <f>IFERROR(__xludf.DUMMYFUNCTION("""COMPUTED_VALUE"""),"Чисто не там, где убирают, а там, где не мусорят ")</f>
        <v>Чисто не там, где убирают, а там, где не мусорят </v>
      </c>
      <c r="M1400" s="6" t="str">
        <f>IFERROR(__xludf.DUMMYFUNCTION("""COMPUTED_VALUE"""),"Нет")</f>
        <v>Нет</v>
      </c>
      <c r="N1400" s="6" t="str">
        <f>IFERROR(__xludf.DUMMYFUNCTION("""COMPUTED_VALUE"""),"Доступное здравоохранение , экология, достойное образование для детей, зарплата , уровень культуры и комфорта ")</f>
        <v>Доступное здравоохранение , экология, достойное образование для детей, зарплата , уровень культуры и комфорта </v>
      </c>
      <c r="O1400" s="6" t="str">
        <f>IFERROR(__xludf.DUMMYFUNCTION("""COMPUTED_VALUE"""),"Экологию ")</f>
        <v>Экологию </v>
      </c>
      <c r="P1400" s="6" t="str">
        <f>IFERROR(__xludf.DUMMYFUNCTION("""COMPUTED_VALUE"""),"Инстаграмм")</f>
        <v>Инстаграмм</v>
      </c>
      <c r="Q1400" s="6" t="str">
        <f>IFERROR(__xludf.DUMMYFUNCTION("""COMPUTED_VALUE"""),"городская афиша (кино/театр/концерты)")</f>
        <v>городская афиша (кино/театр/концерты)</v>
      </c>
      <c r="R1400" s="6" t="str">
        <f>IFERROR(__xludf.DUMMYFUNCTION("""COMPUTED_VALUE"""),"9 мая ")</f>
        <v>9 мая </v>
      </c>
      <c r="S1400" s="6" t="str">
        <f>IFERROR(__xludf.DUMMYFUNCTION("""COMPUTED_VALUE"""),"Обращался в редакции городских газет, телевидения, радио")</f>
        <v>Обращался в редакции городских газет, телевидения, радио</v>
      </c>
      <c r="T1400" s="6" t="str">
        <f>IFERROR(__xludf.DUMMYFUNCTION("""COMPUTED_VALUE"""),"Плохая экология ")</f>
        <v>Плохая экология </v>
      </c>
      <c r="U1400" s="6" t="str">
        <f>IFERROR(__xludf.DUMMYFUNCTION("""COMPUTED_VALUE"""),"Памятник Шахтеру ")</f>
        <v>Памятник Шахтеру </v>
      </c>
      <c r="V1400" s="6" t="str">
        <f>IFERROR(__xludf.DUMMYFUNCTION("""COMPUTED_VALUE"""),"Вложили вклад в благоустройство города ")</f>
        <v>Вложили вклад в благоустройство города </v>
      </c>
      <c r="W1400" s="6" t="str">
        <f>IFERROR(__xludf.DUMMYFUNCTION("""COMPUTED_VALUE"""),"Отзывчивые ")</f>
        <v>Отзывчивые </v>
      </c>
      <c r="X1400" s="6" t="str">
        <f>IFERROR(__xludf.DUMMYFUNCTION("""COMPUTED_VALUE"""),"Центр. Набережная. Весенняя улица. ")</f>
        <v>Центр. Набережная. Весенняя улица. </v>
      </c>
      <c r="Y1400" s="6" t="str">
        <f>IFERROR(__xludf.DUMMYFUNCTION("""COMPUTED_VALUE"""),"Не знаю ")</f>
        <v>Не знаю </v>
      </c>
      <c r="Z1400" s="6" t="str">
        <f>IFERROR(__xludf.DUMMYFUNCTION("""COMPUTED_VALUE"""),"Рок фестиваль ")</f>
        <v>Рок фестиваль </v>
      </c>
      <c r="AA1400" s="6" t="str">
        <f>IFERROR(__xludf.DUMMYFUNCTION("""COMPUTED_VALUE"""),"Митинги ")</f>
        <v>Митинги </v>
      </c>
      <c r="AB1400" s="6" t="str">
        <f>IFERROR(__xludf.DUMMYFUNCTION("""COMPUTED_VALUE"""),"Не знаю ")</f>
        <v>Не знаю </v>
      </c>
      <c r="AC1400" s="6" t="str">
        <f>IFERROR(__xludf.DUMMYFUNCTION("""COMPUTED_VALUE"""),"Культурных ")</f>
        <v>Культурных </v>
      </c>
      <c r="AD140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00" s="6" t="str">
        <f>IFERROR(__xludf.DUMMYFUNCTION("""COMPUTED_VALUE"""),"Женский")</f>
        <v>Женский</v>
      </c>
      <c r="AF1400" s="6" t="str">
        <f>IFERROR(__xludf.DUMMYFUNCTION("""COMPUTED_VALUE"""),"30-44")</f>
        <v>30-44</v>
      </c>
      <c r="AG1400" s="6"/>
      <c r="AH1400" s="6"/>
      <c r="AI1400" s="6"/>
      <c r="AJ1400" s="6"/>
      <c r="AK1400" s="6"/>
      <c r="AL1400" s="6"/>
      <c r="AM1400" s="6"/>
    </row>
    <row r="1401">
      <c r="A1401" s="6">
        <v>1400.0</v>
      </c>
      <c r="B1401" s="6" t="str">
        <f>IFERROR(__xludf.DUMMYFUNCTION("""COMPUTED_VALUE"""),"Домохозяйка")</f>
        <v>Домохозяйка</v>
      </c>
      <c r="C1401" s="6" t="str">
        <f>IFERROR(__xludf.DUMMYFUNCTION("""COMPUTED_VALUE"""),"Выращиваю цветы")</f>
        <v>Выращиваю цветы</v>
      </c>
      <c r="D1401" s="6" t="str">
        <f>IFERROR(__xludf.DUMMYFUNCTION("""COMPUTED_VALUE"""),"Лесная Поляна - Поляна")</f>
        <v>Лесная Поляна - Поляна</v>
      </c>
      <c r="E1401" s="6" t="str">
        <f>IFERROR(__xludf.DUMMYFUNCTION("""COMPUTED_VALUE"""),"Парк лесная сказка, фигура олени")</f>
        <v>Парк лесная сказка, фигура олени</v>
      </c>
      <c r="F1401" s="6" t="str">
        <f>IFERROR(__xludf.DUMMYFUNCTION("""COMPUTED_VALUE"""),"Переехал сюда из другого места (откуда? укажите в графе другое), Переехала из Киселёвска")</f>
        <v>Переехал сюда из другого места (откуда? укажите в графе другое), Переехала из Киселёвска</v>
      </c>
      <c r="G1401" s="6" t="str">
        <f>IFERROR(__xludf.DUMMYFUNCTION("""COMPUTED_VALUE"""),"Гуляю по району")</f>
        <v>Гуляю по району</v>
      </c>
      <c r="H1401" s="6" t="str">
        <f>IFERROR(__xludf.DUMMYFUNCTION("""COMPUTED_VALUE"""),"Уголь, грязный воздух, Томь")</f>
        <v>Уголь, грязный воздух, Томь</v>
      </c>
      <c r="I1401" s="6" t="str">
        <f>IFERROR(__xludf.DUMMYFUNCTION("""COMPUTED_VALUE"""),"Леонов, Тулеев, Раздаев")</f>
        <v>Леонов, Тулеев, Раздаев</v>
      </c>
      <c r="J1401" s="6" t="str">
        <f>IFERROR(__xludf.DUMMYFUNCTION("""COMPUTED_VALUE"""),"Середюк")</f>
        <v>Середюк</v>
      </c>
      <c r="K1401" s="6" t="str">
        <f>IFERROR(__xludf.DUMMYFUNCTION("""COMPUTED_VALUE"""),"Лесная Поляна, памятник Шахтёр")</f>
        <v>Лесная Поляна, памятник Шахтёр</v>
      </c>
      <c r="L1401" s="6" t="str">
        <f>IFERROR(__xludf.DUMMYFUNCTION("""COMPUTED_VALUE"""),"Розовый снег от заводов был раньше в Кемерово")</f>
        <v>Розовый снег от заводов был раньше в Кемерово</v>
      </c>
      <c r="M1401" s="6" t="str">
        <f>IFERROR(__xludf.DUMMYFUNCTION("""COMPUTED_VALUE"""),"Мультифора")</f>
        <v>Мультифора</v>
      </c>
      <c r="N1401" s="6" t="str">
        <f>IFERROR(__xludf.DUMMYFUNCTION("""COMPUTED_VALUE"""),"Чистота города, чистый воздух, много деревьев, безопасность дорог")</f>
        <v>Чистота города, чистый воздух, много деревьев, безопасность дорог</v>
      </c>
      <c r="O1401" s="6" t="str">
        <f>IFERROR(__xludf.DUMMYFUNCTION("""COMPUTED_VALUE"""),"Усовершенствовать отчистку выбросов отходов заводов в воздух")</f>
        <v>Усовершенствовать отчистку выбросов отходов заводов в воздух</v>
      </c>
      <c r="P1401" s="6" t="str">
        <f>IFERROR(__xludf.DUMMYFUNCTION("""COMPUTED_VALUE"""),"ВКонтакте")</f>
        <v>ВКонтакте</v>
      </c>
      <c r="Q1401"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401" s="6" t="str">
        <f>IFERROR(__xludf.DUMMYFUNCTION("""COMPUTED_VALUE"""),"Парад 9 мая")</f>
        <v>Парад 9 мая</v>
      </c>
      <c r="S1401" s="6" t="str">
        <f>IFERROR(__xludf.DUMMYFUNCTION("""COMPUTED_VALUE"""),"Нет, не приходилось")</f>
        <v>Нет, не приходилось</v>
      </c>
      <c r="T1401" s="6" t="str">
        <f>IFERROR(__xludf.DUMMYFUNCTION("""COMPUTED_VALUE"""),"Ничем")</f>
        <v>Ничем</v>
      </c>
      <c r="U1401" s="6" t="str">
        <f>IFERROR(__xludf.DUMMYFUNCTION("""COMPUTED_VALUE"""),"Драм театра, ул. Весенняя")</f>
        <v>Драм театра, ул. Весенняя</v>
      </c>
      <c r="V1401" s="6" t="str">
        <f>IFERROR(__xludf.DUMMYFUNCTION("""COMPUTED_VALUE"""),"Хорошо работали")</f>
        <v>Хорошо работали</v>
      </c>
      <c r="W1401" s="6" t="str">
        <f>IFERROR(__xludf.DUMMYFUNCTION("""COMPUTED_VALUE"""),"Отзывчивые, прямые, честные")</f>
        <v>Отзывчивые, прямые, честные</v>
      </c>
      <c r="X1401" s="6" t="str">
        <f>IFERROR(__xludf.DUMMYFUNCTION("""COMPUTED_VALUE"""),"Центр, набережная, Лесная поляна")</f>
        <v>Центр, набережная, Лесная поляна</v>
      </c>
      <c r="Y1401" s="6" t="str">
        <f>IFERROR(__xludf.DUMMYFUNCTION("""COMPUTED_VALUE"""),"Зимняя вишня, к сожалению")</f>
        <v>Зимняя вишня, к сожалению</v>
      </c>
      <c r="Z1401" s="6" t="str">
        <f>IFERROR(__xludf.DUMMYFUNCTION("""COMPUTED_VALUE"""),"Новая ёлка")</f>
        <v>Новая ёлка</v>
      </c>
      <c r="AA1401" s="6" t="str">
        <f>IFERROR(__xludf.DUMMYFUNCTION("""COMPUTED_VALUE"""),"Митинги за Навального")</f>
        <v>Митинги за Навального</v>
      </c>
      <c r="AB1401" s="6" t="str">
        <f>IFERROR(__xludf.DUMMYFUNCTION("""COMPUTED_VALUE"""),"По ПП питанию")</f>
        <v>По ПП питанию</v>
      </c>
      <c r="AC1401" s="6" t="str">
        <f>IFERROR(__xludf.DUMMYFUNCTION("""COMPUTED_VALUE"""),"Исторических экскурсий")</f>
        <v>Исторических экскурсий</v>
      </c>
      <c r="AD140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01" s="6" t="str">
        <f>IFERROR(__xludf.DUMMYFUNCTION("""COMPUTED_VALUE"""),"Женский")</f>
        <v>Женский</v>
      </c>
      <c r="AF1401" s="6" t="str">
        <f>IFERROR(__xludf.DUMMYFUNCTION("""COMPUTED_VALUE"""),"30-44")</f>
        <v>30-44</v>
      </c>
      <c r="AG1401" s="6"/>
      <c r="AH1401" s="6"/>
      <c r="AI1401" s="6"/>
      <c r="AJ1401" s="6"/>
      <c r="AK1401" s="6"/>
      <c r="AL1401" s="6"/>
      <c r="AM1401" s="6"/>
    </row>
    <row r="1402">
      <c r="A1402" s="6">
        <v>1401.0</v>
      </c>
      <c r="B1402" s="6" t="str">
        <f>IFERROR(__xludf.DUMMYFUNCTION("""COMPUTED_VALUE"""),"Оператор больничной кассы ")</f>
        <v>Оператор больничной кассы </v>
      </c>
      <c r="C1402" s="6" t="str">
        <f>IFERROR(__xludf.DUMMYFUNCTION("""COMPUTED_VALUE"""),"Инкрустрация стразами ")</f>
        <v>Инкрустрация стразами </v>
      </c>
      <c r="D1402" s="6" t="str">
        <f>IFERROR(__xludf.DUMMYFUNCTION("""COMPUTED_VALUE"""),"Южный ")</f>
        <v>Южный </v>
      </c>
      <c r="E1402" s="6" t="str">
        <f>IFERROR(__xludf.DUMMYFUNCTION("""COMPUTED_VALUE"""),"Набережная")</f>
        <v>Набережная</v>
      </c>
      <c r="F1402" s="6" t="str">
        <f>IFERROR(__xludf.DUMMYFUNCTION("""COMPUTED_VALUE"""),"Живу здесь с рождения")</f>
        <v>Живу здесь с рождения</v>
      </c>
      <c r="G1402" s="6" t="str">
        <f>IFERROR(__xludf.DUMMYFUNCTION("""COMPUTED_VALUE"""),"На аллею Патриотов ")</f>
        <v>На аллею Патриотов </v>
      </c>
      <c r="H1402" s="6" t="str">
        <f>IFERROR(__xludf.DUMMYFUNCTION("""COMPUTED_VALUE"""),"Красная горка, Томь, площадь Советов, серое небо ")</f>
        <v>Красная горка, Томь, площадь Советов, серое небо </v>
      </c>
      <c r="I1402" s="6" t="str">
        <f>IFERROR(__xludf.DUMMYFUNCTION("""COMPUTED_VALUE"""),"Волков, Рутгерс, Ю. Двужильный")</f>
        <v>Волков, Рутгерс, Ю. Двужильный</v>
      </c>
      <c r="J1402" s="6" t="str">
        <f>IFERROR(__xludf.DUMMYFUNCTION("""COMPUTED_VALUE"""),"Тулеев, Михайлов")</f>
        <v>Тулеев, Михайлов</v>
      </c>
      <c r="K1402" s="6" t="str">
        <f>IFERROR(__xludf.DUMMYFUNCTION("""COMPUTED_VALUE"""),"Томская Писаница, Красная Горка ")</f>
        <v>Томская Писаница, Красная Горка </v>
      </c>
      <c r="L1402" s="6" t="str">
        <f>IFERROR(__xludf.DUMMYFUNCTION("""COMPUTED_VALUE"""),"Дураки и дороги ")</f>
        <v>Дураки и дороги </v>
      </c>
      <c r="M1402" s="6" t="str">
        <f>IFERROR(__xludf.DUMMYFUNCTION("""COMPUTED_VALUE"""),"Мультифора ")</f>
        <v>Мультифора </v>
      </c>
      <c r="N1402" s="6" t="str">
        <f>IFERROR(__xludf.DUMMYFUNCTION("""COMPUTED_VALUE"""),"Шаговая доступность парков, красивый дизайн фасадов, озеленение дворов, качественные дороги ")</f>
        <v>Шаговая доступность парков, красивый дизайн фасадов, озеленение дворов, качественные дороги </v>
      </c>
      <c r="O1402" s="6" t="str">
        <f>IFERROR(__xludf.DUMMYFUNCTION("""COMPUTED_VALUE"""),"Перестать строить повсюду огромные ТЦ, а на этих земельных участках разбить парки")</f>
        <v>Перестать строить повсюду огромные ТЦ, а на этих земельных участках разбить парки</v>
      </c>
      <c r="P1402" s="6" t="str">
        <f>IFERROR(__xludf.DUMMYFUNCTION("""COMPUTED_VALUE"""),"Интернет, Инстаграм")</f>
        <v>Интернет, Инстаграм</v>
      </c>
      <c r="Q1402" s="6" t="str">
        <f>IFERROR(__xludf.DUMMYFUNCTION("""COMPUTED_VALUE"""),"куда пойти в свободное время, интервью с местными творческими личностями, результаты местных исследований (рейтинги/аналитика/тенденции)")</f>
        <v>куда пойти в свободное время, интервью с местными творческими личностями, результаты местных исследований (рейтинги/аналитика/тенденции)</v>
      </c>
      <c r="R1402" s="6" t="str">
        <f>IFERROR(__xludf.DUMMYFUNCTION("""COMPUTED_VALUE"""),"День города, парад победы ")</f>
        <v>День города, парад победы </v>
      </c>
      <c r="S1402" s="6" t="str">
        <f>IFERROR(__xludf.DUMMYFUNCTION("""COMPUTED_VALUE"""),"Нет, не приходилось")</f>
        <v>Нет, не приходилось</v>
      </c>
      <c r="T1402" s="6" t="str">
        <f>IFERROR(__xludf.DUMMYFUNCTION("""COMPUTED_VALUE"""),"Столица Шахтёрского края, богатая история ")</f>
        <v>Столица Шахтёрского края, богатая история </v>
      </c>
      <c r="U1402" s="6" t="str">
        <f>IFERROR(__xludf.DUMMYFUNCTION("""COMPUTED_VALUE"""),"Памятник неизвестному солдату ")</f>
        <v>Памятник неизвестному солдату </v>
      </c>
      <c r="V1402" s="6" t="str">
        <f>IFERROR(__xludf.DUMMYFUNCTION("""COMPUTED_VALUE"""),"Из маленькой деревни построили большой город, во время ВОВ не останавливали добычу угля и производства ")</f>
        <v>Из маленькой деревни построили большой город, во время ВОВ не останавливали добычу угля и производства </v>
      </c>
      <c r="W1402" s="6" t="str">
        <f>IFERROR(__xludf.DUMMYFUNCTION("""COMPUTED_VALUE"""),"Отзывчивые, немного хмурые, умеющие радоваться жизни ")</f>
        <v>Отзывчивые, немного хмурые, умеющие радоваться жизни </v>
      </c>
      <c r="X1402" s="6" t="str">
        <f>IFERROR(__xludf.DUMMYFUNCTION("""COMPUTED_VALUE"""),"Дзержинского - Красноармейская - весенняя - набережная")</f>
        <v>Дзержинского - Красноармейская - весенняя - набережная</v>
      </c>
      <c r="Y1402" s="6" t="str">
        <f>IFERROR(__xludf.DUMMYFUNCTION("""COMPUTED_VALUE"""),"Открытие залежей угля")</f>
        <v>Открытие залежей угля</v>
      </c>
      <c r="Z1402" s="6" t="str">
        <f>IFERROR(__xludf.DUMMYFUNCTION("""COMPUTED_VALUE"""),"Открытие обновлённого бульвара Строителей ")</f>
        <v>Открытие обновлённого бульвара Строителей </v>
      </c>
      <c r="AA1402" s="6" t="str">
        <f>IFERROR(__xludf.DUMMYFUNCTION("""COMPUTED_VALUE"""),"Митинги оппозиции ")</f>
        <v>Митинги оппозиции </v>
      </c>
      <c r="AB1402" s="6" t="str">
        <f>IFERROR(__xludf.DUMMYFUNCTION("""COMPUTED_VALUE"""),"Сообществ молодых семей для обсуждения проблем досуга детей ")</f>
        <v>Сообществ молодых семей для обсуждения проблем досуга детей </v>
      </c>
      <c r="AC1402" s="6" t="str">
        <f>IFERROR(__xludf.DUMMYFUNCTION("""COMPUTED_VALUE"""),"Больше выступлений учёных, именно для широкой публики, демонстрация новых исследований и разработок ")</f>
        <v>Больше выступлений учёных, именно для широкой публики, демонстрация новых исследований и разработок </v>
      </c>
      <c r="AD140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02" s="6" t="str">
        <f>IFERROR(__xludf.DUMMYFUNCTION("""COMPUTED_VALUE"""),"Женский")</f>
        <v>Женский</v>
      </c>
      <c r="AF1402" s="6" t="str">
        <f>IFERROR(__xludf.DUMMYFUNCTION("""COMPUTED_VALUE"""),"30-44")</f>
        <v>30-44</v>
      </c>
      <c r="AG1402" s="6"/>
      <c r="AH1402" s="6"/>
      <c r="AI1402" s="6"/>
      <c r="AJ1402" s="6"/>
      <c r="AK1402" s="6"/>
      <c r="AL1402" s="6"/>
      <c r="AM1402" s="6"/>
    </row>
    <row r="1403">
      <c r="A1403" s="6">
        <v>1402.0</v>
      </c>
      <c r="B1403" s="6" t="str">
        <f>IFERROR(__xludf.DUMMYFUNCTION("""COMPUTED_VALUE"""),"Медицина ")</f>
        <v>Медицина </v>
      </c>
      <c r="C1403" s="6" t="str">
        <f>IFERROR(__xludf.DUMMYFUNCTION("""COMPUTED_VALUE"""),"Нет")</f>
        <v>Нет</v>
      </c>
      <c r="D1403" s="6" t="str">
        <f>IFERROR(__xludf.DUMMYFUNCTION("""COMPUTED_VALUE"""),"Ленинский")</f>
        <v>Ленинский</v>
      </c>
      <c r="E1403" s="6" t="str">
        <f>IFERROR(__xludf.DUMMYFUNCTION("""COMPUTED_VALUE"""),"Бульвар Строителей")</f>
        <v>Бульвар Строителей</v>
      </c>
      <c r="F1403" s="6" t="str">
        <f>IFERROR(__xludf.DUMMYFUNCTION("""COMPUTED_VALUE"""),"Живу здесь с рождения")</f>
        <v>Живу здесь с рождения</v>
      </c>
      <c r="G1403" s="6" t="str">
        <f>IFERROR(__xludf.DUMMYFUNCTION("""COMPUTED_VALUE"""),"Гуляю по пр.Ленина")</f>
        <v>Гуляю по пр.Ленина</v>
      </c>
      <c r="H1403" s="6" t="str">
        <f>IFERROR(__xludf.DUMMYFUNCTION("""COMPUTED_VALUE"""),"Плохая экология, медицина, нет работы,нет оплаты,показуха вечная.")</f>
        <v>Плохая экология, медицина, нет работы,нет оплаты,показуха вечная.</v>
      </c>
      <c r="I1403" s="6" t="str">
        <f>IFERROR(__xludf.DUMMYFUNCTION("""COMPUTED_VALUE"""),"Леонов,Михайлов,Тулеев.")</f>
        <v>Леонов,Михайлов,Тулеев.</v>
      </c>
      <c r="J1403" s="6" t="str">
        <f>IFERROR(__xludf.DUMMYFUNCTION("""COMPUTED_VALUE"""),"Середюк старается.")</f>
        <v>Середюк старается.</v>
      </c>
      <c r="K1403" s="6" t="str">
        <f>IFERROR(__xludf.DUMMYFUNCTION("""COMPUTED_VALUE"""),"Красная горка,шахтёром.")</f>
        <v>Красная горка,шахтёром.</v>
      </c>
      <c r="L1403" s="6" t="str">
        <f>IFERROR(__xludf.DUMMYFUNCTION("""COMPUTED_VALUE"""),"Незнаю")</f>
        <v>Незнаю</v>
      </c>
      <c r="M1403" s="6" t="str">
        <f>IFERROR(__xludf.DUMMYFUNCTION("""COMPUTED_VALUE"""),"Нет ")</f>
        <v>Нет </v>
      </c>
      <c r="N1403" s="6" t="str">
        <f>IFERROR(__xludf.DUMMYFUNCTION("""COMPUTED_VALUE"""),"Чистый воздух, чистый город,работа с достойной оплатой и досуг.")</f>
        <v>Чистый воздух, чистый город,работа с достойной оплатой и досуг.</v>
      </c>
      <c r="O1403" s="6" t="str">
        <f>IFERROR(__xludf.DUMMYFUNCTION("""COMPUTED_VALUE"""),"Дороги,особенно на главную улицах.")</f>
        <v>Дороги,особенно на главную улицах.</v>
      </c>
      <c r="P1403" s="6" t="str">
        <f>IFERROR(__xludf.DUMMYFUNCTION("""COMPUTED_VALUE"""),"Инстаграм ")</f>
        <v>Инстаграм </v>
      </c>
      <c r="Q1403" s="6" t="str">
        <f>IFERROR(__xludf.DUMMYFUNCTION("""COMPUTED_VALUE"""),"городская афиша (кино/театр/концерты), интервью с местными политиками, криминальные новости (происшествия/преступления)")</f>
        <v>городская афиша (кино/театр/концерты), интервью с местными политиками, криминальные новости (происшествия/преступления)</v>
      </c>
      <c r="R1403" s="6" t="str">
        <f>IFERROR(__xludf.DUMMYFUNCTION("""COMPUTED_VALUE"""),"День города,день шахтёра,день защиты детей. ")</f>
        <v>День города,день шахтёра,день защиты детей. </v>
      </c>
      <c r="S1403" s="6" t="str">
        <f>IFERROR(__xludf.DUMMYFUNCTION("""COMPUTED_VALUE"""),"Нет, не приходилось")</f>
        <v>Нет, не приходилось</v>
      </c>
      <c r="T1403" s="6" t="str">
        <f>IFERROR(__xludf.DUMMYFUNCTION("""COMPUTED_VALUE"""),"Был углем и Тулеевым,стал Зимней вишней ")</f>
        <v>Был углем и Тулеевым,стал Зимней вишней </v>
      </c>
      <c r="U1403" s="6" t="str">
        <f>IFERROR(__xludf.DUMMYFUNCTION("""COMPUTED_VALUE"""),"Набережная городская")</f>
        <v>Набережная городская</v>
      </c>
      <c r="V1403" s="6" t="str">
        <f>IFERROR(__xludf.DUMMYFUNCTION("""COMPUTED_VALUE"""),"Все что ранее сделано-все портится")</f>
        <v>Все что ранее сделано-все портится</v>
      </c>
      <c r="W1403" s="6" t="str">
        <f>IFERROR(__xludf.DUMMYFUNCTION("""COMPUTED_VALUE"""),"Озлобленные, недовольные,уставшие от не справедливости и лжи")</f>
        <v>Озлобленные, недовольные,уставшие от не справедливости и лжи</v>
      </c>
      <c r="X1403" s="6" t="str">
        <f>IFERROR(__xludf.DUMMYFUNCTION("""COMPUTED_VALUE"""),"Незнаю уже,всегда был центр раньше")</f>
        <v>Незнаю уже,всегда был центр раньше</v>
      </c>
      <c r="Y1403" s="6" t="str">
        <f>IFERROR(__xludf.DUMMYFUNCTION("""COMPUTED_VALUE"""),"Чемпионат Бенди и Вишня")</f>
        <v>Чемпионат Бенди и Вишня</v>
      </c>
      <c r="Z1403" s="6" t="str">
        <f>IFERROR(__xludf.DUMMYFUNCTION("""COMPUTED_VALUE"""),"Пр. Ленина стали ремонтировать пешеходную часть.")</f>
        <v>Пр. Ленина стали ремонтировать пешеходную часть.</v>
      </c>
      <c r="AA1403" s="6" t="str">
        <f>IFERROR(__xludf.DUMMYFUNCTION("""COMPUTED_VALUE"""),"ЭКОЛОГИЯ")</f>
        <v>ЭКОЛОГИЯ</v>
      </c>
      <c r="AB1403" s="6" t="str">
        <f>IFERROR(__xludf.DUMMYFUNCTION("""COMPUTED_VALUE"""),"АФИША,которая расскажет куда сходить,а не когда уже это прошло,допустим рубрика на ТВ.")</f>
        <v>АФИША,которая расскажет куда сходить,а не когда уже это прошло,допустим рубрика на ТВ.</v>
      </c>
      <c r="AC1403" s="6" t="str">
        <f>IFERROR(__xludf.DUMMYFUNCTION("""COMPUTED_VALUE"""),"Детские клубы,соревнования. Чтоб детям было чем заниматься.")</f>
        <v>Детские клубы,соревнования. Чтоб детям было чем заниматься.</v>
      </c>
      <c r="AD140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03" s="6" t="str">
        <f>IFERROR(__xludf.DUMMYFUNCTION("""COMPUTED_VALUE"""),"Женский")</f>
        <v>Женский</v>
      </c>
      <c r="AF1403" s="6" t="str">
        <f>IFERROR(__xludf.DUMMYFUNCTION("""COMPUTED_VALUE"""),"30-44")</f>
        <v>30-44</v>
      </c>
      <c r="AG1403" s="6"/>
      <c r="AH1403" s="6"/>
      <c r="AI1403" s="6"/>
      <c r="AJ1403" s="6"/>
      <c r="AK1403" s="6"/>
      <c r="AL1403" s="6"/>
      <c r="AM1403" s="6"/>
    </row>
    <row r="1404">
      <c r="A1404" s="6">
        <v>1403.0</v>
      </c>
      <c r="B1404" s="6" t="str">
        <f>IFERROR(__xludf.DUMMYFUNCTION("""COMPUTED_VALUE"""),"Я филолог (преподаватель русского языка) и керамист ")</f>
        <v>Я филолог (преподаватель русского языка) и керамист </v>
      </c>
      <c r="C1404" s="6" t="str">
        <f>IFERROR(__xludf.DUMMYFUNCTION("""COMPUTED_VALUE"""),"Творчество (создание керамики)")</f>
        <v>Творчество (создание керамики)</v>
      </c>
      <c r="D1404" s="6" t="str">
        <f>IFERROR(__xludf.DUMMYFUNCTION("""COMPUTED_VALUE"""),"Лесная поляна (Поляна). Много лет жила на Южном")</f>
        <v>Лесная поляна (Поляна). Много лет жила на Южном</v>
      </c>
      <c r="E1404" s="6" t="str">
        <f>IFERROR(__xludf.DUMMYFUNCTION("""COMPUTED_VALUE"""),"На поляне - Олень, сквер около поликлиники, Площадь осеннего бульвара")</f>
        <v>На поляне - Олень, сквер около поликлиники, Площадь осеннего бульвара</v>
      </c>
      <c r="F1404" s="6" t="str">
        <f>IFERROR(__xludf.DUMMYFUNCTION("""COMPUTED_VALUE"""),"Живу с детства (с 1994 года)")</f>
        <v>Живу с детства (с 1994 года)</v>
      </c>
      <c r="G1404" s="6" t="str">
        <f>IFERROR(__xludf.DUMMYFUNCTION("""COMPUTED_VALUE"""),"Набережная, Фонтан, Весенняя улица, Площадь Волкова, Дзержинского, Томская писаница (раз в 2 года бываю), люблю гулять по Лесной поляне ")</f>
        <v>Набережная, Фонтан, Весенняя улица, Площадь Волкова, Дзержинского, Томская писаница (раз в 2 года бываю), люблю гулять по Лесной поляне </v>
      </c>
      <c r="H1404" s="6" t="str">
        <f>IFERROR(__xludf.DUMMYFUNCTION("""COMPUTED_VALUE"""),"Холод и серость, советчина.")</f>
        <v>Холод и серость, советчина.</v>
      </c>
      <c r="I1404" s="6" t="str">
        <f>IFERROR(__xludf.DUMMYFUNCTION("""COMPUTED_VALUE"""),"Владимир Михайлов ")</f>
        <v>Владимир Михайлов </v>
      </c>
      <c r="J1404" s="6" t="str">
        <f>IFERROR(__xludf.DUMMYFUNCTION("""COMPUTED_VALUE"""),"Борис Горобцов ")</f>
        <v>Борис Горобцов </v>
      </c>
      <c r="K1404" s="6" t="str">
        <f>IFERROR(__xludf.DUMMYFUNCTION("""COMPUTED_VALUE"""),"Советский проспект, парк Победы, набережная, Весенька, Лесная поляна (Ботанический сад, Олень, парк «Лесная сказка»), ")</f>
        <v>Советский проспект, парк Победы, набережная, Весенька, Лесная поляна (Ботанический сад, Олень, парк «Лесная сказка»), </v>
      </c>
      <c r="L1404" s="6" t="str">
        <f>IFERROR(__xludf.DUMMYFUNCTION("""COMPUTED_VALUE"""),"Человек из Кемерова Б.Гребенщикова ")</f>
        <v>Человек из Кемерова Б.Гребенщикова </v>
      </c>
      <c r="M1404" s="6" t="str">
        <f>IFERROR(__xludf.DUMMYFUNCTION("""COMPUTED_VALUE"""),"Нет)")</f>
        <v>Нет)</v>
      </c>
      <c r="N1404" s="6" t="str">
        <f>IFERROR(__xludf.DUMMYFUNCTION("""COMPUTED_VALUE"""),"1)Удобный транспорт 
2)Возможность передвигаться пешком-&gt; тротуары
3)Оформление услуг (документы и бюрократия) через интернет 
4)Общественные пространства для молодёжи и не только 
5) Удобное медицинское обслуживание")</f>
        <v>1)Удобный транспорт 
2)Возможность передвигаться пешком-&gt; тротуары
3)Оформление услуг (документы и бюрократия) через интернет 
4)Общественные пространства для молодёжи и не только 
5) Удобное медицинское обслуживание</v>
      </c>
      <c r="O1404" s="6" t="str">
        <f>IFERROR(__xludf.DUMMYFUNCTION("""COMPUTED_VALUE"""),"Тротуары ")</f>
        <v>Тротуары </v>
      </c>
      <c r="P1404" s="6" t="str">
        <f>IFERROR(__xludf.DUMMYFUNCTION("""COMPUTED_VALUE"""),"Инстаграм ")</f>
        <v>Инстаграм </v>
      </c>
      <c r="Q1404"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но"&amp;"вых предприятий),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404" s="6" t="str">
        <f>IFERROR(__xludf.DUMMYFUNCTION("""COMPUTED_VALUE"""),"Никакие ")</f>
        <v>Никакие </v>
      </c>
      <c r="S1404" s="6" t="str">
        <f>IFERROR(__xludf.DUMMYFUNCTION("""COMPUTED_VALUE"""),"Нет, не приходилось")</f>
        <v>Нет, не приходилось</v>
      </c>
      <c r="T1404" s="6" t="str">
        <f>IFERROR(__xludf.DUMMYFUNCTION("""COMPUTED_VALUE"""),"Её нам и предстоит создать ")</f>
        <v>Её нам и предстоит создать </v>
      </c>
      <c r="U1404" s="6" t="str">
        <f>IFERROR(__xludf.DUMMYFUNCTION("""COMPUTED_VALUE"""),"Фонтан около Драмтеатра")</f>
        <v>Фонтан около Драмтеатра</v>
      </c>
      <c r="V1404" s="6" t="str">
        <f>IFERROR(__xludf.DUMMYFUNCTION("""COMPUTED_VALUE"""),"Не знаю ")</f>
        <v>Не знаю </v>
      </c>
      <c r="W1404" s="6" t="str">
        <f>IFERROR(__xludf.DUMMYFUNCTION("""COMPUTED_VALUE"""),"Отзывчивые, но тяжёлые на подъём")</f>
        <v>Отзывчивые, но тяжёлые на подъём</v>
      </c>
      <c r="X1404" s="6" t="str">
        <f>IFERROR(__xludf.DUMMYFUNCTION("""COMPUTED_VALUE"""),"Парк Победы, Филармония, Набережная, Весенька, Советский")</f>
        <v>Парк Победы, Филармония, Набережная, Весенька, Советский</v>
      </c>
      <c r="Y1404" s="6" t="str">
        <f>IFERROR(__xludf.DUMMYFUNCTION("""COMPUTED_VALUE"""),"Для меня - концерт ДДТ")</f>
        <v>Для меня - концерт ДДТ</v>
      </c>
      <c r="Z1404" s="6" t="str">
        <f>IFERROR(__xludf.DUMMYFUNCTION("""COMPUTED_VALUE"""),"Концерт ДДТ")</f>
        <v>Концерт ДДТ</v>
      </c>
      <c r="AA1404" s="6" t="str">
        <f>IFERROR(__xludf.DUMMYFUNCTION("""COMPUTED_VALUE"""),"Когда сотрудники полиции не приехали на вызов, в итоге девушку сожитель забил до смерти ")</f>
        <v>Когда сотрудники полиции не приехали на вызов, в итоге девушку сожитель забил до смерти </v>
      </c>
      <c r="AB1404" s="6" t="str">
        <f>IFERROR(__xludf.DUMMYFUNCTION("""COMPUTED_VALUE"""),"Не знаю, какие они бывают)")</f>
        <v>Не знаю, какие они бывают)</v>
      </c>
      <c r="AC1404" s="6" t="str">
        <f>IFERROR(__xludf.DUMMYFUNCTION("""COMPUTED_VALUE"""),"Мероприятия для подростков ")</f>
        <v>Мероприятия для подростков </v>
      </c>
      <c r="AD140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404" s="6" t="str">
        <f>IFERROR(__xludf.DUMMYFUNCTION("""COMPUTED_VALUE"""),"Женский")</f>
        <v>Женский</v>
      </c>
      <c r="AF1404" s="6" t="str">
        <f>IFERROR(__xludf.DUMMYFUNCTION("""COMPUTED_VALUE"""),"30-44")</f>
        <v>30-44</v>
      </c>
      <c r="AG1404" s="6"/>
      <c r="AH1404" s="6"/>
      <c r="AI1404" s="6"/>
      <c r="AJ1404" s="6"/>
      <c r="AK1404" s="6"/>
      <c r="AL1404" s="6"/>
      <c r="AM1404" s="6"/>
    </row>
    <row r="1405">
      <c r="A1405" s="6">
        <v>1404.0</v>
      </c>
      <c r="B1405" s="6" t="str">
        <f>IFERROR(__xludf.DUMMYFUNCTION("""COMPUTED_VALUE"""),"Диспетчер")</f>
        <v>Диспетчер</v>
      </c>
      <c r="C1405" s="6" t="str">
        <f>IFERROR(__xludf.DUMMYFUNCTION("""COMPUTED_VALUE"""),"Автомобили")</f>
        <v>Автомобили</v>
      </c>
      <c r="D1405" s="6" t="str">
        <f>IFERROR(__xludf.DUMMYFUNCTION("""COMPUTED_VALUE"""),"Южный частный сектор")</f>
        <v>Южный частный сектор</v>
      </c>
      <c r="E1405" s="6" t="str">
        <f>IFERROR(__xludf.DUMMYFUNCTION("""COMPUTED_VALUE"""),"Место где в Искитимку сливают помои")</f>
        <v>Место где в Искитимку сливают помои</v>
      </c>
      <c r="F1405" s="6" t="str">
        <f>IFERROR(__xludf.DUMMYFUNCTION("""COMPUTED_VALUE"""),"Живу здесь с рождения")</f>
        <v>Живу здесь с рождения</v>
      </c>
      <c r="G1405" s="6" t="str">
        <f>IFERROR(__xludf.DUMMYFUNCTION("""COMPUTED_VALUE"""),"Береговой, березово")</f>
        <v>Береговой, березово</v>
      </c>
      <c r="H1405" s="6" t="str">
        <f>IFERROR(__xludf.DUMMYFUNCTION("""COMPUTED_VALUE"""),"Заводы, смог, большегрузы, хорошие дороги, строительство")</f>
        <v>Заводы, смог, большегрузы, хорошие дороги, строительство</v>
      </c>
      <c r="I1405" s="6" t="str">
        <f>IFERROR(__xludf.DUMMYFUNCTION("""COMPUTED_VALUE"""),"Волков Михайло")</f>
        <v>Волков Михайло</v>
      </c>
      <c r="J1405" s="6" t="str">
        <f>IFERROR(__xludf.DUMMYFUNCTION("""COMPUTED_VALUE"""),"Михайлов, Цивилев")</f>
        <v>Михайлов, Цивилев</v>
      </c>
      <c r="K1405" s="6" t="str">
        <f>IFERROR(__xludf.DUMMYFUNCTION("""COMPUTED_VALUE"""),"Бирюзовое озеро, карьер около Березовского")</f>
        <v>Бирюзовое озеро, карьер около Березовского</v>
      </c>
      <c r="L1405" s="6" t="str">
        <f>IFERROR(__xludf.DUMMYFUNCTION("""COMPUTED_VALUE"""),"Чем мы дышим зимой? Смогом")</f>
        <v>Чем мы дышим зимой? Смогом</v>
      </c>
      <c r="M1405" s="6" t="str">
        <f>IFERROR(__xludf.DUMMYFUNCTION("""COMPUTED_VALUE"""),"Шанхай, фабричка")</f>
        <v>Шанхай, фабричка</v>
      </c>
      <c r="N1405" s="6" t="str">
        <f>IFERROR(__xludf.DUMMYFUNCTION("""COMPUTED_VALUE"""),"Чистый воздух, отличные дороги, тротуары, озеленение, уборка после собак")</f>
        <v>Чистый воздух, отличные дороги, тротуары, озеленение, уборка после собак</v>
      </c>
      <c r="O1405" s="6" t="str">
        <f>IFERROR(__xludf.DUMMYFUNCTION("""COMPUTED_VALUE"""),"Убрать проезд большегрузов по центральным улицам")</f>
        <v>Убрать проезд большегрузов по центральным улицам</v>
      </c>
      <c r="P1405" s="6" t="str">
        <f>IFERROR(__xludf.DUMMYFUNCTION("""COMPUTED_VALUE"""),"Группа вк")</f>
        <v>Группа вк</v>
      </c>
      <c r="Q1405"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1405" s="6" t="str">
        <f>IFERROR(__xludf.DUMMYFUNCTION("""COMPUTED_VALUE"""),"Презентации авто")</f>
        <v>Презентации авто</v>
      </c>
      <c r="S1405" s="6" t="str">
        <f>IFERROR(__xludf.DUMMYFUNCTION("""COMPUTED_VALUE"""),"Нет, не приходилось")</f>
        <v>Нет, не приходилось</v>
      </c>
      <c r="T1405" s="6" t="str">
        <f>IFERROR(__xludf.DUMMYFUNCTION("""COMPUTED_VALUE"""),"Уголь")</f>
        <v>Уголь</v>
      </c>
      <c r="U1405" s="6" t="str">
        <f>IFERROR(__xludf.DUMMYFUNCTION("""COMPUTED_VALUE"""),"Трубы грэс")</f>
        <v>Трубы грэс</v>
      </c>
      <c r="V1405" s="6" t="str">
        <f>IFERROR(__xludf.DUMMYFUNCTION("""COMPUTED_VALUE"""),"Ничего")</f>
        <v>Ничего</v>
      </c>
      <c r="W1405" s="6" t="str">
        <f>IFERROR(__xludf.DUMMYFUNCTION("""COMPUTED_VALUE"""),"Сейчас злые, завистливые и не довольные ")</f>
        <v>Сейчас злые, завистливые и не довольные </v>
      </c>
      <c r="X1405" s="6" t="str">
        <f>IFERROR(__xludf.DUMMYFUNCTION("""COMPUTED_VALUE"""),"Набережная")</f>
        <v>Набережная</v>
      </c>
      <c r="Y1405" s="6" t="str">
        <f>IFERROR(__xludf.DUMMYFUNCTION("""COMPUTED_VALUE"""),"Смена губернатора в 2018 году")</f>
        <v>Смена губернатора в 2018 году</v>
      </c>
      <c r="Z1405" s="6" t="str">
        <f>IFERROR(__xludf.DUMMYFUNCTION("""COMPUTED_VALUE"""),"Смена губернатора в 2018 году")</f>
        <v>Смена губернатора в 2018 году</v>
      </c>
      <c r="AA1405" s="6" t="str">
        <f>IFERROR(__xludf.DUMMYFUNCTION("""COMPUTED_VALUE"""),"Ничего")</f>
        <v>Ничего</v>
      </c>
      <c r="AB1405" s="6" t="str">
        <f>IFERROR(__xludf.DUMMYFUNCTION("""COMPUTED_VALUE"""),"Сообществ по улучшению и принятию идей в моем районе")</f>
        <v>Сообществ по улучшению и принятию идей в моем районе</v>
      </c>
      <c r="AC1405" s="6" t="str">
        <f>IFERROR(__xludf.DUMMYFUNCTION("""COMPUTED_VALUE"""),"Озеленение")</f>
        <v>Озеленение</v>
      </c>
      <c r="AD140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405" s="6" t="str">
        <f>IFERROR(__xludf.DUMMYFUNCTION("""COMPUTED_VALUE"""),"Женский")</f>
        <v>Женский</v>
      </c>
      <c r="AF1405" s="6" t="str">
        <f>IFERROR(__xludf.DUMMYFUNCTION("""COMPUTED_VALUE"""),"18-29")</f>
        <v>18-29</v>
      </c>
      <c r="AG1405" s="6"/>
      <c r="AH1405" s="6"/>
      <c r="AI1405" s="6"/>
      <c r="AJ1405" s="6"/>
      <c r="AK1405" s="6"/>
      <c r="AL1405" s="6"/>
      <c r="AM1405" s="6"/>
    </row>
    <row r="1406">
      <c r="A1406" s="6">
        <v>1405.0</v>
      </c>
      <c r="B1406" s="6" t="str">
        <f>IFERROR(__xludf.DUMMYFUNCTION("""COMPUTED_VALUE"""),"Мерчендайзер ")</f>
        <v>Мерчендайзер </v>
      </c>
      <c r="C1406" s="6" t="str">
        <f>IFERROR(__xludf.DUMMYFUNCTION("""COMPUTED_VALUE"""),"Чтение и прогулки ")</f>
        <v>Чтение и прогулки </v>
      </c>
      <c r="D1406" s="6" t="str">
        <f>IFERROR(__xludf.DUMMYFUNCTION("""COMPUTED_VALUE"""),"В Центральном. Никак не называю")</f>
        <v>В Центральном. Никак не называю</v>
      </c>
      <c r="E1406" s="6" t="str">
        <f>IFERROR(__xludf.DUMMYFUNCTION("""COMPUTED_VALUE"""),"ТРЦ Лапландия и будущая набережная с культурным кластером ")</f>
        <v>ТРЦ Лапландия и будущая набережная с культурным кластером </v>
      </c>
      <c r="F1406" s="6" t="str">
        <f>IFERROR(__xludf.DUMMYFUNCTION("""COMPUTED_VALUE"""),"Живу здесь с рождения")</f>
        <v>Живу здесь с рождения</v>
      </c>
      <c r="G1406" s="6" t="str">
        <f>IFERROR(__xludf.DUMMYFUNCTION("""COMPUTED_VALUE"""),"Сосновый Бор, Набережная, Лесная поляна.  Особо ходить в городе некуда, за красивой архитектурой и общественными пространствами едем в другие города ( миллионники)")</f>
        <v>Сосновый Бор, Набережная, Лесная поляна.  Особо ходить в городе некуда, за красивой архитектурой и общественными пространствами едем в другие города ( миллионники)</v>
      </c>
      <c r="H1406" s="6" t="str">
        <f>IFERROR(__xludf.DUMMYFUNCTION("""COMPUTED_VALUE"""),"Маленький,  нет интересной работы, заводы, Томь, ужасная архитектура,  панельки ")</f>
        <v>Маленький,  нет интересной работы, заводы, Томь, ужасная архитектура,  панельки </v>
      </c>
      <c r="I1406" s="6" t="str">
        <f>IFERROR(__xludf.DUMMYFUNCTION("""COMPUTED_VALUE"""),"Алексей Леонов ")</f>
        <v>Алексей Леонов </v>
      </c>
      <c r="J1406" s="6" t="str">
        <f>IFERROR(__xludf.DUMMYFUNCTION("""COMPUTED_VALUE"""),"А такие есть?")</f>
        <v>А такие есть?</v>
      </c>
      <c r="K1406" s="6" t="str">
        <f>IFERROR(__xludf.DUMMYFUNCTION("""COMPUTED_VALUE"""),"Только если лесную поляну ")</f>
        <v>Только если лесную поляну </v>
      </c>
      <c r="L1406" s="6" t="str">
        <f>IFERROR(__xludf.DUMMYFUNCTION("""COMPUTED_VALUE"""),"Где родился -там и пригодился. Хорошо там где нас нет ")</f>
        <v>Где родился -там и пригодился. Хорошо там где нас нет </v>
      </c>
      <c r="M1406" s="6" t="str">
        <f>IFERROR(__xludf.DUMMYFUNCTION("""COMPUTED_VALUE"""),"Что?!")</f>
        <v>Что?!</v>
      </c>
      <c r="N1406" s="6" t="str">
        <f>IFERROR(__xludf.DUMMYFUNCTION("""COMPUTED_VALUE"""),"Красивая архитектура; удобные общественные пространства, выполненные с учётом урбанистики; нет пробок;  чистый, новый экологичный общественный транспорт; наличие интересных компаний с высокой оплатой труда ")</f>
        <v>Красивая архитектура; удобные общественные пространства, выполненные с учётом урбанистики; нет пробок;  чистый, новый экологичный общественный транспорт; наличие интересных компаний с высокой оплатой труда </v>
      </c>
      <c r="O1406" s="6" t="str">
        <f>IFERROR(__xludf.DUMMYFUNCTION("""COMPUTED_VALUE"""),"Отвратительные серые обшарпанные панельки. Запретить кислотный ужас, который строит СДС. Запретить стройку многоэтажных гетто. Развить малоэтажное строительство. Привлечь топовые компании на рынок труда ")</f>
        <v>Отвратительные серые обшарпанные панельки. Запретить кислотный ужас, который строит СДС. Запретить стройку многоэтажных гетто. Развить малоэтажное строительство. Привлечь топовые компании на рынок труда </v>
      </c>
      <c r="P1406" s="6" t="str">
        <f>IFERROR(__xludf.DUMMYFUNCTION("""COMPUTED_VALUE"""),"ВК ( типичный Кемерово)")</f>
        <v>ВК ( типичный Кемерово)</v>
      </c>
      <c r="Q140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новости про новые профессии/куда поступать/вакан"&amp;"сии,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Например, современная урбанистик"&amp;"а")</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Например, современная урбанистика</v>
      </c>
      <c r="R1406" s="6" t="str">
        <f>IFERROR(__xludf.DUMMYFUNCTION("""COMPUTED_VALUE"""),"Никакие. Праздники для меня и моей семьи не связаны с городом ")</f>
        <v>Никакие. Праздники для меня и моей семьи не связаны с городом </v>
      </c>
      <c r="S1406" s="6" t="str">
        <f>IFERROR(__xludf.DUMMYFUNCTION("""COMPUTED_VALUE"""),"Нет, не приходилось")</f>
        <v>Нет, не приходилось</v>
      </c>
      <c r="T1406" s="6" t="str">
        <f>IFERROR(__xludf.DUMMYFUNCTION("""COMPUTED_VALUE"""),"Пожаром в Зимней Вишне. Коррупцией в угольном бизнесе ")</f>
        <v>Пожаром в Зимней Вишне. Коррупцией в угольном бизнесе </v>
      </c>
      <c r="U1406" s="6" t="str">
        <f>IFERROR(__xludf.DUMMYFUNCTION("""COMPUTED_VALUE"""),"Набережная ")</f>
        <v>Набережная </v>
      </c>
      <c r="V1406" s="6" t="str">
        <f>IFERROR(__xludf.DUMMYFUNCTION("""COMPUTED_VALUE"""),"Родился А. Леонов. Запустили производства. ")</f>
        <v>Родился А. Леонов. Запустили производства. </v>
      </c>
      <c r="W1406" s="6" t="str">
        <f>IFERROR(__xludf.DUMMYFUNCTION("""COMPUTED_VALUE"""),"Типичные представители небольших городов. Кемерово-маленькая деревня ")</f>
        <v>Типичные представители небольших городов. Кемерово-маленькая деревня </v>
      </c>
      <c r="X1406" s="6" t="str">
        <f>IFERROR(__xludf.DUMMYFUNCTION("""COMPUTED_VALUE"""),"Сосновый бор ")</f>
        <v>Сосновый бор </v>
      </c>
      <c r="Y1406" s="6" t="str">
        <f>IFERROR(__xludf.DUMMYFUNCTION("""COMPUTED_VALUE"""),"Я даже не могу вспомнить...пойду погуглю ")</f>
        <v>Я даже не могу вспомнить...пойду погуглю </v>
      </c>
      <c r="Z1406" s="6" t="str">
        <f>IFERROR(__xludf.DUMMYFUNCTION("""COMPUTED_VALUE"""),"Строительство новых удобных  современных ЖК от Промстроя и  Мера ")</f>
        <v>Строительство новых удобных  современных ЖК от Промстроя и  Мера </v>
      </c>
      <c r="AA1406" s="6" t="str">
        <f>IFERROR(__xludf.DUMMYFUNCTION("""COMPUTED_VALUE"""),"Пожар в Зимней Вишне ")</f>
        <v>Пожар в Зимней Вишне </v>
      </c>
      <c r="AB1406" s="6" t="str">
        <f>IFERROR(__xludf.DUMMYFUNCTION("""COMPUTED_VALUE"""),"Сообществ адекватных людей :)")</f>
        <v>Сообществ адекватных людей :)</v>
      </c>
      <c r="AC1406" s="6" t="str">
        <f>IFERROR(__xludf.DUMMYFUNCTION("""COMPUTED_VALUE"""),"Спортивные! С участием знаменитых команд. Выставки Экспо ( за ними едем в Новосибирск). Школ по обучению дизайну,  урбанистике,  современной архитектуре. Да что уж говорить, я даже на курсы бариста ездила в Новосибирск!")</f>
        <v>Спортивные! С участием знаменитых команд. Выставки Экспо ( за ними едем в Новосибирск). Школ по обучению дизайну,  урбанистике,  современной архитектуре. Да что уж говорить, я даже на курсы бариста ездила в Новосибирск!</v>
      </c>
      <c r="AD140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06" s="6" t="str">
        <f>IFERROR(__xludf.DUMMYFUNCTION("""COMPUTED_VALUE"""),"Женский")</f>
        <v>Женский</v>
      </c>
      <c r="AF1406" s="6" t="str">
        <f>IFERROR(__xludf.DUMMYFUNCTION("""COMPUTED_VALUE"""),"30-44")</f>
        <v>30-44</v>
      </c>
      <c r="AG1406" s="6"/>
      <c r="AH1406" s="6"/>
      <c r="AI1406" s="6"/>
      <c r="AJ1406" s="6"/>
      <c r="AK1406" s="6"/>
      <c r="AL1406" s="6"/>
      <c r="AM1406" s="6"/>
    </row>
    <row r="1407">
      <c r="A1407" s="6">
        <v>1406.0</v>
      </c>
      <c r="B1407" s="6" t="str">
        <f>IFERROR(__xludf.DUMMYFUNCTION("""COMPUTED_VALUE"""),"Учусь ")</f>
        <v>Учусь </v>
      </c>
      <c r="C1407" s="6" t="str">
        <f>IFERROR(__xludf.DUMMYFUNCTION("""COMPUTED_VALUE"""),"Танцы")</f>
        <v>Танцы</v>
      </c>
      <c r="D1407" s="6" t="str">
        <f>IFERROR(__xludf.DUMMYFUNCTION("""COMPUTED_VALUE"""),"Центральный - самый выкаблучный ")</f>
        <v>Центральный - самый выкаблучный </v>
      </c>
      <c r="E1407" s="6" t="str">
        <f>IFERROR(__xludf.DUMMYFUNCTION("""COMPUTED_VALUE"""),"ГлавПочтамт, Площадь Советов, Лапландия :)) ")</f>
        <v>ГлавПочтамт, Площадь Советов, Лапландия :)) </v>
      </c>
      <c r="F1407" s="6" t="str">
        <f>IFERROR(__xludf.DUMMYFUNCTION("""COMPUTED_VALUE"""),"Живу здесь с рождения")</f>
        <v>Живу здесь с рождения</v>
      </c>
      <c r="G1407" s="6" t="str">
        <f>IFERROR(__xludf.DUMMYFUNCTION("""COMPUTED_VALUE"""),"В тц, или кафе ")</f>
        <v>В тц, или кафе </v>
      </c>
      <c r="H1407" s="6" t="str">
        <f>IFERROR(__xludf.DUMMYFUNCTION("""COMPUTED_VALUE"""),"Уголь, Рак, Душнота, Холод, Скука")</f>
        <v>Уголь, Рак, Душнота, Холод, Скука</v>
      </c>
      <c r="I1407" s="6" t="str">
        <f>IFERROR(__xludf.DUMMYFUNCTION("""COMPUTED_VALUE"""),"Донбай, Гена Букин :)))) ")</f>
        <v>Донбай, Гена Букин :)))) </v>
      </c>
      <c r="J1407" s="6" t="str">
        <f>IFERROR(__xludf.DUMMYFUNCTION("""COMPUTED_VALUE"""),"Не знаю таких. ")</f>
        <v>Не знаю таких. </v>
      </c>
      <c r="K1407" s="6" t="str">
        <f>IFERROR(__xludf.DUMMYFUNCTION("""COMPUTED_VALUE"""),"Фонтан около Драм. Театра, Скульптура русалка на притом кой набережной ")</f>
        <v>Фонтан около Драм. Театра, Скульптура русалка на притом кой набережной </v>
      </c>
      <c r="L1407" s="6" t="str">
        <f>IFERROR(__xludf.DUMMYFUNCTION("""COMPUTED_VALUE"""),"Выпил чай - какая сила? Выпил чай - совсем ослаб. ")</f>
        <v>Выпил чай - какая сила? Выпил чай - совсем ослаб. </v>
      </c>
      <c r="M1407" s="6" t="str">
        <f>IFERROR(__xludf.DUMMYFUNCTION("""COMPUTED_VALUE"""),"""Опять этот смог, надышались уже"" ")</f>
        <v>"Опять этот смог, надышались уже" </v>
      </c>
      <c r="N1407" s="6" t="str">
        <f>IFERROR(__xludf.DUMMYFUNCTION("""COMPUTED_VALUE"""),"Образованность, Архитектурность, Современность, Толерантность, Обучение, Достойная оплата труда ")</f>
        <v>Образованность, Архитектурность, Современность, Толерантность, Обучение, Достойная оплата труда </v>
      </c>
      <c r="O1407" s="6" t="str">
        <f>IFERROR(__xludf.DUMMYFUNCTION("""COMPUTED_VALUE"""),"Я считаю - это дома. Вы посмотрите на лененский район - туда только заезжаешь, все такое серое, мрачное, только бульвар и спасает. Дома задают ритм жизни, и когда на душе и так плохо, то архитектура только добавляет плохого. ")</f>
        <v>Я считаю - это дома. Вы посмотрите на лененский район - туда только заезжаешь, все такое серое, мрачное, только бульвар и спасает. Дома задают ритм жизни, и когда на душе и так плохо, то архитектура только добавляет плохого. </v>
      </c>
      <c r="P1407" s="6" t="str">
        <f>IFERROR(__xludf.DUMMYFUNCTION("""COMPUTED_VALUE"""),"Слухи по городу, очень часто мимо проходящие люди говорят очень интересную информацию. ")</f>
        <v>Слухи по городу, очень часто мимо проходящие люди говорят очень интересную информацию. </v>
      </c>
      <c r="Q1407"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v>
      </c>
      <c r="R1407" s="6" t="str">
        <f>IFERROR(__xludf.DUMMYFUNCTION("""COMPUTED_VALUE"""),"Новый год? ")</f>
        <v>Новый год? </v>
      </c>
      <c r="S1407" s="6" t="str">
        <f>IFERROR(__xludf.DUMMYFUNCTION("""COMPUTED_VALUE"""),"Через социальные сети (Какие? Укажите в графе другое), Небольшие фестивали современной культуры и творчества ")</f>
        <v>Через социальные сети (Какие? Укажите в графе другое), Небольшие фестивали современной культуры и творчества </v>
      </c>
      <c r="T1407" s="6" t="str">
        <f>IFERROR(__xludf.DUMMYFUNCTION("""COMPUTED_VALUE"""),"По-моему, сейчас его помнят только из-за того, что здесь сгорела ""Зимняя Вишня"". Отвратительная ""слава"" ")</f>
        <v>По-моему, сейчас его помнят только из-за того, что здесь сгорела "Зимняя Вишня". Отвратительная "слава" </v>
      </c>
      <c r="U1407" s="6" t="str">
        <f>IFERROR(__xludf.DUMMYFUNCTION("""COMPUTED_VALUE"""),"Там где больше всего людей")</f>
        <v>Там где больше всего людей</v>
      </c>
      <c r="V1407" s="6" t="str">
        <f>IFERROR(__xludf.DUMMYFUNCTION("""COMPUTED_VALUE"""),"Культурный вклад")</f>
        <v>Культурный вклад</v>
      </c>
      <c r="W1407" s="6" t="str">
        <f>IFERROR(__xludf.DUMMYFUNCTION("""COMPUTED_VALUE"""),"Злые, как будто всех перед выходом на улицу с утра избивают и в душу плюют. Любят отдохнуть от суеты, очень любят шашлык)) и сибирские блины! ")</f>
        <v>Злые, как будто всех перед выходом на улицу с утра избивают и в душу плюют. Любят отдохнуть от суеты, очень любят шашлык)) и сибирские блины! </v>
      </c>
      <c r="X1407" s="6" t="str">
        <f>IFERROR(__xludf.DUMMYFUNCTION("""COMPUTED_VALUE"""),"Памятник волкову, центр, бульвар Строителей, лесная поляна")</f>
        <v>Памятник волкову, центр, бульвар Строителей, лесная поляна</v>
      </c>
      <c r="Y1407" s="6" t="str">
        <f>IFERROR(__xludf.DUMMYFUNCTION("""COMPUTED_VALUE"""),"Открытие угольных бассейнов ")</f>
        <v>Открытие угольных бассейнов </v>
      </c>
      <c r="Z1407" s="6" t="str">
        <f>IFERROR(__xludf.DUMMYFUNCTION("""COMPUTED_VALUE"""),"Смена губернатора, очень порадовало ")</f>
        <v>Смена губернатора, очень порадовало </v>
      </c>
      <c r="AA1407" s="6" t="str">
        <f>IFERROR(__xludf.DUMMYFUNCTION("""COMPUTED_VALUE"""),"Корона вирус. Хождение полицейских по районам, чтобы загонять людей обратно по домам. За то там где они нужны, их не дождёшься. ")</f>
        <v>Корона вирус. Хождение полицейских по районам, чтобы загонять людей обратно по домам. За то там где они нужны, их не дождёшься. </v>
      </c>
      <c r="AB1407" s="6" t="str">
        <f>IFERROR(__xludf.DUMMYFUNCTION("""COMPUTED_VALUE"""),"Молодёжных.... ")</f>
        <v>Молодёжных.... </v>
      </c>
      <c r="AC1407" s="6" t="str">
        <f>IFERROR(__xludf.DUMMYFUNCTION("""COMPUTED_VALUE"""),"Ох, не знаю. Любые, не исторические. Если постоянно смотреть в прошлое - то никогда не сконцентрируешься на настоящем и будущем. ")</f>
        <v>Ох, не знаю. Любые, не исторические. Если постоянно смотреть в прошлое - то никогда не сконцентрируешься на настоящем и будущем. </v>
      </c>
      <c r="AD1407"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Участник"&amp;"а: Поучаствовать в обсуждении улучшений, собраниях горожан;,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07" s="6" t="str">
        <f>IFERROR(__xludf.DUMMYFUNCTION("""COMPUTED_VALUE"""),"Женский")</f>
        <v>Женский</v>
      </c>
      <c r="AF1407" s="6" t="str">
        <f>IFERROR(__xludf.DUMMYFUNCTION("""COMPUTED_VALUE"""),"18-29")</f>
        <v>18-29</v>
      </c>
      <c r="AG1407" s="6"/>
      <c r="AH1407" s="6"/>
      <c r="AI1407" s="6"/>
      <c r="AJ1407" s="6"/>
      <c r="AK1407" s="6"/>
      <c r="AL1407" s="6"/>
      <c r="AM1407" s="6"/>
    </row>
    <row r="1408">
      <c r="A1408" s="6">
        <v>1407.0</v>
      </c>
      <c r="B1408" s="6" t="str">
        <f>IFERROR(__xludf.DUMMYFUNCTION("""COMPUTED_VALUE"""),"Торговля канцтоварами")</f>
        <v>Торговля канцтоварами</v>
      </c>
      <c r="C1408" s="6" t="str">
        <f>IFERROR(__xludf.DUMMYFUNCTION("""COMPUTED_VALUE"""),"Лепка из полимерной глины")</f>
        <v>Лепка из полимерной глины</v>
      </c>
      <c r="D1408" s="6" t="str">
        <f>IFERROR(__xludf.DUMMYFUNCTION("""COMPUTED_VALUE"""),"Ленинский")</f>
        <v>Ленинский</v>
      </c>
      <c r="E1408" s="6" t="str">
        <f>IFERROR(__xludf.DUMMYFUNCTION("""COMPUTED_VALUE"""),"Комсомольский парк им. Веры Волошиной, Бульвар строителей, Кузбасский парк, Красное озеро,")</f>
        <v>Комсомольский парк им. Веры Волошиной, Бульвар строителей, Кузбасский парк, Красное озеро,</v>
      </c>
      <c r="F1408" s="6" t="str">
        <f>IFERROR(__xludf.DUMMYFUNCTION("""COMPUTED_VALUE"""),"Живу здесь с рождения")</f>
        <v>Живу здесь с рождения</v>
      </c>
      <c r="G1408" s="6" t="str">
        <f>IFERROR(__xludf.DUMMYFUNCTION("""COMPUTED_VALUE"""),"Комсомольский парк им. Веры Волошиной, Бульвар строителей, Кузбасский парк, Красное озеро, Парк чудес, Набережная, Весенняя, Прогулки по всему городу. Набережная в кировском, Красная горка музей, Томская писаница, Сосновый бор, Кедровый бор, Хаскилэнд   с"&amp;". Елыкаево, ")</f>
        <v>Комсомольский парк им. Веры Волошиной, Бульвар строителей, Кузбасский парк, Красное озеро, Парк чудес, Набережная, Весенняя, Прогулки по всему городу. Набережная в кировском, Красная горка музей, Томская писаница, Сосновый бор, Кедровый бор, Хаскилэнд   с. Елыкаево, </v>
      </c>
      <c r="H1408" s="6" t="str">
        <f>IFERROR(__xludf.DUMMYFUNCTION("""COMPUTED_VALUE"""),"Азот, Весенька, Бульвар, Кировскй, Шелго")</f>
        <v>Азот, Весенька, Бульвар, Кировскй, Шелго</v>
      </c>
      <c r="I1408" s="6" t="str">
        <f>IFERROR(__xludf.DUMMYFUNCTION("""COMPUTED_VALUE"""),"Алексей Леонов, Вера Волошина, ")</f>
        <v>Алексей Леонов, Вера Волошина, </v>
      </c>
      <c r="J1408" s="6" t="str">
        <f>IFERROR(__xludf.DUMMYFUNCTION("""COMPUTED_VALUE"""),"Распродали?")</f>
        <v>Распродали?</v>
      </c>
      <c r="K1408" s="6" t="str">
        <f>IFERROR(__xludf.DUMMYFUNCTION("""COMPUTED_VALUE"""),"Просто что бы гордиться нет таких ну скучный у нас город.
Ботанический сад в убогом состоянии хоть и новый, Зоо-сада то же нет, Аквапарка снова нет, НИЧЕГО ХОРОШЕГО НЕТ. Заводы которые дышат на ладом??? Шахтерские городки с бедными людьми. ")</f>
        <v>Просто что бы гордиться нет таких ну скучный у нас город.
Ботанический сад в убогом состоянии хоть и новый, Зоо-сада то же нет, Аквапарка снова нет, НИЧЕГО ХОРОШЕГО НЕТ. Заводы которые дышат на ладом??? Шахтерские городки с бедными людьми. </v>
      </c>
      <c r="L1408" s="6" t="str">
        <f>IFERROR(__xludf.DUMMYFUNCTION("""COMPUTED_VALUE"""),"незнаю")</f>
        <v>незнаю</v>
      </c>
      <c r="M1408" s="6" t="str">
        <f>IFERROR(__xludf.DUMMYFUNCTION("""COMPUTED_VALUE"""),"КемеровО")</f>
        <v>КемеровО</v>
      </c>
      <c r="N1408" s="6" t="str">
        <f>IFERROR(__xludf.DUMMYFUNCTION("""COMPUTED_VALUE"""),"Рабочие места с достойной заработной платой, Чистота улиц(отремонтированные дороги, тратуары, дворы,детские площядки) с местами для отдыха(лавочки,урны,туалеты (платный ,бесплатные)),  Учебные заведения в том числе и дополнительного образования (детские с"&amp;"ады и школы оборудованные бассейнами), ")</f>
        <v>Рабочие места с достойной заработной платой, Чистота улиц(отремонтированные дороги, тратуары, дворы,детские площядки) с местами для отдыха(лавочки,урны,туалеты (платный ,бесплатные)),  Учебные заведения в том числе и дополнительного образования (детские сады и школы оборудованные бассейнами), </v>
      </c>
      <c r="O1408" s="6" t="str">
        <f>IFERROR(__xludf.DUMMYFUNCTION("""COMPUTED_VALUE"""),"Создать рабочие места, отремонтировать сады и школы, отремонтировать дороги и тротуары, поставить туалеты, лавочки, урны, площадки для выгула собак, аквапарк(хороший не меньше Новосибиского) создать Зоо-сад, ")</f>
        <v>Создать рабочие места, отремонтировать сады и школы, отремонтировать дороги и тротуары, поставить туалеты, лавочки, урны, площадки для выгула собак, аквапарк(хороший не меньше Новосибиского) создать Зоо-сад, </v>
      </c>
      <c r="P1408" s="6" t="str">
        <f>IFERROR(__xludf.DUMMYFUNCTION("""COMPUTED_VALUE"""),"социальные сети ВК, Инста ")</f>
        <v>социальные сети ВК, Инста </v>
      </c>
      <c r="Q1408" s="6" t="str">
        <f>IFERROR(__xludf.DUMMYFUNCTION("""COMPUTED_VALUE"""),"городская афиша (кино/театр/концерты), интервью с местными творческими личностями, новости про новые профессии/куда поступать/вакансии")</f>
        <v>городская афиша (кино/театр/концерты), интервью с местными творческими личностями, новости про новые профессии/куда поступать/вакансии</v>
      </c>
      <c r="R1408" s="6" t="str">
        <f>IFERROR(__xludf.DUMMYFUNCTION("""COMPUTED_VALUE"""),"День победы")</f>
        <v>День победы</v>
      </c>
      <c r="S1408" s="6" t="str">
        <f>IFERROR(__xludf.DUMMYFUNCTION("""COMPUTED_VALUE"""),"Нет, не приходилось")</f>
        <v>Нет, не приходилось</v>
      </c>
      <c r="T1408" s="6" t="str">
        <f>IFERROR(__xludf.DUMMYFUNCTION("""COMPUTED_VALUE"""),"С 2018 он знаменит только Зимней Вишней, до этого редко кто знал про наш город Кузбасс еще как  о на слуху но сам город Кемерово ни чем не знаменит.")</f>
        <v>С 2018 он знаменит только Зимней Вишней, до этого редко кто знал про наш город Кузбасс еще как  о на слуху но сам город Кемерово ни чем не знаменит.</v>
      </c>
      <c r="U1408" s="6" t="str">
        <f>IFERROR(__xludf.DUMMYFUNCTION("""COMPUTED_VALUE"""),"Набережная центрального района")</f>
        <v>Набережная центрального района</v>
      </c>
      <c r="V1408" s="6" t="str">
        <f>IFERROR(__xludf.DUMMYFUNCTION("""COMPUTED_VALUE"""),"Уехали )")</f>
        <v>Уехали )</v>
      </c>
      <c r="W1408" s="6" t="str">
        <f>IFERROR(__xludf.DUMMYFUNCTION("""COMPUTED_VALUE"""),"В зависимости от человека:  есть добрые отзывчивые, есть хитрые, есть наглые, есть независимые, есть хамоватые. ")</f>
        <v>В зависимости от человека:  есть добрые отзывчивые, есть хитрые, есть наглые, есть независимые, есть хамоватые. </v>
      </c>
      <c r="X1408" s="6" t="str">
        <f>IFERROR(__xludf.DUMMYFUNCTION("""COMPUTED_VALUE"""),"Парк чудес, Набережная, Красная горка, Сосновый бор.")</f>
        <v>Парк чудес, Набережная, Красная горка, Сосновый бор.</v>
      </c>
      <c r="Y1408" s="6" t="str">
        <f>IFERROR(__xludf.DUMMYFUNCTION("""COMPUTED_VALUE"""),"Зимняя вишня печальный самое жуткое событие за последнее время.")</f>
        <v>Зимняя вишня печальный самое жуткое событие за последнее время.</v>
      </c>
      <c r="Z1408" s="6" t="str">
        <f>IFERROR(__xludf.DUMMYFUNCTION("""COMPUTED_VALUE"""),"Никаких был один Open-Air но мы как раз уехали в Новосибирск в зоопарк и аквапарк.")</f>
        <v>Никаких был один Open-Air но мы как раз уехали в Новосибирск в зоопарк и аквапарк.</v>
      </c>
      <c r="AA1408" s="6" t="str">
        <f>IFERROR(__xludf.DUMMYFUNCTION("""COMPUTED_VALUE"""),"Зимняя вишня и митинг на центральной площади.")</f>
        <v>Зимняя вишня и митинг на центральной площади.</v>
      </c>
      <c r="AB1408" s="6" t="str">
        <f>IFERROR(__xludf.DUMMYFUNCTION("""COMPUTED_VALUE"""),"не знаю не задумывалась, интернет решает эту проблему.")</f>
        <v>не знаю не задумывалась, интернет решает эту проблему.</v>
      </c>
      <c r="AC1408" s="6" t="str">
        <f>IFERROR(__xludf.DUMMYFUNCTION("""COMPUTED_VALUE"""),"Хлеба, зрелищ? Людям нужны деньги вот ни секрет что если они начнут зарабатывать чуть больше чем им необходимо для сведения концов с концами. Они начнут активнее посещать театры премьеры, ходить на концерты, выставки.
Из бесплатных^
Open-Air Разных направ"&amp;"лений музыкального, театрального, танцевального искусства.
Крупные конкурсы желательно бесплатные, а не как мы сейчас  от800-1000 руб за выход ребенка на сцену ну вы понимаете да все опять в деньги")</f>
        <v>Хлеба, зрелищ? Людям нужны деньги вот ни секрет что если они начнут зарабатывать чуть больше чем им необходимо для сведения концов с концами. Они начнут активнее посещать театры премьеры, ходить на концерты, выставки.
Из бесплатных^
Open-Air Разных направлений музыкального, театрального, танцевального искусства.
Крупные конкурсы желательно бесплатные, а не как мы сейчас  от800-1000 руб за выход ребенка на сцену ну вы понимаете да все опять в деньги</v>
      </c>
      <c r="AD1408" s="6" t="str">
        <f>IFERROR(__xludf.DUMMYFUNCTION("""COMPUTED_VALUE"""),"Помочь на добровольных началах без денежных вложений с реализацией идей в качестве дизайнера. Разработка парков, зон отдыха.")</f>
        <v>Помочь на добровольных началах без денежных вложений с реализацией идей в качестве дизайнера. Разработка парков, зон отдыха.</v>
      </c>
      <c r="AE1408" s="6" t="str">
        <f>IFERROR(__xludf.DUMMYFUNCTION("""COMPUTED_VALUE"""),"Женский")</f>
        <v>Женский</v>
      </c>
      <c r="AF1408" s="6" t="str">
        <f>IFERROR(__xludf.DUMMYFUNCTION("""COMPUTED_VALUE"""),"30-44")</f>
        <v>30-44</v>
      </c>
      <c r="AG1408" s="6"/>
      <c r="AH1408" s="6"/>
      <c r="AI1408" s="6"/>
      <c r="AJ1408" s="6"/>
      <c r="AK1408" s="6"/>
      <c r="AL1408" s="6"/>
      <c r="AM1408" s="6"/>
    </row>
    <row r="1409">
      <c r="A1409" s="6">
        <v>1408.0</v>
      </c>
      <c r="B1409" s="6" t="str">
        <f>IFERROR(__xludf.DUMMYFUNCTION("""COMPUTED_VALUE"""),"Экономист ")</f>
        <v>Экономист </v>
      </c>
      <c r="C1409" s="6" t="str">
        <f>IFERROR(__xludf.DUMMYFUNCTION("""COMPUTED_VALUE"""),"Рисовать, собака, сериалы, подруги, готовка")</f>
        <v>Рисовать, собака, сериалы, подруги, готовка</v>
      </c>
      <c r="D1409" s="6" t="str">
        <f>IFERROR(__xludf.DUMMYFUNCTION("""COMPUTED_VALUE"""),"Южный ")</f>
        <v>Южный </v>
      </c>
      <c r="E1409" s="6" t="str">
        <f>IFERROR(__xludf.DUMMYFUNCTION("""COMPUTED_VALUE"""),"Центр, бульвар строителей")</f>
        <v>Центр, бульвар строителей</v>
      </c>
      <c r="F1409" s="6" t="str">
        <f>IFERROR(__xludf.DUMMYFUNCTION("""COMPUTED_VALUE"""),"Переехал сюда из другого места (откуда? укажите в графе другое), Осинники")</f>
        <v>Переехал сюда из другого места (откуда? укажите в графе другое), Осинники</v>
      </c>
      <c r="G1409" s="6" t="str">
        <f>IFERROR(__xludf.DUMMYFUNCTION("""COMPUTED_VALUE"""),"Южный, центр, бульвар строителей")</f>
        <v>Южный, центр, бульвар строителей</v>
      </c>
      <c r="H1409" s="6" t="str">
        <f>IFERROR(__xludf.DUMMYFUNCTION("""COMPUTED_VALUE"""),"Уголь, промышленность, набережная, азот")</f>
        <v>Уголь, промышленность, набережная, азот</v>
      </c>
      <c r="I1409" s="6" t="str">
        <f>IFERROR(__xludf.DUMMYFUNCTION("""COMPUTED_VALUE"""),"Логинов, Вера Волошина")</f>
        <v>Логинов, Вера Волошина</v>
      </c>
      <c r="J1409" s="6" t="str">
        <f>IFERROR(__xludf.DUMMYFUNCTION("""COMPUTED_VALUE"""),"Логинов")</f>
        <v>Логинов</v>
      </c>
      <c r="K1409" s="6" t="str">
        <f>IFERROR(__xludf.DUMMYFUNCTION("""COMPUTED_VALUE"""),"Лесная поляна ")</f>
        <v>Лесная поляна </v>
      </c>
      <c r="L1409" s="6" t="str">
        <f>IFERROR(__xludf.DUMMYFUNCTION("""COMPUTED_VALUE"""),"Не знаю")</f>
        <v>Не знаю</v>
      </c>
      <c r="M1409" s="6" t="str">
        <f>IFERROR(__xludf.DUMMYFUNCTION("""COMPUTED_VALUE"""),"Не знаю")</f>
        <v>Не знаю</v>
      </c>
      <c r="N1409" s="6" t="str">
        <f>IFERROR(__xludf.DUMMYFUNCTION("""COMPUTED_VALUE"""),"Благоустройство, чистота, зелень, свежая краска на домах")</f>
        <v>Благоустройство, чистота, зелень, свежая краска на домах</v>
      </c>
      <c r="O1409" s="6" t="str">
        <f>IFERROR(__xludf.DUMMYFUNCTION("""COMPUTED_VALUE"""),"Привести в порядок старые дома")</f>
        <v>Привести в порядок старые дома</v>
      </c>
      <c r="P1409" s="6" t="str">
        <f>IFERROR(__xludf.DUMMYFUNCTION("""COMPUTED_VALUE"""),"Инстаграмм, телеграмм")</f>
        <v>Инстаграмм, телеграмм</v>
      </c>
      <c r="Q1409" s="6" t="str">
        <f>IFERROR(__xludf.DUMMYFUNCTION("""COMPUTED_VALUE"""),"где вкусно поесть/открытие новых кафе/ресторанов, городская афиша (кино/театр/концерты), интервью с местными творческими личностями")</f>
        <v>где вкусно поесть/открытие новых кафе/ресторанов, городская афиша (кино/театр/концерты), интервью с местными творческими личностями</v>
      </c>
      <c r="R1409" s="6" t="str">
        <f>IFERROR(__xludf.DUMMYFUNCTION("""COMPUTED_VALUE"""),"День города")</f>
        <v>День города</v>
      </c>
      <c r="S1409" s="6" t="str">
        <f>IFERROR(__xludf.DUMMYFUNCTION("""COMPUTED_VALUE"""),"Нет, не приходилось")</f>
        <v>Нет, не приходилось</v>
      </c>
      <c r="T1409" s="6" t="str">
        <f>IFERROR(__xludf.DUMMYFUNCTION("""COMPUTED_VALUE"""),"Областной центр")</f>
        <v>Областной центр</v>
      </c>
      <c r="U1409" s="6" t="str">
        <f>IFERROR(__xludf.DUMMYFUNCTION("""COMPUTED_VALUE"""),"Площадь ")</f>
        <v>Площадь </v>
      </c>
      <c r="V1409" s="6" t="str">
        <f>IFERROR(__xludf.DUMMYFUNCTION("""COMPUTED_VALUE"""),"Добыча угля")</f>
        <v>Добыча угля</v>
      </c>
      <c r="W1409" s="6" t="str">
        <f>IFERROR(__xludf.DUMMYFUNCTION("""COMPUTED_VALUE"""),"Добрые, веселые, нечистоплотные ")</f>
        <v>Добрые, веселые, нечистоплотные </v>
      </c>
      <c r="X1409" s="6" t="str">
        <f>IFERROR(__xludf.DUMMYFUNCTION("""COMPUTED_VALUE"""),"От лесной поляны до центра")</f>
        <v>От лесной поляны до центра</v>
      </c>
      <c r="Y1409" s="6" t="str">
        <f>IFERROR(__xludf.DUMMYFUNCTION("""COMPUTED_VALUE"""),"Не знаю")</f>
        <v>Не знаю</v>
      </c>
      <c r="Z1409" s="6" t="str">
        <f>IFERROR(__xludf.DUMMYFUNCTION("""COMPUTED_VALUE"""),"Открытие новых заведений, новые события")</f>
        <v>Открытие новых заведений, новые события</v>
      </c>
      <c r="AA1409" s="6" t="str">
        <f>IFERROR(__xludf.DUMMYFUNCTION("""COMPUTED_VALUE"""),"Пожары, грязный воздух ")</f>
        <v>Пожары, грязный воздух </v>
      </c>
      <c r="AB1409" s="6" t="str">
        <f>IFERROR(__xludf.DUMMYFUNCTION("""COMPUTED_VALUE"""),"Не знаю ")</f>
        <v>Не знаю </v>
      </c>
      <c r="AC1409" s="6" t="str">
        <f>IFERROR(__xludf.DUMMYFUNCTION("""COMPUTED_VALUE"""),"Концерты, новые постановки в теартрах")</f>
        <v>Концерты, новые постановки в теартрах</v>
      </c>
      <c r="AD1409"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409" s="6" t="str">
        <f>IFERROR(__xludf.DUMMYFUNCTION("""COMPUTED_VALUE"""),"Женский")</f>
        <v>Женский</v>
      </c>
      <c r="AF1409" s="6" t="str">
        <f>IFERROR(__xludf.DUMMYFUNCTION("""COMPUTED_VALUE"""),"18-29")</f>
        <v>18-29</v>
      </c>
      <c r="AG1409" s="6"/>
      <c r="AH1409" s="6"/>
      <c r="AI1409" s="6"/>
      <c r="AJ1409" s="6"/>
      <c r="AK1409" s="6"/>
      <c r="AL1409" s="6"/>
      <c r="AM1409" s="6"/>
    </row>
    <row r="1410">
      <c r="A1410" s="6">
        <v>1409.0</v>
      </c>
      <c r="B1410" s="6" t="str">
        <f>IFERROR(__xludf.DUMMYFUNCTION("""COMPUTED_VALUE"""),"сфера культуры")</f>
        <v>сфера культуры</v>
      </c>
      <c r="C1410" s="6" t="str">
        <f>IFERROR(__xludf.DUMMYFUNCTION("""COMPUTED_VALUE"""),"чтение")</f>
        <v>чтение</v>
      </c>
      <c r="D1410" s="6" t="str">
        <f>IFERROR(__xludf.DUMMYFUNCTION("""COMPUTED_VALUE"""),"Лесная Поляна")</f>
        <v>Лесная Поляна</v>
      </c>
      <c r="E1410" s="6" t="str">
        <f>IFERROR(__xludf.DUMMYFUNCTION("""COMPUTED_VALUE"""),"Сама Лесная Поляна - знаковое место")</f>
        <v>Сама Лесная Поляна - знаковое место</v>
      </c>
      <c r="F1410" s="6" t="str">
        <f>IFERROR(__xludf.DUMMYFUNCTION("""COMPUTED_VALUE"""),"Переехал сюда из другого места (откуда? укажите в графе другое), Томская область, уехала в Кемерово учиться и осталась здесь")</f>
        <v>Переехал сюда из другого места (откуда? укажите в графе другое), Томская область, уехала в Кемерово учиться и осталась здесь</v>
      </c>
      <c r="G1410" s="6" t="str">
        <f>IFERROR(__xludf.DUMMYFUNCTION("""COMPUTED_VALUE"""),"библиотеки, музеи, театры, кинотеатры,  парки, ")</f>
        <v>библиотеки, музеи, театры, кинотеатры,  парки, </v>
      </c>
      <c r="H1410" s="6" t="str">
        <f>IFERROR(__xludf.DUMMYFUNCTION("""COMPUTED_VALUE"""),"Чистота, уют, камерность, цветущая сирень/черемуха, городская скульптура")</f>
        <v>Чистота, уют, камерность, цветущая сирень/черемуха, городская скульптура</v>
      </c>
      <c r="I1410" s="6" t="str">
        <f>IFERROR(__xludf.DUMMYFUNCTION("""COMPUTED_VALUE"""),"М. Волков, В. Мартемьянов, герои Великой Отечественной войны ")</f>
        <v>М. Волков, В. Мартемьянов, герои Великой Отечественной войны </v>
      </c>
      <c r="J1410" s="6" t="str">
        <f>IFERROR(__xludf.DUMMYFUNCTION("""COMPUTED_VALUE"""),"мэр В.В. Михайлов (который сделал город чистым и комфортным), актер, режиссер, писатель Е. Гришковец (который прославил город), поэт А. Дронова (вся жизнь которой  - пример преодоления себя, болезни и обстоятельств, ее сила духа восхищает и вдохновляет)")</f>
        <v>мэр В.В. Михайлов (который сделал город чистым и комфортным), актер, режиссер, писатель Е. Гришковец (который прославил город), поэт А. Дронова (вся жизнь которой  - пример преодоления себя, болезни и обстоятельств, ее сила духа восхищает и вдохновляет)</v>
      </c>
      <c r="K1410" s="6" t="str">
        <f>IFERROR(__xludf.DUMMYFUNCTION("""COMPUTED_VALUE"""),"Красная Горка, Лесная Поляна, исторический центр")</f>
        <v>Красная Горка, Лесная Поляна, исторический центр</v>
      </c>
      <c r="L1410" s="6" t="str">
        <f>IFERROR(__xludf.DUMMYFUNCTION("""COMPUTED_VALUE"""),"Приезжие удивляются, как сибиряки в мороз -30 мороженое едят.")</f>
        <v>Приезжие удивляются, как сибиряки в мороз -30 мороженое едят.</v>
      </c>
      <c r="M1410" s="6" t="str">
        <f>IFERROR(__xludf.DUMMYFUNCTION("""COMPUTED_VALUE"""),"связанные с местами - например, ""встретимся возле яшки"" (торговый центр Я); весенька и осенька (пр. Весенний и б-р Осенний в Лесной Поляне)...")</f>
        <v>связанные с местами - например, "встретимся возле яшки" (торговый центр Я); весенька и осенька (пр. Весенний и б-р Осенний в Лесной Поляне)...</v>
      </c>
      <c r="N1410" s="6" t="str">
        <f>IFERROR(__xludf.DUMMYFUNCTION("""COMPUTED_VALUE"""),"Чистота, красота, безопасность, транспортная доступность, отсутствие пробок, ")</f>
        <v>Чистота, красота, безопасность, транспортная доступность, отсутствие пробок, </v>
      </c>
      <c r="O1410" s="6" t="str">
        <f>IFERROR(__xludf.DUMMYFUNCTION("""COMPUTED_VALUE"""),"Остановки - грязные; обшарпанные дома в историческом центре; мусор на улицах  ")</f>
        <v>Остановки - грязные; обшарпанные дома в историческом центре; мусор на улицах  </v>
      </c>
      <c r="P1410" s="6" t="str">
        <f>IFERROR(__xludf.DUMMYFUNCTION("""COMPUTED_VALUE"""),"ВСе42, А42, сайт газеты Кузбасс, сайты учреждений культуры")</f>
        <v>ВСе42, А42, сайт газеты Кузбасс, сайты учреждений культуры</v>
      </c>
      <c r="Q1410"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410" s="6" t="str">
        <f>IFERROR(__xludf.DUMMYFUNCTION("""COMPUTED_VALUE"""),"День Победы")</f>
        <v>День Победы</v>
      </c>
      <c r="S1410" s="6" t="str">
        <f>IFERROR(__xludf.DUMMYFUNCTION("""COMPUTED_VALUE"""),"Нет, не приходилось")</f>
        <v>Нет, не приходилось</v>
      </c>
      <c r="T1410" s="6" t="str">
        <f>IFERROR(__xludf.DUMMYFUNCTION("""COMPUTED_VALUE"""),"Люди.")</f>
        <v>Люди.</v>
      </c>
      <c r="U1410" s="6" t="str">
        <f>IFERROR(__xludf.DUMMYFUNCTION("""COMPUTED_VALUE"""),"Набережная, ул. Весенняя, Красная Горка.")</f>
        <v>Набережная, ул. Весенняя, Красная Горка.</v>
      </c>
      <c r="V1410" s="6" t="str">
        <f>IFERROR(__xludf.DUMMYFUNCTION("""COMPUTED_VALUE"""),"Жили здесь.")</f>
        <v>Жили здесь.</v>
      </c>
      <c r="W1410" s="6" t="str">
        <f>IFERROR(__xludf.DUMMYFUNCTION("""COMPUTED_VALUE"""),"Сибирский характер, ум, внешняя суровость, внутренняя душевность")</f>
        <v>Сибирский характер, ум, внешняя суровость, внутренняя душевность</v>
      </c>
      <c r="X1410" s="6" t="str">
        <f>IFERROR(__xludf.DUMMYFUNCTION("""COMPUTED_VALUE"""),"Исторический центр (Советский, Весенняя, набережная) - Красная Горка")</f>
        <v>Исторический центр (Советский, Весенняя, набережная) - Красная Горка</v>
      </c>
      <c r="Y1410" s="6" t="str">
        <f>IFERROR(__xludf.DUMMYFUNCTION("""COMPUTED_VALUE"""),"АИК Кузбасс")</f>
        <v>АИК Кузбасс</v>
      </c>
      <c r="Z1410" s="6" t="str">
        <f>IFERROR(__xludf.DUMMYFUNCTION("""COMPUTED_VALUE"""),"Дни Шукшина")</f>
        <v>Дни Шукшина</v>
      </c>
      <c r="AA1410" s="6" t="str">
        <f>IFERROR(__xludf.DUMMYFUNCTION("""COMPUTED_VALUE"""),"-")</f>
        <v>-</v>
      </c>
      <c r="AB1410" s="6" t="str">
        <f>IFERROR(__xludf.DUMMYFUNCTION("""COMPUTED_VALUE"""),"культурных)))")</f>
        <v>культурных)))</v>
      </c>
      <c r="AC1410" s="6" t="str">
        <f>IFERROR(__xludf.DUMMYFUNCTION("""COMPUTED_VALUE"""),"Спортивные. Культурные. Танцевальные - для молодежи. ")</f>
        <v>Спортивные. Культурные. Танцевальные - для молодежи. </v>
      </c>
      <c r="AD1410"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410" s="6" t="str">
        <f>IFERROR(__xludf.DUMMYFUNCTION("""COMPUTED_VALUE"""),"Женский")</f>
        <v>Женский</v>
      </c>
      <c r="AF1410" s="6" t="str">
        <f>IFERROR(__xludf.DUMMYFUNCTION("""COMPUTED_VALUE"""),"45-55")</f>
        <v>45-55</v>
      </c>
      <c r="AG1410" s="6"/>
      <c r="AH1410" s="6"/>
      <c r="AI1410" s="6"/>
      <c r="AJ1410" s="6"/>
      <c r="AK1410" s="6"/>
      <c r="AL1410" s="6"/>
      <c r="AM1410" s="6"/>
    </row>
    <row r="1411">
      <c r="A1411" s="6">
        <v>1410.0</v>
      </c>
      <c r="B1411" s="6" t="str">
        <f>IFERROR(__xludf.DUMMYFUNCTION("""COMPUTED_VALUE"""),"Медицина")</f>
        <v>Медицина</v>
      </c>
      <c r="C1411" s="6" t="str">
        <f>IFERROR(__xludf.DUMMYFUNCTION("""COMPUTED_VALUE"""),"Экоактивизм")</f>
        <v>Экоактивизм</v>
      </c>
      <c r="D1411" s="6" t="str">
        <f>IFERROR(__xludf.DUMMYFUNCTION("""COMPUTED_VALUE"""),"Ленинский")</f>
        <v>Ленинский</v>
      </c>
      <c r="E1411" s="6" t="str">
        <f>IFERROR(__xludf.DUMMYFUNCTION("""COMPUTED_VALUE"""),"ГЦС Кузбасс, Кузбасский парк, выход к реке Томь")</f>
        <v>ГЦС Кузбасс, Кузбасский парк, выход к реке Томь</v>
      </c>
      <c r="F1411" s="6" t="str">
        <f>IFERROR(__xludf.DUMMYFUNCTION("""COMPUTED_VALUE"""),"Переехал сюда из другого места (откуда? укажите в графе другое), Живу 12 лет, приехала из Прокопьевска получать образование")</f>
        <v>Переехал сюда из другого места (откуда? укажите в графе другое), Живу 12 лет, приехала из Прокопьевска получать образование</v>
      </c>
      <c r="G1411" s="6" t="str">
        <f>IFERROR(__xludf.DUMMYFUNCTION("""COMPUTED_VALUE"""),"Сосновый бор, ТЦ Лето, набережная (центральная и на правом берегу), парк Ангелов, котокафе Плюшка")</f>
        <v>Сосновый бор, ТЦ Лето, набережная (центральная и на правом берегу), парк Ангелов, котокафе Плюшка</v>
      </c>
      <c r="H1411" s="6" t="str">
        <f>IFERROR(__xludf.DUMMYFUNCTION("""COMPUTED_VALUE"""),"Самокат, черемша, искитимские утки, пожар, лиственница")</f>
        <v>Самокат, черемша, искитимские утки, пожар, лиственница</v>
      </c>
      <c r="I1411" s="6" t="str">
        <f>IFERROR(__xludf.DUMMYFUNCTION("""COMPUTED_VALUE"""),"Леонов, Подгорбунский, Шорников")</f>
        <v>Леонов, Подгорбунский, Шорников</v>
      </c>
      <c r="J1411" s="6" t="str">
        <f>IFERROR(__xludf.DUMMYFUNCTION("""COMPUTED_VALUE"""),"Аман Тулеев, Ирина Беломестнова, Гришковец, А. Турчанинова")</f>
        <v>Аман Тулеев, Ирина Беломестнова, Гришковец, А. Турчанинова</v>
      </c>
      <c r="K1411" s="6" t="str">
        <f>IFERROR(__xludf.DUMMYFUNCTION("""COMPUTED_VALUE"""),"Ботанический сад, парк Ангелов, котокафе Плюшка")</f>
        <v>Ботанический сад, парк Ангелов, котокафе Плюшка</v>
      </c>
      <c r="L1411" s="6" t="str">
        <f>IFERROR(__xludf.DUMMYFUNCTION("""COMPUTED_VALUE"""),"Затрудняюсь ответить")</f>
        <v>Затрудняюсь ответить</v>
      </c>
      <c r="M1411" s="6" t="str">
        <f>IFERROR(__xludf.DUMMYFUNCTION("""COMPUTED_VALUE"""),"Нет")</f>
        <v>Нет</v>
      </c>
      <c r="N1411" s="6" t="str">
        <f>IFERROR(__xludf.DUMMYFUNCTION("""COMPUTED_VALUE"""),"Качественное образование, медицина, транспорт, культурная среда, спортивные клубы")</f>
        <v>Качественное образование, медицина, транспорт, культурная среда, спортивные клубы</v>
      </c>
      <c r="O1411" s="6" t="str">
        <f>IFERROR(__xludf.DUMMYFUNCTION("""COMPUTED_VALUE"""),"Сознание людей, воспитание в них ответственности за беззащитных. Культуру обращения с отходами")</f>
        <v>Сознание людей, воспитание в них ответственности за беззащитных. Культуру обращения с отходами</v>
      </c>
      <c r="P1411" s="6" t="str">
        <f>IFERROR(__xludf.DUMMYFUNCTION("""COMPUTED_VALUE"""),"Инстаграм, афиша всё 42")</f>
        <v>Инстаграм, афиша всё 42</v>
      </c>
      <c r="Q1411" s="6" t="str">
        <f>IFERROR(__xludf.DUMMYFUNCTION("""COMPUTED_VALUE"""),"городская афиша (кино/театр/концерты), интервью с экспертами на разные темы (напишите в разделе Другое свои предложения), Экопросвещение, новости в сфере зоозащиты")</f>
        <v>городская афиша (кино/театр/концерты), интервью с экспертами на разные темы (напишите в разделе Другое свои предложения), Экопросвещение, новости в сфере зоозащиты</v>
      </c>
      <c r="R1411" s="6" t="str">
        <f>IFERROR(__xludf.DUMMYFUNCTION("""COMPUTED_VALUE"""),"Парад Победы, экологическая акция Час Земл")</f>
        <v>Парад Победы, экологическая акция Час Земл</v>
      </c>
      <c r="S1411" s="6" t="str">
        <f>IFERROR(__xludf.DUMMYFUNCTION("""COMPUTED_VALUE"""),"Нет, не приходилось")</f>
        <v>Нет, не приходилось</v>
      </c>
      <c r="T1411" s="6" t="str">
        <f>IFERROR(__xludf.DUMMYFUNCTION("""COMPUTED_VALUE"""),"К сожалению, знаменит трагичным событием - пожаром в Зимней вишне")</f>
        <v>К сожалению, знаменит трагичным событием - пожаром в Зимней вишне</v>
      </c>
      <c r="U1411" s="6" t="str">
        <f>IFERROR(__xludf.DUMMYFUNCTION("""COMPUTED_VALUE"""),"Площадь советов")</f>
        <v>Площадь советов</v>
      </c>
      <c r="V1411" s="6" t="str">
        <f>IFERROR(__xludf.DUMMYFUNCTION("""COMPUTED_VALUE"""),"Затрудняюсь ответить")</f>
        <v>Затрудняюсь ответить</v>
      </c>
      <c r="W1411" s="6" t="str">
        <f>IFERROR(__xludf.DUMMYFUNCTION("""COMPUTED_VALUE"""),"Приветливые, жизнерадостные, активные, но жадные, эгоистичные и невоспитанные")</f>
        <v>Приветливые, жизнерадостные, активные, но жадные, эгоистичные и невоспитанные</v>
      </c>
      <c r="X1411" s="6" t="str">
        <f>IFERROR(__xludf.DUMMYFUNCTION("""COMPUTED_VALUE"""),"Парк Ангелов - ботанический сад - хаски Лэнд - набережная на правом берегу")</f>
        <v>Парк Ангелов - ботанический сад - хаски Лэнд - набережная на правом берегу</v>
      </c>
      <c r="Y1411" s="6" t="str">
        <f>IFERROR(__xludf.DUMMYFUNCTION("""COMPUTED_VALUE"""),"Концерт В.Цоя")</f>
        <v>Концерт В.Цоя</v>
      </c>
      <c r="Z1411" s="6" t="str">
        <f>IFERROR(__xludf.DUMMYFUNCTION("""COMPUTED_VALUE"""),"Спасение собаки с застрявшей консервной банкой в пасти")</f>
        <v>Спасение собаки с застрявшей консервной банкой в пасти</v>
      </c>
      <c r="AA1411" s="6" t="str">
        <f>IFERROR(__xludf.DUMMYFUNCTION("""COMPUTED_VALUE"""),"Аномальные морозы в зиму 20/21, весенний праздник мусора в каждом дворе 2021")</f>
        <v>Аномальные морозы в зиму 20/21, весенний праздник мусора в каждом дворе 2021</v>
      </c>
      <c r="AB1411" s="6" t="str">
        <f>IFERROR(__xludf.DUMMYFUNCTION("""COMPUTED_VALUE"""),"Экологических, благотворительных")</f>
        <v>Экологических, благотворительных</v>
      </c>
      <c r="AC1411" s="6" t="str">
        <f>IFERROR(__xludf.DUMMYFUNCTION("""COMPUTED_VALUE"""),"Экологические, благотворительные")</f>
        <v>Экологические, благотворительные</v>
      </c>
      <c r="AD1411"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Участник"&amp;"а: Поучаствовать в обсуждении улучшений, собраниях горожан;, Волонтера: оказать любую посильную помощь непосредственно во время реализации проекта, Тема - безопасной окружающая среда")</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Тема - безопасной окружающая среда</v>
      </c>
      <c r="AE1411" s="6" t="str">
        <f>IFERROR(__xludf.DUMMYFUNCTION("""COMPUTED_VALUE"""),"Женский")</f>
        <v>Женский</v>
      </c>
      <c r="AF1411" s="6" t="str">
        <f>IFERROR(__xludf.DUMMYFUNCTION("""COMPUTED_VALUE"""),"30-44")</f>
        <v>30-44</v>
      </c>
      <c r="AG1411" s="6"/>
      <c r="AH1411" s="6"/>
      <c r="AI1411" s="6"/>
      <c r="AJ1411" s="6"/>
      <c r="AK1411" s="6"/>
      <c r="AL1411" s="6"/>
      <c r="AM1411" s="6"/>
    </row>
    <row r="1412">
      <c r="A1412" s="6">
        <v>1411.0</v>
      </c>
      <c r="B1412" s="6" t="str">
        <f>IFERROR(__xludf.DUMMYFUNCTION("""COMPUTED_VALUE"""),"Семья, работа, хобби")</f>
        <v>Семья, работа, хобби</v>
      </c>
      <c r="C1412" s="6" t="str">
        <f>IFERROR(__xludf.DUMMYFUNCTION("""COMPUTED_VALUE"""),"Велосипед, туризм, экология, рыбалка, огород, поход за грибами")</f>
        <v>Велосипед, туризм, экология, рыбалка, огород, поход за грибами</v>
      </c>
      <c r="D1412" s="6" t="str">
        <f>IFERROR(__xludf.DUMMYFUNCTION("""COMPUTED_VALUE"""),"Ленинский район (пересечение Ленинградского и Ленина), несмотря на то, что дом находится не совсем на территории Шалготарьяна, все равно говорю, что в Шалготарьяне. Хотя многие называют Кольцом ")</f>
        <v>Ленинский район (пересечение Ленинградского и Ленина), несмотря на то, что дом находится не совсем на территории Шалготарьяна, все равно говорю, что в Шалготарьяне. Хотя многие называют Кольцом </v>
      </c>
      <c r="E1412" s="6" t="str">
        <f>IFERROR(__xludf.DUMMYFUNCTION("""COMPUTED_VALUE"""),"Бульвар Строителей, спортивный центр Кузбасс, Кузбасский парк, Красное озеро, Кадетское училище, Шалготарьян (фонтан), Святой источник на озере Суховском, Ботанический сад, тц Лапландия, ЖК Восточный, Мечеть, Леруа Мерлен, куча кольцевых теперь, детская ж"&amp;"елезная дорога, Сельхозакадемия, КемТИПП, наверняка что то ещё ")</f>
        <v>Бульвар Строителей, спортивный центр Кузбасс, Кузбасский парк, Красное озеро, Кадетское училище, Шалготарьян (фонтан), Святой источник на озере Суховском, Ботанический сад, тц Лапландия, ЖК Восточный, Мечеть, Леруа Мерлен, куча кольцевых теперь, детская железная дорога, Сельхозакадемия, КемТИПП, наверняка что то ещё </v>
      </c>
      <c r="F1412" s="6" t="str">
        <f>IFERROR(__xludf.DUMMYFUNCTION("""COMPUTED_VALUE"""),"Переехал сюда из другого места (откуда? укажите в графе другое), Живу тут 20 лет, родилась и выросла в посёлке Пригородном Кемеровского района, переехала ухаживать за родным дедушкой, и для самостоятельной жизнью")</f>
        <v>Переехал сюда из другого места (откуда? укажите в графе другое), Живу тут 20 лет, родилась и выросла в посёлке Пригородном Кемеровского района, переехала ухаживать за родным дедушкой, и для самостоятельной жизнью</v>
      </c>
      <c r="G1412" s="6" t="str">
        <f>IFERROR(__xludf.DUMMYFUNCTION("""COMPUTED_VALUE"""),"В фитнес-клуб, в музыкальный театр им. Боброва, на концерты, на экологические мероприятия, но основную значительную часть свободного времени посвящаю велосипеду. Была бы соответствующая вело-инфраструктура, на все вышеупомянутые мероприятия ездила бы на в"&amp;"елосипеде. ")</f>
        <v>В фитнес-клуб, в музыкальный театр им. Боброва, на концерты, на экологические мероприятия, но основную значительную часть свободного времени посвящаю велосипеду. Была бы соответствующая вело-инфраструктура, на все вышеупомянутые мероприятия ездила бы на велосипеде. </v>
      </c>
      <c r="H1412" s="6" t="str">
        <f>IFERROR(__xludf.DUMMYFUNCTION("""COMPUTED_VALUE"""),"пиво (везде продают, везде пьют), велосипедисты (спортсмены, любители, трюкачи), моржевание, заводчане, лесопарки ")</f>
        <v>пиво (везде продают, везде пьют), велосипедисты (спортсмены, любители, трюкачи), моржевание, заводчане, лесопарки </v>
      </c>
      <c r="I1412" s="6" t="str">
        <f>IFERROR(__xludf.DUMMYFUNCTION("""COMPUTED_VALUE"""),"А. А. Леонов, А. Г. Тулеев, М. Волков, Н. М. Вдовин, М. А. Подгорбунский, В. Д. Мартемьянов")</f>
        <v>А. А. Леонов, А. Г. Тулеев, М. Волков, Н. М. Вдовин, М. А. Подгорбунский, В. Д. Мартемьянов</v>
      </c>
      <c r="J1412" s="6" t="str">
        <f>IFERROR(__xludf.DUMMYFUNCTION("""COMPUTED_VALUE"""),"Лично для меня лучшие люди города - это Елена Юшкова, Елена Лумбова, Николай Трушин, Антон Миронов, Владимир Праздницин, Евгений Гришковец, Юрий Арбачаков, Михаил Федяев, Илья Середюк, а также уличные художники-графитисты и волонтёры, студенты и молодые а"&amp;"ртисты ")</f>
        <v>Лично для меня лучшие люди города - это Елена Юшкова, Елена Лумбова, Николай Трушин, Антон Миронов, Владимир Праздницин, Евгений Гришковец, Юрий Арбачаков, Михаил Федяев, Илья Середюк, а также уличные художники-графитисты и волонтёры, студенты и молодые артисты </v>
      </c>
      <c r="K1412" s="6" t="str">
        <f>IFERROR(__xludf.DUMMYFUNCTION("""COMPUTED_VALUE"""),"Территорию у КАО ""Азот"", особенно предновогонюю атмосферу, Сосновый бор, пр-кт Московский, в том числе ""Кадетку"", памятник Шахтерам, музей Красная горка, парк им. Жукова, Кузбасский парк")</f>
        <v>Территорию у КАО "Азот", особенно предновогонюю атмосферу, Сосновый бор, пр-кт Московский, в том числе "Кадетку", памятник Шахтерам, музей Красная горка, парк им. Жукова, Кузбасский парк</v>
      </c>
      <c r="L1412" s="6" t="str">
        <f>IFERROR(__xludf.DUMMYFUNCTION("""COMPUTED_VALUE"""),"К сожалению, истории и события грустные ")</f>
        <v>К сожалению, истории и события грустные </v>
      </c>
      <c r="M1412" s="6" t="str">
        <f>IFERROR(__xludf.DUMMYFUNCTION("""COMPUTED_VALUE"""),"К сожалению, по-кемеровский - это пить пиво повсеместно и мусорить. Есть и просто культовое: встречаться у Подорожника, работать на Азоте, Химпроме или Коксе, ездить на выходные ""в Гешик"", купаться в Красном (хоть это и опасно) или просто загорать, спор"&amp;"ить о том, как правильно - в Кемерове или в Кемерово, моржевать, петь песню Газманова ""Кузбасс"", тусить на Драме у фонтана или в ""Засаде"" ")</f>
        <v>К сожалению, по-кемеровский - это пить пиво повсеместно и мусорить. Есть и просто культовое: встречаться у Подорожника, работать на Азоте, Химпроме или Коксе, ездить на выходные "в Гешик", купаться в Красном (хоть это и опасно) или просто загорать, спорить о том, как правильно - в Кемерове или в Кемерово, моржевать, петь песню Газманова "Кузбасс", тусить на Драме у фонтана или в "Засаде" </v>
      </c>
      <c r="N1412" s="6" t="str">
        <f>IFERROR(__xludf.DUMMYFUNCTION("""COMPUTED_VALUE"""),"1.Развитая велоинфраструктура, 
2.современное и качественное обустройство дворов, 
3.безопасность, 
4.доступные спортивно-развивающие учреждения для детей вблизи от дома,
5.отсутствие свалок и мусора")</f>
        <v>1.Развитая велоинфраструктура, 
2.современное и качественное обустройство дворов, 
3.безопасность, 
4.доступные спортивно-развивающие учреждения для детей вблизи от дома,
5.отсутствие свалок и мусора</v>
      </c>
      <c r="O1412" s="6" t="str">
        <f>IFERROR(__xludf.DUMMYFUNCTION("""COMPUTED_VALUE"""),"Создать велоинфраструктуру, привести в порядок дворы, избавиться от дефицита медицинских услуг по ОМС")</f>
        <v>Создать велоинфраструктуру, привести в порядок дворы, избавиться от дефицита медицинских услуг по ОМС</v>
      </c>
      <c r="P1412" s="6" t="str">
        <f>IFERROR(__xludf.DUMMYFUNCTION("""COMPUTED_VALUE"""),"Инстаграмм, VK, пресс-служба предприятия, на котором я работаю")</f>
        <v>Инстаграмм, VK, пресс-служба предприятия, на котором я работаю</v>
      </c>
      <c r="Q1412"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 Путешествия, туризм, экология")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 Путешествия, туризм, экология</v>
      </c>
      <c r="R1412" s="6" t="str">
        <f>IFERROR(__xludf.DUMMYFUNCTION("""COMPUTED_VALUE"""),"День Победы, День Космонавтики, День Шахтёра, Новый год, День ВМФ")</f>
        <v>День Победы, День Космонавтики, День Шахтёра, Новый год, День ВМФ</v>
      </c>
      <c r="S1412" s="6" t="str">
        <f>IFERROR(__xludf.DUMMYFUNCTION("""COMPUTED_VALUE"""),"Через социальные сети (Какие? Укажите в графе другое), Вк и Инстаграмм, принимая участие в мероприятиях Велоклуба, и Экодвора")</f>
        <v>Через социальные сети (Какие? Укажите в графе другое), Вк и Инстаграмм, принимая участие в мероприятиях Велоклуба, и Экодвора</v>
      </c>
      <c r="T1412" s="6" t="str">
        <f>IFERROR(__xludf.DUMMYFUNCTION("""COMPUTED_VALUE"""),"Известен Шахтерами, химической промышленностью, Сосновым бором, музеем Красная горка, Волейбольным клубом, проведённым ЧМ по Бенди, по Боксу. К сожалению, ""Зимней вишней"". Знаменит также популярными и великими людьми - Леонов, Гришковец, Малышева, Бабен"&amp;"ко и тд")</f>
        <v>Известен Шахтерами, химической промышленностью, Сосновым бором, музеем Красная горка, Волейбольным клубом, проведённым ЧМ по Бенди, по Боксу. К сожалению, "Зимней вишней". Знаменит также популярными и великими людьми - Леонов, Гришковец, Малышева, Бабенко и тд</v>
      </c>
      <c r="U1412" s="6" t="str">
        <f>IFERROR(__xludf.DUMMYFUNCTION("""COMPUTED_VALUE"""),"Бульвар Строителей, Притомская набережная, площадь Советов, Фонтан ""на Драме"", памятник Шахтерам, Комсомольский парк")</f>
        <v>Бульвар Строителей, Притомская набережная, площадь Советов, Фонтан "на Драме", памятник Шахтерам, Комсомольский парк</v>
      </c>
      <c r="V1412" s="6" t="str">
        <f>IFERROR(__xludf.DUMMYFUNCTION("""COMPUTED_VALUE"""),"1.Великая забастовка шахтёров
2.Во времена застоя Азотовцы продолжали работать несмотря на задержку зарплаты, благодаря им завод функционирует и сейчас, и прекрасно процветает, создавая рабочие места и качественную продукцию
3. Отстаивают Сосновый бор, не"&amp;" позволяют превратить его в городской парк, сохраняя уникальную природную экосистему внутри города
4. Активно возобновляют лесонасаждения
5. Активисты дворов создают замечательные композиции в виде клумб и других арт-объектов ")</f>
        <v>1.Великая забастовка шахтёров
2.Во времена застоя Азотовцы продолжали работать несмотря на задержку зарплаты, благодаря им завод функционирует и сейчас, и прекрасно процветает, создавая рабочие места и качественную продукцию
3. Отстаивают Сосновый бор, не позволяют превратить его в городской парк, сохраняя уникальную природную экосистему внутри города
4. Активно возобновляют лесонасаждения
5. Активисты дворов создают замечательные композиции в виде клумб и других арт-объектов </v>
      </c>
      <c r="W1412" s="6" t="str">
        <f>IFERROR(__xludf.DUMMYFUNCTION("""COMPUTED_VALUE"""),"Работающие, заняты своими делами, торопятся, а если не торопятся, то значит пьяные, если не пьяные, то спортсмены - бегают, ездят на всем, у чего меньше 4 колёс, занимаются в фитнес- и спортзалах. Многодетные семьи разного достатка, очень много закредитов"&amp;"анных и социально неадаптированных. При этом все ""на стиле"", с ""айфонами"" и в ""оверсайз"" ")</f>
        <v>Работающие, заняты своими делами, торопятся, а если не торопятся, то значит пьяные, если не пьяные, то спортсмены - бегают, ездят на всем, у чего меньше 4 колёс, занимаются в фитнес- и спортзалах. Многодетные семьи разного достатка, очень много закредитованных и социально неадаптированных. При этом все "на стиле", с "айфонами" и в "оверсайз" </v>
      </c>
      <c r="X1412" s="6" t="str">
        <f>IFERROR(__xludf.DUMMYFUNCTION("""COMPUTED_VALUE"""),"Велосипедный (охватывающий все районы), пеший или автомобильный, но не в час-пик (Центральный, Южный, Ленинский, Рудничный, Центральный) в  Кировский и Лесную поляну нужно ехать, отдельно выбрав день. ")</f>
        <v>Велосипедный (охватывающий все районы), пеший или автомобильный, но не в час-пик (Центральный, Южный, Ленинский, Рудничный, Центральный) в  Кировский и Лесную поляну нужно ехать, отдельно выбрав день. </v>
      </c>
      <c r="Y1412" s="6" t="str">
        <f>IFERROR(__xludf.DUMMYFUNCTION("""COMPUTED_VALUE"""),"Строительство заводов в послевоенное время, Забастовка шахтёров, ЧМ по Бэнди, пожар в Зимней вишне, строительство Кадетского училища")</f>
        <v>Строительство заводов в послевоенное время, Забастовка шахтёров, ЧМ по Бэнди, пожар в Зимней вишне, строительство Кадетского училища</v>
      </c>
      <c r="Z1412" s="6" t="str">
        <f>IFERROR(__xludf.DUMMYFUNCTION("""COMPUTED_VALUE"""),"Строительство Кадетского училища, строительство новых проездов в Ленинском районе, очистка берегов Искитимки от зарослей, пуск регулярного автобусного маршрута №27, ремонт Кировской набережной")</f>
        <v>Строительство Кадетского училища, строительство новых проездов в Ленинском районе, очистка берегов Искитимки от зарослей, пуск регулярного автобусного маршрута №27, ремонт Кировской набережной</v>
      </c>
      <c r="AA1412" s="6" t="str">
        <f>IFERROR(__xludf.DUMMYFUNCTION("""COMPUTED_VALUE"""),"Агрессия со стороны силовых структур к мирным жителям, подозрение их в участии в митингах и жестокое к ним обращение. Хочется полиции доверять, а не бояться прогуливаться рядом с ними.
Ужасное медицинское обслуживание, при этом медперсонал делает отсылки "&amp;"к пандемии, но это возмутительно. ")</f>
        <v>Агрессия со стороны силовых структур к мирным жителям, подозрение их в участии в митингах и жестокое к ним обращение. Хочется полиции доверять, а не бояться прогуливаться рядом с ними.
Ужасное медицинское обслуживание, при этом медперсонал делает отсылки к пандемии, но это возмутительно. </v>
      </c>
      <c r="AB1412" s="6" t="str">
        <f>IFERROR(__xludf.DUMMYFUNCTION("""COMPUTED_VALUE"""),"Затрудняюсь ответить")</f>
        <v>Затрудняюсь ответить</v>
      </c>
      <c r="AC1412" s="6" t="str">
        <f>IFERROR(__xludf.DUMMYFUNCTION("""COMPUTED_VALUE"""),"Мероприятия по ремонту дворов и жилого фонда - это будут лучшие мероприятия  для кемеровчан, и жить станет интереснее и комфортнее")</f>
        <v>Мероприятия по ремонту дворов и жилого фонда - это будут лучшие мероприятия  для кемеровчан, и жить станет интереснее и комфортнее</v>
      </c>
      <c r="AD1412"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412" s="6" t="str">
        <f>IFERROR(__xludf.DUMMYFUNCTION("""COMPUTED_VALUE"""),"Женский")</f>
        <v>Женский</v>
      </c>
      <c r="AF1412" s="6" t="str">
        <f>IFERROR(__xludf.DUMMYFUNCTION("""COMPUTED_VALUE"""),"30-44")</f>
        <v>30-44</v>
      </c>
      <c r="AG1412" s="6"/>
      <c r="AH1412" s="6"/>
      <c r="AI1412" s="6"/>
      <c r="AJ1412" s="6"/>
      <c r="AK1412" s="6"/>
      <c r="AL1412" s="6"/>
      <c r="AM1412" s="6"/>
    </row>
    <row r="1413">
      <c r="A1413" s="6">
        <v>1412.0</v>
      </c>
      <c r="B1413" s="6" t="str">
        <f>IFERROR(__xludf.DUMMYFUNCTION("""COMPUTED_VALUE"""),"Защита населения")</f>
        <v>Защита населения</v>
      </c>
      <c r="C1413" s="6" t="str">
        <f>IFERROR(__xludf.DUMMYFUNCTION("""COMPUTED_VALUE"""),"Хэндмейд ")</f>
        <v>Хэндмейд </v>
      </c>
      <c r="D1413" s="6" t="str">
        <f>IFERROR(__xludf.DUMMYFUNCTION("""COMPUTED_VALUE"""),"Заводской")</f>
        <v>Заводской</v>
      </c>
      <c r="E1413" s="6" t="str">
        <f>IFERROR(__xludf.DUMMYFUNCTION("""COMPUTED_VALUE"""),"Парк ангелов, аллея на ул. патриотов")</f>
        <v>Парк ангелов, аллея на ул. патриотов</v>
      </c>
      <c r="F1413" s="6" t="str">
        <f>IFERROR(__xludf.DUMMYFUNCTION("""COMPUTED_VALUE"""),"Живу здесь с рождения")</f>
        <v>Живу здесь с рождения</v>
      </c>
      <c r="G1413" s="6" t="str">
        <f>IFERROR(__xludf.DUMMYFUNCTION("""COMPUTED_VALUE"""),"Сосновый Бор, набережная, центр города, лесная поляна")</f>
        <v>Сосновый Бор, набережная, центр города, лесная поляна</v>
      </c>
      <c r="H1413" s="6" t="str">
        <f>IFERROR(__xludf.DUMMYFUNCTION("""COMPUTED_VALUE"""),"Кузбасс, столица шахтерского края, ")</f>
        <v>Кузбасс, столица шахтерского края, </v>
      </c>
      <c r="I1413" s="6" t="str">
        <f>IFERROR(__xludf.DUMMYFUNCTION("""COMPUTED_VALUE"""),"Михайлов (мэр города), Гришковец, Малышева")</f>
        <v>Михайлов (мэр города), Гришковец, Малышева</v>
      </c>
      <c r="J1413" s="6" t="str">
        <f>IFERROR(__xludf.DUMMYFUNCTION("""COMPUTED_VALUE"""),"Середюк И.В.")</f>
        <v>Середюк И.В.</v>
      </c>
      <c r="K1413" s="6" t="str">
        <f>IFERROR(__xludf.DUMMYFUNCTION("""COMPUTED_VALUE"""),"Сквер блокадников Ленинграда")</f>
        <v>Сквер блокадников Ленинграда</v>
      </c>
      <c r="L1413" s="6" t="str">
        <f>IFERROR(__xludf.DUMMYFUNCTION("""COMPUTED_VALUE"""),"Южный никому не нужный, ")</f>
        <v>Южный никому не нужный, </v>
      </c>
      <c r="M1413" s="6" t="str">
        <f>IFERROR(__xludf.DUMMYFUNCTION("""COMPUTED_VALUE"""),"Мультифора - файл, колба - черемша. Толченка - картофельное пюре. Стайка - сарай. 
Виктория - клубника. ")</f>
        <v>Мультифора - файл, колба - черемша. Толченка - картофельное пюре. Стайка - сарай. 
Виктория - клубника. </v>
      </c>
      <c r="N1413" s="6" t="str">
        <f>IFERROR(__xludf.DUMMYFUNCTION("""COMPUTED_VALUE"""),"Экология, доступная среда (инфраструктура, дет сады, больницы итд) ")</f>
        <v>Экология, доступная среда (инфраструктура, дет сады, больницы итд) </v>
      </c>
      <c r="O1413" s="6" t="str">
        <f>IFERROR(__xludf.DUMMYFUNCTION("""COMPUTED_VALUE"""),"Избавиться от пробок и улучшить экологию")</f>
        <v>Избавиться от пробок и улучшить экологию</v>
      </c>
      <c r="P1413" s="6" t="str">
        <f>IFERROR(__xludf.DUMMYFUNCTION("""COMPUTED_VALUE"""),"Все42, телевизор, реклама на сайтах")</f>
        <v>Все42, телевизор, реклама на сайтах</v>
      </c>
      <c r="Q1413"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новости про новые профессии/куда поступать/вакансии, результа"&amp;"ты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1413" s="6" t="str">
        <f>IFERROR(__xludf.DUMMYFUNCTION("""COMPUTED_VALUE"""),"9 мая, день города")</f>
        <v>9 мая, день города</v>
      </c>
      <c r="S1413" s="6" t="str">
        <f>IFERROR(__xludf.DUMMYFUNCTION("""COMPUTED_VALUE"""),"Делали тематические концерты и вечера")</f>
        <v>Делали тематические концерты и вечера</v>
      </c>
      <c r="T1413" s="6" t="str">
        <f>IFERROR(__xludf.DUMMYFUNCTION("""COMPUTED_VALUE"""),"Надпись ""Кемерово"". Памятник Пушкину сделан по его реальному росту")</f>
        <v>Надпись "Кемерово". Памятник Пушкину сделан по его реальному росту</v>
      </c>
      <c r="U1413" s="6" t="str">
        <f>IFERROR(__xludf.DUMMYFUNCTION("""COMPUTED_VALUE"""),"Пл. Советов, пр. Советский. ")</f>
        <v>Пл. Советов, пр. Советский. </v>
      </c>
      <c r="V1413" s="6" t="str">
        <f>IFERROR(__xludf.DUMMYFUNCTION("""COMPUTED_VALUE"""),"Уголь добывали, увеличивали объемы работы заводов")</f>
        <v>Уголь добывали, увеличивали объемы работы заводов</v>
      </c>
      <c r="W1413" s="6" t="str">
        <f>IFERROR(__xludf.DUMMYFUNCTION("""COMPUTED_VALUE"""),"Добрые, ответственные, приветливые")</f>
        <v>Добрые, ответственные, приветливые</v>
      </c>
      <c r="X1413" s="6" t="str">
        <f>IFERROR(__xludf.DUMMYFUNCTION("""COMPUTED_VALUE"""),"Жд Вокзал- ул. Коммунистическая, сквер Михайло Волкова- улВесенняя-набережная-пл. Пушкина-пл. Советов-парк Жукова")</f>
        <v>Жд Вокзал- ул. Коммунистическая, сквер Михайло Волкова- улВесенняя-набережная-пл. Пушкина-пл. Советов-парк Жукова</v>
      </c>
      <c r="Y1413" s="6" t="str">
        <f>IFERROR(__xludf.DUMMYFUNCTION("""COMPUTED_VALUE"""),"Переименование из щегловска в кемерово")</f>
        <v>Переименование из щегловска в кемерово</v>
      </c>
      <c r="Z1413" s="6" t="str">
        <f>IFERROR(__xludf.DUMMYFUNCTION("""COMPUTED_VALUE"""),"Создание культурного пространства около терешковского моста и до набережной")</f>
        <v>Создание культурного пространства около терешковского моста и до набережной</v>
      </c>
      <c r="AA1413" s="6" t="str">
        <f>IFERROR(__xludf.DUMMYFUNCTION("""COMPUTED_VALUE"""),"Зимняя вишня")</f>
        <v>Зимняя вишня</v>
      </c>
      <c r="AB1413" s="6" t="str">
        <f>IFERROR(__xludf.DUMMYFUNCTION("""COMPUTED_VALUE"""),"Прямого контакта с властью (в разных вопросах) ")</f>
        <v>Прямого контакта с властью (в разных вопросах) </v>
      </c>
      <c r="AC1413" s="6" t="str">
        <f>IFERROR(__xludf.DUMMYFUNCTION("""COMPUTED_VALUE"""),"Культурные мероприятия, образовательные семминары и встречи")</f>
        <v>Культурные мероприятия, образовательные семминары и встречи</v>
      </c>
      <c r="AD1413"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413" s="6" t="str">
        <f>IFERROR(__xludf.DUMMYFUNCTION("""COMPUTED_VALUE"""),"Мужской")</f>
        <v>Мужской</v>
      </c>
      <c r="AF1413" s="6" t="str">
        <f>IFERROR(__xludf.DUMMYFUNCTION("""COMPUTED_VALUE"""),"18-29")</f>
        <v>18-29</v>
      </c>
      <c r="AG1413" s="6"/>
      <c r="AH1413" s="6"/>
      <c r="AI1413" s="6"/>
      <c r="AJ1413" s="6"/>
      <c r="AK1413" s="6"/>
      <c r="AL1413" s="6"/>
      <c r="AM1413" s="6"/>
    </row>
    <row r="1414">
      <c r="A1414" s="6">
        <v>1413.0</v>
      </c>
      <c r="B1414" s="6" t="str">
        <f>IFERROR(__xludf.DUMMYFUNCTION("""COMPUTED_VALUE"""),"Предприниматель")</f>
        <v>Предприниматель</v>
      </c>
      <c r="C1414" s="6" t="str">
        <f>IFERROR(__xludf.DUMMYFUNCTION("""COMPUTED_VALUE"""),"Да")</f>
        <v>Да</v>
      </c>
      <c r="D1414" s="6" t="str">
        <f>IFERROR(__xludf.DUMMYFUNCTION("""COMPUTED_VALUE"""),"Ленинский")</f>
        <v>Ленинский</v>
      </c>
      <c r="E1414" s="6" t="str">
        <f>IFERROR(__xludf.DUMMYFUNCTION("""COMPUTED_VALUE"""),"Бульвар строителей")</f>
        <v>Бульвар строителей</v>
      </c>
      <c r="F1414" s="6" t="str">
        <f>IFERROR(__xludf.DUMMYFUNCTION("""COMPUTED_VALUE"""),"Живу здесь с рождения")</f>
        <v>Живу здесь с рождения</v>
      </c>
      <c r="G1414" s="6" t="str">
        <f>IFERROR(__xludf.DUMMYFUNCTION("""COMPUTED_VALUE"""),"Сосновый бор")</f>
        <v>Сосновый бор</v>
      </c>
      <c r="H1414" s="6" t="str">
        <f>IFERROR(__xludf.DUMMYFUNCTION("""COMPUTED_VALUE"""),"Удобный, зелёный, отсталый,инертный,скучный.")</f>
        <v>Удобный, зелёный, отсталый,инертный,скучный.</v>
      </c>
      <c r="I1414" s="6" t="str">
        <f>IFERROR(__xludf.DUMMYFUNCTION("""COMPUTED_VALUE"""),"Рутгерс")</f>
        <v>Рутгерс</v>
      </c>
      <c r="J1414" s="6" t="str">
        <f>IFERROR(__xludf.DUMMYFUNCTION("""COMPUTED_VALUE"""),"Цивилёв")</f>
        <v>Цивилёв</v>
      </c>
      <c r="K1414" s="6" t="str">
        <f>IFERROR(__xludf.DUMMYFUNCTION("""COMPUTED_VALUE"""),"Набережная, Весенняя, б-р Строителей")</f>
        <v>Набережная, Весенняя, б-р Строителей</v>
      </c>
      <c r="L1414" s="6" t="str">
        <f>IFERROR(__xludf.DUMMYFUNCTION("""COMPUTED_VALUE"""),"- Сразу видно, что вы из Питера.
-Нет.
-Сидели?
-Нет.
-Так откуда вы?
-Из Кемерово.
-А это где?
")</f>
        <v>- Сразу видно, что вы из Питера.
-Нет.
-Сидели?
-Нет.
-Так откуда вы?
-Из Кемерово.
-А это где?
</v>
      </c>
      <c r="M1414" s="6" t="str">
        <f>IFERROR(__xludf.DUMMYFUNCTION("""COMPUTED_VALUE"""),"Человек из Кемерова")</f>
        <v>Человек из Кемерова</v>
      </c>
      <c r="N1414" s="6" t="str">
        <f>IFERROR(__xludf.DUMMYFUNCTION("""COMPUTED_VALUE"""),"Чистота, свежий воздух, доступ и разнообразие досуга, культура горожан, архитектура и благоустройство.")</f>
        <v>Чистота, свежий воздух, доступ и разнообразие досуга, культура горожан, архитектура и благоустройство.</v>
      </c>
      <c r="O1414" s="6" t="str">
        <f>IFERROR(__xludf.DUMMYFUNCTION("""COMPUTED_VALUE"""),"Систему управления")</f>
        <v>Систему управления</v>
      </c>
      <c r="P1414" s="6" t="str">
        <f>IFERROR(__xludf.DUMMYFUNCTION("""COMPUTED_VALUE"""),"От знакомых.")</f>
        <v>От знакомых.</v>
      </c>
      <c r="Q1414" s="6" t="str">
        <f>IFERROR(__xludf.DUMMYFUNCTION("""COMPUTED_VALUE"""),"интервью с местными политиками, интервью с местными творческими личностями, интервью с экспертами на разные темы (напишите в разделе Другое свои предложения)")</f>
        <v>интервью с местными политиками, интервью с местными творческими личностями, интервью с экспертами на разные темы (напишите в разделе Другое свои предложения)</v>
      </c>
      <c r="R1414" s="6" t="str">
        <f>IFERROR(__xludf.DUMMYFUNCTION("""COMPUTED_VALUE"""),"Никакие")</f>
        <v>Никакие</v>
      </c>
      <c r="S1414" s="6" t="str">
        <f>IFERROR(__xludf.DUMMYFUNCTION("""COMPUTED_VALUE"""),"Взаимодействие с администрацией")</f>
        <v>Взаимодействие с администрацией</v>
      </c>
      <c r="T1414" s="6" t="str">
        <f>IFERROR(__xludf.DUMMYFUNCTION("""COMPUTED_VALUE"""),"Обычный рабочий городок.")</f>
        <v>Обычный рабочий городок.</v>
      </c>
      <c r="U1414" s="6" t="str">
        <f>IFERROR(__xludf.DUMMYFUNCTION("""COMPUTED_VALUE"""),"Площадь советов")</f>
        <v>Площадь советов</v>
      </c>
      <c r="V1414" s="6" t="str">
        <f>IFERROR(__xludf.DUMMYFUNCTION("""COMPUTED_VALUE"""),"Достигали успехов в спорте.")</f>
        <v>Достигали успехов в спорте.</v>
      </c>
      <c r="W1414" s="6" t="str">
        <f>IFERROR(__xludf.DUMMYFUNCTION("""COMPUTED_VALUE"""),"Хамоватые, отзывчивые, образованные.")</f>
        <v>Хамоватые, отзывчивые, образованные.</v>
      </c>
      <c r="X1414" s="6" t="str">
        <f>IFERROR(__xludf.DUMMYFUNCTION("""COMPUTED_VALUE"""),"Весенняя-набережная")</f>
        <v>Весенняя-набережная</v>
      </c>
      <c r="Y1414" s="6" t="str">
        <f>IFERROR(__xludf.DUMMYFUNCTION("""COMPUTED_VALUE"""),"Обретение статуса областного центра.")</f>
        <v>Обретение статуса областного центра.</v>
      </c>
      <c r="Z1414" s="6" t="str">
        <f>IFERROR(__xludf.DUMMYFUNCTION("""COMPUTED_VALUE"""),"Объёмы строительства.")</f>
        <v>Объёмы строительства.</v>
      </c>
      <c r="AA1414" s="6" t="str">
        <f>IFERROR(__xludf.DUMMYFUNCTION("""COMPUTED_VALUE"""),"Сокращение рынка труда и доходов.")</f>
        <v>Сокращение рынка труда и доходов.</v>
      </c>
      <c r="AB1414" s="6" t="str">
        <f>IFERROR(__xludf.DUMMYFUNCTION("""COMPUTED_VALUE"""),"Достаточно.")</f>
        <v>Достаточно.</v>
      </c>
      <c r="AC1414" s="6" t="str">
        <f>IFERROR(__xludf.DUMMYFUNCTION("""COMPUTED_VALUE"""),"Празднование открытия нового предприятия не связанного с добычей ископаемых. Будут доходы и работа, будут и события и мероприятия.")</f>
        <v>Празднование открытия нового предприятия не связанного с добычей ископаемых. Будут доходы и работа, будут и события и мероприятия.</v>
      </c>
      <c r="AD1414"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414" s="6" t="str">
        <f>IFERROR(__xludf.DUMMYFUNCTION("""COMPUTED_VALUE"""),"Мужской")</f>
        <v>Мужской</v>
      </c>
      <c r="AF1414" s="6" t="str">
        <f>IFERROR(__xludf.DUMMYFUNCTION("""COMPUTED_VALUE"""),"45-55")</f>
        <v>45-55</v>
      </c>
      <c r="AG1414" s="6"/>
      <c r="AH1414" s="6"/>
      <c r="AI1414" s="6"/>
      <c r="AJ1414" s="6"/>
      <c r="AK1414" s="6"/>
      <c r="AL1414" s="6"/>
      <c r="AM1414" s="6"/>
    </row>
    <row r="1415">
      <c r="A1415" s="6">
        <v>1414.0</v>
      </c>
      <c r="B1415" s="6" t="str">
        <f>IFERROR(__xludf.DUMMYFUNCTION("""COMPUTED_VALUE"""),"Работа по найму")</f>
        <v>Работа по найму</v>
      </c>
      <c r="C1415" s="6" t="str">
        <f>IFERROR(__xludf.DUMMYFUNCTION("""COMPUTED_VALUE"""),"Танцы и йога")</f>
        <v>Танцы и йога</v>
      </c>
      <c r="D1415" s="6" t="str">
        <f>IFERROR(__xludf.DUMMYFUNCTION("""COMPUTED_VALUE"""),"Центральный район, район областной больницы")</f>
        <v>Центральный район, район областной больницы</v>
      </c>
      <c r="E1415" s="6" t="str">
        <f>IFERROR(__xludf.DUMMYFUNCTION("""COMPUTED_VALUE"""),"Не имею")</f>
        <v>Не имею</v>
      </c>
      <c r="F1415" s="6" t="str">
        <f>IFERROR(__xludf.DUMMYFUNCTION("""COMPUTED_VALUE"""),"Живу здесь с рождения")</f>
        <v>Живу здесь с рождения</v>
      </c>
      <c r="G1415" s="6" t="str">
        <f>IFERROR(__xludf.DUMMYFUNCTION("""COMPUTED_VALUE"""),"За редким исключением на Святой источник или в сосновый бор")</f>
        <v>За редким исключением на Святой источник или в сосновый бор</v>
      </c>
      <c r="H1415" s="6" t="str">
        <f>IFERROR(__xludf.DUMMYFUNCTION("""COMPUTED_VALUE"""),"Уголь, шахтер, музей - заповедник ""Красная горка"", сосновый бор, разрез")</f>
        <v>Уголь, шахтер, музей - заповедник "Красная горка", сосновый бор, разрез</v>
      </c>
      <c r="I1415" s="6" t="str">
        <f>IFERROR(__xludf.DUMMYFUNCTION("""COMPUTED_VALUE"""),"Алексей Леонов, Владимир Мартемьянов, Вера Волошина, Михаил Волков, Юрий Двужильный")</f>
        <v>Алексей Леонов, Владимир Мартемьянов, Вера Волошина, Михаил Волков, Юрий Двужильный</v>
      </c>
      <c r="J1415" s="6" t="str">
        <f>IFERROR(__xludf.DUMMYFUNCTION("""COMPUTED_VALUE"""),"Андрей Панин, Аман Тулеев, Сергей Мяусс")</f>
        <v>Андрей Панин, Аман Тулеев, Сергей Мяусс</v>
      </c>
      <c r="K1415" s="6" t="str">
        <f>IFERROR(__xludf.DUMMYFUNCTION("""COMPUTED_VALUE"""),"Музей - заповедник ""Красная горка"", сосновый бор, ""Кузбасский парк"", памятник Алексею Леонову,")</f>
        <v>Музей - заповедник "Красная горка", сосновый бор, "Кузбасский парк", памятник Алексею Леонову,</v>
      </c>
      <c r="L1415" s="6" t="str">
        <f>IFERROR(__xludf.DUMMYFUNCTION("""COMPUTED_VALUE"""),"Не знаю")</f>
        <v>Не знаю</v>
      </c>
      <c r="M1415" s="6" t="str">
        <f>IFERROR(__xludf.DUMMYFUNCTION("""COMPUTED_VALUE"""),"Не знаю")</f>
        <v>Не знаю</v>
      </c>
      <c r="N1415" s="6" t="str">
        <f>IFERROR(__xludf.DUMMYFUNCTION("""COMPUTED_VALUE"""),"Притомская Набережная, сосновый бор, Парк Жукова, сквер возле филармонии, Пионерский бульвар, бульвар Строителей")</f>
        <v>Притомская Набережная, сосновый бор, Парк Жукова, сквер возле филармонии, Пионерский бульвар, бульвар Строителей</v>
      </c>
      <c r="O1415" s="6" t="str">
        <f>IFERROR(__xludf.DUMMYFUNCTION("""COMPUTED_VALUE"""),"Парк имени Веры Волошиной")</f>
        <v>Парк имени Веры Волошиной</v>
      </c>
      <c r="P1415" s="6" t="str">
        <f>IFERROR(__xludf.DUMMYFUNCTION("""COMPUTED_VALUE"""),"Интернет")</f>
        <v>Интернет</v>
      </c>
      <c r="Q1415"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415" s="6" t="str">
        <f>IFERROR(__xludf.DUMMYFUNCTION("""COMPUTED_VALUE"""),"9 мая")</f>
        <v>9 мая</v>
      </c>
      <c r="S1415" s="6" t="str">
        <f>IFERROR(__xludf.DUMMYFUNCTION("""COMPUTED_VALUE"""),"Нет, не приходилось")</f>
        <v>Нет, не приходилось</v>
      </c>
      <c r="T1415" s="6" t="str">
        <f>IFERROR(__xludf.DUMMYFUNCTION("""COMPUTED_VALUE"""),"Шерегеш, уголь и шахтер")</f>
        <v>Шерегеш, уголь и шахтер</v>
      </c>
      <c r="U1415" s="6" t="str">
        <f>IFERROR(__xludf.DUMMYFUNCTION("""COMPUTED_VALUE"""),"Исторический центр города")</f>
        <v>Исторический центр города</v>
      </c>
      <c r="V1415" s="6" t="str">
        <f>IFERROR(__xludf.DUMMYFUNCTION("""COMPUTED_VALUE"""),"Спортивные достижения")</f>
        <v>Спортивные достижения</v>
      </c>
      <c r="W1415" s="6" t="str">
        <f>IFERROR(__xludf.DUMMYFUNCTION("""COMPUTED_VALUE"""),"Добрые, щедрые")</f>
        <v>Добрые, щедрые</v>
      </c>
      <c r="X1415" s="6" t="str">
        <f>IFERROR(__xludf.DUMMYFUNCTION("""COMPUTED_VALUE"""),"""Красная горка"", сосновый бор")</f>
        <v>"Красная горка", сосновый бор</v>
      </c>
      <c r="Y1415" s="6" t="str">
        <f>IFERROR(__xludf.DUMMYFUNCTION("""COMPUTED_VALUE"""),"Хоккей с мячом в 2002 и в 2007 годах, приезд Дмитрия Хворостовского")</f>
        <v>Хоккей с мячом в 2002 и в 2007 годах, приезд Дмитрия Хворостовского</v>
      </c>
      <c r="Z1415" s="6" t="str">
        <f>IFERROR(__xludf.DUMMYFUNCTION("""COMPUTED_VALUE"""),"Вырубка деревьев")</f>
        <v>Вырубка деревьев</v>
      </c>
      <c r="AA1415" s="6" t="str">
        <f>IFERROR(__xludf.DUMMYFUNCTION("""COMPUTED_VALUE"""),"Не знаю")</f>
        <v>Не знаю</v>
      </c>
      <c r="AB1415" s="6" t="str">
        <f>IFERROR(__xludf.DUMMYFUNCTION("""COMPUTED_VALUE"""),"Спортивных")</f>
        <v>Спортивных</v>
      </c>
      <c r="AC1415" s="6" t="str">
        <f>IFERROR(__xludf.DUMMYFUNCTION("""COMPUTED_VALUE"""),"Нет хорошего образования, нет хорошей работы")</f>
        <v>Нет хорошего образования, нет хорошей работы</v>
      </c>
      <c r="AD141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15" s="6" t="str">
        <f>IFERROR(__xludf.DUMMYFUNCTION("""COMPUTED_VALUE"""),"Женский")</f>
        <v>Женский</v>
      </c>
      <c r="AF1415" s="6" t="str">
        <f>IFERROR(__xludf.DUMMYFUNCTION("""COMPUTED_VALUE"""),"30-44")</f>
        <v>30-44</v>
      </c>
      <c r="AG1415" s="6"/>
      <c r="AH1415" s="6"/>
      <c r="AI1415" s="6"/>
      <c r="AJ1415" s="6"/>
      <c r="AK1415" s="6"/>
      <c r="AL1415" s="6"/>
      <c r="AM1415" s="6"/>
    </row>
    <row r="1416">
      <c r="A1416" s="6">
        <v>1415.0</v>
      </c>
      <c r="B1416" s="6" t="str">
        <f>IFERROR(__xludf.DUMMYFUNCTION("""COMPUTED_VALUE"""),"Пенсионер")</f>
        <v>Пенсионер</v>
      </c>
      <c r="C1416" s="6" t="str">
        <f>IFERROR(__xludf.DUMMYFUNCTION("""COMPUTED_VALUE"""),"Эковолонтерство")</f>
        <v>Эковолонтерство</v>
      </c>
      <c r="D1416" s="6" t="str">
        <f>IFERROR(__xludf.DUMMYFUNCTION("""COMPUTED_VALUE"""),"Кировский район Кемерово")</f>
        <v>Кировский район Кемерово</v>
      </c>
      <c r="E1416" s="6" t="str">
        <f>IFERROR(__xludf.DUMMYFUNCTION("""COMPUTED_VALUE"""),"Дк Кировского, набережная, парк Березовая роща, 3й особый, микражка (21микрорайон)")</f>
        <v>Дк Кировского, набережная, парк Березовая роща, 3й особый, микражка (21микрорайон)</v>
      </c>
      <c r="F1416" s="6" t="str">
        <f>IFERROR(__xludf.DUMMYFUNCTION("""COMPUTED_VALUE"""),"Переехал сюда из другого места (откуда? укажите в графе другое), Переехала с родителями из Барнаула")</f>
        <v>Переехал сюда из другого места (откуда? укажите в графе другое), Переехала с родителями из Барнаула</v>
      </c>
      <c r="G1416" s="6" t="str">
        <f>IFERROR(__xludf.DUMMYFUNCTION("""COMPUTED_VALUE"""),"Набережная в центре, театры, выставки, кафе")</f>
        <v>Набережная в центре, театры, выставки, кафе</v>
      </c>
      <c r="H1416" s="6" t="str">
        <f>IFERROR(__xludf.DUMMYFUNCTION("""COMPUTED_VALUE"""),"Зеленый город, смог, застой и депрессия, болезни.")</f>
        <v>Зеленый город, смог, застой и депрессия, болезни.</v>
      </c>
      <c r="I1416" s="6" t="str">
        <f>IFERROR(__xludf.DUMMYFUNCTION("""COMPUTED_VALUE""")," Михайло Волков, Рутгерс, Волошина, Двужильный")</f>
        <v> Михайло Волков, Рутгерс, Волошина, Двужильный</v>
      </c>
      <c r="J1416" s="6" t="str">
        <f>IFERROR(__xludf.DUMMYFUNCTION("""COMPUTED_VALUE"""),"Михайлов, Бобров, Леонов, Гришковец")</f>
        <v>Михайлов, Бобров, Леонов, Гришковец</v>
      </c>
      <c r="K1416" s="6" t="str">
        <f>IFERROR(__xludf.DUMMYFUNCTION("""COMPUTED_VALUE"""),"Весенняя, набережные, парк Ангелов, Красная горка, кадетское училище, бульвар Строителей, парк Жукова")</f>
        <v>Весенняя, набережные, парк Ангелов, Красная горка, кадетское училище, бульвар Строителей, парк Жукова</v>
      </c>
      <c r="L1416" s="6" t="str">
        <f>IFERROR(__xludf.DUMMYFUNCTION("""COMPUTED_VALUE"""),"Все, кто едут с правого берега на левый- едут в город. ")</f>
        <v>Все, кто едут с правого берега на левый- едут в город. </v>
      </c>
      <c r="M1416" s="6" t="str">
        <f>IFERROR(__xludf.DUMMYFUNCTION("""COMPUTED_VALUE"""),"Микражка (Микрорайон), пятак(особое место в районе), Яшка(тц Я), уточки(утки в парке)")</f>
        <v>Микражка (Микрорайон), пятак(особое место в районе), Яшка(тц Я), уточки(утки в парке)</v>
      </c>
      <c r="N1416" s="6" t="str">
        <f>IFERROR(__xludf.DUMMYFUNCTION("""COMPUTED_VALUE"""),"Транспорт, туалеты, доступная среда для всех, чистый воздух, чистая вода")</f>
        <v>Транспорт, туалеты, доступная среда для всех, чистый воздух, чистая вода</v>
      </c>
      <c r="O1416" s="6" t="str">
        <f>IFERROR(__xludf.DUMMYFUNCTION("""COMPUTED_VALUE"""),"Транспорт, в Кировский уехать после 20.00 проблема. Мало общественных туалетов (не считая кафе и тц), а те, что есть грязные.")</f>
        <v>Транспорт, в Кировский уехать после 20.00 проблема. Мало общественных туалетов (не считая кафе и тц), а те, что есть грязные.</v>
      </c>
      <c r="P1416" s="6" t="str">
        <f>IFERROR(__xludf.DUMMYFUNCTION("""COMPUTED_VALUE"""),"Соцсети инстаграм, ВКОНТАКТЕ")</f>
        <v>Соцсети инстаграм, ВКОНТАКТЕ</v>
      </c>
      <c r="Q1416"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1416" s="6" t="str">
        <f>IFERROR(__xludf.DUMMYFUNCTION("""COMPUTED_VALUE"""),"Новый год, 9мая")</f>
        <v>Новый год, 9мая</v>
      </c>
      <c r="S1416" s="6" t="str">
        <f>IFERROR(__xludf.DUMMYFUNCTION("""COMPUTED_VALUE"""),"Через социальные сети (Какие? Укажите в графе другое), Экологические акции, Экодвор")</f>
        <v>Через социальные сети (Какие? Укажите в графе другое), Экологические акции, Экодвор</v>
      </c>
      <c r="T1416" s="6" t="str">
        <f>IFERROR(__xludf.DUMMYFUNCTION("""COMPUTED_VALUE"""),"Город известен на пределами хорошими дорогами и трагедией в Зимней вишне. В Кемерово нет того, что производят только здесь, невозможно купить в подарок что уникальное и нужно для гостей города. Кусок угля в подарок уже никому не нужен.")</f>
        <v>Город известен на пределами хорошими дорогами и трагедией в Зимней вишне. В Кемерово нет того, что производят только здесь, невозможно купить в подарок что уникальное и нужно для гостей города. Кусок угля в подарок уже никому не нужен.</v>
      </c>
      <c r="U1416" s="6" t="str">
        <f>IFERROR(__xludf.DUMMYFUNCTION("""COMPUTED_VALUE"""),"Площадь советов")</f>
        <v>Площадь советов</v>
      </c>
      <c r="V1416" s="6" t="str">
        <f>IFERROR(__xludf.DUMMYFUNCTION("""COMPUTED_VALUE"""),"Сейчас гордиться нечем. Все осталось в прошлом.")</f>
        <v>Сейчас гордиться нечем. Все осталось в прошлом.</v>
      </c>
      <c r="W1416" s="6" t="str">
        <f>IFERROR(__xludf.DUMMYFUNCTION("""COMPUTED_VALUE"""),"Инертность, лень, не способность взяться за дело и довести до конца.")</f>
        <v>Инертность, лень, не способность взяться за дело и довести до конца.</v>
      </c>
      <c r="X1416" s="6" t="str">
        <f>IFERROR(__xludf.DUMMYFUNCTION("""COMPUTED_VALUE"""),"Центр города")</f>
        <v>Центр города</v>
      </c>
      <c r="Y1416" s="6" t="str">
        <f>IFERROR(__xludf.DUMMYFUNCTION("""COMPUTED_VALUE"""),"АИК (см. Красная горка)")</f>
        <v>АИК (см. Красная горка)</v>
      </c>
      <c r="Z1416" s="6" t="str">
        <f>IFERROR(__xludf.DUMMYFUNCTION("""COMPUTED_VALUE"""),"За 2года нет, за последние годы- Бессмертный полк")</f>
        <v>За 2года нет, за последние годы- Бессмертный полк</v>
      </c>
      <c r="AA1416" s="6" t="str">
        <f>IFERROR(__xludf.DUMMYFUNCTION("""COMPUTED_VALUE"""),"Попытка властей закрыть роддом в Кировском, ежегодный пал травы около 21микрорайона, несанкционированные свалки")</f>
        <v>Попытка властей закрыть роддом в Кировском, ежегодный пал травы около 21микрорайона, несанкционированные свалки</v>
      </c>
      <c r="AB1416" s="6" t="str">
        <f>IFERROR(__xludf.DUMMYFUNCTION("""COMPUTED_VALUE"""),"Сообществ хватает, о них нужно рассказывать и развивать")</f>
        <v>Сообществ хватает, о них нужно рассказывать и развивать</v>
      </c>
      <c r="AC1416" s="6" t="str">
        <f>IFERROR(__xludf.DUMMYFUNCTION("""COMPUTED_VALUE"""),"Необходимы неформальные события, для людей ,а не для отчетов.")</f>
        <v>Необходимы неформальные события, для людей ,а не для отчетов.</v>
      </c>
      <c r="AD141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416" s="6" t="str">
        <f>IFERROR(__xludf.DUMMYFUNCTION("""COMPUTED_VALUE"""),"Женский")</f>
        <v>Женский</v>
      </c>
      <c r="AF1416" s="6" t="str">
        <f>IFERROR(__xludf.DUMMYFUNCTION("""COMPUTED_VALUE"""),"старше 55")</f>
        <v>старше 55</v>
      </c>
      <c r="AG1416" s="6"/>
      <c r="AH1416" s="6"/>
      <c r="AI1416" s="6"/>
      <c r="AJ1416" s="6"/>
      <c r="AK1416" s="6"/>
      <c r="AL1416" s="6"/>
      <c r="AM1416" s="6"/>
    </row>
    <row r="1417">
      <c r="A1417" s="6">
        <v>1416.0</v>
      </c>
      <c r="B1417" s="6" t="str">
        <f>IFERROR(__xludf.DUMMYFUNCTION("""COMPUTED_VALUE"""),"Свободный художник ")</f>
        <v>Свободный художник </v>
      </c>
      <c r="C1417" s="6" t="str">
        <f>IFERROR(__xludf.DUMMYFUNCTION("""COMPUTED_VALUE"""),"Фотография ")</f>
        <v>Фотография </v>
      </c>
      <c r="D1417" s="6" t="str">
        <f>IFERROR(__xludf.DUMMYFUNCTION("""COMPUTED_VALUE"""),"Центр города")</f>
        <v>Центр города</v>
      </c>
      <c r="E1417" s="6" t="str">
        <f>IFERROR(__xludf.DUMMYFUNCTION("""COMPUTED_VALUE"""),"Площадь Пушкина ")</f>
        <v>Площадь Пушкина </v>
      </c>
      <c r="F1417" s="6" t="str">
        <f>IFERROR(__xludf.DUMMYFUNCTION("""COMPUTED_VALUE"""),"Родился здесь,но сейчас живу в другом городе, Бываю как турист")</f>
        <v>Родился здесь,но сейчас живу в другом городе, Бываю как турист</v>
      </c>
      <c r="G1417" s="6" t="str">
        <f>IFERROR(__xludf.DUMMYFUNCTION("""COMPUTED_VALUE"""),"Ул весенняя , Бор, ул Заречная , парки города ")</f>
        <v>Ул весенняя , Бор, ул Заречная , парки города </v>
      </c>
      <c r="H1417" s="6" t="str">
        <f>IFERROR(__xludf.DUMMYFUNCTION("""COMPUTED_VALUE"""),"Компактный , грязный, удобный, не красивый, родной .")</f>
        <v>Компактный , грязный, удобный, не красивый, родной .</v>
      </c>
      <c r="I1417" s="6" t="str">
        <f>IFERROR(__xludf.DUMMYFUNCTION("""COMPUTED_VALUE"""),"Мои друзья и родители ")</f>
        <v>Мои друзья и родители </v>
      </c>
      <c r="J1417" s="6" t="str">
        <f>IFERROR(__xludf.DUMMYFUNCTION("""COMPUTED_VALUE"""),"Нет таких людей , на кого я ровняюсь ")</f>
        <v>Нет таких людей , на кого я ровняюсь </v>
      </c>
      <c r="K1417" s="6" t="str">
        <f>IFERROR(__xludf.DUMMYFUNCTION("""COMPUTED_VALUE"""),"Наш великолепный Бор и улица Весенняя ")</f>
        <v>Наш великолепный Бор и улица Весенняя </v>
      </c>
      <c r="L1417" s="6" t="str">
        <f>IFERROR(__xludf.DUMMYFUNCTION("""COMPUTED_VALUE"""),"Город тех , кто сидел и тех , кто их охранял ")</f>
        <v>Город тех , кто сидел и тех , кто их охранял </v>
      </c>
      <c r="M1417" s="6" t="str">
        <f>IFERROR(__xludf.DUMMYFUNCTION("""COMPUTED_VALUE"""),"Евонный )")</f>
        <v>Евонный )</v>
      </c>
      <c r="N1417" s="6" t="str">
        <f>IFERROR(__xludf.DUMMYFUNCTION("""COMPUTED_VALUE"""),"Расстояние до магазинов и бассейнов, бань , парков.")</f>
        <v>Расстояние до магазинов и бассейнов, бань , парков.</v>
      </c>
      <c r="O1417" s="6" t="str">
        <f>IFERROR(__xludf.DUMMYFUNCTION("""COMPUTED_VALUE"""),"Отремонтировать центр города !
Сделать парковую зону вдоль реки с велодорожками и вольерами для собак .")</f>
        <v>Отремонтировать центр города !
Сделать парковую зону вдоль реки с велодорожками и вольерами для собак .</v>
      </c>
      <c r="P1417" s="6" t="str">
        <f>IFERROR(__xludf.DUMMYFUNCTION("""COMPUTED_VALUE"""),"Мои друзья ")</f>
        <v>Мои друзья </v>
      </c>
      <c r="Q1417"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Уже все есть на просторах инт"&amp;"ернета ")</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Уже все есть на просторах интернета </v>
      </c>
      <c r="R1417" s="6" t="str">
        <f>IFERROR(__xludf.DUMMYFUNCTION("""COMPUTED_VALUE"""),"9 мая ")</f>
        <v>9 мая </v>
      </c>
      <c r="S1417" s="6" t="str">
        <f>IFERROR(__xludf.DUMMYFUNCTION("""COMPUTED_VALUE"""),"Проводил встречи с жителями города .")</f>
        <v>Проводил встречи с жителями города .</v>
      </c>
      <c r="T1417" s="6" t="str">
        <f>IFERROR(__xludf.DUMMYFUNCTION("""COMPUTED_VALUE"""),"Писанные скалы и красная горка ")</f>
        <v>Писанные скалы и красная горка </v>
      </c>
      <c r="U1417" s="6" t="str">
        <f>IFERROR(__xludf.DUMMYFUNCTION("""COMPUTED_VALUE"""),"Площадь Пушкина и красная горка")</f>
        <v>Площадь Пушкина и красная горка</v>
      </c>
      <c r="V1417" s="6" t="str">
        <f>IFERROR(__xludf.DUMMYFUNCTION("""COMPUTED_VALUE"""),"Работали на предприятиях оборонного значения ")</f>
        <v>Работали на предприятиях оборонного значения </v>
      </c>
      <c r="W1417" s="6" t="str">
        <f>IFERROR(__xludf.DUMMYFUNCTION("""COMPUTED_VALUE"""),"Очень разные ....")</f>
        <v>Очень разные ....</v>
      </c>
      <c r="X1417" s="6" t="str">
        <f>IFERROR(__xludf.DUMMYFUNCTION("""COMPUTED_VALUE"""),"Набережная центрального района")</f>
        <v>Набережная центрального района</v>
      </c>
      <c r="Y1417" s="6" t="str">
        <f>IFERROR(__xludf.DUMMYFUNCTION("""COMPUTED_VALUE"""),"Переход к «дикому «капитализму...")</f>
        <v>Переход к «дикому «капитализму...</v>
      </c>
      <c r="Z1417" s="6" t="str">
        <f>IFERROR(__xludf.DUMMYFUNCTION("""COMPUTED_VALUE"""),"День города и выставки сибирских художников ")</f>
        <v>День города и выставки сибирских художников </v>
      </c>
      <c r="AA1417" s="6" t="str">
        <f>IFERROR(__xludf.DUMMYFUNCTION("""COMPUTED_VALUE"""),"Зимняя вишня , это последнее потрясение мирового масштаба ")</f>
        <v>Зимняя вишня , это последнее потрясение мирового масштаба </v>
      </c>
      <c r="AB1417" s="6" t="str">
        <f>IFERROR(__xludf.DUMMYFUNCTION("""COMPUTED_VALUE"""),"Мне хватает ")</f>
        <v>Мне хватает </v>
      </c>
      <c r="AC1417" s="6" t="str">
        <f>IFERROR(__xludf.DUMMYFUNCTION("""COMPUTED_VALUE"""),"Гонки на байдарках , стрельба из лука, хор ...")</f>
        <v>Гонки на байдарках , стрельба из лука, хор ...</v>
      </c>
      <c r="AD141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Запустить свой предпринимательский проект, ор"&amp;"ганизовать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Запустить свой предпринимательский проект, организовать компанию.</v>
      </c>
      <c r="AE1417" s="6" t="str">
        <f>IFERROR(__xludf.DUMMYFUNCTION("""COMPUTED_VALUE"""),"Мужской")</f>
        <v>Мужской</v>
      </c>
      <c r="AF1417" s="6" t="str">
        <f>IFERROR(__xludf.DUMMYFUNCTION("""COMPUTED_VALUE"""),"старше 55")</f>
        <v>старше 55</v>
      </c>
      <c r="AG1417" s="6"/>
      <c r="AH1417" s="6"/>
      <c r="AI1417" s="6"/>
      <c r="AJ1417" s="6"/>
      <c r="AK1417" s="6"/>
      <c r="AL1417" s="6"/>
      <c r="AM1417" s="6"/>
    </row>
    <row r="1418">
      <c r="A1418" s="6">
        <v>1417.0</v>
      </c>
      <c r="B1418" s="6" t="str">
        <f>IFERROR(__xludf.DUMMYFUNCTION("""COMPUTED_VALUE"""),"Финансы, банк")</f>
        <v>Финансы, банк</v>
      </c>
      <c r="C1418" s="6" t="str">
        <f>IFERROR(__xludf.DUMMYFUNCTION("""COMPUTED_VALUE"""),"Синематограф :)")</f>
        <v>Синематограф :)</v>
      </c>
      <c r="D1418" s="6" t="str">
        <f>IFERROR(__xludf.DUMMYFUNCTION("""COMPUTED_VALUE"""),"Лесная поляна ( на Поляне )")</f>
        <v>Лесная поляна ( на Поляне )</v>
      </c>
      <c r="E1418" s="6" t="str">
        <f>IFERROR(__xludf.DUMMYFUNCTION("""COMPUTED_VALUE"""),"Парк Лесная сказка, возможность по тайге погулять зимой")</f>
        <v>Парк Лесная сказка, возможность по тайге погулять зимой</v>
      </c>
      <c r="F1418" s="6" t="str">
        <f>IFERROR(__xludf.DUMMYFUNCTION("""COMPUTED_VALUE"""),"Живу здесь с рождения")</f>
        <v>Живу здесь с рождения</v>
      </c>
      <c r="G1418" s="6" t="str">
        <f>IFERROR(__xludf.DUMMYFUNCTION("""COMPUTED_VALUE"""),"Рестораны , музеи , прогулки на велике ")</f>
        <v>Рестораны , музеи , прогулки на велике </v>
      </c>
      <c r="H1418" s="6" t="str">
        <f>IFERROR(__xludf.DUMMYFUNCTION("""COMPUTED_VALUE"""),"Уют, чистота, неспешный")</f>
        <v>Уют, чистота, неспешный</v>
      </c>
      <c r="I1418" s="6" t="str">
        <f>IFERROR(__xludf.DUMMYFUNCTION("""COMPUTED_VALUE"""),"Алексей Леонов, Иван Ярыгин ")</f>
        <v>Алексей Леонов, Иван Ярыгин </v>
      </c>
      <c r="J1418" s="6" t="str">
        <f>IFERROR(__xludf.DUMMYFUNCTION("""COMPUTED_VALUE"""),"Гришковец , Машков - из творческих, Тиньков - из бизнеса, Арбачаков - из спорта, экс мэр Михайлов - за все респект ему.")</f>
        <v>Гришковец , Машков - из творческих, Тиньков - из бизнеса, Арбачаков - из спорта, экс мэр Михайлов - за все респект ему.</v>
      </c>
      <c r="K1418" s="6" t="str">
        <f>IFERROR(__xludf.DUMMYFUNCTION("""COMPUTED_VALUE"""),"Музей Красная Горка, набережная и ул Весенняя, Краеведческий музей новый, чаша Кедровского разреза, офис GoodLine обязательно, Томская писаница ")</f>
        <v>Музей Красная Горка, набережная и ул Весенняя, Краеведческий музей новый, чаша Кедровского разреза, офис GoodLine обязательно, Томская писаница </v>
      </c>
      <c r="L1418" s="6" t="str">
        <f>IFERROR(__xludf.DUMMYFUNCTION("""COMPUTED_VALUE"""),"- ")</f>
        <v>- </v>
      </c>
      <c r="M1418" s="6" t="str">
        <f>IFERROR(__xludf.DUMMYFUNCTION("""COMPUTED_VALUE"""),"- ")</f>
        <v>- </v>
      </c>
      <c r="N1418" s="6" t="str">
        <f>IFERROR(__xludf.DUMMYFUNCTION("""COMPUTED_VALUE"""),"Быстрый доступ в любую часть города, чистота улиц, несуетливость , возможность качественно повести досуг ")</f>
        <v>Быстрый доступ в любую часть города, чистота улиц, несуетливость , возможность качественно повести досуг </v>
      </c>
      <c r="O1418" s="6" t="str">
        <f>IFERROR(__xludf.DUMMYFUNCTION("""COMPUTED_VALUE"""),"Отношение жителей к городу и к самим себе ")</f>
        <v>Отношение жителей к городу и к самим себе </v>
      </c>
      <c r="P1418" s="6" t="str">
        <f>IFERROR(__xludf.DUMMYFUNCTION("""COMPUTED_VALUE"""),"- ")</f>
        <v>- </v>
      </c>
      <c r="Q1418"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418" s="6" t="str">
        <f>IFERROR(__xludf.DUMMYFUNCTION("""COMPUTED_VALUE"""),"Нет таких , раньше День города привлекал ")</f>
        <v>Нет таких , раньше День города привлекал </v>
      </c>
      <c r="S1418" s="6" t="str">
        <f>IFERROR(__xludf.DUMMYFUNCTION("""COMPUTED_VALUE"""),"Нет, не приходилось")</f>
        <v>Нет, не приходилось</v>
      </c>
      <c r="T1418" s="6" t="str">
        <f>IFERROR(__xludf.DUMMYFUNCTION("""COMPUTED_VALUE"""),"Регион тяжелой индустрии, а город уютный, многие улыбаются идут")</f>
        <v>Регион тяжелой индустрии, а город уютный, многие улыбаются идут</v>
      </c>
      <c r="U1418" s="6" t="str">
        <f>IFERROR(__xludf.DUMMYFUNCTION("""COMPUTED_VALUE"""),"Ул Весенняя, фонтан у Драмы ")</f>
        <v>Ул Весенняя, фонтан у Драмы </v>
      </c>
      <c r="V1418" s="6" t="str">
        <f>IFERROR(__xludf.DUMMYFUNCTION("""COMPUTED_VALUE"""),"Работали усердно , оставаясь порядочными людьми ")</f>
        <v>Работали усердно , оставаясь порядочными людьми </v>
      </c>
      <c r="W1418" s="6" t="str">
        <f>IFERROR(__xludf.DUMMYFUNCTION("""COMPUTED_VALUE"""),"В среднем: открытые,  с характером  (чуть борзые в хорошем смысле) , трудолюбивые")</f>
        <v>В среднем: открытые,  с характером  (чуть борзые в хорошем смысле) , трудолюбивые</v>
      </c>
      <c r="X1418" s="6" t="str">
        <f>IFERROR(__xludf.DUMMYFUNCTION("""COMPUTED_VALUE"""),"Сначала :Смотровая площадка Красной горки - вид на город и на промзону оч круто. Потом Старый центр : пл Пушкина  - пл Советов - Весенняя - набережная. Затем в Лесную Поляну ехать гулять ")</f>
        <v>Сначала :Смотровая площадка Красной горки - вид на город и на промзону оч круто. Потом Старый центр : пл Пушкина  - пл Советов - Весенняя - набережная. Затем в Лесную Поляну ехать гулять </v>
      </c>
      <c r="Y1418" s="6" t="str">
        <f>IFERROR(__xludf.DUMMYFUNCTION("""COMPUTED_VALUE"""),"Гришковец как событие годится?")</f>
        <v>Гришковец как событие годится?</v>
      </c>
      <c r="Z1418" s="6" t="str">
        <f>IFERROR(__xludf.DUMMYFUNCTION("""COMPUTED_VALUE"""),"Строить больше стали, Ремонт бульвара Строителей")</f>
        <v>Строить больше стали, Ремонт бульвара Строителей</v>
      </c>
      <c r="AA1418" s="6" t="str">
        <f>IFERROR(__xludf.DUMMYFUNCTION("""COMPUTED_VALUE"""),"Возможный запуск шахты/разреза у Лесной Поляны")</f>
        <v>Возможный запуск шахты/разреза у Лесной Поляны</v>
      </c>
      <c r="AB1418" s="6" t="str">
        <f>IFERROR(__xludf.DUMMYFUNCTION("""COMPUTED_VALUE"""),"Творческих ")</f>
        <v>Творческих </v>
      </c>
      <c r="AC1418" s="6" t="str">
        <f>IFERROR(__xludf.DUMMYFUNCTION("""COMPUTED_VALUE"""),"Концерты/фестивали - нормальные артисты до нас не доезжают совсем ")</f>
        <v>Концерты/фестивали - нормальные артисты до нас не доезжают совсем </v>
      </c>
      <c r="AD1418"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418" s="6" t="str">
        <f>IFERROR(__xludf.DUMMYFUNCTION("""COMPUTED_VALUE"""),"Мужской")</f>
        <v>Мужской</v>
      </c>
      <c r="AF1418" s="6" t="str">
        <f>IFERROR(__xludf.DUMMYFUNCTION("""COMPUTED_VALUE"""),"45-55")</f>
        <v>45-55</v>
      </c>
      <c r="AG1418" s="6"/>
      <c r="AH1418" s="6"/>
      <c r="AI1418" s="6"/>
      <c r="AJ1418" s="6"/>
      <c r="AK1418" s="6"/>
      <c r="AL1418" s="6"/>
      <c r="AM1418" s="6"/>
    </row>
    <row r="1419">
      <c r="A1419" s="6">
        <v>1418.0</v>
      </c>
      <c r="B1419" s="6" t="str">
        <f>IFERROR(__xludf.DUMMYFUNCTION("""COMPUTED_VALUE"""),"Преподаватель ")</f>
        <v>Преподаватель </v>
      </c>
      <c r="C1419" s="6" t="str">
        <f>IFERROR(__xludf.DUMMYFUNCTION("""COMPUTED_VALUE"""),"Дизайн ")</f>
        <v>Дизайн </v>
      </c>
      <c r="D1419" s="6" t="str">
        <f>IFERROR(__xludf.DUMMYFUNCTION("""COMPUTED_VALUE"""),"В заводском, называю швейка ")</f>
        <v>В заводском, называю швейка </v>
      </c>
      <c r="E1419" s="6" t="str">
        <f>IFERROR(__xludf.DUMMYFUNCTION("""COMPUTED_VALUE"""),"Парк ангелов, сквер юности ")</f>
        <v>Парк ангелов, сквер юности </v>
      </c>
      <c r="F1419" s="6" t="str">
        <f>IFERROR(__xludf.DUMMYFUNCTION("""COMPUTED_VALUE"""),"Живу здесь с рождения")</f>
        <v>Живу здесь с рождения</v>
      </c>
      <c r="G1419" s="6" t="str">
        <f>IFERROR(__xludf.DUMMYFUNCTION("""COMPUTED_VALUE"""),"В Ленинский район езжу, там гуляю и там в парке кузбасском люблю быть ")</f>
        <v>В Ленинский район езжу, там гуляю и там в парке кузбасском люблю быть </v>
      </c>
      <c r="H1419" s="6" t="str">
        <f>IFERROR(__xludf.DUMMYFUNCTION("""COMPUTED_VALUE"""),"Михайло Волков, ссылка, частный сектор, пыль, зимняя вишня")</f>
        <v>Михайло Волков, ссылка, частный сектор, пыль, зимняя вишня</v>
      </c>
      <c r="I1419" s="6" t="str">
        <f>IFERROR(__xludf.DUMMYFUNCTION("""COMPUTED_VALUE"""),"Михайло Волков, Гришковец")</f>
        <v>Михайло Волков, Гришковец</v>
      </c>
      <c r="J1419" s="6" t="str">
        <f>IFERROR(__xludf.DUMMYFUNCTION("""COMPUTED_VALUE"""),"Честно, нет таких ")</f>
        <v>Честно, нет таких </v>
      </c>
      <c r="K1419" s="6" t="str">
        <f>IFERROR(__xludf.DUMMYFUNCTION("""COMPUTED_VALUE"""),"Парк ангелов, парк кузбасский, лесную поляну ")</f>
        <v>Парк ангелов, парк кузбасский, лесную поляну </v>
      </c>
      <c r="L1419" s="6" t="str">
        <f>IFERROR(__xludf.DUMMYFUNCTION("""COMPUTED_VALUE"""),"Не знаю ")</f>
        <v>Не знаю </v>
      </c>
      <c r="M1419" s="6" t="str">
        <f>IFERROR(__xludf.DUMMYFUNCTION("""COMPUTED_VALUE"""),"Нет ")</f>
        <v>Нет </v>
      </c>
      <c r="N1419" s="6" t="str">
        <f>IFERROR(__xludf.DUMMYFUNCTION("""COMPUTED_VALUE"""),"Экология, высокие з/п, транспортные развязки, адекватные цены на Недвижимость, большой рынок труда ")</f>
        <v>Экология, высокие з/п, транспортные развязки, адекватные цены на Недвижимость, большой рынок труда </v>
      </c>
      <c r="O1419" s="6" t="str">
        <f>IFERROR(__xludf.DUMMYFUNCTION("""COMPUTED_VALUE"""),"Больше транспорта, хороших дорог, выше зп ")</f>
        <v>Больше транспорта, хороших дорог, выше зп </v>
      </c>
      <c r="P1419" s="6" t="str">
        <f>IFERROR(__xludf.DUMMYFUNCTION("""COMPUTED_VALUE"""),"Яндекс новости ")</f>
        <v>Яндекс новости </v>
      </c>
      <c r="Q1419" s="6" t="str">
        <f>IFERROR(__xludf.DUMMYFUNCTION("""COMPUTED_VALUE"""),"куда пойти в свободное время, где вкусно поесть/открытие новых кафе/ресторанов, культурные новинки (что почитать/что послушать), новости про новые профессии/куда поступать/вакансии")</f>
        <v>куда пойти в свободное время, где вкусно поесть/открытие новых кафе/ресторанов, культурные новинки (что почитать/что послушать), новости про новые профессии/куда поступать/вакансии</v>
      </c>
      <c r="R1419" s="6" t="str">
        <f>IFERROR(__xludf.DUMMYFUNCTION("""COMPUTED_VALUE"""),"9 мая")</f>
        <v>9 мая</v>
      </c>
      <c r="S1419" s="6" t="str">
        <f>IFERROR(__xludf.DUMMYFUNCTION("""COMPUTED_VALUE"""),"Нет, не приходилось")</f>
        <v>Нет, не приходилось</v>
      </c>
      <c r="T1419" s="6" t="str">
        <f>IFERROR(__xludf.DUMMYFUNCTION("""COMPUTED_VALUE"""),"К сожалению, только трагедией (спрашивала у знакомых из других городов и стран). Уникален город, что несколько лет лидируют в рейтинге «города, жители которых хотят оттуда уехать»")</f>
        <v>К сожалению, только трагедией (спрашивала у знакомых из других городов и стран). Уникален город, что несколько лет лидируют в рейтинге «города, жители которых хотят оттуда уехать»</v>
      </c>
      <c r="U1419" s="6" t="str">
        <f>IFERROR(__xludf.DUMMYFUNCTION("""COMPUTED_VALUE"""),"Цирк ")</f>
        <v>Цирк </v>
      </c>
      <c r="V1419" s="6" t="str">
        <f>IFERROR(__xludf.DUMMYFUNCTION("""COMPUTED_VALUE"""),"Я не могу сказать, что горжусь городом ")</f>
        <v>Я не могу сказать, что горжусь городом </v>
      </c>
      <c r="W1419" s="6" t="str">
        <f>IFERROR(__xludf.DUMMYFUNCTION("""COMPUTED_VALUE"""),"Обычные провинциальные люди, недовольные жизнью ")</f>
        <v>Обычные провинциальные люди, недовольные жизнью </v>
      </c>
      <c r="X1419" s="6" t="str">
        <f>IFERROR(__xludf.DUMMYFUNCTION("""COMPUTED_VALUE"""),"Кузбасский парк ")</f>
        <v>Кузбасский парк </v>
      </c>
      <c r="Y1419" s="6" t="str">
        <f>IFERROR(__xludf.DUMMYFUNCTION("""COMPUTED_VALUE"""),"Будет Кузбасс 300")</f>
        <v>Будет Кузбасс 300</v>
      </c>
      <c r="Z1419" s="6" t="str">
        <f>IFERROR(__xludf.DUMMYFUNCTION("""COMPUTED_VALUE"""),"Не припомню таких")</f>
        <v>Не припомню таких</v>
      </c>
      <c r="AA1419" s="6" t="str">
        <f>IFERROR(__xludf.DUMMYFUNCTION("""COMPUTED_VALUE"""),"Зимняя вишня, убийство девушки с нереагированием на это полиции, неадекватное повышение цены на Недвижимость и слова Цивилева о том , что это было планово ")</f>
        <v>Зимняя вишня, убийство девушки с нереагированием на это полиции, неадекватное повышение цены на Недвижимость и слова Цивилева о том , что это было планово </v>
      </c>
      <c r="AB1419" s="6" t="str">
        <f>IFERROR(__xludf.DUMMYFUNCTION("""COMPUTED_VALUE"""),"Вообще их наличия не хватает ")</f>
        <v>Вообще их наличия не хватает </v>
      </c>
      <c r="AC1419" s="6" t="str">
        <f>IFERROR(__xludf.DUMMYFUNCTION("""COMPUTED_VALUE"""),"Молодежные и бесплатные ")</f>
        <v>Молодежные и бесплатные </v>
      </c>
      <c r="AD1419"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419" s="6" t="str">
        <f>IFERROR(__xludf.DUMMYFUNCTION("""COMPUTED_VALUE"""),"Женский")</f>
        <v>Женский</v>
      </c>
      <c r="AF1419" s="6" t="str">
        <f>IFERROR(__xludf.DUMMYFUNCTION("""COMPUTED_VALUE"""),"18-29")</f>
        <v>18-29</v>
      </c>
      <c r="AG1419" s="6"/>
      <c r="AH1419" s="6"/>
      <c r="AI1419" s="6"/>
      <c r="AJ1419" s="6"/>
      <c r="AK1419" s="6"/>
      <c r="AL1419" s="6"/>
      <c r="AM1419" s="6"/>
    </row>
    <row r="1420">
      <c r="A1420" s="6">
        <v>1419.0</v>
      </c>
      <c r="B1420" s="6" t="str">
        <f>IFERROR(__xludf.DUMMYFUNCTION("""COMPUTED_VALUE"""),"Преподаватель ")</f>
        <v>Преподаватель </v>
      </c>
      <c r="C1420" s="6" t="str">
        <f>IFERROR(__xludf.DUMMYFUNCTION("""COMPUTED_VALUE"""),"Дизайн ")</f>
        <v>Дизайн </v>
      </c>
      <c r="D1420" s="6" t="str">
        <f>IFERROR(__xludf.DUMMYFUNCTION("""COMPUTED_VALUE"""),"В заводском, называю швейка ")</f>
        <v>В заводском, называю швейка </v>
      </c>
      <c r="E1420" s="6" t="str">
        <f>IFERROR(__xludf.DUMMYFUNCTION("""COMPUTED_VALUE"""),"Парк ангелов, сквер юности ")</f>
        <v>Парк ангелов, сквер юности </v>
      </c>
      <c r="F1420" s="6" t="str">
        <f>IFERROR(__xludf.DUMMYFUNCTION("""COMPUTED_VALUE"""),"Живу здесь с рождения")</f>
        <v>Живу здесь с рождения</v>
      </c>
      <c r="G1420" s="6" t="str">
        <f>IFERROR(__xludf.DUMMYFUNCTION("""COMPUTED_VALUE"""),"В Ленинский район езжу, там гуляю и там в парке кузбасском люблю быть ")</f>
        <v>В Ленинский район езжу, там гуляю и там в парке кузбасском люблю быть </v>
      </c>
      <c r="H1420" s="6" t="str">
        <f>IFERROR(__xludf.DUMMYFUNCTION("""COMPUTED_VALUE"""),"Михайло Волков, ссылка, частный сектор, пыль, зимняя вишня")</f>
        <v>Михайло Волков, ссылка, частный сектор, пыль, зимняя вишня</v>
      </c>
      <c r="I1420" s="6" t="str">
        <f>IFERROR(__xludf.DUMMYFUNCTION("""COMPUTED_VALUE"""),"Михайло Волков, Гришковец")</f>
        <v>Михайло Волков, Гришковец</v>
      </c>
      <c r="J1420" s="6" t="str">
        <f>IFERROR(__xludf.DUMMYFUNCTION("""COMPUTED_VALUE"""),"Честно, нет таких ")</f>
        <v>Честно, нет таких </v>
      </c>
      <c r="K1420" s="6" t="str">
        <f>IFERROR(__xludf.DUMMYFUNCTION("""COMPUTED_VALUE"""),"Парк ангелов, парк кузбасский, лесную поляну ")</f>
        <v>Парк ангелов, парк кузбасский, лесную поляну </v>
      </c>
      <c r="L1420" s="6" t="str">
        <f>IFERROR(__xludf.DUMMYFUNCTION("""COMPUTED_VALUE"""),"Не знаю ")</f>
        <v>Не знаю </v>
      </c>
      <c r="M1420" s="6" t="str">
        <f>IFERROR(__xludf.DUMMYFUNCTION("""COMPUTED_VALUE"""),"Нет ")</f>
        <v>Нет </v>
      </c>
      <c r="N1420" s="6" t="str">
        <f>IFERROR(__xludf.DUMMYFUNCTION("""COMPUTED_VALUE"""),"Экология, высокие з/п, транспортные развязки, адекватные цены на Недвижимость, большой рынок труда ")</f>
        <v>Экология, высокие з/п, транспортные развязки, адекватные цены на Недвижимость, большой рынок труда </v>
      </c>
      <c r="O1420" s="6" t="str">
        <f>IFERROR(__xludf.DUMMYFUNCTION("""COMPUTED_VALUE"""),"Больше транспорта, хороших дорог, выше зп ")</f>
        <v>Больше транспорта, хороших дорог, выше зп </v>
      </c>
      <c r="P1420" s="6" t="str">
        <f>IFERROR(__xludf.DUMMYFUNCTION("""COMPUTED_VALUE"""),"Яндекс новости ")</f>
        <v>Яндекс новости </v>
      </c>
      <c r="Q1420" s="6" t="str">
        <f>IFERROR(__xludf.DUMMYFUNCTION("""COMPUTED_VALUE"""),"куда пойти в свободное время, где вкусно поесть/открытие новых кафе/ресторанов, культурные новинки (что почитать/что послушать), новости про новые профессии/куда поступать/вакансии")</f>
        <v>куда пойти в свободное время, где вкусно поесть/открытие новых кафе/ресторанов, культурные новинки (что почитать/что послушать), новости про новые профессии/куда поступать/вакансии</v>
      </c>
      <c r="R1420" s="6" t="str">
        <f>IFERROR(__xludf.DUMMYFUNCTION("""COMPUTED_VALUE"""),"9 мая")</f>
        <v>9 мая</v>
      </c>
      <c r="S1420" s="6" t="str">
        <f>IFERROR(__xludf.DUMMYFUNCTION("""COMPUTED_VALUE"""),"Нет, не приходилось")</f>
        <v>Нет, не приходилось</v>
      </c>
      <c r="T1420" s="6" t="str">
        <f>IFERROR(__xludf.DUMMYFUNCTION("""COMPUTED_VALUE"""),"К сожалению, только трагедией (спрашивала у знакомых из других городов и стран). Уникален город, что несколько лет лидируют в рейтинге «города, жители которых хотят оттуда уехать»")</f>
        <v>К сожалению, только трагедией (спрашивала у знакомых из других городов и стран). Уникален город, что несколько лет лидируют в рейтинге «города, жители которых хотят оттуда уехать»</v>
      </c>
      <c r="U1420" s="6" t="str">
        <f>IFERROR(__xludf.DUMMYFUNCTION("""COMPUTED_VALUE"""),"Цирк ")</f>
        <v>Цирк </v>
      </c>
      <c r="V1420" s="6" t="str">
        <f>IFERROR(__xludf.DUMMYFUNCTION("""COMPUTED_VALUE"""),"Я не могу сказать, что горжусь городом ")</f>
        <v>Я не могу сказать, что горжусь городом </v>
      </c>
      <c r="W1420" s="6" t="str">
        <f>IFERROR(__xludf.DUMMYFUNCTION("""COMPUTED_VALUE"""),"Обычные провинциальные люди, недовольные жизнью ")</f>
        <v>Обычные провинциальные люди, недовольные жизнью </v>
      </c>
      <c r="X1420" s="6" t="str">
        <f>IFERROR(__xludf.DUMMYFUNCTION("""COMPUTED_VALUE"""),"Кузбасский парк ")</f>
        <v>Кузбасский парк </v>
      </c>
      <c r="Y1420" s="6" t="str">
        <f>IFERROR(__xludf.DUMMYFUNCTION("""COMPUTED_VALUE"""),"Будет Кузбасс 300")</f>
        <v>Будет Кузбасс 300</v>
      </c>
      <c r="Z1420" s="6" t="str">
        <f>IFERROR(__xludf.DUMMYFUNCTION("""COMPUTED_VALUE"""),"Не припомню таких")</f>
        <v>Не припомню таких</v>
      </c>
      <c r="AA1420" s="6" t="str">
        <f>IFERROR(__xludf.DUMMYFUNCTION("""COMPUTED_VALUE"""),"Зимняя вишня, убийство девушки с нереагированием на это полиции, неадекватное повышение цены на Недвижимость и слова Цивилева о том , что это было планово ")</f>
        <v>Зимняя вишня, убийство девушки с нереагированием на это полиции, неадекватное повышение цены на Недвижимость и слова Цивилева о том , что это было планово </v>
      </c>
      <c r="AB1420" s="6" t="str">
        <f>IFERROR(__xludf.DUMMYFUNCTION("""COMPUTED_VALUE"""),"Вообще их наличия не хватает ")</f>
        <v>Вообще их наличия не хватает </v>
      </c>
      <c r="AC1420" s="6" t="str">
        <f>IFERROR(__xludf.DUMMYFUNCTION("""COMPUTED_VALUE"""),"Молодежные и бесплатные ")</f>
        <v>Молодежные и бесплатные </v>
      </c>
      <c r="AD1420"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420" s="6" t="str">
        <f>IFERROR(__xludf.DUMMYFUNCTION("""COMPUTED_VALUE"""),"Женский")</f>
        <v>Женский</v>
      </c>
      <c r="AF1420" s="6" t="str">
        <f>IFERROR(__xludf.DUMMYFUNCTION("""COMPUTED_VALUE"""),"18-29")</f>
        <v>18-29</v>
      </c>
      <c r="AG1420" s="6"/>
      <c r="AH1420" s="6"/>
      <c r="AI1420" s="6"/>
      <c r="AJ1420" s="6"/>
      <c r="AK1420" s="6"/>
      <c r="AL1420" s="6"/>
      <c r="AM1420" s="6"/>
    </row>
    <row r="1421">
      <c r="A1421" s="6">
        <v>1420.0</v>
      </c>
      <c r="B1421" s="6" t="str">
        <f>IFERROR(__xludf.DUMMYFUNCTION("""COMPUTED_VALUE"""),"Бизнес, торговля ")</f>
        <v>Бизнес, торговля </v>
      </c>
      <c r="C1421" s="6" t="str">
        <f>IFERROR(__xludf.DUMMYFUNCTION("""COMPUTED_VALUE"""),"Рукоделие ")</f>
        <v>Рукоделие </v>
      </c>
      <c r="D1421" s="6" t="str">
        <f>IFERROR(__xludf.DUMMYFUNCTION("""COMPUTED_VALUE"""),"Металлплощадка,  металлка")</f>
        <v>Металлплощадка,  металлка</v>
      </c>
      <c r="E1421" s="6" t="str">
        <f>IFERROR(__xludf.DUMMYFUNCTION("""COMPUTED_VALUE"""),"Всегда жила в Ленинском район, знаковый бульвар Строителей и озеро красное. Так и назвали: бульвар и Красное.")</f>
        <v>Всегда жила в Ленинском район, знаковый бульвар Строителей и озеро красное. Так и назвали: бульвар и Красное.</v>
      </c>
      <c r="F1421" s="6" t="str">
        <f>IFERROR(__xludf.DUMMYFUNCTION("""COMPUTED_VALUE"""),"Живу здесь с рождения")</f>
        <v>Живу здесь с рождения</v>
      </c>
      <c r="G1421" s="6" t="str">
        <f>IFERROR(__xludf.DUMMYFUNCTION("""COMPUTED_VALUE"""),"Томская писанина, хаски, страусиная ферма, набережная, весенняя улица, комсомольский парк")</f>
        <v>Томская писанина, хаски, страусиная ферма, набережная, весенняя улица, комсомольский парк</v>
      </c>
      <c r="H1421" s="6" t="str">
        <f>IFERROR(__xludf.DUMMYFUNCTION("""COMPUTED_VALUE"""),"Стройка, спокойно, компактно, понятно, развитие")</f>
        <v>Стройка, спокойно, компактно, понятно, развитие</v>
      </c>
      <c r="I1421" s="6" t="str">
        <f>IFERROR(__xludf.DUMMYFUNCTION("""COMPUTED_VALUE"""),"Упс. ")</f>
        <v>Упс. </v>
      </c>
      <c r="J1421" s="6" t="str">
        <f>IFERROR(__xludf.DUMMYFUNCTION("""COMPUTED_VALUE"""),"Гришковец, наверное. Не знаю больше")</f>
        <v>Гришковец, наверное. Не знаю больше</v>
      </c>
      <c r="K1421" s="6" t="str">
        <f>IFERROR(__xludf.DUMMYFUNCTION("""COMPUTED_VALUE"""),"Весенняя к набережной, ресторан Забой")</f>
        <v>Весенняя к набережной, ресторан Забой</v>
      </c>
      <c r="L1421" s="6" t="str">
        <f>IFERROR(__xludf.DUMMYFUNCTION("""COMPUTED_VALUE"""),"Песня «Человек из Кемерово»! Она про наш твёрдый, надёжный и упрямый характер. ")</f>
        <v>Песня «Человек из Кемерово»! Она про наш твёрдый, надёжный и упрямый характер. </v>
      </c>
      <c r="M1421" s="6" t="str">
        <f>IFERROR(__xludf.DUMMYFUNCTION("""COMPUTED_VALUE"""),"Нет")</f>
        <v>Нет</v>
      </c>
      <c r="N1421" s="6" t="str">
        <f>IFERROR(__xludf.DUMMYFUNCTION("""COMPUTED_VALUE"""),"Отсутствие кучи рекламных банеров! Отсутствие кучи киосков! Наличие интересных детских площадок и парков! Возможность припарковаться в центре. Удобный автомобильный трафик без пробок.")</f>
        <v>Отсутствие кучи рекламных банеров! Отсутствие кучи киосков! Наличие интересных детских площадок и парков! Возможность припарковаться в центре. Удобный автомобильный трафик без пробок.</v>
      </c>
      <c r="O1421" s="6" t="str">
        <f>IFERROR(__xludf.DUMMYFUNCTION("""COMPUTED_VALUE"""),"Дворы и дороги почистить и отремонтировать ")</f>
        <v>Дворы и дороги почистить и отремонтировать </v>
      </c>
      <c r="P1421" s="6" t="str">
        <f>IFERROR(__xludf.DUMMYFUNCTION("""COMPUTED_VALUE"""),"Афиша на А42 и аккаунты Кемеровской в Инстаграмм ")</f>
        <v>Афиша на А42 и аккаунты Кемеровской в Инстаграмм </v>
      </c>
      <c r="Q1421"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f>
        <v>куда пойти в свободное время, новости про новые профессии/куда поступать/вакансии, бизнес-новости (средний чек/рекламные акции/запуск новых предприятий)</v>
      </c>
      <c r="R1421" s="6" t="str">
        <f>IFERROR(__xludf.DUMMYFUNCTION("""COMPUTED_VALUE"""),"9 мая")</f>
        <v>9 мая</v>
      </c>
      <c r="S1421" s="6" t="str">
        <f>IFERROR(__xludf.DUMMYFUNCTION("""COMPUTED_VALUE"""),"Да. И праздники организовывала ")</f>
        <v>Да. И праздники организовывала </v>
      </c>
      <c r="T1421" s="6" t="str">
        <f>IFERROR(__xludf.DUMMYFUNCTION("""COMPUTED_VALUE"""),"Раньше Тулеевым)) сейчас елкой и зимней вишней(( для других регионов Кемерово - центр криминала угольного. От знакомых с других регионов все время слышим.")</f>
        <v>Раньше Тулеевым)) сейчас елкой и зимней вишней(( для других регионов Кемерово - центр криминала угольного. От знакомых с других регионов все время слышим.</v>
      </c>
      <c r="U1421" s="6" t="str">
        <f>IFERROR(__xludf.DUMMYFUNCTION("""COMPUTED_VALUE"""),"Площадь у драмтеатра ")</f>
        <v>Площадь у драмтеатра </v>
      </c>
      <c r="V1421" s="6" t="str">
        <f>IFERROR(__xludf.DUMMYFUNCTION("""COMPUTED_VALUE"""),"Развивали город, это заметно. Спальные районы стали комфортнее...")</f>
        <v>Развивали город, это заметно. Спальные районы стали комфортнее...</v>
      </c>
      <c r="W1421" s="6" t="str">
        <f>IFERROR(__xludf.DUMMYFUNCTION("""COMPUTED_VALUE"""),"Мне кажется, они угрюмее соседей. А сейчас ещё и ленивее.")</f>
        <v>Мне кажется, они угрюмее соседей. А сейчас ещё и ленивее.</v>
      </c>
      <c r="X1421" s="6" t="str">
        <f>IFERROR(__xludf.DUMMYFUNCTION("""COMPUTED_VALUE"""),"По весеньке до набережной, вернуться можно через площадь Пушкина и площадь Советов")</f>
        <v>По весеньке до набережной, вернуться можно через площадь Пушкина и площадь Советов</v>
      </c>
      <c r="Y1421" s="6" t="str">
        <f>IFERROR(__xludf.DUMMYFUNCTION("""COMPUTED_VALUE"""),"Не знаю такого")</f>
        <v>Не знаю такого</v>
      </c>
      <c r="Z1421" s="6" t="str">
        <f>IFERROR(__xludf.DUMMYFUNCTION("""COMPUTED_VALUE"""),"Велосипедные маршруты? Не помню ничего особенного")</f>
        <v>Велосипедные маршруты? Не помню ничего особенного</v>
      </c>
      <c r="AA1421" s="6" t="str">
        <f>IFERROR(__xludf.DUMMYFUNCTION("""COMPUTED_VALUE"""),"Елка на площади, вызвавшая негативное внимание жителей и других регионов.. ")</f>
        <v>Елка на площади, вызвавшая негативное внимание жителей и других регионов.. </v>
      </c>
      <c r="AB1421" s="6" t="str">
        <f>IFERROR(__xludf.DUMMYFUNCTION("""COMPUTED_VALUE"""),"Хватает ")</f>
        <v>Хватает </v>
      </c>
      <c r="AC1421" s="6" t="str">
        <f>IFERROR(__xludf.DUMMYFUNCTION("""COMPUTED_VALUE"""),"Мало выставок и гастролирующих спектаклей, особенно детских. Нет событий для взрослых или про них информации нет")</f>
        <v>Мало выставок и гастролирующих спектаклей, особенно детских. Нет событий для взрослых или про них информации нет</v>
      </c>
      <c r="AD1421"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пот"&amp;"енциально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421" s="6" t="str">
        <f>IFERROR(__xludf.DUMMYFUNCTION("""COMPUTED_VALUE"""),"Женский")</f>
        <v>Женский</v>
      </c>
      <c r="AF1421" s="6" t="str">
        <f>IFERROR(__xludf.DUMMYFUNCTION("""COMPUTED_VALUE"""),"30-44")</f>
        <v>30-44</v>
      </c>
      <c r="AG1421" s="6"/>
      <c r="AH1421" s="6"/>
      <c r="AI1421" s="6"/>
      <c r="AJ1421" s="6"/>
      <c r="AK1421" s="6"/>
      <c r="AL1421" s="6"/>
      <c r="AM1421" s="6"/>
    </row>
    <row r="1422">
      <c r="A1422" s="6">
        <v>1421.0</v>
      </c>
      <c r="B1422" s="6" t="str">
        <f>IFERROR(__xludf.DUMMYFUNCTION("""COMPUTED_VALUE"""),"Инженер-проектировщик, технический дизайнер")</f>
        <v>Инженер-проектировщик, технический дизайнер</v>
      </c>
      <c r="C1422" s="6" t="str">
        <f>IFERROR(__xludf.DUMMYFUNCTION("""COMPUTED_VALUE"""),"Бег, английский, тренажерка")</f>
        <v>Бег, английский, тренажерка</v>
      </c>
      <c r="D1422" s="6" t="str">
        <f>IFERROR(__xludf.DUMMYFUNCTION("""COMPUTED_VALUE"""),"Лесная поляна, либо так либо ЛП")</f>
        <v>Лесная поляна, либо так либо ЛП</v>
      </c>
      <c r="E1422" s="6" t="str">
        <f>IFERROR(__xludf.DUMMYFUNCTION("""COMPUTED_VALUE"""),"Сквер с Оленем, Парк Лесная сказка, тайга")</f>
        <v>Сквер с Оленем, Парк Лесная сказка, тайга</v>
      </c>
      <c r="F1422" s="6" t="str">
        <f>IFERROR(__xludf.DUMMYFUNCTION("""COMPUTED_VALUE"""),"Живу здесь с рождения")</f>
        <v>Живу здесь с рождения</v>
      </c>
      <c r="G1422" s="6" t="str">
        <f>IFERROR(__xludf.DUMMYFUNCTION("""COMPUTED_VALUE"""),"В парк у дома, набережная центр")</f>
        <v>В парк у дома, набережная центр</v>
      </c>
      <c r="H1422" s="6" t="str">
        <f>IFERROR(__xludf.DUMMYFUNCTION("""COMPUTED_VALUE"""),"Маленький, малоэтажный, угольный, немолодежный, зеленый")</f>
        <v>Маленький, малоэтажный, угольный, немолодежный, зеленый</v>
      </c>
      <c r="I1422" s="6" t="str">
        <f>IFERROR(__xludf.DUMMYFUNCTION("""COMPUTED_VALUE"""),"Леонов")</f>
        <v>Леонов</v>
      </c>
      <c r="J1422" s="6" t="str">
        <f>IFERROR(__xludf.DUMMYFUNCTION("""COMPUTED_VALUE"""),"Гришковец, михайлов")</f>
        <v>Гришковец, михайлов</v>
      </c>
      <c r="K1422" s="6" t="str">
        <f>IFERROR(__xludf.DUMMYFUNCTION("""COMPUTED_VALUE"""),"Парк лесная сказка, парк ангелов")</f>
        <v>Парк лесная сказка, парк ангелов</v>
      </c>
      <c r="L1422" s="6" t="str">
        <f>IFERROR(__xludf.DUMMYFUNCTION("""COMPUTED_VALUE"""),"Не знаю")</f>
        <v>Не знаю</v>
      </c>
      <c r="M1422" s="6" t="str">
        <f>IFERROR(__xludf.DUMMYFUNCTION("""COMPUTED_VALUE"""),"Мультифора, Лапа")</f>
        <v>Мультифора, Лапа</v>
      </c>
      <c r="N1422" s="6" t="str">
        <f>IFERROR(__xludf.DUMMYFUNCTION("""COMPUTED_VALUE"""),"Наличие парковочных  мест, хорошие дороги и тротуары, Мега тц, благоустроенные парки")</f>
        <v>Наличие парковочных  мест, хорошие дороги и тротуары, Мега тц, благоустроенные парки</v>
      </c>
      <c r="O1422" s="6" t="str">
        <f>IFERROR(__xludf.DUMMYFUNCTION("""COMPUTED_VALUE"""),"1. Третий мост; 2. Привлечение нового тц в город (как Мега, Галерея, Планета); 3. Создание классных фестивалей (как в Мск Путешествие в Рождество); приглашение выставок")</f>
        <v>1. Третий мост; 2. Привлечение нового тц в город (как Мега, Галерея, Планета); 3. Создание классных фестивалей (как в Мск Путешествие в Рождество); приглашение выставок</v>
      </c>
      <c r="P1422" s="6" t="str">
        <f>IFERROR(__xludf.DUMMYFUNCTION("""COMPUTED_VALUE"""),"От знакомых, на сайте Афиша Яндекс")</f>
        <v>От знакомых, на сайте Афиша Яндекс</v>
      </c>
      <c r="Q1422" s="6" t="str">
        <f>IFERROR(__xludf.DUMMYFUNCTION("""COMPUTED_VALUE"""),"где вкусно поесть/открытие новых кафе/ресторанов, городская афиша (кино/театр/концерты), интервью с местными предпринимателями")</f>
        <v>где вкусно поесть/открытие новых кафе/ресторанов, городская афиша (кино/театр/концерты), интервью с местными предпринимателями</v>
      </c>
      <c r="R1422" s="6" t="str">
        <f>IFERROR(__xludf.DUMMYFUNCTION("""COMPUTED_VALUE"""),"День шахтера, новый год")</f>
        <v>День шахтера, новый год</v>
      </c>
      <c r="S1422" s="6" t="str">
        <f>IFERROR(__xludf.DUMMYFUNCTION("""COMPUTED_VALUE"""),"Нет, не приходилось")</f>
        <v>Нет, не приходилось</v>
      </c>
      <c r="T1422" s="6" t="str">
        <f>IFERROR(__xludf.DUMMYFUNCTION("""COMPUTED_VALUE"""),"Бор посреди города, пожар в Зимней вишне прославил по всему миру")</f>
        <v>Бор посреди города, пожар в Зимней вишне прославил по всему миру</v>
      </c>
      <c r="U1422" s="6" t="str">
        <f>IFERROR(__xludf.DUMMYFUNCTION("""COMPUTED_VALUE"""),"Набережная, площадь Советов, площадь Пушкина")</f>
        <v>Набережная, площадь Советов, площадь Пушкина</v>
      </c>
      <c r="V1422" s="6" t="str">
        <f>IFERROR(__xludf.DUMMYFUNCTION("""COMPUTED_VALUE"""),"Пока ничего, сейчас надеюсь Притомский преобразится и будет культовым местом")</f>
        <v>Пока ничего, сейчас надеюсь Притомский преобразится и будет культовым местом</v>
      </c>
      <c r="W1422" s="6" t="str">
        <f>IFERROR(__xludf.DUMMYFUNCTION("""COMPUTED_VALUE"""),"Угрюмые, но душевные, работящие очень, вокруг меня много творческих")</f>
        <v>Угрюмые, но душевные, работящие очень, вокруг меня много творческих</v>
      </c>
      <c r="X1422" s="6" t="str">
        <f>IFERROR(__xludf.DUMMYFUNCTION("""COMPUTED_VALUE"""),"Лесная поляна, затем центр набережная, зайти в Порт42, потом от вечного огня до фонтана, от фонтана по Ноградской до филармонии")</f>
        <v>Лесная поляна, затем центр набережная, зайти в Порт42, потом от вечного огня до фонтана, от фонтана по Ноградской до филармонии</v>
      </c>
      <c r="Y1422" s="6" t="str">
        <f>IFERROR(__xludf.DUMMYFUNCTION("""COMPUTED_VALUE"""),"Нашли уголь:)")</f>
        <v>Нашли уголь:)</v>
      </c>
      <c r="Z1422" s="6" t="str">
        <f>IFERROR(__xludf.DUMMYFUNCTION("""COMPUTED_VALUE"""),"Открытие Кадетского корпуса и преображение того района, реставрация Бульвара Строителей")</f>
        <v>Открытие Кадетского корпуса и преображение того района, реставрация Бульвара Строителей</v>
      </c>
      <c r="AA1422" s="6" t="str">
        <f>IFERROR(__xludf.DUMMYFUNCTION("""COMPUTED_VALUE"""),"Зимняя вишня конечно")</f>
        <v>Зимняя вишня конечно</v>
      </c>
      <c r="AB1422" s="6" t="str">
        <f>IFERROR(__xludf.DUMMYFUNCTION("""COMPUTED_VALUE"""),"Дизайнерских сообществ")</f>
        <v>Дизайнерских сообществ</v>
      </c>
      <c r="AC1422" s="6" t="str">
        <f>IFERROR(__xludf.DUMMYFUNCTION("""COMPUTED_VALUE"""),"Выставок-продаж искусства, городских фестивалей. Что бесит ужасно: это колхозная ярмарка на площади советов с продажей еды. Другого места нет? Кроме самого центра. В прошлом году же смогли круто сделать локации на Нг! Хочется, чтобы переняли опыт у столич"&amp;"ных коллег, не надо изобретать велосипед, посмотрите, как делают там. Если создаете парки: ну посмотрите вы Парк Галицкого, Ходынку, Парк Горького, новую голландию. Почему все всегда скатывается в местячковый колхоз? Парк ангелов сделали красивым, но я по"&amp;" этическим соображениям не могу его приятно воспринимать")</f>
        <v>Выставок-продаж искусства, городских фестивалей. Что бесит ужасно: это колхозная ярмарка на площади советов с продажей еды. Другого места нет? Кроме самого центра. В прошлом году же смогли круто сделать локации на Нг! Хочется, чтобы переняли опыт у столичных коллег, не надо изобретать велосипед, посмотрите, как делают там. Если создаете парки: ну посмотрите вы Парк Галицкого, Ходынку, Парк Горького, новую голландию. Почему все всегда скатывается в местячковый колхоз? Парк ангелов сделали красивым, но я по этическим соображениям не могу его приятно воспринимать</v>
      </c>
      <c r="AD142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22" s="6" t="str">
        <f>IFERROR(__xludf.DUMMYFUNCTION("""COMPUTED_VALUE"""),"Женский")</f>
        <v>Женский</v>
      </c>
      <c r="AF1422" s="6" t="str">
        <f>IFERROR(__xludf.DUMMYFUNCTION("""COMPUTED_VALUE"""),"30-44")</f>
        <v>30-44</v>
      </c>
      <c r="AG1422" s="6"/>
      <c r="AH1422" s="6"/>
      <c r="AI1422" s="6"/>
      <c r="AJ1422" s="6"/>
      <c r="AK1422" s="6"/>
      <c r="AL1422" s="6"/>
      <c r="AM1422" s="6"/>
    </row>
    <row r="1423">
      <c r="A1423" s="6">
        <v>1422.0</v>
      </c>
      <c r="B1423" s="6" t="str">
        <f>IFERROR(__xludf.DUMMYFUNCTION("""COMPUTED_VALUE"""),"Студентка")</f>
        <v>Студентка</v>
      </c>
      <c r="C1423" s="6" t="str">
        <f>IFERROR(__xludf.DUMMYFUNCTION("""COMPUTED_VALUE"""),"Скалолазание, иллюстрирование, чтение, музыка")</f>
        <v>Скалолазание, иллюстрирование, чтение, музыка</v>
      </c>
      <c r="D1423" s="6" t="str">
        <f>IFERROR(__xludf.DUMMYFUNCTION("""COMPUTED_VALUE"""),"Заводский(южный-южка)")</f>
        <v>Заводский(южный-южка)</v>
      </c>
      <c r="E1423" s="6" t="str">
        <f>IFERROR(__xludf.DUMMYFUNCTION("""COMPUTED_VALUE"""),"Бульвар Патриотов, ДК")</f>
        <v>Бульвар Патриотов, ДК</v>
      </c>
      <c r="F1423" s="6" t="str">
        <f>IFERROR(__xludf.DUMMYFUNCTION("""COMPUTED_VALUE"""),"Живу здесь с рождения")</f>
        <v>Живу здесь с рождения</v>
      </c>
      <c r="G1423" s="6" t="str">
        <f>IFERROR(__xludf.DUMMYFUNCTION("""COMPUTED_VALUE"""),"Набережная, весенняя; кофейни, театр, парки, заброшки, скалы в Пещерке")</f>
        <v>Набережная, весенняя; кофейни, театр, парки, заброшки, скалы в Пещерке</v>
      </c>
      <c r="H1423" s="6" t="str">
        <f>IFERROR(__xludf.DUMMYFUNCTION("""COMPUTED_VALUE"""),"Все, что дальше от центра - серость, панельки, мусор; в центре уютно")</f>
        <v>Все, что дальше от центра - серость, панельки, мусор; в центре уютно</v>
      </c>
      <c r="I1423" s="6" t="str">
        <f>IFERROR(__xludf.DUMMYFUNCTION("""COMPUTED_VALUE"""),"Тулеев, Двужильный, Волошина, Леонов, Мартемьянов")</f>
        <v>Тулеев, Двужильный, Волошина, Леонов, Мартемьянов</v>
      </c>
      <c r="J1423" s="6" t="str">
        <f>IFERROR(__xludf.DUMMYFUNCTION("""COMPUTED_VALUE"""),"Гришковец, группа макулатура. Больше не знаю выдающихся современников.")</f>
        <v>Гришковец, группа макулатура. Больше не знаю выдающихся современников.</v>
      </c>
      <c r="K1423" s="6" t="str">
        <f>IFERROR(__xludf.DUMMYFUNCTION("""COMPUTED_VALUE"""),"набережная, парки, бор, скалы в Пещерке, заброшенные заводы")</f>
        <v>набережная, парки, бор, скалы в Пещерке, заброшенные заводы</v>
      </c>
      <c r="L1423" s="6" t="str">
        <f>IFERROR(__xludf.DUMMYFUNCTION("""COMPUTED_VALUE"""),"«Чем бы дитя не тешилось, лишь бы не плакало», «летом - пыль, зимою снег одолевает»")</f>
        <v>«Чем бы дитя не тешилось, лишь бы не плакало», «летом - пыль, зимою снег одолевает»</v>
      </c>
      <c r="M1423" s="6" t="str">
        <f>IFERROR(__xludf.DUMMYFUNCTION("""COMPUTED_VALUE"""),"Мультифора, корректор, утренний смог, яшка, лапа")</f>
        <v>Мультифора, корректор, утренний смог, яшка, лапа</v>
      </c>
      <c r="N1423" s="6" t="str">
        <f>IFERROR(__xludf.DUMMYFUNCTION("""COMPUTED_VALUE"""),"Велодорожки, парки с зоной для животных и с зоной для детей, однородная архитектура, комфортные условия для инвалидов, чистота")</f>
        <v>Велодорожки, парки с зоной для животных и с зоной для детей, однородная архитектура, комфортные условия для инвалидов, чистота</v>
      </c>
      <c r="O1423" s="6" t="str">
        <f>IFERROR(__xludf.DUMMYFUNCTION("""COMPUTED_VALUE"""),"Доступность транспорта до отдаленных районов, равномерная обустроенность районов, увеличить количество урн")</f>
        <v>Доступность транспорта до отдаленных районов, равномерная обустроенность районов, увеличить количество урн</v>
      </c>
      <c r="P1423" s="6" t="str">
        <f>IFERROR(__xludf.DUMMYFUNCTION("""COMPUTED_VALUE"""),"Из соцсетей, таких как: Инстраграм, ВКонтакте ")</f>
        <v>Из соцсетей, таких как: Инстраграм, ВКонтакте </v>
      </c>
      <c r="Q1423"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v>
      </c>
      <c r="R1423" s="6" t="str">
        <f>IFERROR(__xludf.DUMMYFUNCTION("""COMPUTED_VALUE"""),"9 мая")</f>
        <v>9 мая</v>
      </c>
      <c r="S1423" s="6" t="str">
        <f>IFERROR(__xludf.DUMMYFUNCTION("""COMPUTED_VALUE"""),"Через социальные сети (Какие? Укажите в графе другое), Вконтакте ")</f>
        <v>Через социальные сети (Какие? Укажите в графе другое), Вконтакте </v>
      </c>
      <c r="T1423" s="6" t="str">
        <f>IFERROR(__xludf.DUMMYFUNCTION("""COMPUTED_VALUE"""),"История ")</f>
        <v>История </v>
      </c>
      <c r="U1423" s="6" t="str">
        <f>IFERROR(__xludf.DUMMYFUNCTION("""COMPUTED_VALUE"""),"Площадь советов")</f>
        <v>Площадь советов</v>
      </c>
      <c r="V1423" s="6" t="str">
        <f>IFERROR(__xludf.DUMMYFUNCTION("""COMPUTED_VALUE"""),"Основали и развили город до той стадии, в которой мы живем сейчас")</f>
        <v>Основали и развили город до той стадии, в которой мы живем сейчас</v>
      </c>
      <c r="W1423" s="6" t="str">
        <f>IFERROR(__xludf.DUMMYFUNCTION("""COMPUTED_VALUE"""),"Разные. В основном шумные и склонные к конфликтам. Но есть и культурные, интересные личности")</f>
        <v>Разные. В основном шумные и склонные к конфликтам. Но есть и культурные, интересные личности</v>
      </c>
      <c r="X1423" s="6" t="str">
        <f>IFERROR(__xludf.DUMMYFUNCTION("""COMPUTED_VALUE"""),"Площадь советов-драмтеатр-набережная, парк ангелов")</f>
        <v>Площадь советов-драмтеатр-набережная, парк ангелов</v>
      </c>
      <c r="Y1423" s="6" t="str">
        <f>IFERROR(__xludf.DUMMYFUNCTION("""COMPUTED_VALUE"""),".")</f>
        <v>.</v>
      </c>
      <c r="Z1423" s="6" t="str">
        <f>IFERROR(__xludf.DUMMYFUNCTION("""COMPUTED_VALUE"""),".")</f>
        <v>.</v>
      </c>
      <c r="AA1423" s="6" t="str">
        <f>IFERROR(__xludf.DUMMYFUNCTION("""COMPUTED_VALUE"""),".")</f>
        <v>.</v>
      </c>
      <c r="AB1423" s="6" t="str">
        <f>IFERROR(__xludf.DUMMYFUNCTION("""COMPUTED_VALUE"""),"Клубы альпинизма, клуб для любителей книг и фильмов")</f>
        <v>Клубы альпинизма, клуб для любителей книг и фильмов</v>
      </c>
      <c r="AC1423" s="6" t="str">
        <f>IFERROR(__xludf.DUMMYFUNCTION("""COMPUTED_VALUE"""),"Выставки, вечера поэзии, концерты местных групп, соревнования по альпинизму")</f>
        <v>Выставки, вечера поэзии, концерты местных групп, соревнования по альпинизму</v>
      </c>
      <c r="AD142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423" s="6" t="str">
        <f>IFERROR(__xludf.DUMMYFUNCTION("""COMPUTED_VALUE"""),"Женский")</f>
        <v>Женский</v>
      </c>
      <c r="AF1423" s="6" t="str">
        <f>IFERROR(__xludf.DUMMYFUNCTION("""COMPUTED_VALUE"""),"18-29")</f>
        <v>18-29</v>
      </c>
      <c r="AG1423" s="6"/>
      <c r="AH1423" s="6"/>
      <c r="AI1423" s="6"/>
      <c r="AJ1423" s="6"/>
      <c r="AK1423" s="6"/>
      <c r="AL1423" s="6"/>
      <c r="AM1423" s="6"/>
    </row>
    <row r="1424">
      <c r="A1424" s="6">
        <v>1423.0</v>
      </c>
      <c r="B1424" s="6" t="str">
        <f>IFERROR(__xludf.DUMMYFUNCTION("""COMPUTED_VALUE"""),"Офисная работа")</f>
        <v>Офисная работа</v>
      </c>
      <c r="C1424" s="6" t="str">
        <f>IFERROR(__xludf.DUMMYFUNCTION("""COMPUTED_VALUE"""),"Урбанистика. Сноуборд")</f>
        <v>Урбанистика. Сноуборд</v>
      </c>
      <c r="D1424" s="6" t="str">
        <f>IFERROR(__xludf.DUMMYFUNCTION("""COMPUTED_VALUE"""),"Центральный район")</f>
        <v>Центральный район</v>
      </c>
      <c r="E1424" s="6" t="str">
        <f>IFERROR(__xludf.DUMMYFUNCTION("""COMPUTED_VALUE"""),"Набережная; ул. Весенняя; памятник Шахтерам, парк Ангелов, бульвар Строителей")</f>
        <v>Набережная; ул. Весенняя; памятник Шахтерам, парк Ангелов, бульвар Строителей</v>
      </c>
      <c r="F1424" s="6" t="str">
        <f>IFERROR(__xludf.DUMMYFUNCTION("""COMPUTED_VALUE"""),"Переехал сюда из другого места (откуда? укажите в графе другое), Республика Бурятия")</f>
        <v>Переехал сюда из другого места (откуда? укажите в графе другое), Республика Бурятия</v>
      </c>
      <c r="G1424" s="6" t="str">
        <f>IFERROR(__xludf.DUMMYFUNCTION("""COMPUTED_VALUE"""),"Парки города: Бульвар, Сосновый бор, Комсомольский парк, парк (территория) вокруг Кадетского училища")</f>
        <v>Парки города: Бульвар, Сосновый бор, Комсомольский парк, парк (территория) вокруг Кадетского училища</v>
      </c>
      <c r="H1424" s="6" t="str">
        <f>IFERROR(__xludf.DUMMYFUNCTION("""COMPUTED_VALUE"""),"Томь, Зимняя Вишня, Тулеев, угольная столица, Гришковец")</f>
        <v>Томь, Зимняя Вишня, Тулеев, угольная столица, Гришковец</v>
      </c>
      <c r="I1424" s="6" t="str">
        <f>IFERROR(__xludf.DUMMYFUNCTION("""COMPUTED_VALUE"""),"Тулеев, Леонов")</f>
        <v>Тулеев, Леонов</v>
      </c>
      <c r="J1424" s="6" t="str">
        <f>IFERROR(__xludf.DUMMYFUNCTION("""COMPUTED_VALUE"""),"Гришковец ")</f>
        <v>Гришковец </v>
      </c>
      <c r="K1424" s="6" t="str">
        <f>IFERROR(__xludf.DUMMYFUNCTION("""COMPUTED_VALUE"""),"Архитектура Кировского района, район Лесная Поляна, набережная, бульвар Строителей, Мечеть, Парк Ангелов")</f>
        <v>Архитектура Кировского района, район Лесная Поляна, набережная, бульвар Строителей, Мечеть, Парк Ангелов</v>
      </c>
      <c r="L1424" s="6" t="str">
        <f>IFERROR(__xludf.DUMMYFUNCTION("""COMPUTED_VALUE"""),"Человек из Кемерово (Борис Гребенщиков)")</f>
        <v>Человек из Кемерово (Борис Гребенщиков)</v>
      </c>
      <c r="M1424" s="6" t="str">
        <f>IFERROR(__xludf.DUMMYFUNCTION("""COMPUTED_VALUE"""),"---")</f>
        <v>---</v>
      </c>
      <c r="N1424" s="6" t="str">
        <f>IFERROR(__xludf.DUMMYFUNCTION("""COMPUTED_VALUE"""),"1. Доступность для пешеходов (безбарьерная (доступная) среда) 2. Низкоэтажная застройка 3. Наличие парковых зон (озеленение улиц и дворов) 4. Ограничение (успокоение) автомобильного трафика (скорость) 5. Наличие парков и зон активностей горожан (в т.ч. пр"&amp;"офильные здания и учреждения).")</f>
        <v>1. Доступность для пешеходов (безбарьерная (доступная) среда) 2. Низкоэтажная застройка 3. Наличие парковых зон (озеленение улиц и дворов) 4. Ограничение (успокоение) автомобильного трафика (скорость) 5. Наличие парков и зон активностей горожан (в т.ч. профильные здания и учреждения).</v>
      </c>
      <c r="O1424" s="6" t="str">
        <f>IFERROR(__xludf.DUMMYFUNCTION("""COMPUTED_VALUE"""),"1. Минимизировать (стремиться к нулю) открытый грунт в городе. 2. Улучшить ситуацию с ливневой канализацией (Проектирование новых дорог и ремонт существующих с ливневой канализацией с большим запасом пропускной способности). 3. Озеленение улиц (особенно н"&amp;"овых жилых комплексов) взрослыми деревьями (например хвойные деревья, пирамидальные тополя - внешний вид получается близкий к европейским и южным странам - пример пр-т Ленина от Кузнецкого до Дзержинского; иные быстрорастущие деревья) 4. Строительство объ"&amp;"ездной дороги 5. Минимизировать количество пивных точек")</f>
        <v>1. Минимизировать (стремиться к нулю) открытый грунт в городе. 2. Улучшить ситуацию с ливневой канализацией (Проектирование новых дорог и ремонт существующих с ливневой канализацией с большим запасом пропускной способности). 3. Озеленение улиц (особенно новых жилых комплексов) взрослыми деревьями (например хвойные деревья, пирамидальные тополя - внешний вид получается близкий к европейским и южным странам - пример пр-т Ленина от Кузнецкого до Дзержинского; иные быстрорастущие деревья) 4. Строительство объездной дороги 5. Минимизировать количество пивных точек</v>
      </c>
      <c r="P1424" s="6" t="str">
        <f>IFERROR(__xludf.DUMMYFUNCTION("""COMPUTED_VALUE"""),"Реклама в соц.сетях (Инстаграм, ВК)")</f>
        <v>Реклама в соц.сетях (Инстаграм, ВК)</v>
      </c>
      <c r="Q1424" s="6" t="str">
        <f>IFERROR(__xludf.DUMMYFUNCTION("""COMPUTED_VALUE"""),"новости про новые профессии/куда поступать/вакансии, результаты местных исследований (рейтинги/аналитика/тенденции), больше ивентов с приглашением популярных спикеров из разных областей. ")</f>
        <v>новости про новые профессии/куда поступать/вакансии, результаты местных исследований (рейтинги/аналитика/тенденции), больше ивентов с приглашением популярных спикеров из разных областей. </v>
      </c>
      <c r="R1424" s="6" t="str">
        <f>IFERROR(__xludf.DUMMYFUNCTION("""COMPUTED_VALUE"""),"Новый год; День шахтера; Майские праздники")</f>
        <v>Новый год; День шахтера; Майские праздники</v>
      </c>
      <c r="S1424" s="6" t="str">
        <f>IFERROR(__xludf.DUMMYFUNCTION("""COMPUTED_VALUE"""),"Нет, не приходилось")</f>
        <v>Нет, не приходилось</v>
      </c>
      <c r="T1424" s="6" t="str">
        <f>IFERROR(__xludf.DUMMYFUNCTION("""COMPUTED_VALUE"""),"Уголь (шахты), Шерегеш, Качественные дороги, Зимняя вишня.")</f>
        <v>Уголь (шахты), Шерегеш, Качественные дороги, Зимняя вишня.</v>
      </c>
      <c r="U1424" s="6" t="str">
        <f>IFERROR(__xludf.DUMMYFUNCTION("""COMPUTED_VALUE"""),"Набережная города, ул. Весенняя")</f>
        <v>Набережная города, ул. Весенняя</v>
      </c>
      <c r="V1424" s="6" t="str">
        <f>IFERROR(__xludf.DUMMYFUNCTION("""COMPUTED_VALUE"""),"Развивали угольную промышленность. сохраняли, поддерживали и развивали город (архитектура, дороги)")</f>
        <v>Развивали угольную промышленность. сохраняли, поддерживали и развивали город (архитектура, дороги)</v>
      </c>
      <c r="W1424" s="6" t="str">
        <f>IFERROR(__xludf.DUMMYFUNCTION("""COMPUTED_VALUE"""),"Стойки люди, готовые выдержать любые испытания. Имеющие свою точку зрения. ")</f>
        <v>Стойки люди, готовые выдержать любые испытания. Имеющие свою точку зрения. </v>
      </c>
      <c r="X1424" s="6" t="str">
        <f>IFERROR(__xludf.DUMMYFUNCTION("""COMPUTED_VALUE"""),"Бульвар Строителей - Притомский проспект - набережная - Кировский район (Архитектура) ")</f>
        <v>Бульвар Строителей - Притомский проспект - набережная - Кировский район (Архитектура) </v>
      </c>
      <c r="Y1424" s="6" t="str">
        <f>IFERROR(__xludf.DUMMYFUNCTION("""COMPUTED_VALUE"""),"Зимняя вишня")</f>
        <v>Зимняя вишня</v>
      </c>
      <c r="Z1424" s="6" t="str">
        <f>IFERROR(__xludf.DUMMYFUNCTION("""COMPUTED_VALUE"""),"Большое количество масштабных строительных проектов: Ледовый дворец, Кузбасс Арена, Кадетское училище (парк вокруг него), Культурный кластер, реконструкция бульвара Строителей, строительство и реконструкция социальных объектов (школы, дет.сады, больницы, "&amp;"аэропорт и т.д.).")</f>
        <v>Большое количество масштабных строительных проектов: Ледовый дворец, Кузбасс Арена, Кадетское училище (парк вокруг него), Культурный кластер, реконструкция бульвара Строителей, строительство и реконструкция социальных объектов (школы, дет.сады, больницы, аэропорт и т.д.).</v>
      </c>
      <c r="AA1424" s="6" t="str">
        <f>IFERROR(__xludf.DUMMYFUNCTION("""COMPUTED_VALUE"""),"Регулярные режимы ""Черного неба"" (по запаху и последствиям причина явно не автомобили и печи в домах частного сектора).")</f>
        <v>Регулярные режимы "Черного неба" (по запаху и последствиям причина явно не автомобили и печи в домах частного сектора).</v>
      </c>
      <c r="AB1424" s="6" t="str">
        <f>IFERROR(__xludf.DUMMYFUNCTION("""COMPUTED_VALUE"""),"Сообществ, деятельность которых направлена на объединение людей. Например: футбольная лига среди школьных (дворовых) команд. ")</f>
        <v>Сообществ, деятельность которых направлена на объединение людей. Например: футбольная лига среди школьных (дворовых) команд. </v>
      </c>
      <c r="AC1424" s="6" t="str">
        <f>IFERROR(__xludf.DUMMYFUNCTION("""COMPUTED_VALUE"""),"1. Проведение марафонов (лыжный, веломарафон, забег на разные дистанции) 2. Проведение концертов или фестивалей. 3. Развитие туризма")</f>
        <v>1. Проведение марафонов (лыжный, веломарафон, забег на разные дистанции) 2. Проведение концертов или фестивалей. 3. Развитие туризма</v>
      </c>
      <c r="AD142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24" s="6" t="str">
        <f>IFERROR(__xludf.DUMMYFUNCTION("""COMPUTED_VALUE"""),"Мужской")</f>
        <v>Мужской</v>
      </c>
      <c r="AF1424" s="6" t="str">
        <f>IFERROR(__xludf.DUMMYFUNCTION("""COMPUTED_VALUE"""),"30-44")</f>
        <v>30-44</v>
      </c>
      <c r="AG1424" s="6"/>
      <c r="AH1424" s="6"/>
      <c r="AI1424" s="6"/>
      <c r="AJ1424" s="6"/>
      <c r="AK1424" s="6"/>
      <c r="AL1424" s="6"/>
      <c r="AM1424" s="6"/>
    </row>
    <row r="1425">
      <c r="A1425" s="6">
        <v>1424.0</v>
      </c>
      <c r="B1425" s="6" t="str">
        <f>IFERROR(__xludf.DUMMYFUNCTION("""COMPUTED_VALUE"""),"Стоматология")</f>
        <v>Стоматология</v>
      </c>
      <c r="C1425" s="6" t="str">
        <f>IFERROR(__xludf.DUMMYFUNCTION("""COMPUTED_VALUE"""),"Чииаю")</f>
        <v>Чииаю</v>
      </c>
      <c r="D1425" s="6" t="str">
        <f>IFERROR(__xludf.DUMMYFUNCTION("""COMPUTED_VALUE"""),"Европейская провинция")</f>
        <v>Европейская провинция</v>
      </c>
      <c r="E1425" s="6" t="str">
        <f>IFERROR(__xludf.DUMMYFUNCTION("""COMPUTED_VALUE"""),"Река")</f>
        <v>Река</v>
      </c>
      <c r="F1425" s="6" t="str">
        <f>IFERROR(__xludf.DUMMYFUNCTION("""COMPUTED_VALUE"""),"В 1985 году привезли родители из Якутии")</f>
        <v>В 1985 году привезли родители из Якутии</v>
      </c>
      <c r="G1425" s="6" t="str">
        <f>IFERROR(__xludf.DUMMYFUNCTION("""COMPUTED_VALUE"""),"Сосновый бор на Радуге")</f>
        <v>Сосновый бор на Радуге</v>
      </c>
      <c r="H1425" s="6" t="str">
        <f>IFERROR(__xludf.DUMMYFUNCTION("""COMPUTED_VALUE"""),"Высотки, трубы, автомобили, люди, парки")</f>
        <v>Высотки, трубы, автомобили, люди, парки</v>
      </c>
      <c r="I1425" s="6" t="str">
        <f>IFERROR(__xludf.DUMMYFUNCTION("""COMPUTED_VALUE"""),"Мартемьянов, Волошина, Двужильный")</f>
        <v>Мартемьянов, Волошина, Двужильный</v>
      </c>
      <c r="J1425" s="6" t="str">
        <f>IFERROR(__xludf.DUMMYFUNCTION("""COMPUTED_VALUE"""),"Сергей Кукушкин")</f>
        <v>Сергей Кукушкин</v>
      </c>
      <c r="K1425" s="6" t="str">
        <f>IFERROR(__xludf.DUMMYFUNCTION("""COMPUTED_VALUE"""),"Музей на Красной горке, Филармония, Весенняя, бор, ")</f>
        <v>Музей на Красной горке, Филармония, Весенняя, бор, </v>
      </c>
      <c r="L1425" s="6" t="str">
        <f>IFERROR(__xludf.DUMMYFUNCTION("""COMPUTED_VALUE"""),"Мне рассказывала моя бабушка, как ей говорил её отец :""Придёт время, будет большое строительство и земле отдыху не будет"", "" Придет время, лошадку не увидите""")</f>
        <v>Мне рассказывала моя бабушка, как ей говорил её отец :"Придёт время, будет большое строительство и земле отдыху не будет", " Придет время, лошадку не увидите"</v>
      </c>
      <c r="M1425" s="6" t="str">
        <f>IFERROR(__xludf.DUMMYFUNCTION("""COMPUTED_VALUE"""),"Колба(черемша)")</f>
        <v>Колба(черемша)</v>
      </c>
      <c r="N1425" s="6" t="str">
        <f>IFERROR(__xludf.DUMMYFUNCTION("""COMPUTED_VALUE"""),"Чистый воздух (отсутствие смога), удобный общественный транспорт, зоны отдыха, парки, девственный лес( не превращенный в парк)")</f>
        <v>Чистый воздух (отсутствие смога), удобный общественный транспорт, зоны отдыха, парки, девственный лес( не превращенный в парк)</v>
      </c>
      <c r="O1425" s="6" t="str">
        <f>IFERROR(__xludf.DUMMYFUNCTION("""COMPUTED_VALUE"""),"Атмосферу, (в смысле очистные сооружения на заводах)")</f>
        <v>Атмосферу, (в смысле очистные сооружения на заводах)</v>
      </c>
      <c r="P1425" s="6" t="str">
        <f>IFERROR(__xludf.DUMMYFUNCTION("""COMPUTED_VALUE"""),"От знакомых, в последнее время не интересуюсь новостями")</f>
        <v>От знакомых, в последнее время не интересуюсь новостями</v>
      </c>
      <c r="Q1425" s="6" t="str">
        <f>IFERROR(__xludf.DUMMYFUNCTION("""COMPUTED_VALUE"""),"культурные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f>
        <v>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1425" s="6" t="str">
        <f>IFERROR(__xludf.DUMMYFUNCTION("""COMPUTED_VALUE"""),"9 мая, Клубок")</f>
        <v>9 мая, Клубок</v>
      </c>
      <c r="S1425" s="6" t="str">
        <f>IFERROR(__xludf.DUMMYFUNCTION("""COMPUTED_VALUE"""),"С больничными клоунами участвовала в организации ""Клубка""")</f>
        <v>С больничными клоунами участвовала в организации "Клубка"</v>
      </c>
      <c r="T1425" s="6" t="str">
        <f>IFERROR(__xludf.DUMMYFUNCTION("""COMPUTED_VALUE"""),"Шахтами и ""человеком из Кемерова""")</f>
        <v>Шахтами и "человеком из Кемерова"</v>
      </c>
      <c r="U1425" s="6" t="str">
        <f>IFERROR(__xludf.DUMMYFUNCTION("""COMPUTED_VALUE"""),"Музей на Красной горке")</f>
        <v>Музей на Красной горке</v>
      </c>
      <c r="V1425" s="6" t="str">
        <f>IFERROR(__xludf.DUMMYFUNCTION("""COMPUTED_VALUE"""),"Построили, город и промышленность")</f>
        <v>Построили, город и промышленность</v>
      </c>
      <c r="W1425" s="6" t="str">
        <f>IFERROR(__xludf.DUMMYFUNCTION("""COMPUTED_VALUE"""),"Доброжелательные, терпеливые, выносливые, искренние, простые")</f>
        <v>Доброжелательные, терпеливые, выносливые, искренние, простые</v>
      </c>
      <c r="X1425" s="6" t="str">
        <f>IFERROR(__xludf.DUMMYFUNCTION("""COMPUTED_VALUE"""),"Через бор на Красную горку, потому центр на Весеннюю, или в обратном порядке по Набережной")</f>
        <v>Через бор на Красную горку, потому центр на Весеннюю, или в обратном порядке по Набережной</v>
      </c>
      <c r="Y1425" s="6" t="str">
        <f>IFERROR(__xludf.DUMMYFUNCTION("""COMPUTED_VALUE"""),"Образование АИК Кузбасс")</f>
        <v>Образование АИК Кузбасс</v>
      </c>
      <c r="Z1425" s="6" t="str">
        <f>IFERROR(__xludf.DUMMYFUNCTION("""COMPUTED_VALUE"""),"Чемпионат по парашютному спорту")</f>
        <v>Чемпионат по парашютному спорту</v>
      </c>
      <c r="AA1425" s="6" t="str">
        <f>IFERROR(__xludf.DUMMYFUNCTION("""COMPUTED_VALUE"""),"Не помню")</f>
        <v>Не помню</v>
      </c>
      <c r="AB1425" s="6" t="str">
        <f>IFERROR(__xludf.DUMMYFUNCTION("""COMPUTED_VALUE"""),"Любителей животных, готовых взять бездомных животных")</f>
        <v>Любителей животных, готовых взять бездомных животных</v>
      </c>
      <c r="AC1425" s="6" t="str">
        <f>IFERROR(__xludf.DUMMYFUNCTION("""COMPUTED_VALUE"""),"Опенэйры, спортивные мероприяття")</f>
        <v>Опенэйры, спортивные мероприяття</v>
      </c>
      <c r="AD142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25" s="6" t="str">
        <f>IFERROR(__xludf.DUMMYFUNCTION("""COMPUTED_VALUE"""),"Женский")</f>
        <v>Женский</v>
      </c>
      <c r="AF1425" s="6" t="str">
        <f>IFERROR(__xludf.DUMMYFUNCTION("""COMPUTED_VALUE"""),"45-55")</f>
        <v>45-55</v>
      </c>
      <c r="AG1425" s="6"/>
      <c r="AH1425" s="6"/>
      <c r="AI1425" s="6"/>
      <c r="AJ1425" s="6"/>
      <c r="AK1425" s="6"/>
      <c r="AL1425" s="6"/>
      <c r="AM1425" s="6"/>
    </row>
    <row r="1426">
      <c r="A1426" s="6">
        <v>1425.0</v>
      </c>
      <c r="B1426" s="6" t="str">
        <f>IFERROR(__xludf.DUMMYFUNCTION("""COMPUTED_VALUE"""),"Домохозяйка")</f>
        <v>Домохозяйка</v>
      </c>
      <c r="C1426" s="6" t="str">
        <f>IFERROR(__xludf.DUMMYFUNCTION("""COMPUTED_VALUE"""),"Рисую, занимаюсь огородом")</f>
        <v>Рисую, занимаюсь огородом</v>
      </c>
      <c r="D1426" s="6" t="str">
        <f>IFERROR(__xludf.DUMMYFUNCTION("""COMPUTED_VALUE"""),"Ленинский, спальный(раньше) сейчас его уже так не назовёшь")</f>
        <v>Ленинский, спальный(раньше) сейчас его уже так не назовёшь</v>
      </c>
      <c r="E1426" s="6" t="str">
        <f>IFERROR(__xludf.DUMMYFUNCTION("""COMPUTED_VALUE"""),"бульвар Строителей, манеж легкоатлетический")</f>
        <v>бульвар Строителей, манеж легкоатлетический</v>
      </c>
      <c r="F1426" s="6" t="str">
        <f>IFERROR(__xludf.DUMMYFUNCTION("""COMPUTED_VALUE"""),"Живу здесь с рождения")</f>
        <v>Живу здесь с рождения</v>
      </c>
      <c r="G1426" s="6" t="str">
        <f>IFERROR(__xludf.DUMMYFUNCTION("""COMPUTED_VALUE"""),"Набережная, бульвар Строителей")</f>
        <v>Набережная, бульвар Строителей</v>
      </c>
      <c r="H1426" s="6" t="str">
        <f>IFERROR(__xludf.DUMMYFUNCTION("""COMPUTED_VALUE"""),"Уголь, шахтёры, разрезы, сосны, сердце")</f>
        <v>Уголь, шахтёры, разрезы, сосны, сердце</v>
      </c>
      <c r="I1426" s="6" t="str">
        <f>IFERROR(__xludf.DUMMYFUNCTION("""COMPUTED_VALUE"""),"Сарыгин, Леонов, Волков")</f>
        <v>Сарыгин, Леонов, Волков</v>
      </c>
      <c r="J1426" s="6" t="str">
        <f>IFERROR(__xludf.DUMMYFUNCTION("""COMPUTED_VALUE"""),"Тулеев, Михайлов, Середюк, Цивилёв")</f>
        <v>Тулеев, Михайлов, Середюк, Цивилёв</v>
      </c>
      <c r="K1426" s="6" t="str">
        <f>IFERROR(__xludf.DUMMYFUNCTION("""COMPUTED_VALUE"""),"Леонов, набережная, ")</f>
        <v>Леонов, набережная, </v>
      </c>
      <c r="L1426" s="6" t="str">
        <f>IFERROR(__xludf.DUMMYFUNCTION("""COMPUTED_VALUE"""),"Кемерово большая деревня и все друг друга знают")</f>
        <v>Кемерово большая деревня и все друг друга знают</v>
      </c>
      <c r="M1426" s="6" t="str">
        <f>IFERROR(__xludf.DUMMYFUNCTION("""COMPUTED_VALUE"""),"Нет")</f>
        <v>Нет</v>
      </c>
      <c r="N1426" s="6" t="str">
        <f>IFERROR(__xludf.DUMMYFUNCTION("""COMPUTED_VALUE"""),"Школы, детсады, широкие дороги, магазины, аптеки все в доступности")</f>
        <v>Школы, детсады, широкие дороги, магазины, аптеки все в доступности</v>
      </c>
      <c r="O1426" s="6" t="str">
        <f>IFERROR(__xludf.DUMMYFUNCTION("""COMPUTED_VALUE"""),"Навести порядок, следать бордюры, чтобы зрязи неюыло на дорогах")</f>
        <v>Навести порядок, следать бордюры, чтобы зрязи неюыло на дорогах</v>
      </c>
      <c r="P1426" s="6" t="str">
        <f>IFERROR(__xludf.DUMMYFUNCTION("""COMPUTED_VALUE"""),"Инстаграм")</f>
        <v>Инстаграм</v>
      </c>
      <c r="Q1426"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426" s="6" t="str">
        <f>IFERROR(__xludf.DUMMYFUNCTION("""COMPUTED_VALUE"""),"9 мая")</f>
        <v>9 мая</v>
      </c>
      <c r="S1426" s="6" t="str">
        <f>IFERROR(__xludf.DUMMYFUNCTION("""COMPUTED_VALUE"""),"Нет, не приходилось")</f>
        <v>Нет, не приходилось</v>
      </c>
      <c r="T1426" s="6" t="str">
        <f>IFERROR(__xludf.DUMMYFUNCTION("""COMPUTED_VALUE"""),"Уголь")</f>
        <v>Уголь</v>
      </c>
      <c r="U1426" s="6" t="str">
        <f>IFERROR(__xludf.DUMMYFUNCTION("""COMPUTED_VALUE"""),"Площадь Советов")</f>
        <v>Площадь Советов</v>
      </c>
      <c r="V1426" s="6" t="str">
        <f>IFERROR(__xludf.DUMMYFUNCTION("""COMPUTED_VALUE"""),"Построили заводы и помогали во времена войны")</f>
        <v>Построили заводы и помогали во времена войны</v>
      </c>
      <c r="W1426" s="6" t="str">
        <f>IFERROR(__xludf.DUMMYFUNCTION("""COMPUTED_VALUE"""),"Люди помогающие друг другу...но последнее время за деньги")</f>
        <v>Люди помогающие друг другу...но последнее время за деньги</v>
      </c>
      <c r="X1426" s="6" t="str">
        <f>IFERROR(__xludf.DUMMYFUNCTION("""COMPUTED_VALUE"""),"Притомский, Московский, центр")</f>
        <v>Притомский, Московский, центр</v>
      </c>
      <c r="Y1426" s="6" t="str">
        <f>IFERROR(__xludf.DUMMYFUNCTION("""COMPUTED_VALUE"""),"Хор турецкого к 9 мая 75 годовщина")</f>
        <v>Хор турецкого к 9 мая 75 годовщина</v>
      </c>
      <c r="Z1426" s="6" t="str">
        <f>IFERROR(__xludf.DUMMYFUNCTION("""COMPUTED_VALUE"""),"Строительство новых об'ектов, строительство новых дорог")</f>
        <v>Строительство новых об'ектов, строительство новых дорог</v>
      </c>
      <c r="AA1426" s="6" t="str">
        <f>IFERROR(__xludf.DUMMYFUNCTION("""COMPUTED_VALUE"""),"Зимняя вишня, уменьшение учебных заведений")</f>
        <v>Зимняя вишня, уменьшение учебных заведений</v>
      </c>
      <c r="AB1426" s="6" t="str">
        <f>IFERROR(__xludf.DUMMYFUNCTION("""COMPUTED_VALUE"""),"Многодетных")</f>
        <v>Многодетных</v>
      </c>
      <c r="AC1426" s="6" t="str">
        <f>IFERROR(__xludf.DUMMYFUNCTION("""COMPUTED_VALUE"""),"Уличные гуляния")</f>
        <v>Уличные гуляния</v>
      </c>
      <c r="AD142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26" s="6" t="str">
        <f>IFERROR(__xludf.DUMMYFUNCTION("""COMPUTED_VALUE"""),"Женский")</f>
        <v>Женский</v>
      </c>
      <c r="AF1426" s="6" t="str">
        <f>IFERROR(__xludf.DUMMYFUNCTION("""COMPUTED_VALUE"""),"30-44")</f>
        <v>30-44</v>
      </c>
      <c r="AG1426" s="6"/>
      <c r="AH1426" s="6"/>
      <c r="AI1426" s="6"/>
      <c r="AJ1426" s="6"/>
      <c r="AK1426" s="6"/>
      <c r="AL1426" s="6"/>
      <c r="AM1426" s="6"/>
    </row>
    <row r="1427">
      <c r="A1427" s="6">
        <v>1426.0</v>
      </c>
      <c r="B1427" s="6" t="str">
        <f>IFERROR(__xludf.DUMMYFUNCTION("""COMPUTED_VALUE"""),"Безработный")</f>
        <v>Безработный</v>
      </c>
      <c r="C1427" s="6" t="str">
        <f>IFERROR(__xludf.DUMMYFUNCTION("""COMPUTED_VALUE"""),"Авто, ремонт техники ")</f>
        <v>Авто, ремонт техники </v>
      </c>
      <c r="D1427" s="6" t="str">
        <f>IFERROR(__xludf.DUMMYFUNCTION("""COMPUTED_VALUE"""),"Ленинский ")</f>
        <v>Ленинский </v>
      </c>
      <c r="E1427" s="6" t="str">
        <f>IFERROR(__xludf.DUMMYFUNCTION("""COMPUTED_VALUE"""),"Спорткомплекс Кузбасс ")</f>
        <v>Спорткомплекс Кузбасс </v>
      </c>
      <c r="F1427" s="6" t="str">
        <f>IFERROR(__xludf.DUMMYFUNCTION("""COMPUTED_VALUE"""),"Живу здесь с рождения")</f>
        <v>Живу здесь с рождения</v>
      </c>
      <c r="G1427" s="6" t="str">
        <f>IFERROR(__xludf.DUMMYFUNCTION("""COMPUTED_VALUE"""),"В магазин, алея на бульваре, а больше и не куда")</f>
        <v>В магазин, алея на бульваре, а больше и не куда</v>
      </c>
      <c r="H1427" s="6" t="str">
        <f>IFERROR(__xludf.DUMMYFUNCTION("""COMPUTED_VALUE"""),"Грязь, криминал, наркотики, алкоголизм, Тулеев")</f>
        <v>Грязь, криминал, наркотики, алкоголизм, Тулеев</v>
      </c>
      <c r="I1427" s="6" t="str">
        <f>IFERROR(__xludf.DUMMYFUNCTION("""COMPUTED_VALUE"""),"Тулеев")</f>
        <v>Тулеев</v>
      </c>
      <c r="J1427" s="6" t="str">
        <f>IFERROR(__xludf.DUMMYFUNCTION("""COMPUTED_VALUE"""),"Тулеев")</f>
        <v>Тулеев</v>
      </c>
      <c r="K1427" s="6" t="str">
        <f>IFERROR(__xludf.DUMMYFUNCTION("""COMPUTED_VALUE"""),"Памятник шахтерам")</f>
        <v>Памятник шахтерам</v>
      </c>
      <c r="L1427" s="6" t="str">
        <f>IFERROR(__xludf.DUMMYFUNCTION("""COMPUTED_VALUE"""),"Сколько кемеровчанина не корми, а он все ровно на выезд из города смотрит ")</f>
        <v>Сколько кемеровчанина не корми, а он все ровно на выезд из города смотрит </v>
      </c>
      <c r="M1427" s="6" t="str">
        <f>IFERROR(__xludf.DUMMYFUNCTION("""COMPUTED_VALUE"""),"Микрашка, южный не кому не нужный, красновское кольцо")</f>
        <v>Микрашка, южный не кому не нужный, красновское кольцо</v>
      </c>
      <c r="N1427" s="6" t="str">
        <f>IFERROR(__xludf.DUMMYFUNCTION("""COMPUTED_VALUE"""),"Чистый воздух, чистый и ухоженный город, развитая инфраструктура во всех отраслях, отсутствие в нем Цивилева ")</f>
        <v>Чистый воздух, чистый и ухоженный город, развитая инфраструктура во всех отраслях, отсутствие в нем Цивилева </v>
      </c>
      <c r="O1427" s="6" t="str">
        <f>IFERROR(__xludf.DUMMYFUNCTION("""COMPUTED_VALUE"""),"Власть")</f>
        <v>Власть</v>
      </c>
      <c r="P1427" s="6" t="str">
        <f>IFERROR(__xludf.DUMMYFUNCTION("""COMPUTED_VALUE"""),"Интернет Инстаграм, Яндекс ")</f>
        <v>Интернет Инстаграм, Яндекс </v>
      </c>
      <c r="Q1427" s="6" t="str">
        <f>IFERROR(__xludf.DUMMYFUNCTION("""COMPUTED_VALUE"""),"куда пойти в свободное время, интервью с местными предпринимателями, новости про новые профессии/куда поступать/вакансии")</f>
        <v>куда пойти в свободное время, интервью с местными предпринимателями, новости про новые профессии/куда поступать/вакансии</v>
      </c>
      <c r="R1427" s="6" t="str">
        <f>IFERROR(__xludf.DUMMYFUNCTION("""COMPUTED_VALUE"""),"День рождения меня и моих близких ")</f>
        <v>День рождения меня и моих близких </v>
      </c>
      <c r="S1427" s="6" t="str">
        <f>IFERROR(__xludf.DUMMYFUNCTION("""COMPUTED_VALUE"""),"Писал и расклеивал объявления/афиши")</f>
        <v>Писал и расклеивал объявления/афиши</v>
      </c>
      <c r="T1427" s="6" t="str">
        <f>IFERROR(__xludf.DUMMYFUNCTION("""COMPUTED_VALUE"""),"Коррупция, отсутствие чистоты, дорог")</f>
        <v>Коррупция, отсутствие чистоты, дорог</v>
      </c>
      <c r="U1427" s="6" t="str">
        <f>IFERROR(__xludf.DUMMYFUNCTION("""COMPUTED_VALUE"""),"Проспект совецкий, цум, весенняя ")</f>
        <v>Проспект совецкий, цум, весенняя </v>
      </c>
      <c r="V1427" s="6" t="str">
        <f>IFERROR(__xludf.DUMMYFUNCTION("""COMPUTED_VALUE"""),"Нам не дают этого делать ")</f>
        <v>Нам не дают этого делать </v>
      </c>
      <c r="W1427" s="6" t="str">
        <f>IFERROR(__xludf.DUMMYFUNCTION("""COMPUTED_VALUE"""),"Злые, пьяные ")</f>
        <v>Злые, пьяные </v>
      </c>
      <c r="X1427" s="6" t="str">
        <f>IFERROR(__xludf.DUMMYFUNCTION("""COMPUTED_VALUE"""),"Выезд из города ")</f>
        <v>Выезд из города </v>
      </c>
      <c r="Y1427" s="6" t="str">
        <f>IFERROR(__xludf.DUMMYFUNCTION("""COMPUTED_VALUE"""),"Пришёл цивилев и началось! Город упал на колени ")</f>
        <v>Пришёл цивилев и началось! Город упал на колени </v>
      </c>
      <c r="Z1427" s="6" t="str">
        <f>IFERROR(__xludf.DUMMYFUNCTION("""COMPUTED_VALUE"""),"Получение зарплаты, выезд из города более чем на неделю ")</f>
        <v>Получение зарплаты, выезд из города более чем на неделю </v>
      </c>
      <c r="AA1427" s="6" t="str">
        <f>IFERROR(__xludf.DUMMYFUNCTION("""COMPUTED_VALUE"""),"Тц зимняя вишня, смена власт ")</f>
        <v>Тц зимняя вишня, смена власт </v>
      </c>
      <c r="AB1427" s="6" t="str">
        <f>IFERROR(__xludf.DUMMYFUNCTION("""COMPUTED_VALUE"""),"Клуб по интересам")</f>
        <v>Клуб по интересам</v>
      </c>
      <c r="AC1427" s="6" t="str">
        <f>IFERROR(__xludf.DUMMYFUNCTION("""COMPUTED_VALUE"""),"Смена власти ")</f>
        <v>Смена власти </v>
      </c>
      <c r="AD142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v>
      </c>
      <c r="AE1427" s="6" t="str">
        <f>IFERROR(__xludf.DUMMYFUNCTION("""COMPUTED_VALUE"""),"Мужской")</f>
        <v>Мужской</v>
      </c>
      <c r="AF1427" s="6" t="str">
        <f>IFERROR(__xludf.DUMMYFUNCTION("""COMPUTED_VALUE"""),"18-29")</f>
        <v>18-29</v>
      </c>
      <c r="AG1427" s="6"/>
      <c r="AH1427" s="6"/>
      <c r="AI1427" s="6"/>
      <c r="AJ1427" s="6"/>
      <c r="AK1427" s="6"/>
      <c r="AL1427" s="6"/>
      <c r="AM1427" s="6"/>
    </row>
    <row r="1428">
      <c r="A1428" s="6">
        <v>1427.0</v>
      </c>
      <c r="B1428" s="6" t="str">
        <f>IFERROR(__xludf.DUMMYFUNCTION("""COMPUTED_VALUE"""),"Режиссер")</f>
        <v>Режиссер</v>
      </c>
      <c r="C1428" s="6" t="str">
        <f>IFERROR(__xludf.DUMMYFUNCTION("""COMPUTED_VALUE"""),"Танцевать")</f>
        <v>Танцевать</v>
      </c>
      <c r="D1428" s="6" t="str">
        <f>IFERROR(__xludf.DUMMYFUNCTION("""COMPUTED_VALUE"""),"Ленинский")</f>
        <v>Ленинский</v>
      </c>
      <c r="E1428" s="6" t="str">
        <f>IFERROR(__xludf.DUMMYFUNCTION("""COMPUTED_VALUE"""),"Бульвар строителей, развитая Ворошилова")</f>
        <v>Бульвар строителей, развитая Ворошилова</v>
      </c>
      <c r="F1428" s="6" t="str">
        <f>IFERROR(__xludf.DUMMYFUNCTION("""COMPUTED_VALUE"""),"Живу здесь с рождения")</f>
        <v>Живу здесь с рождения</v>
      </c>
      <c r="G1428" s="6" t="str">
        <f>IFERROR(__xludf.DUMMYFUNCTION("""COMPUTED_VALUE"""),"Бульвар строителей(больше некуда(( )")</f>
        <v>Бульвар строителей(больше некуда(( )</v>
      </c>
      <c r="H1428" s="6" t="str">
        <f>IFERROR(__xludf.DUMMYFUNCTION("""COMPUTED_VALUE"""),"Столица, серость, вонь, завод, чистота")</f>
        <v>Столица, серость, вонь, завод, чистота</v>
      </c>
      <c r="I1428" s="6" t="str">
        <f>IFERROR(__xludf.DUMMYFUNCTION("""COMPUTED_VALUE"""),"Леонов, Терешкова, Гагарин,Бобров,Волошина")</f>
        <v>Леонов, Терешкова, Гагарин,Бобров,Волошина</v>
      </c>
      <c r="J1428" s="6" t="str">
        <f>IFERROR(__xludf.DUMMYFUNCTION("""COMPUTED_VALUE"""),"Гришковец,Никита Paris, С.С.Шалашов,")</f>
        <v>Гришковец,Никита Paris, С.С.Шалашов,</v>
      </c>
      <c r="K1428" s="6" t="str">
        <f>IFERROR(__xludf.DUMMYFUNCTION("""COMPUTED_VALUE"""),"Парк Ангелов,вечный огонь")</f>
        <v>Парк Ангелов,вечный огонь</v>
      </c>
      <c r="L1428" s="6" t="str">
        <f>IFERROR(__xludf.DUMMYFUNCTION("""COMPUTED_VALUE"""),"Чистый город-хорошее настроение, чисто не там где убирают а там Гуденко мусорят")</f>
        <v>Чистый город-хорошее настроение, чисто не там где убирают а там Гуденко мусорят</v>
      </c>
      <c r="M1428" s="6" t="str">
        <f>IFERROR(__xludf.DUMMYFUNCTION("""COMPUTED_VALUE"""),"Пятая полка, колечко, булик,металка,Весенька,частники печки топят)))")</f>
        <v>Пятая полка, колечко, булик,металка,Весенька,частники печки топят)))</v>
      </c>
      <c r="N1428" s="6" t="str">
        <f>IFERROR(__xludf.DUMMYFUNCTION("""COMPUTED_VALUE"""),"Кафе в каждом микрорайоне, круглосуточный магазин и аптека, современный парк, Арт объект")</f>
        <v>Кафе в каждом микрорайоне, круглосуточный магазин и аптека, современный парк, Арт объект</v>
      </c>
      <c r="O1428" s="6" t="str">
        <f>IFERROR(__xludf.DUMMYFUNCTION("""COMPUTED_VALUE"""),"Перестать коптить так люто на заводе, благоустроить парки")</f>
        <v>Перестать коптить так люто на заводе, благоустроить парки</v>
      </c>
      <c r="P1428" s="6" t="str">
        <f>IFERROR(__xludf.DUMMYFUNCTION("""COMPUTED_VALUE"""),"Инст гудлайн")</f>
        <v>Инст гудлайн</v>
      </c>
      <c r="Q1428"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 результаты местных исследований (рейтинги/аналитика/тенденции)")</f>
        <v>где вкусно поесть/открытие новых кафе/ресторанов, городская афиша (кино/театр/концерты), криминальные новости (происшествия/преступления), результаты местных исследований (рейтинги/аналитика/тенденции)</v>
      </c>
      <c r="R1428" s="6" t="str">
        <f>IFERROR(__xludf.DUMMYFUNCTION("""COMPUTED_VALUE"""),"9 мая")</f>
        <v>9 мая</v>
      </c>
      <c r="S1428" s="6" t="str">
        <f>IFERROR(__xludf.DUMMYFUNCTION("""COMPUTED_VALUE"""),"Писал и расклеивал объявления/афиши, Через социальные сети (Какие? Укажите в графе другое), Открывали Танай")</f>
        <v>Писал и расклеивал объявления/афиши, Через социальные сети (Какие? Укажите в графе другое), Открывали Танай</v>
      </c>
      <c r="T1428" s="6" t="str">
        <f>IFERROR(__xludf.DUMMYFUNCTION("""COMPUTED_VALUE"""),"Кадетское, зимняя вишня")</f>
        <v>Кадетское, зимняя вишня</v>
      </c>
      <c r="U1428" s="6" t="str">
        <f>IFERROR(__xludf.DUMMYFUNCTION("""COMPUTED_VALUE"""),"Улица Весенняя")</f>
        <v>Улица Весенняя</v>
      </c>
      <c r="V1428" s="6" t="str">
        <f>IFERROR(__xludf.DUMMYFUNCTION("""COMPUTED_VALUE"""),"Следят за чистотой на улице,")</f>
        <v>Следят за чистотой на улице,</v>
      </c>
      <c r="W1428" s="6" t="str">
        <f>IFERROR(__xludf.DUMMYFUNCTION("""COMPUTED_VALUE"""),"Сильный,творческий")</f>
        <v>Сильный,творческий</v>
      </c>
      <c r="X1428" s="6" t="str">
        <f>IFERROR(__xludf.DUMMYFUNCTION("""COMPUTED_VALUE"""),"Весенняя,набережная,Кирова ")</f>
        <v>Весенняя,набережная,Кирова </v>
      </c>
      <c r="Y1428" s="6" t="str">
        <f>IFERROR(__xludf.DUMMYFUNCTION("""COMPUTED_VALUE"""),"Новое кольцо")</f>
        <v>Новое кольцо</v>
      </c>
      <c r="Z1428" s="6" t="str">
        <f>IFERROR(__xludf.DUMMYFUNCTION("""COMPUTED_VALUE"""),"Нету таких")</f>
        <v>Нету таких</v>
      </c>
      <c r="AA1428" s="6" t="str">
        <f>IFERROR(__xludf.DUMMYFUNCTION("""COMPUTED_VALUE"""),"Закрыли единственное современное танцевальное заведение ‘маяк’ больше некуда ходить слушать качественную музыку")</f>
        <v>Закрыли единственное современное танцевальное заведение ‘маяк’ больше некуда ходить слушать качественную музыку</v>
      </c>
      <c r="AB1428" s="6" t="str">
        <f>IFERROR(__xludf.DUMMYFUNCTION("""COMPUTED_VALUE"""),"Музыкальных альтернативных")</f>
        <v>Музыкальных альтернативных</v>
      </c>
      <c r="AC1428" s="6" t="str">
        <f>IFERROR(__xludf.DUMMYFUNCTION("""COMPUTED_VALUE"""),"Фестиваль электронной музыки")</f>
        <v>Фестиваль электронной музыки</v>
      </c>
      <c r="AD142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28" s="6" t="str">
        <f>IFERROR(__xludf.DUMMYFUNCTION("""COMPUTED_VALUE"""),"Женский")</f>
        <v>Женский</v>
      </c>
      <c r="AF1428" s="6" t="str">
        <f>IFERROR(__xludf.DUMMYFUNCTION("""COMPUTED_VALUE"""),"30-44")</f>
        <v>30-44</v>
      </c>
      <c r="AG1428" s="6"/>
      <c r="AH1428" s="6"/>
      <c r="AI1428" s="6"/>
      <c r="AJ1428" s="6"/>
      <c r="AK1428" s="6"/>
      <c r="AL1428" s="6"/>
      <c r="AM1428" s="6"/>
    </row>
    <row r="1429">
      <c r="A1429" s="6">
        <v>1428.0</v>
      </c>
      <c r="B1429" s="6" t="str">
        <f>IFERROR(__xludf.DUMMYFUNCTION("""COMPUTED_VALUE"""),"Пенсионер")</f>
        <v>Пенсионер</v>
      </c>
      <c r="C1429" s="6" t="str">
        <f>IFERROR(__xludf.DUMMYFUNCTION("""COMPUTED_VALUE"""),"Огород,садоводство ")</f>
        <v>Огород,садоводство </v>
      </c>
      <c r="D1429" s="6" t="str">
        <f>IFERROR(__xludf.DUMMYFUNCTION("""COMPUTED_VALUE"""),"Кировский. Для меня он спальный ")</f>
        <v>Кировский. Для меня он спальный </v>
      </c>
      <c r="E1429" s="6" t="str">
        <f>IFERROR(__xludf.DUMMYFUNCTION("""COMPUTED_VALUE"""),"Дк Кировского ")</f>
        <v>Дк Кировского </v>
      </c>
      <c r="F1429" s="6" t="str">
        <f>IFERROR(__xludf.DUMMYFUNCTION("""COMPUTED_VALUE"""),"Живу здесь с рождения")</f>
        <v>Живу здесь с рождения</v>
      </c>
      <c r="G1429" s="6" t="str">
        <f>IFERROR(__xludf.DUMMYFUNCTION("""COMPUTED_VALUE"""),"На набережную в кировском районе ")</f>
        <v>На набережную в кировском районе </v>
      </c>
      <c r="H1429" s="6" t="str">
        <f>IFERROR(__xludf.DUMMYFUNCTION("""COMPUTED_VALUE"""),"Уголь, Азот, торговые центры, трамвай, Филармония ")</f>
        <v>Уголь, Азот, торговые центры, трамвай, Филармония </v>
      </c>
      <c r="I1429" s="6" t="str">
        <f>IFERROR(__xludf.DUMMYFUNCTION("""COMPUTED_VALUE"""),"Алексей Леонов, Тулеев, Волков, Мартемьянов, Волошина, Скударнова ")</f>
        <v>Алексей Леонов, Тулеев, Волков, Мартемьянов, Волошина, Скударнова </v>
      </c>
      <c r="J1429" s="6" t="str">
        <f>IFERROR(__xludf.DUMMYFUNCTION("""COMPUTED_VALUE"""),"Тулеев, Михайлов (бывший мэр)")</f>
        <v>Тулеев, Михайлов (бывший мэр)</v>
      </c>
      <c r="K1429" s="6" t="str">
        <f>IFERROR(__xludf.DUMMYFUNCTION("""COMPUTED_VALUE"""),"Кадетский корпус, площадь Советов ")</f>
        <v>Кадетский корпус, площадь Советов </v>
      </c>
      <c r="L1429" s="6" t="str">
        <f>IFERROR(__xludf.DUMMYFUNCTION("""COMPUTED_VALUE"""),"Кто не работает-тот ест")</f>
        <v>Кто не работает-тот ест</v>
      </c>
      <c r="M1429" s="6" t="str">
        <f>IFERROR(__xludf.DUMMYFUNCTION("""COMPUTED_VALUE"""),"Не знаю таких")</f>
        <v>Не знаю таких</v>
      </c>
      <c r="N1429" s="6" t="str">
        <f>IFERROR(__xludf.DUMMYFUNCTION("""COMPUTED_VALUE"""),"Хорошие дороги,  доступность кинотеатров в  моем районе, чистота и порядок,  безопасность, чистый воздух ")</f>
        <v>Хорошие дороги,  доступность кинотеатров в  моем районе, чистота и порядок,  безопасность, чистый воздух </v>
      </c>
      <c r="O1429" s="6" t="str">
        <f>IFERROR(__xludf.DUMMYFUNCTION("""COMPUTED_VALUE"""),"Доступность и оперативность врачебной помощи")</f>
        <v>Доступность и оперативность врачебной помощи</v>
      </c>
      <c r="P1429" s="6" t="str">
        <f>IFERROR(__xludf.DUMMYFUNCTION("""COMPUTED_VALUE"""),"По телевизору ")</f>
        <v>По телевизору </v>
      </c>
      <c r="Q1429" s="6" t="str">
        <f>IFERROR(__xludf.DUMMYFUNCTION("""COMPUTED_VALUE"""),"городская афиша (кино/театр/концерты), интервью с местными политиками, криминальные новости (происшествия/преступления)")</f>
        <v>городская афиша (кино/театр/концерты), интервью с местными политиками, криминальные новости (происшествия/преступления)</v>
      </c>
      <c r="R1429" s="6" t="str">
        <f>IFERROR(__xludf.DUMMYFUNCTION("""COMPUTED_VALUE"""),"Проводы зимы, День Шахтера, новогодняя елка")</f>
        <v>Проводы зимы, День Шахтера, новогодняя елка</v>
      </c>
      <c r="S1429" s="6" t="str">
        <f>IFERROR(__xludf.DUMMYFUNCTION("""COMPUTED_VALUE"""),"Нет, не приходилось")</f>
        <v>Нет, не приходилось</v>
      </c>
      <c r="T1429" s="6" t="str">
        <f>IFERROR(__xludf.DUMMYFUNCTION("""COMPUTED_VALUE"""),"Тулеевым ")</f>
        <v>Тулеевым </v>
      </c>
      <c r="U1429" s="6" t="str">
        <f>IFERROR(__xludf.DUMMYFUNCTION("""COMPUTED_VALUE"""),"Бульвар строителей ")</f>
        <v>Бульвар строителей </v>
      </c>
      <c r="V1429" s="6" t="str">
        <f>IFERROR(__xludf.DUMMYFUNCTION("""COMPUTED_VALUE"""),"Благоустроили дороги в 2000-х, построили Азот")</f>
        <v>Благоустроили дороги в 2000-х, построили Азот</v>
      </c>
      <c r="W1429" s="6" t="str">
        <f>IFERROR(__xludf.DUMMYFUNCTION("""COMPUTED_VALUE"""),"Добрые, красивые,  умные ")</f>
        <v>Добрые, красивые,  умные </v>
      </c>
      <c r="X1429" s="6" t="str">
        <f>IFERROR(__xludf.DUMMYFUNCTION("""COMPUTED_VALUE"""),"Проспект советский, площадь Советов,  бульвар строителей ")</f>
        <v>Проспект советский, площадь Советов,  бульвар строителей </v>
      </c>
      <c r="Y1429" s="6" t="str">
        <f>IFERROR(__xludf.DUMMYFUNCTION("""COMPUTED_VALUE"""),"Строительство культурного кластера,  строительство кадетского корпуса ")</f>
        <v>Строительство культурного кластера,  строительство кадетского корпуса </v>
      </c>
      <c r="Z1429" s="6" t="str">
        <f>IFERROR(__xludf.DUMMYFUNCTION("""COMPUTED_VALUE"""),"Строительство новых объектов, нового жилья ")</f>
        <v>Строительство новых объектов, нового жилья </v>
      </c>
      <c r="AA1429" s="6" t="str">
        <f>IFERROR(__xludf.DUMMYFUNCTION("""COMPUTED_VALUE"""),"Пожар в Зимней Вишне")</f>
        <v>Пожар в Зимней Вишне</v>
      </c>
      <c r="AB1429" s="6" t="str">
        <f>IFERROR(__xludf.DUMMYFUNCTION("""COMPUTED_VALUE"""),"Совета ветеранов,  огородников ")</f>
        <v>Совета ветеранов,  огородников </v>
      </c>
      <c r="AC1429" s="6" t="str">
        <f>IFERROR(__xludf.DUMMYFUNCTION("""COMPUTED_VALUE"""),"Затрудняюсь ответить. Я в основном либо дома,  либо на огороде ")</f>
        <v>Затрудняюсь ответить. Я в основном либо дома,  либо на огороде </v>
      </c>
      <c r="AD142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429" s="6" t="str">
        <f>IFERROR(__xludf.DUMMYFUNCTION("""COMPUTED_VALUE"""),"Женский")</f>
        <v>Женский</v>
      </c>
      <c r="AF1429" s="6" t="str">
        <f>IFERROR(__xludf.DUMMYFUNCTION("""COMPUTED_VALUE"""),"старше 55")</f>
        <v>старше 55</v>
      </c>
      <c r="AG1429" s="6"/>
      <c r="AH1429" s="6"/>
      <c r="AI1429" s="6"/>
      <c r="AJ1429" s="6"/>
      <c r="AK1429" s="6"/>
      <c r="AL1429" s="6"/>
      <c r="AM1429" s="6"/>
    </row>
    <row r="1430">
      <c r="A1430" s="6">
        <v>1429.0</v>
      </c>
      <c r="B1430" s="6" t="str">
        <f>IFERROR(__xludf.DUMMYFUNCTION("""COMPUTED_VALUE"""),"Творчеством")</f>
        <v>Творчеством</v>
      </c>
      <c r="C1430" s="6" t="str">
        <f>IFERROR(__xludf.DUMMYFUNCTION("""COMPUTED_VALUE"""),"Арт-лофт Гречка ")</f>
        <v>Арт-лофт Гречка </v>
      </c>
      <c r="D1430" s="6" t="str">
        <f>IFERROR(__xludf.DUMMYFUNCTION("""COMPUTED_VALUE"""),"Д. Журавлево ")</f>
        <v>Д. Журавлево </v>
      </c>
      <c r="E1430" s="6" t="str">
        <f>IFERROR(__xludf.DUMMYFUNCTION("""COMPUTED_VALUE"""),"Большой Бор")</f>
        <v>Большой Бор</v>
      </c>
      <c r="F1430" s="6" t="str">
        <f>IFERROR(__xludf.DUMMYFUNCTION("""COMPUTED_VALUE"""),"Живу здесь с рождения")</f>
        <v>Живу здесь с рождения</v>
      </c>
      <c r="G1430" s="6" t="str">
        <f>IFERROR(__xludf.DUMMYFUNCTION("""COMPUTED_VALUE"""),"В гречке и в бору ")</f>
        <v>В гречке и в бору </v>
      </c>
      <c r="H1430" s="6" t="str">
        <f>IFERROR(__xludf.DUMMYFUNCTION("""COMPUTED_VALUE"""),"Родной, любимый, маленький, провинциальный, холодный ")</f>
        <v>Родной, любимый, маленький, провинциальный, холодный </v>
      </c>
      <c r="I1430" s="6" t="str">
        <f>IFERROR(__xludf.DUMMYFUNCTION("""COMPUTED_VALUE"""),"Не знаю )")</f>
        <v>Не знаю )</v>
      </c>
      <c r="J1430" s="6" t="str">
        <f>IFERROR(__xludf.DUMMYFUNCTION("""COMPUTED_VALUE"""),"Нет таких в памяти)")</f>
        <v>Нет таких в памяти)</v>
      </c>
      <c r="K1430" s="6" t="str">
        <f>IFERROR(__xludf.DUMMYFUNCTION("""COMPUTED_VALUE"""),"Показала бы Гречку конечно же ")</f>
        <v>Показала бы Гречку конечно же </v>
      </c>
      <c r="L1430" s="6" t="str">
        <f>IFERROR(__xludf.DUMMYFUNCTION("""COMPUTED_VALUE"""),"Не знаю")</f>
        <v>Не знаю</v>
      </c>
      <c r="M1430" s="6" t="str">
        <f>IFERROR(__xludf.DUMMYFUNCTION("""COMPUTED_VALUE"""),"Нет")</f>
        <v>Нет</v>
      </c>
      <c r="N1430" s="6" t="str">
        <f>IFERROR(__xludf.DUMMYFUNCTION("""COMPUTED_VALUE"""),"Чистота, креативность, индивидуальность ")</f>
        <v>Чистота, креативность, индивидуальность </v>
      </c>
      <c r="O1430" s="6" t="str">
        <f>IFERROR(__xludf.DUMMYFUNCTION("""COMPUTED_VALUE"""),"Убрать его и облагородить зеленью. Сделать уютной провинцией. ")</f>
        <v>Убрать его и облагородить зеленью. Сделать уютной провинцией. </v>
      </c>
      <c r="P1430" s="6" t="str">
        <f>IFERROR(__xludf.DUMMYFUNCTION("""COMPUTED_VALUE"""),"Из Инстаграмм ")</f>
        <v>Из Инстаграмм </v>
      </c>
      <c r="Q1430" s="6" t="str">
        <f>IFERROR(__xludf.DUMMYFUNCTION("""COMPUTED_VALUE"""),"интервью с местными творческими личностями, интервью с местными предпринимателями")</f>
        <v>интервью с местными творческими личностями, интервью с местными предпринимателями</v>
      </c>
      <c r="R1430" s="6" t="str">
        <f>IFERROR(__xludf.DUMMYFUNCTION("""COMPUTED_VALUE"""),"Фестивали, ярмарки ")</f>
        <v>Фестивали, ярмарки </v>
      </c>
      <c r="S1430" s="6" t="str">
        <f>IFERROR(__xludf.DUMMYFUNCTION("""COMPUTED_VALUE"""),"Обращался в редакции электронных городских СМИ, Обращался в редакции городских газет, телевидения, радио, Через свой Инстаграмм ")</f>
        <v>Обращался в редакции электронных городских СМИ, Обращался в редакции городских газет, телевидения, радио, Через свой Инстаграмм </v>
      </c>
      <c r="T1430" s="6" t="str">
        <f>IFERROR(__xludf.DUMMYFUNCTION("""COMPUTED_VALUE"""),"Своей атмосферой ")</f>
        <v>Своей атмосферой </v>
      </c>
      <c r="U1430" s="6" t="str">
        <f>IFERROR(__xludf.DUMMYFUNCTION("""COMPUTED_VALUE"""),"Площадь советов ")</f>
        <v>Площадь советов </v>
      </c>
      <c r="V1430" s="6" t="str">
        <f>IFERROR(__xludf.DUMMYFUNCTION("""COMPUTED_VALUE"""),"Не знаю ")</f>
        <v>Не знаю </v>
      </c>
      <c r="W1430" s="6" t="str">
        <f>IFERROR(__xludf.DUMMYFUNCTION("""COMPUTED_VALUE"""),"Скрывающие свой потенциал, немного робкие и испуганные ")</f>
        <v>Скрывающие свой потенциал, немного робкие и испуганные </v>
      </c>
      <c r="X1430" s="6" t="str">
        <f>IFERROR(__xludf.DUMMYFUNCTION("""COMPUTED_VALUE"""),"Набережная, Авиатор, Гречка")</f>
        <v>Набережная, Авиатор, Гречка</v>
      </c>
      <c r="Y1430" s="6" t="str">
        <f>IFERROR(__xludf.DUMMYFUNCTION("""COMPUTED_VALUE"""),"Не знаю")</f>
        <v>Не знаю</v>
      </c>
      <c r="Z1430" s="6" t="str">
        <f>IFERROR(__xludf.DUMMYFUNCTION("""COMPUTED_VALUE"""),"Открытие редакции ")</f>
        <v>Открытие редакции </v>
      </c>
      <c r="AA1430" s="6" t="str">
        <f>IFERROR(__xludf.DUMMYFUNCTION("""COMPUTED_VALUE"""),"Не знаю ")</f>
        <v>Не знаю </v>
      </c>
      <c r="AB1430" s="6" t="str">
        <f>IFERROR(__xludf.DUMMYFUNCTION("""COMPUTED_VALUE"""),"Творческих ")</f>
        <v>Творческих </v>
      </c>
      <c r="AC1430" s="6" t="str">
        <f>IFERROR(__xludf.DUMMYFUNCTION("""COMPUTED_VALUE"""),"Концерты. Ярмарки, место тусовки с творчеством ")</f>
        <v>Концерты. Ярмарки, место тусовки с творчеством </v>
      </c>
      <c r="AD1430" s="6" t="str">
        <f>IFERROR(__xludf.DUMMYFUNCTION("""COMPUTED_VALUE"""),"Профессионала.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v>
      </c>
      <c r="AE1430" s="6" t="str">
        <f>IFERROR(__xludf.DUMMYFUNCTION("""COMPUTED_VALUE"""),"Женский")</f>
        <v>Женский</v>
      </c>
      <c r="AF1430" s="6" t="str">
        <f>IFERROR(__xludf.DUMMYFUNCTION("""COMPUTED_VALUE"""),"30-44")</f>
        <v>30-44</v>
      </c>
      <c r="AG1430" s="6"/>
      <c r="AH1430" s="6"/>
      <c r="AI1430" s="6"/>
      <c r="AJ1430" s="6"/>
      <c r="AK1430" s="6"/>
      <c r="AL1430" s="6"/>
      <c r="AM1430" s="6"/>
    </row>
    <row r="1431">
      <c r="A1431" s="6">
        <v>1430.0</v>
      </c>
      <c r="B1431" s="6" t="str">
        <f>IFERROR(__xludf.DUMMYFUNCTION("""COMPUTED_VALUE"""),"Преподаватель")</f>
        <v>Преподаватель</v>
      </c>
      <c r="C1431" s="6" t="str">
        <f>IFERROR(__xludf.DUMMYFUNCTION("""COMPUTED_VALUE"""),"экология, благотворительность, танцы, пение")</f>
        <v>экология, благотворительность, танцы, пение</v>
      </c>
      <c r="D1431" s="6" t="str">
        <f>IFERROR(__xludf.DUMMYFUNCTION("""COMPUTED_VALUE"""),"Центральный")</f>
        <v>Центральный</v>
      </c>
      <c r="E1431" s="6" t="str">
        <f>IFERROR(__xludf.DUMMYFUNCTION("""COMPUTED_VALUE"""),"Набережная, площадь советов, озеро Красное, сосновый бор")</f>
        <v>Набережная, площадь советов, озеро Красное, сосновый бор</v>
      </c>
      <c r="F1431" s="6" t="str">
        <f>IFERROR(__xludf.DUMMYFUNCTION("""COMPUTED_VALUE"""),"Переехал сюда из другого места (откуда? укажите в графе другое), 2018  г.Новокузнецк")</f>
        <v>Переехал сюда из другого места (откуда? укажите в графе другое), 2018  г.Новокузнецк</v>
      </c>
      <c r="G1431" s="6" t="str">
        <f>IFERROR(__xludf.DUMMYFUNCTION("""COMPUTED_VALUE"""),"Набережная, сосновый бор")</f>
        <v>Набережная, сосновый бор</v>
      </c>
      <c r="H1431" s="6" t="str">
        <f>IFERROR(__xludf.DUMMYFUNCTION("""COMPUTED_VALUE"""),"Сердце, Кузбасс, Томь, площадь,  прогулка,")</f>
        <v>Сердце, Кузбасс, Томь, площадь,  прогулка,</v>
      </c>
      <c r="I1431" s="6" t="str">
        <f>IFERROR(__xludf.DUMMYFUNCTION("""COMPUTED_VALUE"""),"Киров  Леонов ")</f>
        <v>Киров  Леонов </v>
      </c>
      <c r="J1431" s="6" t="str">
        <f>IFERROR(__xludf.DUMMYFUNCTION("""COMPUTED_VALUE"""),"Гришковец Тулеев Панин Распутина Малышева Цивилев")</f>
        <v>Гришковец Тулеев Панин Распутина Малышева Цивилев</v>
      </c>
      <c r="K1431" s="6" t="str">
        <f>IFERROR(__xludf.DUMMYFUNCTION("""COMPUTED_VALUE"""),"весенний бульвар сосновый бор, красное озеро")</f>
        <v>весенний бульвар сосновый бор, красное озеро</v>
      </c>
      <c r="L1431" s="6" t="str">
        <f>IFERROR(__xludf.DUMMYFUNCTION("""COMPUTED_VALUE"""),"не знаю")</f>
        <v>не знаю</v>
      </c>
      <c r="M1431" s="6" t="str">
        <f>IFERROR(__xludf.DUMMYFUNCTION("""COMPUTED_VALUE"""),"нет")</f>
        <v>нет</v>
      </c>
      <c r="N1431" s="6" t="str">
        <f>IFERROR(__xludf.DUMMYFUNCTION("""COMPUTED_VALUE"""),"чистота, организованные места для рсо, зеленые островки, парки, декор, креатив, кафе авторские вегетарианские")</f>
        <v>чистота, организованные места для рсо, зеленые островки, парки, декор, креатив, кафе авторские вегетарианские</v>
      </c>
      <c r="O1431" s="6" t="str">
        <f>IFERROR(__xludf.DUMMYFUNCTION("""COMPUTED_VALUE"""),"экологические пространства , рсо, культурные-творческие пространства, вегетарианские кафе")</f>
        <v>экологические пространства , рсо, культурные-творческие пространства, вегетарианские кафе</v>
      </c>
      <c r="P1431" s="6" t="str">
        <f>IFERROR(__xludf.DUMMYFUNCTION("""COMPUTED_VALUE"""),"от знакомых , афиша")</f>
        <v>от знакомых , афиша</v>
      </c>
      <c r="Q1431"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но"&amp;"вых предприятий), интервью с экспертами на разные темы (напишите в разделе Другое свои предложения), образование, финансы, экология")</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 образование, финансы, экология</v>
      </c>
      <c r="R1431" s="6" t="str">
        <f>IFERROR(__xludf.DUMMYFUNCTION("""COMPUTED_VALUE"""),"9 мая , день города")</f>
        <v>9 мая , день города</v>
      </c>
      <c r="S1431"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v>
      </c>
      <c r="T1431" s="6" t="str">
        <f>IFERROR(__xludf.DUMMYFUNCTION("""COMPUTED_VALUE"""),"Сердце Кузбасса, природа")</f>
        <v>Сердце Кузбасса, природа</v>
      </c>
      <c r="U1431" s="6" t="str">
        <f>IFERROR(__xludf.DUMMYFUNCTION("""COMPUTED_VALUE"""),"площадь советов")</f>
        <v>площадь советов</v>
      </c>
      <c r="V1431" s="6" t="str">
        <f>IFERROR(__xludf.DUMMYFUNCTION("""COMPUTED_VALUE"""),"жили творили")</f>
        <v>жили творили</v>
      </c>
      <c r="W1431" s="6" t="str">
        <f>IFERROR(__xludf.DUMMYFUNCTION("""COMPUTED_VALUE"""),"серые, грустные")</f>
        <v>серые, грустные</v>
      </c>
      <c r="X1431" s="6" t="str">
        <f>IFERROR(__xludf.DUMMYFUNCTION("""COMPUTED_VALUE"""),"набережная весенний бульвар")</f>
        <v>набережная весенний бульвар</v>
      </c>
      <c r="Y1431" s="6" t="str">
        <f>IFERROR(__xludf.DUMMYFUNCTION("""COMPUTED_VALUE"""),"зимняя вишня, война")</f>
        <v>зимняя вишня, война</v>
      </c>
      <c r="Z1431" s="6" t="str">
        <f>IFERROR(__xludf.DUMMYFUNCTION("""COMPUTED_VALUE"""),"инклюзивный бал цветов бал волонтеров, парк кузбасских историй хор турецкого моржевание")</f>
        <v>инклюзивный бал цветов бал волонтеров, парк кузбасских историй хор турецкого моржевание</v>
      </c>
      <c r="AA1431" s="6" t="str">
        <f>IFERROR(__xludf.DUMMYFUNCTION("""COMPUTED_VALUE"""),"нет таких, очень лояльна")</f>
        <v>нет таких, очень лояльна</v>
      </c>
      <c r="AB1431" s="6" t="str">
        <f>IFERROR(__xludf.DUMMYFUNCTION("""COMPUTED_VALUE"""),"креативных, экологических,")</f>
        <v>креативных, экологических,</v>
      </c>
      <c r="AC1431" s="6" t="str">
        <f>IFERROR(__xludf.DUMMYFUNCTION("""COMPUTED_VALUE"""),"культурно=творческие, спортивные, просветительские за зож")</f>
        <v>культурно=творческие, спортивные, просветительские за зож</v>
      </c>
      <c r="AD1431"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31" s="6" t="str">
        <f>IFERROR(__xludf.DUMMYFUNCTION("""COMPUTED_VALUE"""),"Женский")</f>
        <v>Женский</v>
      </c>
      <c r="AF1431" s="6" t="str">
        <f>IFERROR(__xludf.DUMMYFUNCTION("""COMPUTED_VALUE"""),"30-44")</f>
        <v>30-44</v>
      </c>
      <c r="AG1431" s="6"/>
      <c r="AH1431" s="6"/>
      <c r="AI1431" s="6"/>
      <c r="AJ1431" s="6"/>
      <c r="AK1431" s="6"/>
      <c r="AL1431" s="6"/>
      <c r="AM1431" s="6"/>
    </row>
    <row r="1432">
      <c r="A1432" s="6">
        <v>1431.0</v>
      </c>
      <c r="B1432" s="6" t="str">
        <f>IFERROR(__xludf.DUMMYFUNCTION("""COMPUTED_VALUE"""),"Дизайнер одежды ")</f>
        <v>Дизайнер одежды </v>
      </c>
      <c r="C1432" s="6" t="str">
        <f>IFERROR(__xludf.DUMMYFUNCTION("""COMPUTED_VALUE"""),"Дизайн, программирование, гейминг")</f>
        <v>Дизайн, программирование, гейминг</v>
      </c>
      <c r="D1432" s="6" t="str">
        <f>IFERROR(__xludf.DUMMYFUNCTION("""COMPUTED_VALUE"""),"Заводской, Южный ")</f>
        <v>Заводской, Южный </v>
      </c>
      <c r="E1432" s="6" t="str">
        <f>IFERROR(__xludf.DUMMYFUNCTION("""COMPUTED_VALUE"""),"Центральный район, Красная горка")</f>
        <v>Центральный район, Красная горка</v>
      </c>
      <c r="F1432" s="6" t="str">
        <f>IFERROR(__xludf.DUMMYFUNCTION("""COMPUTED_VALUE"""),"Живу здесь с рождения")</f>
        <v>Живу здесь с рождения</v>
      </c>
      <c r="G1432" s="6" t="str">
        <f>IFERROR(__xludf.DUMMYFUNCTION("""COMPUTED_VALUE"""),"В основном посещаю заведения в Центральном районе, либо хожу в бор")</f>
        <v>В основном посещаю заведения в Центральном районе, либо хожу в бор</v>
      </c>
      <c r="H1432" s="6" t="str">
        <f>IFERROR(__xludf.DUMMYFUNCTION("""COMPUTED_VALUE"""),"Зелёный, Живой, Молодой ")</f>
        <v>Зелёный, Живой, Молодой </v>
      </c>
      <c r="I1432" s="6" t="str">
        <f>IFERROR(__xludf.DUMMYFUNCTION("""COMPUTED_VALUE"""),"Волков Михайло, Виктор Логинов, Александр Самойлов, Агеев Иван Петрович, Вера Волошина, Юрий Двужильный")</f>
        <v>Волков Михайло, Виктор Логинов, Александр Самойлов, Агеев Иван Петрович, Вера Волошина, Юрий Двужильный</v>
      </c>
      <c r="J1432" s="6" t="str">
        <f>IFERROR(__xludf.DUMMYFUNCTION("""COMPUTED_VALUE"""),".")</f>
        <v>.</v>
      </c>
      <c r="K1432" s="6" t="str">
        <f>IFERROR(__xludf.DUMMYFUNCTION("""COMPUTED_VALUE"""),"Парк Ангелов, Мемориал Славы, Скульптура ""Колыбель""")</f>
        <v>Парк Ангелов, Мемориал Славы, Скульптура "Колыбель"</v>
      </c>
      <c r="L1432" s="6" t="str">
        <f>IFERROR(__xludf.DUMMYFUNCTION("""COMPUTED_VALUE"""),".")</f>
        <v>.</v>
      </c>
      <c r="M1432" s="6" t="str">
        <f>IFERROR(__xludf.DUMMYFUNCTION("""COMPUTED_VALUE"""),".")</f>
        <v>.</v>
      </c>
      <c r="N1432" s="6" t="str">
        <f>IFERROR(__xludf.DUMMYFUNCTION("""COMPUTED_VALUE"""),"Чистый, безопасный, чтобы всё необходимое было рядом(больницы, магазины, аптеки), интересные места, множество парков ")</f>
        <v>Чистый, безопасный, чтобы всё необходимое было рядом(больницы, магазины, аптеки), интересные места, множество парков </v>
      </c>
      <c r="O1432" s="6" t="str">
        <f>IFERROR(__xludf.DUMMYFUNCTION("""COMPUTED_VALUE"""),"Очистить улицы!")</f>
        <v>Очистить улицы!</v>
      </c>
      <c r="P1432" s="6" t="str">
        <f>IFERROR(__xludf.DUMMYFUNCTION("""COMPUTED_VALUE"""),"Instagram, ВКонтакте ")</f>
        <v>Instagram, ВКонтакте </v>
      </c>
      <c r="Q143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1432" s="6" t="str">
        <f>IFERROR(__xludf.DUMMYFUNCTION("""COMPUTED_VALUE"""),".")</f>
        <v>.</v>
      </c>
      <c r="S1432" s="6" t="str">
        <f>IFERROR(__xludf.DUMMYFUNCTION("""COMPUTED_VALUE"""),"Нет, не приходилось")</f>
        <v>Нет, не приходилось</v>
      </c>
      <c r="T1432" s="6" t="str">
        <f>IFERROR(__xludf.DUMMYFUNCTION("""COMPUTED_VALUE"""),".")</f>
        <v>.</v>
      </c>
      <c r="U1432" s="6" t="str">
        <f>IFERROR(__xludf.DUMMYFUNCTION("""COMPUTED_VALUE"""),".")</f>
        <v>.</v>
      </c>
      <c r="V1432" s="6" t="str">
        <f>IFERROR(__xludf.DUMMYFUNCTION("""COMPUTED_VALUE"""),".")</f>
        <v>.</v>
      </c>
      <c r="W1432" s="6" t="str">
        <f>IFERROR(__xludf.DUMMYFUNCTION("""COMPUTED_VALUE"""),".")</f>
        <v>.</v>
      </c>
      <c r="X1432" s="6" t="str">
        <f>IFERROR(__xludf.DUMMYFUNCTION("""COMPUTED_VALUE"""),".")</f>
        <v>.</v>
      </c>
      <c r="Y1432" s="6" t="str">
        <f>IFERROR(__xludf.DUMMYFUNCTION("""COMPUTED_VALUE"""),".")</f>
        <v>.</v>
      </c>
      <c r="Z1432" s="6" t="str">
        <f>IFERROR(__xludf.DUMMYFUNCTION("""COMPUTED_VALUE"""),".")</f>
        <v>.</v>
      </c>
      <c r="AA1432" s="6" t="str">
        <f>IFERROR(__xludf.DUMMYFUNCTION("""COMPUTED_VALUE"""),".")</f>
        <v>.</v>
      </c>
      <c r="AB1432" s="6" t="str">
        <f>IFERROR(__xludf.DUMMYFUNCTION("""COMPUTED_VALUE"""),".")</f>
        <v>.</v>
      </c>
      <c r="AC1432" s="6" t="str">
        <f>IFERROR(__xludf.DUMMYFUNCTION("""COMPUTED_VALUE"""),".")</f>
        <v>.</v>
      </c>
      <c r="AD143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432" s="6" t="str">
        <f>IFERROR(__xludf.DUMMYFUNCTION("""COMPUTED_VALUE"""),"Женский")</f>
        <v>Женский</v>
      </c>
      <c r="AF1432" s="6" t="str">
        <f>IFERROR(__xludf.DUMMYFUNCTION("""COMPUTED_VALUE"""),"18-29")</f>
        <v>18-29</v>
      </c>
      <c r="AG1432" s="6"/>
      <c r="AH1432" s="6"/>
      <c r="AI1432" s="6"/>
      <c r="AJ1432" s="6"/>
      <c r="AK1432" s="6"/>
      <c r="AL1432" s="6"/>
      <c r="AM1432" s="6"/>
    </row>
    <row r="1433">
      <c r="A1433" s="6">
        <v>1432.0</v>
      </c>
      <c r="B1433" s="6" t="str">
        <f>IFERROR(__xludf.DUMMYFUNCTION("""COMPUTED_VALUE"""),"Арт гостиная ЗЕРКАЛО ")</f>
        <v>Арт гостиная ЗЕРКАЛО </v>
      </c>
      <c r="C1433" s="6" t="str">
        <f>IFERROR(__xludf.DUMMYFUNCTION("""COMPUTED_VALUE"""),"Творчество во всех проявлениях")</f>
        <v>Творчество во всех проявлениях</v>
      </c>
      <c r="D1433" s="6" t="str">
        <f>IFERROR(__xludf.DUMMYFUNCTION("""COMPUTED_VALUE"""),"Центральный район")</f>
        <v>Центральный район</v>
      </c>
      <c r="E1433" s="6" t="str">
        <f>IFERROR(__xludf.DUMMYFUNCTION("""COMPUTED_VALUE"""),"Набережная")</f>
        <v>Набережная</v>
      </c>
      <c r="F1433" s="6" t="str">
        <f>IFERROR(__xludf.DUMMYFUNCTION("""COMPUTED_VALUE"""),"Переехал сюда из другого места (откуда? укажите в графе другое), Переехала из г. Новокузнецка")</f>
        <v>Переехал сюда из другого места (откуда? укажите в графе другое), Переехала из г. Новокузнецка</v>
      </c>
      <c r="G1433" s="6" t="str">
        <f>IFERROR(__xludf.DUMMYFUNCTION("""COMPUTED_VALUE"""),"Набережная, ")</f>
        <v>Набережная, </v>
      </c>
      <c r="H1433" s="6" t="str">
        <f>IFERROR(__xludf.DUMMYFUNCTION("""COMPUTED_VALUE"""),"Столица Кузбасса")</f>
        <v>Столица Кузбасса</v>
      </c>
      <c r="I1433" s="6" t="str">
        <f>IFERROR(__xludf.DUMMYFUNCTION("""COMPUTED_VALUE"""),"Баронский. Волков. Фёдоров")</f>
        <v>Баронский. Волков. Фёдоров</v>
      </c>
      <c r="J1433" s="6" t="str">
        <f>IFERROR(__xludf.DUMMYFUNCTION("""COMPUTED_VALUE"""),"Их много.... ")</f>
        <v>Их много.... </v>
      </c>
      <c r="K1433" s="6" t="str">
        <f>IFERROR(__xludf.DUMMYFUNCTION("""COMPUTED_VALUE"""),"Бор. Музей Красная горка. ")</f>
        <v>Бор. Музей Красная горка. </v>
      </c>
      <c r="L1433" s="6" t="str">
        <f>IFERROR(__xludf.DUMMYFUNCTION("""COMPUTED_VALUE"""),"Не знаю")</f>
        <v>Не знаю</v>
      </c>
      <c r="M1433" s="6" t="str">
        <f>IFERROR(__xludf.DUMMYFUNCTION("""COMPUTED_VALUE"""),"Нет ")</f>
        <v>Нет </v>
      </c>
      <c r="N1433" s="6" t="str">
        <f>IFERROR(__xludf.DUMMYFUNCTION("""COMPUTED_VALUE"""),"Зелёный, чистый, компактный, уютный, атмосферный. Покой")</f>
        <v>Зелёный, чистый, компактный, уютный, атмосферный. Покой</v>
      </c>
      <c r="O1433" s="6" t="str">
        <f>IFERROR(__xludf.DUMMYFUNCTION("""COMPUTED_VALUE"""),"Транспорт")</f>
        <v>Транспорт</v>
      </c>
      <c r="P1433" s="6" t="str">
        <f>IFERROR(__xludf.DUMMYFUNCTION("""COMPUTED_VALUE"""),"Интернет. Фэйсбук, ВК, инсторам")</f>
        <v>Интернет. Фэйсбук, ВК, инсторам</v>
      </c>
      <c r="Q1433" s="6" t="str">
        <f>IFERROR(__xludf.DUMMYFUNCTION("""COMPUTED_VALUE"""),"интервью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f>
        <v>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v>
      </c>
      <c r="R1433" s="6" t="str">
        <f>IFERROR(__xludf.DUMMYFUNCTION("""COMPUTED_VALUE"""),"День города")</f>
        <v>День города</v>
      </c>
      <c r="S1433" s="6" t="str">
        <f>IFERROR(__xludf.DUMMYFUNCTION("""COMPUTED_VALUE"""),"Через социальные сети (Какие? Укажите в графе другое), ВК, инстограм, однокласники")</f>
        <v>Через социальные сети (Какие? Укажите в графе другое), ВК, инстограм, однокласники</v>
      </c>
      <c r="T1433" s="6" t="str">
        <f>IFERROR(__xludf.DUMMYFUNCTION("""COMPUTED_VALUE"""),"Томская писаница, Музей Красная горка. Бор. ")</f>
        <v>Томская писаница, Музей Красная горка. Бор. </v>
      </c>
      <c r="U1433" s="6" t="str">
        <f>IFERROR(__xludf.DUMMYFUNCTION("""COMPUTED_VALUE"""),"Не знаю")</f>
        <v>Не знаю</v>
      </c>
      <c r="V1433" s="6" t="str">
        <f>IFERROR(__xludf.DUMMYFUNCTION("""COMPUTED_VALUE"""),"А кемеровчане гордятся? Не заметила... ")</f>
        <v>А кемеровчане гордятся? Не заметила... </v>
      </c>
      <c r="W1433" s="6" t="str">
        <f>IFERROR(__xludf.DUMMYFUNCTION("""COMPUTED_VALUE"""),"Сложно понять людей. Как то живут обособленно. Кучка и. ")</f>
        <v>Сложно понять людей. Как то живут обособленно. Кучка и. </v>
      </c>
      <c r="X1433" s="6" t="str">
        <f>IFERROR(__xludf.DUMMYFUNCTION("""COMPUTED_VALUE"""),"Набережная. Бор")</f>
        <v>Набережная. Бор</v>
      </c>
      <c r="Y1433" s="6" t="str">
        <f>IFERROR(__xludf.DUMMYFUNCTION("""COMPUTED_VALUE"""),"Не знаю")</f>
        <v>Не знаю</v>
      </c>
      <c r="Z1433" s="6" t="str">
        <f>IFERROR(__xludf.DUMMYFUNCTION("""COMPUTED_VALUE"""),"Открытие моей гостиной ЗЕРКАЛО")</f>
        <v>Открытие моей гостиной ЗЕРКАЛО</v>
      </c>
      <c r="AA1433" s="6" t="str">
        <f>IFERROR(__xludf.DUMMYFUNCTION("""COMPUTED_VALUE"""),"Зимняя вишня")</f>
        <v>Зимняя вишня</v>
      </c>
      <c r="AB1433" s="6" t="str">
        <f>IFERROR(__xludf.DUMMYFUNCTION("""COMPUTED_VALUE"""),"Сообществ хватает, а общение между ними нет.... ")</f>
        <v>Сообществ хватает, а общение между ними нет.... </v>
      </c>
      <c r="AC1433" s="6" t="str">
        <f>IFERROR(__xludf.DUMMYFUNCTION("""COMPUTED_VALUE"""),"Аквапарк, пляж. ")</f>
        <v>Аквапарк, пляж. </v>
      </c>
      <c r="AD143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33" s="6" t="str">
        <f>IFERROR(__xludf.DUMMYFUNCTION("""COMPUTED_VALUE"""),"Женский")</f>
        <v>Женский</v>
      </c>
      <c r="AF1433" s="6" t="str">
        <f>IFERROR(__xludf.DUMMYFUNCTION("""COMPUTED_VALUE"""),"45-55")</f>
        <v>45-55</v>
      </c>
      <c r="AG1433" s="6"/>
      <c r="AH1433" s="6"/>
      <c r="AI1433" s="6"/>
      <c r="AJ1433" s="6"/>
      <c r="AK1433" s="6"/>
      <c r="AL1433" s="6"/>
      <c r="AM1433" s="6"/>
    </row>
    <row r="1434">
      <c r="A1434" s="6">
        <v>1433.0</v>
      </c>
      <c r="B1434" s="6" t="str">
        <f>IFERROR(__xludf.DUMMYFUNCTION("""COMPUTED_VALUE"""),"Мастерская художественных витражей")</f>
        <v>Мастерская художественных витражей</v>
      </c>
      <c r="C1434" s="6" t="str">
        <f>IFERROR(__xludf.DUMMYFUNCTION("""COMPUTED_VALUE"""),"Изготовление художественных витражей, картины, барельефы, шитье, сад")</f>
        <v>Изготовление художественных витражей, картины, барельефы, шитье, сад</v>
      </c>
      <c r="D1434" s="6" t="str">
        <f>IFERROR(__xludf.DUMMYFUNCTION("""COMPUTED_VALUE"""),"Кемеровский район")</f>
        <v>Кемеровский район</v>
      </c>
      <c r="E1434" s="6" t="str">
        <f>IFERROR(__xludf.DUMMYFUNCTION("""COMPUTED_VALUE"""),"Кемеровское областное художественное училище ")</f>
        <v>Кемеровское областное художественное училище </v>
      </c>
      <c r="F1434" s="6" t="str">
        <f>IFERROR(__xludf.DUMMYFUNCTION("""COMPUTED_VALUE"""),"35лет. Переезд с родителями")</f>
        <v>35лет. Переезд с родителями</v>
      </c>
      <c r="G1434" s="6" t="str">
        <f>IFERROR(__xludf.DUMMYFUNCTION("""COMPUTED_VALUE"""),"Парки")</f>
        <v>Парки</v>
      </c>
      <c r="H1434" s="6" t="str">
        <f>IFERROR(__xludf.DUMMYFUNCTION("""COMPUTED_VALUE"""),"Пыль, выбросы, пустыня, вузы, заводы")</f>
        <v>Пыль, выбросы, пустыня, вузы, заводы</v>
      </c>
      <c r="I1434" s="6" t="str">
        <f>IFERROR(__xludf.DUMMYFUNCTION("""COMPUTED_VALUE"""),"Михайло Волков")</f>
        <v>Михайло Волков</v>
      </c>
      <c r="J1434" s="6" t="str">
        <f>IFERROR(__xludf.DUMMYFUNCTION("""COMPUTED_VALUE"""),"Александр Макеев, Юрий Белокриницкий, Александр Осипов, А. Дрозд")</f>
        <v>Александр Макеев, Юрий Белокриницкий, Александр Осипов, А. Дрозд</v>
      </c>
      <c r="K1434" s="6" t="str">
        <f>IFERROR(__xludf.DUMMYFUNCTION("""COMPUTED_VALUE"""),"Городской сад, филармония")</f>
        <v>Городской сад, филармония</v>
      </c>
      <c r="L1434" s="6" t="str">
        <f>IFERROR(__xludf.DUMMYFUNCTION("""COMPUTED_VALUE"""),"""Человек из Кемерово"" ")</f>
        <v>"Человек из Кемерово" </v>
      </c>
      <c r="M1434" s="6" t="str">
        <f>IFERROR(__xludf.DUMMYFUNCTION("""COMPUTED_VALUE"""),"Нет")</f>
        <v>Нет</v>
      </c>
      <c r="N1434" s="6" t="str">
        <f>IFERROR(__xludf.DUMMYFUNCTION("""COMPUTED_VALUE"""),"Экология, доступность медицинских услуг, поддержка культуры и искусств, повышение уровня жизни, восстановление зеленых насаждений ")</f>
        <v>Экология, доступность медицинских услуг, поддержка культуры и искусств, повышение уровня жизни, восстановление зеленых насаждений </v>
      </c>
      <c r="O1434" s="6" t="str">
        <f>IFERROR(__xludf.DUMMYFUNCTION("""COMPUTED_VALUE"""),"Экология")</f>
        <v>Экология</v>
      </c>
      <c r="P1434" s="6" t="str">
        <f>IFERROR(__xludf.DUMMYFUNCTION("""COMPUTED_VALUE"""),"Фейсбук, инстаграмм")</f>
        <v>Фейсбук, инстаграмм</v>
      </c>
      <c r="Q1434" s="6" t="str">
        <f>IFERROR(__xludf.DUMMYFUNCTION("""COMPUTED_VALUE"""),"интервью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434" s="6" t="str">
        <f>IFERROR(__xludf.DUMMYFUNCTION("""COMPUTED_VALUE"""),"9 мая")</f>
        <v>9 мая</v>
      </c>
      <c r="S1434" s="6" t="str">
        <f>IFERROR(__xludf.DUMMYFUNCTION("""COMPUTED_VALUE"""),"Участие в культурных проектах.")</f>
        <v>Участие в культурных проектах.</v>
      </c>
      <c r="T1434" s="6" t="str">
        <f>IFERROR(__xludf.DUMMYFUNCTION("""COMPUTED_VALUE"""),"Все хотят уехать.  Знаменит талантливыми людьми. ")</f>
        <v>Все хотят уехать.  Знаменит талантливыми людьми. </v>
      </c>
      <c r="U1434" s="6" t="str">
        <f>IFERROR(__xludf.DUMMYFUNCTION("""COMPUTED_VALUE"""),"Фонтан")</f>
        <v>Фонтан</v>
      </c>
      <c r="V1434" s="6" t="str">
        <f>IFERROR(__xludf.DUMMYFUNCTION("""COMPUTED_VALUE"""),"Вкалывали на шахтах")</f>
        <v>Вкалывали на шахтах</v>
      </c>
      <c r="W1434" s="6" t="str">
        <f>IFERROR(__xludf.DUMMYFUNCTION("""COMPUTED_VALUE"""),"Живучие, сильные, замкнутые, талантливые")</f>
        <v>Живучие, сильные, замкнутые, талантливые</v>
      </c>
      <c r="X1434" s="6" t="str">
        <f>IFERROR(__xludf.DUMMYFUNCTION("""COMPUTED_VALUE"""),"Набережная, горсад, филармония, бор")</f>
        <v>Набережная, горсад, филармония, бор</v>
      </c>
      <c r="Y1434" s="6" t="str">
        <f>IFERROR(__xludf.DUMMYFUNCTION("""COMPUTED_VALUE"""),"Не знаю ")</f>
        <v>Не знаю </v>
      </c>
      <c r="Z1434" s="6" t="str">
        <f>IFERROR(__xludf.DUMMYFUNCTION("""COMPUTED_VALUE"""),"Строительство культурного кластера на притомском проспекте")</f>
        <v>Строительство культурного кластера на притомском проспекте</v>
      </c>
      <c r="AA1434" s="6" t="str">
        <f>IFERROR(__xludf.DUMMYFUNCTION("""COMPUTED_VALUE"""),"Зимняя вишня")</f>
        <v>Зимняя вишня</v>
      </c>
      <c r="AB1434" s="6" t="str">
        <f>IFERROR(__xludf.DUMMYFUNCTION("""COMPUTED_VALUE"""),"Союз художников, союз архитекторов, союз музыкантов,  театральный союз. ")</f>
        <v>Союз художников, союз архитекторов, союз музыкантов,  театральный союз. </v>
      </c>
      <c r="AC1434" s="6" t="str">
        <f>IFERROR(__xludf.DUMMYFUNCTION("""COMPUTED_VALUE"""),"Международные культурные события")</f>
        <v>Международные культурные события</v>
      </c>
      <c r="AD1434" s="6" t="str">
        <f>IFERROR(__xludf.DUMMYFUNCTION("""COMPUTED_VALUE""")," Выживание все 17лет  с открытия мастерской,  нет заказов на облагораживание городской среды")</f>
        <v> Выживание все 17лет  с открытия мастерской,  нет заказов на облагораживание городской среды</v>
      </c>
      <c r="AE1434" s="6" t="str">
        <f>IFERROR(__xludf.DUMMYFUNCTION("""COMPUTED_VALUE"""),"Женский")</f>
        <v>Женский</v>
      </c>
      <c r="AF1434" s="6" t="str">
        <f>IFERROR(__xludf.DUMMYFUNCTION("""COMPUTED_VALUE"""),"45-55")</f>
        <v>45-55</v>
      </c>
      <c r="AG1434" s="6"/>
      <c r="AH1434" s="6"/>
      <c r="AI1434" s="6"/>
      <c r="AJ1434" s="6"/>
      <c r="AK1434" s="6"/>
      <c r="AL1434" s="6"/>
      <c r="AM1434" s="6"/>
    </row>
    <row r="1435">
      <c r="A1435" s="6">
        <v>1434.0</v>
      </c>
      <c r="B1435" s="6" t="str">
        <f>IFERROR(__xludf.DUMMYFUNCTION("""COMPUTED_VALUE"""),"Художник")</f>
        <v>Художник</v>
      </c>
      <c r="C1435" s="6" t="str">
        <f>IFERROR(__xludf.DUMMYFUNCTION("""COMPUTED_VALUE"""),"Фото видео творчество ")</f>
        <v>Фото видео творчество </v>
      </c>
      <c r="D1435" s="6" t="str">
        <f>IFERROR(__xludf.DUMMYFUNCTION("""COMPUTED_VALUE"""),"Металлплощадка (металлка)")</f>
        <v>Металлплощадка (металлка)</v>
      </c>
      <c r="E1435" s="6" t="str">
        <f>IFERROR(__xludf.DUMMYFUNCTION("""COMPUTED_VALUE"""),"Аграрный техникум, теплицы которые ночью светятся")</f>
        <v>Аграрный техникум, теплицы которые ночью светятся</v>
      </c>
      <c r="F1435" s="6" t="str">
        <f>IFERROR(__xludf.DUMMYFUNCTION("""COMPUTED_VALUE"""),"Живу здесь с рождения")</f>
        <v>Живу здесь с рождения</v>
      </c>
      <c r="G1435" s="6" t="str">
        <f>IFERROR(__xludf.DUMMYFUNCTION("""COMPUTED_VALUE"""),"Гуляю по центру. Люблю ходить по дворам и закоулкам.")</f>
        <v>Гуляю по центру. Люблю ходить по дворам и закоулкам.</v>
      </c>
      <c r="H1435" s="6" t="str">
        <f>IFERROR(__xludf.DUMMYFUNCTION("""COMPUTED_VALUE"""),"Индустриальный, архитектурный, голландский, уютный, красивый ")</f>
        <v>Индустриальный, архитектурный, голландский, уютный, красивый </v>
      </c>
      <c r="I1435" s="6" t="str">
        <f>IFERROR(__xludf.DUMMYFUNCTION("""COMPUTED_VALUE"""),"Волков, Растрелли, Рутгерс, Лохем, Михайлов")</f>
        <v>Волков, Растрелли, Рутгерс, Лохем, Михайлов</v>
      </c>
      <c r="J1435" s="6" t="str">
        <f>IFERROR(__xludf.DUMMYFUNCTION("""COMPUTED_VALUE"""),"Варшуля (тортишная и завтра,Кать) Никита Париж, Алексей Мухин (блоги видео гранты ) Беляев (Милтон и клумба), Волков (калинамалина) ")</f>
        <v>Варшуля (тортишная и завтра,Кать) Никита Париж, Алексей Мухин (блоги видео гранты ) Беляев (Милтон и клумба), Волков (калинамалина) </v>
      </c>
      <c r="K1435" s="6" t="str">
        <f>IFERROR(__xludf.DUMMYFUNCTION("""COMPUTED_VALUE"""),"Красная горка, Набережная,  теплицы")</f>
        <v>Красная горка, Набережная,  теплицы</v>
      </c>
      <c r="L1435" s="6" t="str">
        <f>IFERROR(__xludf.DUMMYFUNCTION("""COMPUTED_VALUE"""),"Кемерово большая деревня.")</f>
        <v>Кемерово большая деревня.</v>
      </c>
      <c r="M1435" s="6" t="str">
        <f>IFERROR(__xludf.DUMMYFUNCTION("""COMPUTED_VALUE"""),"«Поехал в лапу» (лапландию) «клуб шмарАкеш (маракеш) «ходить на крест» «в политехе» «по подару съели» (по подорожнику). «В кульке училась» ( в культуре) ")</f>
        <v>«Поехал в лапу» (лапландию) «клуб шмарАкеш (маракеш) «ходить на крест» «в политехе» «по подару съели» (по подорожнику). «В кульке училась» ( в культуре) </v>
      </c>
      <c r="N1435" s="6" t="str">
        <f>IFERROR(__xludf.DUMMYFUNCTION("""COMPUTED_VALUE"""),"СтараяКрасивая архитектура, чистая экология,   Куча недорогих и красивых баров и мест, икеа,  трамваи ")</f>
        <v>СтараяКрасивая архитектура, чистая экология,   Куча недорогих и красивых баров и мест, икеа,  трамваи </v>
      </c>
      <c r="O1435" s="6" t="str">
        <f>IFERROR(__xludf.DUMMYFUNCTION("""COMPUTED_VALUE"""),"Починить фасады старых зданий ")</f>
        <v>Починить фасады старых зданий </v>
      </c>
      <c r="P1435" s="6" t="str">
        <f>IFERROR(__xludf.DUMMYFUNCTION("""COMPUTED_VALUE"""),"Инцидент42 в Инстаграм, аккаунт «фея скидок» в Инстаграм ")</f>
        <v>Инцидент42 в Инстаграм, аккаунт «фея скидок» в Инстаграм </v>
      </c>
      <c r="Q1435" s="6" t="str">
        <f>IFERROR(__xludf.DUMMYFUNCTION("""COMPUTED_VALUE"""),"где вкусно поесть/открытие новых кафе/ресторанов, городская афиша (кино/театр/концерты), интервью с экспертами на разные темы (напишите в разделе Другое свои предложения)")</f>
        <v>где вкусно поесть/открытие новых кафе/ресторанов, городская афиша (кино/театр/концерты), интервью с экспертами на разные темы (напишите в разделе Другое свои предложения)</v>
      </c>
      <c r="R1435" s="6" t="str">
        <f>IFERROR(__xludf.DUMMYFUNCTION("""COMPUTED_VALUE"""),"День города ")</f>
        <v>День города </v>
      </c>
      <c r="S1435" s="6" t="str">
        <f>IFERROR(__xludf.DUMMYFUNCTION("""COMPUTED_VALUE"""),"Писал и расклеивал объявления/афиши")</f>
        <v>Писал и расклеивал объявления/афиши</v>
      </c>
      <c r="T1435" s="6" t="str">
        <f>IFERROR(__xludf.DUMMYFUNCTION("""COMPUTED_VALUE"""),"Трубы на набережной, музей угля, архитектура, ")</f>
        <v>Трубы на набережной, музей угля, архитектура, </v>
      </c>
      <c r="U1435" s="6" t="str">
        <f>IFERROR(__xludf.DUMMYFUNCTION("""COMPUTED_VALUE"""),"Фонтан драмтеатр")</f>
        <v>Фонтан драмтеатр</v>
      </c>
      <c r="V1435" s="6" t="str">
        <f>IFERROR(__xludf.DUMMYFUNCTION("""COMPUTED_VALUE"""),"Сохранили красную горку")</f>
        <v>Сохранили красную горку</v>
      </c>
      <c r="W1435" s="6" t="str">
        <f>IFERROR(__xludf.DUMMYFUNCTION("""COMPUTED_VALUE"""),"Хмурые но добрые, кашляющие люди, радующиеся солнышку и дождю,  искренние добрые и все друг друга знают")</f>
        <v>Хмурые но добрые, кашляющие люди, радующиеся солнышку и дождю,  искренние добрые и все друг друга знают</v>
      </c>
      <c r="X1435" s="6" t="str">
        <f>IFERROR(__xludf.DUMMYFUNCTION("""COMPUTED_VALUE"""),"От бульвара до конца советского ")</f>
        <v>От бульвара до конца советского </v>
      </c>
      <c r="Y1435" s="6" t="str">
        <f>IFERROR(__xludf.DUMMYFUNCTION("""COMPUTED_VALUE"""),"Открытие угля ")</f>
        <v>Открытие угля </v>
      </c>
      <c r="Z1435" s="6" t="str">
        <f>IFERROR(__xludf.DUMMYFUNCTION("""COMPUTED_VALUE"""),"Рок концерт строй сервиса 😄")</f>
        <v>Рок концерт строй сервиса 😄</v>
      </c>
      <c r="AA1435" s="6" t="str">
        <f>IFERROR(__xludf.DUMMYFUNCTION("""COMPUTED_VALUE"""),"Зимняя вишня, строительство дороги Металлплощадка бульвар ")</f>
        <v>Зимняя вишня, строительство дороги Металлплощадка бульвар </v>
      </c>
      <c r="AB1435" s="6" t="str">
        <f>IFERROR(__xludf.DUMMYFUNCTION("""COMPUTED_VALUE"""),"Всего хватает ")</f>
        <v>Всего хватает </v>
      </c>
      <c r="AC1435" s="6" t="str">
        <f>IFERROR(__xludf.DUMMYFUNCTION("""COMPUTED_VALUE"""),"Такие мероприяти я как рок концерт , открытие кинопоказы, мероприятия на свежем воздухе летом")</f>
        <v>Такие мероприяти я как рок концерт , открытие кинопоказы, мероприятия на свежем воздухе летом</v>
      </c>
      <c r="AD143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v>
      </c>
      <c r="AE1435" s="6" t="str">
        <f>IFERROR(__xludf.DUMMYFUNCTION("""COMPUTED_VALUE"""),"Женский")</f>
        <v>Женский</v>
      </c>
      <c r="AF1435" s="6" t="str">
        <f>IFERROR(__xludf.DUMMYFUNCTION("""COMPUTED_VALUE"""),"18-29")</f>
        <v>18-29</v>
      </c>
      <c r="AG1435" s="6"/>
      <c r="AH1435" s="6"/>
      <c r="AI1435" s="6"/>
      <c r="AJ1435" s="6"/>
      <c r="AK1435" s="6"/>
      <c r="AL1435" s="6"/>
      <c r="AM1435" s="6"/>
    </row>
    <row r="1436">
      <c r="A1436" s="6">
        <v>1435.0</v>
      </c>
      <c r="B1436" s="6" t="str">
        <f>IFERROR(__xludf.DUMMYFUNCTION("""COMPUTED_VALUE"""),"Арт гостиная Зеркало")</f>
        <v>Арт гостиная Зеркало</v>
      </c>
      <c r="C1436" s="6" t="str">
        <f>IFERROR(__xludf.DUMMYFUNCTION("""COMPUTED_VALUE"""),"Творчество в любых формах")</f>
        <v>Творчество в любых формах</v>
      </c>
      <c r="D1436" s="6" t="str">
        <f>IFERROR(__xludf.DUMMYFUNCTION("""COMPUTED_VALUE"""),"В центре. ")</f>
        <v>В центре. </v>
      </c>
      <c r="E1436" s="6" t="str">
        <f>IFERROR(__xludf.DUMMYFUNCTION("""COMPUTED_VALUE"""),"Набережная")</f>
        <v>Набережная</v>
      </c>
      <c r="F1436" s="6" t="str">
        <f>IFERROR(__xludf.DUMMYFUNCTION("""COMPUTED_VALUE"""),"Переехал сюда из другого места (откуда? укажите в графе другое), Переехала из г. Новокузнецка")</f>
        <v>Переехал сюда из другого места (откуда? укажите в графе другое), Переехала из г. Новокузнецка</v>
      </c>
      <c r="G1436" s="6" t="str">
        <f>IFERROR(__xludf.DUMMYFUNCTION("""COMPUTED_VALUE"""),"Набережная")</f>
        <v>Набережная</v>
      </c>
      <c r="H1436" s="6" t="str">
        <f>IFERROR(__xludf.DUMMYFUNCTION("""COMPUTED_VALUE""")," столица Кузбасса")</f>
        <v> столица Кузбасса</v>
      </c>
      <c r="I1436" s="6" t="str">
        <f>IFERROR(__xludf.DUMMYFUNCTION("""COMPUTED_VALUE"""),"Фёдоров, Волков, Баронский")</f>
        <v>Фёдоров, Волков, Баронский</v>
      </c>
      <c r="J1436" s="6" t="str">
        <f>IFERROR(__xludf.DUMMYFUNCTION("""COMPUTED_VALUE"""),"Их много... ")</f>
        <v>Их много... </v>
      </c>
      <c r="K1436" s="6" t="str">
        <f>IFERROR(__xludf.DUMMYFUNCTION("""COMPUTED_VALUE"""),"Музей Красная горка, набережную, бор, Томскую писаница, ")</f>
        <v>Музей Красная горка, набережную, бор, Томскую писаница, </v>
      </c>
      <c r="L1436" s="6" t="str">
        <f>IFERROR(__xludf.DUMMYFUNCTION("""COMPUTED_VALUE"""),"Не знаю")</f>
        <v>Не знаю</v>
      </c>
      <c r="M1436" s="6" t="str">
        <f>IFERROR(__xludf.DUMMYFUNCTION("""COMPUTED_VALUE"""),"Нет")</f>
        <v>Нет</v>
      </c>
      <c r="N1436" s="6" t="str">
        <f>IFERROR(__xludf.DUMMYFUNCTION("""COMPUTED_VALUE"""),"Чистый, атмосферный,  спокойный,  компактный, зелёный")</f>
        <v>Чистый, атмосферный,  спокойный,  компактный, зелёный</v>
      </c>
      <c r="O1436" s="6" t="str">
        <f>IFERROR(__xludf.DUMMYFUNCTION("""COMPUTED_VALUE"""),"Транспорт")</f>
        <v>Транспорт</v>
      </c>
      <c r="P1436" s="6" t="str">
        <f>IFERROR(__xludf.DUMMYFUNCTION("""COMPUTED_VALUE"""),"Интернет. ВК, инста, фэйсбук")</f>
        <v>Интернет. ВК, инста, фэйсбук</v>
      </c>
      <c r="Q1436" s="6" t="str">
        <f>IFERROR(__xludf.DUMMYFUNCTION("""COMPUTED_VALUE"""),"куда пойти в свободное время, интервью с местными творческими личностями, результаты местных исследований (рейтинги/аналитика/тенденции)")</f>
        <v>куда пойти в свободное время, интервью с местными творческими личностями, результаты местных исследований (рейтинги/аналитика/тенденции)</v>
      </c>
      <c r="R1436" s="6" t="str">
        <f>IFERROR(__xludf.DUMMYFUNCTION("""COMPUTED_VALUE"""),"День города")</f>
        <v>День города</v>
      </c>
      <c r="S1436" s="6" t="str">
        <f>IFERROR(__xludf.DUMMYFUNCTION("""COMPUTED_VALUE"""),"Через социальные сети (Какие? Укажите в графе другое), ВК, инста, фэйсбук, однокласники")</f>
        <v>Через социальные сети (Какие? Укажите в графе другое), ВК, инста, фэйсбук, однокласники</v>
      </c>
      <c r="T1436" s="6" t="str">
        <f>IFERROR(__xludf.DUMMYFUNCTION("""COMPUTED_VALUE"""),"Не знаю")</f>
        <v>Не знаю</v>
      </c>
      <c r="U1436" s="6" t="str">
        <f>IFERROR(__xludf.DUMMYFUNCTION("""COMPUTED_VALUE"""),"проспект Советский")</f>
        <v>проспект Советский</v>
      </c>
      <c r="V1436" s="6" t="str">
        <f>IFERROR(__xludf.DUMMYFUNCTION("""COMPUTED_VALUE"""),"Рудник, завод Азот, АИК")</f>
        <v>Рудник, завод Азот, АИК</v>
      </c>
      <c r="W1436" s="6" t="str">
        <f>IFERROR(__xludf.DUMMYFUNCTION("""COMPUTED_VALUE"""),"Обособленные, замкнутые")</f>
        <v>Обособленные, замкнутые</v>
      </c>
      <c r="X1436" s="6" t="str">
        <f>IFERROR(__xludf.DUMMYFUNCTION("""COMPUTED_VALUE"""),"Набережная")</f>
        <v>Набережная</v>
      </c>
      <c r="Y1436" s="6" t="str">
        <f>IFERROR(__xludf.DUMMYFUNCTION("""COMPUTED_VALUE"""),"Не знаю")</f>
        <v>Не знаю</v>
      </c>
      <c r="Z1436" s="6" t="str">
        <f>IFERROR(__xludf.DUMMYFUNCTION("""COMPUTED_VALUE"""),"День Шукшина")</f>
        <v>День Шукшина</v>
      </c>
      <c r="AA1436" s="6" t="str">
        <f>IFERROR(__xludf.DUMMYFUNCTION("""COMPUTED_VALUE"""),"Зимняя вишня")</f>
        <v>Зимняя вишня</v>
      </c>
      <c r="AB1436" s="6" t="str">
        <f>IFERROR(__xludf.DUMMYFUNCTION("""COMPUTED_VALUE"""),"Хватает всего")</f>
        <v>Хватает всего</v>
      </c>
      <c r="AC1436" s="6" t="str">
        <f>IFERROR(__xludf.DUMMYFUNCTION("""COMPUTED_VALUE"""),"Аквапарк, пляж")</f>
        <v>Аквапарк, пляж</v>
      </c>
      <c r="AD1436"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436" s="6" t="str">
        <f>IFERROR(__xludf.DUMMYFUNCTION("""COMPUTED_VALUE"""),"Мужской")</f>
        <v>Мужской</v>
      </c>
      <c r="AF1436" s="6" t="str">
        <f>IFERROR(__xludf.DUMMYFUNCTION("""COMPUTED_VALUE"""),"45-55")</f>
        <v>45-55</v>
      </c>
      <c r="AG1436" s="6"/>
      <c r="AH1436" s="6"/>
      <c r="AI1436" s="6"/>
      <c r="AJ1436" s="6"/>
      <c r="AK1436" s="6"/>
      <c r="AL1436" s="6"/>
      <c r="AM1436" s="6"/>
    </row>
    <row r="1437">
      <c r="A1437" s="6">
        <v>1436.0</v>
      </c>
      <c r="B1437" s="6" t="str">
        <f>IFERROR(__xludf.DUMMYFUNCTION("""COMPUTED_VALUE"""),"Торговля")</f>
        <v>Торговля</v>
      </c>
      <c r="C1437" s="6" t="str">
        <f>IFERROR(__xludf.DUMMYFUNCTION("""COMPUTED_VALUE"""),"Рукоделие")</f>
        <v>Рукоделие</v>
      </c>
      <c r="D1437" s="6" t="str">
        <f>IFERROR(__xludf.DUMMYFUNCTION("""COMPUTED_VALUE"""),"Центральном")</f>
        <v>Центральном</v>
      </c>
      <c r="E1437" s="6" t="str">
        <f>IFERROR(__xludf.DUMMYFUNCTION("""COMPUTED_VALUE"""),"Парк Победы, площадь советов, весенний проспект- соответственно памятники там")</f>
        <v>Парк Победы, площадь советов, весенний проспект- соответственно памятники там</v>
      </c>
      <c r="F1437" s="6" t="str">
        <f>IFERROR(__xludf.DUMMYFUNCTION("""COMPUTED_VALUE"""),"Живу здесь с рождения")</f>
        <v>Живу здесь с рождения</v>
      </c>
      <c r="G1437" s="6" t="str">
        <f>IFERROR(__xludf.DUMMYFUNCTION("""COMPUTED_VALUE"""),"Бульвары, прогулочные зоны в Ленинском, рудничнрм районах, и, естественно ,центр")</f>
        <v>Бульвары, прогулочные зоны в Ленинском, рудничнрм районах, и, естественно ,центр</v>
      </c>
      <c r="H1437" s="6" t="str">
        <f>IFERROR(__xludf.DUMMYFUNCTION("""COMPUTED_VALUE""")," уголь, упорство, труд, серость, пейзаж")</f>
        <v> уголь, упорство, труд, серость, пейзаж</v>
      </c>
      <c r="I1437" s="6" t="str">
        <f>IFERROR(__xludf.DUMMYFUNCTION("""COMPUTED_VALUE"""),"Леонов, Ван Лохем")</f>
        <v>Леонов, Ван Лохем</v>
      </c>
      <c r="J1437" s="6" t="str">
        <f>IFERROR(__xludf.DUMMYFUNCTION("""COMPUTED_VALUE"""),"Гришковец - но он просто известен... А делают люди обычные, которые работают на благо города")</f>
        <v>Гришковец - но он просто известен... А делают люди обычные, которые работают на благо города</v>
      </c>
      <c r="K1437" s="6" t="str">
        <f>IFERROR(__xludf.DUMMYFUNCTION("""COMPUTED_VALUE"""),"Только официальные ")</f>
        <v>Только официальные </v>
      </c>
      <c r="L1437" s="6" t="str">
        <f>IFERROR(__xludf.DUMMYFUNCTION("""COMPUTED_VALUE"""),"Нет")</f>
        <v>Нет</v>
      </c>
      <c r="M1437" s="6" t="str">
        <f>IFERROR(__xludf.DUMMYFUNCTION("""COMPUTED_VALUE"""),"Нет, язык достаточно чистый, если не говорить о новых словах и жаргонизмах. ")</f>
        <v>Нет, язык достаточно чистый, если не говорить о новых словах и жаргонизмах. </v>
      </c>
      <c r="N1437" s="6" t="str">
        <f>IFERROR(__xludf.DUMMYFUNCTION("""COMPUTED_VALUE"""),"Развитая инфраструктура ( не у нас, но мы стремимся), доступность сферы услуг ( соотношения заработка горожан и цен в городе), детские центры, адаптация ""доступная среда"" Для легкого передвижения на колясках "" детский и инвалидных""")</f>
        <v>Развитая инфраструктура ( не у нас, но мы стремимся), доступность сферы услуг ( соотношения заработка горожан и цен в городе), детские центры, адаптация "доступная среда" Для легкого передвижения на колясках " детский и инвалидных"</v>
      </c>
      <c r="O1437" s="6" t="str">
        <f>IFERROR(__xludf.DUMMYFUNCTION("""COMPUTED_VALUE"""),"Создать хорошее производство - даст рабочие места, повысит привлекаемость города для жителей, уменьшит Бедноту")</f>
        <v>Создать хорошее производство - даст рабочие места, повысит привлекаемость города для жителей, уменьшит Бедноту</v>
      </c>
      <c r="P1437" s="6" t="str">
        <f>IFERROR(__xludf.DUMMYFUNCTION("""COMPUTED_VALUE"""),"Ин-т")</f>
        <v>Ин-т</v>
      </c>
      <c r="Q1437" s="6" t="str">
        <f>IFERROR(__xludf.DUMMYFUNCTION("""COMPUTED_VALUE"""),"где вкусно поесть/открытие новых кафе/ресторанов, городская афиша (кино/театр/концерты)")</f>
        <v>где вкусно поесть/открытие новых кафе/ресторанов, городская афиша (кино/театр/концерты)</v>
      </c>
      <c r="R1437" s="6" t="str">
        <f>IFERROR(__xludf.DUMMYFUNCTION("""COMPUTED_VALUE"""),"День победы")</f>
        <v>День победы</v>
      </c>
      <c r="S1437" s="6" t="str">
        <f>IFERROR(__xludf.DUMMYFUNCTION("""COMPUTED_VALUE"""),"Нет, не приходилось")</f>
        <v>Нет, не приходилось</v>
      </c>
      <c r="T1437" s="6" t="str">
        <f>IFERROR(__xludf.DUMMYFUNCTION("""COMPUTED_VALUE"""),"Уголь")</f>
        <v>Уголь</v>
      </c>
      <c r="U1437" s="6" t="str">
        <f>IFERROR(__xludf.DUMMYFUNCTION("""COMPUTED_VALUE"""),"Роза ветров на площади советов, сердце у гостиницы Томь, памятник граница районов у лазурного")</f>
        <v>Роза ветров на площади советов, сердце у гостиницы Томь, памятник граница районов у лазурного</v>
      </c>
      <c r="V1437" s="6" t="str">
        <f>IFERROR(__xludf.DUMMYFUNCTION("""COMPUTED_VALUE"""),"Жили")</f>
        <v>Жили</v>
      </c>
      <c r="W1437" s="6" t="str">
        <f>IFERROR(__xludf.DUMMYFUNCTION("""COMPUTED_VALUE"""),"Разные от быдла до интеллигенции")</f>
        <v>Разные от быдла до интеллигенции</v>
      </c>
      <c r="X1437" s="6" t="str">
        <f>IFERROR(__xludf.DUMMYFUNCTION("""COMPUTED_VALUE"""),"На машине)))) что бы ямы и непродкманность меньше были заметны")</f>
        <v>На машине)))) что бы ямы и непродкманность меньше были заметны</v>
      </c>
      <c r="Y1437" s="6" t="str">
        <f>IFERROR(__xludf.DUMMYFUNCTION("""COMPUTED_VALUE"""),"Переход от статуса деревни к городу ")</f>
        <v>Переход от статуса деревни к городу </v>
      </c>
      <c r="Z1437" s="6" t="str">
        <f>IFERROR(__xludf.DUMMYFUNCTION("""COMPUTED_VALUE"""),"? Корона же... Какой позитив")</f>
        <v>? Корона же... Какой позитив</v>
      </c>
      <c r="AA1437" s="6" t="str">
        <f>IFERROR(__xludf.DUMMYFUNCTION("""COMPUTED_VALUE"""),"Зимняя вишня... Хоть и три года прошло... Но не отпускает... Гиганские деревья на том месте бесят - стоят кучу денег, создают впечатление, что трагедии и ошибки людей и не было никогда.... ")</f>
        <v>Зимняя вишня... Хоть и три года прошло... Но не отпускает... Гиганские деревья на том месте бесят - стоят кучу денег, создают впечатление, что трагедии и ошибки людей и не было никогда.... </v>
      </c>
      <c r="AB1437" s="6" t="str">
        <f>IFERROR(__xludf.DUMMYFUNCTION("""COMPUTED_VALUE"""),"Нет")</f>
        <v>Нет</v>
      </c>
      <c r="AC1437" s="6" t="str">
        <f>IFERROR(__xludf.DUMMYFUNCTION("""COMPUTED_VALUE"""),"Людям не на что интересоваться, видимо бесплатных")</f>
        <v>Людям не на что интересоваться, видимо бесплатных</v>
      </c>
      <c r="AD143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437" s="6" t="str">
        <f>IFERROR(__xludf.DUMMYFUNCTION("""COMPUTED_VALUE"""),"Женский")</f>
        <v>Женский</v>
      </c>
      <c r="AF1437" s="6" t="str">
        <f>IFERROR(__xludf.DUMMYFUNCTION("""COMPUTED_VALUE"""),"30-44")</f>
        <v>30-44</v>
      </c>
      <c r="AG1437" s="6"/>
      <c r="AH1437" s="6"/>
      <c r="AI1437" s="6"/>
      <c r="AJ1437" s="6"/>
      <c r="AK1437" s="6"/>
      <c r="AL1437" s="6"/>
      <c r="AM1437" s="6"/>
    </row>
    <row r="1438">
      <c r="A1438" s="6">
        <v>1437.0</v>
      </c>
      <c r="B1438" s="6" t="str">
        <f>IFERROR(__xludf.DUMMYFUNCTION("""COMPUTED_VALUE"""),"Учусь в 10 классе")</f>
        <v>Учусь в 10 классе</v>
      </c>
      <c r="C1438" s="6" t="str">
        <f>IFERROR(__xludf.DUMMYFUNCTION("""COMPUTED_VALUE"""),"Фотография, история (в т.ч. Кузбасса, АИК), урбанистика и некоторый список социальных наук.")</f>
        <v>Фотография, история (в т.ч. Кузбасса, АИК), урбанистика и некоторый список социальных наук.</v>
      </c>
      <c r="D1438" s="6" t="str">
        <f>IFERROR(__xludf.DUMMYFUNCTION("""COMPUTED_VALUE"""),"Живу в Рудничном районе, называем «Радуга»")</f>
        <v>Живу в Рудничном районе, называем «Радуга»</v>
      </c>
      <c r="E1438" s="6" t="str">
        <f>IFERROR(__xludf.DUMMYFUNCTION("""COMPUTED_VALUE"""),"Конечно же, это весь комплекс красная горка, включая сам музей и близстоящие памятники архитектуры (Школа Ван Лохема и «дома-Колбасы»)")</f>
        <v>Конечно же, это весь комплекс красная горка, включая сам музей и близстоящие памятники архитектуры (Школа Ван Лохема и «дома-Колбасы»)</v>
      </c>
      <c r="F1438" s="6" t="str">
        <f>IFERROR(__xludf.DUMMYFUNCTION("""COMPUTED_VALUE"""),"Живу здесь с рождения")</f>
        <v>Живу здесь с рождения</v>
      </c>
      <c r="G1438" s="6" t="str">
        <f>IFERROR(__xludf.DUMMYFUNCTION("""COMPUTED_VALUE"""),"Серебряный и Сосновый бор, центральный район, Набережная Кировского района и Берёзовая роща.
Кемеровский центр искусств, театр Драмы, театр Евгения Гришковца — «Ложа», а также всевозможные кинотеатры и кофейни.")</f>
        <v>Серебряный и Сосновый бор, центральный район, Набережная Кировского района и Берёзовая роща.
Кемеровский центр искусств, театр Драмы, театр Евгения Гришковца — «Ложа», а также всевозможные кинотеатры и кофейни.</v>
      </c>
      <c r="H1438" s="6" t="str">
        <f>IFERROR(__xludf.DUMMYFUNCTION("""COMPUTED_VALUE"""),"1) Уголь;
2) Промышленность;  
3) Иностранцы. (Долго думал, какое слово здесь всё же подходящее, как бы так сформулировать то, что первый кирпичик города заложили иностранцы, в т.ч. американцы, но чего-то лучше придумать не смог.);
4) Зелёный;
5) Смог.")</f>
        <v>1) Уголь;
2) Промышленность;  
3) Иностранцы. (Долго думал, какое слово здесь всё же подходящее, как бы так сформулировать то, что первый кирпичик города заложили иностранцы, в т.ч. американцы, но чего-то лучше придумать не смог.);
4) Зелёный;
5) Смог.</v>
      </c>
      <c r="I1438" s="6" t="str">
        <f>IFERROR(__xludf.DUMMYFUNCTION("""COMPUTED_VALUE"""),"Михайло Волкова, Йоханнес Бернардус ван Лохем, Себальд Рутгерс, Алексей Леонов, Вера Волошина, Юрий Двужильный, Иван Балибалов.")</f>
        <v>Михайло Волкова, Йоханнес Бернардус ван Лохем, Себальд Рутгерс, Алексей Леонов, Вера Волошина, Юрий Двужильный, Иван Балибалов.</v>
      </c>
      <c r="J1438" s="6" t="str">
        <f>IFERROR(__xludf.DUMMYFUNCTION("""COMPUTED_VALUE"""),"Евгений Гришковец")</f>
        <v>Евгений Гришковец</v>
      </c>
      <c r="K1438" s="6" t="str">
        <f>IFERROR(__xludf.DUMMYFUNCTION("""COMPUTED_VALUE"""),"Сосновый бор как самое большое природное образование в центре города в мире, Красная горка, монумент «Память Шахтёрам Кузбасса», школу Ван Лохема, Кировскую набережную и Берёзовую рощу. Также стоит показать «город-спутник» — Лесную поляну. (Особенно зимой"&amp;", когда она украшена новогодними украшениями.)")</f>
        <v>Сосновый бор как самое большое природное образование в центре города в мире, Красная горка, монумент «Память Шахтёрам Кузбасса», школу Ван Лохема, Кировскую набережную и Берёзовую рощу. Также стоит показать «город-спутник» — Лесную поляну. (Особенно зимой, когда она украшена новогодними украшениями.)</v>
      </c>
      <c r="L1438" s="6" t="str">
        <f>IFERROR(__xludf.DUMMYFUNCTION("""COMPUTED_VALUE"""),"«Кемерово — город бандитов» — очень популярная фраза жителей соседних городов (в т.ч. Томска и Новокузнецка)")</f>
        <v>«Кемерово — город бандитов» — очень популярная фраза жителей соседних городов (в т.ч. Томска и Новокузнецка)</v>
      </c>
      <c r="M1438" s="6" t="str">
        <f>IFERROR(__xludf.DUMMYFUNCTION("""COMPUTED_VALUE"""),"Мультифора")</f>
        <v>Мультифора</v>
      </c>
      <c r="N1438" s="6" t="str">
        <f>IFERROR(__xludf.DUMMYFUNCTION("""COMPUTED_VALUE"""),"1) Развитый общественный транспорт;
2) Велоинфраструктура;
3) Чистый воздух и множество парков/скверов;
4) Пешеходная связанность города;
5) Чистота. (Отсутствие открытого грунта, работающая система ливневой канализации и т.д.)")</f>
        <v>1) Развитый общественный транспорт;
2) Велоинфраструктура;
3) Чистый воздух и множество парков/скверов;
4) Пешеходная связанность города;
5) Чистота. (Отсутствие открытого грунта, работающая система ливневой канализации и т.д.)</v>
      </c>
      <c r="O1438" s="6" t="str">
        <f>IFERROR(__xludf.DUMMYFUNCTION("""COMPUTED_VALUE"""),"Сместить акцент развития с автомобиля на общ. транспорт/велосипед/пешеходность")</f>
        <v>Сместить акцент развития с автомобиля на общ. транспорт/велосипед/пешеходность</v>
      </c>
      <c r="P1438" s="6" t="str">
        <f>IFERROR(__xludf.DUMMYFUNCTION("""COMPUTED_VALUE"""),"Всеразличные группы ВКонтакте (например, самая известная — Типичный Кемерово), а так же Инстаграм-аккаунты государственных театров, музеев, выставок и т.д.")</f>
        <v>Всеразличные группы ВКонтакте (например, самая известная — Типичный Кемерово), а так же Инстаграм-аккаунты государственных театров, музеев, выставок и т.д.</v>
      </c>
      <c r="Q1438"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проф"&amp;"ессии/куда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Интерв"&amp;"ью с экспертами по городскому развитию")</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Интервью с экспертами по городскому развитию</v>
      </c>
      <c r="R1438" s="6" t="str">
        <f>IFERROR(__xludf.DUMMYFUNCTION("""COMPUTED_VALUE"""),"9-ое мая, День города")</f>
        <v>9-ое мая, День города</v>
      </c>
      <c r="S1438" s="6" t="str">
        <f>IFERROR(__xludf.DUMMYFUNCTION("""COMPUTED_VALUE"""),"Нет, не приходилось")</f>
        <v>Нет, не приходилось</v>
      </c>
      <c r="T1438" s="6" t="str">
        <f>IFERROR(__xludf.DUMMYFUNCTION("""COMPUTED_VALUE"""),"Уникальность города Кемерово в его «лёгких» — Сосновом бору — такие крупные природные образования в самом центре города выглядят предостаточно удивительно —, а так же в истории строительства города. «Кемерово — город, который построили американцы»: звучит"&amp;" действительно интересно и любопытно.
Также очень уникальным выглядит театр «Ложа» — во-первых, его создатель всем известный — Евгений Гришковец, а во-вторых, это один из всемирно признанных постмодернистских театров всей России.")</f>
        <v>Уникальность города Кемерово в его «лёгких» — Сосновом бору — такие крупные природные образования в самом центре города выглядят предостаточно удивительно —, а так же в истории строительства города. «Кемерово — город, который построили американцы»: звучит действительно интересно и любопытно.
Также очень уникальным выглядит театр «Ложа» — во-первых, его создатель всем известный — Евгений Гришковец, а во-вторых, это один из всемирно признанных постмодернистских театров всей России.</v>
      </c>
      <c r="U1438" s="6" t="str">
        <f>IFERROR(__xludf.DUMMYFUNCTION("""COMPUTED_VALUE"""),"Собственно сам официальный центр города, Кировскую набережную и прилегающую к ней Берёзовую рощу, а также исторический центр города — Красная горка и её окрестности. Кроме того, символическим центром города можно назвать и Сосновый бор.")</f>
        <v>Собственно сам официальный центр города, Кировскую набережную и прилегающую к ней Берёзовую рощу, а также исторический центр города — Красная горка и её окрестности. Кроме того, символическим центром города можно назвать и Сосновый бор.</v>
      </c>
      <c r="V1438" s="6" t="str">
        <f>IFERROR(__xludf.DUMMYFUNCTION("""COMPUTED_VALUE"""),"Они развивали себя (например, Алексей Леонов), организовывали новые объедения и объединялись в них (Например, Евгений Гришковец с театром «Ложа»), а также творили и изучали историю города, как это делали колонисты АИК и Иван Балибалов.")</f>
        <v>Они развивали себя (например, Алексей Леонов), организовывали новые объедения и объединялись в них (Например, Евгений Гришковец с театром «Ложа»), а также творили и изучали историю города, как это делали колонисты АИК и Иван Балибалов.</v>
      </c>
      <c r="W1438" s="6" t="str">
        <f>IFERROR(__xludf.DUMMYFUNCTION("""COMPUTED_VALUE"""),"Добрые, готовые помочь, духовно и морально устойчивые, любезные и вежливые.")</f>
        <v>Добрые, готовые помочь, духовно и морально устойчивые, любезные и вежливые.</v>
      </c>
      <c r="X1438" s="6" t="str">
        <f>IFERROR(__xludf.DUMMYFUNCTION("""COMPUTED_VALUE"""),"1) Красная горка и её перефирия:
        1) Музей «Красная горкая»;
        2) Памятник Шахтёрам;
        3) Архитектурные памятники первых лет строительства города/колонии АИК;
2) Сосновый бор до надписи Кузбасс и обратно: до трамвайной остановки над мос"&amp;"том;
3) Сталинский центр с его потрясающими, хоть и в некотором смысле типовыми, ансамблями ампира и интересными общественными пространствами (н-р, Парк Ангелов);
4) Граффити-галерея под открытым небом рядом с КЭМЗом и стадионом «Химик»;
5) Лесная поляна "&amp;"и ботанический сад там.
")</f>
        <v>1) Красная горка и её перефирия:
        1) Музей «Красная горкая»;
        2) Памятник Шахтёрам;
        3) Архитектурные памятники первых лет строительства города/колонии АИК;
2) Сосновый бор до надписи Кузбасс и обратно: до трамвайной остановки над мостом;
3) Сталинский центр с его потрясающими, хоть и в некотором смысле типовыми, ансамблями ампира и интересными общественными пространствами (н-р, Парк Ангелов);
4) Граффити-галерея под открытым небом рядом с КЭМЗом и стадионом «Химик»;
5) Лесная поляна и ботанический сад там.
</v>
      </c>
      <c r="Y1438" s="6" t="str">
        <f>IFERROR(__xludf.DUMMYFUNCTION("""COMPUTED_VALUE"""),"Период колонии АИК")</f>
        <v>Период колонии АИК</v>
      </c>
      <c r="Z1438" s="6" t="str">
        <f>IFERROR(__xludf.DUMMYFUNCTION("""COMPUTED_VALUE"""),"Фестиваль-концерт «Герои мирового рока»")</f>
        <v>Фестиваль-концерт «Герои мирового рока»</v>
      </c>
      <c r="AA1438" s="6" t="str">
        <f>IFERROR(__xludf.DUMMYFUNCTION("""COMPUTED_VALUE"""),"Стагнация общественного транспорта и отсутствие внимания пешеходам: дороги строятся и улучшаются приоритетно для автомобилей")</f>
        <v>Стагнация общественного транспорта и отсутствие внимания пешеходам: дороги строятся и улучшаются приоритетно для автомобилей</v>
      </c>
      <c r="AB1438" s="6" t="str">
        <f>IFERROR(__xludf.DUMMYFUNCTION("""COMPUTED_VALUE"""),"—")</f>
        <v>—</v>
      </c>
      <c r="AC1438" s="6" t="str">
        <f>IFERROR(__xludf.DUMMYFUNCTION("""COMPUTED_VALUE"""),"Всеразличные фестивали по всевозможным интересам, лекции по научным (и не только) темам")</f>
        <v>Всеразличные фестивали по всевозможным интересам, лекции по научным (и не только) темам</v>
      </c>
      <c r="AD143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38" s="6" t="str">
        <f>IFERROR(__xludf.DUMMYFUNCTION("""COMPUTED_VALUE"""),"Мужской")</f>
        <v>Мужской</v>
      </c>
      <c r="AF1438" s="6" t="str">
        <f>IFERROR(__xludf.DUMMYFUNCTION("""COMPUTED_VALUE"""),"18-29")</f>
        <v>18-29</v>
      </c>
      <c r="AG1438" s="6"/>
      <c r="AH1438" s="6"/>
      <c r="AI1438" s="6"/>
      <c r="AJ1438" s="6"/>
      <c r="AK1438" s="6"/>
      <c r="AL1438" s="6"/>
      <c r="AM1438" s="6"/>
    </row>
    <row r="1439">
      <c r="A1439" s="6">
        <v>1438.0</v>
      </c>
      <c r="B1439" s="6" t="str">
        <f>IFERROR(__xludf.DUMMYFUNCTION("""COMPUTED_VALUE"""),"Учусь на материаловеда")</f>
        <v>Учусь на материаловеда</v>
      </c>
      <c r="C1439" s="6" t="str">
        <f>IFERROR(__xludf.DUMMYFUNCTION("""COMPUTED_VALUE"""),"Всё, что можно сделать руками. Музыка")</f>
        <v>Всё, что можно сделать руками. Музыка</v>
      </c>
      <c r="D1439" s="6" t="str">
        <f>IFERROR(__xludf.DUMMYFUNCTION("""COMPUTED_VALUE"""),"Рудничный, ""Промышлёнка""")</f>
        <v>Рудничный, "Промышлёнка"</v>
      </c>
      <c r="E1439" s="6" t="str">
        <f>IFERROR(__xludf.DUMMYFUNCTION("""COMPUTED_VALUE"""),"ТЦ Радуга и сквер рядом")</f>
        <v>ТЦ Радуга и сквер рядом</v>
      </c>
      <c r="F1439" s="6" t="str">
        <f>IFERROR(__xludf.DUMMYFUNCTION("""COMPUTED_VALUE"""),"Родился здесь,но сейчас живу в другом городе, Переехала учиться ")</f>
        <v>Родился здесь,но сейчас живу в другом городе, Переехала учиться </v>
      </c>
      <c r="G1439" s="6" t="str">
        <f>IFERROR(__xludf.DUMMYFUNCTION("""COMPUTED_VALUE"""),"Бульвар Строителей")</f>
        <v>Бульвар Строителей</v>
      </c>
      <c r="H1439" s="6" t="str">
        <f>IFERROR(__xludf.DUMMYFUNCTION("""COMPUTED_VALUE"""),"Зелень, уют, неспешность, спокойствие ")</f>
        <v>Зелень, уют, неспешность, спокойствие </v>
      </c>
      <c r="I1439" s="6" t="str">
        <f>IFERROR(__xludf.DUMMYFUNCTION("""COMPUTED_VALUE"""),"Леонов А.А., Жадовец Н.И.")</f>
        <v>Леонов А.А., Жадовец Н.И.</v>
      </c>
      <c r="J1439" s="6" t="str">
        <f>IFERROR(__xludf.DUMMYFUNCTION("""COMPUTED_VALUE"""),"-")</f>
        <v>-</v>
      </c>
      <c r="K1439" s="6" t="str">
        <f>IFERROR(__xludf.DUMMYFUNCTION("""COMPUTED_VALUE"""),"Набережная, бульвар Строителей, Пионерский бульвар")</f>
        <v>Набережная, бульвар Строителей, Пионерский бульвар</v>
      </c>
      <c r="L1439" s="6" t="str">
        <f>IFERROR(__xludf.DUMMYFUNCTION("""COMPUTED_VALUE"""),"-")</f>
        <v>-</v>
      </c>
      <c r="M1439" s="6" t="str">
        <f>IFERROR(__xludf.DUMMYFUNCTION("""COMPUTED_VALUE"""),"-")</f>
        <v>-</v>
      </c>
      <c r="N1439" s="6" t="str">
        <f>IFERROR(__xludf.DUMMYFUNCTION("""COMPUTED_VALUE"""),"Парки и скверы, хорошие дороги, лавочки, доставка в уголки моего района")</f>
        <v>Парки и скверы, хорошие дороги, лавочки, доставка в уголки моего района</v>
      </c>
      <c r="O1439" s="6" t="str">
        <f>IFERROR(__xludf.DUMMYFUNCTION("""COMPUTED_VALUE"""),"Дороги")</f>
        <v>Дороги</v>
      </c>
      <c r="P1439" s="6" t="str">
        <f>IFERROR(__xludf.DUMMYFUNCTION("""COMPUTED_VALUE"""),"Всё 42")</f>
        <v>Всё 42</v>
      </c>
      <c r="Q1439"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439" s="6" t="str">
        <f>IFERROR(__xludf.DUMMYFUNCTION("""COMPUTED_VALUE"""),"День шахтёра")</f>
        <v>День шахтёра</v>
      </c>
      <c r="S1439" s="6" t="str">
        <f>IFERROR(__xludf.DUMMYFUNCTION("""COMPUTED_VALUE"""),"Нет, не приходилось")</f>
        <v>Нет, не приходилось</v>
      </c>
      <c r="T1439" s="6" t="str">
        <f>IFERROR(__xludf.DUMMYFUNCTION("""COMPUTED_VALUE"""),"Знаменит наш город углём, пожаром в Зимней Вишне и конечной ЖД путей")</f>
        <v>Знаменит наш город углём, пожаром в Зимней Вишне и конечной ЖД путей</v>
      </c>
      <c r="U1439" s="6" t="str">
        <f>IFERROR(__xludf.DUMMYFUNCTION("""COMPUTED_VALUE"""),"Бульвар Строителей, площадь Советов, парк Ангелов")</f>
        <v>Бульвар Строителей, площадь Советов, парк Ангелов</v>
      </c>
      <c r="V1439" s="6" t="str">
        <f>IFERROR(__xludf.DUMMYFUNCTION("""COMPUTED_VALUE"""),"Ленки на подъём")</f>
        <v>Ленки на подъём</v>
      </c>
      <c r="W1439" s="6" t="str">
        <f>IFERROR(__xludf.DUMMYFUNCTION("""COMPUTED_VALUE"""),"Неторопливость, спокойствие")</f>
        <v>Неторопливость, спокойствие</v>
      </c>
      <c r="X1439" s="6" t="str">
        <f>IFERROR(__xludf.DUMMYFUNCTION("""COMPUTED_VALUE"""),"Начать с Драмтеатра, пройти через Парк Чудес, далее по набережной выйти на площадь Советов, оттуда до цирка и по Ленина до Бульвара Строителей до центра ""Кузбасс""")</f>
        <v>Начать с Драмтеатра, пройти через Парк Чудес, далее по набережной выйти на площадь Советов, оттуда до цирка и по Ленина до Бульвара Строителей до центра "Кузбасс"</v>
      </c>
      <c r="Y1439" s="6" t="str">
        <f>IFERROR(__xludf.DUMMYFUNCTION("""COMPUTED_VALUE"""),"Найден уголь Волковым")</f>
        <v>Найден уголь Волковым</v>
      </c>
      <c r="Z1439" s="6" t="str">
        <f>IFERROR(__xludf.DUMMYFUNCTION("""COMPUTED_VALUE"""),"-")</f>
        <v>-</v>
      </c>
      <c r="AA1439" s="6" t="str">
        <f>IFERROR(__xludf.DUMMYFUNCTION("""COMPUTED_VALUE"""),"Пожар в Зимней Вишне")</f>
        <v>Пожар в Зимней Вишне</v>
      </c>
      <c r="AB1439" s="6" t="str">
        <f>IFERROR(__xludf.DUMMYFUNCTION("""COMPUTED_VALUE"""),"-")</f>
        <v>-</v>
      </c>
      <c r="AC1439" s="6" t="str">
        <f>IFERROR(__xludf.DUMMYFUNCTION("""COMPUTED_VALUE"""),"-")</f>
        <v>-</v>
      </c>
      <c r="AD143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39" s="6" t="str">
        <f>IFERROR(__xludf.DUMMYFUNCTION("""COMPUTED_VALUE"""),"Женский")</f>
        <v>Женский</v>
      </c>
      <c r="AF1439" s="6" t="str">
        <f>IFERROR(__xludf.DUMMYFUNCTION("""COMPUTED_VALUE"""),"18-29")</f>
        <v>18-29</v>
      </c>
      <c r="AG1439" s="6"/>
      <c r="AH1439" s="6"/>
      <c r="AI1439" s="6"/>
      <c r="AJ1439" s="6"/>
      <c r="AK1439" s="6"/>
      <c r="AL1439" s="6"/>
      <c r="AM1439" s="6"/>
    </row>
    <row r="1440">
      <c r="A1440" s="6">
        <v>1439.0</v>
      </c>
      <c r="B1440" s="6" t="str">
        <f>IFERROR(__xludf.DUMMYFUNCTION("""COMPUTED_VALUE"""),"учусть в институте, работаю педагогом.")</f>
        <v>учусть в институте, работаю педагогом.</v>
      </c>
      <c r="C1440" s="6" t="str">
        <f>IFERROR(__xludf.DUMMYFUNCTION("""COMPUTED_VALUE"""),"Вокал, чтение, игра на музыкальных инструментах.")</f>
        <v>Вокал, чтение, игра на музыкальных инструментах.</v>
      </c>
      <c r="D1440" s="6" t="str">
        <f>IFERROR(__xludf.DUMMYFUNCTION("""COMPUTED_VALUE"""),"Ленинский")</f>
        <v>Ленинский</v>
      </c>
      <c r="E1440" s="6" t="str">
        <f>IFERROR(__xludf.DUMMYFUNCTION("""COMPUTED_VALUE"""),"никакие")</f>
        <v>никакие</v>
      </c>
      <c r="F1440" s="6" t="str">
        <f>IFERROR(__xludf.DUMMYFUNCTION("""COMPUTED_VALUE"""),"Переехал сюда из другого места (откуда? укажите в графе другое), переехала из Томска")</f>
        <v>Переехал сюда из другого места (откуда? укажите в графе другое), переехала из Томска</v>
      </c>
      <c r="G1440" s="6" t="str">
        <f>IFERROR(__xludf.DUMMYFUNCTION("""COMPUTED_VALUE"""),"в парки")</f>
        <v>в парки</v>
      </c>
      <c r="H1440" s="6" t="str">
        <f>IFERROR(__xludf.DUMMYFUNCTION("""COMPUTED_VALUE"""),"грязь, дым, советский союз, институт культуры, маленькие зп")</f>
        <v>грязь, дым, советский союз, институт культуры, маленькие зп</v>
      </c>
      <c r="I1440" s="6" t="str">
        <f>IFERROR(__xludf.DUMMYFUNCTION("""COMPUTED_VALUE"""),"не знаю")</f>
        <v>не знаю</v>
      </c>
      <c r="J1440" s="6" t="str">
        <f>IFERROR(__xludf.DUMMYFUNCTION("""COMPUTED_VALUE"""),"не знаю")</f>
        <v>не знаю</v>
      </c>
      <c r="K1440" s="6" t="str">
        <f>IFERROR(__xludf.DUMMYFUNCTION("""COMPUTED_VALUE"""),"парк ангелов")</f>
        <v>парк ангелов</v>
      </c>
      <c r="L1440" s="6" t="str">
        <f>IFERROR(__xludf.DUMMYFUNCTION("""COMPUTED_VALUE"""),"-")</f>
        <v>-</v>
      </c>
      <c r="M1440" s="6" t="str">
        <f>IFERROR(__xludf.DUMMYFUNCTION("""COMPUTED_VALUE"""),"-")</f>
        <v>-</v>
      </c>
      <c r="N1440" s="6" t="str">
        <f>IFERROR(__xludf.DUMMYFUNCTION("""COMPUTED_VALUE"""),"много общественного транспорта, безопасность, чистота города, места отдыхов, достойная зп")</f>
        <v>много общественного транспорта, безопасность, чистота города, места отдыхов, достойная зп</v>
      </c>
      <c r="O1440" s="6" t="str">
        <f>IFERROR(__xludf.DUMMYFUNCTION("""COMPUTED_VALUE"""),"отношение к людям")</f>
        <v>отношение к людям</v>
      </c>
      <c r="P1440" s="6" t="str">
        <f>IFERROR(__xludf.DUMMYFUNCTION("""COMPUTED_VALUE"""),"инстаграмм")</f>
        <v>инстаграмм</v>
      </c>
      <c r="Q1440"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440" s="6" t="str">
        <f>IFERROR(__xludf.DUMMYFUNCTION("""COMPUTED_VALUE"""),"не важны")</f>
        <v>не важны</v>
      </c>
      <c r="S1440" s="6" t="str">
        <f>IFERROR(__xludf.DUMMYFUNCTION("""COMPUTED_VALUE"""),"Нет, не приходилось")</f>
        <v>Нет, не приходилось</v>
      </c>
      <c r="T1440" s="6" t="str">
        <f>IFERROR(__xludf.DUMMYFUNCTION("""COMPUTED_VALUE"""),"шахтеры, грязь, зимняя вишня")</f>
        <v>шахтеры, грязь, зимняя вишня</v>
      </c>
      <c r="U1440" s="6" t="str">
        <f>IFERROR(__xludf.DUMMYFUNCTION("""COMPUTED_VALUE"""),"цирк")</f>
        <v>цирк</v>
      </c>
      <c r="V1440" s="6" t="str">
        <f>IFERROR(__xludf.DUMMYFUNCTION("""COMPUTED_VALUE"""),"-")</f>
        <v>-</v>
      </c>
      <c r="W1440" s="6" t="str">
        <f>IFERROR(__xludf.DUMMYFUNCTION("""COMPUTED_VALUE"""),"унылые")</f>
        <v>унылые</v>
      </c>
      <c r="X1440" s="6" t="str">
        <f>IFERROR(__xludf.DUMMYFUNCTION("""COMPUTED_VALUE"""),"до автовокзала ")</f>
        <v>до автовокзала </v>
      </c>
      <c r="Y1440" s="6" t="str">
        <f>IFERROR(__xludf.DUMMYFUNCTION("""COMPUTED_VALUE"""),"пожар зимней вишни")</f>
        <v>пожар зимней вишни</v>
      </c>
      <c r="Z1440" s="6" t="str">
        <f>IFERROR(__xludf.DUMMYFUNCTION("""COMPUTED_VALUE"""),"никаких")</f>
        <v>никаких</v>
      </c>
      <c r="AA1440" s="6" t="str">
        <f>IFERROR(__xludf.DUMMYFUNCTION("""COMPUTED_VALUE"""),"власть, наплевательское отношение на население, работа государственных больниц")</f>
        <v>власть, наплевательское отношение на население, работа государственных больниц</v>
      </c>
      <c r="AB1440" s="6" t="str">
        <f>IFERROR(__xludf.DUMMYFUNCTION("""COMPUTED_VALUE"""),"-")</f>
        <v>-</v>
      </c>
      <c r="AC1440" s="6" t="str">
        <f>IFERROR(__xludf.DUMMYFUNCTION("""COMPUTED_VALUE"""),"-")</f>
        <v>-</v>
      </c>
      <c r="AD144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440" s="6" t="str">
        <f>IFERROR(__xludf.DUMMYFUNCTION("""COMPUTED_VALUE"""),"Женский")</f>
        <v>Женский</v>
      </c>
      <c r="AF1440" s="6" t="str">
        <f>IFERROR(__xludf.DUMMYFUNCTION("""COMPUTED_VALUE"""),"18-29")</f>
        <v>18-29</v>
      </c>
      <c r="AG1440" s="6"/>
      <c r="AH1440" s="6"/>
      <c r="AI1440" s="6"/>
      <c r="AJ1440" s="6"/>
      <c r="AK1440" s="6"/>
      <c r="AL1440" s="6"/>
      <c r="AM1440" s="6"/>
    </row>
    <row r="1441">
      <c r="A1441" s="6">
        <v>1440.0</v>
      </c>
      <c r="B1441" s="6" t="str">
        <f>IFERROR(__xludf.DUMMYFUNCTION("""COMPUTED_VALUE"""),"Дирижер хора, преподаватель вокала, концертмейстер")</f>
        <v>Дирижер хора, преподаватель вокала, концертмейстер</v>
      </c>
      <c r="C1441" s="6" t="str">
        <f>IFERROR(__xludf.DUMMYFUNCTION("""COMPUTED_VALUE"""),"Рукоделие, хореографическое творчество")</f>
        <v>Рукоделие, хореографическое творчество</v>
      </c>
      <c r="D1441" s="6" t="str">
        <f>IFERROR(__xludf.DUMMYFUNCTION("""COMPUTED_VALUE"""),"Ленинский, так и называем")</f>
        <v>Ленинский, так и называем</v>
      </c>
      <c r="E1441" s="6" t="str">
        <f>IFERROR(__xludf.DUMMYFUNCTION("""COMPUTED_VALUE"""),"Бульвар Строителей, Кузбасский парк, аллея у кадетского корпуса, Казанский храм, Мечеть, множество корпусов студенческих учебных заведений. ")</f>
        <v>Бульвар Строителей, Кузбасский парк, аллея у кадетского корпуса, Казанский храм, Мечеть, множество корпусов студенческих учебных заведений. </v>
      </c>
      <c r="F1441" s="6" t="str">
        <f>IFERROR(__xludf.DUMMYFUNCTION("""COMPUTED_VALUE"""),"Переехал сюда из другого места (откуда? укажите в графе другое), Переехала из г.Топки")</f>
        <v>Переехал сюда из другого места (откуда? укажите в графе другое), Переехала из г.Топки</v>
      </c>
      <c r="G1441" s="6" t="str">
        <f>IFERROR(__xludf.DUMMYFUNCTION("""COMPUTED_VALUE"""),"Бульвар Строителей, Парк Антошка, Лесная поляна, набережная Томи, аллея на правом берегу к памятнику ""Шахтер с горящим сердцем"", Кузбасский парк, Парк ангелов.")</f>
        <v>Бульвар Строителей, Парк Антошка, Лесная поляна, набережная Томи, аллея на правом берегу к памятнику "Шахтер с горящим сердцем", Кузбасский парк, Парк ангелов.</v>
      </c>
      <c r="H1441" s="6" t="str">
        <f>IFERROR(__xludf.DUMMYFUNCTION("""COMPUTED_VALUE"""),"Заводы, Институт культуры, Музыкальный театр, суровость, мороз.")</f>
        <v>Заводы, Институт культуры, Музыкальный театр, суровость, мороз.</v>
      </c>
      <c r="I1441" s="6" t="str">
        <f>IFERROR(__xludf.DUMMYFUNCTION("""COMPUTED_VALUE"""),"Волков, Кобзон, Штоколов")</f>
        <v>Волков, Кобзон, Штоколов</v>
      </c>
      <c r="J1441" s="6" t="str">
        <f>IFERROR(__xludf.DUMMYFUNCTION("""COMPUTED_VALUE"""),"Гришковец, Малышева")</f>
        <v>Гришковец, Малышева</v>
      </c>
      <c r="K1441" s="6" t="str">
        <f>IFERROR(__xludf.DUMMYFUNCTION("""COMPUTED_VALUE"""),"Парк Ангелов, музей-заповедник Томская писаница, музей Красная горка, Набережная Томи, Лесная поляна")</f>
        <v>Парк Ангелов, музей-заповедник Томская писаница, музей Красная горка, Набережная Томи, Лесная поляна</v>
      </c>
      <c r="L1441" s="6" t="str">
        <f>IFERROR(__xludf.DUMMYFUNCTION("""COMPUTED_VALUE"""),"Я не знаю")</f>
        <v>Я не знаю</v>
      </c>
      <c r="M1441" s="6" t="str">
        <f>IFERROR(__xludf.DUMMYFUNCTION("""COMPUTED_VALUE"""),"Не знаю")</f>
        <v>Не знаю</v>
      </c>
      <c r="N1441" s="6" t="str">
        <f>IFERROR(__xludf.DUMMYFUNCTION("""COMPUTED_VALUE"""),"Климат, доступность транспорта, яркая культурная жизнь, невысокие цены, достойная зарплата, развитая инфраструктура (брендовые магазины)")</f>
        <v>Климат, доступность транспорта, яркая культурная жизнь, невысокие цены, достойная зарплата, развитая инфраструктура (брендовые магазины)</v>
      </c>
      <c r="O1441" s="6" t="str">
        <f>IFERROR(__xludf.DUMMYFUNCTION("""COMPUTED_VALUE"""),"Экологию")</f>
        <v>Экологию</v>
      </c>
      <c r="P1441" s="6" t="str">
        <f>IFERROR(__xludf.DUMMYFUNCTION("""COMPUTED_VALUE"""),"Объявления в ВК и Инстаграме.")</f>
        <v>Объявления в ВК и Инстаграме.</v>
      </c>
      <c r="Q1441"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новости про новые профессии/куда поступать/вакансии</v>
      </c>
      <c r="R1441" s="6" t="str">
        <f>IFERROR(__xludf.DUMMYFUNCTION("""COMPUTED_VALUE"""),"Праздники города не важны для нас")</f>
        <v>Праздники города не важны для нас</v>
      </c>
      <c r="S1441" s="6" t="str">
        <f>IFERROR(__xludf.DUMMYFUNCTION("""COMPUTED_VALUE"""),"Писал и расклеивал объявления/афиши, Через социальные сети (Какие? Укажите в графе другое), Делал рассылку по электронной почте, ВК, Инстаграм")</f>
        <v>Писал и расклеивал объявления/афиши, Через социальные сети (Какие? Укажите в графе другое), Делал рассылку по электронной почте, ВК, Инстаграм</v>
      </c>
      <c r="T1441" s="6" t="str">
        <f>IFERROR(__xludf.DUMMYFUNCTION("""COMPUTED_VALUE"""),"Трагедией в Зимней вишне и угольной промышленностью. Для жителей здесь благоприятен климат, а также некоторые перспективные проекты(Культурный кластер)")</f>
        <v>Трагедией в Зимней вишне и угольной промышленностью. Для жителей здесь благоприятен климат, а также некоторые перспективные проекты(Культурный кластер)</v>
      </c>
      <c r="U1441" s="6" t="str">
        <f>IFERROR(__xludf.DUMMYFUNCTION("""COMPUTED_VALUE"""),"Советский проспект")</f>
        <v>Советский проспект</v>
      </c>
      <c r="V1441" s="6" t="str">
        <f>IFERROR(__xludf.DUMMYFUNCTION("""COMPUTED_VALUE"""),"Построили много новых храмов, учреждений культуры, подняли работу шахт, открыли город для известных личностей.")</f>
        <v>Построили много новых храмов, учреждений культуры, подняли работу шахт, открыли город для известных личностей.</v>
      </c>
      <c r="W1441" s="6" t="str">
        <f>IFERROR(__xludf.DUMMYFUNCTION("""COMPUTED_VALUE"""),"Суровость, замкнутость, сухой характер, средняя работоспособность, высокая стрессоустойчивость ")</f>
        <v>Суровость, замкнутость, сухой характер, средняя работоспособность, высокая стрессоустойчивость </v>
      </c>
      <c r="X1441" s="6" t="str">
        <f>IFERROR(__xludf.DUMMYFUNCTION("""COMPUTED_VALUE"""),"Парк ангелов - Центр - Знаменский собор - Красная горка - Лесная поляна - Ленинский район")</f>
        <v>Парк ангелов - Центр - Знаменский собор - Красная горка - Лесная поляна - Ленинский район</v>
      </c>
      <c r="Y1441" s="6" t="str">
        <f>IFERROR(__xludf.DUMMYFUNCTION("""COMPUTED_VALUE"""),"Трагедия в Зимней вишне, строительство Культурного кластера")</f>
        <v>Трагедия в Зимней вишне, строительство Культурного кластера</v>
      </c>
      <c r="Z1441" s="6" t="str">
        <f>IFERROR(__xludf.DUMMYFUNCTION("""COMPUTED_VALUE"""),"Симфоночь, Герои мирового пока, концерт гр.Мельница, день города 2 года назад. ")</f>
        <v>Симфоночь, Герои мирового пока, концерт гр.Мельница, день города 2 года назад. </v>
      </c>
      <c r="AA1441" s="6" t="str">
        <f>IFERROR(__xludf.DUMMYFUNCTION("""COMPUTED_VALUE"""),"Нет таких")</f>
        <v>Нет таких</v>
      </c>
      <c r="AB1441" s="6" t="str">
        <f>IFERROR(__xludf.DUMMYFUNCTION("""COMPUTED_VALUE"""),"Любительских хоров, театров, коллективов танца, этнических сообществ. ")</f>
        <v>Любительских хоров, театров, коллективов танца, этнических сообществ. </v>
      </c>
      <c r="AC1441" s="6" t="str">
        <f>IFERROR(__xludf.DUMMYFUNCTION("""COMPUTED_VALUE"""),"Творческие фестивали, городские мероприятия с мировыми звёздами, открытие новых культурно-спортивных центров. ")</f>
        <v>Творческие фестивали, городские мероприятия с мировыми звёздами, открытие новых культурно-спортивных центров. </v>
      </c>
      <c r="AD144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за"&amp;"интересованных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441" s="6" t="str">
        <f>IFERROR(__xludf.DUMMYFUNCTION("""COMPUTED_VALUE"""),"Женский")</f>
        <v>Женский</v>
      </c>
      <c r="AF1441" s="6" t="str">
        <f>IFERROR(__xludf.DUMMYFUNCTION("""COMPUTED_VALUE"""),"18-29")</f>
        <v>18-29</v>
      </c>
      <c r="AG1441" s="6"/>
      <c r="AH1441" s="6"/>
      <c r="AI1441" s="6"/>
      <c r="AJ1441" s="6"/>
      <c r="AK1441" s="6"/>
      <c r="AL1441" s="6"/>
      <c r="AM1441" s="6"/>
    </row>
    <row r="1442">
      <c r="A1442" s="6">
        <v>1441.0</v>
      </c>
      <c r="B1442" s="6" t="str">
        <f>IFERROR(__xludf.DUMMYFUNCTION("""COMPUTED_VALUE"""),"Студентка, маркетолог")</f>
        <v>Студентка, маркетолог</v>
      </c>
      <c r="C1442" s="6" t="str">
        <f>IFERROR(__xludf.DUMMYFUNCTION("""COMPUTED_VALUE"""),"акройога, театр, вокал, диджеинг, танцы, психология, йога, хендмейд")</f>
        <v>акройога, театр, вокал, диджеинг, танцы, психология, йога, хендмейд</v>
      </c>
      <c r="D1442" s="6" t="str">
        <f>IFERROR(__xludf.DUMMYFUNCTION("""COMPUTED_VALUE"""),"центр")</f>
        <v>центр</v>
      </c>
      <c r="E1442" s="6" t="str">
        <f>IFERROR(__xludf.DUMMYFUNCTION("""COMPUTED_VALUE"""),"парк ангелов, площадь советов, набережная, драма, ")</f>
        <v>парк ангелов, площадь советов, набережная, драма, </v>
      </c>
      <c r="F1442" s="6" t="str">
        <f>IFERROR(__xludf.DUMMYFUNCTION("""COMPUTED_VALUE"""),"переехала с Ленинска учиться")</f>
        <v>переехала с Ленинска учиться</v>
      </c>
      <c r="G1442" s="6" t="str">
        <f>IFERROR(__xludf.DUMMYFUNCTION("""COMPUTED_VALUE"""),"парк Ангелов, набережная, по Октябрьскому и Ленина")</f>
        <v>парк Ангелов, набережная, по Октябрьскому и Ленина</v>
      </c>
      <c r="H1442" s="6" t="str">
        <f>IFERROR(__xludf.DUMMYFUNCTION("""COMPUTED_VALUE"""),"светлый, желтый, синий, пыль, памятник шахтерам Кузбасса")</f>
        <v>светлый, желтый, синий, пыль, памятник шахтерам Кузбасса</v>
      </c>
      <c r="I1442" s="6" t="str">
        <f>IFERROR(__xludf.DUMMYFUNCTION("""COMPUTED_VALUE"""),"Волков, Мессершмидт, Волошина, Леонов")</f>
        <v>Волков, Мессершмидт, Волошина, Леонов</v>
      </c>
      <c r="J1442" s="6" t="str">
        <f>IFERROR(__xludf.DUMMYFUNCTION("""COMPUTED_VALUE"""),"Тулеев, Жаворонков")</f>
        <v>Тулеев, Жаворонков</v>
      </c>
      <c r="K1442" s="6" t="str">
        <f>IFERROR(__xludf.DUMMYFUNCTION("""COMPUTED_VALUE"""),"Парк Ангелов, набережная, Красная горка (причем экскурсия в сам музей, там хорошие экскурсоводы, проникаешься историей), Лесная Поляна, драмтеатр")</f>
        <v>Парк Ангелов, набережная, Красная горка (причем экскурсия в сам музей, там хорошие экскурсоводы, проникаешься историей), Лесная Поляна, драмтеатр</v>
      </c>
      <c r="L1442" s="6" t="str">
        <f>IFERROR(__xludf.DUMMYFUNCTION("""COMPUTED_VALUE"""),"-")</f>
        <v>-</v>
      </c>
      <c r="M1442" s="6" t="str">
        <f>IFERROR(__xludf.DUMMYFUNCTION("""COMPUTED_VALUE"""),"нет, думаю если и есть что-то, то это по-кузбасски")</f>
        <v>нет, думаю если и есть что-то, то это по-кузбасски</v>
      </c>
      <c r="N1442" s="6" t="str">
        <f>IFERROR(__xludf.DUMMYFUNCTION("""COMPUTED_VALUE"""),"удобство и доступность транспорта, климат, чистота (воздуха, от мусора), места отдыха, отзывчивость и люди")</f>
        <v>удобство и доступность транспорта, климат, чистота (воздуха, от мусора), места отдыха, отзывчивость и люди</v>
      </c>
      <c r="O1442" s="6" t="str">
        <f>IFERROR(__xludf.DUMMYFUNCTION("""COMPUTED_VALUE"""),"Улыбку на лица людям подарить")</f>
        <v>Улыбку на лица людям подарить</v>
      </c>
      <c r="P1442" s="6" t="str">
        <f>IFERROR(__xludf.DUMMYFUNCTION("""COMPUTED_VALUE"""),"если специально ищу, то афиша. В остальных случаях через инстаграм, вконтакте через рекламу или от знакомых, на страницах театров")</f>
        <v>если специально ищу, то афиша. В остальных случаях через инстаграм, вконтакте через рекламу или от знакомых, на страницах театров</v>
      </c>
      <c r="Q1442"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результаты местных исследований (рейтинги/аналитика/т"&amp;"енденции),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1442" s="6" t="str">
        <f>IFERROR(__xludf.DUMMYFUNCTION("""COMPUTED_VALUE"""),"Не совсем понятно, о каких именно праздниках идет речь: о региональных или вообще всех, что празднуются всем городом? В любом случае, я не считаю, что есть какие-то важные для меня")</f>
        <v>Не совсем понятно, о каких именно праздниках идет речь: о региональных или вообще всех, что празднуются всем городом? В любом случае, я не считаю, что есть какие-то важные для меня</v>
      </c>
      <c r="S1442" s="6" t="str">
        <f>IFERROR(__xludf.DUMMYFUNCTION("""COMPUTED_VALUE"""),"Нет, не приходилось")</f>
        <v>Нет, не приходилось</v>
      </c>
      <c r="T1442" s="6" t="str">
        <f>IFERROR(__xludf.DUMMYFUNCTION("""COMPUTED_VALUE"""),"Кроме инцидента с Зимней Вишней что-то вспомнить трудно. Угольная промышленность, н опять же, это обо всем Кузбассе")</f>
        <v>Кроме инцидента с Зимней Вишней что-то вспомнить трудно. Угольная промышленность, н опять же, это обо всем Кузбассе</v>
      </c>
      <c r="U1442" s="6" t="str">
        <f>IFERROR(__xludf.DUMMYFUNCTION("""COMPUTED_VALUE"""),"Площадь Советов и бульвар Строителей")</f>
        <v>Площадь Советов и бульвар Строителей</v>
      </c>
      <c r="V1442" s="6" t="str">
        <f>IFERROR(__xludf.DUMMYFUNCTION("""COMPUTED_VALUE"""),"создали Площадь Кузбасских историй")</f>
        <v>создали Площадь Кузбасских историй</v>
      </c>
      <c r="W1442" s="6" t="str">
        <f>IFERROR(__xludf.DUMMYFUNCTION("""COMPUTED_VALUE"""),"хмурые, инициативные, динамичные, медленные, неоднозначные, закрытые, улыбчивые, суровые, невротики, жаждущие изменений, солнечные, активные. Как 2 группы противоположных людей")</f>
        <v>хмурые, инициативные, динамичные, медленные, неоднозначные, закрытые, улыбчивые, суровые, невротики, жаждущие изменений, солнечные, активные. Как 2 группы противоположных людей</v>
      </c>
      <c r="X1442" s="6" t="str">
        <f>IFERROR(__xludf.DUMMYFUNCTION("""COMPUTED_VALUE"""),"он точно не в моей голове")</f>
        <v>он точно не в моей голове</v>
      </c>
      <c r="Y1442" s="6" t="str">
        <f>IFERROR(__xludf.DUMMYFUNCTION("""COMPUTED_VALUE"""),"не знаю")</f>
        <v>не знаю</v>
      </c>
      <c r="Z1442" s="6" t="str">
        <f>IFERROR(__xludf.DUMMYFUNCTION("""COMPUTED_VALUE"""),"праздники на день города, 9 мая")</f>
        <v>праздники на день города, 9 мая</v>
      </c>
      <c r="AA1442" s="6" t="str">
        <f>IFERROR(__xludf.DUMMYFUNCTION("""COMPUTED_VALUE"""),"не особо фокусируюсь на таком, в голову ничего не приходит")</f>
        <v>не особо фокусируюсь на таком, в голову ничего не приходит</v>
      </c>
      <c r="AB1442" s="6" t="str">
        <f>IFERROR(__xludf.DUMMYFUNCTION("""COMPUTED_VALUE"""),"добрых, открытых и теплых")</f>
        <v>добрых, открытых и теплых</v>
      </c>
      <c r="AC1442" s="6" t="str">
        <f>IFERROR(__xludf.DUMMYFUNCTION("""COMPUTED_VALUE"""),"творческие фестивали, которые были бы доступны всем, что-то для всех: совместные игры, обсуждения...")</f>
        <v>творческие фестивали, которые были бы доступны всем, что-то для всех: совместные игры, обсуждения...</v>
      </c>
      <c r="AD144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442" s="6" t="str">
        <f>IFERROR(__xludf.DUMMYFUNCTION("""COMPUTED_VALUE"""),"Женский")</f>
        <v>Женский</v>
      </c>
      <c r="AF1442" s="6" t="str">
        <f>IFERROR(__xludf.DUMMYFUNCTION("""COMPUTED_VALUE"""),"30-44")</f>
        <v>30-44</v>
      </c>
      <c r="AG1442" s="6"/>
      <c r="AH1442" s="6"/>
      <c r="AI1442" s="6"/>
      <c r="AJ1442" s="6"/>
      <c r="AK1442" s="6"/>
      <c r="AL1442" s="6"/>
      <c r="AM1442" s="6"/>
    </row>
    <row r="1443">
      <c r="A1443" s="6">
        <v>1442.0</v>
      </c>
      <c r="B1443" s="6" t="str">
        <f>IFERROR(__xludf.DUMMYFUNCTION("""COMPUTED_VALUE"""),"Менеджер ")</f>
        <v>Менеджер </v>
      </c>
      <c r="C1443" s="6" t="str">
        <f>IFERROR(__xludf.DUMMYFUNCTION("""COMPUTED_VALUE"""),"Да, тренажёрный зал ")</f>
        <v>Да, тренажёрный зал </v>
      </c>
      <c r="D1443" s="6" t="str">
        <f>IFERROR(__xludf.DUMMYFUNCTION("""COMPUTED_VALUE"""),"Рудничный ,радуга ")</f>
        <v>Рудничный ,радуга </v>
      </c>
      <c r="E1443" s="6" t="str">
        <f>IFERROR(__xludf.DUMMYFUNCTION("""COMPUTED_VALUE"""),"Сосновый Бор")</f>
        <v>Сосновый Бор</v>
      </c>
      <c r="F1443" s="6" t="str">
        <f>IFERROR(__xludf.DUMMYFUNCTION("""COMPUTED_VALUE"""),"Живу здесь с рождения")</f>
        <v>Живу здесь с рождения</v>
      </c>
      <c r="G1443" s="6" t="str">
        <f>IFERROR(__xludf.DUMMYFUNCTION("""COMPUTED_VALUE"""),"Набережная Кировского , набережная в центре ")</f>
        <v>Набережная Кировского , набережная в центре </v>
      </c>
      <c r="H1443" s="6" t="str">
        <f>IFERROR(__xludf.DUMMYFUNCTION("""COMPUTED_VALUE"""),"-")</f>
        <v>-</v>
      </c>
      <c r="I1443" s="6" t="str">
        <f>IFERROR(__xludf.DUMMYFUNCTION("""COMPUTED_VALUE"""),"Гришковец, Евдокимов ,Миронов ")</f>
        <v>Гришковец, Евдокимов ,Миронов </v>
      </c>
      <c r="J1443" s="6" t="str">
        <f>IFERROR(__xludf.DUMMYFUNCTION("""COMPUTED_VALUE"""),"-")</f>
        <v>-</v>
      </c>
      <c r="K1443" s="6" t="str">
        <f>IFERROR(__xludf.DUMMYFUNCTION("""COMPUTED_VALUE"""),"Томская писаница ")</f>
        <v>Томская писаница </v>
      </c>
      <c r="L1443" s="6" t="str">
        <f>IFERROR(__xludf.DUMMYFUNCTION("""COMPUTED_VALUE"""),"-")</f>
        <v>-</v>
      </c>
      <c r="M1443" s="6" t="str">
        <f>IFERROR(__xludf.DUMMYFUNCTION("""COMPUTED_VALUE"""),"Нет ")</f>
        <v>Нет </v>
      </c>
      <c r="N1443" s="6" t="str">
        <f>IFERROR(__xludf.DUMMYFUNCTION("""COMPUTED_VALUE"""),"Транспортная доступность, отсутствие пробок, чистый воздух, больше интересных заведений, больше парков ")</f>
        <v>Транспортная доступность, отсутствие пробок, чистый воздух, больше интересных заведений, больше парков </v>
      </c>
      <c r="O1443" s="6" t="str">
        <f>IFERROR(__xludf.DUMMYFUNCTION("""COMPUTED_VALUE"""),"Загазованность воздуха ")</f>
        <v>Загазованность воздуха </v>
      </c>
      <c r="P1443" s="6" t="str">
        <f>IFERROR(__xludf.DUMMYFUNCTION("""COMPUTED_VALUE"""),"Инстаграмм ")</f>
        <v>Инстаграмм </v>
      </c>
      <c r="Q1443"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1443" s="6" t="str">
        <f>IFERROR(__xludf.DUMMYFUNCTION("""COMPUTED_VALUE"""),"Нет таких ")</f>
        <v>Нет таких </v>
      </c>
      <c r="S1443" s="6" t="str">
        <f>IFERROR(__xludf.DUMMYFUNCTION("""COMPUTED_VALUE"""),"Нет, не приходилось")</f>
        <v>Нет, не приходилось</v>
      </c>
      <c r="T1443" s="6" t="str">
        <f>IFERROR(__xludf.DUMMYFUNCTION("""COMPUTED_VALUE"""),"Почти на первом месте по вич заражённым. ")</f>
        <v>Почти на первом месте по вич заражённым. </v>
      </c>
      <c r="U1443" s="6" t="str">
        <f>IFERROR(__xludf.DUMMYFUNCTION("""COMPUTED_VALUE"""),"Площадь советов ")</f>
        <v>Площадь советов </v>
      </c>
      <c r="V1443" s="6" t="str">
        <f>IFERROR(__xludf.DUMMYFUNCTION("""COMPUTED_VALUE"""),"-")</f>
        <v>-</v>
      </c>
      <c r="W1443" s="6" t="str">
        <f>IFERROR(__xludf.DUMMYFUNCTION("""COMPUTED_VALUE"""),"Злые ")</f>
        <v>Злые </v>
      </c>
      <c r="X1443" s="6" t="str">
        <f>IFERROR(__xludf.DUMMYFUNCTION("""COMPUTED_VALUE"""),"Маршрутка 40 ")</f>
        <v>Маршрутка 40 </v>
      </c>
      <c r="Y1443" s="6" t="str">
        <f>IFERROR(__xludf.DUMMYFUNCTION("""COMPUTED_VALUE"""),"-")</f>
        <v>-</v>
      </c>
      <c r="Z1443" s="6" t="str">
        <f>IFERROR(__xludf.DUMMYFUNCTION("""COMPUTED_VALUE"""),"-")</f>
        <v>-</v>
      </c>
      <c r="AA1443" s="6" t="str">
        <f>IFERROR(__xludf.DUMMYFUNCTION("""COMPUTED_VALUE"""),"Зимняя вишня ")</f>
        <v>Зимняя вишня </v>
      </c>
      <c r="AB1443" s="6" t="str">
        <f>IFERROR(__xludf.DUMMYFUNCTION("""COMPUTED_VALUE"""),"-")</f>
        <v>-</v>
      </c>
      <c r="AC1443" s="6" t="str">
        <f>IFERROR(__xludf.DUMMYFUNCTION("""COMPUTED_VALUE"""),"-")</f>
        <v>-</v>
      </c>
      <c r="AD144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443" s="6" t="str">
        <f>IFERROR(__xludf.DUMMYFUNCTION("""COMPUTED_VALUE"""),"Женский")</f>
        <v>Женский</v>
      </c>
      <c r="AF1443" s="6" t="str">
        <f>IFERROR(__xludf.DUMMYFUNCTION("""COMPUTED_VALUE"""),"18-29")</f>
        <v>18-29</v>
      </c>
      <c r="AG1443" s="6"/>
      <c r="AH1443" s="6"/>
      <c r="AI1443" s="6"/>
      <c r="AJ1443" s="6"/>
      <c r="AK1443" s="6"/>
      <c r="AL1443" s="6"/>
      <c r="AM1443" s="6"/>
    </row>
    <row r="1444">
      <c r="A1444" s="6">
        <v>1443.0</v>
      </c>
      <c r="B1444" s="6" t="str">
        <f>IFERROR(__xludf.DUMMYFUNCTION("""COMPUTED_VALUE"""),"Админ базы данных")</f>
        <v>Админ базы данных</v>
      </c>
      <c r="C1444" s="6" t="str">
        <f>IFERROR(__xludf.DUMMYFUNCTION("""COMPUTED_VALUE"""),"Блокноты")</f>
        <v>Блокноты</v>
      </c>
      <c r="D1444" s="6" t="str">
        <f>IFERROR(__xludf.DUMMYFUNCTION("""COMPUTED_VALUE"""),"Фпк")</f>
        <v>Фпк</v>
      </c>
      <c r="E1444" s="6" t="str">
        <f>IFERROR(__xludf.DUMMYFUNCTION("""COMPUTED_VALUE"""),"Знаковый - общественно значимый, являющийся символом чего-либо. Таких мест у нас единицы. Идея о них поговорить - хорошая.
Красивых, интересных, популярных мест - конечно больше вариантов. Но не стоит их называть знаковыми.
На ФПК самым знаковым может явл"&amp;"яться здание ФПК, в честь которого район и назван. Но это больше значимость, чем знаковость. Не знаю действует ли здание именно как факультет повышения калификации сейчас или уже нет.
Если брать в целом Заводской район, то это конечно Зимняя вишня. Место "&amp;"печально, но знаковое. Но если смотреть историю мира, то часто места именно так и обретают знаковость.
Просто интересных мест больше, на фпк я бы назвала таунхаусы на щегловском.")</f>
        <v>Знаковый - общественно значимый, являющийся символом чего-либо. Таких мест у нас единицы. Идея о них поговорить - хорошая.
Красивых, интересных, популярных мест - конечно больше вариантов. Но не стоит их называть знаковыми.
На ФПК самым знаковым может являться здание ФПК, в честь которого район и назван. Но это больше значимость, чем знаковость. Не знаю действует ли здание именно как факультет повышения калификации сейчас или уже нет.
Если брать в целом Заводской район, то это конечно Зимняя вишня. Место печально, но знаковое. Но если смотреть историю мира, то часто места именно так и обретают знаковость.
Просто интересных мест больше, на фпк я бы назвала таунхаусы на щегловском.</v>
      </c>
      <c r="F1444" s="6" t="str">
        <f>IFERROR(__xludf.DUMMYFUNCTION("""COMPUTED_VALUE"""),"Живу здесь с рождения")</f>
        <v>Живу здесь с рождения</v>
      </c>
      <c r="G1444" s="6" t="str">
        <f>IFERROR(__xludf.DUMMYFUNCTION("""COMPUTED_VALUE"""),"Главное место прогулок это центр - весенняя и набережная.
По большому счету это единственное место в городе, куда легко добраться и где можно погулять и отдохнуть визуально от бетонных стен. Мы видим речку, бор, аллею, там тихо.
Знаю, что был проект о пла"&amp;"тных парковках в центре. О нём лучше забыть. Ибо сделать недоступным единственное красивое место досуга в городе - это... Можно сразу вывозные рейсы в аэропорту организовавать тогда.
Также люди любят парк Антошка/Жукова, пл.Советов.
Очень красиво сделали"&amp;" бульвар, кадетку и до красного озера. Но это всё же город и бетон, поэтому равноценной заменой не станет. Московский облагородили. Поддерживаю то, что делают на притомском-искитимке, молодцы, наконец-то обновления.
Раз в год на памятник Шахтерам  выбира"&amp;"юсь.
Лесная поляна, несколько раз в год, когда город совсем надоедает.")</f>
        <v>Главное место прогулок это центр - весенняя и набережная.
По большому счету это единственное место в городе, куда легко добраться и где можно погулять и отдохнуть визуально от бетонных стен. Мы видим речку, бор, аллею, там тихо.
Знаю, что был проект о платных парковках в центре. О нём лучше забыть. Ибо сделать недоступным единственное красивое место досуга в городе - это... Можно сразу вывозные рейсы в аэропорту организовавать тогда.
Также люди любят парк Антошка/Жукова, пл.Советов.
Очень красиво сделали бульвар, кадетку и до красного озера. Но это всё же город и бетон, поэтому равноценной заменой не станет. Московский облагородили. Поддерживаю то, что делают на притомском-искитимке, молодцы, наконец-то обновления.
Раз в год на памятник Шахтерам  выбираюсь.
Лесная поляна, несколько раз в год, когда город совсем надоедает.</v>
      </c>
      <c r="H1444" s="6" t="str">
        <f>IFERROR(__xludf.DUMMYFUNCTION("""COMPUTED_VALUE"""),"Уютный, спокойный, зеленый, унылый, нищета")</f>
        <v>Уютный, спокойный, зеленый, унылый, нищета</v>
      </c>
      <c r="I1444" s="6" t="str">
        <f>IFERROR(__xludf.DUMMYFUNCTION("""COMPUTED_VALUE"""),"У нас ещё молодой город.
Рутгерс приходит на ум (но он не кореной), Вера Волошина.
Вообще, объединяя вопрос 8 и 9, особенными людьми я бы назвала ровесников города (1932 г.р и ранее), кто всё это время жил в городе. Кто жив и в здравом уме и памяти по се"&amp;"й день. Если такие есть, то их меньше с каждым месяцем, и успеть взять у них истории, их взгляд, как изменялся, развивался город - было бы действительно уникальным и особенным.
Во-первых, вот они действительно знают кто/что и какое влияние оказал на разви"&amp;"тие. Как вообще рос город. Легко/тяжело? Как в войну. (объективно, тот кто сейчас заполняет гугл форму, знает об истории не больше чем написано в открытых источниках. Поэтому каких-то супер открытий прошлого от анкеты я бы не ожидала. Ну и плюс в источник"&amp;"ах всегда есть цензура)
Во-вторых, в городах которым 200 и более лет, такое интервью получить уже невозможно никак. Что и сделало бы данный проект уникальным. Эти истории можно было бы собрать книгой. И чтоб она была доступна к приобретению, а не в музее "&amp;"лежала, как почти всё о Кузбассе. Оно как бы есть, но вы это не найдете.
Конечно, если такие люди ещё существуют. До 90 лет дожить в России, да в здравой памяти....")</f>
        <v>У нас ещё молодой город.
Рутгерс приходит на ум (но он не кореной), Вера Волошина.
Вообще, объединяя вопрос 8 и 9, особенными людьми я бы назвала ровесников города (1932 г.р и ранее), кто всё это время жил в городе. Кто жив и в здравом уме и памяти по сей день. Если такие есть, то их меньше с каждым месяцем, и успеть взять у них истории, их взгляд, как изменялся, развивался город - было бы действительно уникальным и особенным.
Во-первых, вот они действительно знают кто/что и какое влияние оказал на развитие. Как вообще рос город. Легко/тяжело? Как в войну. (объективно, тот кто сейчас заполняет гугл форму, знает об истории не больше чем написано в открытых источниках. Поэтому каких-то супер открытий прошлого от анкеты я бы не ожидала. Ну и плюс в источниках всегда есть цензура)
Во-вторых, в городах которым 200 и более лет, такое интервью получить уже невозможно никак. Что и сделало бы данный проект уникальным. Эти истории можно было бы собрать книгой. И чтоб она была доступна к приобретению, а не в музее лежала, как почти всё о Кузбассе. Оно как бы есть, но вы это не найдете.
Конечно, если такие люди ещё существуют. До 90 лет дожить в России, да в здравой памяти....</v>
      </c>
      <c r="J1444" s="6" t="str">
        <f>IFERROR(__xludf.DUMMYFUNCTION("""COMPUTED_VALUE"""),"Если прям сделали, то Тулеев. А вообще выдающиеся ещё Леонов.
Можно Гришковца назвать, но он скорее дал известность городу, что такой существует, а не помогал в чем-то. Мне кажется для города сейчас больше делают компании, чем конкретные люди. Но если ест"&amp;"ь такие люди, то о них бы неплохо рассказать. Думаю крайне небольшой процент в курсе, кто у нас висит на доске почета и почему.")</f>
        <v>Если прям сделали, то Тулеев. А вообще выдающиеся ещё Леонов.
Можно Гришковца назвать, но он скорее дал известность городу, что такой существует, а не помогал в чем-то. Мне кажется для города сейчас больше делают компании, чем конкретные люди. Но если есть такие люди, то о них бы неплохо рассказать. Думаю крайне небольшой процент в курсе, кто у нас висит на доске почета и почему.</v>
      </c>
      <c r="K1444" s="6" t="str">
        <f>IFERROR(__xludf.DUMMYFUNCTION("""COMPUTED_VALUE"""),"Набережная, памятник шахтерам, красная горка, лесная поляна.
Если бы на Томскую Писаницу был транспорт, то возможно её бы тоже назвала.
Но по реальному опыту - даже Поляну чаще всего не успеваешь показать, если гости на пару дней на выходные приехали.")</f>
        <v>Набережная, памятник шахтерам, красная горка, лесная поляна.
Если бы на Томскую Писаницу был транспорт, то возможно её бы тоже назвала.
Но по реальному опыту - даже Поляну чаще всего не успеваешь показать, если гости на пару дней на выходные приехали.</v>
      </c>
      <c r="L1444" s="6" t="str">
        <f>IFERROR(__xludf.DUMMYFUNCTION("""COMPUTED_VALUE"""),"Сжечь всё неугодное.
В опубликованных ответах ещё не видела про косматого старичка, который выглядел как бомж, и явно был не в себе, но говорили что он богат. Не помню фамилию уже, к сожалению.")</f>
        <v>Сжечь всё неугодное.
В опубликованных ответах ещё не видела про косматого старичка, который выглядел как бомж, и явно был не в себе, но говорили что он богат. Не помню фамилию уже, к сожалению.</v>
      </c>
      <c r="M1444" s="6" t="str">
        <f>IFERROR(__xludf.DUMMYFUNCTION("""COMPUTED_VALUE"""),"Самые ходовые:
• ""С кировского"" (=опасный район, гоппацанчик и т.п)
• заводскИй район, вместо заводскОй
• КемеровО
• Лапа = лапландия
А так их куча:
• У огня (вечного огня на весенней)
• МЖК = Радуга (хотя молодежь наверное и не знает уже МЖК)...
Три по"&amp;"росенка, змейка, Шалго, Терешковкий мост, Горбатый мост, Поляна, у Петровича и Арарат (как бы они не переименовывались), Политех, РЭУ, сотка, Лысая гора и т.д")</f>
        <v>Самые ходовые:
• "С кировского" (=опасный район, гоппацанчик и т.п)
• заводскИй район, вместо заводскОй
• КемеровО
• Лапа = лапландия
А так их куча:
• У огня (вечного огня на весенней)
• МЖК = Радуга (хотя молодежь наверное и не знает уже МЖК)...
Три поросенка, змейка, Шалго, Терешковкий мост, Горбатый мост, Поляна, у Петровича и Арарат (как бы они не переименовывались), Политех, РЭУ, сотка, Лысая гора и т.д</v>
      </c>
      <c r="N1444" s="6" t="str">
        <f>IFERROR(__xludf.DUMMYFUNCTION("""COMPUTED_VALUE"""),"!) Главный критерий - это уровень доходов в нём
2) транспорт, как по городу, так и в соседние области, авиа
3) медицина
4) образование
5) досуг и места отдыха
6) ассортимент товарной продукции
Можно покрыть улицы золотом и сыпать с неба кокосовой ст"&amp;"ружкой, но это не сделает жизнь комфортнее, если человек стоя в магазине вынужден выбирать имитацию молока или макароны на вес. То есть не может взять необходимое. В школу в кредит, обувь в рассрочку - это всё реальность. Бесплатной медицины по факту нет,"&amp;" лекарства всё недоступнее. Отпуск в городе всё чаще. А в театры и музеи люди вообще годами не ходят. Да, я описала совсем печальную ситуацию и так к счастью не у многих, но это не это повод быть хатой с краю. Неизвестно как будет через год, при таком тем"&amp;"пе роста цен.
Ни один парк это не компенсирует, пока у людей не будет дохода на уровне цен. Это тот уровень зарплат, что называют средним. Но только его действительно должны получать большинство, а не быть средним арифметическим.
Тогда у людей будет время"&amp;" подумать о чем-то большей.
В Кузбассе уровень зарплат необъяснимо низкий. Это кстати ещё одна из особенностей. Почему??? Что не так с нами? Расскажите в рамках проекта. А то после ковидного роста цен он стал совсем позорно нищенским.
Но в Кемерово из э"&amp;"тих пунктов все же есть позитивные изменения. В транспорте (авиа), в местах отдыха, (но не в заведениях), еще в товарах был плюс, особенно до ковида. Но в остальном - деградация. Институты - крах, медицина развивается только платная. В соседнюю область съ"&amp;"ездить - как на самолете из Мск в Питер слетать. Вроде город развивается, но радости в жителях не прибавляется. Причин для оттока всё больше.")</f>
        <v>!) Главный критерий - это уровень доходов в нём
2) транспорт, как по городу, так и в соседние области, авиа
3) медицина
4) образование
5) досуг и места отдыха
6) ассортимент товарной продукции
Можно покрыть улицы золотом и сыпать с неба кокосовой стружкой, но это не сделает жизнь комфортнее, если человек стоя в магазине вынужден выбирать имитацию молока или макароны на вес. То есть не может взять необходимое. В школу в кредит, обувь в рассрочку - это всё реальность. Бесплатной медицины по факту нет, лекарства всё недоступнее. Отпуск в городе всё чаще. А в театры и музеи люди вообще годами не ходят. Да, я описала совсем печальную ситуацию и так к счастью не у многих, но это не это повод быть хатой с краю. Неизвестно как будет через год, при таком темпе роста цен.
Ни один парк это не компенсирует, пока у людей не будет дохода на уровне цен. Это тот уровень зарплат, что называют средним. Но только его действительно должны получать большинство, а не быть средним арифметическим.
Тогда у людей будет время подумать о чем-то большей.
В Кузбассе уровень зарплат необъяснимо низкий. Это кстати ещё одна из особенностей. Почему??? Что не так с нами? Расскажите в рамках проекта. А то после ковидного роста цен он стал совсем позорно нищенским.
Но в Кемерово из этих пунктов все же есть позитивные изменения. В транспорте (авиа), в местах отдыха, (но не в заведениях), еще в товарах был плюс, особенно до ковида. Но в остальном - деградация. Институты - крах, медицина развивается только платная. В соседнюю область съездить - как на самолете из Мск в Питер слетать. Вроде город развивается, но радости в жителях не прибавляется. Причин для оттока всё больше.</v>
      </c>
      <c r="O1444" s="6" t="str">
        <f>IFERROR(__xludf.DUMMYFUNCTION("""COMPUTED_VALUE"""),"Зарплаты конечно. Вообще запретить законом зарплаты начинающиеся на цифру 1 и 2🤯 Я не шучу, пора уже принять серьезные меры и шаги на уровне правительства по увеличению зарплат.
Открываем hh и видим, что одна и таже вакансия оплачивается везде по-разному"&amp;".
Грубо говоря, сидя в Самокате в Кемерово ты будешь получать 22, а в Москве 52. Одна и таже работа, причем не высококвалифицированная. При том что в Мск дешевле одежда, продукты и в разы доступнее отдых и разнообразнее досуг. З/п должны быть в точности н"&amp;"аоборот. Почему люди из Кузбасса уезжают, загадка...
И дело тут не в сравнении, а в элементарном расчете необходимого на жизнь.
Кстати, гудлайн с партнерами проекта могут начать увеличение зарплат с себя. Это будет реальный пример улучшения жизни города."&amp;" Если проект действительно для этого задуман.
2) Отменить маски.
3) Перенастроить ужасные светофоры, длиною в полжизни, которые не нравятся ни пешеходам, ни водителям. И если на улицы вернется полный поток машин, то никакого снижения пробок это не даст "&amp;"вообще.
4) Пляж или комплекс, где можно купаться с транспортной доступностью. Я вот не представляю где купаются люди с детьми, у которых нет машины? Вообще у нас купаться страшно и неприятно везде конечно, даже за городом.
5) Для идентичности - разработ"&amp;"ать ""брендбук"", единые стандарты вывесок. И нет, упаси боже, шрифт Arial и бордовый прямоугольник с белыми буквами.
Хороший продуманный проект с дальнейшими доработками при необходимости. Это действительно очень большая и сложная работа с дизайнерами. Н"&amp;"о она бы сделала фасады города на порядок краше. Пусть шрифты будут разные, фирменные. У больших брендов это строго. Нужно продумать все эти нюасны, способы крепления, не портящие фасад. Возьмем Променад-3 на цирке. Красивое здание, которое совсем не видн"&amp;"о за разношерстными вывесками. Итог - некрасиво.
Или центр - пр-кт Советский 42 и 44/1. Красивая вывеска ""булочная кондитерская"", отлично вписывающаяся в фасад, а в 20 метрах позорнейшая ужасная ""Шаурма"" на желтом банере. Мама мия. И это самый центр.
"&amp;"Какая уж тут идентичность.
6) Разношерстные балконы тоже портят вид, но тут вряд ли можно что-то сделать.
Даже в новостройках, когда дом в едином стиле, всё смотрится красиво. Но так как это зачастую плохого качества, люди начинают переделки и даже новос"&amp;"трой теряет привлекательность. Запрещать людям улучшать жизнь тоже нельзя.
7) Утепления швов. Как же уродливо это смотрится порой.
На ФПК, где почти все дома оТделаны туалетной плиткой, всех цветов детской неожиданности, участки с утепленными стенами смо"&amp;"трятся наоборот красиво. И хочется весь дом так покрыть. В Шалготарьяне тоже так же.
А вот когда дом нормальный, отштукатуренный, и тут вдруг залепуха вообще не в цвет - уродство в чистом виде.
8) С целью сохранения идентичности логично заняться ""старым"&amp;"и"" (по-Кемеровски) домами. Не допускать, чтобы они становились рухлядью, (хотя многие уже там), реставрировать фасад, решать вопросы с проседанием.
Это проспект Ленина от вокзала до цирка и влево-вправо от него от сибиряков до речки.
Опять же, сохранять "&amp;"рухлядь, называя это историей - нет, не надо. Объективно оценивать состояние домов и что возможно - сохранять. У нас очень грустное состояние домов на чкалова, рукавишников, коммунистической, сарыгина. А там есть очень интересные дома - фасады с колонами,"&amp;" крыши со слуховыми окошками. Сделать этот район красивым - реально. А то приехал в город, выходишь на вокзале - и сразу тоска.
Кировский - тоже полон исторических бараков. Но ездить туда гулять никто не будет.
9) Вообще работа по созданию облика города "&amp;"очень плотно связана с дизайнерами, это основа от которой уже будут идти локальные задачи по реализации.")</f>
        <v>Зарплаты конечно. Вообще запретить законом зарплаты начинающиеся на цифру 1 и 2🤯 Я не шучу, пора уже принять серьезные меры и шаги на уровне правительства по увеличению зарплат.
Открываем hh и видим, что одна и таже вакансия оплачивается везде по-разному.
Грубо говоря, сидя в Самокате в Кемерово ты будешь получать 22, а в Москве 52. Одна и таже работа, причем не высококвалифицированная. При том что в Мск дешевле одежда, продукты и в разы доступнее отдых и разнообразнее досуг. З/п должны быть в точности наоборот. Почему люди из Кузбасса уезжают, загадка...
И дело тут не в сравнении, а в элементарном расчете необходимого на жизнь.
Кстати, гудлайн с партнерами проекта могут начать увеличение зарплат с себя. Это будет реальный пример улучшения жизни города. Если проект действительно для этого задуман.
2) Отменить маски.
3) Перенастроить ужасные светофоры, длиною в полжизни, которые не нравятся ни пешеходам, ни водителям. И если на улицы вернется полный поток машин, то никакого снижения пробок это не даст вообще.
4) Пляж или комплекс, где можно купаться с транспортной доступностью. Я вот не представляю где купаются люди с детьми, у которых нет машины? Вообще у нас купаться страшно и неприятно везде конечно, даже за городом.
5) Для идентичности - разработать "брендбук", единые стандарты вывесок. И нет, упаси боже, шрифт Arial и бордовый прямоугольник с белыми буквами.
Хороший продуманный проект с дальнейшими доработками при необходимости. Это действительно очень большая и сложная работа с дизайнерами. Но она бы сделала фасады города на порядок краше. Пусть шрифты будут разные, фирменные. У больших брендов это строго. Нужно продумать все эти нюасны, способы крепления, не портящие фасад. Возьмем Променад-3 на цирке. Красивое здание, которое совсем не видно за разношерстными вывесками. Итог - некрасиво.
Или центр - пр-кт Советский 42 и 44/1. Красивая вывеска "булочная кондитерская", отлично вписывающаяся в фасад, а в 20 метрах позорнейшая ужасная "Шаурма" на желтом банере. Мама мия. И это самый центр.
Какая уж тут идентичность.
6) Разношерстные балконы тоже портят вид, но тут вряд ли можно что-то сделать.
Даже в новостройках, когда дом в едином стиле, всё смотрится красиво. Но так как это зачастую плохого качества, люди начинают переделки и даже новострой теряет привлекательность. Запрещать людям улучшать жизнь тоже нельзя.
7) Утепления швов. Как же уродливо это смотрится порой.
На ФПК, где почти все дома оТделаны туалетной плиткой, всех цветов детской неожиданности, участки с утепленными стенами смотрятся наоборот красиво. И хочется весь дом так покрыть. В Шалготарьяне тоже так же.
А вот когда дом нормальный, отштукатуренный, и тут вдруг залепуха вообще не в цвет - уродство в чистом виде.
8) С целью сохранения идентичности логично заняться "старыми" (по-Кемеровски) домами. Не допускать, чтобы они становились рухлядью, (хотя многие уже там), реставрировать фасад, решать вопросы с проседанием.
Это проспект Ленина от вокзала до цирка и влево-вправо от него от сибиряков до речки.
Опять же, сохранять рухлядь, называя это историей - нет, не надо. Объективно оценивать состояние домов и что возможно - сохранять. У нас очень грустное состояние домов на чкалова, рукавишников, коммунистической, сарыгина. А там есть очень интересные дома - фасады с колонами, крыши со слуховыми окошками. Сделать этот район красивым - реально. А то приехал в город, выходишь на вокзале - и сразу тоска.
Кировский - тоже полон исторических бараков. Но ездить туда гулять никто не будет.
9) Вообще работа по созданию облика города очень плотно связана с дизайнерами, это основа от которой уже будут идти локальные задачи по реализации.</v>
      </c>
      <c r="P1444" s="6" t="str">
        <f>IFERROR(__xludf.DUMMYFUNCTION("""COMPUTED_VALUE"""),"Инстаграм")</f>
        <v>Инстаграм</v>
      </c>
      <c r="Q1444" s="6" t="str">
        <f>IFERROR(__xludf.DUMMYFUNCTION("""COMPUTED_VALUE"""),"куда пойти в свободное время, где вкусно поесть/открытие новых кафе/ресторанов,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пре"&amp;"дложения)")</f>
        <v>куда пойти в свободное время, где вкусно поесть/открытие новых кафе/ресторанов,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1444" s="6" t="str">
        <f>IFERROR(__xludf.DUMMYFUNCTION("""COMPUTED_VALUE"""),"9 мая, день города, новый год. Я вообще за праздники, чем больше, тем лучше.")</f>
        <v>9 мая, день города, новый год. Я вообще за праздники, чем больше, тем лучше.</v>
      </c>
      <c r="S1444" s="6" t="str">
        <f>IFERROR(__xludf.DUMMYFUNCTION("""COMPUTED_VALUE"""),"Нет, не приходилось")</f>
        <v>Нет, не приходилось</v>
      </c>
      <c r="T1444" s="6" t="str">
        <f>IFERROR(__xludf.DUMMYFUNCTION("""COMPUTED_VALUE"""),"Печальной зимней вишней. Но такую знаменитость упоминать не хочется.
Бенди у нас проходил. Но никто и не вспоминает уже.
Уникального не вижу ничего. То что нас речка как-то там омывает особенно, как мы это увидим, как покажем? На фоточке с вертолета? Особ"&amp;"енность которую ты не видишь и не ощущаешь... - что-то из разряда духов.")</f>
        <v>Печальной зимней вишней. Но такую знаменитость упоминать не хочется.
Бенди у нас проходил. Но никто и не вспоминает уже.
Уникального не вижу ничего. То что нас речка как-то там омывает особенно, как мы это увидим, как покажем? На фоточке с вертолета? Особенность которую ты не видишь и не ощущаешь... - что-то из разряда духов.</v>
      </c>
      <c r="U1444" s="6" t="str">
        <f>IFERROR(__xludf.DUMMYFUNCTION("""COMPUTED_VALUE"""),"Пл.Советов, Театр драмы, Набережная")</f>
        <v>Пл.Советов, Театр драмы, Набережная</v>
      </c>
      <c r="V1444" s="6" t="str">
        <f>IFERROR(__xludf.DUMMYFUNCTION("""COMPUTED_VALUE"""),"Живем тут несмотря ни на что, и даже любим город. Стоит ли этим гордиться - вопрос.")</f>
        <v>Живем тут несмотря ни на что, и даже любим город. Стоит ли этим гордиться - вопрос.</v>
      </c>
      <c r="W1444" s="6" t="str">
        <f>IFERROR(__xludf.DUMMYFUNCTION("""COMPUTED_VALUE"""),"Всё относительно и смотря с кем сравнивать. Едешь на Алтай, а там все добрые, Кемеровчане на их фоне кажутся злюками. Едешь в Питер или заграницу - и наоборот кажется, что у нас отзывчевее люди.
Слишком субъективное описание, я против таких характеристик.")</f>
        <v>Всё относительно и смотря с кем сравнивать. Едешь на Алтай, а там все добрые, Кемеровчане на их фоне кажутся злюками. Едешь в Питер или заграницу - и наоборот кажется, что у нас отзывчевее люди.
Слишком субъективное описание, я против таких характеристик.</v>
      </c>
      <c r="X1444" s="6" t="str">
        <f>IFERROR(__xludf.DUMMYFUNCTION("""COMPUTED_VALUE"""),"Пункт 20.
Драма, Фонтан, Весенняя, Набережная, парк Чудес (горсад).")</f>
        <v>Пункт 20.
Драма, Фонтан, Весенняя, Набережная, парк Чудес (горсад).</v>
      </c>
      <c r="Y1444" s="6" t="str">
        <f>IFERROR(__xludf.DUMMYFUNCTION("""COMPUTED_VALUE"""),"Его основание")</f>
        <v>Его основание</v>
      </c>
      <c r="Z1444" s="6" t="str">
        <f>IFERROR(__xludf.DUMMYFUNCTION("""COMPUTED_VALUE"""),"Рок концерт, первая детализация (но это больше 2х лет назад).
Переделка бульвара, притомского и района кадетки.
Вообще из плюсов в памяти ещё Бенди и много-много лет назад у нас был крутой день шахтеров, кажется. Или 1 сентября, точно не помню. Там высту"&amp;"пали ди-джеи. Очень круто и современно было, рейв в городе.")</f>
        <v>Рок концерт, первая детализация (но это больше 2х лет назад).
Переделка бульвара, притомского и района кадетки.
Вообще из плюсов в памяти ещё Бенди и много-много лет назад у нас был крутой день шахтеров, кажется. Или 1 сентября, точно не помню. Там выступали ди-джеи. Очень круто и современно было, рейв в городе.</v>
      </c>
      <c r="AA1444" s="6" t="str">
        <f>IFERROR(__xludf.DUMMYFUNCTION("""COMPUTED_VALUE"""),"Зарплаты и ежегодное вранье про их рост. Статистика не учитывает рост всего остального. По факту у нас зарплаты на уровне 10 летней давности и не движимы.
Подорожание жилья.")</f>
        <v>Зарплаты и ежегодное вранье про их рост. Статистика не учитывает рост всего остального. По факту у нас зарплаты на уровне 10 летней давности и не движимы.
Подорожание жилья.</v>
      </c>
      <c r="AB1444" s="6" t="str">
        <f>IFERROR(__xludf.DUMMYFUNCTION("""COMPUTED_VALUE"""),"Художественных. У нас ужасные музеи ИЗО.
Нет интересных заведений общепита (рестораны, кафе, бары). Что новое появляется, как-то очень быстро закрывается. Культура дизайнерского оформления, концепта до нас ещё не дошла.
Интересного показать гостям нечего"&amp;".")</f>
        <v>Художественных. У нас ужасные музеи ИЗО.
Нет интересных заведений общепита (рестораны, кафе, бары). Что новое появляется, как-то очень быстро закрывается. Культура дизайнерского оформления, концепта до нас ещё не дошла.
Интересного показать гостям нечего.</v>
      </c>
      <c r="AC1444" s="6" t="str">
        <f>IFERROR(__xludf.DUMMYFUNCTION("""COMPUTED_VALUE"""),"Общесибирские отпуска на всё лето. Лето - это очень быстрое и кратковременное событие. Всего-то 3 месяца в году и то с перерывами. И снова 9 месяцев серости. Очень интересно иметь отпуск на все лето))
Ну а по серьезке - укороченную неделю или укороченный "&amp;"раб.день летом, действительно было бы здорово.
Отмена масок
Перестать отключать горячую воду летом или максимум на три дня.
Годный аквакомплекс (как термы мира в Сибе) или какой-то вид отдыха у воды. Но как приспособить к этому Томь я не представляю, п"&amp;"оэтому больше к комплексу склонна.
Не нашла в каком пункте написать, пишу тут.
Не увидела вопроса о возрасте. А при создании идентификации города нужно учитывать и возрастную прослойку. Молодежь 17 лет захочет графити и скейт парки, 25летние бары и ресто"&amp;"раны, 35летние - парки, а в 65 чтобы все дома сидели и не шумели. Пример образный.
Основной возраст жителей города, насколько я помню, это 40-65 лет. Поэтому проекты должны учитывать этот момент,  чтобы не вызывать отторжения")</f>
        <v>Общесибирские отпуска на всё лето. Лето - это очень быстрое и кратковременное событие. Всего-то 3 месяца в году и то с перерывами. И снова 9 месяцев серости. Очень интересно иметь отпуск на все лето))
Ну а по серьезке - укороченную неделю или укороченный раб.день летом, действительно было бы здорово.
Отмена масок
Перестать отключать горячую воду летом или максимум на три дня.
Годный аквакомплекс (как термы мира в Сибе) или какой-то вид отдыха у воды. Но как приспособить к этому Томь я не представляю, поэтому больше к комплексу склонна.
Не нашла в каком пункте написать, пишу тут.
Не увидела вопроса о возрасте. А при создании идентификации города нужно учитывать и возрастную прослойку. Молодежь 17 лет захочет графити и скейт парки, 25летние бары и рестораны, 35летние - парки, а в 65 чтобы все дома сидели и не шумели. Пример образный.
Основной возраст жителей города, насколько я помню, это 40-65 лет. Поэтому проекты должны учитывать этот момент,  чтобы не вызывать отторжения</v>
      </c>
      <c r="AD1444" s="6" t="str">
        <f>IFERROR(__xludf.DUMMYFUNCTION("""COMPUTED_VALUE"""),"Анкеты заполнили менее 1% жителей, это же мало чтобы делать выводы? Мне пока сложно понять какая у вас задумка и чем могу быть полезна. Но это точно не организации и коммуникации, я социофоб.")</f>
        <v>Анкеты заполнили менее 1% жителей, это же мало чтобы делать выводы? Мне пока сложно понять какая у вас задумка и чем могу быть полезна. Но это точно не организации и коммуникации, я социофоб.</v>
      </c>
      <c r="AE1444" s="6" t="str">
        <f>IFERROR(__xludf.DUMMYFUNCTION("""COMPUTED_VALUE"""),"Женский")</f>
        <v>Женский</v>
      </c>
      <c r="AF1444" s="6" t="str">
        <f>IFERROR(__xludf.DUMMYFUNCTION("""COMPUTED_VALUE"""),"30-44")</f>
        <v>30-44</v>
      </c>
      <c r="AG1444" s="6"/>
      <c r="AH1444" s="6"/>
      <c r="AI1444" s="6"/>
      <c r="AJ1444" s="6"/>
      <c r="AK1444" s="6"/>
      <c r="AL1444" s="6"/>
      <c r="AM1444" s="6"/>
    </row>
    <row r="1445">
      <c r="A1445" s="6">
        <v>1444.0</v>
      </c>
      <c r="B1445" s="6" t="str">
        <f>IFERROR(__xludf.DUMMYFUNCTION("""COMPUTED_VALUE"""),"Ищу работу ")</f>
        <v>Ищу работу </v>
      </c>
      <c r="C1445" s="6" t="str">
        <f>IFERROR(__xludf.DUMMYFUNCTION("""COMPUTED_VALUE"""),"Любительский театр ""Ярус"" ")</f>
        <v>Любительский театр "Ярус" </v>
      </c>
      <c r="D1445" s="6" t="str">
        <f>IFERROR(__xludf.DUMMYFUNCTION("""COMPUTED_VALUE"""),"Центральный ")</f>
        <v>Центральный </v>
      </c>
      <c r="E1445" s="6" t="str">
        <f>IFERROR(__xludf.DUMMYFUNCTION("""COMPUTED_VALUE"""),"Набережная, театр для детей и молодежи, площадь Советов, Драм, Филармония ")</f>
        <v>Набережная, театр для детей и молодежи, площадь Советов, Драм, Филармония </v>
      </c>
      <c r="F1445" s="6" t="str">
        <f>IFERROR(__xludf.DUMMYFUNCTION("""COMPUTED_VALUE"""),"Переехал сюда из другого места (откуда? укажите в графе другое), Новокузнецк ")</f>
        <v>Переехал сюда из другого места (откуда? укажите в графе другое), Новокузнецк </v>
      </c>
      <c r="G1445" s="6" t="str">
        <f>IFERROR(__xludf.DUMMYFUNCTION("""COMPUTED_VALUE"""),"В парк Победы, в ""Антошку"", театры, в бор")</f>
        <v>В парк Победы, в "Антошку", театры, в бор</v>
      </c>
      <c r="H1445" s="6" t="str">
        <f>IFERROR(__xludf.DUMMYFUNCTION("""COMPUTED_VALUE"""),"Весенняя, набережная, Красная горка, СДС, Михайло Волков ")</f>
        <v>Весенняя, набережная, Красная горка, СДС, Михайло Волков </v>
      </c>
      <c r="I1445" s="6" t="str">
        <f>IFERROR(__xludf.DUMMYFUNCTION("""COMPUTED_VALUE"""),"Михайло Волков, А. Леонов, В. Волошина")</f>
        <v>Михайло Волков, А. Леонов, В. Волошина</v>
      </c>
      <c r="J1445" s="6" t="str">
        <f>IFERROR(__xludf.DUMMYFUNCTION("""COMPUTED_VALUE"""),"Не знаю. ")</f>
        <v>Не знаю. </v>
      </c>
      <c r="K1445" s="6" t="str">
        <f>IFERROR(__xludf.DUMMYFUNCTION("""COMPUTED_VALUE"""),"Красная горка, набережная, бор, в театр ""Ярус"" ")</f>
        <v>Красная горка, набережная, бор, в театр "Ярус" </v>
      </c>
      <c r="L1445" s="6" t="str">
        <f>IFERROR(__xludf.DUMMYFUNCTION("""COMPUTED_VALUE"""),"Песня ""Человек из Кемерово"" ")</f>
        <v>Песня "Человек из Кемерово" </v>
      </c>
      <c r="M1445" s="6" t="str">
        <f>IFERROR(__xludf.DUMMYFUNCTION("""COMPUTED_VALUE"""),"Металка, Весенька, ""Радуга"", Швейка")</f>
        <v>Металка, Весенька, "Радуга", Швейка</v>
      </c>
      <c r="N1445" s="6" t="str">
        <f>IFERROR(__xludf.DUMMYFUNCTION("""COMPUTED_VALUE"""),"Доступная среда :спуски, пандусы. Места отдыха, парки, лавочки. Низкопольный транспорт. Мусорки в удобных местах, пешеходные зоны. Парковочные зоны")</f>
        <v>Доступная среда :спуски, пандусы. Места отдыха, парки, лавочки. Низкопольный транспорт. Мусорки в удобных местах, пешеходные зоны. Парковочные зоны</v>
      </c>
      <c r="O1445" s="6" t="str">
        <f>IFERROR(__xludf.DUMMYFUNCTION("""COMPUTED_VALUE"""),"Cделать скаты, спуски (доступная среда для маломобильных) убрать ""лишние"" заборы. Добавить уличное пространство, где могли бы молодые ребята собираться на творческие мк, а не шариться по дворам и в подъездах")</f>
        <v>Cделать скаты, спуски (доступная среда для маломобильных) убрать "лишние" заборы. Добавить уличное пространство, где могли бы молодые ребята собираться на творческие мк, а не шариться по дворам и в подъездах</v>
      </c>
      <c r="P1445" s="6" t="str">
        <f>IFERROR(__xludf.DUMMYFUNCTION("""COMPUTED_VALUE"""),"Друзья, instagram")</f>
        <v>Друзья, instagram</v>
      </c>
      <c r="Q1445" s="6" t="str">
        <f>IFERROR(__xludf.DUMMYFUNCTION("""COMPUTED_VALUE"""),"интервью с местными творческими личностями, новости про новые профессии/куда поступать/вакансии")</f>
        <v>интервью с местными творческими личностями, новости про новые профессии/куда поступать/вакансии</v>
      </c>
      <c r="R1445" s="6" t="str">
        <f>IFERROR(__xludf.DUMMYFUNCTION("""COMPUTED_VALUE"""),"День Шахтёра, день города ")</f>
        <v>День Шахтёра, день города </v>
      </c>
      <c r="S1445" s="6" t="str">
        <f>IFERROR(__xludf.DUMMYFUNCTION("""COMPUTED_VALUE"""),"Нет, но очень хочу попробовать, по профессия я организатор работы с Молодёжью и очень хочу применить свои навыки и знания ")</f>
        <v>Нет, но очень хочу попробовать, по профессия я организатор работы с Молодёжью и очень хочу применить свои навыки и знания </v>
      </c>
      <c r="T1445" s="6" t="str">
        <f>IFERROR(__xludf.DUMMYFUNCTION("""COMPUTED_VALUE"""),"А. Леоновым, добычей угля, островком природы в центре города. ")</f>
        <v>А. Леоновым, добычей угля, островком природы в центре города. </v>
      </c>
      <c r="U1445" s="6" t="str">
        <f>IFERROR(__xludf.DUMMYFUNCTION("""COMPUTED_VALUE"""),"Район площади Советов")</f>
        <v>Район площади Советов</v>
      </c>
      <c r="V1445" s="6" t="str">
        <f>IFERROR(__xludf.DUMMYFUNCTION("""COMPUTED_VALUE"""),"Сложно ответить, я совсем недавно живу в городе, но Кемеровчане могут ")</f>
        <v>Сложно ответить, я совсем недавно живу в городе, но Кемеровчане могут </v>
      </c>
      <c r="W1445" s="6" t="str">
        <f>IFERROR(__xludf.DUMMYFUNCTION("""COMPUTED_VALUE"""),"Добрые, с виду суровые, но достаточно открытые. ""Долго запрягают, но быстро едут"" ")</f>
        <v>Добрые, с виду суровые, но достаточно открытые. "Долго запрягают, но быстро едут" </v>
      </c>
      <c r="X1445" s="6" t="str">
        <f>IFERROR(__xludf.DUMMYFUNCTION("""COMPUTED_VALUE"""),"Красная горка - парк чудес - набережная центрального района - Весенняя - площадь Волкова")</f>
        <v>Красная горка - парк чудес - набережная центрального района - Весенняя - площадь Волкова</v>
      </c>
      <c r="Y1445" s="6" t="str">
        <f>IFERROR(__xludf.DUMMYFUNCTION("""COMPUTED_VALUE"""),"Уголь нашли. На самом деле сложно событий много, тяжело выделить ""самое"" ")</f>
        <v>Уголь нашли. На самом деле сложно событий много, тяжело выделить "самое" </v>
      </c>
      <c r="Z1445" s="6" t="str">
        <f>IFERROR(__xludf.DUMMYFUNCTION("""COMPUTED_VALUE"""),"Много различных фестивалей, студвесна, ярмарки. ")</f>
        <v>Много различных фестивалей, студвесна, ярмарки. </v>
      </c>
      <c r="AA1445" s="6" t="str">
        <f>IFERROR(__xludf.DUMMYFUNCTION("""COMPUTED_VALUE"""),"Никаких ")</f>
        <v>Никаких </v>
      </c>
      <c r="AB1445" s="6" t="str">
        <f>IFERROR(__xludf.DUMMYFUNCTION("""COMPUTED_VALUE"""),"Творческих, театральных, по урбанистике, настольным играм: мне много чего интересно, хочется больше информации о тех, что уже есть. ")</f>
        <v>Творческих, театральных, по урбанистике, настольным играм: мне много чего интересно, хочется больше информации о тех, что уже есть. </v>
      </c>
      <c r="AC1445" s="6" t="str">
        <f>IFERROR(__xludf.DUMMYFUNCTION("""COMPUTED_VALUE"""),"Экскурсии, спектакли любительских театров, приглашать интересных личностей в город, урбанистов. Сделать музей, чтобы люди с отсутствием зрения могли посещать его. Создать портал,чтобы информацию не нужно было собирать, а она была в одном месте. Молодежные"&amp;" фестивали")</f>
        <v>Экскурсии, спектакли любительских театров, приглашать интересных личностей в город, урбанистов. Сделать музей, чтобы люди с отсутствием зрения могли посещать его. Создать портал,чтобы информацию не нужно было собирать, а она была в одном месте. Молодежные фестивали</v>
      </c>
      <c r="AD144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445" s="6" t="str">
        <f>IFERROR(__xludf.DUMMYFUNCTION("""COMPUTED_VALUE"""),"Женский")</f>
        <v>Женский</v>
      </c>
      <c r="AF1445" s="6" t="str">
        <f>IFERROR(__xludf.DUMMYFUNCTION("""COMPUTED_VALUE"""),"18-29")</f>
        <v>18-29</v>
      </c>
      <c r="AG1445" s="6"/>
      <c r="AH1445" s="6"/>
      <c r="AI1445" s="6"/>
      <c r="AJ1445" s="6"/>
      <c r="AK1445" s="6"/>
      <c r="AL1445" s="6"/>
      <c r="AM1445" s="6"/>
    </row>
    <row r="1446">
      <c r="A1446" s="6">
        <v>1445.0</v>
      </c>
      <c r="B1446" s="6" t="str">
        <f>IFERROR(__xludf.DUMMYFUNCTION("""COMPUTED_VALUE"""),"Брендинг, продвижение")</f>
        <v>Брендинг, продвижение</v>
      </c>
      <c r="C1446" s="6" t="str">
        <f>IFERROR(__xludf.DUMMYFUNCTION("""COMPUTED_VALUE"""),"Создавать пространства))")</f>
        <v>Создавать пространства))</v>
      </c>
      <c r="D1446" s="6" t="str">
        <f>IFERROR(__xludf.DUMMYFUNCTION("""COMPUTED_VALUE"""),"Родной район Южный (некоторые называли его ""никому ненужный"")")</f>
        <v>Родной район Южный (некоторые называли его "никому ненужный")</v>
      </c>
      <c r="E1446" s="6" t="str">
        <f>IFERROR(__xludf.DUMMYFUNCTION("""COMPUTED_VALUE"""),"Памятник Гагарину, Аллея Славы")</f>
        <v>Памятник Гагарину, Аллея Славы</v>
      </c>
      <c r="F1446" s="6" t="str">
        <f>IFERROR(__xludf.DUMMYFUNCTION("""COMPUTED_VALUE"""),"Живу здесь с рождения")</f>
        <v>Живу здесь с рождения</v>
      </c>
      <c r="G1446" s="6" t="str">
        <f>IFERROR(__xludf.DUMMYFUNCTION("""COMPUTED_VALUE"""),"Набережная")</f>
        <v>Набережная</v>
      </c>
      <c r="H1446" s="6" t="str">
        <f>IFERROR(__xludf.DUMMYFUNCTION("""COMPUTED_VALUE"""),"Маленький, уютный, ухоженный, родной, красивый")</f>
        <v>Маленький, уютный, ухоженный, родной, красивый</v>
      </c>
      <c r="I1446" s="6" t="str">
        <f>IFERROR(__xludf.DUMMYFUNCTION("""COMPUTED_VALUE"""),"Леонтьев. Волков.")</f>
        <v>Леонтьев. Волков.</v>
      </c>
      <c r="J1446" s="6" t="str">
        <f>IFERROR(__xludf.DUMMYFUNCTION("""COMPUTED_VALUE"""),"Кривко Ксюша")</f>
        <v>Кривко Ксюша</v>
      </c>
      <c r="K1446" s="6" t="str">
        <f>IFERROR(__xludf.DUMMYFUNCTION("""COMPUTED_VALUE"""),"Гора в Красновке, откуда виден весь город")</f>
        <v>Гора в Красновке, откуда виден весь город</v>
      </c>
      <c r="L1446" s="6" t="str">
        <f>IFERROR(__xludf.DUMMYFUNCTION("""COMPUTED_VALUE"""),"-")</f>
        <v>-</v>
      </c>
      <c r="M1446" s="6" t="str">
        <f>IFERROR(__xludf.DUMMYFUNCTION("""COMPUTED_VALUE"""),"-")</f>
        <v>-</v>
      </c>
      <c r="N1446" s="6" t="str">
        <f>IFERROR(__xludf.DUMMYFUNCTION("""COMPUTED_VALUE"""),"Чистота, ровные дороги и тротуары, ухоженная зелень, парки и детские площадки, красивые фасады зданий")</f>
        <v>Чистота, ровные дороги и тротуары, ухоженная зелень, парки и детские площадки, красивые фасады зданий</v>
      </c>
      <c r="O1446" s="6" t="str">
        <f>IFERROR(__xludf.DUMMYFUNCTION("""COMPUTED_VALUE"""),"Отремонтировать облицовку домов")</f>
        <v>Отремонтировать облицовку домов</v>
      </c>
      <c r="P1446" s="6" t="str">
        <f>IFERROR(__xludf.DUMMYFUNCTION("""COMPUTED_VALUE"""),"От друзей")</f>
        <v>От друзей</v>
      </c>
      <c r="Q1446" s="6" t="str">
        <f>IFERROR(__xludf.DUMMYFUNCTION("""COMPUTED_VALUE"""),"интервью с экспертами на разные темы (напишите в разделе Другое свои предложения)")</f>
        <v>интервью с экспертами на разные темы (напишите в разделе Другое свои предложения)</v>
      </c>
      <c r="R1446" s="6" t="str">
        <f>IFERROR(__xludf.DUMMYFUNCTION("""COMPUTED_VALUE"""),"Новый год, 9 мая, день города")</f>
        <v>Новый год, 9 мая, день города</v>
      </c>
      <c r="S1446" s="6" t="str">
        <f>IFERROR(__xludf.DUMMYFUNCTION("""COMPUTED_VALUE"""),"Сама организую мероприятия разных масштабов, имела свой информационный портал")</f>
        <v>Сама организую мероприятия разных масштабов, имела свой информационный портал</v>
      </c>
      <c r="T1446" s="6" t="str">
        <f>IFERROR(__xludf.DUMMYFUNCTION("""COMPUTED_VALUE"""),"Уголь))")</f>
        <v>Уголь))</v>
      </c>
      <c r="U1446" s="6" t="str">
        <f>IFERROR(__xludf.DUMMYFUNCTION("""COMPUTED_VALUE"""),"Набережная")</f>
        <v>Набережная</v>
      </c>
      <c r="V1446" s="6" t="str">
        <f>IFERROR(__xludf.DUMMYFUNCTION("""COMPUTED_VALUE"""),"Обустроили болото в благородную местность")</f>
        <v>Обустроили болото в благородную местность</v>
      </c>
      <c r="W1446" s="6" t="str">
        <f>IFERROR(__xludf.DUMMYFUNCTION("""COMPUTED_VALUE"""),"Добрые и дружные, все знакомые))")</f>
        <v>Добрые и дружные, все знакомые))</v>
      </c>
      <c r="X1446" s="6" t="str">
        <f>IFERROR(__xludf.DUMMYFUNCTION("""COMPUTED_VALUE"""),"Основные улицы: Набередная, опять же, Бульвар и ниже к кадетскому корпусу. Озеро красное. Сосновый бор.")</f>
        <v>Основные улицы: Набередная, опять же, Бульвар и ниже к кадетскому корпусу. Озеро красное. Сосновый бор.</v>
      </c>
      <c r="Y1446" s="6" t="str">
        <f>IFERROR(__xludf.DUMMYFUNCTION("""COMPUTED_VALUE"""),"Не знаю")</f>
        <v>Не знаю</v>
      </c>
      <c r="Z1446" s="6" t="str">
        <f>IFERROR(__xludf.DUMMYFUNCTION("""COMPUTED_VALUE"""),"Строительство новых крупных объектов")</f>
        <v>Строительство новых крупных объектов</v>
      </c>
      <c r="AA1446" s="6" t="str">
        <f>IFERROR(__xludf.DUMMYFUNCTION("""COMPUTED_VALUE"""),"Бизнес-центр на месте трагедии")</f>
        <v>Бизнес-центр на месте трагедии</v>
      </c>
      <c r="AB1446" s="6" t="str">
        <f>IFERROR(__xludf.DUMMYFUNCTION("""COMPUTED_VALUE"""),"Молодежных")</f>
        <v>Молодежных</v>
      </c>
      <c r="AC1446" s="6" t="str">
        <f>IFERROR(__xludf.DUMMYFUNCTION("""COMPUTED_VALUE"""),"Совместный труд, созидание нового")</f>
        <v>Совместный труд, созидание нового</v>
      </c>
      <c r="AD1446" s="6" t="str">
        <f>IFERROR(__xludf.DUMMYFUNCTION("""COMPUTED_VALUE"""),"Профессионала.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Запустить свой "&amp;"предпринимательский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446" s="6" t="str">
        <f>IFERROR(__xludf.DUMMYFUNCTION("""COMPUTED_VALUE"""),"Женский")</f>
        <v>Женский</v>
      </c>
      <c r="AF1446" s="6" t="str">
        <f>IFERROR(__xludf.DUMMYFUNCTION("""COMPUTED_VALUE"""),"30-44")</f>
        <v>30-44</v>
      </c>
      <c r="AG1446" s="6"/>
      <c r="AH1446" s="6"/>
      <c r="AI1446" s="6"/>
      <c r="AJ1446" s="6"/>
      <c r="AK1446" s="6"/>
      <c r="AL1446" s="6"/>
      <c r="AM1446" s="6"/>
    </row>
    <row r="1447">
      <c r="A1447" s="6">
        <v>1446.0</v>
      </c>
      <c r="B1447" s="6" t="str">
        <f>IFERROR(__xludf.DUMMYFUNCTION("""COMPUTED_VALUE"""),"Инженер по торговому оборудованию")</f>
        <v>Инженер по торговому оборудованию</v>
      </c>
      <c r="C1447" s="6" t="str">
        <f>IFERROR(__xludf.DUMMYFUNCTION("""COMPUTED_VALUE"""),"Сын")</f>
        <v>Сын</v>
      </c>
      <c r="D1447" s="6" t="str">
        <f>IFERROR(__xludf.DUMMYFUNCTION("""COMPUTED_VALUE"""),"Радуга")</f>
        <v>Радуга</v>
      </c>
      <c r="E1447" s="6" t="str">
        <f>IFERROR(__xludf.DUMMYFUNCTION("""COMPUTED_VALUE"""),"Бор, объект 1200")</f>
        <v>Бор, объект 1200</v>
      </c>
      <c r="F1447" s="6" t="str">
        <f>IFERROR(__xludf.DUMMYFUNCTION("""COMPUTED_VALUE"""),"Живу здесь с рождения")</f>
        <v>Живу здесь с рождения</v>
      </c>
      <c r="G1447" s="6" t="str">
        <f>IFERROR(__xludf.DUMMYFUNCTION("""COMPUTED_VALUE"""),"Если гулять, то в любой район кроме Южного и ФПК")</f>
        <v>Если гулять, то в любой район кроме Южного и ФПК</v>
      </c>
      <c r="H1447" s="6" t="str">
        <f>IFERROR(__xludf.DUMMYFUNCTION("""COMPUTED_VALUE"""),"Красивый, горы, лето, набережная, онкология")</f>
        <v>Красивый, горы, лето, набережная, онкология</v>
      </c>
      <c r="I1447" s="6" t="str">
        <f>IFERROR(__xludf.DUMMYFUNCTION("""COMPUTED_VALUE"""),"Трепов, Рутгерс, Ван Лохем, и т.д.:)")</f>
        <v>Трепов, Рутгерс, Ван Лохем, и т.д.:)</v>
      </c>
      <c r="J1447" s="6" t="str">
        <f>IFERROR(__xludf.DUMMYFUNCTION("""COMPUTED_VALUE"""),"Сергей Кукушкин, Михаил Багаев")</f>
        <v>Сергей Кукушкин, Михаил Багаев</v>
      </c>
      <c r="K1447" s="6" t="str">
        <f>IFERROR(__xludf.DUMMYFUNCTION("""COMPUTED_VALUE"""),"Музей ""Красная горка"", Объект 1200, Мемориал военнопленным – жертвам второй мировой войны")</f>
        <v>Музей "Красная горка", Объект 1200, Мемориал военнопленным – жертвам второй мировой войны</v>
      </c>
      <c r="L1447" s="6" t="str">
        <f>IFERROR(__xludf.DUMMYFUNCTION("""COMPUTED_VALUE"""),"-")</f>
        <v>-</v>
      </c>
      <c r="M1447" s="6" t="str">
        <f>IFERROR(__xludf.DUMMYFUNCTION("""COMPUTED_VALUE"""),"Драма, тарелка")</f>
        <v>Драма, тарелка</v>
      </c>
      <c r="N1447" s="6" t="str">
        <f>IFERROR(__xludf.DUMMYFUNCTION("""COMPUTED_VALUE"""),"Отсутствие апреля, ухоженность улиц и дворов, гладкий асфальт в пешеходных зонах, доступность товаров и услуг, наличие общественных мест отдыха")</f>
        <v>Отсутствие апреля, ухоженность улиц и дворов, гладкий асфальт в пешеходных зонах, доступность товаров и услуг, наличие общественных мест отдыха</v>
      </c>
      <c r="O1447" s="6" t="str">
        <f>IFERROR(__xludf.DUMMYFUNCTION("""COMPUTED_VALUE"""),"Гладкий асфальт в пешеходных зонах")</f>
        <v>Гладкий асфальт в пешеходных зонах</v>
      </c>
      <c r="P1447" s="6" t="str">
        <f>IFERROR(__xludf.DUMMYFUNCTION("""COMPUTED_VALUE"""),"https://www.instagram.com/eleven_spaces/ https://www.instagram.com/biblioteka42/ https://www.instagram.com/sci_siberia/ https://www.instagram.com/kemerovo_adm/ https://www.instagram.com/digital_kem/ https://www.instagram.com/vnutri_i_snarugi/")</f>
        <v>https://www.instagram.com/eleven_spaces/ https://www.instagram.com/biblioteka42/ https://www.instagram.com/sci_siberia/ https://www.instagram.com/kemerovo_adm/ https://www.instagram.com/digital_kem/ https://www.instagram.com/vnutri_i_snarugi/</v>
      </c>
      <c r="Q1447" s="6" t="str">
        <f>IFERROR(__xludf.DUMMYFUNCTION("""COMPUTED_VALUE"""),"куда пойти в свободное время,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"&amp;"(рейтинги/аналитика/тенденции)")</f>
        <v>куда пойти в свободное время,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447" s="6" t="str">
        <f>IFERROR(__xludf.DUMMYFUNCTION("""COMPUTED_VALUE"""),"Новый год:)")</f>
        <v>Новый год:)</v>
      </c>
      <c r="S1447"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Это было давно")</f>
        <v>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Это было давно</v>
      </c>
      <c r="T1447" s="6" t="str">
        <f>IFERROR(__xludf.DUMMYFUNCTION("""COMPUTED_VALUE"""),"В нынешнее время город знаменит трагедией в Зимней Вишне. Увы.")</f>
        <v>В нынешнее время город знаменит трагедией в Зимней Вишне. Увы.</v>
      </c>
      <c r="U1447" s="6" t="str">
        <f>IFERROR(__xludf.DUMMYFUNCTION("""COMPUTED_VALUE"""),"От Кирова до Мичурина")</f>
        <v>От Кирова до Мичурина</v>
      </c>
      <c r="V1447" s="6" t="str">
        <f>IFERROR(__xludf.DUMMYFUNCTION("""COMPUTED_VALUE"""),"Улучшали пространства вокруг себя, наполняли их смыслами.")</f>
        <v>Улучшали пространства вокруг себя, наполняли их смыслами.</v>
      </c>
      <c r="W1447" s="6" t="str">
        <f>IFERROR(__xludf.DUMMYFUNCTION("""COMPUTED_VALUE"""),"Культурные, воспитанные. Некультурные - не кемеровчане:)")</f>
        <v>Культурные, воспитанные. Некультурные - не кемеровчане:)</v>
      </c>
      <c r="X1447" s="6" t="str">
        <f>IFERROR(__xludf.DUMMYFUNCTION("""COMPUTED_VALUE"""),"По Советскому проспекту до площади Советов и затем в бар Бельгия.")</f>
        <v>По Советскому проспекту до площади Советов и затем в бар Бельгия.</v>
      </c>
      <c r="Y1447" s="6" t="str">
        <f>IFERROR(__xludf.DUMMYFUNCTION("""COMPUTED_VALUE"""),"Открытие месторождения угля.")</f>
        <v>Открытие месторождения угля.</v>
      </c>
      <c r="Z1447" s="6" t="str">
        <f>IFERROR(__xludf.DUMMYFUNCTION("""COMPUTED_VALUE"""),"Стройка августа 2020 на Площади Кузбасских историй")</f>
        <v>Стройка августа 2020 на Площади Кузбасских историй</v>
      </c>
      <c r="AA1447" s="6" t="str">
        <f>IFERROR(__xludf.DUMMYFUNCTION("""COMPUTED_VALUE"""),"Варвара ")</f>
        <v>Варвара </v>
      </c>
      <c r="AB1447" s="6" t="str">
        <f>IFERROR(__xludf.DUMMYFUNCTION("""COMPUTED_VALUE"""),"Клуба любителей 3D-печати")</f>
        <v>Клуба любителей 3D-печати</v>
      </c>
      <c r="AC1447" s="6" t="str">
        <f>IFERROR(__xludf.DUMMYFUNCTION("""COMPUTED_VALUE"""),"Стриты уличных музыкантов:)")</f>
        <v>Стриты уличных музыкантов:)</v>
      </c>
      <c r="AD144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непосредств"&amp;"енно во время реализации проекта, Коммуникатора: Готов задействовать свои знакомства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447" s="6" t="str">
        <f>IFERROR(__xludf.DUMMYFUNCTION("""COMPUTED_VALUE"""),"Мужской")</f>
        <v>Мужской</v>
      </c>
      <c r="AF1447" s="6" t="str">
        <f>IFERROR(__xludf.DUMMYFUNCTION("""COMPUTED_VALUE"""),"30-44")</f>
        <v>30-44</v>
      </c>
      <c r="AG1447" s="6"/>
      <c r="AH1447" s="6"/>
      <c r="AI1447" s="6"/>
      <c r="AJ1447" s="6"/>
      <c r="AK1447" s="6"/>
      <c r="AL1447" s="6"/>
      <c r="AM1447" s="6"/>
    </row>
    <row r="1448">
      <c r="A1448" s="6">
        <v>1447.0</v>
      </c>
      <c r="B1448" s="6" t="str">
        <f>IFERROR(__xludf.DUMMYFUNCTION("""COMPUTED_VALUE"""),"Гл бухгалтер в жилищной компании")</f>
        <v>Гл бухгалтер в жилищной компании</v>
      </c>
      <c r="C1448" s="6" t="str">
        <f>IFERROR(__xludf.DUMMYFUNCTION("""COMPUTED_VALUE"""),"Нет")</f>
        <v>Нет</v>
      </c>
      <c r="D1448" s="6" t="str">
        <f>IFERROR(__xludf.DUMMYFUNCTION("""COMPUTED_VALUE"""),"Центральный ")</f>
        <v>Центральный </v>
      </c>
      <c r="E1448" s="6" t="str">
        <f>IFERROR(__xludf.DUMMYFUNCTION("""COMPUTED_VALUE"""),"Пионерский бульвар ")</f>
        <v>Пионерский бульвар </v>
      </c>
      <c r="F1448" s="6" t="str">
        <f>IFERROR(__xludf.DUMMYFUNCTION("""COMPUTED_VALUE"""),"Переехал сюда из другого места (откуда? укажите в графе другое), Омск")</f>
        <v>Переехал сюда из другого места (откуда? укажите в графе другое), Омск</v>
      </c>
      <c r="G1448" s="6" t="str">
        <f>IFERROR(__xludf.DUMMYFUNCTION("""COMPUTED_VALUE"""),"Возле дома")</f>
        <v>Возле дома</v>
      </c>
      <c r="H1448" s="6" t="str">
        <f>IFERROR(__xludf.DUMMYFUNCTION("""COMPUTED_VALUE"""),"Хорошие дороги, власть близко к людям, дети плохо воспитаны, показушничество, выбросы")</f>
        <v>Хорошие дороги, власть близко к людям, дети плохо воспитаны, показушничество, выбросы</v>
      </c>
      <c r="I1448" s="6" t="str">
        <f>IFERROR(__xludf.DUMMYFUNCTION("""COMPUTED_VALUE"""),"Леонов, Тулеев")</f>
        <v>Леонов, Тулеев</v>
      </c>
      <c r="J1448" s="6" t="str">
        <f>IFERROR(__xludf.DUMMYFUNCTION("""COMPUTED_VALUE"""),"Говорят был раньше мэр очень хороший Михайлов вроде бы")</f>
        <v>Говорят был раньше мэр очень хороший Михайлов вроде бы</v>
      </c>
      <c r="K1448" s="6" t="str">
        <f>IFERROR(__xludf.DUMMYFUNCTION("""COMPUTED_VALUE"""),"Всех возим на экскурсию в Лесную Поляну))) ")</f>
        <v>Всех возим на экскурсию в Лесную Поляну))) </v>
      </c>
      <c r="L1448" s="6" t="str">
        <f>IFERROR(__xludf.DUMMYFUNCTION("""COMPUTED_VALUE"""),"Не знаю")</f>
        <v>Не знаю</v>
      </c>
      <c r="M1448" s="6" t="str">
        <f>IFERROR(__xludf.DUMMYFUNCTION("""COMPUTED_VALUE"""),"По первости А-канье напрягало, спустя 9 лет жизни здесь не слышу этого")</f>
        <v>По первости А-канье напрягало, спустя 9 лет жизни здесь не слышу этого</v>
      </c>
      <c r="N1448" s="6" t="str">
        <f>IFERROR(__xludf.DUMMYFUNCTION("""COMPUTED_VALUE"""),"Чистота, зелень, красивые скверы, строительство, доступность основного и дополнительного образования для детей (последнее даёт просадку) ")</f>
        <v>Чистота, зелень, красивые скверы, строительство, доступность основного и дополнительного образования для детей (последнее даёт просадку) </v>
      </c>
      <c r="O1448" s="6" t="str">
        <f>IFERROR(__xludf.DUMMYFUNCTION("""COMPUTED_VALUE"""),"Транспорт ходит до 20ч, не уехать позже, криминала много, выбросы, частник в центре, доп обр для детей очень дорогое")</f>
        <v>Транспорт ходит до 20ч, не уехать позже, криминала много, выбросы, частник в центре, доп обр для детей очень дорогое</v>
      </c>
      <c r="P1448" s="6" t="str">
        <f>IFERROR(__xludf.DUMMYFUNCTION("""COMPUTED_VALUE"""),"Блоги мэра, губернатора, вести42, областная больница")</f>
        <v>Блоги мэра, губернатора, вести42, областная больница</v>
      </c>
      <c r="Q1448" s="6" t="str">
        <f>IFERROR(__xludf.DUMMYFUNCTION("""COMPUTED_VALUE"""),"куда пойти в свободное время, городская афиша (кино/театр/концерты), интервью с местными предпринимателями")</f>
        <v>куда пойти в свободное время, городская афиша (кино/театр/концерты), интервью с местными предпринимателями</v>
      </c>
      <c r="R1448" s="6" t="str">
        <f>IFERROR(__xludf.DUMMYFUNCTION("""COMPUTED_VALUE"""),"Никакие, салют из окна смотрим, толкучку не любим ")</f>
        <v>Никакие, салют из окна смотрим, толкучку не любим </v>
      </c>
      <c r="S1448" s="6" t="str">
        <f>IFERROR(__xludf.DUMMYFUNCTION("""COMPUTED_VALUE"""),"Нет, не приходилось")</f>
        <v>Нет, не приходилось</v>
      </c>
      <c r="T1448" s="6" t="str">
        <f>IFERROR(__xludf.DUMMYFUNCTION("""COMPUTED_VALUE"""),"Много новых построенных красивых объектов, парки, скверы, бульвары")</f>
        <v>Много новых построенных красивых объектов, парки, скверы, бульвары</v>
      </c>
      <c r="U1448" s="6" t="str">
        <f>IFERROR(__xludf.DUMMYFUNCTION("""COMPUTED_VALUE"""),"Советский проспект от Кирова, площадь Советов, далее по дороге по Октябрьскому пр")</f>
        <v>Советский проспект от Кирова, площадь Советов, далее по дороге по Октябрьскому пр</v>
      </c>
      <c r="V1448" s="6" t="str">
        <f>IFERROR(__xludf.DUMMYFUNCTION("""COMPUTED_VALUE"""),"Не знаю")</f>
        <v>Не знаю</v>
      </c>
      <c r="W1448" s="6" t="str">
        <f>IFERROR(__xludf.DUMMYFUNCTION("""COMPUTED_VALUE"""),"Старшее поколение очень приветливое, молодёжь до 40 часто выпендреж, подростки рано взрослеют, дети началка жестокие и надменные часто встречаются. Молодёжь от 20 до 30 нравится своими амбициями, целями. ")</f>
        <v>Старшее поколение очень приветливое, молодёжь до 40 часто выпендреж, подростки рано взрослеют, дети началка жестокие и надменные часто встречаются. Молодёжь от 20 до 30 нравится своими амбициями, целями. </v>
      </c>
      <c r="X1448" s="6" t="str">
        <f>IFERROR(__xludf.DUMMYFUNCTION("""COMPUTED_VALUE"""),"Драмтеатр и далее до Гибдд, старый центр весь, лесная поляна, бульвар строителей, парк Ангелов... ")</f>
        <v>Драмтеатр и далее до Гибдд, старый центр весь, лесная поляна, бульвар строителей, парк Ангелов... </v>
      </c>
      <c r="Y1448" s="6" t="str">
        <f>IFERROR(__xludf.DUMMYFUNCTION("""COMPUTED_VALUE"""),"Не могу выделить ")</f>
        <v>Не могу выделить </v>
      </c>
      <c r="Z1448" s="6" t="str">
        <f>IFERROR(__xludf.DUMMYFUNCTION("""COMPUTED_VALUE"""),"Нет")</f>
        <v>Нет</v>
      </c>
      <c r="AA1448" s="6" t="str">
        <f>IFERROR(__xludf.DUMMYFUNCTION("""COMPUTED_VALUE"""),"Нет")</f>
        <v>Нет</v>
      </c>
      <c r="AB1448" s="6" t="str">
        <f>IFERROR(__xludf.DUMMYFUNCTION("""COMPUTED_VALUE"""),"Онко ")</f>
        <v>Онко </v>
      </c>
      <c r="AC1448" s="6" t="str">
        <f>IFERROR(__xludf.DUMMYFUNCTION("""COMPUTED_VALUE"""),"Балет в муз театре, в филармонии")</f>
        <v>Балет в муз театре, в филармонии</v>
      </c>
      <c r="AD144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448" s="6" t="str">
        <f>IFERROR(__xludf.DUMMYFUNCTION("""COMPUTED_VALUE"""),"Женский")</f>
        <v>Женский</v>
      </c>
      <c r="AF1448" s="6" t="str">
        <f>IFERROR(__xludf.DUMMYFUNCTION("""COMPUTED_VALUE"""),"30-44")</f>
        <v>30-44</v>
      </c>
      <c r="AG1448" s="6"/>
      <c r="AH1448" s="6"/>
      <c r="AI1448" s="6"/>
      <c r="AJ1448" s="6"/>
      <c r="AK1448" s="6"/>
      <c r="AL1448" s="6"/>
      <c r="AM1448" s="6"/>
    </row>
    <row r="1449">
      <c r="A1449" s="6">
        <v>1448.0</v>
      </c>
      <c r="B1449" s="6" t="str">
        <f>IFERROR(__xludf.DUMMYFUNCTION("""COMPUTED_VALUE"""),"Страхование")</f>
        <v>Страхование</v>
      </c>
      <c r="C1449" s="6" t="str">
        <f>IFERROR(__xludf.DUMMYFUNCTION("""COMPUTED_VALUE"""),"Кино, чтение")</f>
        <v>Кино, чтение</v>
      </c>
      <c r="D1449" s="6" t="str">
        <f>IFERROR(__xludf.DUMMYFUNCTION("""COMPUTED_VALUE"""),"Центр")</f>
        <v>Центр</v>
      </c>
      <c r="E1449" s="6" t="str">
        <f>IFERROR(__xludf.DUMMYFUNCTION("""COMPUTED_VALUE"""),"Памятник М. Волкову, сквер Юности, ЦУМ, Парк Чудес, Парк Антошка, Парк Жукова, Парк Ангелов, Набережная Томи, площадь Пушкина, Драмтеатр, Краеведческий музей")</f>
        <v>Памятник М. Волкову, сквер Юности, ЦУМ, Парк Чудес, Парк Антошка, Парк Жукова, Парк Ангелов, Набережная Томи, площадь Пушкина, Драмтеатр, Краеведческий музей</v>
      </c>
      <c r="F1449" s="6" t="str">
        <f>IFERROR(__xludf.DUMMYFUNCTION("""COMPUTED_VALUE"""),"Живу здесь с рождения")</f>
        <v>Живу здесь с рождения</v>
      </c>
      <c r="G1449" s="6" t="str">
        <f>IFERROR(__xludf.DUMMYFUNCTION("""COMPUTED_VALUE"""),"Набережная Томи, драмтеатр, Весенняя, парк Антошка, парк Жукова.")</f>
        <v>Набережная Томи, драмтеатр, Весенняя, парк Антошка, парк Жукова.</v>
      </c>
      <c r="H1449" s="6" t="str">
        <f>IFERROR(__xludf.DUMMYFUNCTION("""COMPUTED_VALUE"""),"Площадь Советов, площадь Волкова, Набережная Томи, Гостиница Кузбасс, Красная Горка")</f>
        <v>Площадь Советов, площадь Волкова, Набережная Томи, Гостиница Кузбасс, Красная Горка</v>
      </c>
      <c r="I1449" s="6" t="str">
        <f>IFERROR(__xludf.DUMMYFUNCTION("""COMPUTED_VALUE"""),"Подгорбунский, Штоколов, Раздаев, Тулеев, Бобров, Ушакова, Решетова, Барбараш, Клячкин")</f>
        <v>Подгорбунский, Штоколов, Раздаев, Тулеев, Бобров, Ушакова, Решетова, Барбараш, Клячкин</v>
      </c>
      <c r="J1449" s="6" t="str">
        <f>IFERROR(__xludf.DUMMYFUNCTION("""COMPUTED_VALUE"""),"Михайлов, Тулеев, Барбараш")</f>
        <v>Михайлов, Тулеев, Барбараш</v>
      </c>
      <c r="K1449" s="6" t="str">
        <f>IFERROR(__xludf.DUMMYFUNCTION("""COMPUTED_VALUE"""),"Город с горы где Крест")</f>
        <v>Город с горы где Крест</v>
      </c>
      <c r="L1449" s="6" t="str">
        <f>IFERROR(__xludf.DUMMYFUNCTION("""COMPUTED_VALUE"""),"Мал золотник, да дорог!")</f>
        <v>Мал золотник, да дорог!</v>
      </c>
      <c r="M1449" s="6" t="str">
        <f>IFERROR(__xludf.DUMMYFUNCTION("""COMPUTED_VALUE"""),"В общем городишко ничего")</f>
        <v>В общем городишко ничего</v>
      </c>
      <c r="N1449" s="6" t="str">
        <f>IFERROR(__xludf.DUMMYFUNCTION("""COMPUTED_VALUE"""),"Доступный транспорт, театр, набережная, дом, дворовая территория")</f>
        <v>Доступный транспорт, театр, набережная, дом, дворовая территория</v>
      </c>
      <c r="O1449" s="6" t="str">
        <f>IFERROR(__xludf.DUMMYFUNCTION("""COMPUTED_VALUE"""),"Работу РЭУ, ЖКХ, работу автотранспортных предприятий")</f>
        <v>Работу РЭУ, ЖКХ, работу автотранспортных предприятий</v>
      </c>
      <c r="P1449" s="6" t="str">
        <f>IFERROR(__xludf.DUMMYFUNCTION("""COMPUTED_VALUE"""),"Кузбасс Официально, Вести Кузбасс")</f>
        <v>Кузбасс Официально, Вести Кузбасс</v>
      </c>
      <c r="Q144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новости про новые профессии/куда поступать/вакансии,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449" s="6" t="str">
        <f>IFERROR(__xludf.DUMMYFUNCTION("""COMPUTED_VALUE"""),"Новый год, День города, День России, день Шахтера, День медика, День пограничника")</f>
        <v>Новый год, День города, День России, день Шахтера, День медика, День пограничника</v>
      </c>
      <c r="S1449" s="6" t="str">
        <f>IFERROR(__xludf.DUMMYFUNCTION("""COMPUTED_VALUE"""),"Нет, не приходилось")</f>
        <v>Нет, не приходилось</v>
      </c>
      <c r="T1449" s="6" t="str">
        <f>IFERROR(__xludf.DUMMYFUNCTION("""COMPUTED_VALUE"""),"Интересные люди творческие, известные актеры Елена Бабенко, Андрей Панин. ")</f>
        <v>Интересные люди творческие, известные актеры Елена Бабенко, Андрей Панин. </v>
      </c>
      <c r="U1449" s="6" t="str">
        <f>IFERROR(__xludf.DUMMYFUNCTION("""COMPUTED_VALUE"""),"Площадь Волкова")</f>
        <v>Площадь Волкова</v>
      </c>
      <c r="V1449" s="6" t="str">
        <f>IFERROR(__xludf.DUMMYFUNCTION("""COMPUTED_VALUE"""),"Стали известными на всю страну актерами")</f>
        <v>Стали известными на всю страну актерами</v>
      </c>
      <c r="W1449" s="6" t="str">
        <f>IFERROR(__xludf.DUMMYFUNCTION("""COMPUTED_VALUE"""),"Творческие, креативные, активные, надёжные")</f>
        <v>Творческие, креативные, активные, надёжные</v>
      </c>
      <c r="X1449" s="6" t="str">
        <f>IFERROR(__xludf.DUMMYFUNCTION("""COMPUTED_VALUE"""),"Набережная, парк Чудес, Весенняя, драмтеатр, фонтан, площадь Советов.")</f>
        <v>Набережная, парк Чудес, Весенняя, драмтеатр, фонтан, площадь Советов.</v>
      </c>
      <c r="Y1449" s="6" t="str">
        <f>IFERROR(__xludf.DUMMYFUNCTION("""COMPUTED_VALUE"""),"Чемпионат Бенди 1984.")</f>
        <v>Чемпионат Бенди 1984.</v>
      </c>
      <c r="Z1449" s="6" t="str">
        <f>IFERROR(__xludf.DUMMYFUNCTION("""COMPUTED_VALUE"""),"Парк Ангелов, строительство кадетского корпуса")</f>
        <v>Парк Ангелов, строительство кадетского корпуса</v>
      </c>
      <c r="AA1449" s="6" t="str">
        <f>IFERROR(__xludf.DUMMYFUNCTION("""COMPUTED_VALUE"""),"Зимняя вишня")</f>
        <v>Зимняя вишня</v>
      </c>
      <c r="AB1449" s="6" t="str">
        <f>IFERROR(__xludf.DUMMYFUNCTION("""COMPUTED_VALUE"""),"Сообщество медиков")</f>
        <v>Сообщество медиков</v>
      </c>
      <c r="AC1449" s="6" t="str">
        <f>IFERROR(__xludf.DUMMYFUNCTION("""COMPUTED_VALUE"""),"Концерты, театрализованных представлений")</f>
        <v>Концерты, театрализованных представлений</v>
      </c>
      <c r="AD144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Не готов принимать личное участие (укажите, пожалуйста, причину в поле «Другое»), "&amp;"Мероприятия по финансовой грамотности")</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Не готов принимать личное участие (укажите, пожалуйста, причину в поле «Другое»), Мероприятия по финансовой грамотности</v>
      </c>
      <c r="AE1449" s="6" t="str">
        <f>IFERROR(__xludf.DUMMYFUNCTION("""COMPUTED_VALUE"""),"Женский")</f>
        <v>Женский</v>
      </c>
      <c r="AF1449" s="6" t="str">
        <f>IFERROR(__xludf.DUMMYFUNCTION("""COMPUTED_VALUE"""),"45-55")</f>
        <v>45-55</v>
      </c>
      <c r="AG1449" s="6"/>
      <c r="AH1449" s="6"/>
      <c r="AI1449" s="6"/>
      <c r="AJ1449" s="6"/>
      <c r="AK1449" s="6"/>
      <c r="AL1449" s="6"/>
      <c r="AM1449" s="6"/>
    </row>
    <row r="1450">
      <c r="A1450" s="6">
        <v>1449.0</v>
      </c>
      <c r="B1450" s="6" t="str">
        <f>IFERROR(__xludf.DUMMYFUNCTION("""COMPUTED_VALUE"""),"Пенсионер")</f>
        <v>Пенсионер</v>
      </c>
      <c r="C1450" s="6" t="str">
        <f>IFERROR(__xludf.DUMMYFUNCTION("""COMPUTED_VALUE"""),"Вышивка, вязание, работа с бисером")</f>
        <v>Вышивка, вязание, работа с бисером</v>
      </c>
      <c r="D1450" s="6" t="str">
        <f>IFERROR(__xludf.DUMMYFUNCTION("""COMPUTED_VALUE"""),"Ленинский")</f>
        <v>Ленинский</v>
      </c>
      <c r="E1450" s="6" t="str">
        <f>IFERROR(__xludf.DUMMYFUNCTION("""COMPUTED_VALUE"""),"Бульвар Строителей, кинотеатр Юбилейный и парк при нем, озеро Красное")</f>
        <v>Бульвар Строителей, кинотеатр Юбилейный и парк при нем, озеро Красное</v>
      </c>
      <c r="F1450" s="6" t="str">
        <f>IFERROR(__xludf.DUMMYFUNCTION("""COMPUTED_VALUE"""),"Переехал сюда из другого места (откуда? укажите в графе другое), Приехала по распределению из Томска. Уроженка Прокопьевска")</f>
        <v>Переехал сюда из другого места (откуда? укажите в графе другое), Приехала по распределению из Томска. Уроженка Прокопьевска</v>
      </c>
      <c r="G1450" s="6" t="str">
        <f>IFERROR(__xludf.DUMMYFUNCTION("""COMPUTED_VALUE"""),"Бр Строителей, Сосновый бор, городской сад.")</f>
        <v>Бр Строителей, Сосновый бор, городской сад.</v>
      </c>
      <c r="H1450" s="6" t="str">
        <f>IFERROR(__xludf.DUMMYFUNCTION("""COMPUTED_VALUE"""),"Промышленная химия, Михайло Волков, Зимняя вишня, Юбилейный")</f>
        <v>Промышленная химия, Михайло Волков, Зимняя вишня, Юбилейный</v>
      </c>
      <c r="I1450" s="6" t="str">
        <f>IFERROR(__xludf.DUMMYFUNCTION("""COMPUTED_VALUE"""),"Михайло Волков, Рутгерс, Владимир Трепов, Вера Волошина.")</f>
        <v>Михайло Волков, Рутгерс, Владимир Трепов, Вера Волошина.</v>
      </c>
      <c r="J1450" s="6" t="str">
        <f>IFERROR(__xludf.DUMMYFUNCTION("""COMPUTED_VALUE"""),"Владимир Михайлов! Аман Тулеев, ")</f>
        <v>Владимир Михайлов! Аман Тулеев, </v>
      </c>
      <c r="K1450" s="6" t="str">
        <f>IFERROR(__xludf.DUMMYFUNCTION("""COMPUTED_VALUE"""),"Томская писаница, Лесная поляна, парк Ангелов")</f>
        <v>Томская писаница, Лесная поляна, парк Ангелов</v>
      </c>
      <c r="L1450" s="6" t="str">
        <f>IFERROR(__xludf.DUMMYFUNCTION("""COMPUTED_VALUE"""),"Не знаю таких")</f>
        <v>Не знаю таких</v>
      </c>
      <c r="M1450" s="6" t="str">
        <f>IFERROR(__xludf.DUMMYFUNCTION("""COMPUTED_VALUE"""),"Не знаю, к сожалению.")</f>
        <v>Не знаю, к сожалению.</v>
      </c>
      <c r="N1450" s="6" t="str">
        <f>IFERROR(__xludf.DUMMYFUNCTION("""COMPUTED_VALUE"""),"Чистота, много скверов и парков, транспортная доступность посещаемых мест, доступное и достойное медицинское обслуживание")</f>
        <v>Чистота, много скверов и парков, транспортная доступность посещаемых мест, доступное и достойное медицинское обслуживание</v>
      </c>
      <c r="O1450" s="6" t="str">
        <f>IFERROR(__xludf.DUMMYFUNCTION("""COMPUTED_VALUE"""),"Уменьшить в разы количество магазиноа пива, они создают впечатление очень пьющего города. Отремонтировать фасады домов с приведением в единый порядок балконов. Привести в порядок места сбора мусора. Убрать с фасадов Торговых центров излишнюю рекламу, очен"&amp;"ь напоминает базар. ")</f>
        <v>Уменьшить в разы количество магазиноа пива, они создают впечатление очень пьющего города. Отремонтировать фасады домов с приведением в единый порядок балконов. Привести в порядок места сбора мусора. Убрать с фасадов Торговых центров излишнюю рекламу, очень напоминает базар. </v>
      </c>
      <c r="P1450" s="6" t="str">
        <f>IFERROR(__xludf.DUMMYFUNCTION("""COMPUTED_VALUE"""),"ТВ, Интернет: Инстаграм, Одноклассники, новостные сайты.")</f>
        <v>ТВ, Интернет: Инстаграм, Одноклассники, новостные сайты.</v>
      </c>
      <c r="Q1450"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450" s="6" t="str">
        <f>IFERROR(__xludf.DUMMYFUNCTION("""COMPUTED_VALUE"""),"День Города, 9 мая.")</f>
        <v>День Города, 9 мая.</v>
      </c>
      <c r="S1450" s="6" t="str">
        <f>IFERROR(__xludf.DUMMYFUNCTION("""COMPUTED_VALUE"""),"Нет, не приходилось")</f>
        <v>Нет, не приходилось</v>
      </c>
      <c r="T1450" s="6" t="str">
        <f>IFERROR(__xludf.DUMMYFUNCTION("""COMPUTED_VALUE"""),"Известен своими людьми: Штоколов, Леонов, Гришковец, Тулеев")</f>
        <v>Известен своими людьми: Штоколов, Леонов, Гришковец, Тулеев</v>
      </c>
      <c r="U1450" s="6" t="str">
        <f>IFERROR(__xludf.DUMMYFUNCTION("""COMPUTED_VALUE"""),"Площадь Советов")</f>
        <v>Площадь Советов</v>
      </c>
      <c r="V1450" s="6" t="str">
        <f>IFERROR(__xludf.DUMMYFUNCTION("""COMPUTED_VALUE"""),"Создали свой маленький мир, в котором хочется жить. Правда, сейчас молодежь стремится его покинуть в поисках лучшего")</f>
        <v>Создали свой маленький мир, в котором хочется жить. Правда, сейчас молодежь стремится его покинуть в поисках лучшего</v>
      </c>
      <c r="W1450" s="6" t="str">
        <f>IFERROR(__xludf.DUMMYFUNCTION("""COMPUTED_VALUE"""),"Люди все разные, меняются во времени. Одним-двумя словами не охарактеризовать. Сейчас стали более практичными, жёсткими.")</f>
        <v>Люди все разные, меняются во времени. Одним-двумя словами не охарактеризовать. Сейчас стали более практичными, жёсткими.</v>
      </c>
      <c r="X1450" s="6" t="str">
        <f>IFERROR(__xludf.DUMMYFUNCTION("""COMPUTED_VALUE"""),"Парк Ангелов.")</f>
        <v>Парк Ангелов.</v>
      </c>
      <c r="Y1450" s="6" t="str">
        <f>IFERROR(__xludf.DUMMYFUNCTION("""COMPUTED_VALUE"""),"Самое значимое выделить сложно. Происходит множество событий и все для кого-то значимые.")</f>
        <v>Самое значимое выделить сложно. Происходит множество событий и все для кого-то значимые.</v>
      </c>
      <c r="Z1450" s="6" t="str">
        <f>IFERROR(__xludf.DUMMYFUNCTION("""COMPUTED_VALUE"""),"Благоустройство бульвара Строителей. Начало строительства площади Московской.")</f>
        <v>Благоустройство бульвара Строителей. Начало строительства площади Московской.</v>
      </c>
      <c r="AA1450" s="6" t="str">
        <f>IFERROR(__xludf.DUMMYFUNCTION("""COMPUTED_VALUE"""),"Каких то уж очень негативных не припомню")</f>
        <v>Каких то уж очень негативных не припомню</v>
      </c>
      <c r="AB1450" s="6" t="str">
        <f>IFERROR(__xludf.DUMMYFUNCTION("""COMPUTED_VALUE"""),"Мне лично хватает того, что есть.")</f>
        <v>Мне лично хватает того, что есть.</v>
      </c>
      <c r="AC1450" s="6" t="str">
        <f>IFERROR(__xludf.DUMMYFUNCTION("""COMPUTED_VALUE"""),"Надо придумать какие-то свои оригинальные праздники. День мороженого, день Рождения домового, фестиваль домашних любимцев... да мало ли чего можно придумать. Такой праздник должен быть только у нас.")</f>
        <v>Надо придумать какие-то свои оригинальные праздники. День мороженого, день Рождения домового, фестиваль домашних любимцев... да мало ли чего можно придумать. Такой праздник должен быть только у нас.</v>
      </c>
      <c r="AD1450" s="6" t="str">
        <f>IFERROR(__xludf.DUMMYFUNCTION("""COMPUTED_VALUE"""),"Могу быть только созерцателем и пассивным участником")</f>
        <v>Могу быть только созерцателем и пассивным участником</v>
      </c>
      <c r="AE1450" s="6" t="str">
        <f>IFERROR(__xludf.DUMMYFUNCTION("""COMPUTED_VALUE"""),"Женский")</f>
        <v>Женский</v>
      </c>
      <c r="AF1450" s="6" t="str">
        <f>IFERROR(__xludf.DUMMYFUNCTION("""COMPUTED_VALUE"""),"старше 55")</f>
        <v>старше 55</v>
      </c>
      <c r="AG1450" s="6"/>
      <c r="AH1450" s="6"/>
      <c r="AI1450" s="6"/>
      <c r="AJ1450" s="6"/>
      <c r="AK1450" s="6"/>
      <c r="AL1450" s="6"/>
      <c r="AM1450" s="6"/>
    </row>
    <row r="1451">
      <c r="A1451" s="6">
        <v>1450.0</v>
      </c>
      <c r="B1451" s="6" t="str">
        <f>IFERROR(__xludf.DUMMYFUNCTION("""COMPUTED_VALUE"""),"Безработный")</f>
        <v>Безработный</v>
      </c>
      <c r="C1451" s="6" t="str">
        <f>IFERROR(__xludf.DUMMYFUNCTION("""COMPUTED_VALUE"""),"Играть в видеоигры")</f>
        <v>Играть в видеоигры</v>
      </c>
      <c r="D1451" s="6" t="str">
        <f>IFERROR(__xludf.DUMMYFUNCTION("""COMPUTED_VALUE"""),"Центр")</f>
        <v>Центр</v>
      </c>
      <c r="E1451" s="6" t="str">
        <f>IFERROR(__xludf.DUMMYFUNCTION("""COMPUTED_VALUE"""),"«Зимняя вишня»")</f>
        <v>«Зимняя вишня»</v>
      </c>
      <c r="F1451"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1451" s="6" t="str">
        <f>IFERROR(__xludf.DUMMYFUNCTION("""COMPUTED_VALUE"""),"Магнит, Пятёрочка ")</f>
        <v>Магнит, Пятёрочка </v>
      </c>
      <c r="H1451" s="6" t="str">
        <f>IFERROR(__xludf.DUMMYFUNCTION("""COMPUTED_VALUE"""),"Трущобы, Киншаса, Продажный, 12300 (мин зп), город из золота (судя по ценам, тут всё из золота)")</f>
        <v>Трущобы, Киншаса, Продажный, 12300 (мин зп), город из золота (судя по ценам, тут всё из золота)</v>
      </c>
      <c r="I1451" s="6" t="str">
        <f>IFERROR(__xludf.DUMMYFUNCTION("""COMPUTED_VALUE"""),"Нет таких, меня не интересует прошлое, я живу настоящим")</f>
        <v>Нет таких, меня не интересует прошлое, я живу настоящим</v>
      </c>
      <c r="J1451" s="6" t="str">
        <f>IFERROR(__xludf.DUMMYFUNCTION("""COMPUTED_VALUE"""),"Нет таких, есть только «лучшие люди города» которые владеют угольной промышленностью (акцент на кавычки)")</f>
        <v>Нет таких, есть только «лучшие люди города» которые владеют угольной промышленностью (акцент на кавычки)</v>
      </c>
      <c r="K1451" s="6" t="str">
        <f>IFERROR(__xludf.DUMMYFUNCTION("""COMPUTED_VALUE"""),"Парк Ангелов, Искитимка")</f>
        <v>Парк Ангелов, Искитимка</v>
      </c>
      <c r="L1451" s="6" t="str">
        <f>IFERROR(__xludf.DUMMYFUNCTION("""COMPUTED_VALUE"""),"«Добрый путник войди, в славный город - Багдад»")</f>
        <v>«Добрый путник войди, в славный город - Багдад»</v>
      </c>
      <c r="M1451" s="6" t="str">
        <f>IFERROR(__xludf.DUMMYFUNCTION("""COMPUTED_VALUE"""),"«Я только освободился, дай денег домой уехать или дай телефон позвонить родне»")</f>
        <v>«Я только освободился, дай денег домой уехать или дай телефон позвонить родне»</v>
      </c>
      <c r="N1451" s="6" t="str">
        <f>IFERROR(__xludf.DUMMYFUNCTION("""COMPUTED_VALUE"""),"Абсолютный дискомфорт, небезопасно, грязно, дорого, цены космические, зарплаты маленькие, грязный воздух")</f>
        <v>Абсолютный дискомфорт, небезопасно, грязно, дорого, цены космические, зарплаты маленькие, грязный воздух</v>
      </c>
      <c r="O1451" s="6" t="str">
        <f>IFERROR(__xludf.DUMMYFUNCTION("""COMPUTED_VALUE"""),"Условия проживания, именно проживания, а не выживания")</f>
        <v>Условия проживания, именно проживания, а не выживания</v>
      </c>
      <c r="P1451" s="7" t="str">
        <f>IFERROR(__xludf.DUMMYFUNCTION("""COMPUTED_VALUE"""),"yandex.ru")</f>
        <v>yandex.ru</v>
      </c>
      <c r="Q1451" s="6" t="str">
        <f>IFERROR(__xludf.DUMMYFUNCTION("""COMPUTED_VALUE"""),"криминальные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451" s="6" t="str">
        <f>IFERROR(__xludf.DUMMYFUNCTION("""COMPUTED_VALUE"""),"Никакие, праздники не приносят деньги")</f>
        <v>Никакие, праздники не приносят деньги</v>
      </c>
      <c r="S1451" s="6" t="str">
        <f>IFERROR(__xludf.DUMMYFUNCTION("""COMPUTED_VALUE"""),"Нет, не приходилось")</f>
        <v>Нет, не приходилось</v>
      </c>
      <c r="T1451" s="6" t="str">
        <f>IFERROR(__xludf.DUMMYFUNCTION("""COMPUTED_VALUE"""),"Угольное сердце; Зимняя вишня")</f>
        <v>Угольное сердце; Зимняя вишня</v>
      </c>
      <c r="U1451" s="6" t="str">
        <f>IFERROR(__xludf.DUMMYFUNCTION("""COMPUTED_VALUE"""),"КузГТУ")</f>
        <v>КузГТУ</v>
      </c>
      <c r="V1451" s="6" t="str">
        <f>IFERROR(__xludf.DUMMYFUNCTION("""COMPUTED_VALUE"""),"Сколотили себе миллионное и миллиардное состояние (в Форбс можно их найти)")</f>
        <v>Сколотили себе миллионное и миллиардное состояние (в Форбс можно их найти)</v>
      </c>
      <c r="W1451" s="6" t="str">
        <f>IFERROR(__xludf.DUMMYFUNCTION("""COMPUTED_VALUE"""),"Серые; злые; жадные; вечно кто то куда торопится; эгоистичные; между рандомными людьми нету Мы, есть только Я и Он; ")</f>
        <v>Серые; злые; жадные; вечно кто то куда торопится; эгоистичные; между рандомными людьми нету Мы, есть только Я и Он; </v>
      </c>
      <c r="X1451" s="6" t="str">
        <f>IFERROR(__xludf.DUMMYFUNCTION("""COMPUTED_VALUE"""),"От ЖД Вокзала до Автовокзала, тут нету достопримечательностей")</f>
        <v>От ЖД Вокзала до Автовокзала, тут нету достопримечательностей</v>
      </c>
      <c r="Y1451" s="6" t="str">
        <f>IFERROR(__xludf.DUMMYFUNCTION("""COMPUTED_VALUE"""),"1943год, город Кемерово стал областным центром ")</f>
        <v>1943год, город Кемерово стал областным центром </v>
      </c>
      <c r="Z1451" s="6" t="str">
        <f>IFERROR(__xludf.DUMMYFUNCTION("""COMPUTED_VALUE"""),"Новый год и дни рождения ")</f>
        <v>Новый год и дни рождения </v>
      </c>
      <c r="AA1451" s="6" t="str">
        <f>IFERROR(__xludf.DUMMYFUNCTION("""COMPUTED_VALUE"""),"Сокращение рабочих мест, закрытие предприятий, закрытие малого и среднего бизнеса ")</f>
        <v>Сокращение рабочих мест, закрытие предприятий, закрытие малого и среднего бизнеса </v>
      </c>
      <c r="AB1451" s="6" t="str">
        <f>IFERROR(__xludf.DUMMYFUNCTION("""COMPUTED_VALUE"""),"Не надо ни каких сообществ")</f>
        <v>Не надо ни каких сообществ</v>
      </c>
      <c r="AC1451" s="6" t="str">
        <f>IFERROR(__xludf.DUMMYFUNCTION("""COMPUTED_VALUE"""),"Какие мероприятия? У людей нету на это время, а вместо того что бы тратиться на проведение мероприятий, лучше раздать деньги жителям, большенство в этом нуждается")</f>
        <v>Какие мероприятия? У людей нету на это время, а вместо того что бы тратиться на проведение мероприятий, лучше раздать деньги жителям, большенство в этом нуждается</v>
      </c>
      <c r="AD1451" s="6" t="str">
        <f>IFERROR(__xludf.DUMMYFUNCTION("""COMPUTED_VALUE"""),"Не готов принимать личное участие (укажите, пожалуйста, причину в поле «Другое»), Запустить свой предпринимательский проект, организовать компанию., Это пустая трата денег, которых и так нет, тогда выживать тут будет не на что")</f>
        <v>Не готов принимать личное участие (укажите, пожалуйста, причину в поле «Другое»), Запустить свой предпринимательский проект, организовать компанию., Это пустая трата денег, которых и так нет, тогда выживать тут будет не на что</v>
      </c>
      <c r="AE1451" s="6" t="str">
        <f>IFERROR(__xludf.DUMMYFUNCTION("""COMPUTED_VALUE"""),"Мужской")</f>
        <v>Мужской</v>
      </c>
      <c r="AF1451" s="6" t="str">
        <f>IFERROR(__xludf.DUMMYFUNCTION("""COMPUTED_VALUE"""),"18-29")</f>
        <v>18-29</v>
      </c>
      <c r="AG1451" s="6"/>
      <c r="AH1451" s="6"/>
      <c r="AI1451" s="6"/>
      <c r="AJ1451" s="6"/>
      <c r="AK1451" s="6"/>
      <c r="AL1451" s="6"/>
      <c r="AM1451" s="6"/>
    </row>
    <row r="1452">
      <c r="A1452" s="6">
        <v>1451.0</v>
      </c>
      <c r="B1452" s="6" t="str">
        <f>IFERROR(__xludf.DUMMYFUNCTION("""COMPUTED_VALUE"""),"Сфера логистики")</f>
        <v>Сфера логистики</v>
      </c>
      <c r="C1452" s="6" t="str">
        <f>IFERROR(__xludf.DUMMYFUNCTION("""COMPUTED_VALUE"""),"Спорт, активный отдых")</f>
        <v>Спорт, активный отдых</v>
      </c>
      <c r="D1452" s="6" t="str">
        <f>IFERROR(__xludf.DUMMYFUNCTION("""COMPUTED_VALUE"""),"ФПК")</f>
        <v>ФПК</v>
      </c>
      <c r="E1452" s="6" t="str">
        <f>IFERROR(__xludf.DUMMYFUNCTION("""COMPUTED_VALUE"""),"Проспект Молодежный.")</f>
        <v>Проспект Молодежный.</v>
      </c>
      <c r="F1452" s="6" t="str">
        <f>IFERROR(__xludf.DUMMYFUNCTION("""COMPUTED_VALUE"""),"Переехал сюда из другого места (откуда? укажите в графе другое), Прокопьевск, живу 9 лет")</f>
        <v>Переехал сюда из другого места (откуда? укажите в графе другое), Прокопьевск, живу 9 лет</v>
      </c>
      <c r="G1452" s="6" t="str">
        <f>IFERROR(__xludf.DUMMYFUNCTION("""COMPUTED_VALUE"""),"Сосновый бор, бульвар строителей, парк ангелов, набережная")</f>
        <v>Сосновый бор, бульвар строителей, парк ангелов, набережная</v>
      </c>
      <c r="H1452" s="6" t="str">
        <f>IFERROR(__xludf.DUMMYFUNCTION("""COMPUTED_VALUE"""),"Уютный, трудовой, молодой, амбициозный, центр Сибири")</f>
        <v>Уютный, трудовой, молодой, амбициозный, центр Сибири</v>
      </c>
      <c r="I1452" s="6" t="str">
        <f>IFERROR(__xludf.DUMMYFUNCTION("""COMPUTED_VALUE"""),"Михайло Волков")</f>
        <v>Михайло Волков</v>
      </c>
      <c r="J1452" s="6" t="str">
        <f>IFERROR(__xludf.DUMMYFUNCTION("""COMPUTED_VALUE"""),"Илья Середюк, Евгений Гришковец")</f>
        <v>Илья Середюк, Евгений Гришковец</v>
      </c>
      <c r="K1452" s="6" t="str">
        <f>IFERROR(__xludf.DUMMYFUNCTION("""COMPUTED_VALUE"""),"Красная горка, сосновый бор, бульвар строителей, парк ангелов")</f>
        <v>Красная горка, сосновый бор, бульвар строителей, парк ангелов</v>
      </c>
      <c r="L1452" s="6" t="str">
        <f>IFERROR(__xludf.DUMMYFUNCTION("""COMPUTED_VALUE"""),"Не знаю таких")</f>
        <v>Не знаю таких</v>
      </c>
      <c r="M1452" s="6" t="str">
        <f>IFERROR(__xludf.DUMMYFUNCTION("""COMPUTED_VALUE"""),"Нет")</f>
        <v>Нет</v>
      </c>
      <c r="N1452" s="6" t="str">
        <f>IFERROR(__xludf.DUMMYFUNCTION("""COMPUTED_VALUE"""),"Состояние окружающей среды, дорожная инфраструктура, доступность общественного транспорта, наличие разнообразных развлекательных учреждений, наличие интересных и красивых мест прогулок")</f>
        <v>Состояние окружающей среды, дорожная инфраструктура, доступность общественного транспорта, наличие разнообразных развлекательных учреждений, наличие интересных и красивых мест прогулок</v>
      </c>
      <c r="O1452" s="6" t="str">
        <f>IFERROR(__xludf.DUMMYFUNCTION("""COMPUTED_VALUE"""),"Улучшить состояние воздуха и окружающей среды")</f>
        <v>Улучшить состояние воздуха и окружающей среды</v>
      </c>
      <c r="P1452" s="6" t="str">
        <f>IFERROR(__xludf.DUMMYFUNCTION("""COMPUTED_VALUE"""),"Кузбасс онлайн, местные СМИ, Инстаграм")</f>
        <v>Кузбасс онлайн, местные СМИ, Инстаграм</v>
      </c>
      <c r="Q1452" s="6" t="str">
        <f>IFERROR(__xludf.DUMMYFUNCTION("""COMPUTED_VALUE"""),"интервью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452" s="6" t="str">
        <f>IFERROR(__xludf.DUMMYFUNCTION("""COMPUTED_VALUE"""),"День города")</f>
        <v>День города</v>
      </c>
      <c r="S1452" s="6" t="str">
        <f>IFERROR(__xludf.DUMMYFUNCTION("""COMPUTED_VALUE"""),"Нет, не приходилось")</f>
        <v>Нет, не приходилось</v>
      </c>
      <c r="T1452" s="6" t="str">
        <f>IFERROR(__xludf.DUMMYFUNCTION("""COMPUTED_VALUE"""),"Не сильно знаменит, наверное известен, к сожалению, с негативной точки зрения. Также минус огромный, что это единственный областной центр страны, не имеющий объездной дороги, поэтому кто едет на Байкал и далее проезжают город транзитом, не воспринимая его"&amp;" как нечто самобытное. Молодой советский город, но который активно развивается и содержит огромный потенциал в себе, например для бизнеса и открытия новых предприятий, не связанных с угольной отраслью. Выгодное географическое положение, все крупные города"&amp;" Сибири рядом. Уникальный сосновый бор, гордость города.")</f>
        <v>Не сильно знаменит, наверное известен, к сожалению, с негативной точки зрения. Также минус огромный, что это единственный областной центр страны, не имеющий объездной дороги, поэтому кто едет на Байкал и далее проезжают город транзитом, не воспринимая его как нечто самобытное. Молодой советский город, но который активно развивается и содержит огромный потенциал в себе, например для бизнеса и открытия новых предприятий, не связанных с угольной отраслью. Выгодное географическое положение, все крупные города Сибири рядом. Уникальный сосновый бор, гордость города.</v>
      </c>
      <c r="U1452" s="6" t="str">
        <f>IFERROR(__xludf.DUMMYFUNCTION("""COMPUTED_VALUE"""),"Я бы назвал площадь советов. ")</f>
        <v>Я бы назвал площадь советов. </v>
      </c>
      <c r="V1452" s="6" t="str">
        <f>IFERROR(__xludf.DUMMYFUNCTION("""COMPUTED_VALUE"""),"Построили промышленные гиганты химические. В целом построили промышленный регион, который является локомотивом развития экономики страны.")</f>
        <v>Построили промышленные гиганты химические. В целом построили промышленный регион, который является локомотивом развития экономики страны.</v>
      </c>
      <c r="W1452" s="6" t="str">
        <f>IFERROR(__xludf.DUMMYFUNCTION("""COMPUTED_VALUE"""),"Грубоватые, но в глубине души отзывчивые и добрые. Многие всегда готовы помочь на дороге или на улице. Много также  вежливых, воспитанных людей. Спасибо большому количеству вузов в городе. Кемеровчане требовательны к власти, по хорошему. Кемеровчане сейча"&amp;"с, это люди, которые живут надеждой на светлое будущее и успешное процветание своей Родины. Также в Кемерово и в целом в Кузбассе много патриотичных людей, которые гордятся свои регионом, его историей, своими предками, которые строили и осваивали Кузбасс."&amp;" ")</f>
        <v>Грубоватые, но в глубине души отзывчивые и добрые. Многие всегда готовы помочь на дороге или на улице. Много также  вежливых, воспитанных людей. Спасибо большому количеству вузов в городе. Кемеровчане требовательны к власти, по хорошему. Кемеровчане сейчас, это люди, которые живут надеждой на светлое будущее и успешное процветание своей Родины. Также в Кемерово и в целом в Кузбассе много патриотичных людей, которые гордятся свои регионом, его историей, своими предками, которые строили и осваивали Кузбасс. </v>
      </c>
      <c r="X1452" s="6" t="str">
        <f>IFERROR(__xludf.DUMMYFUNCTION("""COMPUTED_VALUE"""),"От вокзала к проспекту советскому, до площади советов, набережная, далее к парку ангелов, далее по Ленина до бульвара строителей, до гцс Кузбасс, далее до президентского училища. Потом в сосновый бор, пешая прогулка до смотровой площадки, где крест и букв"&amp;"ы Кузбасс, оттуда пешком до музея красная горка.")</f>
        <v>От вокзала к проспекту советскому, до площади советов, набережная, далее к парку ангелов, далее по Ленина до бульвара строителей, до гцс Кузбасс, далее до президентского училища. Потом в сосновый бор, пешая прогулка до смотровой площадки, где крест и буквы Кузбасс, оттуда пешком до музея красная горка.</v>
      </c>
      <c r="Y1452" s="6" t="str">
        <f>IFERROR(__xludf.DUMMYFUNCTION("""COMPUTED_VALUE"""),"Оно произойдет, празднование 300-летия промышленного освоения Кузбасса на федеральном уровне.")</f>
        <v>Оно произойдет, празднование 300-летия промышленного освоения Кузбасса на федеральном уровне.</v>
      </c>
      <c r="Z1452" s="6" t="str">
        <f>IFERROR(__xludf.DUMMYFUNCTION("""COMPUTED_VALUE"""),"Огромное количество новых уникальных инфраструктурных зданий, которые будут историческим наследием Кузбасса.(кадетское, кассационный суд например) и то, что строится сейчас. По сути сейчас город бурно цветет и преображается.")</f>
        <v>Огромное количество новых уникальных инфраструктурных зданий, которые будут историческим наследием Кузбасса.(кадетское, кассационный суд например) и то, что строится сейчас. По сути сейчас город бурно цветет и преображается.</v>
      </c>
      <c r="AA1452" s="6" t="str">
        <f>IFERROR(__xludf.DUMMYFUNCTION("""COMPUTED_VALUE"""),"Таких нет")</f>
        <v>Таких нет</v>
      </c>
      <c r="AB1452" s="6" t="str">
        <f>IFERROR(__xludf.DUMMYFUNCTION("""COMPUTED_VALUE"""),"Нет таких)")</f>
        <v>Нет таких)</v>
      </c>
      <c r="AC1452" s="6" t="str">
        <f>IFERROR(__xludf.DUMMYFUNCTION("""COMPUTED_VALUE"""),"Больше концертов разных хотелось бы) разнообразие культурного досуга пойдет на пользу кемеровчанам.")</f>
        <v>Больше концертов разных хотелось бы) разнообразие культурного досуга пойдет на пользу кемеровчанам.</v>
      </c>
      <c r="AD145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непосредств"&amp;"енно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452" s="6" t="str">
        <f>IFERROR(__xludf.DUMMYFUNCTION("""COMPUTED_VALUE"""),"Мужской")</f>
        <v>Мужской</v>
      </c>
      <c r="AF1452" s="6" t="str">
        <f>IFERROR(__xludf.DUMMYFUNCTION("""COMPUTED_VALUE"""),"18-29")</f>
        <v>18-29</v>
      </c>
      <c r="AG1452" s="6"/>
      <c r="AH1452" s="6"/>
      <c r="AI1452" s="6"/>
      <c r="AJ1452" s="6"/>
      <c r="AK1452" s="6"/>
      <c r="AL1452" s="6"/>
      <c r="AM1452" s="6"/>
    </row>
    <row r="1453">
      <c r="A1453" s="6">
        <v>1452.0</v>
      </c>
      <c r="B1453" s="6" t="str">
        <f>IFERROR(__xludf.DUMMYFUNCTION("""COMPUTED_VALUE"""),"ПАО Россети Сибирь бухгалтер ")</f>
        <v>ПАО Россети Сибирь бухгалтер </v>
      </c>
      <c r="C1453" s="6" t="str">
        <f>IFERROR(__xludf.DUMMYFUNCTION("""COMPUTED_VALUE"""),"Читаю")</f>
        <v>Читаю</v>
      </c>
      <c r="D1453" s="6" t="str">
        <f>IFERROR(__xludf.DUMMYFUNCTION("""COMPUTED_VALUE"""),"Центральный, так и называю Центр ")</f>
        <v>Центральный, так и называю Центр </v>
      </c>
      <c r="E1453" s="6" t="str">
        <f>IFERROR(__xludf.DUMMYFUNCTION("""COMPUTED_VALUE"""),"Площадь Волкова, парк ФЕДОРОВА, Парк Чудес.")</f>
        <v>Площадь Волкова, парк ФЕДОРОВА, Парк Чудес.</v>
      </c>
      <c r="F1453" s="6" t="str">
        <f>IFERROR(__xludf.DUMMYFUNCTION("""COMPUTED_VALUE"""),"Живу здесь с рождения")</f>
        <v>Живу здесь с рождения</v>
      </c>
      <c r="G1453" s="6" t="str">
        <f>IFERROR(__xludf.DUMMYFUNCTION("""COMPUTED_VALUE"""),"На набережную, на площадь Волкова, улица Весенняя")</f>
        <v>На набережную, на площадь Волкова, улица Весенняя</v>
      </c>
      <c r="H1453" s="6" t="str">
        <f>IFERROR(__xludf.DUMMYFUNCTION("""COMPUTED_VALUE"""),"Классный, родной, уютный, современный, интересный.")</f>
        <v>Классный, родной, уютный, современный, интересный.</v>
      </c>
      <c r="I1453" s="6" t="str">
        <f>IFERROR(__xludf.DUMMYFUNCTION("""COMPUTED_VALUE"""),"Михайлов Владимир Васильевич, Тулеев Аман Гумирович, Плотников Дмитрий Михайлович.")</f>
        <v>Михайлов Владимир Васильевич, Тулеев Аман Гумирович, Плотников Дмитрий Михайлович.</v>
      </c>
      <c r="J1453" s="6" t="str">
        <f>IFERROR(__xludf.DUMMYFUNCTION("""COMPUTED_VALUE"""),"Подгорбунский М. А. Врач хирург,  Раздаев В.А. Спортсмен футбол, Михайлов В.В. Мэр!")</f>
        <v>Подгорбунский М. А. Врач хирург,  Раздаев В.А. Спортсмен футбол, Михайлов В.В. Мэр!</v>
      </c>
      <c r="K1453" s="6" t="str">
        <f>IFERROR(__xludf.DUMMYFUNCTION("""COMPUTED_VALUE"""),"Библиотеку имени Фёдорова, площадь Волкова, первый корпус КУзПИ")</f>
        <v>Библиотеку имени Фёдорова, площадь Волкова, первый корпус КУзПИ</v>
      </c>
      <c r="L1453" s="6" t="str">
        <f>IFERROR(__xludf.DUMMYFUNCTION("""COMPUTED_VALUE"""),"Нет")</f>
        <v>Нет</v>
      </c>
      <c r="M1453" s="6" t="str">
        <f>IFERROR(__xludf.DUMMYFUNCTION("""COMPUTED_VALUE"""),"Нет")</f>
        <v>Нет</v>
      </c>
      <c r="N1453" s="6" t="str">
        <f>IFERROR(__xludf.DUMMYFUNCTION("""COMPUTED_VALUE"""),"Зелёная зона парков, тротуары, ухоженные цветочные клумбы, убранные от снега зимой, от грязи летом дороги,  красивые фасады жилых домов! Чистый воздух!")</f>
        <v>Зелёная зона парков, тротуары, ухоженные цветочные клумбы, убранные от снега зимой, от грязи летом дороги,  красивые фасады жилых домов! Чистый воздух!</v>
      </c>
      <c r="O1453" s="6" t="str">
        <f>IFERROR(__xludf.DUMMYFUNCTION("""COMPUTED_VALUE"""),"Создание единого Образа жилых домов по кварталам. Ремонт дворовых территорий. ")</f>
        <v>Создание единого Образа жилых домов по кварталам. Ремонт дворовых территорий. </v>
      </c>
      <c r="P1453" s="6" t="str">
        <f>IFERROR(__xludf.DUMMYFUNCTION("""COMPUTED_VALUE"""),"Инстограм, яндекс")</f>
        <v>Инстограм, яндекс</v>
      </c>
      <c r="Q1453" s="6" t="str">
        <f>IFERROR(__xludf.DUMMYFUNCTION("""COMPUTED_VALUE"""),"городская афиша (кино/театр/концерты), интервью с местными политиками, 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результаты местных "&amp;"исследований (рейтинги/аналитика/тенденции)")</f>
        <v>городская афиша (кино/театр/концерты), интервью с местными политиками, 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453" s="6" t="str">
        <f>IFERROR(__xludf.DUMMYFUNCTION("""COMPUTED_VALUE"""),"День Победы! День города.")</f>
        <v>День Победы! День города.</v>
      </c>
      <c r="S1453" s="6" t="str">
        <f>IFERROR(__xludf.DUMMYFUNCTION("""COMPUTED_VALUE"""),"Обращался в редакции городских газет, телевидения, радио")</f>
        <v>Обращался в редакции городских газет, телевидения, радио</v>
      </c>
      <c r="T1453" s="6" t="str">
        <f>IFERROR(__xludf.DUMMYFUNCTION("""COMPUTED_VALUE"""),"Зимней Вишней. Уникальность заключается в его компактном расположении.")</f>
        <v>Зимней Вишней. Уникальность заключается в его компактном расположении.</v>
      </c>
      <c r="U1453" s="6" t="str">
        <f>IFERROR(__xludf.DUMMYFUNCTION("""COMPUTED_VALUE"""),"ЖД Вокзал, площадь Советов. ")</f>
        <v>ЖД Вокзал, площадь Советов. </v>
      </c>
      <c r="V1453" s="6" t="str">
        <f>IFERROR(__xludf.DUMMYFUNCTION("""COMPUTED_VALUE"""),"Заводы КОКС, КЭМЗ, Прогресс, Азот, Карболит, шахты!!!")</f>
        <v>Заводы КОКС, КЭМЗ, Прогресс, Азот, Карболит, шахты!!!</v>
      </c>
      <c r="W1453" s="6" t="str">
        <f>IFERROR(__xludf.DUMMYFUNCTION("""COMPUTED_VALUE"""),"Угрюмые, добрые, не очень активные.")</f>
        <v>Угрюмые, добрые, не очень активные.</v>
      </c>
      <c r="X1453" s="6" t="str">
        <f>IFERROR(__xludf.DUMMYFUNCTION("""COMPUTED_VALUE"""),"Улица Весенняя, проспект Советский, площадь Пушкина, Притомская Набережная.")</f>
        <v>Улица Весенняя, проспект Советский, площадь Пушкина, Притомская Набережная.</v>
      </c>
      <c r="Y1453" s="6" t="str">
        <f>IFERROR(__xludf.DUMMYFUNCTION("""COMPUTED_VALUE"""),"Строительство  нового аэропорта!!!")</f>
        <v>Строительство  нового аэропорта!!!</v>
      </c>
      <c r="Z1453" s="6" t="str">
        <f>IFERROR(__xludf.DUMMYFUNCTION("""COMPUTED_VALUE"""),"строительство Ледового Дворца, новой набережной! Создание пляжа.")</f>
        <v>строительство Ледового Дворца, новой набережной! Создание пляжа.</v>
      </c>
      <c r="AA1453" s="6" t="str">
        <f>IFERROR(__xludf.DUMMYFUNCTION("""COMPUTED_VALUE"""),"Закрытие бассейна Лазурный, Пожар крыши при строительстве ледового дворца")</f>
        <v>Закрытие бассейна Лазурный, Пожар крыши при строительстве ледового дворца</v>
      </c>
      <c r="AB1453" s="6" t="str">
        <f>IFERROR(__xludf.DUMMYFUNCTION("""COMPUTED_VALUE"""),"Нет футбольного клуба, нет детского футбола.
")</f>
        <v>Нет футбольного клуба, нет детского футбола.
</v>
      </c>
      <c r="AC1453" s="6" t="str">
        <f>IFERROR(__xludf.DUMMYFUNCTION("""COMPUTED_VALUE"""),"ДСШ по футболу сформировать команду, Организации спортивных соревнований для детей!")</f>
        <v>ДСШ по футболу сформировать команду, Организации спортивных соревнований для детей!</v>
      </c>
      <c r="AD145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53" s="6" t="str">
        <f>IFERROR(__xludf.DUMMYFUNCTION("""COMPUTED_VALUE"""),"Женский")</f>
        <v>Женский</v>
      </c>
      <c r="AF1453" s="6" t="str">
        <f>IFERROR(__xludf.DUMMYFUNCTION("""COMPUTED_VALUE"""),"45-55")</f>
        <v>45-55</v>
      </c>
      <c r="AG1453" s="6"/>
      <c r="AH1453" s="6"/>
      <c r="AI1453" s="6"/>
      <c r="AJ1453" s="6"/>
      <c r="AK1453" s="6"/>
      <c r="AL1453" s="6"/>
      <c r="AM1453" s="6"/>
    </row>
    <row r="1454">
      <c r="A1454" s="6">
        <v>1453.0</v>
      </c>
      <c r="B1454" s="6" t="str">
        <f>IFERROR(__xludf.DUMMYFUNCTION("""COMPUTED_VALUE"""),"Безработный")</f>
        <v>Безработный</v>
      </c>
      <c r="C1454" s="6" t="str">
        <f>IFERROR(__xludf.DUMMYFUNCTION("""COMPUTED_VALUE"""),"Играть в видеоигры")</f>
        <v>Играть в видеоигры</v>
      </c>
      <c r="D1454" s="6" t="str">
        <f>IFERROR(__xludf.DUMMYFUNCTION("""COMPUTED_VALUE"""),"Центр")</f>
        <v>Центр</v>
      </c>
      <c r="E1454" s="6" t="str">
        <f>IFERROR(__xludf.DUMMYFUNCTION("""COMPUTED_VALUE"""),"«Зимняя вишня»")</f>
        <v>«Зимняя вишня»</v>
      </c>
      <c r="F1454"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1454" s="6" t="str">
        <f>IFERROR(__xludf.DUMMYFUNCTION("""COMPUTED_VALUE"""),"Магнит, Пятёрочка ")</f>
        <v>Магнит, Пятёрочка </v>
      </c>
      <c r="H1454" s="6" t="str">
        <f>IFERROR(__xludf.DUMMYFUNCTION("""COMPUTED_VALUE"""),"Трущобы, Киншаса, Продажный, 12300 (мин зп), город из золота (судя по ценам, тут всё из золота)")</f>
        <v>Трущобы, Киншаса, Продажный, 12300 (мин зп), город из золота (судя по ценам, тут всё из золота)</v>
      </c>
      <c r="I1454" s="6" t="str">
        <f>IFERROR(__xludf.DUMMYFUNCTION("""COMPUTED_VALUE"""),"Нет таких, меня не интересует прошлое, я живу настоящим")</f>
        <v>Нет таких, меня не интересует прошлое, я живу настоящим</v>
      </c>
      <c r="J1454" s="6" t="str">
        <f>IFERROR(__xludf.DUMMYFUNCTION("""COMPUTED_VALUE"""),"Нет таких, есть только «лучшие люди города» которые владеют угольной промышленностью (акцент на кавычки)")</f>
        <v>Нет таких, есть только «лучшие люди города» которые владеют угольной промышленностью (акцент на кавычки)</v>
      </c>
      <c r="K1454" s="6" t="str">
        <f>IFERROR(__xludf.DUMMYFUNCTION("""COMPUTED_VALUE"""),"Парк Ангелов, Искитимка")</f>
        <v>Парк Ангелов, Искитимка</v>
      </c>
      <c r="L1454" s="6" t="str">
        <f>IFERROR(__xludf.DUMMYFUNCTION("""COMPUTED_VALUE"""),"«Добрый путник войди, в славный город - Багдад»")</f>
        <v>«Добрый путник войди, в славный город - Багдад»</v>
      </c>
      <c r="M1454" s="6" t="str">
        <f>IFERROR(__xludf.DUMMYFUNCTION("""COMPUTED_VALUE"""),"«Я только освободился, дай денег домой уехать или дай телефон позвонить родне»")</f>
        <v>«Я только освободился, дай денег домой уехать или дай телефон позвонить родне»</v>
      </c>
      <c r="N1454" s="6" t="str">
        <f>IFERROR(__xludf.DUMMYFUNCTION("""COMPUTED_VALUE"""),"Абсолютный дискомфорт, небезопасно, грязно, дорого, цены космические, зарплаты маленькие, грязный воздух")</f>
        <v>Абсолютный дискомфорт, небезопасно, грязно, дорого, цены космические, зарплаты маленькие, грязный воздух</v>
      </c>
      <c r="O1454" s="6" t="str">
        <f>IFERROR(__xludf.DUMMYFUNCTION("""COMPUTED_VALUE"""),"Условия проживания, именно проживания, а не выживания")</f>
        <v>Условия проживания, именно проживания, а не выживания</v>
      </c>
      <c r="P1454" s="7" t="str">
        <f>IFERROR(__xludf.DUMMYFUNCTION("""COMPUTED_VALUE"""),"yandex.ru")</f>
        <v>yandex.ru</v>
      </c>
      <c r="Q1454" s="6" t="str">
        <f>IFERROR(__xludf.DUMMYFUNCTION("""COMPUTED_VALUE"""),"криминальные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454" s="6" t="str">
        <f>IFERROR(__xludf.DUMMYFUNCTION("""COMPUTED_VALUE"""),"Никакие, праздники не приносят деньги")</f>
        <v>Никакие, праздники не приносят деньги</v>
      </c>
      <c r="S1454" s="6" t="str">
        <f>IFERROR(__xludf.DUMMYFUNCTION("""COMPUTED_VALUE"""),"Нет, не приходилось")</f>
        <v>Нет, не приходилось</v>
      </c>
      <c r="T1454" s="6" t="str">
        <f>IFERROR(__xludf.DUMMYFUNCTION("""COMPUTED_VALUE"""),"Угольное сердце; Зимняя вишня")</f>
        <v>Угольное сердце; Зимняя вишня</v>
      </c>
      <c r="U1454" s="6" t="str">
        <f>IFERROR(__xludf.DUMMYFUNCTION("""COMPUTED_VALUE"""),"КузГТУ")</f>
        <v>КузГТУ</v>
      </c>
      <c r="V1454" s="6" t="str">
        <f>IFERROR(__xludf.DUMMYFUNCTION("""COMPUTED_VALUE"""),"Сколотили себе миллионное и миллиардное состояние (в Форбс можно их найти)")</f>
        <v>Сколотили себе миллионное и миллиардное состояние (в Форбс можно их найти)</v>
      </c>
      <c r="W1454" s="6" t="str">
        <f>IFERROR(__xludf.DUMMYFUNCTION("""COMPUTED_VALUE"""),"Серые; злые; жадные; вечно кто то куда торопится; эгоистичные; между рандомными людьми нету Мы, есть только Я и Он; ")</f>
        <v>Серые; злые; жадные; вечно кто то куда торопится; эгоистичные; между рандомными людьми нету Мы, есть только Я и Он; </v>
      </c>
      <c r="X1454" s="6" t="str">
        <f>IFERROR(__xludf.DUMMYFUNCTION("""COMPUTED_VALUE"""),"От ЖД Вокзала до Автовокзала, тут нету достопримечательностей")</f>
        <v>От ЖД Вокзала до Автовокзала, тут нету достопримечательностей</v>
      </c>
      <c r="Y1454" s="6" t="str">
        <f>IFERROR(__xludf.DUMMYFUNCTION("""COMPUTED_VALUE"""),"1943год, город Кемерово стал областным центром ")</f>
        <v>1943год, город Кемерово стал областным центром </v>
      </c>
      <c r="Z1454" s="6" t="str">
        <f>IFERROR(__xludf.DUMMYFUNCTION("""COMPUTED_VALUE"""),"Новый год и дни рождения ")</f>
        <v>Новый год и дни рождения </v>
      </c>
      <c r="AA1454" s="6" t="str">
        <f>IFERROR(__xludf.DUMMYFUNCTION("""COMPUTED_VALUE"""),"Сокращение рабочих мест, закрытие предприятий, закрытие малого и среднего бизнеса ")</f>
        <v>Сокращение рабочих мест, закрытие предприятий, закрытие малого и среднего бизнеса </v>
      </c>
      <c r="AB1454" s="6" t="str">
        <f>IFERROR(__xludf.DUMMYFUNCTION("""COMPUTED_VALUE"""),"Не надо ни каких сообществ")</f>
        <v>Не надо ни каких сообществ</v>
      </c>
      <c r="AC1454" s="6" t="str">
        <f>IFERROR(__xludf.DUMMYFUNCTION("""COMPUTED_VALUE"""),"Какие мероприятия? У людей нету на это время, а вместо того что бы тратиться на проведение мероприятий, лучше раздать деньги жителям, большенство в этом нуждается")</f>
        <v>Какие мероприятия? У людей нету на это время, а вместо того что бы тратиться на проведение мероприятий, лучше раздать деньги жителям, большенство в этом нуждается</v>
      </c>
      <c r="AD1454" s="6" t="str">
        <f>IFERROR(__xludf.DUMMYFUNCTION("""COMPUTED_VALUE"""),"Не готов принимать личное участие (укажите, пожалуйста, причину в поле «Другое»), Запустить свой предпринимательский проект, организовать компанию., Это пустая трата денег, которых и так нет, тогда выживать тут будет не на что")</f>
        <v>Не готов принимать личное участие (укажите, пожалуйста, причину в поле «Другое»), Запустить свой предпринимательский проект, организовать компанию., Это пустая трата денег, которых и так нет, тогда выживать тут будет не на что</v>
      </c>
      <c r="AE1454" s="6" t="str">
        <f>IFERROR(__xludf.DUMMYFUNCTION("""COMPUTED_VALUE"""),"Мужской")</f>
        <v>Мужской</v>
      </c>
      <c r="AF1454" s="6" t="str">
        <f>IFERROR(__xludf.DUMMYFUNCTION("""COMPUTED_VALUE"""),"18-29")</f>
        <v>18-29</v>
      </c>
      <c r="AG1454" s="6"/>
      <c r="AH1454" s="6"/>
      <c r="AI1454" s="6"/>
      <c r="AJ1454" s="6"/>
      <c r="AK1454" s="6"/>
      <c r="AL1454" s="6"/>
      <c r="AM1454" s="6"/>
    </row>
    <row r="1455">
      <c r="A1455" s="6">
        <v>1454.0</v>
      </c>
      <c r="B1455" s="6" t="str">
        <f>IFERROR(__xludf.DUMMYFUNCTION("""COMPUTED_VALUE"""),"Ремонт")</f>
        <v>Ремонт</v>
      </c>
      <c r="C1455" s="6" t="str">
        <f>IFERROR(__xludf.DUMMYFUNCTION("""COMPUTED_VALUE"""),"Кино, спорт")</f>
        <v>Кино, спорт</v>
      </c>
      <c r="D1455" s="6" t="str">
        <f>IFERROR(__xludf.DUMMYFUNCTION("""COMPUTED_VALUE"""),"Металлплощадка")</f>
        <v>Металлплощадка</v>
      </c>
      <c r="E1455" s="6" t="str">
        <f>IFERROR(__xludf.DUMMYFUNCTION("""COMPUTED_VALUE"""),"Наш парк")</f>
        <v>Наш парк</v>
      </c>
      <c r="F1455" s="6" t="str">
        <f>IFERROR(__xludf.DUMMYFUNCTION("""COMPUTED_VALUE"""),"Живу здесь с рождения")</f>
        <v>Живу здесь с рождения</v>
      </c>
      <c r="G1455" s="6" t="str">
        <f>IFERROR(__xludf.DUMMYFUNCTION("""COMPUTED_VALUE"""),"Набережная, бульвар строителей")</f>
        <v>Набережная, бульвар строителей</v>
      </c>
      <c r="H1455" s="6" t="str">
        <f>IFERROR(__xludf.DUMMYFUNCTION("""COMPUTED_VALUE"""),"Уголь, Сибирь, снег, Цивелев, 300 лет Кузбасс")</f>
        <v>Уголь, Сибирь, снег, Цивелев, 300 лет Кузбасс</v>
      </c>
      <c r="I1455" s="6" t="str">
        <f>IFERROR(__xludf.DUMMYFUNCTION("""COMPUTED_VALUE"""),"Михайлов, Тулеев")</f>
        <v>Михайлов, Тулеев</v>
      </c>
      <c r="J1455" s="6" t="str">
        <f>IFERROR(__xludf.DUMMYFUNCTION("""COMPUTED_VALUE"""),"Цивелев")</f>
        <v>Цивелев</v>
      </c>
      <c r="K1455" s="6" t="str">
        <f>IFERROR(__xludf.DUMMYFUNCTION("""COMPUTED_VALUE"""),"Памятник шахтерам")</f>
        <v>Памятник шахтерам</v>
      </c>
      <c r="L1455" s="6" t="str">
        <f>IFERROR(__xludf.DUMMYFUNCTION("""COMPUTED_VALUE"""),"Сделал дело-гуляй смело")</f>
        <v>Сделал дело-гуляй смело</v>
      </c>
      <c r="M1455" s="6" t="str">
        <f>IFERROR(__xludf.DUMMYFUNCTION("""COMPUTED_VALUE"""),"Яшка, лапа (торговые центры) ; шалготарьян-шалго-шанхай (район) ")</f>
        <v>Яшка, лапа (торговые центры) ; шалготарьян-шалго-шанхай (район) </v>
      </c>
      <c r="N1455" s="6" t="str">
        <f>IFERROR(__xludf.DUMMYFUNCTION("""COMPUTED_VALUE"""),"Чистота, хорошие дороги, освещение, доступное жилье, прогулочные зоны. ")</f>
        <v>Чистота, хорошие дороги, освещение, доступное жилье, прогулочные зоны. </v>
      </c>
      <c r="O1455" s="6" t="str">
        <f>IFERROR(__xludf.DUMMYFUNCTION("""COMPUTED_VALUE"""),"Чистота")</f>
        <v>Чистота</v>
      </c>
      <c r="P1455" s="6" t="str">
        <f>IFERROR(__xludf.DUMMYFUNCTION("""COMPUTED_VALUE"""),"Интернет - инстаграм ")</f>
        <v>Интернет - инстаграм </v>
      </c>
      <c r="Q1455" s="6" t="str">
        <f>IFERROR(__xludf.DUMMYFUNCTION("""COMPUTED_VALUE"""),"Ремонт и открытие различных объектов")</f>
        <v>Ремонт и открытие различных объектов</v>
      </c>
      <c r="R1455" s="6" t="str">
        <f>IFERROR(__xludf.DUMMYFUNCTION("""COMPUTED_VALUE"""),"День города")</f>
        <v>День города</v>
      </c>
      <c r="S1455" s="6" t="str">
        <f>IFERROR(__xludf.DUMMYFUNCTION("""COMPUTED_VALUE"""),"Писал и расклеивал объявления/афиши")</f>
        <v>Писал и расклеивал объявления/афиши</v>
      </c>
      <c r="T1455" s="6" t="str">
        <f>IFERROR(__xludf.DUMMYFUNCTION("""COMPUTED_VALUE"""),"Угольная столица России")</f>
        <v>Угольная столица России</v>
      </c>
      <c r="U1455" s="6" t="str">
        <f>IFERROR(__xludf.DUMMYFUNCTION("""COMPUTED_VALUE"""),"Центр города, драмтеатр ")</f>
        <v>Центр города, драмтеатр </v>
      </c>
      <c r="V1455" s="6" t="str">
        <f>IFERROR(__xludf.DUMMYFUNCTION("""COMPUTED_VALUE"""),"Труд")</f>
        <v>Труд</v>
      </c>
      <c r="W1455" s="6" t="str">
        <f>IFERROR(__xludf.DUMMYFUNCTION("""COMPUTED_VALUE"""),"Трудолюбивые, отзывчивые, миролюбивые")</f>
        <v>Трудолюбивые, отзывчивые, миролюбивые</v>
      </c>
      <c r="X1455" s="6" t="str">
        <f>IFERROR(__xludf.DUMMYFUNCTION("""COMPUTED_VALUE"""),"Сосновый бор")</f>
        <v>Сосновый бор</v>
      </c>
      <c r="Y1455" s="6" t="str">
        <f>IFERROR(__xludf.DUMMYFUNCTION("""COMPUTED_VALUE"""),"Добыча угля")</f>
        <v>Добыча угля</v>
      </c>
      <c r="Z1455" s="6" t="str">
        <f>IFERROR(__xludf.DUMMYFUNCTION("""COMPUTED_VALUE"""),"Мощное строительство новых объектов социальной сферы")</f>
        <v>Мощное строительство новых объектов социальной сферы</v>
      </c>
      <c r="AA1455" s="6" t="str">
        <f>IFERROR(__xludf.DUMMYFUNCTION("""COMPUTED_VALUE"""),"Ямы на дорогах, мусор")</f>
        <v>Ямы на дорогах, мусор</v>
      </c>
      <c r="AB1455" s="6" t="str">
        <f>IFERROR(__xludf.DUMMYFUNCTION("""COMPUTED_VALUE"""),"Сообщества по социальной сфере, ")</f>
        <v>Сообщества по социальной сфере, </v>
      </c>
      <c r="AC1455" s="6" t="str">
        <f>IFERROR(__xludf.DUMMYFUNCTION("""COMPUTED_VALUE"""),"Масштабные объединяющие людей концерты. ")</f>
        <v>Масштабные объединяющие людей концерты. </v>
      </c>
      <c r="AD1455"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455" s="6" t="str">
        <f>IFERROR(__xludf.DUMMYFUNCTION("""COMPUTED_VALUE"""),"Мужской")</f>
        <v>Мужской</v>
      </c>
      <c r="AF1455" s="6" t="str">
        <f>IFERROR(__xludf.DUMMYFUNCTION("""COMPUTED_VALUE"""),"30-44")</f>
        <v>30-44</v>
      </c>
      <c r="AG1455" s="6"/>
      <c r="AH1455" s="6"/>
      <c r="AI1455" s="6"/>
      <c r="AJ1455" s="6"/>
      <c r="AK1455" s="6"/>
      <c r="AL1455" s="6"/>
      <c r="AM1455" s="6"/>
    </row>
    <row r="1456">
      <c r="A1456" s="6">
        <v>1455.0</v>
      </c>
      <c r="B1456" s="6" t="str">
        <f>IFERROR(__xludf.DUMMYFUNCTION("""COMPUTED_VALUE"""),"Работаю")</f>
        <v>Работаю</v>
      </c>
      <c r="C1456" s="6" t="str">
        <f>IFERROR(__xludf.DUMMYFUNCTION("""COMPUTED_VALUE"""),"Работаю")</f>
        <v>Работаю</v>
      </c>
      <c r="D1456" s="6" t="str">
        <f>IFERROR(__xludf.DUMMYFUNCTION("""COMPUTED_VALUE"""),"Радуга")</f>
        <v>Радуга</v>
      </c>
      <c r="E1456" s="6" t="str">
        <f>IFERROR(__xludf.DUMMYFUNCTION("""COMPUTED_VALUE"""),"Бор")</f>
        <v>Бор</v>
      </c>
      <c r="F1456" s="6" t="str">
        <f>IFERROR(__xludf.DUMMYFUNCTION("""COMPUTED_VALUE"""),"Живу здесь с рождения")</f>
        <v>Живу здесь с рождения</v>
      </c>
      <c r="G1456" s="6" t="str">
        <f>IFERROR(__xludf.DUMMYFUNCTION("""COMPUTED_VALUE"""),"Бор")</f>
        <v>Бор</v>
      </c>
      <c r="H1456" s="6" t="str">
        <f>IFERROR(__xludf.DUMMYFUNCTION("""COMPUTED_VALUE"""),"Грязь,  нечем дышать,  злые и не образованные люди, нищета, безнадега ")</f>
        <v>Грязь,  нечем дышать,  злые и не образованные люди, нищета, безнадега </v>
      </c>
      <c r="I1456" s="6" t="str">
        <f>IFERROR(__xludf.DUMMYFUNCTION("""COMPUTED_VALUE"""),"Подгорбунский, Ушакова,  Александров ")</f>
        <v>Подгорбунский, Ушакова,  Александров </v>
      </c>
      <c r="J1456" s="6" t="str">
        <f>IFERROR(__xludf.DUMMYFUNCTION("""COMPUTED_VALUE"""),"Леонов, Михайлов, Найдов")</f>
        <v>Леонов, Михайлов, Найдов</v>
      </c>
      <c r="K1456" s="6" t="str">
        <f>IFERROR(__xludf.DUMMYFUNCTION("""COMPUTED_VALUE"""),"Бор, Красная горка, набережная реки Томь левый берег, музей- заповедник Томская писаница. ")</f>
        <v>Бор, Красная горка, набережная реки Томь левый берег, музей- заповедник Томская писаница. </v>
      </c>
      <c r="L1456" s="6" t="str">
        <f>IFERROR(__xludf.DUMMYFUNCTION("""COMPUTED_VALUE"""),"У нас 16 век")</f>
        <v>У нас 16 век</v>
      </c>
      <c r="M1456" s="6" t="str">
        <f>IFERROR(__xludf.DUMMYFUNCTION("""COMPUTED_VALUE"""),"Нет ")</f>
        <v>Нет </v>
      </c>
      <c r="N1456" s="6" t="str">
        <f>IFERROR(__xludf.DUMMYFUNCTION("""COMPUTED_VALUE"""),"Отсутствие транзитного транспорта. Хороший транспортный трафик внутри города. Нормальная Детская поликлиника,  а  не это убожество в Рудничном районе. Парки и места для прогулок. В конце концов аквапарк. ")</f>
        <v>Отсутствие транзитного транспорта. Хороший транспортный трафик внутри города. Нормальная Детская поликлиника,  а  не это убожество в Рудничном районе. Парки и места для прогулок. В конце концов аквапарк. </v>
      </c>
      <c r="O1456" s="6" t="str">
        <f>IFERROR(__xludf.DUMMYFUNCTION("""COMPUTED_VALUE"""),"Поднять уровень зарплаты. ")</f>
        <v>Поднять уровень зарплаты. </v>
      </c>
      <c r="P1456" s="6" t="str">
        <f>IFERROR(__xludf.DUMMYFUNCTION("""COMPUTED_VALUE"""),"Инстаграм, яндекс новости")</f>
        <v>Инстаграм, яндекс новости</v>
      </c>
      <c r="Q1456" s="6" t="str">
        <f>IFERROR(__xludf.DUMMYFUNCTION("""COMPUTED_VALUE"""),"куда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 Образование,  здравоохранение ")</f>
        <v>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 Образование,  здравоохранение </v>
      </c>
      <c r="R1456" s="6" t="str">
        <f>IFERROR(__xludf.DUMMYFUNCTION("""COMPUTED_VALUE"""),"День Победы ")</f>
        <v>День Победы </v>
      </c>
      <c r="S1456" s="6" t="str">
        <f>IFERROR(__xludf.DUMMYFUNCTION("""COMPUTED_VALUE"""),"Нет, не приходилось")</f>
        <v>Нет, не приходилось</v>
      </c>
      <c r="T1456" s="6" t="str">
        <f>IFERROR(__xludf.DUMMYFUNCTION("""COMPUTED_VALUE"""),"Чёрный снег и отсутствие нормального воздуха. Отсталость практически по всем направлениям. Зимняя вишня. ")</f>
        <v>Чёрный снег и отсутствие нормального воздуха. Отсталость практически по всем направлениям. Зимняя вишня. </v>
      </c>
      <c r="U1456" s="6" t="str">
        <f>IFERROR(__xludf.DUMMYFUNCTION("""COMPUTED_VALUE"""),"Набережная реки Томь, левый берег. Площадь перед драматическим театром.")</f>
        <v>Набережная реки Томь, левый берег. Площадь перед драматическим театром.</v>
      </c>
      <c r="V1456" s="6" t="str">
        <f>IFERROR(__xludf.DUMMYFUNCTION("""COMPUTED_VALUE"""),"Гришковец, Леонов,  Бабенко")</f>
        <v>Гришковец, Леонов,  Бабенко</v>
      </c>
      <c r="W1456" s="6" t="str">
        <f>IFERROR(__xludf.DUMMYFUNCTION("""COMPUTED_VALUE"""),"Злые и не образованные, скандальные и не терпеливые ")</f>
        <v>Злые и не образованные, скандальные и не терпеливые </v>
      </c>
      <c r="X1456" s="6" t="str">
        <f>IFERROR(__xludf.DUMMYFUNCTION("""COMPUTED_VALUE"""),"Набережная Томи, площадь Пушкина, проспект Советский ")</f>
        <v>Набережная Томи, площадь Пушкина, проспект Советский </v>
      </c>
      <c r="Y1456" s="6" t="str">
        <f>IFERROR(__xludf.DUMMYFUNCTION("""COMPUTED_VALUE"""),"Во время войны эвакуировали заводы.")</f>
        <v>Во время войны эвакуировали заводы.</v>
      </c>
      <c r="Z1456" s="6" t="str">
        <f>IFERROR(__xludf.DUMMYFUNCTION("""COMPUTED_VALUE"""),"5000 за 100 баллов ребёнка ")</f>
        <v>5000 за 100 баллов ребёнка </v>
      </c>
      <c r="AA1456" s="6" t="str">
        <f>IFERROR(__xludf.DUMMYFUNCTION("""COMPUTED_VALUE"""),"Зимняя вишня ")</f>
        <v>Зимняя вишня </v>
      </c>
      <c r="AB1456" s="6" t="str">
        <f>IFERROR(__xludf.DUMMYFUNCTION("""COMPUTED_VALUE"""),"Мне достаточно семьи")</f>
        <v>Мне достаточно семьи</v>
      </c>
      <c r="AC1456" s="6" t="str">
        <f>IFERROR(__xludf.DUMMYFUNCTION("""COMPUTED_VALUE"""),"Сделать объездную дорогу, БЕСПЛАТНУЮ.")</f>
        <v>Сделать объездную дорогу, БЕСПЛАТНУЮ.</v>
      </c>
      <c r="AD1456" s="6" t="str">
        <f>IFERROR(__xludf.DUMMYFUNCTION("""COMPUTED_VALUE"""),"Не готов принимать личное участие (укажите, пожалуйста, причину в поле «Другое»), Я пытаюсь выжить и работаю")</f>
        <v>Не готов принимать личное участие (укажите, пожалуйста, причину в поле «Другое»), Я пытаюсь выжить и работаю</v>
      </c>
      <c r="AE1456" s="6" t="str">
        <f>IFERROR(__xludf.DUMMYFUNCTION("""COMPUTED_VALUE"""),"Женский")</f>
        <v>Женский</v>
      </c>
      <c r="AF1456" s="6" t="str">
        <f>IFERROR(__xludf.DUMMYFUNCTION("""COMPUTED_VALUE"""),"45-55")</f>
        <v>45-55</v>
      </c>
      <c r="AG1456" s="6"/>
      <c r="AH1456" s="6"/>
      <c r="AI1456" s="6"/>
      <c r="AJ1456" s="6"/>
      <c r="AK1456" s="6"/>
      <c r="AL1456" s="6"/>
      <c r="AM1456" s="6"/>
    </row>
    <row r="1457">
      <c r="A1457" s="6">
        <v>1456.0</v>
      </c>
      <c r="B1457" s="6" t="str">
        <f>IFERROR(__xludf.DUMMYFUNCTION("""COMPUTED_VALUE"""),"Юрист")</f>
        <v>Юрист</v>
      </c>
      <c r="C1457" s="6" t="str">
        <f>IFERROR(__xludf.DUMMYFUNCTION("""COMPUTED_VALUE"""),"Музыка")</f>
        <v>Музыка</v>
      </c>
      <c r="D1457" s="6" t="str">
        <f>IFERROR(__xludf.DUMMYFUNCTION("""COMPUTED_VALUE"""),"Центральный (центр)")</f>
        <v>Центральный (центр)</v>
      </c>
      <c r="E1457" s="6" t="str">
        <f>IFERROR(__xludf.DUMMYFUNCTION("""COMPUTED_VALUE"""),"Набережная, Парк победы, парк Антошка, парк ангелов, площадь советов, цирк, филармония, драмтеатр, Знаменский собор")</f>
        <v>Набережная, Парк победы, парк Антошка, парк ангелов, площадь советов, цирк, филармония, драмтеатр, Знаменский собор</v>
      </c>
      <c r="F1457"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1457" s="6" t="str">
        <f>IFERROR(__xludf.DUMMYFUNCTION("""COMPUTED_VALUE"""),"Парки, сосновый бор, концерты, рок бары, бар Бельгия, ")</f>
        <v>Парки, сосновый бор, концерты, рок бары, бар Бельгия, </v>
      </c>
      <c r="H1457" s="6" t="str">
        <f>IFERROR(__xludf.DUMMYFUNCTION("""COMPUTED_VALUE"""),"Зелень, промышленность, перспектива, уголь, смог")</f>
        <v>Зелень, промышленность, перспектива, уголь, смог</v>
      </c>
      <c r="I1457" s="6" t="str">
        <f>IFERROR(__xludf.DUMMYFUNCTION("""COMPUTED_VALUE"""),"Леонов, Заузелков, Сарыгин, Мартемьянов, Подгорбунский")</f>
        <v>Леонов, Заузелков, Сарыгин, Мартемьянов, Подгорбунский</v>
      </c>
      <c r="J1457" s="6" t="str">
        <f>IFERROR(__xludf.DUMMYFUNCTION("""COMPUTED_VALUE"""),"Тулеев, Гришковец, Леонов")</f>
        <v>Тулеев, Гришковец, Леонов</v>
      </c>
      <c r="K1457" s="6" t="str">
        <f>IFERROR(__xludf.DUMMYFUNCTION("""COMPUTED_VALUE"""),"Красная горка, сосновый бор (кресты), набережная, ул.весенняя, Кемерово сити (притомский), лесная поляна")</f>
        <v>Красная горка, сосновый бор (кресты), набережная, ул.весенняя, Кемерово сити (притомский), лесная поляна</v>
      </c>
      <c r="L1457" s="6" t="str">
        <f>IFERROR(__xludf.DUMMYFUNCTION("""COMPUTED_VALUE"""),"-")</f>
        <v>-</v>
      </c>
      <c r="M1457" s="6" t="str">
        <f>IFERROR(__xludf.DUMMYFUNCTION("""COMPUTED_VALUE"""),"-")</f>
        <v>-</v>
      </c>
      <c r="N1457" s="6" t="str">
        <f>IFERROR(__xludf.DUMMYFUNCTION("""COMPUTED_VALUE"""),"Чистота, инновации и цифровые услуги, прозрачность власти, социальная удовлетворённость, развитая сфера развлечения и услуг")</f>
        <v>Чистота, инновации и цифровые услуги, прозрачность власти, социальная удовлетворённость, развитая сфера развлечения и услуг</v>
      </c>
      <c r="O1457" s="6" t="str">
        <f>IFERROR(__xludf.DUMMYFUNCTION("""COMPUTED_VALUE"""),"Достроить все что начато, продумать объезд грузового транспорта.")</f>
        <v>Достроить все что начато, продумать объезд грузового транспорта.</v>
      </c>
      <c r="P1457" s="6" t="str">
        <f>IFERROR(__xludf.DUMMYFUNCTION("""COMPUTED_VALUE"""),"Соцсети (инстаграмм, телеграмм, ВК), городские паблики, а42")</f>
        <v>Соцсети (инстаграмм, телеграмм, ВК), городские паблики, а42</v>
      </c>
      <c r="Q1457" s="6" t="str">
        <f>IFERROR(__xludf.DUMMYFUNCTION("""COMPUTED_VALUE"""),"куда пойти в свободное время, городская афиша (кино/театр/концерты), интервью с местными предпринимателями")</f>
        <v>куда пойти в свободное время, городская афиша (кино/театр/концерты), интервью с местными предпринимателями</v>
      </c>
      <c r="R1457" s="6" t="str">
        <f>IFERROR(__xludf.DUMMYFUNCTION("""COMPUTED_VALUE"""),"День шахтера, день города")</f>
        <v>День шахтера, день города</v>
      </c>
      <c r="S1457" s="6" t="str">
        <f>IFERROR(__xludf.DUMMYFUNCTION("""COMPUTED_VALUE"""),"Нет, не приходилось")</f>
        <v>Нет, не приходилось</v>
      </c>
      <c r="T1457" s="6" t="str">
        <f>IFERROR(__xludf.DUMMYFUNCTION("""COMPUTED_VALUE"""),"С точки зрения жителя - город комфортный и в меру спокойный для проживания, много мест для досуга и отдыха на любой вкус. Для гостей - в старом центра уникальная советская и пост-советская архитектура, летом город очень зелёный и яркий, но в остальное вре"&amp;"мя серый.")</f>
        <v>С точки зрения жителя - город комфортный и в меру спокойный для проживания, много мест для досуга и отдыха на любой вкус. Для гостей - в старом центра уникальная советская и пост-советская архитектура, летом город очень зелёный и яркий, но в остальное время серый.</v>
      </c>
      <c r="U1457" s="6" t="str">
        <f>IFERROR(__xludf.DUMMYFUNCTION("""COMPUTED_VALUE"""),"Площадь советов, ул.весенняя и все что вокруг них от пр. Ленина до набережной")</f>
        <v>Площадь советов, ул.весенняя и все что вокруг них от пр. Ленина до набережной</v>
      </c>
      <c r="V1457" s="6" t="str">
        <f>IFERROR(__xludf.DUMMYFUNCTION("""COMPUTED_VALUE"""),"В разные времена были свои ""подвиги"", в военное время городу было не до комфорта, развивалась индустрия и промышленность, затем наращивали жилой фонд города, в более позднее время восстанавливался ущерб нанесенный природе и атмосфере в городе - восстана"&amp;"вливались парки и зелёные зоны, сейчас ведётся разработка и строительство большого количества знаковых для города проектов в будущем.")</f>
        <v>В разные времена были свои "подвиги", в военное время городу было не до комфорта, развивалась индустрия и промышленность, затем наращивали жилой фонд города, в более позднее время восстанавливался ущерб нанесенный природе и атмосфере в городе - восстанавливались парки и зелёные зоны, сейчас ведётся разработка и строительство большого количества знаковых для города проектов в будущем.</v>
      </c>
      <c r="W1457" s="6" t="str">
        <f>IFERROR(__xludf.DUMMYFUNCTION("""COMPUTED_VALUE"""),"По большей части приветливость, сдержанность, обязательность")</f>
        <v>По большей части приветливость, сдержанность, обязательность</v>
      </c>
      <c r="X1457" s="6" t="str">
        <f>IFERROR(__xludf.DUMMYFUNCTION("""COMPUTED_VALUE"""),"Ленина- Мичурина- советский - набережная - весенняя - кирова")</f>
        <v>Ленина- Мичурина- советский - набережная - весенняя - кирова</v>
      </c>
      <c r="Y1457" s="6" t="str">
        <f>IFERROR(__xludf.DUMMYFUNCTION("""COMPUTED_VALUE"""),"-")</f>
        <v>-</v>
      </c>
      <c r="Z1457" s="6" t="str">
        <f>IFERROR(__xludf.DUMMYFUNCTION("""COMPUTED_VALUE"""),"Рок-концерт ""звёзды мирового рока"" на летнем вокзале, пикник Теле2 на день города (было более 2 лет назад)")</f>
        <v>Рок-концерт "звёзды мирового рока" на летнем вокзале, пикник Теле2 на день города (было более 2 лет назад)</v>
      </c>
      <c r="AA1457" s="6" t="str">
        <f>IFERROR(__xludf.DUMMYFUNCTION("""COMPUTED_VALUE"""),"Зимняя вишня, ковид, недострой")</f>
        <v>Зимняя вишня, ковид, недострой</v>
      </c>
      <c r="AB1457" s="6" t="str">
        <f>IFERROR(__xludf.DUMMYFUNCTION("""COMPUTED_VALUE"""),"-")</f>
        <v>-</v>
      </c>
      <c r="AC1457" s="6" t="str">
        <f>IFERROR(__xludf.DUMMYFUNCTION("""COMPUTED_VALUE"""),"Уличные музыкальные концерты")</f>
        <v>Уличные музыкальные концерты</v>
      </c>
      <c r="AD1457"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57" s="6" t="str">
        <f>IFERROR(__xludf.DUMMYFUNCTION("""COMPUTED_VALUE"""),"Мужской")</f>
        <v>Мужской</v>
      </c>
      <c r="AF1457" s="6" t="str">
        <f>IFERROR(__xludf.DUMMYFUNCTION("""COMPUTED_VALUE"""),"30-44")</f>
        <v>30-44</v>
      </c>
      <c r="AG1457" s="6"/>
      <c r="AH1457" s="6"/>
      <c r="AI1457" s="6"/>
      <c r="AJ1457" s="6"/>
      <c r="AK1457" s="6"/>
      <c r="AL1457" s="6"/>
      <c r="AM1457" s="6"/>
    </row>
    <row r="1458">
      <c r="A1458" s="6">
        <v>1457.0</v>
      </c>
      <c r="B1458" s="6" t="str">
        <f>IFERROR(__xludf.DUMMYFUNCTION("""COMPUTED_VALUE"""),"Учитель, репетитор, тьютор.")</f>
        <v>Учитель, репетитор, тьютор.</v>
      </c>
      <c r="C1458" s="6" t="str">
        <f>IFERROR(__xludf.DUMMYFUNCTION("""COMPUTED_VALUE"""),"Сад, рукоделие, книги, прогулки, кино, хайкинг, треккинг, синрин-йоку, традиционая народная культура")</f>
        <v>Сад, рукоделие, книги, прогулки, кино, хайкинг, треккинг, синрин-йоку, традиционая народная культура</v>
      </c>
      <c r="D1458" s="6" t="str">
        <f>IFERROR(__xludf.DUMMYFUNCTION("""COMPUTED_VALUE"""),"Рудничный, д. Красная")</f>
        <v>Рудничный, д. Красная</v>
      </c>
      <c r="E1458" s="6" t="str">
        <f>IFERROR(__xludf.DUMMYFUNCTION("""COMPUTED_VALUE"""),"Ничего не осталось. Были - очень интересная по фонду библиотека, самая старая школа в городе, уникальный школьный музей, настоящая полоса препятствий  на школьной площадке, родники, ""дикие"" или ""природные"" детские площадки и др.")</f>
        <v>Ничего не осталось. Были - очень интересная по фонду библиотека, самая старая школа в городе, уникальный школьный музей, настоящая полоса препятствий  на школьной площадке, родники, "дикие" или "природные" детские площадки и др.</v>
      </c>
      <c r="F1458" s="6" t="str">
        <f>IFERROR(__xludf.DUMMYFUNCTION("""COMPUTED_VALUE"""),"Живу здесь с рождения")</f>
        <v>Живу здесь с рождения</v>
      </c>
      <c r="G1458" s="6" t="str">
        <f>IFERROR(__xludf.DUMMYFUNCTION("""COMPUTED_VALUE"""),"очень редко - театр, концерты, выставки. Прогулки в бору.")</f>
        <v>очень редко - театр, концерты, выставки. Прогулки в бору.</v>
      </c>
      <c r="H1458" s="6" t="str">
        <f>IFERROR(__xludf.DUMMYFUNCTION("""COMPUTED_VALUE"""),"смог, пыль, средневековье, запрещено, примитивизм")</f>
        <v>смог, пыль, средневековье, запрещено, примитивизм</v>
      </c>
      <c r="I1458" s="6" t="str">
        <f>IFERROR(__xludf.DUMMYFUNCTION("""COMPUTED_VALUE"""),"Волошина, Леонов, Гришковец, Панин.")</f>
        <v>Волошина, Леонов, Гришковец, Панин.</v>
      </c>
      <c r="J1458" s="6" t="str">
        <f>IFERROR(__xludf.DUMMYFUNCTION("""COMPUTED_VALUE"""),"Эээээ... Михайлов")</f>
        <v>Эээээ... Михайлов</v>
      </c>
      <c r="K1458" s="6" t="str">
        <f>IFERROR(__xludf.DUMMYFUNCTION("""COMPUTED_VALUE"""),"???")</f>
        <v>???</v>
      </c>
      <c r="L1458" s="6" t="str">
        <f>IFERROR(__xludf.DUMMYFUNCTION("""COMPUTED_VALUE"""),"БГ - человек из Кемерово")</f>
        <v>БГ - человек из Кемерово</v>
      </c>
      <c r="M1458" s="6" t="str">
        <f>IFERROR(__xludf.DUMMYFUNCTION("""COMPUTED_VALUE"""),"нет")</f>
        <v>нет</v>
      </c>
      <c r="N1458" s="6" t="str">
        <f>IFERROR(__xludf.DUMMYFUNCTION("""COMPUTED_VALUE"""),"Чистота (отсутствие атмосферных, шумовых, световых, гидрологических и др загрязнений), ""автономность"" микрорайонов (работа, учеба, отдых, жизнеобеспечение), хорошая транспортная доступность (особенно пешеходная и общественный транспорт), безопасность, р"&amp;"авномерность развития городской среды во всех районах и микрорайонах города.")</f>
        <v>Чистота (отсутствие атмосферных, шумовых, световых, гидрологических и др загрязнений), "автономность" микрорайонов (работа, учеба, отдых, жизнеобеспечение), хорошая транспортная доступность (особенно пешеходная и общественный транспорт), безопасность, равномерность развития городской среды во всех районах и микрорайонах города.</v>
      </c>
      <c r="O1458" s="6" t="str">
        <f>IFERROR(__xludf.DUMMYFUNCTION("""COMPUTED_VALUE"""),"Решить экологические проблемы, модернизация инфраструктуры жизнеобеспечения, рабочие места и уровень заработной платы, доступность услуг для большинства горожан.")</f>
        <v>Решить экологические проблемы, модернизация инфраструктуры жизнеобеспечения, рабочие места и уровень заработной платы, доступность услуг для большинства горожан.</v>
      </c>
      <c r="P1458" s="6" t="str">
        <f>IFERROR(__xludf.DUMMYFUNCTION("""COMPUTED_VALUE"""),"Только сарафанное радио. Уровень местных СМИ удручает.
")</f>
        <v>Только сарафанное радио. Уровень местных СМИ удручает.
</v>
      </c>
      <c r="Q1458" s="6" t="str">
        <f>IFERROR(__xludf.DUMMYFUNCTION("""COMPUTED_VALUE"""),"результаты местных исследований (рейтинги/аналитика/тенденции), новости о расходовании бюджета в каждом микрорайоне города, отчеты властей города о развитии отдельных городских территорий,")</f>
        <v>результаты местных исследований (рейтинги/аналитика/тенденции), новости о расходовании бюджета в каждом микрорайоне города, отчеты властей города о развитии отдельных городских территорий,</v>
      </c>
      <c r="R1458" s="6" t="str">
        <f>IFERROR(__xludf.DUMMYFUNCTION("""COMPUTED_VALUE"""),"Не люблю слишком многолюдные ""праздники""")</f>
        <v>Не люблю слишком многолюдные "праздники"</v>
      </c>
      <c r="S1458"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v>
      </c>
      <c r="T1458" s="6" t="str">
        <f>IFERROR(__xludf.DUMMYFUNCTION("""COMPUTED_VALUE"""),"Ужасной экологической обстановкой, шоу-губернаторами")</f>
        <v>Ужасной экологической обстановкой, шоу-губернаторами</v>
      </c>
      <c r="U1458" s="6" t="str">
        <f>IFERROR(__xludf.DUMMYFUNCTION("""COMPUTED_VALUE"""),"?")</f>
        <v>?</v>
      </c>
      <c r="V1458" s="6" t="str">
        <f>IFERROR(__xludf.DUMMYFUNCTION("""COMPUTED_VALUE"""),"К сожалению, в городе нет системной работы с населением, поэтому народные инициативы никогда не будут реализованы. То, что делают власти - печально.")</f>
        <v>К сожалению, в городе нет системной работы с населением, поэтому народные инициативы никогда не будут реализованы. То, что делают власти - печально.</v>
      </c>
      <c r="W1458" s="6" t="str">
        <f>IFERROR(__xludf.DUMMYFUNCTION("""COMPUTED_VALUE"""),"Разные")</f>
        <v>Разные</v>
      </c>
      <c r="X1458" s="6" t="str">
        <f>IFERROR(__xludf.DUMMYFUNCTION("""COMPUTED_VALUE"""),"ГРЭС, Кокс, Азот")</f>
        <v>ГРЭС, Кокс, Азот</v>
      </c>
      <c r="Y1458" s="6" t="str">
        <f>IFERROR(__xludf.DUMMYFUNCTION("""COMPUTED_VALUE"""),"Затрудняюсь с ответом.")</f>
        <v>Затрудняюсь с ответом.</v>
      </c>
      <c r="Z1458" s="6" t="str">
        <f>IFERROR(__xludf.DUMMYFUNCTION("""COMPUTED_VALUE"""),"Люди стали чаще уезжать из города, в котором они не нужны.
")</f>
        <v>Люди стали чаще уезжать из города, в котором они не нужны.
</v>
      </c>
      <c r="AA1458" s="6" t="str">
        <f>IFERROR(__xludf.DUMMYFUNCTION("""COMPUTED_VALUE"""),"Не слежу за чужими конфликтами")</f>
        <v>Не слежу за чужими конфликтами</v>
      </c>
      <c r="AB1458" s="6" t="str">
        <f>IFERROR(__xludf.DUMMYFUNCTION("""COMPUTED_VALUE"""),"Терапевтических")</f>
        <v>Терапевтических</v>
      </c>
      <c r="AC1458" s="6" t="str">
        <f>IFERROR(__xludf.DUMMYFUNCTION("""COMPUTED_VALUE"""),"Те, которые проводятся жителями для жителей, а не властью для электората")</f>
        <v>Те, которые проводятся жителями для жителей, а не властью для электората</v>
      </c>
      <c r="AD145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458" s="6" t="str">
        <f>IFERROR(__xludf.DUMMYFUNCTION("""COMPUTED_VALUE"""),"Женский")</f>
        <v>Женский</v>
      </c>
      <c r="AF1458" s="6" t="str">
        <f>IFERROR(__xludf.DUMMYFUNCTION("""COMPUTED_VALUE"""),"45-55")</f>
        <v>45-55</v>
      </c>
      <c r="AG1458" s="6"/>
      <c r="AH1458" s="6"/>
      <c r="AI1458" s="6"/>
      <c r="AJ1458" s="6"/>
      <c r="AK1458" s="6"/>
      <c r="AL1458" s="6"/>
      <c r="AM1458" s="6"/>
    </row>
    <row r="1459">
      <c r="A1459" s="6">
        <v>1458.0</v>
      </c>
      <c r="B1459" s="6" t="str">
        <f>IFERROR(__xludf.DUMMYFUNCTION("""COMPUTED_VALUE"""),"Преподаватель вуза")</f>
        <v>Преподаватель вуза</v>
      </c>
      <c r="C1459" s="6" t="str">
        <f>IFERROR(__xludf.DUMMYFUNCTION("""COMPUTED_VALUE"""),"Собираю Сувениры связанные с лошадьми")</f>
        <v>Собираю Сувениры связанные с лошадьми</v>
      </c>
      <c r="D1459" s="6" t="str">
        <f>IFERROR(__xludf.DUMMYFUNCTION("""COMPUTED_VALUE"""),"В центральном. Соборный")</f>
        <v>В центральном. Соборный</v>
      </c>
      <c r="E1459" s="6" t="str">
        <f>IFERROR(__xludf.DUMMYFUNCTION("""COMPUTED_VALUE"""),"Знаменский Собор. Цирк. Набережная Искитимки. Парк Жукова. Парк Антошка. ")</f>
        <v>Знаменский Собор. Цирк. Набережная Искитимки. Парк Жукова. Парк Антошка. </v>
      </c>
      <c r="F1459" s="6" t="str">
        <f>IFERROR(__xludf.DUMMYFUNCTION("""COMPUTED_VALUE"""),"Переехал сюда из другого места (откуда? укажите в графе другое), Из Полысаево. Приехала учиться в институте и осталась работать.  ")</f>
        <v>Переехал сюда из другого места (откуда? укажите в графе другое), Из Полысаево. Приехала учиться в институте и осталась работать.  </v>
      </c>
      <c r="G1459" s="6" t="str">
        <f>IFERROR(__xludf.DUMMYFUNCTION("""COMPUTED_VALUE"""),"В парк Жукова. В парк Чудес. В Комсомольский парк. ")</f>
        <v>В парк Жукова. В парк Чудес. В Комсомольский парк. </v>
      </c>
      <c r="H1459" s="6" t="str">
        <f>IFERROR(__xludf.DUMMYFUNCTION("""COMPUTED_VALUE"""),"Столица Кузбасса. Лучшие годы жизни. Смог. Хорошеет и растёт с каждым годом. ")</f>
        <v>Столица Кузбасса. Лучшие годы жизни. Смог. Хорошеет и растёт с каждым годом. </v>
      </c>
      <c r="I1459" s="6" t="str">
        <f>IFERROR(__xludf.DUMMYFUNCTION("""COMPUTED_VALUE"""),"Вера Волошина. Юрий Двужильный. ")</f>
        <v>Вера Волошина. Юрий Двужильный. </v>
      </c>
      <c r="J1459" s="6" t="str">
        <f>IFERROR(__xludf.DUMMYFUNCTION("""COMPUTED_VALUE"""),"Тулеев. Михайлов. ")</f>
        <v>Тулеев. Михайлов. </v>
      </c>
      <c r="K1459" s="6" t="str">
        <f>IFERROR(__xludf.DUMMYFUNCTION("""COMPUTED_VALUE"""),"Собор. Лесную поляну. Ботанический сад. Драмтеатр. Филармонию. Улицу Весеннюю. Площадь Советов. ")</f>
        <v>Собор. Лесную поляну. Ботанический сад. Драмтеатр. Филармонию. Улицу Весеннюю. Площадь Советов. </v>
      </c>
      <c r="L1459" s="6" t="str">
        <f>IFERROR(__xludf.DUMMYFUNCTION("""COMPUTED_VALUE"""),"За нас! За вас! И за Кузбасс! Тост на любом празднике в нашей семье. ")</f>
        <v>За нас! За вас! И за Кузбасс! Тост на любом празднике в нашей семье. </v>
      </c>
      <c r="M1459" s="6" t="str">
        <f>IFERROR(__xludf.DUMMYFUNCTION("""COMPUTED_VALUE"""),"Нет")</f>
        <v>Нет</v>
      </c>
      <c r="N1459" s="6" t="str">
        <f>IFERROR(__xludf.DUMMYFUNCTION("""COMPUTED_VALUE"""),"Чистые улицы. Чистый воздух. Часто ходит общественный транспорт и до поздна из любого района города. Хорошая освещенность улиц и дворов. Много парков и зон отдыха. ")</f>
        <v>Чистые улицы. Чистый воздух. Часто ходит общественный транспорт и до поздна из любого района города. Хорошая освещенность улиц и дворов. Много парков и зон отдыха. </v>
      </c>
      <c r="O1459" s="6" t="str">
        <f>IFERROR(__xludf.DUMMYFUNCTION("""COMPUTED_VALUE"""),"Экологию. Общественный транспорт редко ходит. После восьми вечера проблема уехать из окраин. Пробки на мостах. Ремонт старых домов. ")</f>
        <v>Экологию. Общественный транспорт редко ходит. После восьми вечера проблема уехать из окраин. Пробки на мостах. Ремонт старых домов. </v>
      </c>
      <c r="P1459" s="6" t="str">
        <f>IFERROR(__xludf.DUMMYFUNCTION("""COMPUTED_VALUE"""),"Из телевизионных передач Вести 42. Из группы в Инстаграм ")</f>
        <v>Из телевизионных передач Вести 42. Из группы в Инстаграм </v>
      </c>
      <c r="Q1459"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459" s="6" t="str">
        <f>IFERROR(__xludf.DUMMYFUNCTION("""COMPUTED_VALUE"""),"Новый год. Масленица. День Победы. День города. День шахтера. ")</f>
        <v>Новый год. Масленица. День Победы. День города. День шахтера. </v>
      </c>
      <c r="S1459" s="6" t="str">
        <f>IFERROR(__xludf.DUMMYFUNCTION("""COMPUTED_VALUE"""),"Нет, не приходилось")</f>
        <v>Нет, не приходилось</v>
      </c>
      <c r="T1459" s="6" t="str">
        <f>IFERROR(__xludf.DUMMYFUNCTION("""COMPUTED_VALUE"""),"Красная горка. Музеи. Зимняя вишня печально известная многим людям. ")</f>
        <v>Красная горка. Музеи. Зимняя вишня печально известная многим людям. </v>
      </c>
      <c r="U1459" s="6" t="str">
        <f>IFERROR(__xludf.DUMMYFUNCTION("""COMPUTED_VALUE"""),"Площадь Советов. ")</f>
        <v>Площадь Советов. </v>
      </c>
      <c r="V1459" s="6" t="str">
        <f>IFERROR(__xludf.DUMMYFUNCTION("""COMPUTED_VALUE"""),"Строят новые районы. Кадетский корпус. Озеленяют город. ")</f>
        <v>Строят новые районы. Кадетский корпус. Озеленяют город. </v>
      </c>
      <c r="W1459" s="6" t="str">
        <f>IFERROR(__xludf.DUMMYFUNCTION("""COMPUTED_VALUE"""),"Простые. Отзывчивые. Часто ворчат и жалуются на что-то. ")</f>
        <v>Простые. Отзывчивые. Часто ворчат и жалуются на что-то. </v>
      </c>
      <c r="X1459" s="6" t="str">
        <f>IFERROR(__xludf.DUMMYFUNCTION("""COMPUTED_VALUE"""),"По улице Весенней от Советского проспекта к реке. И дальше по набережной. ")</f>
        <v>По улице Весенней от Советского проспекта к реке. И дальше по набережной. </v>
      </c>
      <c r="Y1459" s="6" t="str">
        <f>IFERROR(__xludf.DUMMYFUNCTION("""COMPUTED_VALUE"""),"Для меня это день шахтера, когда приезжал Хворостовский и его выступление. ")</f>
        <v>Для меня это день шахтера, когда приезжал Хворостовский и его выступление. </v>
      </c>
      <c r="Z1459" s="6" t="str">
        <f>IFERROR(__xludf.DUMMYFUNCTION("""COMPUTED_VALUE"""),"Парад победы. Салюты ко всем праздникам. Концерты на площади Советов. ")</f>
        <v>Парад победы. Салюты ко всем праздникам. Концерты на площади Советов. </v>
      </c>
      <c r="AA1459" s="6" t="str">
        <f>IFERROR(__xludf.DUMMYFUNCTION("""COMPUTED_VALUE"""),"Пожар Зимняя вишня. ")</f>
        <v>Пожар Зимняя вишня. </v>
      </c>
      <c r="AB1459" s="6" t="str">
        <f>IFERROR(__xludf.DUMMYFUNCTION("""COMPUTED_VALUE"""),"Мне хватает сообщества моих коллег и друзей. ")</f>
        <v>Мне хватает сообщества моих коллег и друзей. </v>
      </c>
      <c r="AC1459" s="6" t="str">
        <f>IFERROR(__xludf.DUMMYFUNCTION("""COMPUTED_VALUE"""),"Концерты на площади Советов и на других сценах бесплатно. ")</f>
        <v>Концерты на площади Советов и на других сценах бесплатно. </v>
      </c>
      <c r="AD145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59" s="6" t="str">
        <f>IFERROR(__xludf.DUMMYFUNCTION("""COMPUTED_VALUE"""),"Женский")</f>
        <v>Женский</v>
      </c>
      <c r="AF1459" s="6" t="str">
        <f>IFERROR(__xludf.DUMMYFUNCTION("""COMPUTED_VALUE"""),"старше 55")</f>
        <v>старше 55</v>
      </c>
      <c r="AG1459" s="6"/>
      <c r="AH1459" s="6"/>
      <c r="AI1459" s="6"/>
      <c r="AJ1459" s="6"/>
      <c r="AK1459" s="6"/>
      <c r="AL1459" s="6"/>
      <c r="AM1459" s="6"/>
    </row>
    <row r="1460">
      <c r="A1460" s="6">
        <v>1459.0</v>
      </c>
      <c r="B1460" s="6" t="str">
        <f>IFERROR(__xludf.DUMMYFUNCTION("""COMPUTED_VALUE"""),"Студент")</f>
        <v>Студент</v>
      </c>
      <c r="C1460" s="6" t="str">
        <f>IFERROR(__xludf.DUMMYFUNCTION("""COMPUTED_VALUE"""),"Никакого")</f>
        <v>Никакого</v>
      </c>
      <c r="D1460" s="6" t="str">
        <f>IFERROR(__xludf.DUMMYFUNCTION("""COMPUTED_VALUE"""),"Центральный")</f>
        <v>Центральный</v>
      </c>
      <c r="E1460" s="6" t="str">
        <f>IFERROR(__xludf.DUMMYFUNCTION("""COMPUTED_VALUE"""),"Площадь советов, набережная")</f>
        <v>Площадь советов, набережная</v>
      </c>
      <c r="F1460" s="6" t="str">
        <f>IFERROR(__xludf.DUMMYFUNCTION("""COMPUTED_VALUE"""),"Не живу,но приезжаю сюда (к родственникам/друзьям), Студент из Ленинска-Кузнецкого")</f>
        <v>Не живу,но приезжаю сюда (к родственникам/друзьям), Студент из Ленинска-Кузнецкого</v>
      </c>
      <c r="G1460" s="6" t="str">
        <f>IFERROR(__xludf.DUMMYFUNCTION("""COMPUTED_VALUE"""),"Никуда")</f>
        <v>Никуда</v>
      </c>
      <c r="H1460" s="6" t="str">
        <f>IFERROR(__xludf.DUMMYFUNCTION("""COMPUTED_VALUE"""),"Химик, лапландия, кировский, цирк Томь")</f>
        <v>Химик, лапландия, кировский, цирк Томь</v>
      </c>
      <c r="I1460" s="6" t="str">
        <f>IFERROR(__xludf.DUMMYFUNCTION("""COMPUTED_VALUE"""),"Леонов, Тиньков")</f>
        <v>Леонов, Тиньков</v>
      </c>
      <c r="J1460" s="6" t="str">
        <f>IFERROR(__xludf.DUMMYFUNCTION("""COMPUTED_VALUE"""),"Тулеев")</f>
        <v>Тулеев</v>
      </c>
      <c r="K1460" s="6" t="str">
        <f>IFERROR(__xludf.DUMMYFUNCTION("""COMPUTED_VALUE"""),"Площадь советов")</f>
        <v>Площадь советов</v>
      </c>
      <c r="L1460" s="6" t="str">
        <f>IFERROR(__xludf.DUMMYFUNCTION("""COMPUTED_VALUE"""),"Не знаю")</f>
        <v>Не знаю</v>
      </c>
      <c r="M1460" s="6" t="str">
        <f>IFERROR(__xludf.DUMMYFUNCTION("""COMPUTED_VALUE"""),"Не знаю")</f>
        <v>Не знаю</v>
      </c>
      <c r="N1460" s="6" t="str">
        <f>IFERROR(__xludf.DUMMYFUNCTION("""COMPUTED_VALUE"""),"Продуманный общественный транспорт. Очистка улиц. Освещённость улиц. Незагруженность дорог. Наличие мест для отдыха или развития(лавочки, музеи, сады) ")</f>
        <v>Продуманный общественный транспорт. Очистка улиц. Освещённость улиц. Незагруженность дорог. Наличие мест для отдыха или развития(лавочки, музеи, сады) </v>
      </c>
      <c r="O1460" s="6" t="str">
        <f>IFERROR(__xludf.DUMMYFUNCTION("""COMPUTED_VALUE"""),"Снести хрущёвки")</f>
        <v>Снести хрущёвки</v>
      </c>
      <c r="P1460" s="6" t="str">
        <f>IFERROR(__xludf.DUMMYFUNCTION("""COMPUTED_VALUE"""),"Не узнаю, ничего тут и нет считай")</f>
        <v>Не узнаю, ничего тут и нет считай</v>
      </c>
      <c r="Q1460" s="6" t="str">
        <f>IFERROR(__xludf.DUMMYFUNCTION("""COMPUTED_VALUE"""),"куда пойти в свободное время, где вкусно поесть/открытие новых кафе/ресторанов, интервью с местными политиками, криминальные новости (происшествия/преступления), новости про новые профессии/куда поступать/вакансии, бизнес-новости (средний чек/рекламные ак"&amp;"ции/запуск новых предприятий)")</f>
        <v>куда пойти в свободное время, где вкусно поесть/открытие новых кафе/ресторанов, интервью с местными политиками,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460" s="6" t="str">
        <f>IFERROR(__xludf.DUMMYFUNCTION("""COMPUTED_VALUE"""),"Никакие")</f>
        <v>Никакие</v>
      </c>
      <c r="S1460" s="6" t="str">
        <f>IFERROR(__xludf.DUMMYFUNCTION("""COMPUTED_VALUE"""),"Нет, не приходилось")</f>
        <v>Нет, не приходилось</v>
      </c>
      <c r="T1460" s="6" t="str">
        <f>IFERROR(__xludf.DUMMYFUNCTION("""COMPUTED_VALUE"""),"Ничем")</f>
        <v>Ничем</v>
      </c>
      <c r="U1460" s="6" t="str">
        <f>IFERROR(__xludf.DUMMYFUNCTION("""COMPUTED_VALUE"""),"Площадь советов")</f>
        <v>Площадь советов</v>
      </c>
      <c r="V1460" s="6" t="str">
        <f>IFERROR(__xludf.DUMMYFUNCTION("""COMPUTED_VALUE"""),"Покинули его")</f>
        <v>Покинули его</v>
      </c>
      <c r="W1460" s="6" t="str">
        <f>IFERROR(__xludf.DUMMYFUNCTION("""COMPUTED_VALUE"""),"Никаких")</f>
        <v>Никаких</v>
      </c>
      <c r="X1460" s="6" t="str">
        <f>IFERROR(__xludf.DUMMYFUNCTION("""COMPUTED_VALUE"""),"1т")</f>
        <v>1т</v>
      </c>
      <c r="Y1460" s="6" t="str">
        <f>IFERROR(__xludf.DUMMYFUNCTION("""COMPUTED_VALUE"""),"Основание")</f>
        <v>Основание</v>
      </c>
      <c r="Z1460" s="6" t="str">
        <f>IFERROR(__xludf.DUMMYFUNCTION("""COMPUTED_VALUE"""),"Парк ангелов")</f>
        <v>Парк ангелов</v>
      </c>
      <c r="AA1460" s="6" t="str">
        <f>IFERROR(__xludf.DUMMYFUNCTION("""COMPUTED_VALUE"""),"Поступление в КемГУ")</f>
        <v>Поступление в КемГУ</v>
      </c>
      <c r="AB1460" s="6" t="str">
        <f>IFERROR(__xludf.DUMMYFUNCTION("""COMPUTED_VALUE"""),"Волейбольной секции")</f>
        <v>Волейбольной секции</v>
      </c>
      <c r="AC1460" s="6" t="str">
        <f>IFERROR(__xludf.DUMMYFUNCTION("""COMPUTED_VALUE"""),"Не знаю")</f>
        <v>Не знаю</v>
      </c>
      <c r="AD146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60" s="6" t="str">
        <f>IFERROR(__xludf.DUMMYFUNCTION("""COMPUTED_VALUE"""),"Мужской")</f>
        <v>Мужской</v>
      </c>
      <c r="AF1460" s="6" t="str">
        <f>IFERROR(__xludf.DUMMYFUNCTION("""COMPUTED_VALUE"""),"18-29")</f>
        <v>18-29</v>
      </c>
      <c r="AG1460" s="6"/>
      <c r="AH1460" s="6"/>
      <c r="AI1460" s="6"/>
      <c r="AJ1460" s="6"/>
      <c r="AK1460" s="6"/>
      <c r="AL1460" s="6"/>
      <c r="AM1460" s="6"/>
    </row>
    <row r="1461">
      <c r="A1461" s="6">
        <v>1460.0</v>
      </c>
      <c r="B1461" s="6" t="str">
        <f>IFERROR(__xludf.DUMMYFUNCTION("""COMPUTED_VALUE"""),"Преподаю")</f>
        <v>Преподаю</v>
      </c>
      <c r="C1461" s="6" t="str">
        <f>IFERROR(__xludf.DUMMYFUNCTION("""COMPUTED_VALUE"""),"Живопись, цветоводство, шитье, бассейн")</f>
        <v>Живопись, цветоводство, шитье, бассейн</v>
      </c>
      <c r="D1461" s="6" t="str">
        <f>IFERROR(__xludf.DUMMYFUNCTION("""COMPUTED_VALUE"""),"Кировский")</f>
        <v>Кировский</v>
      </c>
      <c r="E1461" s="6" t="str">
        <f>IFERROR(__xludf.DUMMYFUNCTION("""COMPUTED_VALUE"""),"Набережная, Дворец культуры, весь квартал домов, включая Севастополь курю и Ушакова ( некоторые из них архитектурные памятники регионального значения) ")</f>
        <v>Набережная, Дворец культуры, весь квартал домов, включая Севастополь курю и Ушакова ( некоторые из них архитектурные памятники регионального значения) </v>
      </c>
      <c r="F1461" s="6" t="str">
        <f>IFERROR(__xludf.DUMMYFUNCTION("""COMPUTED_VALUE"""),"Переехал сюда из другого места (откуда? укажите в графе другое), Приехала из Томска по распределению ")</f>
        <v>Переехал сюда из другого места (откуда? укажите в графе другое), Приехала из Томска по распределению </v>
      </c>
      <c r="G1461" s="6" t="str">
        <f>IFERROR(__xludf.DUMMYFUNCTION("""COMPUTED_VALUE"""),"Хожу на выставки в Центр искусства, театры, в музей ""КРАСНАЯ ГОРКА"", ИНОГДА БЫВАЮ В ТОМСКОЙ ПИСАННИЦЕ")</f>
        <v>Хожу на выставки в Центр искусства, театры, в музей "КРАСНАЯ ГОРКА", ИНОГДА БЫВАЮ В ТОМСКОЙ ПИСАННИЦЕ</v>
      </c>
      <c r="H1461" s="6" t="str">
        <f>IFERROR(__xludf.DUMMYFUNCTION("""COMPUTED_VALUE"""),"Город-сад,  старопромышленный центр, провинция,  низкий уровень культуры, угольная столица")</f>
        <v>Город-сад,  старопромышленный центр, провинция,  низкий уровень культуры, угольная столица</v>
      </c>
      <c r="I1461" s="6" t="str">
        <f>IFERROR(__xludf.DUMMYFUNCTION("""COMPUTED_VALUE"""),"Плохо знаю историю города, для меня, выдающиеся - это архитекторы в основном! Лохэм, Эрнст Май, директор АИКа Рутгерс, Михайло Волков")</f>
        <v>Плохо знаю историю города, для меня, выдающиеся - это архитекторы в основном! Лохэм, Эрнст Май, директор АИКа Рутгерс, Михайло Волков</v>
      </c>
      <c r="J1461" s="6" t="str">
        <f>IFERROR(__xludf.DUMMYFUNCTION("""COMPUTED_VALUE"""),"Космонавт Леонов, бывший мэр,
Михайлович, ")</f>
        <v>Космонавт Леонов, бывший мэр,
Михайлович, </v>
      </c>
      <c r="K1461" s="6" t="str">
        <f>IFERROR(__xludf.DUMMYFUNCTION("""COMPUTED_VALUE"""),"Музей Красная горка и Томскую писаницу, Памятник шахтёра Эрнст Неизвестного")</f>
        <v>Музей Красная горка и Томскую писаницу, Памятник шахтёра Эрнст Неизвестного</v>
      </c>
      <c r="L1461" s="6" t="str">
        <f>IFERROR(__xludf.DUMMYFUNCTION("""COMPUTED_VALUE"""),"Один в поле не воин")</f>
        <v>Один в поле не воин</v>
      </c>
      <c r="M1461" s="6" t="str">
        <f>IFERROR(__xludf.DUMMYFUNCTION("""COMPUTED_VALUE"""),"Добыча угля ( ударение на О) ")</f>
        <v>Добыча угля ( ударение на О) </v>
      </c>
      <c r="N1461" s="6" t="str">
        <f>IFERROR(__xludf.DUMMYFUNCTION("""COMPUTED_VALUE""")," Чистые улицы, развитая транспортная инфраструктура, спортивные площадки для горожан и бассейны, креативные городские пространства,   хорошая экология")</f>
        <v> Чистые улицы, развитая транспортная инфраструктура, спортивные площадки для горожан и бассейны, креативные городские пространства,   хорошая экология</v>
      </c>
      <c r="O1461" s="6" t="str">
        <f>IFERROR(__xludf.DUMMYFUNCTION("""COMPUTED_VALUE"""),"Обновить автопарк общественного транспорта, сделать удобный график его работы для жителей Кировского района, провести газ в частный сектор города")</f>
        <v>Обновить автопарк общественного транспорта, сделать удобный график его работы для жителей Кировского района, провести газ в частный сектор города</v>
      </c>
      <c r="P1461" s="6" t="str">
        <f>IFERROR(__xludf.DUMMYFUNCTION("""COMPUTED_VALUE"""),"От активных граждан, которые пишут о событиях в городе в фейсбуке, новости по  TV, театральная афиша в инете")</f>
        <v>От активных граждан, которые пишут о событиях в городе в фейсбуке, новости по  TV, театральная афиша в инете</v>
      </c>
      <c r="Q1461" s="6" t="str">
        <f>IFERROR(__xludf.DUMMYFUNCTION("""COMPUTED_VALUE"""),"культурные новинки (что почитать/что послушать), интервью с местными творческими личностями, результаты местных исследований (рейтинги/аналитика/тенденции)")</f>
        <v>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1461" s="6" t="str">
        <f>IFERROR(__xludf.DUMMYFUNCTION("""COMPUTED_VALUE"""),"Отличный был концерт ""Герои мирового рока"" _ незабываемое впечатление, это как космический корабль, который приземлился в Кемерово")</f>
        <v>Отличный был концерт "Герои мирового рока" _ незабываемое впечатление, это как космический корабль, который приземлился в Кемерово</v>
      </c>
      <c r="S1461" s="6" t="str">
        <f>IFERROR(__xludf.DUMMYFUNCTION("""COMPUTED_VALUE"""),"Нет, не приходилось")</f>
        <v>Нет, не приходилось</v>
      </c>
      <c r="T1461" s="6" t="str">
        <f>IFERROR(__xludf.DUMMYFUNCTION("""COMPUTED_VALUE"""),"Столица шахтёрского края")</f>
        <v>Столица шахтёрского края</v>
      </c>
      <c r="U1461" s="6" t="str">
        <f>IFERROR(__xludf.DUMMYFUNCTION("""COMPUTED_VALUE"""),"Улица Весенняя, набережная центральная")</f>
        <v>Улица Весенняя, набережная центральная</v>
      </c>
      <c r="V1461" s="6" t="str">
        <f>IFERROR(__xludf.DUMMYFUNCTION("""COMPUTED_VALUE"""),"Построили промышленные предприятия, обеспечивали страну углем, музей изобразить искусств собрал коллекцию современного искусства Сибири, развивали науку и образование, культуру")</f>
        <v>Построили промышленные предприятия, обеспечивали страну углем, музей изобразить искусств собрал коллекцию современного искусства Сибири, развивали науку и образование, культуру</v>
      </c>
      <c r="W1461" s="6" t="str">
        <f>IFERROR(__xludf.DUMMYFUNCTION("""COMPUTED_VALUE"""),"В основном это люди рабочих профессий, открытые, добрые,   терпеливые,   простоватые,    некоторые любят свой город, многие не видят жизненных перспектив и уезжают")</f>
        <v>В основном это люди рабочих профессий, открытые, добрые,   терпеливые,   простоватые,    некоторые любят свой город, многие не видят жизненных перспектив и уезжают</v>
      </c>
      <c r="X1461" s="6" t="str">
        <f>IFERROR(__xludf.DUMMYFUNCTION("""COMPUTED_VALUE"""),"УЛ, Весенняя и центральная  набережная")</f>
        <v>УЛ, Весенняя и центральная  набережная</v>
      </c>
      <c r="Y1461" s="6" t="str">
        <f>IFERROR(__xludf.DUMMYFUNCTION("""COMPUTED_VALUE"""),"Это приезд колонистов в АИК, строительство Коксохима, попытки голландского архитектораЛохэма построить жилье для рабочих и соцгородок")</f>
        <v>Это приезд колонистов в АИК, строительство Коксохима, попытки голландского архитектораЛохэма построить жилье для рабочих и соцгородок</v>
      </c>
      <c r="Z1461" s="6" t="str">
        <f>IFERROR(__xludf.DUMMYFUNCTION("""COMPUTED_VALUE"""),"Строительство культурного кластера, художественные выставки, фестиваль театров Сибири,  гастроли московских театров")</f>
        <v>Строительство культурного кластера, художественные выставки, фестиваль театров Сибири,  гастроли московских театров</v>
      </c>
      <c r="AA1461" s="6" t="str">
        <f>IFERROR(__xludf.DUMMYFUNCTION("""COMPUTED_VALUE"""),"Закрыли бассейн Лазурный, городу явно не хватает бассейнов, перенесли место праздничных салютов, теперь я их не могу видеть из дома,  сокращение количества вузов ")</f>
        <v>Закрыли бассейн Лазурный, городу явно не хватает бассейнов, перенесли место праздничных салютов, теперь я их не могу видеть из дома,  сокращение количества вузов </v>
      </c>
      <c r="AB1461" s="6" t="str">
        <f>IFERROR(__xludf.DUMMYFUNCTION("""COMPUTED_VALUE"""),"Не хватает просто образованных людей, мало выставочных пространств, экскурсионных маршрутов")</f>
        <v>Не хватает просто образованных людей, мало выставочных пространств, экскурсионных маршрутов</v>
      </c>
      <c r="AC1461" s="6" t="str">
        <f>IFERROR(__xludf.DUMMYFUNCTION("""COMPUTED_VALUE"""),"Театральные фестивали, публичные лектории тематические, художественные выставки, например, такого формата как выставки современного искусства ""Форма"" 
или прикладного искусства, горячей эмали в  Новокузнецке были")</f>
        <v>Театральные фестивали, публичные лектории тематические, художественные выставки, например, такого формата как выставки современного искусства "Форма" 
или прикладного искусства, горячей эмали в  Новокузнецке были</v>
      </c>
      <c r="AD1461" s="6" t="str">
        <f>IFERROR(__xludf.DUMMYFUNCTION("""COMPUTED_VALUE"""),"Не готов принимать личное участие (укажите, пожалуйста, причину в поле «Другое»), Могу быть просто участником мероприятий, и популяризатором, так как преподаю в вузе")</f>
        <v>Не готов принимать личное участие (укажите, пожалуйста, причину в поле «Другое»), Могу быть просто участником мероприятий, и популяризатором, так как преподаю в вузе</v>
      </c>
      <c r="AE1461" s="6" t="str">
        <f>IFERROR(__xludf.DUMMYFUNCTION("""COMPUTED_VALUE"""),"Женский")</f>
        <v>Женский</v>
      </c>
      <c r="AF1461" s="6" t="str">
        <f>IFERROR(__xludf.DUMMYFUNCTION("""COMPUTED_VALUE"""),"45-55")</f>
        <v>45-55</v>
      </c>
      <c r="AG1461" s="6"/>
      <c r="AH1461" s="6"/>
      <c r="AI1461" s="6"/>
      <c r="AJ1461" s="6"/>
      <c r="AK1461" s="6"/>
      <c r="AL1461" s="6"/>
      <c r="AM1461" s="6"/>
    </row>
    <row r="1462">
      <c r="A1462" s="6">
        <v>1461.0</v>
      </c>
      <c r="B1462" s="6" t="str">
        <f>IFERROR(__xludf.DUMMYFUNCTION("""COMPUTED_VALUE"""),"Преподатель")</f>
        <v>Преподатель</v>
      </c>
      <c r="C1462" s="6" t="str">
        <f>IFERROR(__xludf.DUMMYFUNCTION("""COMPUTED_VALUE"""),"Путешествия, театр")</f>
        <v>Путешествия, театр</v>
      </c>
      <c r="D1462" s="6" t="str">
        <f>IFERROR(__xludf.DUMMYFUNCTION("""COMPUTED_VALUE"""),"Ценральный.Район цирка.")</f>
        <v>Ценральный.Район цирка.</v>
      </c>
      <c r="E1462" s="6" t="str">
        <f>IFERROR(__xludf.DUMMYFUNCTION("""COMPUTED_VALUE"""),"Цирк, кинотеатр ,,Юбилейный""")</f>
        <v>Цирк, кинотеатр ,,Юбилейный"</v>
      </c>
      <c r="F1462" s="6" t="str">
        <f>IFERROR(__xludf.DUMMYFUNCTION("""COMPUTED_VALUE"""),"Переехал сюда из другого места (откуда? укажите в графе другое), Белово")</f>
        <v>Переехал сюда из другого места (откуда? укажите в графе другое), Белово</v>
      </c>
      <c r="G1462" s="6" t="str">
        <f>IFERROR(__xludf.DUMMYFUNCTION("""COMPUTED_VALUE"""),"Парк чудес, набережная Томи,  улица Весенняя, пр-т Советский")</f>
        <v>Парк чудес, набережная Томи,  улица Весенняя, пр-т Советский</v>
      </c>
      <c r="H1462" s="6" t="str">
        <f>IFERROR(__xludf.DUMMYFUNCTION("""COMPUTED_VALUE"""),"Орденоносец, герой, мечта, Кузбасс, Волков.")</f>
        <v>Орденоносец, герой, мечта, Кузбасс, Волков.</v>
      </c>
      <c r="I1462" s="6" t="str">
        <f>IFERROR(__xludf.DUMMYFUNCTION("""COMPUTED_VALUE"""),"Михайло Волков, Киров, Вера Волошина")</f>
        <v>Михайло Волков, Киров, Вера Волошина</v>
      </c>
      <c r="J1462" s="6" t="str">
        <f>IFERROR(__xludf.DUMMYFUNCTION("""COMPUTED_VALUE"""),"Аман Тулеев, Подгорбунский, Бобров")</f>
        <v>Аман Тулеев, Подгорбунский, Бобров</v>
      </c>
      <c r="K1462" s="6" t="str">
        <f>IFERROR(__xludf.DUMMYFUNCTION("""COMPUTED_VALUE"""),"Набережную и берёзовую рощу в Кировском районе")</f>
        <v>Набережную и берёзовую рощу в Кировском районе</v>
      </c>
      <c r="L1462" s="6" t="str">
        <f>IFERROR(__xludf.DUMMYFUNCTION("""COMPUTED_VALUE"""),"Многие вспоминают Кемерово как Щегловск")</f>
        <v>Многие вспоминают Кемерово как Щегловск</v>
      </c>
      <c r="M1462" s="6" t="str">
        <f>IFERROR(__xludf.DUMMYFUNCTION("""COMPUTED_VALUE"""),"Пойдём гулять на( по) Весеньку( ке).")</f>
        <v>Пойдём гулять на( по) Весеньку( ке).</v>
      </c>
      <c r="N1462" s="6" t="str">
        <f>IFERROR(__xludf.DUMMYFUNCTION("""COMPUTED_VALUE"""),"Транспорт, экология, доступность, безопасность дорог, досуг")</f>
        <v>Транспорт, экология, доступность, безопасность дорог, досуг</v>
      </c>
      <c r="O1462" s="6" t="str">
        <f>IFERROR(__xludf.DUMMYFUNCTION("""COMPUTED_VALUE"""),"Обеспечить население достаточным транспортом, благостройство дорог, тротуаров, прогулочных дорожек")</f>
        <v>Обеспечить население достаточным транспортом, благостройство дорог, тротуаров, прогулочных дорожек</v>
      </c>
      <c r="P1462" s="6" t="str">
        <f>IFERROR(__xludf.DUMMYFUNCTION("""COMPUTED_VALUE"""),"Инстограм, телевидение")</f>
        <v>Инстограм, телевидение</v>
      </c>
      <c r="Q1462"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462" s="6" t="str">
        <f>IFERROR(__xludf.DUMMYFUNCTION("""COMPUTED_VALUE"""),"День города, Новый год, День Победы, 1ое Мая( демонстрация)")</f>
        <v>День города, Новый год, День Победы, 1ое Мая( демонстрация)</v>
      </c>
      <c r="S1462" s="6" t="str">
        <f>IFERROR(__xludf.DUMMYFUNCTION("""COMPUTED_VALUE"""),"Нет, не приходилось")</f>
        <v>Нет, не приходилось</v>
      </c>
      <c r="T1462" s="6" t="str">
        <f>IFERROR(__xludf.DUMMYFUNCTION("""COMPUTED_VALUE"""),"Жители, Красная горка, Набережная Томи, Кинотеатр ,, Москва""")</f>
        <v>Жители, Красная горка, Набережная Томи, Кинотеатр ,, Москва"</v>
      </c>
      <c r="U1462" s="6" t="str">
        <f>IFERROR(__xludf.DUMMYFUNCTION("""COMPUTED_VALUE"""),"Площать Волкова, Сосновый бор")</f>
        <v>Площать Волкова, Сосновый бор</v>
      </c>
      <c r="V1462" s="6" t="str">
        <f>IFERROR(__xludf.DUMMYFUNCTION("""COMPUTED_VALUE"""),"Трудились на благо города. Незабывали про субботники, а сейчас это редкость")</f>
        <v>Трудились на благо города. Незабывали про субботники, а сейчас это редкость</v>
      </c>
      <c r="W1462" s="6" t="str">
        <f>IFERROR(__xludf.DUMMYFUNCTION("""COMPUTED_VALUE"""),"Целеустремлённые, настойчивые, дисциплинированные, трудолюбивые")</f>
        <v>Целеустремлённые, настойчивые, дисциплинированные, трудолюбивые</v>
      </c>
      <c r="X1462" s="6" t="str">
        <f>IFERROR(__xludf.DUMMYFUNCTION("""COMPUTED_VALUE"""),"Центр города, трамвай номер 3 - поездка от ж/д  вокзала до Кировского района")</f>
        <v>Центр города, трамвай номер 3 - поездка от ж/д  вокзала до Кировского района</v>
      </c>
      <c r="Y1462" s="6" t="str">
        <f>IFERROR(__xludf.DUMMYFUNCTION("""COMPUTED_VALUE"""),"Открытие памятника  космонавту А.Леонову, присвоение аэропорту имени А ЛеоноваО")</f>
        <v>Открытие памятника  космонавту А.Леонову, присвоение аэропорту имени А ЛеоноваО</v>
      </c>
      <c r="Z1462" s="6" t="str">
        <f>IFERROR(__xludf.DUMMYFUNCTION("""COMPUTED_VALUE"""),"Открытие парка Ангелов")</f>
        <v>Открытие парка Ангелов</v>
      </c>
      <c r="AA1462" s="6" t="str">
        <f>IFERROR(__xludf.DUMMYFUNCTION("""COMPUTED_VALUE"""),"Плохая работа автотранспорта, закрытие многих маршрутов в городе, в том числе отмена троллейбусного маршрута номер 2")</f>
        <v>Плохая работа автотранспорта, закрытие многих маршрутов в городе, в том числе отмена троллейбусного маршрута номер 2</v>
      </c>
      <c r="AB1462" s="6" t="str">
        <f>IFERROR(__xludf.DUMMYFUNCTION("""COMPUTED_VALUE"""),"их достаточно")</f>
        <v>их достаточно</v>
      </c>
      <c r="AC1462" s="6" t="str">
        <f>IFERROR(__xludf.DUMMYFUNCTION("""COMPUTED_VALUE"""),"Фестивали и спортивные мероприятия федерального( мирового) значения")</f>
        <v>Фестивали и спортивные мероприятия федерального( мирового) значения</v>
      </c>
      <c r="AD1462"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462" s="6" t="str">
        <f>IFERROR(__xludf.DUMMYFUNCTION("""COMPUTED_VALUE"""),"Мужской")</f>
        <v>Мужской</v>
      </c>
      <c r="AF1462" s="6" t="str">
        <f>IFERROR(__xludf.DUMMYFUNCTION("""COMPUTED_VALUE"""),"старше 55")</f>
        <v>старше 55</v>
      </c>
      <c r="AG1462" s="6"/>
      <c r="AH1462" s="6"/>
      <c r="AI1462" s="6"/>
      <c r="AJ1462" s="6"/>
      <c r="AK1462" s="6"/>
      <c r="AL1462" s="6"/>
      <c r="AM1462" s="6"/>
    </row>
    <row r="1463">
      <c r="A1463" s="6">
        <v>1462.0</v>
      </c>
      <c r="B1463" s="6" t="str">
        <f>IFERROR(__xludf.DUMMYFUNCTION("""COMPUTED_VALUE"""),"Предприниматель")</f>
        <v>Предприниматель</v>
      </c>
      <c r="C1463" s="6" t="str">
        <f>IFERROR(__xludf.DUMMYFUNCTION("""COMPUTED_VALUE"""),"Общественная деятельность")</f>
        <v>Общественная деятельность</v>
      </c>
      <c r="D1463" s="6" t="str">
        <f>IFERROR(__xludf.DUMMYFUNCTION("""COMPUTED_VALUE"""),"Центральный")</f>
        <v>Центральный</v>
      </c>
      <c r="E1463" s="6" t="str">
        <f>IFERROR(__xludf.DUMMYFUNCTION("""COMPUTED_VALUE"""),"Река искитимка")</f>
        <v>Река искитимка</v>
      </c>
      <c r="F1463"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1463" s="6" t="str">
        <f>IFERROR(__xludf.DUMMYFUNCTION("""COMPUTED_VALUE"""),"Парк антошка, Жукова, рудничный бор, набережная, сквер у филармонии, площадь советов")</f>
        <v>Парк антошка, Жукова, рудничный бор, набережная, сквер у филармонии, площадь советов</v>
      </c>
      <c r="H1463" s="6" t="str">
        <f>IFERROR(__xludf.DUMMYFUNCTION("""COMPUTED_VALUE"""),"Пыль, грязь, грязный воздух, Томь, рудничный бор.")</f>
        <v>Пыль, грязь, грязный воздух, Томь, рудничный бор.</v>
      </c>
      <c r="I1463" s="6" t="str">
        <f>IFERROR(__xludf.DUMMYFUNCTION("""COMPUTED_VALUE"""),"Ван Лохем")</f>
        <v>Ван Лохем</v>
      </c>
      <c r="J1463" s="6" t="str">
        <f>IFERROR(__xludf.DUMMYFUNCTION("""COMPUTED_VALUE"""),"Сухацкий В.А")</f>
        <v>Сухацкий В.А</v>
      </c>
      <c r="K1463" s="6" t="str">
        <f>IFERROR(__xludf.DUMMYFUNCTION("""COMPUTED_VALUE"""),"Театр оперетты")</f>
        <v>Театр оперетты</v>
      </c>
      <c r="L1463" s="6" t="str">
        <f>IFERROR(__xludf.DUMMYFUNCTION("""COMPUTED_VALUE"""),"Последний кто будет уезжать выключите свет")</f>
        <v>Последний кто будет уезжать выключите свет</v>
      </c>
      <c r="M1463" s="6" t="str">
        <f>IFERROR(__xludf.DUMMYFUNCTION("""COMPUTED_VALUE"""),"Нет")</f>
        <v>Нет</v>
      </c>
      <c r="N1463" s="6" t="str">
        <f>IFERROR(__xludf.DUMMYFUNCTION("""COMPUTED_VALUE"""),"Отсутствие пыли, чистый воздух, наличие пешеходных и вело дорожек в городе, по которым удобно ходить и ездить, наличие зелёных зон для прогулок, наличие пешеходных зон свободных от авто в центре города")</f>
        <v>Отсутствие пыли, чистый воздух, наличие пешеходных и вело дорожек в городе, по которым удобно ходить и ездить, наличие зелёных зон для прогулок, наличие пешеходных зон свободных от авто в центре города</v>
      </c>
      <c r="O1463" s="6" t="str">
        <f>IFERROR(__xludf.DUMMYFUNCTION("""COMPUTED_VALUE"""),"Благоустройство. Оно отсутствует как классс.")</f>
        <v>Благоустройство. Оно отсутствует как классс.</v>
      </c>
      <c r="P1463" s="6" t="str">
        <f>IFERROR(__xludf.DUMMYFUNCTION("""COMPUTED_VALUE"""),"Интернет, фб")</f>
        <v>Интернет, фб</v>
      </c>
      <c r="Q1463" s="6" t="str">
        <f>IFERROR(__xludf.DUMMYFUNCTION("""COMPUTED_VALUE"""),"результаты местных исследований (рейтинги/аналитика/тенденции)")</f>
        <v>результаты местных исследований (рейтинги/аналитика/тенденции)</v>
      </c>
      <c r="R1463" s="6" t="str">
        <f>IFERROR(__xludf.DUMMYFUNCTION("""COMPUTED_VALUE"""),"Новый год")</f>
        <v>Новый год</v>
      </c>
      <c r="S1463"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f>
        <v>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v>
      </c>
      <c r="T1463" s="6" t="str">
        <f>IFERROR(__xludf.DUMMYFUNCTION("""COMPUTED_VALUE"""),"Знаменит ""человеком из Кемерово"", Гришковцом, историческим центром, грязным воздухом")</f>
        <v>Знаменит "человеком из Кемерово", Гришковцом, историческим центром, грязным воздухом</v>
      </c>
      <c r="U1463" s="6" t="str">
        <f>IFERROR(__xludf.DUMMYFUNCTION("""COMPUTED_VALUE"""),"Пр-т советский, площадь Пушкина, набережная")</f>
        <v>Пр-т советский, площадь Пушкина, набережная</v>
      </c>
      <c r="V1463" s="6" t="str">
        <f>IFERROR(__xludf.DUMMYFUNCTION("""COMPUTED_VALUE"""),"Сохранили рудничный бор")</f>
        <v>Сохранили рудничный бор</v>
      </c>
      <c r="W1463" s="6" t="str">
        <f>IFERROR(__xludf.DUMMYFUNCTION("""COMPUTED_VALUE"""),"Обычные люди как все , только с пониженной активностью в виду многолетнего давления властей")</f>
        <v>Обычные люди как все , только с пониженной активностью в виду многолетнего давления властей</v>
      </c>
      <c r="X1463" s="6" t="str">
        <f>IFERROR(__xludf.DUMMYFUNCTION("""COMPUTED_VALUE"""),"Для прогулок город мало подходит. Нет связанных маршрутов. Хорошо бы сделать пеший маршрут вдоль искитимки от южного до центра парка антошки, Жукова с переходом в сквер у филармонии, площадь советов, площадь Пушкина, набережная, парк чудес, выход из парка"&amp;" чудес на аллею по улице Кирова с выходом на советский. Кольцевой маршрут.")</f>
        <v>Для прогулок город мало подходит. Нет связанных маршрутов. Хорошо бы сделать пеший маршрут вдоль искитимки от южного до центра парка антошки, Жукова с переходом в сквер у филармонии, площадь советов, площадь Пушкина, набережная, парк чудес, выход из парка чудес на аллею по улице Кирова с выходом на советский. Кольцевой маршрут.</v>
      </c>
      <c r="Y1463" s="6" t="str">
        <f>IFERROR(__xludf.DUMMYFUNCTION("""COMPUTED_VALUE"""),"Приезд специалистов со всего мира в Кемерово.")</f>
        <v>Приезд специалистов со всего мира в Кемерово.</v>
      </c>
      <c r="Z1463" s="6" t="str">
        <f>IFERROR(__xludf.DUMMYFUNCTION("""COMPUTED_VALUE"""),"Не могу ответить")</f>
        <v>Не могу ответить</v>
      </c>
      <c r="AA1463" s="6" t="str">
        <f>IFERROR(__xludf.DUMMYFUNCTION("""COMPUTED_VALUE"""),"Вырубка деревьев, застройка искитимки, закрытие бассейна , ухудшение общего состояния благоустройства в городем")</f>
        <v>Вырубка деревьев, застройка искитимки, закрытие бассейна , ухудшение общего состояния благоустройства в городем</v>
      </c>
      <c r="AB1463" s="6" t="str">
        <f>IFERROR(__xludf.DUMMYFUNCTION("""COMPUTED_VALUE"""),"Мне хватает. Меня не устраивает отношение властей к сообществам, которые создают сами жители")</f>
        <v>Мне хватает. Меня не устраивает отношение властей к сообществам, которые создают сами жители</v>
      </c>
      <c r="AC1463" s="6" t="str">
        <f>IFERROR(__xludf.DUMMYFUNCTION("""COMPUTED_VALUE"""),"1) должны быть события и мероприятия, которые могут планировать сами жители через разные сообщества и власти города должны лишь помогать/не мешать в их проведении. 2) нельзя ставить вопрос: хотите мы вам это организуем или это. Люди сами должны принимать "&amp;"участие, а не быть просто потребителем 3) часто дело не в самом мероприятии, а в его организации. Любое мероприятие , которое организуют власти города можно сценарий описать заранее) ")</f>
        <v>1) должны быть события и мероприятия, которые могут планировать сами жители через разные сообщества и власти города должны лишь помогать/не мешать в их проведении. 2) нельзя ставить вопрос: хотите мы вам это организуем или это. Люди сами должны принимать участие, а не быть просто потребителем 3) часто дело не в самом мероприятии, а в его организации. Любое мероприятие , которое организуют власти города можно сценарий описать заранее) </v>
      </c>
      <c r="AD146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дл"&amp;"я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463" s="6" t="str">
        <f>IFERROR(__xludf.DUMMYFUNCTION("""COMPUTED_VALUE"""),"Мужской")</f>
        <v>Мужской</v>
      </c>
      <c r="AF1463" s="6" t="str">
        <f>IFERROR(__xludf.DUMMYFUNCTION("""COMPUTED_VALUE"""),"45-55")</f>
        <v>45-55</v>
      </c>
      <c r="AG1463" s="6"/>
      <c r="AH1463" s="6"/>
      <c r="AI1463" s="6"/>
      <c r="AJ1463" s="6"/>
      <c r="AK1463" s="6"/>
      <c r="AL1463" s="6"/>
      <c r="AM1463" s="6"/>
    </row>
    <row r="1464">
      <c r="A1464" s="6">
        <v>1463.0</v>
      </c>
      <c r="B1464" s="6" t="str">
        <f>IFERROR(__xludf.DUMMYFUNCTION("""COMPUTED_VALUE"""),"пенсионер")</f>
        <v>пенсионер</v>
      </c>
      <c r="C1464" s="6" t="str">
        <f>IFERROR(__xludf.DUMMYFUNCTION("""COMPUTED_VALUE"""),"собаки")</f>
        <v>собаки</v>
      </c>
      <c r="D1464" s="6" t="str">
        <f>IFERROR(__xludf.DUMMYFUNCTION("""COMPUTED_VALUE"""),"ленинский")</f>
        <v>ленинский</v>
      </c>
      <c r="E1464" s="6" t="str">
        <f>IFERROR(__xludf.DUMMYFUNCTION("""COMPUTED_VALUE"""),"бульвар строителей")</f>
        <v>бульвар строителей</v>
      </c>
      <c r="F1464" s="6" t="str">
        <f>IFERROR(__xludf.DUMMYFUNCTION("""COMPUTED_VALUE"""),"Живу здесь с рождения")</f>
        <v>Живу здесь с рождения</v>
      </c>
      <c r="G1464" s="6" t="str">
        <f>IFERROR(__xludf.DUMMYFUNCTION("""COMPUTED_VALUE"""),"томская писаница, парки города, бассейн, театр")</f>
        <v>томская писаница, парки города, бассейн, театр</v>
      </c>
      <c r="H1464" s="6" t="str">
        <f>IFERROR(__xludf.DUMMYFUNCTION("""COMPUTED_VALUE"""),"Шахтерский, маленький, родина, зеленый, грязный")</f>
        <v>Шахтерский, маленький, родина, зеленый, грязный</v>
      </c>
      <c r="I1464" s="6" t="str">
        <f>IFERROR(__xludf.DUMMYFUNCTION("""COMPUTED_VALUE""")," Михайло Волков")</f>
        <v> Михайло Волков</v>
      </c>
      <c r="J1464" s="6" t="str">
        <f>IFERROR(__xludf.DUMMYFUNCTION("""COMPUTED_VALUE"""),"Алексей Леонов, ")</f>
        <v>Алексей Леонов, </v>
      </c>
      <c r="K1464" s="6" t="str">
        <f>IFERROR(__xludf.DUMMYFUNCTION("""COMPUTED_VALUE"""),"Памятник Шахтеру Эрнста Неизвестного, Томская Писаница")</f>
        <v>Памятник Шахтеру Эрнста Неизвестного, Томская Писаница</v>
      </c>
      <c r="L1464" s="6" t="str">
        <f>IFERROR(__xludf.DUMMYFUNCTION("""COMPUTED_VALUE"""),"не знаю")</f>
        <v>не знаю</v>
      </c>
      <c r="M1464" s="6" t="str">
        <f>IFERROR(__xludf.DUMMYFUNCTION("""COMPUTED_VALUE"""),"колба")</f>
        <v>колба</v>
      </c>
      <c r="N1464" s="6" t="str">
        <f>IFERROR(__xludf.DUMMYFUNCTION("""COMPUTED_VALUE"""),"небольшой, ")</f>
        <v>небольшой, </v>
      </c>
      <c r="O1464" s="6" t="str">
        <f>IFERROR(__xludf.DUMMYFUNCTION("""COMPUTED_VALUE"""),"Навести чистоту, доделать парк в Ленинском районе, отремонтировать дороги, построить бассейны, аквапарк")</f>
        <v>Навести чистоту, доделать парк в Ленинском районе, отремонтировать дороги, построить бассейны, аквапарк</v>
      </c>
      <c r="P1464" s="6" t="str">
        <f>IFERROR(__xludf.DUMMYFUNCTION("""COMPUTED_VALUE"""),"Инстаграм, яндекс,рамблер, в контакте")</f>
        <v>Инстаграм, яндекс,рамблер, в контакте</v>
      </c>
      <c r="Q146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464" s="6" t="str">
        <f>IFERROR(__xludf.DUMMYFUNCTION("""COMPUTED_VALUE"""),"новый год, день города")</f>
        <v>новый год, день города</v>
      </c>
      <c r="S1464" s="6" t="str">
        <f>IFERROR(__xludf.DUMMYFUNCTION("""COMPUTED_VALUE"""),"Нет, не приходилось")</f>
        <v>Нет, не приходилось</v>
      </c>
      <c r="T1464" s="6" t="str">
        <f>IFERROR(__xludf.DUMMYFUNCTION("""COMPUTED_VALUE"""),"Уголь.  Ничего уникального нет. Приезжающим гостям показать нечего!")</f>
        <v>Уголь.  Ничего уникального нет. Приезжающим гостям показать нечего!</v>
      </c>
      <c r="U1464" s="6" t="str">
        <f>IFERROR(__xludf.DUMMYFUNCTION("""COMPUTED_VALUE"""),"Красная горка")</f>
        <v>Красная горка</v>
      </c>
      <c r="V1464" s="6" t="str">
        <f>IFERROR(__xludf.DUMMYFUNCTION("""COMPUTED_VALUE"""),"не знаю")</f>
        <v>не знаю</v>
      </c>
      <c r="W1464" s="6" t="str">
        <f>IFERROR(__xludf.DUMMYFUNCTION("""COMPUTED_VALUE"""),"доброжелательные")</f>
        <v>доброжелательные</v>
      </c>
      <c r="X1464" s="6" t="str">
        <f>IFERROR(__xludf.DUMMYFUNCTION("""COMPUTED_VALUE"""),"проспект Советский")</f>
        <v>проспект Советский</v>
      </c>
      <c r="Y1464" s="6" t="str">
        <f>IFERROR(__xludf.DUMMYFUNCTION("""COMPUTED_VALUE"""),"не знаю")</f>
        <v>не знаю</v>
      </c>
      <c r="Z1464" s="6" t="str">
        <f>IFERROR(__xludf.DUMMYFUNCTION("""COMPUTED_VALUE"""),"Открытие президентского училища")</f>
        <v>Открытие президентского училища</v>
      </c>
      <c r="AA1464" s="6" t="str">
        <f>IFERROR(__xludf.DUMMYFUNCTION("""COMPUTED_VALUE"""),"Зимняя Вишня")</f>
        <v>Зимняя Вишня</v>
      </c>
      <c r="AB1464" s="6" t="str">
        <f>IFERROR(__xludf.DUMMYFUNCTION("""COMPUTED_VALUE"""),"Спортивных ")</f>
        <v>Спортивных </v>
      </c>
      <c r="AC1464" s="6" t="str">
        <f>IFERROR(__xludf.DUMMYFUNCTION("""COMPUTED_VALUE"""),"Спортивных общегородских мероприятий, например марафоны, велозаезды, где могут участвовать все желающие  ")</f>
        <v>Спортивных общегородских мероприятий, например марафоны, велозаезды, где могут участвовать все желающие  </v>
      </c>
      <c r="AD146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64" s="6" t="str">
        <f>IFERROR(__xludf.DUMMYFUNCTION("""COMPUTED_VALUE"""),"Женский")</f>
        <v>Женский</v>
      </c>
      <c r="AF1464" s="6" t="str">
        <f>IFERROR(__xludf.DUMMYFUNCTION("""COMPUTED_VALUE"""),"старше 55")</f>
        <v>старше 55</v>
      </c>
      <c r="AG1464" s="6"/>
      <c r="AH1464" s="6"/>
      <c r="AI1464" s="6"/>
      <c r="AJ1464" s="6"/>
      <c r="AK1464" s="6"/>
      <c r="AL1464" s="6"/>
      <c r="AM1464" s="6"/>
    </row>
    <row r="1465">
      <c r="A1465" s="6">
        <v>1464.0</v>
      </c>
      <c r="B1465" s="6" t="str">
        <f>IFERROR(__xludf.DUMMYFUNCTION("""COMPUTED_VALUE"""),"учусь в школе")</f>
        <v>учусь в школе</v>
      </c>
      <c r="C1465" s="6" t="str">
        <f>IFERROR(__xludf.DUMMYFUNCTION("""COMPUTED_VALUE"""),"фотография/видеосъемка, рукоделие, танцы, языки")</f>
        <v>фотография/видеосъемка, рукоделие, танцы, языки</v>
      </c>
      <c r="D1465" s="6" t="str">
        <f>IFERROR(__xludf.DUMMYFUNCTION("""COMPUTED_VALUE"""),"центральный")</f>
        <v>центральный</v>
      </c>
      <c r="E1465" s="6" t="str">
        <f>IFERROR(__xludf.DUMMYFUNCTION("""COMPUTED_VALUE"""),"не особо поняла смысл «знаковые», но доя меня важными местами являются улица Весенняя, Драмтеатр, площадь Советов, улица Арочная и набережная")</f>
        <v>не особо поняла смысл «знаковые», но доя меня важными местами являются улица Весенняя, Драмтеатр, площадь Советов, улица Арочная и набережная</v>
      </c>
      <c r="F1465" s="6" t="str">
        <f>IFERROR(__xludf.DUMMYFUNCTION("""COMPUTED_VALUE"""),"Живу здесь с рождения")</f>
        <v>Живу здесь с рождения</v>
      </c>
      <c r="G1465" s="6" t="str">
        <f>IFERROR(__xludf.DUMMYFUNCTION("""COMPUTED_VALUE"""),"в кофейни или на прогулки по Весенней, Советскому или набережной")</f>
        <v>в кофейни или на прогулки по Весенней, Советскому или набережной</v>
      </c>
      <c r="H1465" s="6" t="str">
        <f>IFERROR(__xludf.DUMMYFUNCTION("""COMPUTED_VALUE"""),"зелень, архитектура, небольшой, уютный, красивый")</f>
        <v>зелень, архитектура, небольшой, уютный, красивый</v>
      </c>
      <c r="I1465" s="6" t="str">
        <f>IFERROR(__xludf.DUMMYFUNCTION("""COMPUTED_VALUE"""),"Вера Волошина, Леонов")</f>
        <v>Вера Волошина, Леонов</v>
      </c>
      <c r="J1465" s="6" t="str">
        <f>IFERROR(__xludf.DUMMYFUNCTION("""COMPUTED_VALUE"""),"для меня таковых нет")</f>
        <v>для меня таковых нет</v>
      </c>
      <c r="K1465" s="6" t="str">
        <f>IFERROR(__xludf.DUMMYFUNCTION("""COMPUTED_VALUE"""),"один небольшой дворик на улице Арочной, площадь Пушкина, набережная")</f>
        <v>один небольшой дворик на улице Арочной, площадь Пушкина, набережная</v>
      </c>
      <c r="L1465" s="6" t="str">
        <f>IFERROR(__xludf.DUMMYFUNCTION("""COMPUTED_VALUE"""),"не знаю")</f>
        <v>не знаю</v>
      </c>
      <c r="M1465" s="6" t="str">
        <f>IFERROR(__xludf.DUMMYFUNCTION("""COMPUTED_VALUE"""),"не слышала таких")</f>
        <v>не слышала таких</v>
      </c>
      <c r="N1465" s="6" t="str">
        <f>IFERROR(__xludf.DUMMYFUNCTION("""COMPUTED_VALUE"""),"возможность быстро добраться куда-либо, культурные места(театры, музеи и тд), парки, свежий воздух, современные места для отдыха")</f>
        <v>возможность быстро добраться куда-либо, культурные места(театры, музеи и тд), парки, свежий воздух, современные места для отдыха</v>
      </c>
      <c r="O1465" s="6" t="str">
        <f>IFERROR(__xludf.DUMMYFUNCTION("""COMPUTED_VALUE"""),"создать чистоту на улицах и побольше красивых архитектурных зданий, а не многоэтажных муравейников")</f>
        <v>создать чистоту на улицах и побольше красивых архитектурных зданий, а не многоэтажных муравейников</v>
      </c>
      <c r="P1465" s="6" t="str">
        <f>IFERROR(__xludf.DUMMYFUNCTION("""COMPUTED_VALUE"""),"инстаграм")</f>
        <v>инстаграм</v>
      </c>
      <c r="Q146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v>
      </c>
      <c r="R1465" s="6" t="str">
        <f>IFERROR(__xludf.DUMMYFUNCTION("""COMPUTED_VALUE"""),"никакие")</f>
        <v>никакие</v>
      </c>
      <c r="S1465" s="6" t="str">
        <f>IFERROR(__xludf.DUMMYFUNCTION("""COMPUTED_VALUE"""),"Нет, не приходилось")</f>
        <v>Нет, не приходилось</v>
      </c>
      <c r="T1465" s="6" t="str">
        <f>IFERROR(__xludf.DUMMYFUNCTION("""COMPUTED_VALUE"""),"какая-то своя архитектура, атмосфера")</f>
        <v>какая-то своя архитектура, атмосфера</v>
      </c>
      <c r="U1465" s="6" t="str">
        <f>IFERROR(__xludf.DUMMYFUNCTION("""COMPUTED_VALUE"""),"закуток от Красноармейской до набережной, включая Весеннюю, 50 Лет Октября, Площадь Советов, Арочную и др.")</f>
        <v>закуток от Красноармейской до набережной, включая Весеннюю, 50 Лет Октября, Площадь Советов, Арочную и др.</v>
      </c>
      <c r="V1465" s="6" t="str">
        <f>IFERROR(__xludf.DUMMYFUNCTION("""COMPUTED_VALUE"""),"не знаю")</f>
        <v>не знаю</v>
      </c>
      <c r="W1465" s="6" t="str">
        <f>IFERROR(__xludf.DUMMYFUNCTION("""COMPUTED_VALUE"""),"недовольство жизнью, постоянный бег куда-то, иногда вежливость")</f>
        <v>недовольство жизнью, постоянный бег куда-то, иногда вежливость</v>
      </c>
      <c r="X1465" s="6" t="str">
        <f>IFERROR(__xludf.DUMMYFUNCTION("""COMPUTED_VALUE"""),"Парк Ангелов -&gt; 50 Лет Октября -&gt; площадь Советов -&gt; площадь Пушкина-&gt; Арочная-&gt; Набережная")</f>
        <v>Парк Ангелов -&gt; 50 Лет Октября -&gt; площадь Советов -&gt; площадь Пушкина-&gt; Арочная-&gt; Набережная</v>
      </c>
      <c r="Y1465" s="6" t="str">
        <f>IFERROR(__xludf.DUMMYFUNCTION("""COMPUTED_VALUE"""),"приезды знаменитых танцоров")</f>
        <v>приезды знаменитых танцоров</v>
      </c>
      <c r="Z1465" s="6" t="str">
        <f>IFERROR(__xludf.DUMMYFUNCTION("""COMPUTED_VALUE"""),"никакие")</f>
        <v>никакие</v>
      </c>
      <c r="AA1465" s="6" t="str">
        <f>IFERROR(__xludf.DUMMYFUNCTION("""COMPUTED_VALUE"""),"зимняя вишня и экология")</f>
        <v>зимняя вишня и экология</v>
      </c>
      <c r="AB1465" s="6" t="str">
        <f>IFERROR(__xludf.DUMMYFUNCTION("""COMPUTED_VALUE"""),"фотографы, книжные клубы")</f>
        <v>фотографы, книжные клубы</v>
      </c>
      <c r="AC1465" s="6" t="str">
        <f>IFERROR(__xludf.DUMMYFUNCTION("""COMPUTED_VALUE"""),"больше выставок, библиотек и культурынх мероприятий")</f>
        <v>больше выставок, библиотек и культурынх мероприятий</v>
      </c>
      <c r="AD1465"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что-то про фотографию, танцы")</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что-то про фотографию, танцы</v>
      </c>
      <c r="AE1465" s="6" t="str">
        <f>IFERROR(__xludf.DUMMYFUNCTION("""COMPUTED_VALUE"""),"Женский")</f>
        <v>Женский</v>
      </c>
      <c r="AF1465" s="6" t="str">
        <f>IFERROR(__xludf.DUMMYFUNCTION("""COMPUTED_VALUE"""),"18-29")</f>
        <v>18-29</v>
      </c>
      <c r="AG1465" s="6"/>
      <c r="AH1465" s="6"/>
      <c r="AI1465" s="6"/>
      <c r="AJ1465" s="6"/>
      <c r="AK1465" s="6"/>
      <c r="AL1465" s="6"/>
      <c r="AM1465" s="6"/>
    </row>
    <row r="1466">
      <c r="A1466" s="6">
        <v>1465.0</v>
      </c>
      <c r="B1466" s="6" t="str">
        <f>IFERROR(__xludf.DUMMYFUNCTION("""COMPUTED_VALUE"""),"Театр")</f>
        <v>Театр</v>
      </c>
      <c r="C1466" s="6" t="str">
        <f>IFERROR(__xludf.DUMMYFUNCTION("""COMPUTED_VALUE"""),"Изучаю племена, что живут вне цивилизации")</f>
        <v>Изучаю племена, что живут вне цивилизации</v>
      </c>
      <c r="D1466" s="6" t="str">
        <f>IFERROR(__xludf.DUMMYFUNCTION("""COMPUTED_VALUE"""),"Центральный")</f>
        <v>Центральный</v>
      </c>
      <c r="E1466" s="6" t="str">
        <f>IFERROR(__xludf.DUMMYFUNCTION("""COMPUTED_VALUE"""),"Лапландия, улица весенняя, Парк Победы)")</f>
        <v>Лапландия, улица весенняя, Парк Победы)</v>
      </c>
      <c r="F1466" s="6" t="str">
        <f>IFERROR(__xludf.DUMMYFUNCTION("""COMPUTED_VALUE"""),"Родился здесь,но сейчас живу в другом городе")</f>
        <v>Родился здесь,но сейчас живу в другом городе</v>
      </c>
      <c r="G1466" s="6" t="str">
        <f>IFERROR(__xludf.DUMMYFUNCTION("""COMPUTED_VALUE"""),"На пляжи реки Томь, набережная")</f>
        <v>На пляжи реки Томь, набережная</v>
      </c>
      <c r="H1466" s="6" t="str">
        <f>IFERROR(__xludf.DUMMYFUNCTION("""COMPUTED_VALUE"""),"Небольшой, индустриальный, уютный, Сибирь, Люди")</f>
        <v>Небольшой, индустриальный, уютный, Сибирь, Люди</v>
      </c>
      <c r="I1466" s="6" t="str">
        <f>IFERROR(__xludf.DUMMYFUNCTION("""COMPUTED_VALUE"""),"Волков, Михайлов,")</f>
        <v>Волков, Михайлов,</v>
      </c>
      <c r="J1466" s="6" t="str">
        <f>IFERROR(__xludf.DUMMYFUNCTION("""COMPUTED_VALUE"""),"Ректор КемГу Захаров, Мэр Михайлов, Гришковец, Ольга Васильева ( кот да Винчи кафе), Сергей Александрович Сергеев( театр Встреча), Андрей Отинов, Елена Митрофанова, Актеры Шокин и Цуканова.")</f>
        <v>Ректор КемГу Захаров, Мэр Михайлов, Гришковец, Ольга Васильева ( кот да Винчи кафе), Сергей Александрович Сергеев( театр Встреча), Андрей Отинов, Елена Митрофанова, Актеры Шокин и Цуканова.</v>
      </c>
      <c r="K1466" s="6" t="str">
        <f>IFERROR(__xludf.DUMMYFUNCTION("""COMPUTED_VALUE"""),"Набережная, в прошлом Кот да Винчи, Театр «Встреча» и КемГУ, театр «Ложа», дом йоги «Мудра»., кафе «Белочка» на весенней.")</f>
        <v>Набережная, в прошлом Кот да Винчи, Театр «Встреча» и КемГУ, театр «Ложа», дом йоги «Мудра»., кафе «Белочка» на весенней.</v>
      </c>
      <c r="L1466" s="6" t="str">
        <f>IFERROR(__xludf.DUMMYFUNCTION("""COMPUTED_VALUE"""),"История про человека , который ходил на все премьеры в театр Драмы. С Брэдами и букетом цветов в костюме, а потом его выгнали и не пускали в театр(")</f>
        <v>История про человека , который ходил на все премьеры в театр Драмы. С Брэдами и букетом цветов в костюме, а потом его выгнали и не пускали в театр(</v>
      </c>
      <c r="M1466" s="6" t="str">
        <f>IFERROR(__xludf.DUMMYFUNCTION("""COMPUTED_VALUE"""),"Человек из Кемерово), ")</f>
        <v>Человек из Кемерово), </v>
      </c>
      <c r="N1466" s="6" t="str">
        <f>IFERROR(__xludf.DUMMYFUNCTION("""COMPUTED_VALUE"""),"Чистота, много кафе разных, постоянно обновляющиеся выставки, интересные мероприятия, удобный транспорт")</f>
        <v>Чистота, много кафе разных, постоянно обновляющиеся выставки, интересные мероприятия, удобный транспорт</v>
      </c>
      <c r="O1466" s="6" t="str">
        <f>IFERROR(__xludf.DUMMYFUNCTION("""COMPUTED_VALUE"""),"Отношение администрации к творческим людям и к проводимым праздникам и мероприятиям. Побольше креатива и индивидуальности)")</f>
        <v>Отношение администрации к творческим людям и к проводимым праздникам и мероприятиям. Побольше креатива и индивидуальности)</v>
      </c>
      <c r="P1466" s="6" t="str">
        <f>IFERROR(__xludf.DUMMYFUNCTION("""COMPUTED_VALUE"""),"ФБ и ВК")</f>
        <v>ФБ и ВК</v>
      </c>
      <c r="Q146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поступать/"&amp;"вакансии,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1466" s="6" t="str">
        <f>IFERROR(__xludf.DUMMYFUNCTION("""COMPUTED_VALUE"""),"День города, день шахтера, какие нибудь интересные креативные мероприятия)) ")</f>
        <v>День города, день шахтера, какие нибудь интересные креативные мероприятия)) </v>
      </c>
      <c r="S1466" s="6" t="str">
        <f>IFERROR(__xludf.DUMMYFUNCTION("""COMPUTED_VALUE"""),"Организовывала Театральный фестиваль уличных театров, проект «Лучший» и многое другое...")</f>
        <v>Организовывала Театральный фестиваль уличных театров, проект «Лучший» и многое другое...</v>
      </c>
      <c r="T1466" s="6" t="str">
        <f>IFERROR(__xludf.DUMMYFUNCTION("""COMPUTED_VALUE"""),"Природа в окрестностях. Раньше были знаковые места)")</f>
        <v>Природа в окрестностях. Раньше были знаковые места)</v>
      </c>
      <c r="U1466" s="6" t="str">
        <f>IFERROR(__xludf.DUMMYFUNCTION("""COMPUTED_VALUE"""),"Набережная, Весенняя, ")</f>
        <v>Набережная, Весенняя, </v>
      </c>
      <c r="V1466" s="6" t="str">
        <f>IFERROR(__xludf.DUMMYFUNCTION("""COMPUTED_VALUE"""),"Развивали культуру) , делали город чистым, много цветов. ")</f>
        <v>Развивали культуру) , делали город чистым, много цветов. </v>
      </c>
      <c r="W1466" s="6" t="str">
        <f>IFERROR(__xludf.DUMMYFUNCTION("""COMPUTED_VALUE"""),"Сильные , душевные, простые, талантливые")</f>
        <v>Сильные , душевные, простые, талантливые</v>
      </c>
      <c r="X1466" s="6" t="str">
        <f>IFERROR(__xludf.DUMMYFUNCTION("""COMPUTED_VALUE"""),"Советский-Весенняя-Набережная")</f>
        <v>Советский-Весенняя-Набережная</v>
      </c>
      <c r="Y1466" s="6" t="str">
        <f>IFERROR(__xludf.DUMMYFUNCTION("""COMPUTED_VALUE"""),"Всероссийская студенческая весна, чемпионат международный по хоккею с мячом")</f>
        <v>Всероссийская студенческая весна, чемпионат международный по хоккею с мячом</v>
      </c>
      <c r="Z1466" s="6" t="str">
        <f>IFERROR(__xludf.DUMMYFUNCTION("""COMPUTED_VALUE"""),"День рождение «Ложи», ")</f>
        <v>День рождение «Ложи», </v>
      </c>
      <c r="AA1466" s="6" t="str">
        <f>IFERROR(__xludf.DUMMYFUNCTION("""COMPUTED_VALUE"""),"Какие-то споры про кафе на набережной, закрытие «Лазурного»")</f>
        <v>Какие-то споры про кафе на набережной, закрытие «Лазурного»</v>
      </c>
      <c r="AB1466" s="6" t="str">
        <f>IFERROR(__xludf.DUMMYFUNCTION("""COMPUTED_VALUE"""),"Сообщества художников, музыкантов, молодежных")</f>
        <v>Сообщества художников, музыкантов, молодежных</v>
      </c>
      <c r="AC1466" s="6" t="str">
        <f>IFERROR(__xludf.DUMMYFUNCTION("""COMPUTED_VALUE"""),"Фестивали, открытые творческие площадки и пространства")</f>
        <v>Фестивали, открытые творческие площадки и пространства</v>
      </c>
      <c r="AD1466"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466" s="6" t="str">
        <f>IFERROR(__xludf.DUMMYFUNCTION("""COMPUTED_VALUE"""),"Женский")</f>
        <v>Женский</v>
      </c>
      <c r="AF1466" s="6" t="str">
        <f>IFERROR(__xludf.DUMMYFUNCTION("""COMPUTED_VALUE"""),"45-55")</f>
        <v>45-55</v>
      </c>
      <c r="AG1466" s="6"/>
      <c r="AH1466" s="6"/>
      <c r="AI1466" s="6"/>
      <c r="AJ1466" s="6"/>
      <c r="AK1466" s="6"/>
      <c r="AL1466" s="6"/>
      <c r="AM1466" s="6"/>
    </row>
    <row r="1467">
      <c r="A1467" s="6">
        <v>1466.0</v>
      </c>
      <c r="B1467" s="6" t="str">
        <f>IFERROR(__xludf.DUMMYFUNCTION("""COMPUTED_VALUE"""),"врач")</f>
        <v>врач</v>
      </c>
      <c r="C1467" s="6" t="str">
        <f>IFERROR(__xludf.DUMMYFUNCTION("""COMPUTED_VALUE"""),"собаки")</f>
        <v>собаки</v>
      </c>
      <c r="D1467" s="6" t="str">
        <f>IFERROR(__xludf.DUMMYFUNCTION("""COMPUTED_VALUE"""),"центральный")</f>
        <v>центральный</v>
      </c>
      <c r="E1467" s="6" t="str">
        <f>IFERROR(__xludf.DUMMYFUNCTION("""COMPUTED_VALUE"""),"набережная,бульвар")</f>
        <v>набережная,бульвар</v>
      </c>
      <c r="F1467"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467" s="6" t="str">
        <f>IFERROR(__xludf.DUMMYFUNCTION("""COMPUTED_VALUE"""),"в бор")</f>
        <v>в бор</v>
      </c>
      <c r="H1467" s="6" t="str">
        <f>IFERROR(__xludf.DUMMYFUNCTION("""COMPUTED_VALUE"""),"набережная,театр")</f>
        <v>набережная,театр</v>
      </c>
      <c r="I1467" s="6" t="str">
        <f>IFERROR(__xludf.DUMMYFUNCTION("""COMPUTED_VALUE"""),"Подгорбунский")</f>
        <v>Подгорбунский</v>
      </c>
      <c r="J1467" s="6" t="str">
        <f>IFERROR(__xludf.DUMMYFUNCTION("""COMPUTED_VALUE"""),"Барбараш,Шраер")</f>
        <v>Барбараш,Шраер</v>
      </c>
      <c r="K1467" s="6" t="str">
        <f>IFERROR(__xludf.DUMMYFUNCTION("""COMPUTED_VALUE"""),"бульвар Строителей парк")</f>
        <v>бульвар Строителей парк</v>
      </c>
      <c r="L1467" s="6" t="str">
        <f>IFERROR(__xludf.DUMMYFUNCTION("""COMPUTED_VALUE"""),"Выражение...пошла в шахту,значит иду работать...не важно кем..")</f>
        <v>Выражение...пошла в шахту,значит иду работать...не важно кем..</v>
      </c>
      <c r="M1467" s="6" t="str">
        <f>IFERROR(__xludf.DUMMYFUNCTION("""COMPUTED_VALUE"""),"мороженое")</f>
        <v>мороженое</v>
      </c>
      <c r="N1467" s="6" t="str">
        <f>IFERROR(__xludf.DUMMYFUNCTION("""COMPUTED_VALUE"""),"чистые улицы, удобные дороги и том числе пешеходные, красивые фасады домов, ухоженные деревья,чистый воздух")</f>
        <v>чистые улицы, удобные дороги и том числе пешеходные, красивые фасады домов, ухоженные деревья,чистый воздух</v>
      </c>
      <c r="O1467" s="6" t="str">
        <f>IFERROR(__xludf.DUMMYFUNCTION("""COMPUTED_VALUE"""),"отреставрировать старый город")</f>
        <v>отреставрировать старый город</v>
      </c>
      <c r="P1467" s="6" t="str">
        <f>IFERROR(__xludf.DUMMYFUNCTION("""COMPUTED_VALUE"""),"фейсбук")</f>
        <v>фейсбук</v>
      </c>
      <c r="Q1467"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467" s="6" t="str">
        <f>IFERROR(__xludf.DUMMYFUNCTION("""COMPUTED_VALUE"""),"день Шахтера")</f>
        <v>день Шахтера</v>
      </c>
      <c r="S1467" s="6" t="str">
        <f>IFERROR(__xludf.DUMMYFUNCTION("""COMPUTED_VALUE"""),"Через социальные сети (Какие? Укажите в графе другое)")</f>
        <v>Через социальные сети (Какие? Укажите в графе другое)</v>
      </c>
      <c r="T1467" s="6" t="str">
        <f>IFERROR(__xludf.DUMMYFUNCTION("""COMPUTED_VALUE"""),"утки")</f>
        <v>утки</v>
      </c>
      <c r="U1467" s="6" t="str">
        <f>IFERROR(__xludf.DUMMYFUNCTION("""COMPUTED_VALUE"""),"Набережная,")</f>
        <v>Набережная,</v>
      </c>
      <c r="V1467" s="6" t="str">
        <f>IFERROR(__xludf.DUMMYFUNCTION("""COMPUTED_VALUE"""),"удобная планировка города")</f>
        <v>удобная планировка города</v>
      </c>
      <c r="W1467" s="6" t="str">
        <f>IFERROR(__xludf.DUMMYFUNCTION("""COMPUTED_VALUE"""),"хмурые и суровые")</f>
        <v>хмурые и суровые</v>
      </c>
      <c r="X1467" s="6" t="str">
        <f>IFERROR(__xludf.DUMMYFUNCTION("""COMPUTED_VALUE"""),"Красная Горка")</f>
        <v>Красная Горка</v>
      </c>
      <c r="Y1467" s="6" t="str">
        <f>IFERROR(__xludf.DUMMYFUNCTION("""COMPUTED_VALUE"""),"Фестиваль уличных искусств")</f>
        <v>Фестиваль уличных искусств</v>
      </c>
      <c r="Z1467" s="6" t="str">
        <f>IFERROR(__xludf.DUMMYFUNCTION("""COMPUTED_VALUE"""),"симфоночь")</f>
        <v>симфоночь</v>
      </c>
      <c r="AA1467" s="6" t="str">
        <f>IFERROR(__xludf.DUMMYFUNCTION("""COMPUTED_VALUE"""),"стройка кафе на Набережной")</f>
        <v>стройка кафе на Набережной</v>
      </c>
      <c r="AB1467" s="6" t="str">
        <f>IFERROR(__xludf.DUMMYFUNCTION("""COMPUTED_VALUE"""),"профессиональных")</f>
        <v>профессиональных</v>
      </c>
      <c r="AC1467" s="6" t="str">
        <f>IFERROR(__xludf.DUMMYFUNCTION("""COMPUTED_VALUE"""),"культурные")</f>
        <v>культурные</v>
      </c>
      <c r="AD1467"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св"&amp;"ои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467" s="6" t="str">
        <f>IFERROR(__xludf.DUMMYFUNCTION("""COMPUTED_VALUE"""),"Женский")</f>
        <v>Женский</v>
      </c>
      <c r="AF1467" s="6" t="str">
        <f>IFERROR(__xludf.DUMMYFUNCTION("""COMPUTED_VALUE"""),"45-55")</f>
        <v>45-55</v>
      </c>
      <c r="AG1467" s="6"/>
      <c r="AH1467" s="6"/>
      <c r="AI1467" s="6"/>
      <c r="AJ1467" s="6"/>
      <c r="AK1467" s="6"/>
      <c r="AL1467" s="6"/>
      <c r="AM1467" s="6"/>
    </row>
    <row r="1468">
      <c r="A1468" s="6">
        <v>1467.0</v>
      </c>
      <c r="B1468" s="6" t="str">
        <f>IFERROR(__xludf.DUMMYFUNCTION("""COMPUTED_VALUE"""),"Охранник")</f>
        <v>Охранник</v>
      </c>
      <c r="C1468" s="6" t="str">
        <f>IFERROR(__xludf.DUMMYFUNCTION("""COMPUTED_VALUE"""),"Спорт, футбол")</f>
        <v>Спорт, футбол</v>
      </c>
      <c r="D1468" s="6" t="str">
        <f>IFERROR(__xludf.DUMMYFUNCTION("""COMPUTED_VALUE"""),"Центральный")</f>
        <v>Центральный</v>
      </c>
      <c r="E1468" s="6" t="str">
        <f>IFERROR(__xludf.DUMMYFUNCTION("""COMPUTED_VALUE"""),"Набережная, собор, драмтеатр")</f>
        <v>Набережная, собор, драмтеатр</v>
      </c>
      <c r="F1468" s="6" t="str">
        <f>IFERROR(__xludf.DUMMYFUNCTION("""COMPUTED_VALUE"""),"Живу здесь с рождения")</f>
        <v>Живу здесь с рождения</v>
      </c>
      <c r="G1468" s="6" t="str">
        <f>IFERROR(__xludf.DUMMYFUNCTION("""COMPUTED_VALUE"""),"Набережная, гуляю по городу, парки")</f>
        <v>Набережная, гуляю по городу, парки</v>
      </c>
      <c r="H1468" s="6" t="str">
        <f>IFERROR(__xludf.DUMMYFUNCTION("""COMPUTED_VALUE"""),"уголь, бор, томь, щегловка, тулеев")</f>
        <v>уголь, бор, томь, щегловка, тулеев</v>
      </c>
      <c r="I1468" s="6" t="str">
        <f>IFERROR(__xludf.DUMMYFUNCTION("""COMPUTED_VALUE"""),"Тулеев, Волков")</f>
        <v>Тулеев, Волков</v>
      </c>
      <c r="J1468" s="6" t="str">
        <f>IFERROR(__xludf.DUMMYFUNCTION("""COMPUTED_VALUE"""),"не знаю")</f>
        <v>не знаю</v>
      </c>
      <c r="K1468" s="6" t="str">
        <f>IFERROR(__xludf.DUMMYFUNCTION("""COMPUTED_VALUE"""),"сосновый бор, набережная")</f>
        <v>сосновый бор, набережная</v>
      </c>
      <c r="L1468" s="6" t="str">
        <f>IFERROR(__xludf.DUMMYFUNCTION("""COMPUTED_VALUE"""),"-")</f>
        <v>-</v>
      </c>
      <c r="M1468" s="6" t="str">
        <f>IFERROR(__xludf.DUMMYFUNCTION("""COMPUTED_VALUE"""),"-")</f>
        <v>-</v>
      </c>
      <c r="N1468" s="6" t="str">
        <f>IFERROR(__xludf.DUMMYFUNCTION("""COMPUTED_VALUE"""),"нет пробок, экология, чистые улицы, адекватные соседи, зелень на улице")</f>
        <v>нет пробок, экология, чистые улицы, адекватные соседи, зелень на улице</v>
      </c>
      <c r="O1468" s="6" t="str">
        <f>IFERROR(__xludf.DUMMYFUNCTION("""COMPUTED_VALUE"""),"экология, парковки")</f>
        <v>экология, парковки</v>
      </c>
      <c r="P1468" s="6" t="str">
        <f>IFERROR(__xludf.DUMMYFUNCTION("""COMPUTED_VALUE"""),"интернет, вк")</f>
        <v>интернет, вк</v>
      </c>
      <c r="Q1468"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v>
      </c>
      <c r="R1468" s="6" t="str">
        <f>IFERROR(__xludf.DUMMYFUNCTION("""COMPUTED_VALUE"""),"никакие")</f>
        <v>никакие</v>
      </c>
      <c r="S1468" s="6" t="str">
        <f>IFERROR(__xludf.DUMMYFUNCTION("""COMPUTED_VALUE"""),"Нет, не приходилось")</f>
        <v>Нет, не приходилось</v>
      </c>
      <c r="T1468" s="6" t="str">
        <f>IFERROR(__xludf.DUMMYFUNCTION("""COMPUTED_VALUE"""),"Зимней вишней, томская писаница")</f>
        <v>Зимней вишней, томская писаница</v>
      </c>
      <c r="U1468" s="6" t="str">
        <f>IFERROR(__xludf.DUMMYFUNCTION("""COMPUTED_VALUE"""),"площадь советов")</f>
        <v>площадь советов</v>
      </c>
      <c r="V1468" s="6" t="str">
        <f>IFERROR(__xludf.DUMMYFUNCTION("""COMPUTED_VALUE"""),"-")</f>
        <v>-</v>
      </c>
      <c r="W1468" s="6" t="str">
        <f>IFERROR(__xludf.DUMMYFUNCTION("""COMPUTED_VALUE"""),"как и любой сибиряк, злые и угрюмые")</f>
        <v>как и любой сибиряк, злые и угрюмые</v>
      </c>
      <c r="X1468" s="6" t="str">
        <f>IFERROR(__xludf.DUMMYFUNCTION("""COMPUTED_VALUE"""),"набережная")</f>
        <v>набережная</v>
      </c>
      <c r="Y1468" s="6" t="str">
        <f>IFERROR(__xludf.DUMMYFUNCTION("""COMPUTED_VALUE"""),"-")</f>
        <v>-</v>
      </c>
      <c r="Z1468" s="6" t="str">
        <f>IFERROR(__xludf.DUMMYFUNCTION("""COMPUTED_VALUE"""),"ёлка за 18 млн")</f>
        <v>ёлка за 18 млн</v>
      </c>
      <c r="AA1468" s="6" t="str">
        <f>IFERROR(__xludf.DUMMYFUNCTION("""COMPUTED_VALUE"""),"ёлка за 18 млн, зимняя вишня")</f>
        <v>ёлка за 18 млн, зимняя вишня</v>
      </c>
      <c r="AB1468" s="6" t="str">
        <f>IFERROR(__xludf.DUMMYFUNCTION("""COMPUTED_VALUE"""),"-")</f>
        <v>-</v>
      </c>
      <c r="AC1468" s="6" t="str">
        <f>IFERROR(__xludf.DUMMYFUNCTION("""COMPUTED_VALUE"""),"не знаю")</f>
        <v>не знаю</v>
      </c>
      <c r="AD146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468" s="6" t="str">
        <f>IFERROR(__xludf.DUMMYFUNCTION("""COMPUTED_VALUE"""),"Мужской")</f>
        <v>Мужской</v>
      </c>
      <c r="AF1468" s="6" t="str">
        <f>IFERROR(__xludf.DUMMYFUNCTION("""COMPUTED_VALUE"""),"30-44")</f>
        <v>30-44</v>
      </c>
      <c r="AG1468" s="6"/>
      <c r="AH1468" s="6"/>
      <c r="AI1468" s="6"/>
      <c r="AJ1468" s="6"/>
      <c r="AK1468" s="6"/>
      <c r="AL1468" s="6"/>
      <c r="AM1468" s="6"/>
    </row>
    <row r="1469">
      <c r="A1469" s="6">
        <v>1468.0</v>
      </c>
      <c r="B1469" s="6" t="str">
        <f>IFERROR(__xludf.DUMMYFUNCTION("""COMPUTED_VALUE"""),"Программист")</f>
        <v>Программист</v>
      </c>
      <c r="C1469" s="6" t="str">
        <f>IFERROR(__xludf.DUMMYFUNCTION("""COMPUTED_VALUE"""),"Сад, животные")</f>
        <v>Сад, животные</v>
      </c>
      <c r="D1469" s="6" t="str">
        <f>IFERROR(__xludf.DUMMYFUNCTION("""COMPUTED_VALUE"""),"южный")</f>
        <v>южный</v>
      </c>
      <c r="E1469" s="6" t="str">
        <f>IFERROR(__xludf.DUMMYFUNCTION("""COMPUTED_VALUE"""),"Бульвар Патриот, церковь")</f>
        <v>Бульвар Патриот, церковь</v>
      </c>
      <c r="F1469" s="6" t="str">
        <f>IFERROR(__xludf.DUMMYFUNCTION("""COMPUTED_VALUE"""),"Живу здесь с рождения")</f>
        <v>Живу здесь с рождения</v>
      </c>
      <c r="G1469" s="6" t="str">
        <f>IFERROR(__xludf.DUMMYFUNCTION("""COMPUTED_VALUE"""),"Весенняя, горсад,сосновый бор")</f>
        <v>Весенняя, горсад,сосновый бор</v>
      </c>
      <c r="H1469" s="6" t="str">
        <f>IFERROR(__xludf.DUMMYFUNCTION("""COMPUTED_VALUE"""),"Маленький, пешеходный, шумный")</f>
        <v>Маленький, пешеходный, шумный</v>
      </c>
      <c r="I1469" s="6" t="str">
        <f>IFERROR(__xludf.DUMMYFUNCTION("""COMPUTED_VALUE"""),"Михайлов, Чуешев")</f>
        <v>Михайлов, Чуешев</v>
      </c>
      <c r="J1469" s="6" t="str">
        <f>IFERROR(__xludf.DUMMYFUNCTION("""COMPUTED_VALUE"""),"Тулеев, Ким")</f>
        <v>Тулеев, Ким</v>
      </c>
      <c r="K1469" s="6" t="str">
        <f>IFERROR(__xludf.DUMMYFUNCTION("""COMPUTED_VALUE"""),"Набережная, Собор")</f>
        <v>Набережная, Собор</v>
      </c>
      <c r="L1469" s="6" t="str">
        <f>IFERROR(__xludf.DUMMYFUNCTION("""COMPUTED_VALUE"""),"Молчание - золото")</f>
        <v>Молчание - золото</v>
      </c>
      <c r="M1469" s="6" t="str">
        <f>IFERROR(__xludf.DUMMYFUNCTION("""COMPUTED_VALUE"""),"Все праздники под Лениным ")</f>
        <v>Все праздники под Лениным </v>
      </c>
      <c r="N1469" s="6" t="str">
        <f>IFERROR(__xludf.DUMMYFUNCTION("""COMPUTED_VALUE"""),"Общественный автотранспорт по расписанию, ровный асфальт во дворах, зеленые скверы, вовремя вывезенный мусор, горсад без клещей, Южный с троллейбусом")</f>
        <v>Общественный автотранспорт по расписанию, ровный асфальт во дворах, зеленые скверы, вовремя вывезенный мусор, горсад без клещей, Южный с троллейбусом</v>
      </c>
      <c r="O1469" s="6" t="str">
        <f>IFERROR(__xludf.DUMMYFUNCTION("""COMPUTED_VALUE"""),"Дворы! Асфальт ровный! ")</f>
        <v>Дворы! Асфальт ровный! </v>
      </c>
      <c r="P1469" s="6" t="str">
        <f>IFERROR(__xludf.DUMMYFUNCTION("""COMPUTED_VALUE"""),"Сибдепо, ваш город, газета Кемерово")</f>
        <v>Сибдепо, ваш город, газета Кемерово</v>
      </c>
      <c r="Q1469"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469" s="6" t="str">
        <f>IFERROR(__xludf.DUMMYFUNCTION("""COMPUTED_VALUE"""),"День Победы, день Шахтеров")</f>
        <v>День Победы, день Шахтеров</v>
      </c>
      <c r="S1469" s="6" t="str">
        <f>IFERROR(__xludf.DUMMYFUNCTION("""COMPUTED_VALUE"""),"Нет, не приходилось")</f>
        <v>Нет, не приходилось</v>
      </c>
      <c r="T1469" s="6" t="str">
        <f>IFERROR(__xludf.DUMMYFUNCTION("""COMPUTED_VALUE"""),"Скопление студентов")</f>
        <v>Скопление студентов</v>
      </c>
      <c r="U1469" s="6" t="str">
        <f>IFERROR(__xludf.DUMMYFUNCTION("""COMPUTED_VALUE"""),"Площадь Советов")</f>
        <v>Площадь Советов</v>
      </c>
      <c r="V1469" s="6" t="str">
        <f>IFERROR(__xludf.DUMMYFUNCTION("""COMPUTED_VALUE"""),"Сохранили историю")</f>
        <v>Сохранили историю</v>
      </c>
      <c r="W1469" s="6" t="str">
        <f>IFERROR(__xludf.DUMMYFUNCTION("""COMPUTED_VALUE"""),"Настороженные, наивные, пряжимистые, рисковые")</f>
        <v>Настороженные, наивные, пряжимистые, рисковые</v>
      </c>
      <c r="X1469" s="6" t="str">
        <f>IFERROR(__xludf.DUMMYFUNCTION("""COMPUTED_VALUE"""),"Набережная, парк Победы")</f>
        <v>Набережная, парк Победы</v>
      </c>
      <c r="Y1469" s="6" t="str">
        <f>IFERROR(__xludf.DUMMYFUNCTION("""COMPUTED_VALUE"""),"Нам привезли новый орган")</f>
        <v>Нам привезли новый орган</v>
      </c>
      <c r="Z1469" s="6" t="str">
        <f>IFERROR(__xludf.DUMMYFUNCTION("""COMPUTED_VALUE"""),"Светофоры у площади Советов")</f>
        <v>Светофоры у площади Советов</v>
      </c>
      <c r="AA1469" s="6" t="str">
        <f>IFERROR(__xludf.DUMMYFUNCTION("""COMPUTED_VALUE"""),"Верните троллейбус #2")</f>
        <v>Верните троллейбус #2</v>
      </c>
      <c r="AB1469" s="6" t="str">
        <f>IFERROR(__xludf.DUMMYFUNCTION("""COMPUTED_VALUE"""),"Антикафе и обещали лекции по садоводству 
 И пчеловодству в сельхоз. Институте")</f>
        <v>Антикафе и обещали лекции по садоводству 
 И пчеловодству в сельхоз. Институте</v>
      </c>
      <c r="AC1469" s="6" t="str">
        <f>IFERROR(__xludf.DUMMYFUNCTION("""COMPUTED_VALUE"""),"Маленькие и яркие..... Как запуск фонариков на бывшем рынке")</f>
        <v>Маленькие и яркие..... Как запуск фонариков на бывшем рынке</v>
      </c>
      <c r="AD146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69" s="6" t="str">
        <f>IFERROR(__xludf.DUMMYFUNCTION("""COMPUTED_VALUE"""),"Женский")</f>
        <v>Женский</v>
      </c>
      <c r="AF1469" s="6" t="str">
        <f>IFERROR(__xludf.DUMMYFUNCTION("""COMPUTED_VALUE"""),"30-44")</f>
        <v>30-44</v>
      </c>
      <c r="AG1469" s="6"/>
      <c r="AH1469" s="6"/>
      <c r="AI1469" s="6"/>
      <c r="AJ1469" s="6"/>
      <c r="AK1469" s="6"/>
      <c r="AL1469" s="6"/>
      <c r="AM1469" s="6"/>
    </row>
    <row r="1470">
      <c r="A1470" s="6">
        <v>1469.0</v>
      </c>
      <c r="B1470" s="6" t="str">
        <f>IFERROR(__xludf.DUMMYFUNCTION("""COMPUTED_VALUE"""),"Пенстонер")</f>
        <v>Пенстонер</v>
      </c>
      <c r="C1470" s="6" t="str">
        <f>IFERROR(__xludf.DUMMYFUNCTION("""COMPUTED_VALUE"""),"Занятие спортом, ходьба")</f>
        <v>Занятие спортом, ходьба</v>
      </c>
      <c r="D1470" s="6" t="str">
        <f>IFERROR(__xludf.DUMMYFUNCTION("""COMPUTED_VALUE"""),"Ленинский район, Шалготарьян")</f>
        <v>Ленинский район, Шалготарьян</v>
      </c>
      <c r="E1470" s="6" t="str">
        <f>IFERROR(__xludf.DUMMYFUNCTION("""COMPUTED_VALUE"""),"Храм  Казанской  Иконы Божией Матери")</f>
        <v>Храм  Казанской  Иконы Божией Матери</v>
      </c>
      <c r="F1470" s="6" t="str">
        <f>IFERROR(__xludf.DUMMYFUNCTION("""COMPUTED_VALUE"""),"Живу здесь с рождения")</f>
        <v>Живу здесь с рождения</v>
      </c>
      <c r="G1470" s="6" t="str">
        <f>IFERROR(__xludf.DUMMYFUNCTION("""COMPUTED_VALUE"""),"Сосновый бор на Радуге, далековато!!! ")</f>
        <v>Сосновый бор на Радуге, далековато!!! </v>
      </c>
      <c r="H1470" s="6" t="str">
        <f>IFERROR(__xludf.DUMMYFUNCTION("""COMPUTED_VALUE"""),"Родина, шахтёры, семья, любовь благоустройство")</f>
        <v>Родина, шахтёры, семья, любовь благоустройство</v>
      </c>
      <c r="I1470" s="6" t="str">
        <f>IFERROR(__xludf.DUMMYFUNCTION("""COMPUTED_VALUE"""),"???? Тулеев")</f>
        <v>???? Тулеев</v>
      </c>
      <c r="J1470" s="6" t="str">
        <f>IFERROR(__xludf.DUMMYFUNCTION("""COMPUTED_VALUE"""),"Наш губернатор, Цивилев С Е")</f>
        <v>Наш губернатор, Цивилев С Е</v>
      </c>
      <c r="K1470" s="6" t="str">
        <f>IFERROR(__xludf.DUMMYFUNCTION("""COMPUTED_VALUE"""),"Парк Ангелов, (скорбь и память) храмы")</f>
        <v>Парк Ангелов, (скорбь и память) храмы</v>
      </c>
      <c r="L1470" s="6" t="str">
        <f>IFERROR(__xludf.DUMMYFUNCTION("""COMPUTED_VALUE"""),"???? ")</f>
        <v>???? </v>
      </c>
      <c r="M1470" s="6" t="str">
        <f>IFERROR(__xludf.DUMMYFUNCTION("""COMPUTED_VALUE"""),"???? ")</f>
        <v>???? </v>
      </c>
      <c r="N1470" s="6" t="str">
        <f>IFERROR(__xludf.DUMMYFUNCTION("""COMPUTED_VALUE"""),"Благоустройство и чистота!!!! Зоны отдыха вблизи дома, Шалготарьян")</f>
        <v>Благоустройство и чистота!!!! Зоны отдыха вблизи дома, Шалготарьян</v>
      </c>
      <c r="O1470" s="6" t="str">
        <f>IFERROR(__xludf.DUMMYFUNCTION("""COMPUTED_VALUE"""),"Больше благоустройства, больше чистоты и ухоженности!!! Больше мест для занятия спортом и прогулок")</f>
        <v>Больше благоустройства, больше чистоты и ухоженности!!! Больше мест для занятия спортом и прогулок</v>
      </c>
      <c r="P1470" s="6" t="str">
        <f>IFERROR(__xludf.DUMMYFUNCTION("""COMPUTED_VALUE"""),"Местные каналы телевидения, портал новости 42ру")</f>
        <v>Местные каналы телевидения, портал новости 42ру</v>
      </c>
      <c r="Q1470"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470" s="6" t="str">
        <f>IFERROR(__xludf.DUMMYFUNCTION("""COMPUTED_VALUE"""),"Продовольственных праздничные ярмарки")</f>
        <v>Продовольственных праздничные ярмарки</v>
      </c>
      <c r="S1470" s="6" t="str">
        <f>IFERROR(__xludf.DUMMYFUNCTION("""COMPUTED_VALUE"""),"Нет, не приходилось")</f>
        <v>Нет, не приходилось</v>
      </c>
      <c r="T1470" s="6" t="str">
        <f>IFERROR(__xludf.DUMMYFUNCTION("""COMPUTED_VALUE"""),"К сожалению, трагедией и гибелью детей на пожаре ""Вишне"" ")</f>
        <v>К сожалению, трагедией и гибелью детей на пожаре "Вишне" </v>
      </c>
      <c r="U1470" s="6" t="str">
        <f>IFERROR(__xludf.DUMMYFUNCTION("""COMPUTED_VALUE"""),"Площадь Ленина")</f>
        <v>Площадь Ленина</v>
      </c>
      <c r="V1470" s="6" t="str">
        <f>IFERROR(__xludf.DUMMYFUNCTION("""COMPUTED_VALUE"""),"??? ")</f>
        <v>??? </v>
      </c>
      <c r="W1470" s="6" t="str">
        <f>IFERROR(__xludf.DUMMYFUNCTION("""COMPUTED_VALUE"""),"???? ")</f>
        <v>???? </v>
      </c>
      <c r="X1470" s="6" t="str">
        <f>IFERROR(__xludf.DUMMYFUNCTION("""COMPUTED_VALUE"""),"Сосновый бор")</f>
        <v>Сосновый бор</v>
      </c>
      <c r="Y1470" s="6" t="str">
        <f>IFERROR(__xludf.DUMMYFUNCTION("""COMPUTED_VALUE"""),"???? ")</f>
        <v>???? </v>
      </c>
      <c r="Z1470" s="6" t="str">
        <f>IFERROR(__xludf.DUMMYFUNCTION("""COMPUTED_VALUE"""),"Приход нового губернатора, преображение города, чистота и порядок")</f>
        <v>Приход нового губернатора, преображение города, чистота и порядок</v>
      </c>
      <c r="AA1470" s="6" t="str">
        <f>IFERROR(__xludf.DUMMYFUNCTION("""COMPUTED_VALUE"""),"Нет")</f>
        <v>Нет</v>
      </c>
      <c r="AB1470" s="6" t="str">
        <f>IFERROR(__xludf.DUMMYFUNCTION("""COMPUTED_VALUE"""),"Не хватает зоны отдыха в Шалготарьян, хотя рядом и лесная зона и река")</f>
        <v>Не хватает зоны отдыха в Шалготарьян, хотя рядом и лесная зона и река</v>
      </c>
      <c r="AC1470" s="6" t="str">
        <f>IFERROR(__xludf.DUMMYFUNCTION("""COMPUTED_VALUE"""),"Больше доступных зон отдыха и зон занятия спортом и прогулок ")</f>
        <v>Больше доступных зон отдыха и зон занятия спортом и прогулок </v>
      </c>
      <c r="AD147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470" s="6" t="str">
        <f>IFERROR(__xludf.DUMMYFUNCTION("""COMPUTED_VALUE"""),"Женский")</f>
        <v>Женский</v>
      </c>
      <c r="AF1470" s="6" t="str">
        <f>IFERROR(__xludf.DUMMYFUNCTION("""COMPUTED_VALUE"""),"старше 55")</f>
        <v>старше 55</v>
      </c>
      <c r="AG1470" s="6"/>
      <c r="AH1470" s="6"/>
      <c r="AI1470" s="6"/>
      <c r="AJ1470" s="6"/>
      <c r="AK1470" s="6"/>
      <c r="AL1470" s="6"/>
      <c r="AM1470" s="6"/>
    </row>
    <row r="1471">
      <c r="A1471" s="6">
        <v>1470.0</v>
      </c>
      <c r="B1471" s="6" t="str">
        <f>IFERROR(__xludf.DUMMYFUNCTION("""COMPUTED_VALUE"""),"Снабжение")</f>
        <v>Снабжение</v>
      </c>
      <c r="C1471" s="6" t="str">
        <f>IFERROR(__xludf.DUMMYFUNCTION("""COMPUTED_VALUE"""),"Кулинария")</f>
        <v>Кулинария</v>
      </c>
      <c r="D1471" s="6" t="str">
        <f>IFERROR(__xludf.DUMMYFUNCTION("""COMPUTED_VALUE"""),"Посёлок Пионер")</f>
        <v>Посёлок Пионер</v>
      </c>
      <c r="E1471" s="6" t="str">
        <f>IFERROR(__xludf.DUMMYFUNCTION("""COMPUTED_VALUE"""),"Магазин Мария-Ра")</f>
        <v>Магазин Мария-Ра</v>
      </c>
      <c r="F1471" s="6" t="str">
        <f>IFERROR(__xludf.DUMMYFUNCTION("""COMPUTED_VALUE"""),"Живу здесь с рождения")</f>
        <v>Живу здесь с рождения</v>
      </c>
      <c r="G1471" s="6" t="str">
        <f>IFERROR(__xludf.DUMMYFUNCTION("""COMPUTED_VALUE"""),"Кл Весенняя")</f>
        <v>Кл Весенняя</v>
      </c>
      <c r="H1471" s="6" t="str">
        <f>IFERROR(__xludf.DUMMYFUNCTION("""COMPUTED_VALUE"""),"Кузбассразрезуголь, площадь Советов, набережная, Весенняя, Искитимский мост")</f>
        <v>Кузбассразрезуголь, площадь Советов, набережная, Весенняя, Искитимский мост</v>
      </c>
      <c r="I1471" s="6" t="str">
        <f>IFERROR(__xludf.DUMMYFUNCTION("""COMPUTED_VALUE"""),"Михаило Волков, Алексей Леонов")</f>
        <v>Михаило Волков, Алексей Леонов</v>
      </c>
      <c r="J1471" s="6" t="str">
        <f>IFERROR(__xludf.DUMMYFUNCTION("""COMPUTED_VALUE"""),"Аман Тулеев")</f>
        <v>Аман Тулеев</v>
      </c>
      <c r="K1471" s="6" t="str">
        <f>IFERROR(__xludf.DUMMYFUNCTION("""COMPUTED_VALUE"""),"Набережная, Весенняя, драмтеатр, оперетта")</f>
        <v>Набережная, Весенняя, драмтеатр, оперетта</v>
      </c>
      <c r="L1471" s="6" t="str">
        <f>IFERROR(__xludf.DUMMYFUNCTION("""COMPUTED_VALUE"""),"Не знаю таких")</f>
        <v>Не знаю таких</v>
      </c>
      <c r="M1471" s="6" t="str">
        <f>IFERROR(__xludf.DUMMYFUNCTION("""COMPUTED_VALUE"""),"Нет таких")</f>
        <v>Нет таких</v>
      </c>
      <c r="N1471" s="6" t="str">
        <f>IFERROR(__xludf.DUMMYFUNCTION("""COMPUTED_VALUE"""),"Чистота, отсутствие пробок, красота ")</f>
        <v>Чистота, отсутствие пробок, красота </v>
      </c>
      <c r="O1471" s="6" t="str">
        <f>IFERROR(__xludf.DUMMYFUNCTION("""COMPUTED_VALUE"""),"Построить об’ездную дорогу для грузовых авто, привести в порядок асфальт, зимой регулярно чистить дороги от снега")</f>
        <v>Построить об’ездную дорогу для грузовых авто, привести в порядок асфальт, зимой регулярно чистить дороги от снега</v>
      </c>
      <c r="P1471" s="6" t="str">
        <f>IFERROR(__xludf.DUMMYFUNCTION("""COMPUTED_VALUE"""),"Интернет")</f>
        <v>Интернет</v>
      </c>
      <c r="Q1471"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471" s="6" t="str">
        <f>IFERROR(__xludf.DUMMYFUNCTION("""COMPUTED_VALUE"""),"День Победы ")</f>
        <v>День Победы </v>
      </c>
      <c r="S1471" s="6" t="str">
        <f>IFERROR(__xludf.DUMMYFUNCTION("""COMPUTED_VALUE"""),"Нет, не приходилось")</f>
        <v>Нет, не приходилось</v>
      </c>
      <c r="T1471" s="6" t="str">
        <f>IFERROR(__xludf.DUMMYFUNCTION("""COMPUTED_VALUE"""),"Драмтеатр")</f>
        <v>Драмтеатр</v>
      </c>
      <c r="U1471" s="6" t="str">
        <f>IFERROR(__xludf.DUMMYFUNCTION("""COMPUTED_VALUE"""),"Весенняя улица")</f>
        <v>Весенняя улица</v>
      </c>
      <c r="V1471" s="6" t="str">
        <f>IFERROR(__xludf.DUMMYFUNCTION("""COMPUTED_VALUE"""),"Благоустроили")</f>
        <v>Благоустроили</v>
      </c>
      <c r="W1471" s="6" t="str">
        <f>IFERROR(__xludf.DUMMYFUNCTION("""COMPUTED_VALUE"""),"Обычные")</f>
        <v>Обычные</v>
      </c>
      <c r="X1471" s="6" t="str">
        <f>IFERROR(__xludf.DUMMYFUNCTION("""COMPUTED_VALUE"""),"Весенняя улица")</f>
        <v>Весенняя улица</v>
      </c>
      <c r="Y1471" s="6" t="str">
        <f>IFERROR(__xludf.DUMMYFUNCTION("""COMPUTED_VALUE"""),"Не понятно зачем слово Кемерово начало склоняться")</f>
        <v>Не понятно зачем слово Кемерово начало склоняться</v>
      </c>
      <c r="Z1471" s="6" t="str">
        <f>IFERROR(__xludf.DUMMYFUNCTION("""COMPUTED_VALUE"""),"Никакие")</f>
        <v>Никакие</v>
      </c>
      <c r="AA1471" s="6" t="str">
        <f>IFERROR(__xludf.DUMMYFUNCTION("""COMPUTED_VALUE"""),"Обман людей по поводу 300 летия области")</f>
        <v>Обман людей по поводу 300 летия области</v>
      </c>
      <c r="AB1471" s="6" t="str">
        <f>IFERROR(__xludf.DUMMYFUNCTION("""COMPUTED_VALUE"""),"Без разницы ")</f>
        <v>Без разницы </v>
      </c>
      <c r="AC1471" s="6" t="str">
        <f>IFERROR(__xludf.DUMMYFUNCTION("""COMPUTED_VALUE"""),"Всего хватает")</f>
        <v>Всего хватает</v>
      </c>
      <c r="AD1471"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71" s="6" t="str">
        <f>IFERROR(__xludf.DUMMYFUNCTION("""COMPUTED_VALUE"""),"Женский")</f>
        <v>Женский</v>
      </c>
      <c r="AF1471" s="6" t="str">
        <f>IFERROR(__xludf.DUMMYFUNCTION("""COMPUTED_VALUE"""),"45-55")</f>
        <v>45-55</v>
      </c>
      <c r="AG1471" s="6"/>
      <c r="AH1471" s="6"/>
      <c r="AI1471" s="6"/>
      <c r="AJ1471" s="6"/>
      <c r="AK1471" s="6"/>
      <c r="AL1471" s="6"/>
      <c r="AM1471" s="6"/>
    </row>
    <row r="1472">
      <c r="A1472" s="6">
        <v>1471.0</v>
      </c>
      <c r="B1472" s="6" t="str">
        <f>IFERROR(__xludf.DUMMYFUNCTION("""COMPUTED_VALUE"""),"Работник культуры")</f>
        <v>Работник культуры</v>
      </c>
      <c r="C1472" s="6" t="str">
        <f>IFERROR(__xludf.DUMMYFUNCTION("""COMPUTED_VALUE"""),"Книги")</f>
        <v>Книги</v>
      </c>
      <c r="D1472" s="6" t="str">
        <f>IFERROR(__xludf.DUMMYFUNCTION("""COMPUTED_VALUE"""),"Кировский ")</f>
        <v>Кировский </v>
      </c>
      <c r="E1472" s="6" t="str">
        <f>IFERROR(__xludf.DUMMYFUNCTION("""COMPUTED_VALUE"""),"Весенняя, набережная, берёзовая роща")</f>
        <v>Весенняя, набережная, берёзовая роща</v>
      </c>
      <c r="F1472" s="6" t="str">
        <f>IFERROR(__xludf.DUMMYFUNCTION("""COMPUTED_VALUE"""),"Живу здесь с рождения")</f>
        <v>Живу здесь с рождения</v>
      </c>
      <c r="G1472" s="6" t="str">
        <f>IFERROR(__xludf.DUMMYFUNCTION("""COMPUTED_VALUE"""),"Рудничный бор, горсад")</f>
        <v>Рудничный бор, горсад</v>
      </c>
      <c r="H1472" s="6" t="str">
        <f>IFERROR(__xludf.DUMMYFUNCTION("""COMPUTED_VALUE"""),"Томь, бульвар, смог, туман, пыль")</f>
        <v>Томь, бульвар, смог, туман, пыль</v>
      </c>
      <c r="I1472" s="6" t="str">
        <f>IFERROR(__xludf.DUMMYFUNCTION("""COMPUTED_VALUE"""),"Леонов")</f>
        <v>Леонов</v>
      </c>
      <c r="J1472" s="6" t="str">
        <f>IFERROR(__xludf.DUMMYFUNCTION("""COMPUTED_VALUE"""),"Машков, панин")</f>
        <v>Машков, панин</v>
      </c>
      <c r="K1472" s="6" t="str">
        <f>IFERROR(__xludf.DUMMYFUNCTION("""COMPUTED_VALUE"""),"Бор, набережная, бульвар строителей, детская железная дорога ")</f>
        <v>Бор, набережная, бульвар строителей, детская железная дорога </v>
      </c>
      <c r="L1472" s="6" t="str">
        <f>IFERROR(__xludf.DUMMYFUNCTION("""COMPUTED_VALUE"""),"Чисто не где убирают, а где не гадят. Разруха в головах")</f>
        <v>Чисто не где убирают, а где не гадят. Разруха в головах</v>
      </c>
      <c r="M1472" s="6" t="str">
        <f>IFERROR(__xludf.DUMMYFUNCTION("""COMPUTED_VALUE"""),"Пацаны, братва")</f>
        <v>Пацаны, братва</v>
      </c>
      <c r="N1472" s="6" t="str">
        <f>IFERROR(__xludf.DUMMYFUNCTION("""COMPUTED_VALUE"""),"Чистота, комфорт, улыбка, транспорт, дороги")</f>
        <v>Чистота, комфорт, улыбка, транспорт, дороги</v>
      </c>
      <c r="O1472" s="6" t="str">
        <f>IFERROR(__xludf.DUMMYFUNCTION("""COMPUTED_VALUE"""),"Власть")</f>
        <v>Власть</v>
      </c>
      <c r="P1472" s="6" t="str">
        <f>IFERROR(__xludf.DUMMYFUNCTION("""COMPUTED_VALUE"""),"Дзен, фейсбук")</f>
        <v>Дзен, фейсбук</v>
      </c>
      <c r="Q1472" s="6" t="str">
        <f>IFERROR(__xludf.DUMMYFUNCTION("""COMPUTED_VALUE"""),"городская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v>
      </c>
      <c r="R1472" s="6" t="str">
        <f>IFERROR(__xludf.DUMMYFUNCTION("""COMPUTED_VALUE"""),"День города")</f>
        <v>День города</v>
      </c>
      <c r="S1472" s="6" t="str">
        <f>IFERROR(__xludf.DUMMYFUNCTION("""COMPUTED_VALUE"""),"Писал и расклеивал объявления/афиши, Обращался в редакции городских газет, телевидения, радио")</f>
        <v>Писал и расклеивал объявления/афиши, Обращался в редакции городских газет, телевидения, радио</v>
      </c>
      <c r="T1472" s="6" t="str">
        <f>IFERROR(__xludf.DUMMYFUNCTION("""COMPUTED_VALUE"""),"Уголь")</f>
        <v>Уголь</v>
      </c>
      <c r="U1472" s="6" t="str">
        <f>IFERROR(__xludf.DUMMYFUNCTION("""COMPUTED_VALUE"""),"Весенняя ")</f>
        <v>Весенняя </v>
      </c>
      <c r="V1472" s="6" t="str">
        <f>IFERROR(__xludf.DUMMYFUNCTION("""COMPUTED_VALUE"""),"Построили город")</f>
        <v>Построили город</v>
      </c>
      <c r="W1472" s="6" t="str">
        <f>IFERROR(__xludf.DUMMYFUNCTION("""COMPUTED_VALUE"""),"Добродушные")</f>
        <v>Добродушные</v>
      </c>
      <c r="X1472" s="6" t="str">
        <f>IFERROR(__xludf.DUMMYFUNCTION("""COMPUTED_VALUE"""),"Центр")</f>
        <v>Центр</v>
      </c>
      <c r="Y1472" s="6" t="str">
        <f>IFERROR(__xludf.DUMMYFUNCTION("""COMPUTED_VALUE"""),"Чемпионат мира по бенди")</f>
        <v>Чемпионат мира по бенди</v>
      </c>
      <c r="Z1472" s="6" t="str">
        <f>IFERROR(__xludf.DUMMYFUNCTION("""COMPUTED_VALUE"""),"Ремонт дорог")</f>
        <v>Ремонт дорог</v>
      </c>
      <c r="AA1472" s="6" t="str">
        <f>IFERROR(__xludf.DUMMYFUNCTION("""COMPUTED_VALUE"""),"Смена власти")</f>
        <v>Смена власти</v>
      </c>
      <c r="AB1472" s="6" t="str">
        <f>IFERROR(__xludf.DUMMYFUNCTION("""COMPUTED_VALUE"""),"Всего хватает")</f>
        <v>Всего хватает</v>
      </c>
      <c r="AC1472" s="6" t="str">
        <f>IFERROR(__xludf.DUMMYFUNCTION("""COMPUTED_VALUE"""),"Спортивные")</f>
        <v>Спортивные</v>
      </c>
      <c r="AD1472"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1472" s="6" t="str">
        <f>IFERROR(__xludf.DUMMYFUNCTION("""COMPUTED_VALUE"""),"Мужской")</f>
        <v>Мужской</v>
      </c>
      <c r="AF1472" s="6" t="str">
        <f>IFERROR(__xludf.DUMMYFUNCTION("""COMPUTED_VALUE"""),"45-55")</f>
        <v>45-55</v>
      </c>
      <c r="AG1472" s="6"/>
      <c r="AH1472" s="6"/>
      <c r="AI1472" s="6"/>
      <c r="AJ1472" s="6"/>
      <c r="AK1472" s="6"/>
      <c r="AL1472" s="6"/>
      <c r="AM1472" s="6"/>
    </row>
    <row r="1473">
      <c r="A1473" s="6">
        <v>1472.0</v>
      </c>
      <c r="B1473" s="6" t="str">
        <f>IFERROR(__xludf.DUMMYFUNCTION("""COMPUTED_VALUE"""),"водитель рейсового автобуса ( муниц. предприятие )")</f>
        <v>водитель рейсового автобуса ( муниц. предприятие )</v>
      </c>
      <c r="C1473" s="6" t="str">
        <f>IFERROR(__xludf.DUMMYFUNCTION("""COMPUTED_VALUE"""),"охота , рыбалка")</f>
        <v>охота , рыбалка</v>
      </c>
      <c r="D1473" s="6" t="str">
        <f>IFERROR(__xludf.DUMMYFUNCTION("""COMPUTED_VALUE"""),"Центральный . Называю - живу в районе Пионерского бульвара ")</f>
        <v>Центральный . Называю - живу в районе Пионерского бульвара </v>
      </c>
      <c r="E1473" s="6" t="str">
        <f>IFERROR(__xludf.DUMMYFUNCTION("""COMPUTED_VALUE"""),"ВСЁ ! ")</f>
        <v>ВСЁ ! </v>
      </c>
      <c r="F1473" s="6" t="str">
        <f>IFERROR(__xludf.DUMMYFUNCTION("""COMPUTED_VALUE"""),"Живу здесь с рождения")</f>
        <v>Живу здесь с рождения</v>
      </c>
      <c r="G1473" s="6" t="str">
        <f>IFERROR(__xludf.DUMMYFUNCTION("""COMPUTED_VALUE"""),"ул. Весенняя , парк Жукова , Пионерский бульвар")</f>
        <v>ул. Весенняя , парк Жукова , Пионерский бульвар</v>
      </c>
      <c r="H1473" s="6" t="str">
        <f>IFERROR(__xludf.DUMMYFUNCTION("""COMPUTED_VALUE"""),"уголь , Михайлов , чистота , Юбилейный , Универмаг ( Центр)")</f>
        <v>уголь , Михайлов , чистота , Юбилейный , Универмаг ( Центр)</v>
      </c>
      <c r="I1473" s="6" t="str">
        <f>IFERROR(__xludf.DUMMYFUNCTION("""COMPUTED_VALUE"""),"не люблю культ....в голову пришли только В. Михайлов и Андрюха Панин ( в школьные годы ""кенты "" были")</f>
        <v>не люблю культ....в голову пришли только В. Михайлов и Андрюха Панин ( в школьные годы "кенты " были</v>
      </c>
      <c r="J1473" s="6" t="str">
        <f>IFERROR(__xludf.DUMMYFUNCTION("""COMPUTED_VALUE"""),"В. Михайлов , ВСЕ МЫ- ЛЮБЯЩИЕ ЭТОТ ГОРОД ! ")</f>
        <v>В. Михайлов , ВСЕ МЫ- ЛЮБЯЩИЕ ЭТОТ ГОРОД ! </v>
      </c>
      <c r="K1473" s="6" t="str">
        <f>IFERROR(__xludf.DUMMYFUNCTION("""COMPUTED_VALUE"""),"какие достоприм. , город молодой . Хотя....скорей от я на этом не заострял внимание .  Ведь есть места связанные с ВОВ и освоением региона .")</f>
        <v>какие достоприм. , город молодой . Хотя....скорей от я на этом не заострял внимание .  Ведь есть места связанные с ВОВ и освоением региона .</v>
      </c>
      <c r="L1473" s="6" t="str">
        <f>IFERROR(__xludf.DUMMYFUNCTION("""COMPUTED_VALUE"""),"no comment")</f>
        <v>no comment</v>
      </c>
      <c r="M1473" s="6" t="str">
        <f>IFERROR(__xludf.DUMMYFUNCTION("""COMPUTED_VALUE"""),"no comment")</f>
        <v>no comment</v>
      </c>
      <c r="N1473" s="6" t="str">
        <f>IFERROR(__xludf.DUMMYFUNCTION("""COMPUTED_VALUE"""),"зелень , МНОГО ЗЕЛЕНИ ( жаль , что климат не всегда позволяет ) транспорт (логистика ), чистота , криминал ( точнее - отсутствие или минимум ) ")</f>
        <v>зелень , МНОГО ЗЕЛЕНИ ( жаль , что климат не всегда позволяет ) транспорт (логистика ), чистота , криминал ( точнее - отсутствие или минимум ) </v>
      </c>
      <c r="O1473" s="6" t="str">
        <f>IFERROR(__xludf.DUMMYFUNCTION("""COMPUTED_VALUE"""),"ОБЪЕЗДНУЮ ФЕДЕРАЛЬНОЙ ТРАССЫ , благоустройство набережной Искитимки от пр. Ленина до...., благоустройство острова ")</f>
        <v>ОБЪЕЗДНУЮ ФЕДЕРАЛЬНОЙ ТРАССЫ , благоустройство набережной Искитимки от пр. Ленина до...., благоустройство острова </v>
      </c>
      <c r="P1473" s="6" t="str">
        <f>IFERROR(__xludf.DUMMYFUNCTION("""COMPUTED_VALUE"""),"отовсюду , без системно ")</f>
        <v>отовсюду , без системно </v>
      </c>
      <c r="Q1473"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f>
        <v>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v>
      </c>
      <c r="R1473" s="6" t="str">
        <f>IFERROR(__xludf.DUMMYFUNCTION("""COMPUTED_VALUE"""),"ВСЕ ! БОЛЬШЕ ПРАЗДНИКОВ ! Спасибо Стройсервису (как пример ) , Bandy 2007 ? и т. д. ")</f>
        <v>ВСЕ ! БОЛЬШЕ ПРАЗДНИКОВ ! Спасибо Стройсервису (как пример ) , Bandy 2007 ? и т. д. </v>
      </c>
      <c r="S1473" s="6" t="str">
        <f>IFERROR(__xludf.DUMMYFUNCTION("""COMPUTED_VALUE"""),"Нет, не приходилось")</f>
        <v>Нет, не приходилось</v>
      </c>
      <c r="T1473" s="6" t="str">
        <f>IFERROR(__xludf.DUMMYFUNCTION("""COMPUTED_VALUE"""),"МЫ ЗДЕСЬ ЖИВЁМ , Я ЗДЕСЬ ЖИВУ ! Это и есть ГЛАВНАЯ уникальность !")</f>
        <v>МЫ ЗДЕСЬ ЖИВЁМ , Я ЗДЕСЬ ЖИВУ ! Это и есть ГЛАВНАЯ уникальность !</v>
      </c>
      <c r="U1473" s="6" t="str">
        <f>IFERROR(__xludf.DUMMYFUNCTION("""COMPUTED_VALUE"""),"Фонтан ( у Драм. театра ) , памятник павшим героям ВОВ ")</f>
        <v>Фонтан ( у Драм. театра ) , памятник павшим героям ВОВ </v>
      </c>
      <c r="V1473" s="6" t="str">
        <f>IFERROR(__xludf.DUMMYFUNCTION("""COMPUTED_VALUE"""),"Млин.....У КАЖДОГО СВОЙ КРЕСТ !")</f>
        <v>Млин.....У КАЖДОГО СВОЙ КРЕСТ !</v>
      </c>
      <c r="W1473" s="6" t="str">
        <f>IFERROR(__xludf.DUMMYFUNCTION("""COMPUTED_VALUE"""),"всё таки немного злые")</f>
        <v>всё таки немного злые</v>
      </c>
      <c r="X1473" s="6" t="str">
        <f>IFERROR(__xludf.DUMMYFUNCTION("""COMPUTED_VALUE"""),"ул Весенняя , музей Красная Горка")</f>
        <v>ул Весенняя , музей Красная Горка</v>
      </c>
      <c r="Y1473" s="6" t="str">
        <f>IFERROR(__xludf.DUMMYFUNCTION("""COMPUTED_VALUE"""),"ВОВ")</f>
        <v>ВОВ</v>
      </c>
      <c r="Z1473" s="6" t="str">
        <f>IFERROR(__xludf.DUMMYFUNCTION("""COMPUTED_VALUE"""),"затрудняюсь")</f>
        <v>затрудняюсь</v>
      </c>
      <c r="AA1473" s="6" t="str">
        <f>IFERROR(__xludf.DUMMYFUNCTION("""COMPUTED_VALUE"""),"затрудняюсь")</f>
        <v>затрудняюсь</v>
      </c>
      <c r="AB1473" s="6" t="str">
        <f>IFERROR(__xludf.DUMMYFUNCTION("""COMPUTED_VALUE"""),"я не публичен")</f>
        <v>я не публичен</v>
      </c>
      <c r="AC1473" s="6" t="str">
        <f>IFERROR(__xludf.DUMMYFUNCTION("""COMPUTED_VALUE"""),"крупные спорт соревнования , приезд звёзд ...музыки , театра ")</f>
        <v>крупные спорт соревнования , приезд звёзд ...музыки , театра </v>
      </c>
      <c r="AD147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73" s="6" t="str">
        <f>IFERROR(__xludf.DUMMYFUNCTION("""COMPUTED_VALUE"""),"Мужской")</f>
        <v>Мужской</v>
      </c>
      <c r="AF1473" s="6" t="str">
        <f>IFERROR(__xludf.DUMMYFUNCTION("""COMPUTED_VALUE"""),"старше 55")</f>
        <v>старше 55</v>
      </c>
      <c r="AG1473" s="6"/>
      <c r="AH1473" s="6"/>
      <c r="AI1473" s="6"/>
      <c r="AJ1473" s="6"/>
      <c r="AK1473" s="6"/>
      <c r="AL1473" s="6"/>
      <c r="AM1473" s="6"/>
    </row>
    <row r="1474">
      <c r="A1474" s="6">
        <v>1473.0</v>
      </c>
      <c r="B1474" s="6" t="str">
        <f>IFERROR(__xludf.DUMMYFUNCTION("""COMPUTED_VALUE"""),"Госслужащий")</f>
        <v>Госслужащий</v>
      </c>
      <c r="C1474" s="6" t="str">
        <f>IFERROR(__xludf.DUMMYFUNCTION("""COMPUTED_VALUE"""),"Домашний шоколад")</f>
        <v>Домашний шоколад</v>
      </c>
      <c r="D1474" s="6" t="str">
        <f>IFERROR(__xludf.DUMMYFUNCTION("""COMPUTED_VALUE"""),"Ленинский")</f>
        <v>Ленинский</v>
      </c>
      <c r="E1474" s="6" t="str">
        <f>IFERROR(__xludf.DUMMYFUNCTION("""COMPUTED_VALUE"""),"Бульвар")</f>
        <v>Бульвар</v>
      </c>
      <c r="F1474" s="6" t="str">
        <f>IFERROR(__xludf.DUMMYFUNCTION("""COMPUTED_VALUE"""),"Переехал сюда из другого места (откуда? укажите в графе другое), Родилась в п.Крапивинский. до 10 лет жила в Краснодаре. С 15 лет живу в Ленинском р-не")</f>
        <v>Переехал сюда из другого места (откуда? укажите в графе другое), Родилась в п.Крапивинский. до 10 лет жила в Краснодаре. С 15 лет живу в Ленинском р-не</v>
      </c>
      <c r="G1474" s="6" t="str">
        <f>IFERROR(__xludf.DUMMYFUNCTION("""COMPUTED_VALUE"""),"На набережную и по бульвару строителей ")</f>
        <v>На набережную и по бульвару строителей </v>
      </c>
      <c r="H1474" s="6" t="str">
        <f>IFERROR(__xludf.DUMMYFUNCTION("""COMPUTED_VALUE"""),"Многонациональной, уютный, солнечный, молодой, грязный (если не брать центральные улицы и то на сегодня и там грязь)")</f>
        <v>Многонациональной, уютный, солнечный, молодой, грязный (если не брать центральные улицы и то на сегодня и там грязь)</v>
      </c>
      <c r="I1474" s="6" t="str">
        <f>IFERROR(__xludf.DUMMYFUNCTION("""COMPUTED_VALUE"""),"М. Волков, В. Волошина, ")</f>
        <v>М. Волков, В. Волошина, </v>
      </c>
      <c r="J1474" s="6" t="str">
        <f>IFERROR(__xludf.DUMMYFUNCTION("""COMPUTED_VALUE"""),"А. Тулеев, Е. Гришковец, В. Михайлов")</f>
        <v>А. Тулеев, Е. Гришковец, В. Михайлов</v>
      </c>
      <c r="K1474" s="6" t="str">
        <f>IFERROR(__xludf.DUMMYFUNCTION("""COMPUTED_VALUE"""),"А у нас разве есть что посмотреть. Памятник шахтёру на красной горке , да парк ангелов, кадетское училище")</f>
        <v>А у нас разве есть что посмотреть. Памятник шахтёру на красной горке , да парк ангелов, кадетское училище</v>
      </c>
      <c r="L1474" s="6" t="str">
        <f>IFERROR(__xludf.DUMMYFUNCTION("""COMPUTED_VALUE"""),"Не знаю")</f>
        <v>Не знаю</v>
      </c>
      <c r="M1474" s="6" t="str">
        <f>IFERROR(__xludf.DUMMYFUNCTION("""COMPUTED_VALUE"""),"Не знаю")</f>
        <v>Не знаю</v>
      </c>
      <c r="N1474" s="6" t="str">
        <f>IFERROR(__xludf.DUMMYFUNCTION("""COMPUTED_VALUE"""),"Отремонтированные дворы, чистый воздух, стоянки для автотранспорта")</f>
        <v>Отремонтированные дворы, чистый воздух, стоянки для автотранспорта</v>
      </c>
      <c r="O1474" s="6" t="str">
        <f>IFERROR(__xludf.DUMMYFUNCTION("""COMPUTED_VALUE"""),"Привести в порядок дворы и улицы, не считая центральные, которые каждый год ремонтируют. Взять бульвар Строителей отремонтировали  очень хорошо, а через два года сняли асфальт и положили новый намного хуже. Зачем?  ")</f>
        <v>Привести в порядок дворы и улицы, не считая центральные, которые каждый год ремонтируют. Взять бульвар Строителей отремонтировали  очень хорошо, а через два года сняли асфальт и положили новый намного хуже. Зачем?  </v>
      </c>
      <c r="P1474" s="6" t="str">
        <f>IFERROR(__xludf.DUMMYFUNCTION("""COMPUTED_VALUE"""),"Инстаграм")</f>
        <v>Инстаграм</v>
      </c>
      <c r="Q1474" s="6" t="str">
        <f>IFERROR(__xludf.DUMMYFUNCTION("""COMPUTED_VALUE"""),"интервью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474" s="6" t="str">
        <f>IFERROR(__xludf.DUMMYFUNCTION("""COMPUTED_VALUE"""),"День города")</f>
        <v>День города</v>
      </c>
      <c r="S1474" s="6" t="str">
        <f>IFERROR(__xludf.DUMMYFUNCTION("""COMPUTED_VALUE"""),"Нет, не приходилось")</f>
        <v>Нет, не приходилось</v>
      </c>
      <c r="T1474" s="6" t="str">
        <f>IFERROR(__xludf.DUMMYFUNCTION("""COMPUTED_VALUE"""),"Грязной средой. ")</f>
        <v>Грязной средой. </v>
      </c>
      <c r="U1474" s="6" t="str">
        <f>IFERROR(__xludf.DUMMYFUNCTION("""COMPUTED_VALUE"""),"Площадь Советов")</f>
        <v>Площадь Советов</v>
      </c>
      <c r="V1474" s="6" t="str">
        <f>IFERROR(__xludf.DUMMYFUNCTION("""COMPUTED_VALUE"""),"Ничего")</f>
        <v>Ничего</v>
      </c>
      <c r="W1474" s="6" t="str">
        <f>IFERROR(__xludf.DUMMYFUNCTION("""COMPUTED_VALUE"""),"Грубые, каждый живёт сам для себя, нет взаимовыручки. Очень мало хороших людей")</f>
        <v>Грубые, каждый живёт сам для себя, нет взаимовыручки. Очень мало хороших людей</v>
      </c>
      <c r="X1474" s="6" t="str">
        <f>IFERROR(__xludf.DUMMYFUNCTION("""COMPUTED_VALUE"""),"Набережная- по улице Дзержинского до парка Ангелов- по Ленина на бульвар Строителей- по Притом кому в центр до Кузнецкого и через коммунальный мост в рудничный район через крутой поселок в Кировский")</f>
        <v>Набережная- по улице Дзержинского до парка Ангелов- по Ленина на бульвар Строителей- по Притом кому в центр до Кузнецкого и через коммунальный мост в рудничный район через крутой поселок в Кировский</v>
      </c>
      <c r="Y1474" s="6" t="str">
        <f>IFERROR(__xludf.DUMMYFUNCTION("""COMPUTED_VALUE"""),"В 2000году открыли памятник Жукову")</f>
        <v>В 2000году открыли памятник Жукову</v>
      </c>
      <c r="Z1474" s="6" t="str">
        <f>IFERROR(__xludf.DUMMYFUNCTION("""COMPUTED_VALUE"""),"Нет")</f>
        <v>Нет</v>
      </c>
      <c r="AA1474" s="6" t="str">
        <f>IFERROR(__xludf.DUMMYFUNCTION("""COMPUTED_VALUE"""),"Ковид")</f>
        <v>Ковид</v>
      </c>
      <c r="AB1474" s="6" t="str">
        <f>IFERROR(__xludf.DUMMYFUNCTION("""COMPUTED_VALUE"""),"Всего хватает")</f>
        <v>Всего хватает</v>
      </c>
      <c r="AC1474" s="6" t="str">
        <f>IFERROR(__xludf.DUMMYFUNCTION("""COMPUTED_VALUE"""),"Экологические ")</f>
        <v>Экологические </v>
      </c>
      <c r="AD147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74" s="6" t="str">
        <f>IFERROR(__xludf.DUMMYFUNCTION("""COMPUTED_VALUE"""),"Женский")</f>
        <v>Женский</v>
      </c>
      <c r="AF1474" s="6" t="str">
        <f>IFERROR(__xludf.DUMMYFUNCTION("""COMPUTED_VALUE"""),"45-55")</f>
        <v>45-55</v>
      </c>
      <c r="AG1474" s="6"/>
      <c r="AH1474" s="6"/>
      <c r="AI1474" s="6"/>
      <c r="AJ1474" s="6"/>
      <c r="AK1474" s="6"/>
      <c r="AL1474" s="6"/>
      <c r="AM1474" s="6"/>
    </row>
    <row r="1475">
      <c r="A1475" s="6">
        <v>1474.0</v>
      </c>
      <c r="B1475" s="6" t="str">
        <f>IFERROR(__xludf.DUMMYFUNCTION("""COMPUTED_VALUE"""),"Работаю, консультант")</f>
        <v>Работаю, консультант</v>
      </c>
      <c r="C1475" s="6" t="str">
        <f>IFERROR(__xludf.DUMMYFUNCTION("""COMPUTED_VALUE"""),"музыка, автомобили")</f>
        <v>музыка, автомобили</v>
      </c>
      <c r="D1475" s="6" t="str">
        <f>IFERROR(__xludf.DUMMYFUNCTION("""COMPUTED_VALUE"""),"центральный")</f>
        <v>центральный</v>
      </c>
      <c r="E1475" s="6" t="str">
        <f>IFERROR(__xludf.DUMMYFUNCTION("""COMPUTED_VALUE"""),"Площадь Советов, Драмтеатр")</f>
        <v>Площадь Советов, Драмтеатр</v>
      </c>
      <c r="F1475" s="6" t="str">
        <f>IFERROR(__xludf.DUMMYFUNCTION("""COMPUTED_VALUE"""),"Живу здесь с рождения")</f>
        <v>Живу здесь с рождения</v>
      </c>
      <c r="G1475" s="6" t="str">
        <f>IFERROR(__xludf.DUMMYFUNCTION("""COMPUTED_VALUE"""),"набережная, парки и скверы")</f>
        <v>набережная, парки и скверы</v>
      </c>
      <c r="H1475" s="6" t="str">
        <f>IFERROR(__xludf.DUMMYFUNCTION("""COMPUTED_VALUE"""),"-")</f>
        <v>-</v>
      </c>
      <c r="I1475" s="6" t="str">
        <f>IFERROR(__xludf.DUMMYFUNCTION("""COMPUTED_VALUE"""),"Волков, Леонов")</f>
        <v>Волков, Леонов</v>
      </c>
      <c r="J1475" s="6" t="str">
        <f>IFERROR(__xludf.DUMMYFUNCTION("""COMPUTED_VALUE"""),"не знаю")</f>
        <v>не знаю</v>
      </c>
      <c r="K1475" s="6" t="str">
        <f>IFERROR(__xludf.DUMMYFUNCTION("""COMPUTED_VALUE"""),"музей красная горка, набережная, сосновый бор, парк ангелов, бульвар строителей")</f>
        <v>музей красная горка, набережная, сосновый бор, парк ангелов, бульвар строителей</v>
      </c>
      <c r="L1475" s="6" t="str">
        <f>IFERROR(__xludf.DUMMYFUNCTION("""COMPUTED_VALUE"""),"не знаю")</f>
        <v>не знаю</v>
      </c>
      <c r="M1475" s="6" t="str">
        <f>IFERROR(__xludf.DUMMYFUNCTION("""COMPUTED_VALUE"""),"нет")</f>
        <v>нет</v>
      </c>
      <c r="N1475" s="6" t="str">
        <f>IFERROR(__xludf.DUMMYFUNCTION("""COMPUTED_VALUE"""),"чистота, безопасность, развитая инфраструктура, соц.обеспечение, доступность услуг")</f>
        <v>чистота, безопасность, развитая инфраструктура, соц.обеспечение, доступность услуг</v>
      </c>
      <c r="O1475" s="6" t="str">
        <f>IFERROR(__xludf.DUMMYFUNCTION("""COMPUTED_VALUE"""),"экология, парковки")</f>
        <v>экология, парковки</v>
      </c>
      <c r="P1475" s="6" t="str">
        <f>IFERROR(__xludf.DUMMYFUNCTION("""COMPUTED_VALUE"""),"радио, вк, новостные сайты")</f>
        <v>радио, вк, новостные сайты</v>
      </c>
      <c r="Q147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результаты местных исследований (р"&amp;"ейтинги/аналитика/тенденции)")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v>
      </c>
      <c r="R1475" s="6" t="str">
        <f>IFERROR(__xludf.DUMMYFUNCTION("""COMPUTED_VALUE"""),"нет таких")</f>
        <v>нет таких</v>
      </c>
      <c r="S1475" s="6" t="str">
        <f>IFERROR(__xludf.DUMMYFUNCTION("""COMPUTED_VALUE"""),"Нет, не приходилось")</f>
        <v>Нет, не приходилось</v>
      </c>
      <c r="T1475" s="6" t="str">
        <f>IFERROR(__xludf.DUMMYFUNCTION("""COMPUTED_VALUE"""),"-")</f>
        <v>-</v>
      </c>
      <c r="U1475" s="6" t="str">
        <f>IFERROR(__xludf.DUMMYFUNCTION("""COMPUTED_VALUE"""),"Площадь Советов")</f>
        <v>Площадь Советов</v>
      </c>
      <c r="V1475" s="6" t="str">
        <f>IFERROR(__xludf.DUMMYFUNCTION("""COMPUTED_VALUE"""),"Пахали как проклятые")</f>
        <v>Пахали как проклятые</v>
      </c>
      <c r="W1475" s="6" t="str">
        <f>IFERROR(__xludf.DUMMYFUNCTION("""COMPUTED_VALUE"""),"Хмурые")</f>
        <v>Хмурые</v>
      </c>
      <c r="X1475" s="6" t="str">
        <f>IFERROR(__xludf.DUMMYFUNCTION("""COMPUTED_VALUE"""),"набережная")</f>
        <v>набережная</v>
      </c>
      <c r="Y1475" s="6" t="str">
        <f>IFERROR(__xludf.DUMMYFUNCTION("""COMPUTED_VALUE"""),"-")</f>
        <v>-</v>
      </c>
      <c r="Z1475" s="6" t="str">
        <f>IFERROR(__xludf.DUMMYFUNCTION("""COMPUTED_VALUE"""),"-")</f>
        <v>-</v>
      </c>
      <c r="AA1475" s="6" t="str">
        <f>IFERROR(__xludf.DUMMYFUNCTION("""COMPUTED_VALUE"""),"зимняя вишня")</f>
        <v>зимняя вишня</v>
      </c>
      <c r="AB1475" s="6" t="str">
        <f>IFERROR(__xludf.DUMMYFUNCTION("""COMPUTED_VALUE"""),"никаких")</f>
        <v>никаких</v>
      </c>
      <c r="AC1475" s="6" t="str">
        <f>IFERROR(__xludf.DUMMYFUNCTION("""COMPUTED_VALUE"""),"никаких")</f>
        <v>никаких</v>
      </c>
      <c r="AD147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475" s="6" t="str">
        <f>IFERROR(__xludf.DUMMYFUNCTION("""COMPUTED_VALUE"""),"Мужской")</f>
        <v>Мужской</v>
      </c>
      <c r="AF1475" s="6" t="str">
        <f>IFERROR(__xludf.DUMMYFUNCTION("""COMPUTED_VALUE"""),"30-44")</f>
        <v>30-44</v>
      </c>
      <c r="AG1475" s="6"/>
      <c r="AH1475" s="6"/>
      <c r="AI1475" s="6"/>
      <c r="AJ1475" s="6"/>
      <c r="AK1475" s="6"/>
      <c r="AL1475" s="6"/>
      <c r="AM1475" s="6"/>
    </row>
    <row r="1476">
      <c r="A1476" s="6">
        <v>1475.0</v>
      </c>
      <c r="B1476" s="6" t="str">
        <f>IFERROR(__xludf.DUMMYFUNCTION("""COMPUTED_VALUE"""),"Работаю")</f>
        <v>Работаю</v>
      </c>
      <c r="C1476" s="6" t="str">
        <f>IFERROR(__xludf.DUMMYFUNCTION("""COMPUTED_VALUE"""),"Фотография")</f>
        <v>Фотография</v>
      </c>
      <c r="D1476" s="6" t="str">
        <f>IFERROR(__xludf.DUMMYFUNCTION("""COMPUTED_VALUE"""),"Кемерово-сити")</f>
        <v>Кемерово-сити</v>
      </c>
      <c r="E1476" s="6" t="str">
        <f>IFERROR(__xludf.DUMMYFUNCTION("""COMPUTED_VALUE"""),"Сквер Им Резникова")</f>
        <v>Сквер Им Резникова</v>
      </c>
      <c r="F1476" s="6" t="str">
        <f>IFERROR(__xludf.DUMMYFUNCTION("""COMPUTED_VALUE"""),"Живу здесь с рождения")</f>
        <v>Живу здесь с рождения</v>
      </c>
      <c r="G1476" s="6" t="str">
        <f>IFERROR(__xludf.DUMMYFUNCTION("""COMPUTED_VALUE"""),"Озеро Красное")</f>
        <v>Озеро Красное</v>
      </c>
      <c r="H1476" s="6" t="str">
        <f>IFERROR(__xludf.DUMMYFUNCTION("""COMPUTED_VALUE"""),"Столица щегловск_ _ _")</f>
        <v>Столица щегловск_ _ _</v>
      </c>
      <c r="I1476" s="6" t="str">
        <f>IFERROR(__xludf.DUMMYFUNCTION("""COMPUTED_VALUE"""),"Волков Рутгерс")</f>
        <v>Волков Рутгерс</v>
      </c>
      <c r="J1476" s="6" t="str">
        <f>IFERROR(__xludf.DUMMYFUNCTION("""COMPUTED_VALUE"""),"Михайлов Тулеев")</f>
        <v>Михайлов Тулеев</v>
      </c>
      <c r="K1476" s="6" t="str">
        <f>IFERROR(__xludf.DUMMYFUNCTION("""COMPUTED_VALUE"""),"Вид на город от ""креста"" особенно заводы")</f>
        <v>Вид на город от "креста" особенно заводы</v>
      </c>
      <c r="L1476" s="6" t="str">
        <f>IFERROR(__xludf.DUMMYFUNCTION("""COMPUTED_VALUE"""),"Кароче, нармальный город, канкретный")</f>
        <v>Кароче, нармальный город, канкретный</v>
      </c>
      <c r="M1476" s="6" t="str">
        <f>IFERROR(__xludf.DUMMYFUNCTION("""COMPUTED_VALUE"""),"Нет")</f>
        <v>Нет</v>
      </c>
      <c r="N1476" s="6" t="str">
        <f>IFERROR(__xludf.DUMMYFUNCTION("""COMPUTED_VALUE"""),"Компактный, хорошие дороги/тротуары, много зелени, своевременная уборка, скверы/парки")</f>
        <v>Компактный, хорошие дороги/тротуары, много зелени, своевременная уборка, скверы/парки</v>
      </c>
      <c r="O1476" s="6" t="str">
        <f>IFERROR(__xludf.DUMMYFUNCTION("""COMPUTED_VALUE"""),"Пустить трамвай по пр. Ленина")</f>
        <v>Пустить трамвай по пр. Ленина</v>
      </c>
      <c r="P1476" s="6" t="str">
        <f>IFERROR(__xludf.DUMMYFUNCTION("""COMPUTED_VALUE"""),"Яндекс .новости")</f>
        <v>Яндекс .новости</v>
      </c>
      <c r="Q1476" s="6" t="str">
        <f>IFERROR(__xludf.DUMMYFUNCTION("""COMPUTED_VALUE"""),"интервью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476" s="6" t="str">
        <f>IFERROR(__xludf.DUMMYFUNCTION("""COMPUTED_VALUE"""),"День города, день шахтера, 9мая")</f>
        <v>День города, день шахтера, 9мая</v>
      </c>
      <c r="S1476" s="6" t="str">
        <f>IFERROR(__xludf.DUMMYFUNCTION("""COMPUTED_VALUE"""),"Работал в антикафе ""Кот да Винчи"", театре ""Ложа""")</f>
        <v>Работал в антикафе "Кот да Винчи", театре "Ложа"</v>
      </c>
      <c r="T1476" s="6" t="str">
        <f>IFERROR(__xludf.DUMMYFUNCTION("""COMPUTED_VALUE"""),"Он уникален своими уехавшими знаменитостями")</f>
        <v>Он уникален своими уехавшими знаменитостями</v>
      </c>
      <c r="U1476" s="6" t="str">
        <f>IFERROR(__xludf.DUMMYFUNCTION("""COMPUTED_VALUE"""),"Остановка Кирова")</f>
        <v>Остановка Кирова</v>
      </c>
      <c r="V1476" s="6" t="str">
        <f>IFERROR(__xludf.DUMMYFUNCTION("""COMPUTED_VALUE"""),"Сделали его таким какой он есть")</f>
        <v>Сделали его таким какой он есть</v>
      </c>
      <c r="W1476" s="6" t="str">
        <f>IFERROR(__xludf.DUMMYFUNCTION("""COMPUTED_VALUE"""),"Разеообразные")</f>
        <v>Разеообразные</v>
      </c>
      <c r="X1476" s="6" t="str">
        <f>IFERROR(__xludf.DUMMYFUNCTION("""COMPUTED_VALUE"""),"Пионерка- металалощадка-лесная поляна-кедровка-кировский(на лыжах)")</f>
        <v>Пионерка- металалощадка-лесная поляна-кедровка-кировский(на лыжах)</v>
      </c>
      <c r="Y1476" s="6" t="str">
        <f>IFERROR(__xludf.DUMMYFUNCTION("""COMPUTED_VALUE"""),"Обнаружение угля")</f>
        <v>Обнаружение угля</v>
      </c>
      <c r="Z1476" s="6" t="str">
        <f>IFERROR(__xludf.DUMMYFUNCTION("""COMPUTED_VALUE"""),"Пагдемия")</f>
        <v>Пагдемия</v>
      </c>
      <c r="AA1476" s="6" t="str">
        <f>IFERROR(__xludf.DUMMYFUNCTION("""COMPUTED_VALUE"""),"Несогласованные митинги")</f>
        <v>Несогласованные митинги</v>
      </c>
      <c r="AB1476" s="6" t="str">
        <f>IFERROR(__xludf.DUMMYFUNCTION("""COMPUTED_VALUE"""),"Клуба любителей тролить в соцсетях")</f>
        <v>Клуба любителей тролить в соцсетях</v>
      </c>
      <c r="AC1476" s="6" t="str">
        <f>IFERROR(__xludf.DUMMYFUNCTION("""COMPUTED_VALUE"""),"Субботники по уборке")</f>
        <v>Субботники по уборке</v>
      </c>
      <c r="AD1476" s="6" t="str">
        <f>IFERROR(__xludf.DUMMYFUNCTION("""COMPUTED_VALUE"""),"Не готов принимать личное участие (укажите, пожалуйста, причину в поле «Другое»), Занимаюсь работой/семьёй")</f>
        <v>Не готов принимать личное участие (укажите, пожалуйста, причину в поле «Другое»), Занимаюсь работой/семьёй</v>
      </c>
      <c r="AE1476" s="6" t="str">
        <f>IFERROR(__xludf.DUMMYFUNCTION("""COMPUTED_VALUE"""),"Мужской")</f>
        <v>Мужской</v>
      </c>
      <c r="AF1476" s="6" t="str">
        <f>IFERROR(__xludf.DUMMYFUNCTION("""COMPUTED_VALUE"""),"45-55")</f>
        <v>45-55</v>
      </c>
      <c r="AG1476" s="6"/>
      <c r="AH1476" s="6"/>
      <c r="AI1476" s="6"/>
      <c r="AJ1476" s="6"/>
      <c r="AK1476" s="6"/>
      <c r="AL1476" s="6"/>
      <c r="AM1476" s="6"/>
    </row>
    <row r="1477">
      <c r="A1477" s="6">
        <v>1476.0</v>
      </c>
      <c r="B1477" s="6" t="str">
        <f>IFERROR(__xludf.DUMMYFUNCTION("""COMPUTED_VALUE"""),"Дизайнер")</f>
        <v>Дизайнер</v>
      </c>
      <c r="C1477" s="6" t="str">
        <f>IFERROR(__xludf.DUMMYFUNCTION("""COMPUTED_VALUE"""),"Компьютерные игры, отдых на природе")</f>
        <v>Компьютерные игры, отдых на природе</v>
      </c>
      <c r="D1477" s="6" t="str">
        <f>IFERROR(__xludf.DUMMYFUNCTION("""COMPUTED_VALUE"""),"Центральный")</f>
        <v>Центральный</v>
      </c>
      <c r="E1477" s="6" t="str">
        <f>IFERROR(__xludf.DUMMYFUNCTION("""COMPUTED_VALUE"""),"Парк Чудес, Площадь Советов")</f>
        <v>Парк Чудес, Площадь Советов</v>
      </c>
      <c r="F1477"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1477" s="6" t="str">
        <f>IFERROR(__xludf.DUMMYFUNCTION("""COMPUTED_VALUE"""),"парк, набережная, местные кафешки и т.д.")</f>
        <v>парк, набережная, местные кафешки и т.д.</v>
      </c>
      <c r="H1477" s="6" t="str">
        <f>IFERROR(__xludf.DUMMYFUNCTION("""COMPUTED_VALUE"""),"Столица области, бор, уголь, томь, хим.производство")</f>
        <v>Столица области, бор, уголь, томь, хим.производство</v>
      </c>
      <c r="I1477" s="6" t="str">
        <f>IFERROR(__xludf.DUMMYFUNCTION("""COMPUTED_VALUE"""),"Тулеев")</f>
        <v>Тулеев</v>
      </c>
      <c r="J1477" s="6" t="str">
        <f>IFERROR(__xludf.DUMMYFUNCTION("""COMPUTED_VALUE"""),"Тулеев")</f>
        <v>Тулеев</v>
      </c>
      <c r="K1477" s="6" t="str">
        <f>IFERROR(__xludf.DUMMYFUNCTION("""COMPUTED_VALUE"""),"Набережная")</f>
        <v>Набережная</v>
      </c>
      <c r="L1477" s="6" t="str">
        <f>IFERROR(__xludf.DUMMYFUNCTION("""COMPUTED_VALUE"""),"не знаю")</f>
        <v>не знаю</v>
      </c>
      <c r="M1477" s="6" t="str">
        <f>IFERROR(__xludf.DUMMYFUNCTION("""COMPUTED_VALUE"""),"Щегловка как имя нарицательное")</f>
        <v>Щегловка как имя нарицательное</v>
      </c>
      <c r="N1477" s="6" t="str">
        <f>IFERROR(__xludf.DUMMYFUNCTION("""COMPUTED_VALUE"""),"Чисто, безопасно, нормальные парковки дороги")</f>
        <v>Чисто, безопасно, нормальные парковки дороги</v>
      </c>
      <c r="O1477" s="6" t="str">
        <f>IFERROR(__xludf.DUMMYFUNCTION("""COMPUTED_VALUE"""),"Парковки, выхлоп от предприятий")</f>
        <v>Парковки, выхлоп от предприятий</v>
      </c>
      <c r="P1477" s="6" t="str">
        <f>IFERROR(__xludf.DUMMYFUNCTION("""COMPUTED_VALUE"""),"новостные сайты, соцсети")</f>
        <v>новостные сайты, соцсети</v>
      </c>
      <c r="Q1477" s="6" t="str">
        <f>IFERROR(__xludf.DUMMYFUNCTION("""COMPUTED_VALUE"""),"куда пойти в свободное время,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477" s="6" t="str">
        <f>IFERROR(__xludf.DUMMYFUNCTION("""COMPUTED_VALUE"""),"День города, Новый год")</f>
        <v>День города, Новый год</v>
      </c>
      <c r="S1477" s="6" t="str">
        <f>IFERROR(__xludf.DUMMYFUNCTION("""COMPUTED_VALUE"""),"Нет, не приходилось")</f>
        <v>Нет, не приходилось</v>
      </c>
      <c r="T1477" s="6" t="str">
        <f>IFERROR(__xludf.DUMMYFUNCTION("""COMPUTED_VALUE"""),"не знаю")</f>
        <v>не знаю</v>
      </c>
      <c r="U1477" s="6" t="str">
        <f>IFERROR(__xludf.DUMMYFUNCTION("""COMPUTED_VALUE"""),"Площадь у администрации")</f>
        <v>Площадь у администрации</v>
      </c>
      <c r="V1477" s="6" t="str">
        <f>IFERROR(__xludf.DUMMYFUNCTION("""COMPUTED_VALUE"""),"не знаю")</f>
        <v>не знаю</v>
      </c>
      <c r="W1477" s="6" t="str">
        <f>IFERROR(__xludf.DUMMYFUNCTION("""COMPUTED_VALUE"""),"-")</f>
        <v>-</v>
      </c>
      <c r="X1477" s="6" t="str">
        <f>IFERROR(__xludf.DUMMYFUNCTION("""COMPUTED_VALUE"""),"Советский проспект и набережная")</f>
        <v>Советский проспект и набережная</v>
      </c>
      <c r="Y1477" s="6" t="str">
        <f>IFERROR(__xludf.DUMMYFUNCTION("""COMPUTED_VALUE"""),"-")</f>
        <v>-</v>
      </c>
      <c r="Z1477" s="6" t="str">
        <f>IFERROR(__xludf.DUMMYFUNCTION("""COMPUTED_VALUE"""),"Никакие")</f>
        <v>Никакие</v>
      </c>
      <c r="AA1477" s="6" t="str">
        <f>IFERROR(__xludf.DUMMYFUNCTION("""COMPUTED_VALUE"""),"Дорогая ёлка на новый год. Денег нет, но вы держитесь")</f>
        <v>Дорогая ёлка на новый год. Денег нет, но вы держитесь</v>
      </c>
      <c r="AB1477" s="6" t="str">
        <f>IFERROR(__xludf.DUMMYFUNCTION("""COMPUTED_VALUE"""),"Всего хватает")</f>
        <v>Всего хватает</v>
      </c>
      <c r="AC1477" s="6" t="str">
        <f>IFERROR(__xludf.DUMMYFUNCTION("""COMPUTED_VALUE"""),"-")</f>
        <v>-</v>
      </c>
      <c r="AD1477"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477" s="6" t="str">
        <f>IFERROR(__xludf.DUMMYFUNCTION("""COMPUTED_VALUE"""),"Мужской")</f>
        <v>Мужской</v>
      </c>
      <c r="AF1477" s="6" t="str">
        <f>IFERROR(__xludf.DUMMYFUNCTION("""COMPUTED_VALUE"""),"30-44")</f>
        <v>30-44</v>
      </c>
      <c r="AG1477" s="6"/>
      <c r="AH1477" s="6"/>
      <c r="AI1477" s="6"/>
      <c r="AJ1477" s="6"/>
      <c r="AK1477" s="6"/>
      <c r="AL1477" s="6"/>
      <c r="AM1477" s="6"/>
    </row>
    <row r="1478">
      <c r="A1478" s="6">
        <v>1477.0</v>
      </c>
      <c r="B1478" s="6" t="str">
        <f>IFERROR(__xludf.DUMMYFUNCTION("""COMPUTED_VALUE"""),"Студентка, учусь. ")</f>
        <v>Студентка, учусь. </v>
      </c>
      <c r="C1478" s="6" t="str">
        <f>IFERROR(__xludf.DUMMYFUNCTION("""COMPUTED_VALUE"""),"Есть, пишу картины. ")</f>
        <v>Есть, пишу картины. </v>
      </c>
      <c r="D1478" s="6" t="str">
        <f>IFERROR(__xludf.DUMMYFUNCTION("""COMPUTED_VALUE"""),"Ленинском")</f>
        <v>Ленинском</v>
      </c>
      <c r="E1478" s="6" t="str">
        <f>IFERROR(__xludf.DUMMYFUNCTION("""COMPUTED_VALUE"""),"Бульвар строителей ")</f>
        <v>Бульвар строителей </v>
      </c>
      <c r="F1478" s="6" t="str">
        <f>IFERROR(__xludf.DUMMYFUNCTION("""COMPUTED_VALUE"""),"Родился здесь,но сейчас живу в другом городе, Не живу,но приезжаю сюда (к родственникам/друзьям)")</f>
        <v>Родился здесь,но сейчас живу в другом городе, Не живу,но приезжаю сюда (к родственникам/друзьям)</v>
      </c>
      <c r="G1478" s="6" t="str">
        <f>IFERROR(__xludf.DUMMYFUNCTION("""COMPUTED_VALUE"""),"На набережную. ")</f>
        <v>На набережную. </v>
      </c>
      <c r="H1478" s="6" t="str">
        <f>IFERROR(__xludf.DUMMYFUNCTION("""COMPUTED_VALUE"""),"Уютный, контрастный, современный, удобный, красивый")</f>
        <v>Уютный, контрастный, современный, удобный, красивый</v>
      </c>
      <c r="I1478" s="6" t="str">
        <f>IFERROR(__xludf.DUMMYFUNCTION("""COMPUTED_VALUE"""),"Леонов. ")</f>
        <v>Леонов. </v>
      </c>
      <c r="J1478" s="6" t="str">
        <f>IFERROR(__xludf.DUMMYFUNCTION("""COMPUTED_VALUE"""),"Сердюк. ")</f>
        <v>Сердюк. </v>
      </c>
      <c r="K1478" s="6" t="str">
        <f>IFERROR(__xludf.DUMMYFUNCTION("""COMPUTED_VALUE"""),"Зона отдыха Клумба, кафе Завтра, Кать. ")</f>
        <v>Зона отдыха Клумба, кафе Завтра, Кать. </v>
      </c>
      <c r="L1478" s="6" t="str">
        <f>IFERROR(__xludf.DUMMYFUNCTION("""COMPUTED_VALUE"""),"Затрудняюсь ответить ")</f>
        <v>Затрудняюсь ответить </v>
      </c>
      <c r="M1478" s="6" t="str">
        <f>IFERROR(__xludf.DUMMYFUNCTION("""COMPUTED_VALUE"""),"Затрудняюсь ответить ")</f>
        <v>Затрудняюсь ответить </v>
      </c>
      <c r="N1478" s="6" t="str">
        <f>IFERROR(__xludf.DUMMYFUNCTION("""COMPUTED_VALUE"""),"Доступность общественного транспорта, инфраструктура для маломобильных людей.")</f>
        <v>Доступность общественного транспорта, инфраструктура для маломобильных людей.</v>
      </c>
      <c r="O1478" s="6" t="str">
        <f>IFERROR(__xludf.DUMMYFUNCTION("""COMPUTED_VALUE"""),"Необходимо создать большее количество маршрутного транспорта для разных районов города. ")</f>
        <v>Необходимо создать большее количество маршрутного транспорта для разных районов города. </v>
      </c>
      <c r="P1478" s="6" t="str">
        <f>IFERROR(__xludf.DUMMYFUNCTION("""COMPUTED_VALUE"""),"Инстаграм, вконтакте")</f>
        <v>Инстаграм, вконтакте</v>
      </c>
      <c r="Q1478" s="6" t="str">
        <f>IFERROR(__xludf.DUMMYFUNCTION("""COMPUTED_VALUE"""),"куда пойти в свободное время, где вкусно поесть/открытие новых кафе/ресторанов, интервью с местными творческими личностями")</f>
        <v>куда пойти в свободное время, где вкусно поесть/открытие новых кафе/ресторанов, интервью с местными творческими личностями</v>
      </c>
      <c r="R1478" s="6" t="str">
        <f>IFERROR(__xludf.DUMMYFUNCTION("""COMPUTED_VALUE"""),"День города, День победы. ")</f>
        <v>День города, День победы. </v>
      </c>
      <c r="S1478" s="6" t="str">
        <f>IFERROR(__xludf.DUMMYFUNCTION("""COMPUTED_VALUE"""),"Нет, не приходилось")</f>
        <v>Нет, не приходилось</v>
      </c>
      <c r="T1478" s="6" t="str">
        <f>IFERROR(__xludf.DUMMYFUNCTION("""COMPUTED_VALUE"""),"Историческое происхождение")</f>
        <v>Историческое происхождение</v>
      </c>
      <c r="U1478" s="6" t="str">
        <f>IFERROR(__xludf.DUMMYFUNCTION("""COMPUTED_VALUE"""),"ТЦ Я, Главпочтамт, Филармония")</f>
        <v>ТЦ Я, Главпочтамт, Филармония</v>
      </c>
      <c r="V1478" s="6" t="str">
        <f>IFERROR(__xludf.DUMMYFUNCTION("""COMPUTED_VALUE"""),"Улучшали городской вид (домов, улиц, парков, площадок, скверов). ")</f>
        <v>Улучшали городской вид (домов, улиц, парков, площадок, скверов). </v>
      </c>
      <c r="W1478" s="6" t="str">
        <f>IFERROR(__xludf.DUMMYFUNCTION("""COMPUTED_VALUE"""),"Добрые, отзывчивые. ")</f>
        <v>Добрые, отзывчивые. </v>
      </c>
      <c r="X1478" s="6" t="str">
        <f>IFERROR(__xludf.DUMMYFUNCTION("""COMPUTED_VALUE"""),"Прогуляться от Главпочтамт до Набережной. Томская писаница. ")</f>
        <v>Прогуляться от Главпочтамт до Набережной. Томская писаница. </v>
      </c>
      <c r="Y1478" s="6" t="str">
        <f>IFERROR(__xludf.DUMMYFUNCTION("""COMPUTED_VALUE"""),"Затрудняюсь ответить ")</f>
        <v>Затрудняюсь ответить </v>
      </c>
      <c r="Z1478" s="6" t="str">
        <f>IFERROR(__xludf.DUMMYFUNCTION("""COMPUTED_VALUE"""),"Затрудняюсь ответить ")</f>
        <v>Затрудняюсь ответить </v>
      </c>
      <c r="AA1478" s="6" t="str">
        <f>IFERROR(__xludf.DUMMYFUNCTION("""COMPUTED_VALUE"""),"Очень много, связано со строительством новых объектов. ")</f>
        <v>Очень много, связано со строительством новых объектов. </v>
      </c>
      <c r="AB1478" s="6" t="str">
        <f>IFERROR(__xludf.DUMMYFUNCTION("""COMPUTED_VALUE"""),"Для пенсионеров, детских лагерей. ")</f>
        <v>Для пенсионеров, детских лагерей. </v>
      </c>
      <c r="AC1478" s="6" t="str">
        <f>IFERROR(__xludf.DUMMYFUNCTION("""COMPUTED_VALUE"""),"Больше развлекательных мероприятий. Больших концертов, спортивных мероприятий. ")</f>
        <v>Больше развлекательных мероприятий. Больших концертов, спортивных мероприятий. </v>
      </c>
      <c r="AD147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78" s="6" t="str">
        <f>IFERROR(__xludf.DUMMYFUNCTION("""COMPUTED_VALUE"""),"Женский")</f>
        <v>Женский</v>
      </c>
      <c r="AF1478" s="6" t="str">
        <f>IFERROR(__xludf.DUMMYFUNCTION("""COMPUTED_VALUE"""),"18-29")</f>
        <v>18-29</v>
      </c>
      <c r="AG1478" s="6"/>
      <c r="AH1478" s="6"/>
      <c r="AI1478" s="6"/>
      <c r="AJ1478" s="6"/>
      <c r="AK1478" s="6"/>
      <c r="AL1478" s="6"/>
      <c r="AM1478" s="6"/>
    </row>
    <row r="1479">
      <c r="A1479" s="6">
        <v>1478.0</v>
      </c>
      <c r="B1479" s="6" t="str">
        <f>IFERROR(__xludf.DUMMYFUNCTION("""COMPUTED_VALUE"""),"Пенсионер")</f>
        <v>Пенсионер</v>
      </c>
      <c r="C1479" s="6" t="str">
        <f>IFERROR(__xludf.DUMMYFUNCTION("""COMPUTED_VALUE"""),"Цветоводство")</f>
        <v>Цветоводство</v>
      </c>
      <c r="D1479" s="6" t="str">
        <f>IFERROR(__xludf.DUMMYFUNCTION("""COMPUTED_VALUE"""),"Центральный район")</f>
        <v>Центральный район</v>
      </c>
      <c r="E1479" s="6" t="str">
        <f>IFERROR(__xludf.DUMMYFUNCTION("""COMPUTED_VALUE"""),"Парк им. В. ВОЛОШИНОЙ, ПАРК ЧУДЕС, ПАРК АНГЕЛОВ, СКВЕР Юность, ПЛОЩАДЬ М. Волкова, сквер ""Искусств"", площадь Пушкина")</f>
        <v>Парк им. В. ВОЛОШИНОЙ, ПАРК ЧУДЕС, ПАРК АНГЕЛОВ, СКВЕР Юность, ПЛОЩАДЬ М. Волкова, сквер "Искусств", площадь Пушкина</v>
      </c>
      <c r="F1479" s="6" t="str">
        <f>IFERROR(__xludf.DUMMYFUNCTION("""COMPUTED_VALUE"""),"Переехал сюда из другого места (откуда? укажите в графе другое), Вместе с родителями переехали из г.Томска в 1973г.")</f>
        <v>Переехал сюда из другого места (откуда? укажите в графе другое), Вместе с родителями переехали из г.Томска в 1973г.</v>
      </c>
      <c r="G1479" s="6" t="str">
        <f>IFERROR(__xludf.DUMMYFUNCTION("""COMPUTED_VALUE"""),"Сосновый бор, Парк Ангелов, сквер ""Юность, прогулка по набережной р. Томи")</f>
        <v>Сосновый бор, Парк Ангелов, сквер "Юность, прогулка по набережной р. Томи</v>
      </c>
      <c r="H1479" s="6" t="str">
        <f>IFERROR(__xludf.DUMMYFUNCTION("""COMPUTED_VALUE"""),"Химия, искусство, плохая экология, Красная горка, газ.")</f>
        <v>Химия, искусство, плохая экология, Красная горка, газ.</v>
      </c>
      <c r="I1479" s="6" t="str">
        <f>IFERROR(__xludf.DUMMYFUNCTION("""COMPUTED_VALUE"""),"М. Волков, П. Чихачев, Ремизов, Мызо.")</f>
        <v>М. Волков, П. Чихачев, Ремизов, Мызо.</v>
      </c>
      <c r="J1479" s="6" t="str">
        <f>IFERROR(__xludf.DUMMYFUNCTION("""COMPUTED_VALUE"""),"Г. Юров, Е.Гришковец, В. Самойлов, Г. Бурков, А. Леонов")</f>
        <v>Г. Юров, Е.Гришковец, В. Самойлов, Г. Бурков, А. Леонов</v>
      </c>
      <c r="K1479" s="6" t="str">
        <f>IFERROR(__xludf.DUMMYFUNCTION("""COMPUTED_VALUE"""),"Жилой район ""Лесная поляна"", парк Ангелов, сосновый бор.")</f>
        <v>Жилой район "Лесная поляна", парк Ангелов, сосновый бор.</v>
      </c>
      <c r="L1479" s="6" t="str">
        <f>IFERROR(__xludf.DUMMYFUNCTION("""COMPUTED_VALUE"""),"Терпение и труд - все перетрут!")</f>
        <v>Терпение и труд - все перетрут!</v>
      </c>
      <c r="M1479" s="6" t="str">
        <f>IFERROR(__xludf.DUMMYFUNCTION("""COMPUTED_VALUE"""),"Тормозок, ""Лапа""- торговый центр ""Лапландия"", улицы Терешки - Терешковой, Тухачи - Тухачевского.")</f>
        <v>Тормозок, "Лапа"- торговый центр "Лапландия", улицы Терешки - Терешковой, Тухачи - Тухачевского.</v>
      </c>
      <c r="N1479" s="6" t="str">
        <f>IFERROR(__xludf.DUMMYFUNCTION("""COMPUTED_VALUE"""),"Чистота, работа, транспорт, зарплата, доступное жилье, медицина.")</f>
        <v>Чистота, работа, транспорт, зарплата, доступное жилье, медицина.</v>
      </c>
      <c r="O1479" s="6" t="str">
        <f>IFERROR(__xludf.DUMMYFUNCTION("""COMPUTED_VALUE"""),"Транспортная доступность, медицинское обслуживание, рабочие места с адекватной заработной платой.")</f>
        <v>Транспортная доступность, медицинское обслуживание, рабочие места с адекватной заработной платой.</v>
      </c>
      <c r="P1479" s="6" t="str">
        <f>IFERROR(__xludf.DUMMYFUNCTION("""COMPUTED_VALUE"""),"Инстаграм, Кузбасс Онлайн, Вести42, анонсы на сайтах учреждений культуры, сайт администрации г. Кемерово")</f>
        <v>Инстаграм, Кузбасс Онлайн, Вести42, анонсы на сайтах учреждений культуры, сайт администрации г. Кемерово</v>
      </c>
      <c r="Q1479"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1479" s="6" t="str">
        <f>IFERROR(__xludf.DUMMYFUNCTION("""COMPUTED_VALUE"""),"День города, Новый год, День Победы, День шахтёра.")</f>
        <v>День города, Новый год, День Победы, День шахтёра.</v>
      </c>
      <c r="S1479" s="6" t="str">
        <f>IFERROR(__xludf.DUMMYFUNCTION("""COMPUTED_VALUE"""),"Обращался в редакции городских газет, телевидения, радио")</f>
        <v>Обращался в редакции городских газет, телевидения, радио</v>
      </c>
      <c r="T1479" s="6" t="str">
        <f>IFERROR(__xludf.DUMMYFUNCTION("""COMPUTED_VALUE"""),"Химической промышленностью,  АИК ""Кузбасс"".")</f>
        <v>Химической промышленностью,  АИК "Кузбасс".</v>
      </c>
      <c r="U1479" s="6" t="str">
        <f>IFERROR(__xludf.DUMMYFUNCTION("""COMPUTED_VALUE"""),"Площадь Советов, Красная горка, Линейный парк  на Бульваре строителей.")</f>
        <v>Площадь Советов, Красная горка, Линейный парк  на Бульваре строителей.</v>
      </c>
      <c r="V1479" s="6" t="str">
        <f>IFERROR(__xludf.DUMMYFUNCTION("""COMPUTED_VALUE"""),"Городская архитектура, краеведческий музей, историческое место ( музейная экспозиция ""Красная горка"").")</f>
        <v>Городская архитектура, краеведческий музей, историческое место ( музейная экспозиция "Красная горка").</v>
      </c>
      <c r="W1479" s="6" t="str">
        <f>IFERROR(__xludf.DUMMYFUNCTION("""COMPUTED_VALUE"""),"Добрые, волевые, умные, талантливые, решительные, смелые.")</f>
        <v>Добрые, волевые, умные, талантливые, решительные, смелые.</v>
      </c>
      <c r="X1479" s="6" t="str">
        <f>IFERROR(__xludf.DUMMYFUNCTION("""COMPUTED_VALUE"""),"Набережная - Кузнецкий мост- Красная горка - Сосновый бор.")</f>
        <v>Набережная - Кузнецкий мост- Красная горка - Сосновый бор.</v>
      </c>
      <c r="Y1479" s="6" t="str">
        <f>IFERROR(__xludf.DUMMYFUNCTION("""COMPUTED_VALUE"""),"Создание АИК ""Кузбасс""")</f>
        <v>Создание АИК "Кузбасс"</v>
      </c>
      <c r="Z1479" s="6" t="str">
        <f>IFERROR(__xludf.DUMMYFUNCTION("""COMPUTED_VALUE"""),"Творческий проект ""Лучший"", создание Линейного парка на Бульваре строителей.")</f>
        <v>Творческий проект "Лучший", создание Линейного парка на Бульваре строителей.</v>
      </c>
      <c r="AA1479" s="6" t="str">
        <f>IFERROR(__xludf.DUMMYFUNCTION("""COMPUTED_VALUE"""),"Пандемия, оптимизация в медицине, ухудшение экологии.")</f>
        <v>Пандемия, оптимизация в медицине, ухудшение экологии.</v>
      </c>
      <c r="AB1479" s="6" t="str">
        <f>IFERROR(__xludf.DUMMYFUNCTION("""COMPUTED_VALUE"""),"Всех достаточно.")</f>
        <v>Всех достаточно.</v>
      </c>
      <c r="AC1479" s="6" t="str">
        <f>IFERROR(__xludf.DUMMYFUNCTION("""COMPUTED_VALUE"""),"Городской карнавал")</f>
        <v>Городской карнавал</v>
      </c>
      <c r="AD147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79" s="6" t="str">
        <f>IFERROR(__xludf.DUMMYFUNCTION("""COMPUTED_VALUE"""),"Женский")</f>
        <v>Женский</v>
      </c>
      <c r="AF1479" s="6" t="str">
        <f>IFERROR(__xludf.DUMMYFUNCTION("""COMPUTED_VALUE"""),"старше 55")</f>
        <v>старше 55</v>
      </c>
      <c r="AG1479" s="6"/>
      <c r="AH1479" s="6"/>
      <c r="AI1479" s="6"/>
      <c r="AJ1479" s="6"/>
      <c r="AK1479" s="6"/>
      <c r="AL1479" s="6"/>
      <c r="AM1479" s="6"/>
    </row>
    <row r="1480">
      <c r="A1480" s="6">
        <v>1479.0</v>
      </c>
      <c r="B1480" s="6" t="str">
        <f>IFERROR(__xludf.DUMMYFUNCTION("""COMPUTED_VALUE"""),"Юрист")</f>
        <v>Юрист</v>
      </c>
      <c r="C1480" s="6" t="str">
        <f>IFERROR(__xludf.DUMMYFUNCTION("""COMPUTED_VALUE"""),"Гулять по утрам, пробежка, игра на гитаре")</f>
        <v>Гулять по утрам, пробежка, игра на гитаре</v>
      </c>
      <c r="D1480" s="6" t="str">
        <f>IFERROR(__xludf.DUMMYFUNCTION("""COMPUTED_VALUE"""),"Заводский")</f>
        <v>Заводский</v>
      </c>
      <c r="E1480" s="6" t="str">
        <f>IFERROR(__xludf.DUMMYFUNCTION("""COMPUTED_VALUE"""),"Парк ангелов(Швейка), Вокзал")</f>
        <v>Парк ангелов(Швейка), Вокзал</v>
      </c>
      <c r="F1480" s="6" t="str">
        <f>IFERROR(__xludf.DUMMYFUNCTION("""COMPUTED_VALUE"""),"Живу здесь с рождения")</f>
        <v>Живу здесь с рождения</v>
      </c>
      <c r="G1480" s="6" t="str">
        <f>IFERROR(__xludf.DUMMYFUNCTION("""COMPUTED_VALUE"""),"В основном гуляю в парках:
Парк Ангелов, Антошка, Победы, Комсомольский, Набережная, Бульвар")</f>
        <v>В основном гуляю в парках:
Парк Ангелов, Антошка, Победы, Комсомольский, Набережная, Бульвар</v>
      </c>
      <c r="H1480" s="6" t="str">
        <f>IFERROR(__xludf.DUMMYFUNCTION("""COMPUTED_VALUE"""),"Набережная, Цирк, Парк Ангелов(хотелось бы, чтобы было больше парков в стиле парка Ангелов), Весенняя, Кузнецкий мост(в закате)")</f>
        <v>Набережная, Цирк, Парк Ангелов(хотелось бы, чтобы было больше парков в стиле парка Ангелов), Весенняя, Кузнецкий мост(в закате)</v>
      </c>
      <c r="I1480" s="6" t="str">
        <f>IFERROR(__xludf.DUMMYFUNCTION("""COMPUTED_VALUE"""),"Леонов")</f>
        <v>Леонов</v>
      </c>
      <c r="J1480" s="6" t="str">
        <f>IFERROR(__xludf.DUMMYFUNCTION("""COMPUTED_VALUE"""),"Григорий Забавин")</f>
        <v>Григорий Забавин</v>
      </c>
      <c r="K1480" s="6" t="str">
        <f>IFERROR(__xludf.DUMMYFUNCTION("""COMPUTED_VALUE"""),"Парк Ангелов, Бульвар строителей, Набережная, Весенняя")</f>
        <v>Парк Ангелов, Бульвар строителей, Набережная, Весенняя</v>
      </c>
      <c r="L1480" s="6" t="str">
        <f>IFERROR(__xludf.DUMMYFUNCTION("""COMPUTED_VALUE"""),"-")</f>
        <v>-</v>
      </c>
      <c r="M1480" s="6" t="str">
        <f>IFERROR(__xludf.DUMMYFUNCTION("""COMPUTED_VALUE"""),"-")</f>
        <v>-</v>
      </c>
      <c r="N1480" s="6" t="str">
        <f>IFERROR(__xludf.DUMMYFUNCTION("""COMPUTED_VALUE"""),"Минимализм, пониженное содержание угарного газа, много парковых зон, много зелени, большие улицы")</f>
        <v>Минимализм, пониженное содержание угарного газа, много парковых зон, много зелени, большие улицы</v>
      </c>
      <c r="O1480" s="6" t="str">
        <f>IFERROR(__xludf.DUMMYFUNCTION("""COMPUTED_VALUE"""),"Его серость. Обновить цвета фасадов домов, посадить больше зелени вокруг дорог, чтобы пыль не летела на людей")</f>
        <v>Его серость. Обновить цвета фасадов домов, посадить больше зелени вокруг дорог, чтобы пыль не летела на людей</v>
      </c>
      <c r="P1480" s="6" t="str">
        <f>IFERROR(__xludf.DUMMYFUNCTION("""COMPUTED_VALUE"""),"Вк группы ""Инцидент Кемерово"", ""Инцидент 42""")</f>
        <v>Вк группы "Инцидент Кемерово", "Инцидент 42"</v>
      </c>
      <c r="Q1480"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480" s="6" t="str">
        <f>IFERROR(__xludf.DUMMYFUNCTION("""COMPUTED_VALUE"""),"День России, любые тёплые дни.")</f>
        <v>День России, любые тёплые дни.</v>
      </c>
      <c r="S1480" s="6" t="str">
        <f>IFERROR(__xludf.DUMMYFUNCTION("""COMPUTED_VALUE"""),"Нет, не приходилось")</f>
        <v>Нет, не приходилось</v>
      </c>
      <c r="T1480" s="6" t="str">
        <f>IFERROR(__xludf.DUMMYFUNCTION("""COMPUTED_VALUE"""),"Все друг друга знают через 3 пожатия руки")</f>
        <v>Все друг друга знают через 3 пожатия руки</v>
      </c>
      <c r="U1480" s="6" t="str">
        <f>IFERROR(__xludf.DUMMYFUNCTION("""COMPUTED_VALUE"""),"Цирк, площадь Советов, Набережная")</f>
        <v>Цирк, площадь Советов, Набережная</v>
      </c>
      <c r="V1480" s="6" t="str">
        <f>IFERROR(__xludf.DUMMYFUNCTION("""COMPUTED_VALUE"""),"Не снесли заводы и бараки, поэтому наш город стал с этим ассоциироваться")</f>
        <v>Не снесли заводы и бараки, поэтому наш город стал с этим ассоциироваться</v>
      </c>
      <c r="W1480" s="6" t="str">
        <f>IFERROR(__xludf.DUMMYFUNCTION("""COMPUTED_VALUE"""),"Милые, но закрытые, есть открытые, но они либо с головой не дружат, либо долго перебарывали стереотипы")</f>
        <v>Милые, но закрытые, есть открытые, но они либо с головой не дружат, либо долго перебарывали стереотипы</v>
      </c>
      <c r="X1480" s="6" t="str">
        <f>IFERROR(__xludf.DUMMYFUNCTION("""COMPUTED_VALUE"""),"Парк Ангелов-пл.Волкова-Весенняя-Драмтеатр-аллея Героев-Набережная-ЖК Притомский-Филарония-парк Победы-Антошка-Цирк-Загс-Пионерский бульвар")</f>
        <v>Парк Ангелов-пл.Волкова-Весенняя-Драмтеатр-аллея Героев-Набережная-ЖК Притомский-Филарония-парк Победы-Антошка-Цирк-Загс-Пионерский бульвар</v>
      </c>
      <c r="Y1480" s="6" t="str">
        <f>IFERROR(__xludf.DUMMYFUNCTION("""COMPUTED_VALUE"""),"Пожар в Зимней Вишне")</f>
        <v>Пожар в Зимней Вишне</v>
      </c>
      <c r="Z1480" s="6" t="str">
        <f>IFERROR(__xludf.DUMMYFUNCTION("""COMPUTED_VALUE"""),"Митинги, как сплочение народа;
Массовые праздники, салюты, но не на 9 мая(9 мая не так стоит проводить)")</f>
        <v>Митинги, как сплочение народа;
Массовые праздники, салюты, но не на 9 мая(9 мая не так стоит проводить)</v>
      </c>
      <c r="AA1480" s="6" t="str">
        <f>IFERROR(__xludf.DUMMYFUNCTION("""COMPUTED_VALUE"""),"Коррупция, незаинтересованность политиков в развитии города, пожар в Зимней Вишне")</f>
        <v>Коррупция, незаинтересованность политиков в развитии города, пожар в Зимней Вишне</v>
      </c>
      <c r="AB1480" s="6" t="str">
        <f>IFERROR(__xludf.DUMMYFUNCTION("""COMPUTED_VALUE"""),"Молодежи")</f>
        <v>Молодежи</v>
      </c>
      <c r="AC1480" s="6" t="str">
        <f>IFERROR(__xludf.DUMMYFUNCTION("""COMPUTED_VALUE"""),"Больше массовых мероприятий для всех граждан, мастер-классы, квесты")</f>
        <v>Больше массовых мероприятий для всех граждан, мастер-классы, квесты</v>
      </c>
      <c r="AD1480"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80" s="6" t="str">
        <f>IFERROR(__xludf.DUMMYFUNCTION("""COMPUTED_VALUE"""),"Женский")</f>
        <v>Женский</v>
      </c>
      <c r="AF1480" s="6" t="str">
        <f>IFERROR(__xludf.DUMMYFUNCTION("""COMPUTED_VALUE"""),"18-29")</f>
        <v>18-29</v>
      </c>
      <c r="AG1480" s="6"/>
      <c r="AH1480" s="6"/>
      <c r="AI1480" s="6"/>
      <c r="AJ1480" s="6"/>
      <c r="AK1480" s="6"/>
      <c r="AL1480" s="6"/>
      <c r="AM1480" s="6"/>
    </row>
    <row r="1481">
      <c r="A1481" s="6">
        <v>1480.0</v>
      </c>
      <c r="B1481" s="6" t="str">
        <f>IFERROR(__xludf.DUMMYFUNCTION("""COMPUTED_VALUE"""),"Преподаватель")</f>
        <v>Преподаватель</v>
      </c>
      <c r="C1481" s="6" t="str">
        <f>IFERROR(__xludf.DUMMYFUNCTION("""COMPUTED_VALUE"""),"Стихи")</f>
        <v>Стихи</v>
      </c>
      <c r="D1481" s="6" t="str">
        <f>IFERROR(__xludf.DUMMYFUNCTION("""COMPUTED_VALUE"""),"Телецентр")</f>
        <v>Телецентр</v>
      </c>
      <c r="E1481" s="6" t="str">
        <f>IFERROR(__xludf.DUMMYFUNCTION("""COMPUTED_VALUE"""),"Телевышка")</f>
        <v>Телевышка</v>
      </c>
      <c r="F1481" s="6" t="str">
        <f>IFERROR(__xludf.DUMMYFUNCTION("""COMPUTED_VALUE"""),"Переехал сюда из другого места (откуда? укажите в графе другое), Родители переехали сюда, когда я была маленькая")</f>
        <v>Переехал сюда из другого места (откуда? укажите в графе другое), Родители переехали сюда, когда я была маленькая</v>
      </c>
      <c r="G1481" s="6" t="str">
        <f>IFERROR(__xludf.DUMMYFUNCTION("""COMPUTED_VALUE"""),"Красное озеро, Лесная поляна, Комсомольский парк, набережная")</f>
        <v>Красное озеро, Лесная поляна, Комсомольский парк, набережная</v>
      </c>
      <c r="H1481" s="6" t="str">
        <f>IFERROR(__xludf.DUMMYFUNCTION("""COMPUTED_VALUE"""),"Уголь, тайга, Лапландия, зимняя вишня")</f>
        <v>Уголь, тайга, Лапландия, зимняя вишня</v>
      </c>
      <c r="I1481" s="6" t="str">
        <f>IFERROR(__xludf.DUMMYFUNCTION("""COMPUTED_VALUE"""),"Ермак, Михайло Волков, Рутгерс, Вера Волошина, Василий Федоров")</f>
        <v>Ермак, Михайло Волков, Рутгерс, Вера Волошина, Василий Федоров</v>
      </c>
      <c r="J1481" s="6" t="str">
        <f>IFERROR(__xludf.DUMMYFUNCTION("""COMPUTED_VALUE"""),"Тулеев, Барбараш, Михайлов")</f>
        <v>Тулеев, Барбараш, Михайлов</v>
      </c>
      <c r="K1481" s="6" t="str">
        <f>IFERROR(__xludf.DUMMYFUNCTION("""COMPUTED_VALUE"""),"Памятник шахтёру, бульвар Строителей, Кадетский корпус, Собор, церковь Ксении Петербургской, кафе Каприз на красном озере, Лесная поляна, кинотеатр Юбилейный, библиотека им. В.Федоровп")</f>
        <v>Памятник шахтёру, бульвар Строителей, Кадетский корпус, Собор, церковь Ксении Петербургской, кафе Каприз на красном озере, Лесная поляна, кинотеатр Юбилейный, библиотека им. В.Федоровп</v>
      </c>
      <c r="L1481" s="6" t="str">
        <f>IFERROR(__xludf.DUMMYFUNCTION("""COMPUTED_VALUE"""),"- Говорят, у вас медведи по дорогам ходят?
- Врут. Нет у нас дорог.")</f>
        <v>- Говорят, у вас медведи по дорогам ходят?
- Врут. Нет у нас дорог.</v>
      </c>
      <c r="M1481" s="6" t="str">
        <f>IFERROR(__xludf.DUMMYFUNCTION("""COMPUTED_VALUE"""),"Чё?")</f>
        <v>Чё?</v>
      </c>
      <c r="N1481" s="6" t="str">
        <f>IFERROR(__xludf.DUMMYFUNCTION("""COMPUTED_VALUE"""),"1. Возможность прогуляться пешком по всем районам (нет пеших дорог) 2. Развитый общественный транспорт (плохо развит) 3. Объекты культуры и спорта, доступные для горожан (мечтаю о бассейне рядом с домом) 4. Экология (нет ее) 5. Доступное и качественное ме"&amp;"дицинское обслуживание")</f>
        <v>1. Возможность прогуляться пешком по всем районам (нет пеших дорог) 2. Развитый общественный транспорт (плохо развит) 3. Объекты культуры и спорта, доступные для горожан (мечтаю о бассейне рядом с домом) 4. Экология (нет ее) 5. Доступное и качественное медицинское обслуживание</v>
      </c>
      <c r="O1481" s="6" t="str">
        <f>IFERROR(__xludf.DUMMYFUNCTION("""COMPUTED_VALUE"""),"Обустроить дороги для пешеходов. Многие автомобилисты пошли бы пешком на работу, если бы дорожки для пешеходов были бы удобны и безопасны.")</f>
        <v>Обустроить дороги для пешеходов. Многие автомобилисты пошли бы пешком на работу, если бы дорожки для пешеходов были бы удобны и безопасны.</v>
      </c>
      <c r="P1481" s="6" t="str">
        <f>IFERROR(__xludf.DUMMYFUNCTION("""COMPUTED_VALUE"""),"ВК + тв ")</f>
        <v>ВК + тв </v>
      </c>
      <c r="Q1481" s="6" t="str">
        <f>IFERROR(__xludf.DUMMYFUNCTION("""COMPUTED_VALUE"""),"куда пойти в свободное время, городская афиша (кино/театр/концерты), интервью с местными творческими личностями, результаты местных исследований (рейтинги/аналитика/тенденции)")</f>
        <v>куда пойти в свободное время, городская афиша (кино/театр/концерты), интервью с местными творческими личностями, результаты местных исследований (рейтинги/аналитика/тенденции)</v>
      </c>
      <c r="R1481" s="6" t="str">
        <f>IFERROR(__xludf.DUMMYFUNCTION("""COMPUTED_VALUE"""),"9 мая")</f>
        <v>9 мая</v>
      </c>
      <c r="S1481" s="6" t="str">
        <f>IFERROR(__xludf.DUMMYFUNCTION("""COMPUTED_VALUE"""),"Нет, не приходилось")</f>
        <v>Нет, не приходилось</v>
      </c>
      <c r="T1481" s="6" t="str">
        <f>IFERROR(__xludf.DUMMYFUNCTION("""COMPUTED_VALUE"""),"Ничем")</f>
        <v>Ничем</v>
      </c>
      <c r="U1481" s="6" t="str">
        <f>IFERROR(__xludf.DUMMYFUNCTION("""COMPUTED_VALUE"""),"Фонтан у драмтеатра ")</f>
        <v>Фонтан у драмтеатра </v>
      </c>
      <c r="V1481" s="6" t="str">
        <f>IFERROR(__xludf.DUMMYFUNCTION("""COMPUTED_VALUE"""),"Построили заводы и шахты")</f>
        <v>Построили заводы и шахты</v>
      </c>
      <c r="W1481" s="6" t="str">
        <f>IFERROR(__xludf.DUMMYFUNCTION("""COMPUTED_VALUE"""),"Разные")</f>
        <v>Разные</v>
      </c>
      <c r="X1481" s="6" t="str">
        <f>IFERROR(__xludf.DUMMYFUNCTION("""COMPUTED_VALUE"""),"Лесная поляна")</f>
        <v>Лесная поляна</v>
      </c>
      <c r="Y1481" s="6" t="str">
        <f>IFERROR(__xludf.DUMMYFUNCTION("""COMPUTED_VALUE"""),"Михайло Волков нашел горючий камень")</f>
        <v>Михайло Волков нашел горючий камень</v>
      </c>
      <c r="Z1481" s="6" t="str">
        <f>IFERROR(__xludf.DUMMYFUNCTION("""COMPUTED_VALUE"""),"Открылся кадетский корпус")</f>
        <v>Открылся кадетский корпус</v>
      </c>
      <c r="AA1481" s="6" t="str">
        <f>IFERROR(__xludf.DUMMYFUNCTION("""COMPUTED_VALUE"""),"Угроза уничтожения бассейна")</f>
        <v>Угроза уничтожения бассейна</v>
      </c>
      <c r="AB1481" s="6" t="str">
        <f>IFERROR(__xludf.DUMMYFUNCTION("""COMPUTED_VALUE"""),"Творческих")</f>
        <v>Творческих</v>
      </c>
      <c r="AC1481" s="6" t="str">
        <f>IFERROR(__xludf.DUMMYFUNCTION("""COMPUTED_VALUE"""),"Бесплатные")</f>
        <v>Бесплатные</v>
      </c>
      <c r="AD148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81" s="6" t="str">
        <f>IFERROR(__xludf.DUMMYFUNCTION("""COMPUTED_VALUE"""),"Женский")</f>
        <v>Женский</v>
      </c>
      <c r="AF1481" s="6" t="str">
        <f>IFERROR(__xludf.DUMMYFUNCTION("""COMPUTED_VALUE"""),"45-55")</f>
        <v>45-55</v>
      </c>
      <c r="AG1481" s="6"/>
      <c r="AH1481" s="6"/>
      <c r="AI1481" s="6"/>
      <c r="AJ1481" s="6"/>
      <c r="AK1481" s="6"/>
      <c r="AL1481" s="6"/>
      <c r="AM1481" s="6"/>
    </row>
    <row r="1482">
      <c r="A1482" s="6">
        <v>1481.0</v>
      </c>
      <c r="B1482" s="6" t="str">
        <f>IFERROR(__xludf.DUMMYFUNCTION("""COMPUTED_VALUE"""),"HR деятельность")</f>
        <v>HR деятельность</v>
      </c>
      <c r="C1482" s="6" t="str">
        <f>IFERROR(__xludf.DUMMYFUNCTION("""COMPUTED_VALUE"""),"Садовый участок, пробежки в парке, путешествия, аудиокниги и др.")</f>
        <v>Садовый участок, пробежки в парке, путешествия, аудиокниги и др.</v>
      </c>
      <c r="D1482" s="6" t="str">
        <f>IFERROR(__xludf.DUMMYFUNCTION("""COMPUTED_VALUE"""),"Заводский, район ФПК, ")</f>
        <v>Заводский, район ФПК, </v>
      </c>
      <c r="E1482" s="6" t="str">
        <f>IFERROR(__xludf.DUMMYFUNCTION("""COMPUTED_VALUE""")," 200 метров от меня, комсомольский парк, Арена, улица Ленина с отличными пешеходными дорожками")</f>
        <v> 200 метров от меня, комсомольский парк, Арена, улица Ленина с отличными пешеходными дорожками</v>
      </c>
      <c r="F1482" s="6" t="str">
        <f>IFERROR(__xludf.DUMMYFUNCTION("""COMPUTED_VALUE"""),"Переехал сюда из другого места (откуда? укажите в графе другое), Училась здесь и полюбила этот город, переехала из Киселёвска")</f>
        <v>Переехал сюда из другого места (откуда? укажите в графе другое), Училась здесь и полюбила этот город, переехала из Киселёвска</v>
      </c>
      <c r="G1482" s="6" t="str">
        <f>IFERROR(__xludf.DUMMYFUNCTION("""COMPUTED_VALUE"""),"Набережная, сосновый бор, улица весенняя,парк Жукова,  парк ангелов  идр.")</f>
        <v>Набережная, сосновый бор, улица весенняя,парк Жукова,  парк ангелов  идр.</v>
      </c>
      <c r="H1482" s="6" t="str">
        <f>IFERROR(__xludf.DUMMYFUNCTION("""COMPUTED_VALUE"""),"Альма матер, студенческая дружба, любовь, ")</f>
        <v>Альма матер, студенческая дружба, любовь, </v>
      </c>
      <c r="I1482" s="6" t="str">
        <f>IFERROR(__xludf.DUMMYFUNCTION("""COMPUTED_VALUE"""),"Леонов А.,  Гришковец Е.,  Тулеев А. Г.,  Михайлов В, Волошина В")</f>
        <v>Леонов А.,  Гришковец Е.,  Тулеев А. Г.,  Михайлов В, Волошина В</v>
      </c>
      <c r="J1482" s="6" t="str">
        <f>IFERROR(__xludf.DUMMYFUNCTION("""COMPUTED_VALUE"""),"Строители, которые меняют город, Фёдорова И. Ф. ")</f>
        <v>Строители, которые меняют город, Фёдорова И. Ф. </v>
      </c>
      <c r="K1482" s="6" t="str">
        <f>IFERROR(__xludf.DUMMYFUNCTION("""COMPUTED_VALUE"""),"Площадь Пушкина, набережная, улица Весенняя, красная горка")</f>
        <v>Площадь Пушкина, набережная, улица Весенняя, красная горка</v>
      </c>
      <c r="L1482" s="6" t="str">
        <f>IFERROR(__xludf.DUMMYFUNCTION("""COMPUTED_VALUE"""),"Про самый веселый город, когда ветер дует на правый берег смеется левый и наоборот, это из прошлого, когда работали на полную химические предприятия")</f>
        <v>Про самый веселый город, когда ветер дует на правый берег смеется левый и наоборот, это из прошлого, когда работали на полную химические предприятия</v>
      </c>
      <c r="M1482" s="6" t="str">
        <f>IFERROR(__xludf.DUMMYFUNCTION("""COMPUTED_VALUE"""),"Нет, к сожалению")</f>
        <v>Нет, к сожалению</v>
      </c>
      <c r="N1482" s="6" t="str">
        <f>IFERROR(__xludf.DUMMYFUNCTION("""COMPUTED_VALUE"""),"Чистота и парки, зоны для прогулок, ")</f>
        <v>Чистота и парки, зоны для прогулок, </v>
      </c>
      <c r="O1482" s="6" t="str">
        <f>IFERROR(__xludf.DUMMYFUNCTION("""COMPUTED_VALUE"""),"На Ленина появились такие классные карманы для отдыха, а какой стал бульвар, пусть таких мест станет больше,  поддерживать чистоту парков и улиц")</f>
        <v>На Ленина появились такие классные карманы для отдыха, а какой стал бульвар, пусть таких мест станет больше,  поддерживать чистоту парков и улиц</v>
      </c>
      <c r="P1482" s="6" t="str">
        <f>IFERROR(__xludf.DUMMYFUNCTION("""COMPUTED_VALUE"""),"Афиша")</f>
        <v>Афиша</v>
      </c>
      <c r="Q1482"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1482" s="6" t="str">
        <f>IFERROR(__xludf.DUMMYFUNCTION("""COMPUTED_VALUE"""),"День города, день шахтёра")</f>
        <v>День города, день шахтёра</v>
      </c>
      <c r="S1482" s="6" t="str">
        <f>IFERROR(__xludf.DUMMYFUNCTION("""COMPUTED_VALUE"""),"Нет, не приходилось")</f>
        <v>Нет, не приходилось</v>
      </c>
      <c r="T1482" s="6" t="str">
        <f>IFERROR(__xludf.DUMMYFUNCTION("""COMPUTED_VALUE"""),"Сложно сказать, люблю просто это город, считаю его родным")</f>
        <v>Сложно сказать, люблю просто это город, считаю его родным</v>
      </c>
      <c r="U1482" s="6" t="str">
        <f>IFERROR(__xludf.DUMMYFUNCTION("""COMPUTED_VALUE"""),"Площадь советов, филармония")</f>
        <v>Площадь советов, филармония</v>
      </c>
      <c r="V1482" s="6" t="str">
        <f>IFERROR(__xludf.DUMMYFUNCTION("""COMPUTED_VALUE"""),"Честно и добросовестно работали")</f>
        <v>Честно и добросовестно работали</v>
      </c>
      <c r="W1482" s="6" t="str">
        <f>IFERROR(__xludf.DUMMYFUNCTION("""COMPUTED_VALUE"""),"Среди моих знакомых люди увлеченные, умеющие дружить , гостеприимные и радушные.")</f>
        <v>Среди моих знакомых люди увлеченные, умеющие дружить , гостеприимные и радушные.</v>
      </c>
      <c r="X1482" s="6" t="str">
        <f>IFERROR(__xludf.DUMMYFUNCTION("""COMPUTED_VALUE"""),"  От площади советов по проспекту советскому, затем по весенней и к реке на набережную")</f>
        <v>  От площади советов по проспекту советскому, затем по весенней и к реке на набережную</v>
      </c>
      <c r="Y1482" s="6" t="str">
        <f>IFERROR(__xludf.DUMMYFUNCTION("""COMPUTED_VALUE"""),"Открытие музея Красная горка")</f>
        <v>Открытие музея Красная горка</v>
      </c>
      <c r="Z1482" s="6" t="str">
        <f>IFERROR(__xludf.DUMMYFUNCTION("""COMPUTED_VALUE"""),"Победа нашей волейбольной  команды")</f>
        <v>Победа нашей волейбольной  команды</v>
      </c>
      <c r="AA1482" s="6" t="str">
        <f>IFERROR(__xludf.DUMMYFUNCTION("""COMPUTED_VALUE"""),"Пожар в Зимней вишне")</f>
        <v>Пожар в Зимней вишне</v>
      </c>
      <c r="AB1482" s="6" t="str">
        <f>IFERROR(__xludf.DUMMYFUNCTION("""COMPUTED_VALUE"""),"Мне всего хватает, всегда нахожу приятных людей для общения")</f>
        <v>Мне всего хватает, всегда нахожу приятных людей для общения</v>
      </c>
      <c r="AC1482" s="6" t="str">
        <f>IFERROR(__xludf.DUMMYFUNCTION("""COMPUTED_VALUE"""),"Можно свой ""Арбат"", ")</f>
        <v>Можно свой "Арбат", </v>
      </c>
      <c r="AD1482"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1482" s="6" t="str">
        <f>IFERROR(__xludf.DUMMYFUNCTION("""COMPUTED_VALUE"""),"Женский")</f>
        <v>Женский</v>
      </c>
      <c r="AF1482" s="6" t="str">
        <f>IFERROR(__xludf.DUMMYFUNCTION("""COMPUTED_VALUE"""),"старше 55")</f>
        <v>старше 55</v>
      </c>
      <c r="AG1482" s="6"/>
      <c r="AH1482" s="6"/>
      <c r="AI1482" s="6"/>
      <c r="AJ1482" s="6"/>
      <c r="AK1482" s="6"/>
      <c r="AL1482" s="6"/>
      <c r="AM1482" s="6"/>
    </row>
    <row r="1483">
      <c r="A1483" s="6">
        <v>1482.0</v>
      </c>
      <c r="B1483" s="6" t="str">
        <f>IFERROR(__xludf.DUMMYFUNCTION("""COMPUTED_VALUE"""),"Преподаватель ")</f>
        <v>Преподаватель </v>
      </c>
      <c r="C1483" s="6" t="str">
        <f>IFERROR(__xludf.DUMMYFUNCTION("""COMPUTED_VALUE"""),"Лингвистика, история, музыка б")</f>
        <v>Лингвистика, история, музыка б</v>
      </c>
      <c r="D1483" s="6" t="str">
        <f>IFERROR(__xludf.DUMMYFUNCTION("""COMPUTED_VALUE"""),"Центральный район ")</f>
        <v>Центральный район </v>
      </c>
      <c r="E1483" s="6" t="str">
        <f>IFERROR(__xludf.DUMMYFUNCTION("""COMPUTED_VALUE"""),"Оба берега реки Томь, Кемеровский бор, Притомская набережная, улица Весенняя, Советский проспект, Красная Горка. ")</f>
        <v>Оба берега реки Томь, Кемеровский бор, Притомская набережная, улица Весенняя, Советский проспект, Красная Горка. </v>
      </c>
      <c r="F1483" s="6" t="str">
        <f>IFERROR(__xludf.DUMMYFUNCTION("""COMPUTED_VALUE"""),"Живу здесь с рождения")</f>
        <v>Живу здесь с рождения</v>
      </c>
      <c r="G1483" s="6" t="str">
        <f>IFERROR(__xludf.DUMMYFUNCTION("""COMPUTED_VALUE"""),"Парки Антошка и Жукова, Притомская набережная ")</f>
        <v>Парки Антошка и Жукова, Притомская набережная </v>
      </c>
      <c r="H1483" s="6" t="str">
        <f>IFERROR(__xludf.DUMMYFUNCTION("""COMPUTED_VALUE"""),"Химия, уголь, Автономная индустриальная колония, Томь, Сибирь. ")</f>
        <v>Химия, уголь, Автономная индустриальная колония, Томь, Сибирь. </v>
      </c>
      <c r="I1483" s="6" t="str">
        <f>IFERROR(__xludf.DUMMYFUNCTION("""COMPUTED_VALUE"""),"Профессор Мессершмидт, Алексей Леонов, Тиньков, профессор Мартынов. ")</f>
        <v>Профессор Мессершмидт, Алексей Леонов, Тиньков, профессор Мартынов. </v>
      </c>
      <c r="J1483" s="6" t="str">
        <f>IFERROR(__xludf.DUMMYFUNCTION("""COMPUTED_VALUE"""),"Доктор Подгорбунский, космонавт Леонов, историк Кимеев, певец Штоколов. ")</f>
        <v>Доктор Подгорбунский, космонавт Леонов, историк Кимеев, певец Штоколов. </v>
      </c>
      <c r="K1483" s="6" t="str">
        <f>IFERROR(__xludf.DUMMYFUNCTION("""COMPUTED_VALUE"""),"Музеи: Томская Писаница, Красная Горка, Тюльберский городок, памятник Шахтёру. ")</f>
        <v>Музеи: Томская Писаница, Красная Горка, Тюльберский городок, памятник Шахтёру. </v>
      </c>
      <c r="L1483" s="6" t="str">
        <f>IFERROR(__xludf.DUMMYFUNCTION("""COMPUTED_VALUE"""),"Песня Бориса Гребенщикова ""Человек из Кемерово"". ")</f>
        <v>Песня Бориса Гребенщикова "Человек из Кемерово". </v>
      </c>
      <c r="M1483" s="6" t="str">
        <f>IFERROR(__xludf.DUMMYFUNCTION("""COMPUTED_VALUE"""),"Нет ")</f>
        <v>Нет </v>
      </c>
      <c r="N1483" s="6" t="str">
        <f>IFERROR(__xludf.DUMMYFUNCTION("""COMPUTED_VALUE"""),"Компактность, хорошие дороги, зелёные зоны, хорошие экологические условия, наличие рабочих мест. ")</f>
        <v>Компактность, хорошие дороги, зелёные зоны, хорошие экологические условия, наличие рабочих мест. </v>
      </c>
      <c r="O1483" s="6" t="str">
        <f>IFERROR(__xludf.DUMMYFUNCTION("""COMPUTED_VALUE"""),"Создание рабочих мест, оживление экономики, привлечение инвестиций. ")</f>
        <v>Создание рабочих мест, оживление экономики, привлечение инвестиций. </v>
      </c>
      <c r="P1483" s="6" t="str">
        <f>IFERROR(__xludf.DUMMYFUNCTION("""COMPUTED_VALUE"""),"Телеграм-каналы Мой город, Щегловский обыватель, Кузнецкое кайло, Регион 42 и др ")</f>
        <v>Телеграм-каналы Мой город, Щегловский обыватель, Кузнецкое кайло, Регион 42 и др </v>
      </c>
      <c r="Q1483" s="6" t="str">
        <f>IFERROR(__xludf.DUMMYFUNCTION("""COMPUTED_VALUE"""),"результаты местных исследований (рейтинги/аналитика/тенденции), интервью с экспертами на разные темы (напишите в разделе Другое свои предложения)")</f>
        <v>результаты местных исследований (рейтинги/аналитика/тенденции), интервью с экспертами на разные темы (напишите в разделе Другое свои предложения)</v>
      </c>
      <c r="R1483" s="6" t="str">
        <f>IFERROR(__xludf.DUMMYFUNCTION("""COMPUTED_VALUE"""),"Никакие ")</f>
        <v>Никакие </v>
      </c>
      <c r="S1483" s="6" t="str">
        <f>IFERROR(__xludf.DUMMYFUNCTION("""COMPUTED_VALUE"""),"Нет, не приходилось")</f>
        <v>Нет, не приходилось</v>
      </c>
      <c r="T1483" s="6" t="str">
        <f>IFERROR(__xludf.DUMMYFUNCTION("""COMPUTED_VALUE"""),"Пока особо ничем. ")</f>
        <v>Пока особо ничем. </v>
      </c>
      <c r="U1483" s="6" t="str">
        <f>IFERROR(__xludf.DUMMYFUNCTION("""COMPUTED_VALUE"""),"Городской бор ")</f>
        <v>Городской бор </v>
      </c>
      <c r="V1483" s="6" t="str">
        <f>IFERROR(__xludf.DUMMYFUNCTION("""COMPUTED_VALUE"""),"Развивали промышленность, науку и торговлю. ")</f>
        <v>Развивали промышленность, науку и торговлю. </v>
      </c>
      <c r="W1483" s="6" t="str">
        <f>IFERROR(__xludf.DUMMYFUNCTION("""COMPUTED_VALUE"""),"Хмурые. ")</f>
        <v>Хмурые. </v>
      </c>
      <c r="X1483" s="6" t="str">
        <f>IFERROR(__xludf.DUMMYFUNCTION("""COMPUTED_VALUE"""),"Пр. Советский - ул.Весенняя - Притомская набережная - Красная горка. ")</f>
        <v>Пр. Советский - ул.Весенняя - Притомская набережная - Красная горка. </v>
      </c>
      <c r="Y1483" s="6" t="str">
        <f>IFERROR(__xludf.DUMMYFUNCTION("""COMPUTED_VALUE"""),"Приезд Навального. ")</f>
        <v>Приезд Навального. </v>
      </c>
      <c r="Z1483" s="6" t="str">
        <f>IFERROR(__xludf.DUMMYFUNCTION("""COMPUTED_VALUE"""),"Жилищное строительство и реконструкция центра города и проспекта Притомский ")</f>
        <v>Жилищное строительство и реконструкция центра города и проспекта Притомский </v>
      </c>
      <c r="AA1483" s="6" t="str">
        <f>IFERROR(__xludf.DUMMYFUNCTION("""COMPUTED_VALUE"""),"Пожар в Зимней вишне ")</f>
        <v>Пожар в Зимней вишне </v>
      </c>
      <c r="AB1483" s="6" t="str">
        <f>IFERROR(__xludf.DUMMYFUNCTION("""COMPUTED_VALUE"""),"Художественные пространства, политические трибуны. ")</f>
        <v>Художественные пространства, политические трибуны. </v>
      </c>
      <c r="AC1483" s="6" t="str">
        <f>IFERROR(__xludf.DUMMYFUNCTION("""COMPUTED_VALUE"""),"Музыкальные, театральные фестивали, концерты, инновации в сфере городского хозяйства. ")</f>
        <v>Музыкальные, театральные фестивали, концерты, инновации в сфере городского хозяйства. </v>
      </c>
      <c r="AD1483"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483" s="6" t="str">
        <f>IFERROR(__xludf.DUMMYFUNCTION("""COMPUTED_VALUE"""),"Мужской")</f>
        <v>Мужской</v>
      </c>
      <c r="AF1483" s="6" t="str">
        <f>IFERROR(__xludf.DUMMYFUNCTION("""COMPUTED_VALUE"""),"старше 55")</f>
        <v>старше 55</v>
      </c>
      <c r="AG1483" s="6"/>
      <c r="AH1483" s="6"/>
      <c r="AI1483" s="6"/>
      <c r="AJ1483" s="6"/>
      <c r="AK1483" s="6"/>
      <c r="AL1483" s="6"/>
      <c r="AM1483" s="6"/>
    </row>
    <row r="1484">
      <c r="A1484" s="6">
        <v>1483.0</v>
      </c>
      <c r="B1484" s="6" t="str">
        <f>IFERROR(__xludf.DUMMYFUNCTION("""COMPUTED_VALUE"""),"Учитель")</f>
        <v>Учитель</v>
      </c>
      <c r="C1484" s="6" t="str">
        <f>IFERROR(__xludf.DUMMYFUNCTION("""COMPUTED_VALUE"""),"Чтение")</f>
        <v>Чтение</v>
      </c>
      <c r="D1484" s="6" t="str">
        <f>IFERROR(__xludf.DUMMYFUNCTION("""COMPUTED_VALUE"""),"Ленинский")</f>
        <v>Ленинский</v>
      </c>
      <c r="E1484" s="6" t="str">
        <f>IFERROR(__xludf.DUMMYFUNCTION("""COMPUTED_VALUE"""),"Не знаю.")</f>
        <v>Не знаю.</v>
      </c>
      <c r="F1484" s="6" t="str">
        <f>IFERROR(__xludf.DUMMYFUNCTION("""COMPUTED_VALUE"""),"Не живу,но приезжаю сюда (к родственникам/друзьям)")</f>
        <v>Не живу,но приезжаю сюда (к родственникам/друзьям)</v>
      </c>
      <c r="G1484" s="6" t="str">
        <f>IFERROR(__xludf.DUMMYFUNCTION("""COMPUTED_VALUE"""),"Набережная, театры, краеведческий музей, променад 2")</f>
        <v>Набережная, театры, краеведческий музей, променад 2</v>
      </c>
      <c r="H1484" s="6" t="str">
        <f>IFERROR(__xludf.DUMMYFUNCTION("""COMPUTED_VALUE"""),"Центр, область, отдых, культура, друзья")</f>
        <v>Центр, область, отдых, культура, друзья</v>
      </c>
      <c r="I1484" s="6" t="str">
        <f>IFERROR(__xludf.DUMMYFUNCTION("""COMPUTED_VALUE"""),"Заузелков, Бублик Н.В.")</f>
        <v>Заузелков, Бублик Н.В.</v>
      </c>
      <c r="J1484" s="6" t="str">
        <f>IFERROR(__xludf.DUMMYFUNCTION("""COMPUTED_VALUE"""),"Тулеев, Говоров Ю.Л., Зеленин А.")</f>
        <v>Тулеев, Говоров Ю.Л., Зеленин А.</v>
      </c>
      <c r="K1484" s="6" t="str">
        <f>IFERROR(__xludf.DUMMYFUNCTION("""COMPUTED_VALUE"""),"Красная горка")</f>
        <v>Красная горка</v>
      </c>
      <c r="L1484" s="6" t="str">
        <f>IFERROR(__xludf.DUMMYFUNCTION("""COMPUTED_VALUE"""),"Не знаю")</f>
        <v>Не знаю</v>
      </c>
      <c r="M1484" s="6" t="str">
        <f>IFERROR(__xludf.DUMMYFUNCTION("""COMPUTED_VALUE"""),"""Бобры"" - музыкальный театр ")</f>
        <v>"Бобры" - музыкальный театр </v>
      </c>
      <c r="N1484" s="6" t="str">
        <f>IFERROR(__xludf.DUMMYFUNCTION("""COMPUTED_VALUE"""),"Удобный парковки, ""зелёные зоны"", хорошо организованный общественный транспорт, милые кафе, места для отдыха и развлечения с детьми")</f>
        <v>Удобный парковки, "зелёные зоны", хорошо организованный общественный транспорт, милые кафе, места для отдыха и развлечения с детьми</v>
      </c>
      <c r="O1484" s="6" t="str">
        <f>IFERROR(__xludf.DUMMYFUNCTION("""COMPUTED_VALUE"""),"Сократить количество пивнушек и увеличить количество парковочных мест")</f>
        <v>Сократить количество пивнушек и увеличить количество парковочных мест</v>
      </c>
      <c r="P1484" s="6" t="str">
        <f>IFERROR(__xludf.DUMMYFUNCTION("""COMPUTED_VALUE"""),"Подслушано а Кемерово")</f>
        <v>Подслушано а Кемерово</v>
      </c>
      <c r="Q1484"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1484" s="6" t="str">
        <f>IFERROR(__xludf.DUMMYFUNCTION("""COMPUTED_VALUE"""),"День города")</f>
        <v>День города</v>
      </c>
      <c r="S1484" s="6" t="str">
        <f>IFERROR(__xludf.DUMMYFUNCTION("""COMPUTED_VALUE"""),"Нет, не приходилось")</f>
        <v>Нет, не приходилось</v>
      </c>
      <c r="T1484" s="6" t="str">
        <f>IFERROR(__xludf.DUMMYFUNCTION("""COMPUTED_VALUE"""),"Музей на Красной горке, театры, краеведческий музей, политехнический университет,  КемГУ, города, набережная")</f>
        <v>Музей на Красной горке, театры, краеведческий музей, политехнический университет,  КемГУ, города, набережная</v>
      </c>
      <c r="U1484" s="6" t="str">
        <f>IFERROR(__xludf.DUMMYFUNCTION("""COMPUTED_VALUE"""),"Площадь Волкова, Советский проспект")</f>
        <v>Площадь Волкова, Советский проспект</v>
      </c>
      <c r="V1484" s="6" t="str">
        <f>IFERROR(__xludf.DUMMYFUNCTION("""COMPUTED_VALUE"""),"Из маленькой Щегловки возник город, который стал областным центром; город славится как центр культурной жизни; высшие учебные заведения лучшие не только в области")</f>
        <v>Из маленькой Щегловки возник город, который стал областным центром; город славится как центр культурной жизни; высшие учебные заведения лучшие не только в области</v>
      </c>
      <c r="W1484" s="6" t="str">
        <f>IFERROR(__xludf.DUMMYFUNCTION("""COMPUTED_VALUE"""),"Суматошные, наивные, недоверчивые и добрые в большинстве своем")</f>
        <v>Суматошные, наивные, недоверчивые и добрые в большинстве своем</v>
      </c>
      <c r="X1484" s="6" t="str">
        <f>IFERROR(__xludf.DUMMYFUNCTION("""COMPUTED_VALUE"""),"Весенняя-набережная")</f>
        <v>Весенняя-набережная</v>
      </c>
      <c r="Y1484" s="6" t="str">
        <f>IFERROR(__xludf.DUMMYFUNCTION("""COMPUTED_VALUE"""),"Образование Кемеровской области")</f>
        <v>Образование Кемеровской области</v>
      </c>
      <c r="Z1484" s="6" t="str">
        <f>IFERROR(__xludf.DUMMYFUNCTION("""COMPUTED_VALUE"""),"Разбивка парка на месте пожара в трк ""Зимняя вишня"". Открытие президентского кадетского училища  ")</f>
        <v>Разбивка парка на месте пожара в трк "Зимняя вишня". Открытие президентского кадетского училища  </v>
      </c>
      <c r="AA1484" s="6" t="str">
        <f>IFERROR(__xludf.DUMMYFUNCTION("""COMPUTED_VALUE"""),"Закрытие ТРК из-за нарушения правил техники безопасности и несвоевременное их устранение.  ")</f>
        <v>Закрытие ТРК из-за нарушения правил техники безопасности и несвоевременное их устранение.  </v>
      </c>
      <c r="AB1484" s="6" t="str">
        <f>IFERROR(__xludf.DUMMYFUNCTION("""COMPUTED_VALUE"""),"Для представителей предпенсионного возраста")</f>
        <v>Для представителей предпенсионного возраста</v>
      </c>
      <c r="AC1484" s="6" t="str">
        <f>IFERROR(__xludf.DUMMYFUNCTION("""COMPUTED_VALUE"""),"Больше массовых мероприятий и праздников, которые бы собирали людей, особенно в новых микрорайонах")</f>
        <v>Больше массовых мероприятий и праздников, которые бы собирали людей, особенно в новых микрорайонах</v>
      </c>
      <c r="AD1484"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84" s="6" t="str">
        <f>IFERROR(__xludf.DUMMYFUNCTION("""COMPUTED_VALUE"""),"Женский")</f>
        <v>Женский</v>
      </c>
      <c r="AF1484" s="6" t="str">
        <f>IFERROR(__xludf.DUMMYFUNCTION("""COMPUTED_VALUE"""),"45-55")</f>
        <v>45-55</v>
      </c>
      <c r="AG1484" s="6"/>
      <c r="AH1484" s="6"/>
      <c r="AI1484" s="6"/>
      <c r="AJ1484" s="6"/>
      <c r="AK1484" s="6"/>
      <c r="AL1484" s="6"/>
      <c r="AM1484" s="6"/>
    </row>
    <row r="1485">
      <c r="A1485" s="6">
        <v>1484.0</v>
      </c>
      <c r="B1485" s="6" t="str">
        <f>IFERROR(__xludf.DUMMYFUNCTION("""COMPUTED_VALUE"""),"Домохозяйка")</f>
        <v>Домохозяйка</v>
      </c>
      <c r="C1485" s="6" t="str">
        <f>IFERROR(__xludf.DUMMYFUNCTION("""COMPUTED_VALUE"""),"Чтение, кино, театр, дом")</f>
        <v>Чтение, кино, театр, дом</v>
      </c>
      <c r="D1485" s="6" t="str">
        <f>IFERROR(__xludf.DUMMYFUNCTION("""COMPUTED_VALUE"""),"Центральный")</f>
        <v>Центральный</v>
      </c>
      <c r="E1485" s="6" t="str">
        <f>IFERROR(__xludf.DUMMYFUNCTION("""COMPUTED_VALUE"""),"Ул. Весенняя ")</f>
        <v>Ул. Весенняя </v>
      </c>
      <c r="F1485" s="6" t="str">
        <f>IFERROR(__xludf.DUMMYFUNCTION("""COMPUTED_VALUE"""),"Живу здесь с рождения")</f>
        <v>Живу здесь с рождения</v>
      </c>
      <c r="G1485" s="6" t="str">
        <f>IFERROR(__xludf.DUMMYFUNCTION("""COMPUTED_VALUE"""),"Бор Рудничного р - на, Набередная, Красная горка, Лесная поляна, центр города. ")</f>
        <v>Бор Рудничного р - на, Набередная, Красная горка, Лесная поляна, центр города. </v>
      </c>
      <c r="H1485" s="6" t="str">
        <f>IFERROR(__xludf.DUMMYFUNCTION("""COMPUTED_VALUE"""),"Не очень хорош и опрятен! ")</f>
        <v>Не очень хорош и опрятен! </v>
      </c>
      <c r="I1485" s="6" t="str">
        <f>IFERROR(__xludf.DUMMYFUNCTION("""COMPUTED_VALUE"""),"Мэр В. Михайлов, врач Подгорбунский, Губернатор Тулеев. ")</f>
        <v>Мэр В. Михайлов, врач Подгорбунский, Губернатор Тулеев. </v>
      </c>
      <c r="J1485" s="6" t="str">
        <f>IFERROR(__xludf.DUMMYFUNCTION("""COMPUTED_VALUE"""),"-")</f>
        <v>-</v>
      </c>
      <c r="K1485" s="6" t="str">
        <f>IFERROR(__xludf.DUMMYFUNCTION("""COMPUTED_VALUE"""),"Нечего показывать! ")</f>
        <v>Нечего показывать! </v>
      </c>
      <c r="L1485" s="6" t="str">
        <f>IFERROR(__xludf.DUMMYFUNCTION("""COMPUTED_VALUE"""),"Не знаю")</f>
        <v>Не знаю</v>
      </c>
      <c r="M1485" s="6" t="str">
        <f>IFERROR(__xludf.DUMMYFUNCTION("""COMPUTED_VALUE"""),"Не знаю")</f>
        <v>Не знаю</v>
      </c>
      <c r="N1485" s="6" t="str">
        <f>IFERROR(__xludf.DUMMYFUNCTION("""COMPUTED_VALUE"""),"Чистый, ухоженныйсо своей архитектурой, хорошим траспортом, удобными дорогами, хорошими тратуарами, скверами. ")</f>
        <v>Чистый, ухоженныйсо своей архитектурой, хорошим траспортом, удобными дорогами, хорошими тратуарами, скверами. </v>
      </c>
      <c r="O1485" s="6" t="str">
        <f>IFERROR(__xludf.DUMMYFUNCTION("""COMPUTED_VALUE"""),"Очень грязный весной, как после бомбежки. Дома покрасить и привести в порядок дворы. В центральном районе, много ужасных дворов. ")</f>
        <v>Очень грязный весной, как после бомбежки. Дома покрасить и привести в порядок дворы. В центральном районе, много ужасных дворов. </v>
      </c>
      <c r="P1485" s="6" t="str">
        <f>IFERROR(__xludf.DUMMYFUNCTION("""COMPUTED_VALUE"""),"Из интернета")</f>
        <v>Из интернета</v>
      </c>
      <c r="Q1485" s="6" t="str">
        <f>IFERROR(__xludf.DUMMYFUNCTION("""COMPUTED_VALUE"""),"культурные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(средний чек/рекламные акц"&amp;"ии/запуск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485" s="6" t="str">
        <f>IFERROR(__xludf.DUMMYFUNCTION("""COMPUTED_VALUE"""),"Нет таких")</f>
        <v>Нет таких</v>
      </c>
      <c r="S1485" s="6" t="str">
        <f>IFERROR(__xludf.DUMMYFUNCTION("""COMPUTED_VALUE"""),"Нет, не приходилось")</f>
        <v>Нет, не приходилось</v>
      </c>
      <c r="T1485" s="6" t="str">
        <f>IFERROR(__xludf.DUMMYFUNCTION("""COMPUTED_VALUE"""),"Спортом")</f>
        <v>Спортом</v>
      </c>
      <c r="U1485" s="6" t="str">
        <f>IFERROR(__xludf.DUMMYFUNCTION("""COMPUTED_VALUE"""),"Ул. Весенняя")</f>
        <v>Ул. Весенняя</v>
      </c>
      <c r="V1485" s="6" t="str">
        <f>IFERROR(__xludf.DUMMYFUNCTION("""COMPUTED_VALUE"""),"Тихо разрушили.. ")</f>
        <v>Тихо разрушили.. </v>
      </c>
      <c r="W1485" s="6" t="str">
        <f>IFERROR(__xludf.DUMMYFUNCTION("""COMPUTED_VALUE"""),"Очень низкий уровень культуры. ")</f>
        <v>Очень низкий уровень культуры. </v>
      </c>
      <c r="X1485" s="6" t="str">
        <f>IFERROR(__xludf.DUMMYFUNCTION("""COMPUTED_VALUE"""),"Нет таких")</f>
        <v>Нет таких</v>
      </c>
      <c r="Y1485" s="6" t="str">
        <f>IFERROR(__xludf.DUMMYFUNCTION("""COMPUTED_VALUE"""),"Не знаю")</f>
        <v>Не знаю</v>
      </c>
      <c r="Z1485" s="6" t="str">
        <f>IFERROR(__xludf.DUMMYFUNCTION("""COMPUTED_VALUE"""),"Стали дороги асфальтировать в ценре")</f>
        <v>Стали дороги асфальтировать в ценре</v>
      </c>
      <c r="AA1485" s="6" t="str">
        <f>IFERROR(__xludf.DUMMYFUNCTION("""COMPUTED_VALUE"""),"Всё, что связанно с Зимней вишней")</f>
        <v>Всё, что связанно с Зимней вишней</v>
      </c>
      <c r="AB1485" s="6" t="str">
        <f>IFERROR(__xludf.DUMMYFUNCTION("""COMPUTED_VALUE"""),"Не равнодушных людей")</f>
        <v>Не равнодушных людей</v>
      </c>
      <c r="AC1485" s="6" t="str">
        <f>IFERROR(__xludf.DUMMYFUNCTION("""COMPUTED_VALUE"""),"Возродить культуру")</f>
        <v>Возродить культуру</v>
      </c>
      <c r="AD148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485" s="6" t="str">
        <f>IFERROR(__xludf.DUMMYFUNCTION("""COMPUTED_VALUE"""),"Женский")</f>
        <v>Женский</v>
      </c>
      <c r="AF1485" s="6" t="str">
        <f>IFERROR(__xludf.DUMMYFUNCTION("""COMPUTED_VALUE"""),"старше 55")</f>
        <v>старше 55</v>
      </c>
      <c r="AG1485" s="6"/>
      <c r="AH1485" s="6"/>
      <c r="AI1485" s="6"/>
      <c r="AJ1485" s="6"/>
      <c r="AK1485" s="6"/>
      <c r="AL1485" s="6"/>
      <c r="AM1485" s="6"/>
    </row>
    <row r="1486">
      <c r="A1486" s="6">
        <v>1485.0</v>
      </c>
      <c r="B1486" s="6" t="str">
        <f>IFERROR(__xludf.DUMMYFUNCTION("""COMPUTED_VALUE"""),"Священник ")</f>
        <v>Священник </v>
      </c>
      <c r="C1486" s="6" t="str">
        <f>IFERROR(__xludf.DUMMYFUNCTION("""COMPUTED_VALUE"""),"Театр")</f>
        <v>Театр</v>
      </c>
      <c r="D1486" s="6" t="str">
        <f>IFERROR(__xludf.DUMMYFUNCTION("""COMPUTED_VALUE"""),"Лапландия ")</f>
        <v>Лапландия </v>
      </c>
      <c r="E1486" s="6" t="str">
        <f>IFERROR(__xludf.DUMMYFUNCTION("""COMPUTED_VALUE"""),"Церковь Христиан Веры Евангельской 
Кадетский корпус
Детская железная дорога 
Лапландия 
Киндер Ленд")</f>
        <v>Церковь Христиан Веры Евангельской 
Кадетский корпус
Детская железная дорога 
Лапландия 
Киндер Ленд</v>
      </c>
      <c r="F1486" s="6" t="str">
        <f>IFERROR(__xludf.DUMMYFUNCTION("""COMPUTED_VALUE"""),"Переехал сюда из другого места (откуда? укажите в графе другое), Из Одессы 1998 год ")</f>
        <v>Переехал сюда из другого места (откуда? укажите в графе другое), Из Одессы 1998 год </v>
      </c>
      <c r="G1486" s="6" t="str">
        <f>IFERROR(__xludf.DUMMYFUNCTION("""COMPUTED_VALUE"""),"Юбилейный, Ривьера, Лапландия, Центр города ")</f>
        <v>Юбилейный, Ривьера, Лапландия, Центр города </v>
      </c>
      <c r="H1486" s="6" t="str">
        <f>IFERROR(__xludf.DUMMYFUNCTION("""COMPUTED_VALUE"""),"Уют, Сердце, Память, Гордость, Радушие")</f>
        <v>Уют, Сердце, Память, Гордость, Радушие</v>
      </c>
      <c r="I1486" s="6" t="str">
        <f>IFERROR(__xludf.DUMMYFUNCTION("""COMPUTED_VALUE"""),"Леонов, Гришковец, Луначарский, Андрей Панин, Елена Малышева, Бобров, Волошина, Двужильный,")</f>
        <v>Леонов, Гришковец, Луначарский, Андрей Панин, Елена Малышева, Бобров, Волошина, Двужильный,</v>
      </c>
      <c r="J1486" s="6" t="str">
        <f>IFERROR(__xludf.DUMMYFUNCTION("""COMPUTED_VALUE"""),"Булгаков, Гришковец, Леонов, Мартимьянов, Михайлов, Селиванов, Сычев, Тулеев, Юров, Якунин")</f>
        <v>Булгаков, Гришковец, Леонов, Мартимьянов, Михайлов, Селиванов, Сычев, Тулеев, Юров, Якунин</v>
      </c>
      <c r="K1486" s="6" t="str">
        <f>IFERROR(__xludf.DUMMYFUNCTION("""COMPUTED_VALUE"""),"Парк ангелов, КраснаЯ Горка, храмы города, улица весення")</f>
        <v>Парк ангелов, КраснаЯ Горка, храмы города, улица весення</v>
      </c>
      <c r="L1486" s="6" t="str">
        <f>IFERROR(__xludf.DUMMYFUNCTION("""COMPUTED_VALUE"""),"Человек из Кемерово. ")</f>
        <v>Человек из Кемерово. </v>
      </c>
      <c r="M1486" s="6" t="str">
        <f>IFERROR(__xludf.DUMMYFUNCTION("""COMPUTED_VALUE"""),"За вас, за нас, и за Кузбасс! 
Сиб
Кузня
Металплощадка
Лапа
")</f>
        <v>За вас, за нас, и за Кузбасс! 
Сиб
Кузня
Металплощадка
Лапа
</v>
      </c>
      <c r="N1486" s="6" t="str">
        <f>IFERROR(__xludf.DUMMYFUNCTION("""COMPUTED_VALUE"""),"Чистота
Отсутствие пробок
Своевременный вывоз мусора
Уютные кафе
Места для отдыха ")</f>
        <v>Чистота
Отсутствие пробок
Своевременный вывоз мусора
Уютные кафе
Места для отдыха </v>
      </c>
      <c r="O1486" s="6" t="str">
        <f>IFERROR(__xludf.DUMMYFUNCTION("""COMPUTED_VALUE"""),"Не хватает мест развлечения. Особенно для детей. С тех пор как сгорела Зимняя вишня особенно
Нужен аква парк, спа типа термы мира, красивая набережная, парковые зоны")</f>
        <v>Не хватает мест развлечения. Особенно для детей. С тех пор как сгорела Зимняя вишня особенно
Нужен аква парк, спа типа термы мира, красивая набережная, парковые зоны</v>
      </c>
      <c r="P1486" s="6" t="str">
        <f>IFERROR(__xludf.DUMMYFUNCTION("""COMPUTED_VALUE"""),"e-kuzbass.ru
vse42. ru")</f>
        <v>e-kuzbass.ru
vse42. ru</v>
      </c>
      <c r="Q1486"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486" s="6" t="str">
        <f>IFERROR(__xludf.DUMMYFUNCTION("""COMPUTED_VALUE"""),"День города
День шахтера
День театра ")</f>
        <v>День города
День шахтера
День театра </v>
      </c>
      <c r="S1486" s="6" t="str">
        <f>IFERROR(__xludf.DUMMYFUNCTION("""COMPUTED_VALUE"""),"Обращался в редакции городских газет, телевидения, радио")</f>
        <v>Обращался в редакции городских газет, телевидения, радио</v>
      </c>
      <c r="T1486" s="6" t="str">
        <f>IFERROR(__xludf.DUMMYFUNCTION("""COMPUTED_VALUE"""),"Многонациональный, самоидентичный, не похожий ")</f>
        <v>Многонациональный, самоидентичный, не похожий </v>
      </c>
      <c r="U1486" s="6" t="str">
        <f>IFERROR(__xludf.DUMMYFUNCTION("""COMPUTED_VALUE"""),"Площадь советов, парк ангелов, Драму, фонтан")</f>
        <v>Площадь советов, парк ангелов, Драму, фонтан</v>
      </c>
      <c r="V1486" s="6" t="str">
        <f>IFERROR(__xludf.DUMMYFUNCTION("""COMPUTED_VALUE"""),"Прославили его")</f>
        <v>Прославили его</v>
      </c>
      <c r="W1486" s="6" t="str">
        <f>IFERROR(__xludf.DUMMYFUNCTION("""COMPUTED_VALUE"""),"Гостеприимные, креативные, яркие, жизнерадостные,  задорные, находчивые, гостеприимные.")</f>
        <v>Гостеприимные, креативные, яркие, жизнерадостные,  задорные, находчивые, гостеприимные.</v>
      </c>
      <c r="X1486" s="6" t="str">
        <f>IFERROR(__xludf.DUMMYFUNCTION("""COMPUTED_VALUE"""),"Советская, драма, весення, пару ангелов, искитимский мост, цирк, советская площадь, площадь Пушкина, набережная, гор сад  ")</f>
        <v>Советская, драма, весення, пару ангелов, искитимский мост, цирк, советская площадь, площадь Пушкина, набережная, гор сад  </v>
      </c>
      <c r="Y1486" s="6" t="str">
        <f>IFERROR(__xludf.DUMMYFUNCTION("""COMPUTED_VALUE"""),"В сентябре в Кемерове состоялся одиннадцатый фестиваль короткометражного кино и анимации ""Видение"".
Из путешествия в Москву вернулась картина знаменитого Гелия Коржева ""К своим"". Она была на реставрации, затем отправилась на выставку в Третьяковскую г"&amp;"алерею, а уже осенью возглавила экспозицию, посвященную столетию октябрьской революции, в Кемеровском областном музее изобразительных искусств.
После четырехлетнего перерыва возобновил работу кинематографический фестиваль ""От Венеции до Канн"".
Июнь прое"&amp;"кт города-спутника Лесная Поляна отмечен премией Национального этапа Международного конкурса в сфере недвижимости ФИАБСИ
Сентябрь Проект строительства города-спутника Лесная Поляна был признан лучшим градостроительным проектом страны, став победителем в н"&amp;"оминации «Лучший реализованный проект комплексного освоения территории».
Министерство образования и науки РФ присвоило Кемеровскому государственному университету статус опорного вуза Кузбасса.
Учреждена новая медаль «75 лет Кемеровской области». Первая та"&amp;"кая награда была вручена Владимиру Михайлову.
12 июня открылся сквер имени Льва Моисеевича Резникова
12 августа Создано Муниципальное автономное образовательное учреждение дополнительного образования «Центральная детская школа искусств» г. Кемерово
Открыл"&amp;"ись: спортивный комплекс с ледовой ареной «Кемерово», спортивный комплекс «Север», легкоатлетический манеж и плавательный бассейн.
Установлены скульптуры: «Ангел» и «Радужное детство» (художник К. Зинич); «Шахтерская верность» (автор И. Кандров), «Шахтерс"&amp;"кая слава» (авторы:Е. Шпигер и А. Панасенко), «Инспектор ГАИ», «Семейство мамонтов», «Мать и дитя», «Маша и медведь»; Памятник первому трамваю; монумент «Горняцкому подвигу - вечная слава!»; арт-объекты: «Шахтерская вагонетка» (художник Ю. Ткаченко), «Шах"&amp;"терская лампа»; «Парковые шахматы», «Угольки» (А. Шкляр), «Три медведя», «Лебединая верность».")</f>
        <v>В сентябре в Кемерове состоялся одиннадцатый фестиваль короткометражного кино и анимации "Видение".
Из путешествия в Москву вернулась картина знаменитого Гелия Коржева "К своим". Она была на реставрации, затем отправилась на выставку в Третьяковскую галерею, а уже осенью возглавила экспозицию, посвященную столетию октябрьской революции, в Кемеровском областном музее изобразительных искусств.
После четырехлетнего перерыва возобновил работу кинематографический фестиваль "От Венеции до Канн".
Июнь проект города-спутника Лесная Поляна отмечен премией Национального этапа Международного конкурса в сфере недвижимости ФИАБСИ
Сентябрь Проект строительства города-спутника Лесная Поляна был признан лучшим градостроительным проектом страны, став победителем в номинации «Лучший реализованный проект комплексного освоения территории».
Министерство образования и науки РФ присвоило Кемеровскому государственному университету статус опорного вуза Кузбасса.
Учреждена новая медаль «75 лет Кемеровской области». Первая такая награда была вручена Владимиру Михайлову.
12 июня открылся сквер имени Льва Моисеевича Резникова
12 августа Создано Муниципальное автономное образовательное учреждение дополнительного образования «Центральная детская школа искусств» г. Кемерово
Открылись: спортивный комплекс с ледовой ареной «Кемерово», спортивный комплекс «Север», легкоатлетический манеж и плавательный бассейн.
Установлены скульптуры: «Ангел» и «Радужное детство» (художник К. Зинич); «Шахтерская верность» (автор И. Кандров), «Шахтерская слава» (авторы:Е. Шпигер и А. Панасенко), «Инспектор ГАИ», «Семейство мамонтов», «Мать и дитя», «Маша и медведь»; Памятник первому трамваю; монумент «Горняцкому подвигу - вечная слава!»; арт-объекты: «Шахтерская вагонетка» (художник Ю. Ткаченко), «Шахтерская лампа»; «Парковые шахматы», «Угольки» (А. Шкляр), «Три медведя», «Лебединая верность».</v>
      </c>
      <c r="Z1486" s="6" t="str">
        <f>IFERROR(__xludf.DUMMYFUNCTION("""COMPUTED_VALUE"""),"Открытие Кадетского корпуса 
Строительство нового аэропорта")</f>
        <v>Открытие Кадетского корпуса 
Строительство нового аэропорта</v>
      </c>
      <c r="AA1486" s="6" t="str">
        <f>IFERROR(__xludf.DUMMYFUNCTION("""COMPUTED_VALUE"""),"Плохой вывоз мусора
Пожар в зимней вишне (последствия)")</f>
        <v>Плохой вывоз мусора
Пожар в зимней вишне (последствия)</v>
      </c>
      <c r="AB1486" s="6" t="str">
        <f>IFERROR(__xludf.DUMMYFUNCTION("""COMPUTED_VALUE"""),"Театральных
")</f>
        <v>Театральных
</v>
      </c>
      <c r="AC1486" s="6" t="str">
        <f>IFERROR(__xludf.DUMMYFUNCTION("""COMPUTED_VALUE"""),"Фестиваль кухни")</f>
        <v>Фестиваль кухни</v>
      </c>
      <c r="AD1486" s="6" t="str">
        <f>IFERROR(__xludf.DUMMYFUNCTION("""COMPUTED_VALUE"""),"Профессионала.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Актёр, Режиссер"&amp;", театральный педагог")</f>
        <v>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Актёр, Режиссер, театральный педагог</v>
      </c>
      <c r="AE1486" s="6" t="str">
        <f>IFERROR(__xludf.DUMMYFUNCTION("""COMPUTED_VALUE"""),"Мужской")</f>
        <v>Мужской</v>
      </c>
      <c r="AF1486" s="6" t="str">
        <f>IFERROR(__xludf.DUMMYFUNCTION("""COMPUTED_VALUE"""),"45-55")</f>
        <v>45-55</v>
      </c>
      <c r="AG1486" s="6"/>
      <c r="AH1486" s="6"/>
      <c r="AI1486" s="6"/>
      <c r="AJ1486" s="6"/>
      <c r="AK1486" s="6"/>
      <c r="AL1486" s="6"/>
      <c r="AM1486" s="6"/>
    </row>
    <row r="1487">
      <c r="A1487" s="6">
        <v>1486.0</v>
      </c>
      <c r="B1487" s="6" t="str">
        <f>IFERROR(__xludf.DUMMYFUNCTION("""COMPUTED_VALUE"""),"Врач")</f>
        <v>Врач</v>
      </c>
      <c r="C1487" s="6" t="str">
        <f>IFERROR(__xludf.DUMMYFUNCTION("""COMPUTED_VALUE"""),"Садоводство")</f>
        <v>Садоводство</v>
      </c>
      <c r="D1487" s="6" t="str">
        <f>IFERROR(__xludf.DUMMYFUNCTION("""COMPUTED_VALUE"""),"Кировский")</f>
        <v>Кировский</v>
      </c>
      <c r="E1487" s="6" t="str">
        <f>IFERROR(__xludf.DUMMYFUNCTION("""COMPUTED_VALUE"""),"Набережная, аллея по 40 лет Октября, часовня, Берёзовая Роща, ул Севастопольская, бетонные фигуры у переезда по Инициативной")</f>
        <v>Набережная, аллея по 40 лет Октября, часовня, Берёзовая Роща, ул Севастопольская, бетонные фигуры у переезда по Инициативной</v>
      </c>
      <c r="F1487" s="6" t="str">
        <f>IFERROR(__xludf.DUMMYFUNCTION("""COMPUTED_VALUE"""),"Переехал сюда из другого места (откуда? укажите в графе другое), Переехала из города Нерюнгри")</f>
        <v>Переехал сюда из другого места (откуда? укажите в графе другое), Переехала из города Нерюнгри</v>
      </c>
      <c r="G1487" s="6" t="str">
        <f>IFERROR(__xludf.DUMMYFUNCTION("""COMPUTED_VALUE"""),"Парки, рощи, набережные, сосновый бор")</f>
        <v>Парки, рощи, набережные, сосновый бор</v>
      </c>
      <c r="H1487" s="6" t="str">
        <f>IFERROR(__xludf.DUMMYFUNCTION("""COMPUTED_VALUE""")," любимый, немного заброшенный, шахтер, хороший, зимняя вишня")</f>
        <v> любимый, немного заброшенный, шахтер, хороший, зимняя вишня</v>
      </c>
      <c r="I1487" s="6" t="str">
        <f>IFERROR(__xludf.DUMMYFUNCTION("""COMPUTED_VALUE"""),"Волков, Подгорбунский, Рутгерс, Леонов, ")</f>
        <v>Волков, Подгорбунский, Рутгерс, Леонов, </v>
      </c>
      <c r="J1487" s="6" t="str">
        <f>IFERROR(__xludf.DUMMYFUNCTION("""COMPUTED_VALUE"""),"Гришковец, Кислюк, Логинов")</f>
        <v>Гришковец, Кислюк, Логинов</v>
      </c>
      <c r="K1487" s="6" t="str">
        <f>IFERROR(__xludf.DUMMYFUNCTION("""COMPUTED_VALUE"""),"Памятник погибшим шахтерам, Красная Горка, металлические скульптуры из железяк( у Космоса и недалеко от военкомата на Ленина), Сосновый бор, улВесенняя, памятник Погода в доме( у парка чудес), парк им. Жукова, Томская Писаница")</f>
        <v>Памятник погибшим шахтерам, Красная Горка, металлические скульптуры из железяк( у Космоса и недалеко от военкомата на Ленина), Сосновый бор, улВесенняя, памятник Погода в доме( у парка чудес), парк им. Жукова, Томская Писаница</v>
      </c>
      <c r="L1487" s="6" t="str">
        <f>IFERROR(__xludf.DUMMYFUNCTION("""COMPUTED_VALUE"""),"Нечего на зеркало пенять, коль рода крива. Один в поле не воин")</f>
        <v>Нечего на зеркало пенять, коль рода крива. Один в поле не воин</v>
      </c>
      <c r="M1487" s="6" t="str">
        <f>IFERROR(__xludf.DUMMYFUNCTION("""COMPUTED_VALUE"""),"Микражка, Шалго, кедру бить")</f>
        <v>Микражка, Шалго, кедру бить</v>
      </c>
      <c r="N1487" s="6" t="str">
        <f>IFERROR(__xludf.DUMMYFUNCTION("""COMPUTED_VALUE"""),"Хорошие дороги, транспортная доступность, чистый воздух, много скверов и парков, безопасность в плане криминала, возможность развивать ребенка")</f>
        <v>Хорошие дороги, транспортная доступность, чистый воздух, много скверов и парков, безопасность в плане криминала, возможность развивать ребенка</v>
      </c>
      <c r="O1487" s="6" t="str">
        <f>IFERROR(__xludf.DUMMYFUNCTION("""COMPUTED_VALUE"""),"Уменьшить вредные выбросы в атмосферу")</f>
        <v>Уменьшить вредные выбросы в атмосферу</v>
      </c>
      <c r="P1487" s="6" t="str">
        <f>IFERROR(__xludf.DUMMYFUNCTION("""COMPUTED_VALUE"""),"Vse42, радио Маяк, ""сарафанное"" Радио")</f>
        <v>Vse42, радио Маяк, "сарафанное" Радио</v>
      </c>
      <c r="Q1487"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1487" s="6" t="str">
        <f>IFERROR(__xludf.DUMMYFUNCTION("""COMPUTED_VALUE"""),"День Шахтера, новый год")</f>
        <v>День Шахтера, новый год</v>
      </c>
      <c r="S1487" s="6" t="str">
        <f>IFERROR(__xludf.DUMMYFUNCTION("""COMPUTED_VALUE"""),"Нет, не приходилось")</f>
        <v>Нет, не приходилось</v>
      </c>
      <c r="T1487" s="6" t="str">
        <f>IFERROR(__xludf.DUMMYFUNCTION("""COMPUTED_VALUE"""),"Он красивый")</f>
        <v>Он красивый</v>
      </c>
      <c r="U1487" s="6" t="str">
        <f>IFERROR(__xludf.DUMMYFUNCTION("""COMPUTED_VALUE"""),"Сосновый бор, памятник погибшим шахтерам( э. Неизвестный) ")</f>
        <v>Сосновый бор, памятник погибшим шахтерам( э. Неизвестный) </v>
      </c>
      <c r="V1487" s="6" t="str">
        <f>IFERROR(__xludf.DUMMYFUNCTION("""COMPUTED_VALUE"""),"Сохраняют и озеленяют город")</f>
        <v>Сохраняют и озеленяют город</v>
      </c>
      <c r="W1487" s="6" t="str">
        <f>IFERROR(__xludf.DUMMYFUNCTION("""COMPUTED_VALUE"""),"Пассивные, сильные,")</f>
        <v>Пассивные, сильные,</v>
      </c>
      <c r="X1487" s="6" t="str">
        <f>IFERROR(__xludf.DUMMYFUNCTION("""COMPUTED_VALUE"""),"Советский весенняя набережная парк чудес")</f>
        <v>Советский весенняя набережная парк чудес</v>
      </c>
      <c r="Y1487" s="6" t="str">
        <f>IFERROR(__xludf.DUMMYFUNCTION("""COMPUTED_VALUE"""),"Зимняя Вишня(((((((")</f>
        <v>Зимняя Вишня(((((((</v>
      </c>
      <c r="Z1487" s="6" t="str">
        <f>IFERROR(__xludf.DUMMYFUNCTION("""COMPUTED_VALUE"""),"Ремонт набережной в Кировском. Это круто сделали")</f>
        <v>Ремонт набережной в Кировском. Это круто сделали</v>
      </c>
      <c r="AA1487" s="6" t="str">
        <f>IFERROR(__xludf.DUMMYFUNCTION("""COMPUTED_VALUE"""),"Адаитад с оекарсивами в окияьре- ноябре 2020")</f>
        <v>Адаитад с оекарсивами в окияьре- ноябре 2020</v>
      </c>
      <c r="AB1487" s="6" t="str">
        <f>IFERROR(__xludf.DUMMYFUNCTION("""COMPUTED_VALUE"""),"Детские клубы, семейные кафе, исторические маршруты, ")</f>
        <v>Детские клубы, семейные кафе, исторические маршруты, </v>
      </c>
      <c r="AC1487" s="6" t="str">
        <f>IFERROR(__xludf.DUMMYFUNCTION("""COMPUTED_VALUE"""),"Экологические контейнеры, исторические прогулки, доступные выставки и концерты")</f>
        <v>Экологические контейнеры, исторические прогулки, доступные выставки и концерты</v>
      </c>
      <c r="AD148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87" s="6" t="str">
        <f>IFERROR(__xludf.DUMMYFUNCTION("""COMPUTED_VALUE"""),"Женский")</f>
        <v>Женский</v>
      </c>
      <c r="AF1487" s="6" t="str">
        <f>IFERROR(__xludf.DUMMYFUNCTION("""COMPUTED_VALUE"""),"30-44")</f>
        <v>30-44</v>
      </c>
      <c r="AG1487" s="6"/>
      <c r="AH1487" s="6"/>
      <c r="AI1487" s="6"/>
      <c r="AJ1487" s="6"/>
      <c r="AK1487" s="6"/>
      <c r="AL1487" s="6"/>
      <c r="AM1487" s="6"/>
    </row>
    <row r="1488">
      <c r="A1488" s="6">
        <v>1487.0</v>
      </c>
      <c r="B1488" s="6" t="str">
        <f>IFERROR(__xludf.DUMMYFUNCTION("""COMPUTED_VALUE"""),"Врач")</f>
        <v>Врач</v>
      </c>
      <c r="C1488" s="6" t="str">
        <f>IFERROR(__xludf.DUMMYFUNCTION("""COMPUTED_VALUE"""),"Рисование, фотография, прогулки")</f>
        <v>Рисование, фотография, прогулки</v>
      </c>
      <c r="D1488" s="6" t="str">
        <f>IFERROR(__xludf.DUMMYFUNCTION("""COMPUTED_VALUE"""),"Восточный")</f>
        <v>Восточный</v>
      </c>
      <c r="E1488" s="6" t="str">
        <f>IFERROR(__xludf.DUMMYFUNCTION("""COMPUTED_VALUE"""),"Исторический центр, парки")</f>
        <v>Исторический центр, парки</v>
      </c>
      <c r="F1488" s="6" t="str">
        <f>IFERROR(__xludf.DUMMYFUNCTION("""COMPUTED_VALUE"""),"Переехал сюда из другого места (откуда? укажите в графе другое), Киселевск")</f>
        <v>Переехал сюда из другого места (откуда? укажите в графе другое), Киселевск</v>
      </c>
      <c r="G1488" s="6" t="str">
        <f>IFERROR(__xludf.DUMMYFUNCTION("""COMPUTED_VALUE"""),"Парк на набережной, Томская писаница")</f>
        <v>Парк на набережной, Томская писаница</v>
      </c>
      <c r="H1488" s="6" t="str">
        <f>IFERROR(__xludf.DUMMYFUNCTION("""COMPUTED_VALUE"""),"Грязный воздух (газ), студенты, Томь, улица Весенняя")</f>
        <v>Грязный воздух (газ), студенты, Томь, улица Весенняя</v>
      </c>
      <c r="I1488" s="6" t="str">
        <f>IFERROR(__xludf.DUMMYFUNCTION("""COMPUTED_VALUE"""),"Атаманов, Тулеев")</f>
        <v>Атаманов, Тулеев</v>
      </c>
      <c r="J1488" s="6" t="str">
        <f>IFERROR(__xludf.DUMMYFUNCTION("""COMPUTED_VALUE"""),"Медики")</f>
        <v>Медики</v>
      </c>
      <c r="K1488" s="6" t="str">
        <f>IFERROR(__xludf.DUMMYFUNCTION("""COMPUTED_VALUE"""),"Драмтеатр, улица Весенняя, Красная горка, набережная в центре")</f>
        <v>Драмтеатр, улица Весенняя, Красная горка, набережная в центре</v>
      </c>
      <c r="L1488" s="6" t="str">
        <f>IFERROR(__xludf.DUMMYFUNCTION("""COMPUTED_VALUE"""),"-")</f>
        <v>-</v>
      </c>
      <c r="M1488" s="6" t="str">
        <f>IFERROR(__xludf.DUMMYFUNCTION("""COMPUTED_VALUE"""),"-")</f>
        <v>-</v>
      </c>
      <c r="N1488" s="6" t="str">
        <f>IFERROR(__xludf.DUMMYFUNCTION("""COMPUTED_VALUE"""),"Транспортная доступность, наличие тротуаров, чистота, интересные фасады зданий. ")</f>
        <v>Транспортная доступность, наличие тротуаров, чистота, интересные фасады зданий. </v>
      </c>
      <c r="O1488" s="6" t="str">
        <f>IFERROR(__xludf.DUMMYFUNCTION("""COMPUTED_VALUE"""),"Загазованность")</f>
        <v>Загазованность</v>
      </c>
      <c r="P1488" s="6" t="str">
        <f>IFERROR(__xludf.DUMMYFUNCTION("""COMPUTED_VALUE"""),"Новости, инстаграмм")</f>
        <v>Новости, инстаграмм</v>
      </c>
      <c r="Q1488"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488" s="6" t="str">
        <f>IFERROR(__xludf.DUMMYFUNCTION("""COMPUTED_VALUE"""),"Новый год")</f>
        <v>Новый год</v>
      </c>
      <c r="S1488" s="6" t="str">
        <f>IFERROR(__xludf.DUMMYFUNCTION("""COMPUTED_VALUE"""),"Нет, не приходилось")</f>
        <v>Нет, не приходилось</v>
      </c>
      <c r="T1488" s="6" t="str">
        <f>IFERROR(__xludf.DUMMYFUNCTION("""COMPUTED_VALUE"""),"-")</f>
        <v>-</v>
      </c>
      <c r="U1488" s="6" t="str">
        <f>IFERROR(__xludf.DUMMYFUNCTION("""COMPUTED_VALUE"""),"Фонтан у драмтеатра")</f>
        <v>Фонтан у драмтеатра</v>
      </c>
      <c r="V1488" s="6" t="str">
        <f>IFERROR(__xludf.DUMMYFUNCTION("""COMPUTED_VALUE"""),"-")</f>
        <v>-</v>
      </c>
      <c r="W1488" s="6" t="str">
        <f>IFERROR(__xludf.DUMMYFUNCTION("""COMPUTED_VALUE"""),"-")</f>
        <v>-</v>
      </c>
      <c r="X1488" s="6" t="str">
        <f>IFERROR(__xludf.DUMMYFUNCTION("""COMPUTED_VALUE"""),"Центр")</f>
        <v>Центр</v>
      </c>
      <c r="Y1488" s="6" t="str">
        <f>IFERROR(__xludf.DUMMYFUNCTION("""COMPUTED_VALUE"""),"-")</f>
        <v>-</v>
      </c>
      <c r="Z1488" s="6" t="str">
        <f>IFERROR(__xludf.DUMMYFUNCTION("""COMPUTED_VALUE"""),"-")</f>
        <v>-</v>
      </c>
      <c r="AA1488" s="6" t="str">
        <f>IFERROR(__xludf.DUMMYFUNCTION("""COMPUTED_VALUE"""),"-")</f>
        <v>-</v>
      </c>
      <c r="AB1488" s="6" t="str">
        <f>IFERROR(__xludf.DUMMYFUNCTION("""COMPUTED_VALUE"""),"-")</f>
        <v>-</v>
      </c>
      <c r="AC1488" s="6" t="str">
        <f>IFERROR(__xludf.DUMMYFUNCTION("""COMPUTED_VALUE"""),"-")</f>
        <v>-</v>
      </c>
      <c r="AD1488" s="6" t="str">
        <f>IFERROR(__xludf.DUMMYFUNCTION("""COMPUTED_VALUE"""),"-")</f>
        <v>-</v>
      </c>
      <c r="AE1488" s="6" t="str">
        <f>IFERROR(__xludf.DUMMYFUNCTION("""COMPUTED_VALUE"""),"Женский")</f>
        <v>Женский</v>
      </c>
      <c r="AF1488" s="6" t="str">
        <f>IFERROR(__xludf.DUMMYFUNCTION("""COMPUTED_VALUE"""),"30-44")</f>
        <v>30-44</v>
      </c>
      <c r="AG1488" s="6"/>
      <c r="AH1488" s="6"/>
      <c r="AI1488" s="6"/>
      <c r="AJ1488" s="6"/>
      <c r="AK1488" s="6"/>
      <c r="AL1488" s="6"/>
      <c r="AM1488" s="6"/>
    </row>
    <row r="1489">
      <c r="A1489" s="6">
        <v>1488.0</v>
      </c>
      <c r="B1489" s="6" t="str">
        <f>IFERROR(__xludf.DUMMYFUNCTION("""COMPUTED_VALUE"""),"Служащий в бюджете")</f>
        <v>Служащий в бюджете</v>
      </c>
      <c r="C1489" s="6" t="str">
        <f>IFERROR(__xludf.DUMMYFUNCTION("""COMPUTED_VALUE"""),"Нет,уроки с детьми")</f>
        <v>Нет,уроки с детьми</v>
      </c>
      <c r="D1489" s="6" t="str">
        <f>IFERROR(__xludf.DUMMYFUNCTION("""COMPUTED_VALUE"""),"Рудничный")</f>
        <v>Рудничный</v>
      </c>
      <c r="E1489" s="6" t="str">
        <f>IFERROR(__xludf.DUMMYFUNCTION("""COMPUTED_VALUE"""),"Красная горка,бор")</f>
        <v>Красная горка,бор</v>
      </c>
      <c r="F1489" s="6" t="str">
        <f>IFERROR(__xludf.DUMMYFUNCTION("""COMPUTED_VALUE"""),"Живу здесь с рождения")</f>
        <v>Живу здесь с рождения</v>
      </c>
      <c r="G1489" s="6" t="str">
        <f>IFERROR(__xludf.DUMMYFUNCTION("""COMPUTED_VALUE"""),"Очень мало мест,везде были")</f>
        <v>Очень мало мест,везде были</v>
      </c>
      <c r="H1489" s="6" t="str">
        <f>IFERROR(__xludf.DUMMYFUNCTION("""COMPUTED_VALUE"""),"Уголь,драмтеатр, Политех,Томь,Лесная Поляна")</f>
        <v>Уголь,драмтеатр, Политех,Томь,Лесная Поляна</v>
      </c>
      <c r="I1489" s="6" t="str">
        <f>IFERROR(__xludf.DUMMYFUNCTION("""COMPUTED_VALUE"""),"Волков")</f>
        <v>Волков</v>
      </c>
      <c r="J1489" s="6" t="str">
        <f>IFERROR(__xludf.DUMMYFUNCTION("""COMPUTED_VALUE"""),"Леонов")</f>
        <v>Леонов</v>
      </c>
      <c r="K1489" s="6" t="str">
        <f>IFERROR(__xludf.DUMMYFUNCTION("""COMPUTED_VALUE"""),"Слава шахтёрам")</f>
        <v>Слава шахтёрам</v>
      </c>
      <c r="L1489" s="6" t="str">
        <f>IFERROR(__xludf.DUMMYFUNCTION("""COMPUTED_VALUE"""),"
Театры строят,а заводы разрушили")</f>
        <v>
Театры строят,а заводы разрушили</v>
      </c>
      <c r="M1489" s="6" t="str">
        <f>IFERROR(__xludf.DUMMYFUNCTION("""COMPUTED_VALUE"""),"Нет")</f>
        <v>Нет</v>
      </c>
      <c r="N1489" s="6" t="str">
        <f>IFERROR(__xludf.DUMMYFUNCTION("""COMPUTED_VALUE"""),"Чистота,отсутствтие пробок,парковочные места во дворе, отсутствие очередей в больнице,у нас сходить некуда,были везде")</f>
        <v>Чистота,отсутствтие пробок,парковочные места во дворе, отсутствие очередей в больнице,у нас сходить некуда,были везде</v>
      </c>
      <c r="O1489" s="6" t="str">
        <f>IFERROR(__xludf.DUMMYFUNCTION("""COMPUTED_VALUE"""),"Строить крупные предприятия и увеличивать зп.Поднимать угольную промышленность")</f>
        <v>Строить крупные предприятия и увеличивать зп.Поднимать угольную промышленность</v>
      </c>
      <c r="P1489" s="6" t="str">
        <f>IFERROR(__xludf.DUMMYFUNCTION("""COMPUTED_VALUE"""),"Интернет, Инстаграмм,афиша 42")</f>
        <v>Интернет, Инстаграмм,афиша 42</v>
      </c>
      <c r="Q1489" s="6" t="str">
        <f>IFERROR(__xludf.DUMMYFUNCTION("""COMPUTED_VALUE"""),"куда пойти в свободное время, городская афиша (кино/театр/концерты),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предложен"&amp;"ия)")</f>
        <v>куда пойти в свободное время, городская афиша (кино/театр/концерты),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489" s="6" t="str">
        <f>IFERROR(__xludf.DUMMYFUNCTION("""COMPUTED_VALUE"""),"День города и день шахтера")</f>
        <v>День города и день шахтера</v>
      </c>
      <c r="S1489" s="6" t="str">
        <f>IFERROR(__xludf.DUMMYFUNCTION("""COMPUTED_VALUE"""),"Нет, не приходилось")</f>
        <v>Нет, не приходилось</v>
      </c>
      <c r="T1489" s="6" t="str">
        <f>IFERROR(__xludf.DUMMYFUNCTION("""COMPUTED_VALUE"""),"Ничем")</f>
        <v>Ничем</v>
      </c>
      <c r="U1489" s="6" t="str">
        <f>IFERROR(__xludf.DUMMYFUNCTION("""COMPUTED_VALUE"""),"Сердце шахтера")</f>
        <v>Сердце шахтера</v>
      </c>
      <c r="V1489" s="6" t="str">
        <f>IFERROR(__xludf.DUMMYFUNCTION("""COMPUTED_VALUE"""),"Особо ничего ")</f>
        <v>Особо ничего </v>
      </c>
      <c r="W1489" s="6" t="str">
        <f>IFERROR(__xludf.DUMMYFUNCTION("""COMPUTED_VALUE"""),"Обычные")</f>
        <v>Обычные</v>
      </c>
      <c r="X1489" s="6" t="str">
        <f>IFERROR(__xludf.DUMMYFUNCTION("""COMPUTED_VALUE"""),"Центр")</f>
        <v>Центр</v>
      </c>
      <c r="Y1489" s="6" t="str">
        <f>IFERROR(__xludf.DUMMYFUNCTION("""COMPUTED_VALUE"""),"Уголь нашли")</f>
        <v>Уголь нашли</v>
      </c>
      <c r="Z1489" s="6" t="str">
        <f>IFERROR(__xludf.DUMMYFUNCTION("""COMPUTED_VALUE"""),"Никакие")</f>
        <v>Никакие</v>
      </c>
      <c r="AA1489" s="6" t="str">
        <f>IFERROR(__xludf.DUMMYFUNCTION("""COMPUTED_VALUE"""),"Зимняя вишня ка")</f>
        <v>Зимняя вишня ка</v>
      </c>
      <c r="AB1489" s="6" t="str">
        <f>IFERROR(__xludf.DUMMYFUNCTION("""COMPUTED_VALUE"""),"Детских кафе-мороженое")</f>
        <v>Детских кафе-мороженое</v>
      </c>
      <c r="AC1489" s="6" t="str">
        <f>IFERROR(__xludf.DUMMYFUNCTION("""COMPUTED_VALUE"""),"Не знаю,всяких побольше")</f>
        <v>Не знаю,всяких побольше</v>
      </c>
      <c r="AD148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489" s="6" t="str">
        <f>IFERROR(__xludf.DUMMYFUNCTION("""COMPUTED_VALUE"""),"Женский")</f>
        <v>Женский</v>
      </c>
      <c r="AF1489" s="6" t="str">
        <f>IFERROR(__xludf.DUMMYFUNCTION("""COMPUTED_VALUE"""),"30-44")</f>
        <v>30-44</v>
      </c>
      <c r="AG1489" s="6"/>
      <c r="AH1489" s="6"/>
      <c r="AI1489" s="6"/>
      <c r="AJ1489" s="6"/>
      <c r="AK1489" s="6"/>
      <c r="AL1489" s="6"/>
      <c r="AM1489" s="6"/>
    </row>
    <row r="1490">
      <c r="A1490" s="6">
        <v>1489.0</v>
      </c>
      <c r="B1490" s="6" t="str">
        <f>IFERROR(__xludf.DUMMYFUNCTION("""COMPUTED_VALUE"""),"ИП")</f>
        <v>ИП</v>
      </c>
      <c r="C1490" s="6" t="str">
        <f>IFERROR(__xludf.DUMMYFUNCTION("""COMPUTED_VALUE"""),"Бег")</f>
        <v>Бег</v>
      </c>
      <c r="D1490" s="6" t="str">
        <f>IFERROR(__xludf.DUMMYFUNCTION("""COMPUTED_VALUE"""),"Лесная Поляна")</f>
        <v>Лесная Поляна</v>
      </c>
      <c r="E1490" s="6" t="str">
        <f>IFERROR(__xludf.DUMMYFUNCTION("""COMPUTED_VALUE"""),"Парк весенний, биг Бен, волк, Пётр и Феврония")</f>
        <v>Парк весенний, биг Бен, волк, Пётр и Феврония</v>
      </c>
      <c r="F1490" s="6" t="str">
        <f>IFERROR(__xludf.DUMMYFUNCTION("""COMPUTED_VALUE"""),"Живу здесь с рождения")</f>
        <v>Живу здесь с рождения</v>
      </c>
      <c r="G1490" s="6" t="str">
        <f>IFERROR(__xludf.DUMMYFUNCTION("""COMPUTED_VALUE"""),"Гуляю по району")</f>
        <v>Гуляю по району</v>
      </c>
      <c r="H1490" s="6" t="str">
        <f>IFERROR(__xludf.DUMMYFUNCTION("""COMPUTED_VALUE"""),"Дом, компактный, Томь, дым, бор")</f>
        <v>Дом, компактный, Томь, дым, бор</v>
      </c>
      <c r="I1490" s="6" t="str">
        <f>IFERROR(__xludf.DUMMYFUNCTION("""COMPUTED_VALUE"""),"Рудгерс, Гришковец, Руд Кенел, ")</f>
        <v>Рудгерс, Гришковец, Руд Кенел, </v>
      </c>
      <c r="J1490" s="6" t="str">
        <f>IFERROR(__xludf.DUMMYFUNCTION("""COMPUTED_VALUE"""),"Всё молодцы. Любой конкретный - лучший - субъективно")</f>
        <v>Всё молодцы. Любой конкретный - лучший - субъективно</v>
      </c>
      <c r="K1490" s="6" t="str">
        <f>IFERROR(__xludf.DUMMYFUNCTION("""COMPUTED_VALUE"""),"Парк ангелов (к сожалению) и ждём новую набережную")</f>
        <v>Парк ангелов (к сожалению) и ждём новую набережную</v>
      </c>
      <c r="L1490" s="6" t="str">
        <f>IFERROR(__xludf.DUMMYFUNCTION("""COMPUTED_VALUE"""),"Попадают 2. Мужика на тот свет. Встречают их пост, Пётр. Говорит, здесь ненужны денеги и не нужно работать. О, мы снова в Кемерово")</f>
        <v>Попадают 2. Мужика на тот свет. Встречают их пост, Пётр. Говорит, здесь ненужны денеги и не нужно работать. О, мы снова в Кемерово</v>
      </c>
      <c r="M1490" s="6" t="str">
        <f>IFERROR(__xludf.DUMMYFUNCTION("""COMPUTED_VALUE"""),"Нет")</f>
        <v>Нет</v>
      </c>
      <c r="N1490" s="6" t="str">
        <f>IFERROR(__xludf.DUMMYFUNCTION("""COMPUTED_VALUE"""),"Город в который едут а не уезжают. Город в котором чисто ( воздух) Город в котором для бизнеса мега условия и нет налогов для микро и среднего бизнеса.")</f>
        <v>Город в который едут а не уезжают. Город в котором чисто ( воздух) Город в котором для бизнеса мега условия и нет налогов для микро и среднего бизнеса.</v>
      </c>
      <c r="O1490" s="6" t="str">
        <f>IFERROR(__xludf.DUMMYFUNCTION("""COMPUTED_VALUE"""),"Экономическую составляющую. Если у нас нет возможности это сделать в стране, давайте начнём хотя бы с города.")</f>
        <v>Экономическую составляющую. Если у нас нет возможности это сделать в стране, давайте начнём хотя бы с города.</v>
      </c>
      <c r="P1490" s="6" t="str">
        <f>IFERROR(__xludf.DUMMYFUNCTION("""COMPUTED_VALUE"""),"Яндекс новости")</f>
        <v>Яндекс новости</v>
      </c>
      <c r="Q1490" s="6" t="str">
        <f>IFERROR(__xludf.DUMMYFUNCTION("""COMPUTED_VALUE"""),"куда пойти в свободное время, городская афиша (кино/театр/концерты),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 интервь"&amp;"ю с экспертами на разные темы (напишите в разделе Другое свои предложения)")</f>
        <v>куда пойти в свободное время, городская афиша (кино/театр/концерты),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490" s="6" t="str">
        <f>IFERROR(__xludf.DUMMYFUNCTION("""COMPUTED_VALUE"""),"День города, масленица")</f>
        <v>День города, масленица</v>
      </c>
      <c r="S1490" s="6" t="str">
        <f>IFERROR(__xludf.DUMMYFUNCTION("""COMPUTED_VALUE"""),"Писал и расклеивал объявления/афиши, Через социальные сети (Какие? Укажите в графе другое), Делал рассылку по электронной почте, Вк инст YouTube")</f>
        <v>Писал и расклеивал объявления/афиши, Через социальные сети (Какие? Укажите в графе другое), Делал рассылку по электронной почте, Вк инст YouTube</v>
      </c>
      <c r="T1490" s="6" t="str">
        <f>IFERROR(__xludf.DUMMYFUNCTION("""COMPUTED_VALUE"""),"Из позитивного. Затрудняюсь ответить.")</f>
        <v>Из позитивного. Затрудняюсь ответить.</v>
      </c>
      <c r="U1490" s="6" t="str">
        <f>IFERROR(__xludf.DUMMYFUNCTION("""COMPUTED_VALUE"""),"Набережная ")</f>
        <v>Набережная </v>
      </c>
      <c r="V1490" s="6" t="str">
        <f>IFERROR(__xludf.DUMMYFUNCTION("""COMPUTED_VALUE"""),"Сохранили бор ")</f>
        <v>Сохранили бор </v>
      </c>
      <c r="W1490" s="6" t="str">
        <f>IFERROR(__xludf.DUMMYFUNCTION("""COMPUTED_VALUE"""),"Среднестатистический россиянин ")</f>
        <v>Среднестатистический россиянин </v>
      </c>
      <c r="X1490" s="6" t="str">
        <f>IFERROR(__xludf.DUMMYFUNCTION("""COMPUTED_VALUE"""),"Набережная")</f>
        <v>Набережная</v>
      </c>
      <c r="Y1490" s="6" t="str">
        <f>IFERROR(__xludf.DUMMYFUNCTION("""COMPUTED_VALUE"""),"Чемпионат мира по волейболу - но это ещё в будущем")</f>
        <v>Чемпионат мира по волейболу - но это ещё в будущем</v>
      </c>
      <c r="Z1490" s="6" t="str">
        <f>IFERROR(__xludf.DUMMYFUNCTION("""COMPUTED_VALUE"""),"Затрудняюсь ответить.")</f>
        <v>Затрудняюсь ответить.</v>
      </c>
      <c r="AA1490" s="6" t="str">
        <f>IFERROR(__xludf.DUMMYFUNCTION("""COMPUTED_VALUE"""),"Только общемировые.")</f>
        <v>Только общемировые.</v>
      </c>
      <c r="AB1490" s="6" t="str">
        <f>IFERROR(__xludf.DUMMYFUNCTION("""COMPUTED_VALUE"""),"В достатке")</f>
        <v>В достатке</v>
      </c>
      <c r="AC1490" s="6" t="str">
        <f>IFERROR(__xludf.DUMMYFUNCTION("""COMPUTED_VALUE"""),"Спортивных")</f>
        <v>Спортивных</v>
      </c>
      <c r="AD1490"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v>
      </c>
      <c r="AE1490" s="6" t="str">
        <f>IFERROR(__xludf.DUMMYFUNCTION("""COMPUTED_VALUE"""),"Мужской")</f>
        <v>Мужской</v>
      </c>
      <c r="AF1490" s="6" t="str">
        <f>IFERROR(__xludf.DUMMYFUNCTION("""COMPUTED_VALUE"""),"30-44")</f>
        <v>30-44</v>
      </c>
      <c r="AG1490" s="6"/>
      <c r="AH1490" s="6"/>
      <c r="AI1490" s="6"/>
      <c r="AJ1490" s="6"/>
      <c r="AK1490" s="6"/>
      <c r="AL1490" s="6"/>
      <c r="AM1490" s="6"/>
    </row>
    <row r="1491">
      <c r="A1491" s="6">
        <v>1490.0</v>
      </c>
      <c r="B1491" s="6" t="str">
        <f>IFERROR(__xludf.DUMMYFUNCTION("""COMPUTED_VALUE"""),"Логистика")</f>
        <v>Логистика</v>
      </c>
      <c r="C1491" s="6" t="str">
        <f>IFERROR(__xludf.DUMMYFUNCTION("""COMPUTED_VALUE"""),"Вышивка")</f>
        <v>Вышивка</v>
      </c>
      <c r="D1491" s="6" t="str">
        <f>IFERROR(__xludf.DUMMYFUNCTION("""COMPUTED_VALUE"""),"Ленинский")</f>
        <v>Ленинский</v>
      </c>
      <c r="E1491" s="6" t="str">
        <f>IFERROR(__xludf.DUMMYFUNCTION("""COMPUTED_VALUE"""),"Мой двор")</f>
        <v>Мой двор</v>
      </c>
      <c r="F1491" s="6" t="str">
        <f>IFERROR(__xludf.DUMMYFUNCTION("""COMPUTED_VALUE"""),"Живу здесь с рождения")</f>
        <v>Живу здесь с рождения</v>
      </c>
      <c r="G1491" s="6" t="str">
        <f>IFERROR(__xludf.DUMMYFUNCTION("""COMPUTED_VALUE"""),"Кузбасский парк")</f>
        <v>Кузбасский парк</v>
      </c>
      <c r="H1491" s="6" t="str">
        <f>IFERROR(__xludf.DUMMYFUNCTION("""COMPUTED_VALUE"""),"Грязный воздух, ужасная экология.")</f>
        <v>Грязный воздух, ужасная экология.</v>
      </c>
      <c r="I1491" s="6" t="str">
        <f>IFERROR(__xludf.DUMMYFUNCTION("""COMPUTED_VALUE"""),"Леонов, Волков")</f>
        <v>Леонов, Волков</v>
      </c>
      <c r="J1491" s="6" t="str">
        <f>IFERROR(__xludf.DUMMYFUNCTION("""COMPUTED_VALUE"""),"Нет таких")</f>
        <v>Нет таких</v>
      </c>
      <c r="K1491" s="6" t="str">
        <f>IFERROR(__xludf.DUMMYFUNCTION("""COMPUTED_VALUE"""),"Даже не знаю что можно у нас в городе показать")</f>
        <v>Даже не знаю что можно у нас в городе показать</v>
      </c>
      <c r="L1491" s="6" t="str">
        <f>IFERROR(__xludf.DUMMYFUNCTION("""COMPUTED_VALUE"""),"🤷 ")</f>
        <v>🤷 </v>
      </c>
      <c r="M1491" s="6" t="str">
        <f>IFERROR(__xludf.DUMMYFUNCTION("""COMPUTED_VALUE"""),"Нет")</f>
        <v>Нет</v>
      </c>
      <c r="N1491" s="6" t="str">
        <f>IFERROR(__xludf.DUMMYFUNCTION("""COMPUTED_VALUE"""),"Чистота, хорошие дороги и тротуары, чистый воздух, развитая инфраструктура, достойная оплата труда")</f>
        <v>Чистота, хорошие дороги и тротуары, чистый воздух, развитая инфраструктура, достойная оплата труда</v>
      </c>
      <c r="O1491" s="6" t="str">
        <f>IFERROR(__xludf.DUMMYFUNCTION("""COMPUTED_VALUE"""),"Экологию")</f>
        <v>Экологию</v>
      </c>
      <c r="P1491" s="6" t="str">
        <f>IFERROR(__xludf.DUMMYFUNCTION("""COMPUTED_VALUE"""),"Интернет, соцсети")</f>
        <v>Интернет, соцсети</v>
      </c>
      <c r="Q1491" s="6" t="str">
        <f>IFERROR(__xludf.DUMMYFUNCTION("""COMPUTED_VALUE"""),"куда пойти в свободное время, новости про новые профессии/куда поступать/вакансии, интервью с экспертами на разные темы (напишите в разделе Другое свои предложения)")</f>
        <v>куда пойти в свободное время, новости про новые профессии/куда поступать/вакансии, интервью с экспертами на разные темы (напишите в разделе Другое свои предложения)</v>
      </c>
      <c r="R1491" s="6" t="str">
        <f>IFERROR(__xludf.DUMMYFUNCTION("""COMPUTED_VALUE"""),"День города")</f>
        <v>День города</v>
      </c>
      <c r="S1491" s="6" t="str">
        <f>IFERROR(__xludf.DUMMYFUNCTION("""COMPUTED_VALUE"""),"Нет, не приходилось")</f>
        <v>Нет, не приходилось</v>
      </c>
      <c r="T1491" s="6" t="str">
        <f>IFERROR(__xludf.DUMMYFUNCTION("""COMPUTED_VALUE"""),"Нет такого")</f>
        <v>Нет такого</v>
      </c>
      <c r="U1491" s="6" t="str">
        <f>IFERROR(__xludf.DUMMYFUNCTION("""COMPUTED_VALUE"""),"Площадь Советов")</f>
        <v>Площадь Советов</v>
      </c>
      <c r="V1491" s="6" t="str">
        <f>IFERROR(__xludf.DUMMYFUNCTION("""COMPUTED_VALUE"""),"Неизвестно")</f>
        <v>Неизвестно</v>
      </c>
      <c r="W1491" s="6" t="str">
        <f>IFERROR(__xludf.DUMMYFUNCTION("""COMPUTED_VALUE"""),"Тераиливые, уживчивые")</f>
        <v>Тераиливые, уживчивые</v>
      </c>
      <c r="X1491" s="6" t="str">
        <f>IFERROR(__xludf.DUMMYFUNCTION("""COMPUTED_VALUE"""),"Набережная")</f>
        <v>Набережная</v>
      </c>
      <c r="Y1491" s="6" t="str">
        <f>IFERROR(__xludf.DUMMYFUNCTION("""COMPUTED_VALUE"""),"Построен кадетский корпус")</f>
        <v>Построен кадетский корпус</v>
      </c>
      <c r="Z1491" s="6" t="str">
        <f>IFERROR(__xludf.DUMMYFUNCTION("""COMPUTED_VALUE"""),"Благоустройство города")</f>
        <v>Благоустройство города</v>
      </c>
      <c r="AA1491" s="6" t="str">
        <f>IFERROR(__xludf.DUMMYFUNCTION("""COMPUTED_VALUE"""),"Масочный режим")</f>
        <v>Масочный режим</v>
      </c>
      <c r="AB1491" s="6" t="str">
        <f>IFERROR(__xludf.DUMMYFUNCTION("""COMPUTED_VALUE"""),"Зеленый патруль")</f>
        <v>Зеленый патруль</v>
      </c>
      <c r="AC1491" s="6" t="str">
        <f>IFERROR(__xludf.DUMMYFUNCTION("""COMPUTED_VALUE"""),"Досуговая сфера")</f>
        <v>Досуговая сфера</v>
      </c>
      <c r="AD149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491" s="6" t="str">
        <f>IFERROR(__xludf.DUMMYFUNCTION("""COMPUTED_VALUE"""),"Женский")</f>
        <v>Женский</v>
      </c>
      <c r="AF1491" s="6" t="str">
        <f>IFERROR(__xludf.DUMMYFUNCTION("""COMPUTED_VALUE"""),"30-44")</f>
        <v>30-44</v>
      </c>
      <c r="AG1491" s="6"/>
      <c r="AH1491" s="6"/>
      <c r="AI1491" s="6"/>
      <c r="AJ1491" s="6"/>
      <c r="AK1491" s="6"/>
      <c r="AL1491" s="6"/>
      <c r="AM1491" s="6"/>
    </row>
    <row r="1492">
      <c r="A1492" s="6">
        <v>1491.0</v>
      </c>
      <c r="B1492" s="6" t="str">
        <f>IFERROR(__xludf.DUMMYFUNCTION("""COMPUTED_VALUE"""),"Экономист")</f>
        <v>Экономист</v>
      </c>
      <c r="C1492" s="6" t="str">
        <f>IFERROR(__xludf.DUMMYFUNCTION("""COMPUTED_VALUE"""),"Геокешинг")</f>
        <v>Геокешинг</v>
      </c>
      <c r="D1492" s="6" t="str">
        <f>IFERROR(__xludf.DUMMYFUNCTION("""COMPUTED_VALUE"""),"Центральный")</f>
        <v>Центральный</v>
      </c>
      <c r="E1492" s="6" t="str">
        <f>IFERROR(__xludf.DUMMYFUNCTION("""COMPUTED_VALUE"""),"Телецентр")</f>
        <v>Телецентр</v>
      </c>
      <c r="F1492" s="6" t="str">
        <f>IFERROR(__xludf.DUMMYFUNCTION("""COMPUTED_VALUE"""),"Живу здесь с рождения")</f>
        <v>Живу здесь с рождения</v>
      </c>
      <c r="G1492" s="6" t="str">
        <f>IFERROR(__xludf.DUMMYFUNCTION("""COMPUTED_VALUE"""),"Парк Веры Волошиной")</f>
        <v>Парк Веры Волошиной</v>
      </c>
      <c r="H1492" s="6" t="str">
        <f>IFERROR(__xludf.DUMMYFUNCTION("""COMPUTED_VALUE"""),"Патриархальный, заводской, не скорый, дымный, банальный")</f>
        <v>Патриархальный, заводской, не скорый, дымный, банальный</v>
      </c>
      <c r="I1492" s="6" t="str">
        <f>IFERROR(__xludf.DUMMYFUNCTION("""COMPUTED_VALUE"""),"Волков, Раздаев, Мартемьянов, Волошина")</f>
        <v>Волков, Раздаев, Мартемьянов, Волошина</v>
      </c>
      <c r="J1492" s="6" t="str">
        <f>IFERROR(__xludf.DUMMYFUNCTION("""COMPUTED_VALUE"""),"Гришковец, Мартемьянов, Леонов")</f>
        <v>Гришковец, Мартемьянов, Леонов</v>
      </c>
      <c r="K1492" s="6" t="str">
        <f>IFERROR(__xludf.DUMMYFUNCTION("""COMPUTED_VALUE"""),"Старая пристань, Красная горка")</f>
        <v>Старая пристань, Красная горка</v>
      </c>
      <c r="L1492" s="6" t="str">
        <f>IFERROR(__xludf.DUMMYFUNCTION("""COMPUTED_VALUE"""),"Б. Гребенщиков Человек из Кемерова")</f>
        <v>Б. Гребенщиков Человек из Кемерова</v>
      </c>
      <c r="M1492" s="6" t="str">
        <f>IFERROR(__xludf.DUMMYFUNCTION("""COMPUTED_VALUE"""),"Не знаю")</f>
        <v>Не знаю</v>
      </c>
      <c r="N1492" s="6" t="str">
        <f>IFERROR(__xludf.DUMMYFUNCTION("""COMPUTED_VALUE"""),"Дороги, больницы, школы, рабочие места, парки")</f>
        <v>Дороги, больницы, школы, рабочие места, парки</v>
      </c>
      <c r="O1492" s="6" t="str">
        <f>IFERROR(__xludf.DUMMYFUNCTION("""COMPUTED_VALUE"""),"Систему здравохранения")</f>
        <v>Систему здравохранения</v>
      </c>
      <c r="P1492" s="6" t="str">
        <f>IFERROR(__xludf.DUMMYFUNCTION("""COMPUTED_VALUE"""),"Интернет: афиша42, кассы. Ру")</f>
        <v>Интернет: афиша42, кассы. Ру</v>
      </c>
      <c r="Q1492"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492" s="6" t="str">
        <f>IFERROR(__xludf.DUMMYFUNCTION("""COMPUTED_VALUE"""),"Парад 9 мая")</f>
        <v>Парад 9 мая</v>
      </c>
      <c r="S1492" s="6" t="str">
        <f>IFERROR(__xludf.DUMMYFUNCTION("""COMPUTED_VALUE"""),"Нет, не приходилось")</f>
        <v>Нет, не приходилось</v>
      </c>
      <c r="T1492" s="6" t="str">
        <f>IFERROR(__xludf.DUMMYFUNCTION("""COMPUTED_VALUE"""),"Театр для детей и молодежи")</f>
        <v>Театр для детей и молодежи</v>
      </c>
      <c r="U1492" s="6" t="str">
        <f>IFERROR(__xludf.DUMMYFUNCTION("""COMPUTED_VALUE"""),"Площадь Ленина, Бульвар Строителей")</f>
        <v>Площадь Ленина, Бульвар Строителей</v>
      </c>
      <c r="V1492" s="6" t="str">
        <f>IFERROR(__xludf.DUMMYFUNCTION("""COMPUTED_VALUE"""),"Помогали фронту во время войны")</f>
        <v>Помогали фронту во время войны</v>
      </c>
      <c r="W1492" s="6" t="str">
        <f>IFERROR(__xludf.DUMMYFUNCTION("""COMPUTED_VALUE"""),"Неразговорчивые, быстрые в решениях и действияз")</f>
        <v>Неразговорчивые, быстрые в решениях и действияз</v>
      </c>
      <c r="X1492" s="6" t="str">
        <f>IFERROR(__xludf.DUMMYFUNCTION("""COMPUTED_VALUE"""),"Кировский, Берёзовая роща... Старый Кемерово")</f>
        <v>Кировский, Берёзовая роща... Старый Кемерово</v>
      </c>
      <c r="Y1492" s="6" t="str">
        <f>IFERROR(__xludf.DUMMYFUNCTION("""COMPUTED_VALUE"""),"Строительство заводов типа Азот, Прогресс ")</f>
        <v>Строительство заводов типа Азот, Прогресс </v>
      </c>
      <c r="Z1492" s="6" t="str">
        <f>IFERROR(__xludf.DUMMYFUNCTION("""COMPUTED_VALUE"""),"Концерт Звезды Рока в 2019")</f>
        <v>Концерт Звезды Рока в 2019</v>
      </c>
      <c r="AA1492" s="6" t="str">
        <f>IFERROR(__xludf.DUMMYFUNCTION("""COMPUTED_VALUE"""),"Пожар в ТЦ Зимняя вишня")</f>
        <v>Пожар в ТЦ Зимняя вишня</v>
      </c>
      <c r="AB1492" s="6" t="str">
        <f>IFERROR(__xludf.DUMMYFUNCTION("""COMPUTED_VALUE"""),"Краеведов путешествеников")</f>
        <v>Краеведов путешествеников</v>
      </c>
      <c r="AC1492" s="6" t="str">
        <f>IFERROR(__xludf.DUMMYFUNCTION("""COMPUTED_VALUE"""),"Ежегодные фестивали(музыкальные, театральные, художественные) ")</f>
        <v>Ежегодные фестивали(музыкальные, театральные, художественные) </v>
      </c>
      <c r="AD149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92" s="6" t="str">
        <f>IFERROR(__xludf.DUMMYFUNCTION("""COMPUTED_VALUE"""),"Женский")</f>
        <v>Женский</v>
      </c>
      <c r="AF1492" s="6" t="str">
        <f>IFERROR(__xludf.DUMMYFUNCTION("""COMPUTED_VALUE"""),"30-44")</f>
        <v>30-44</v>
      </c>
      <c r="AG1492" s="6"/>
      <c r="AH1492" s="6"/>
      <c r="AI1492" s="6"/>
      <c r="AJ1492" s="6"/>
      <c r="AK1492" s="6"/>
      <c r="AL1492" s="6"/>
      <c r="AM1492" s="6"/>
    </row>
    <row r="1493">
      <c r="A1493" s="6">
        <v>1492.0</v>
      </c>
      <c r="B1493" s="6" t="str">
        <f>IFERROR(__xludf.DUMMYFUNCTION("""COMPUTED_VALUE"""),"Педагог")</f>
        <v>Педагог</v>
      </c>
      <c r="C1493" s="6" t="str">
        <f>IFERROR(__xludf.DUMMYFUNCTION("""COMPUTED_VALUE"""),"Дача")</f>
        <v>Дача</v>
      </c>
      <c r="D1493" s="6" t="str">
        <f>IFERROR(__xludf.DUMMYFUNCTION("""COMPUTED_VALUE"""),"Центральный")</f>
        <v>Центральный</v>
      </c>
      <c r="E1493" s="6" t="str">
        <f>IFERROR(__xludf.DUMMYFUNCTION("""COMPUTED_VALUE"""),"Улица Весенняя")</f>
        <v>Улица Весенняя</v>
      </c>
      <c r="F1493" s="6" t="str">
        <f>IFERROR(__xludf.DUMMYFUNCTION("""COMPUTED_VALUE"""),"Переехал сюда из другого места (откуда? укажите в графе другое), Ближе к родственникам")</f>
        <v>Переехал сюда из другого места (откуда? укажите в графе другое), Ближе к родственникам</v>
      </c>
      <c r="G1493" s="6" t="str">
        <f>IFERROR(__xludf.DUMMYFUNCTION("""COMPUTED_VALUE"""),"Набережная в центре города")</f>
        <v>Набережная в центре города</v>
      </c>
      <c r="H1493" s="6" t="str">
        <f>IFERROR(__xludf.DUMMYFUNCTION("""COMPUTED_VALUE"""),"Семья, дом, работа, Сибирь, Кузбасс")</f>
        <v>Семья, дом, работа, Сибирь, Кузбасс</v>
      </c>
      <c r="I1493" s="6" t="str">
        <f>IFERROR(__xludf.DUMMYFUNCTION("""COMPUTED_VALUE"""),"Леонов, Гришковец, Рутгерс, Михайло Волков, Фридлянд😊, Бабенко, Гаркалин")</f>
        <v>Леонов, Гришковец, Рутгерс, Михайло Волков, Фридлянд😊, Бабенко, Гаркалин</v>
      </c>
      <c r="J1493" s="6" t="str">
        <f>IFERROR(__xludf.DUMMYFUNCTION("""COMPUTED_VALUE"""),"Михайлов, Сафохин, Найдов, ")</f>
        <v>Михайлов, Сафохин, Найдов, </v>
      </c>
      <c r="K1493" s="6" t="str">
        <f>IFERROR(__xludf.DUMMYFUNCTION("""COMPUTED_VALUE"""),"Набережная, старый центр, Красная горка (не официальная часть), сосновый бор, Журавли ( район старых обкомовских дач)")</f>
        <v>Набережная, старый центр, Красная горка (не официальная часть), сосновый бор, Журавли ( район старых обкомовских дач)</v>
      </c>
      <c r="L1493" s="6" t="str">
        <f>IFERROR(__xludf.DUMMYFUNCTION("""COMPUTED_VALUE""")," неофициальные названия домов: Белая лошадь (назв. магазина), Три поросёнка ( общежития на Октябрьском), Линия партии ( дом недалеко от ТЦ Лапландия), профессорский дом, дом офицеров")</f>
        <v> неофициальные названия домов: Белая лошадь (назв. магазина), Три поросёнка ( общежития на Октябрьском), Линия партии ( дом недалеко от ТЦ Лапландия), профессорский дом, дом офицеров</v>
      </c>
      <c r="M1493" s="6" t="str">
        <f>IFERROR(__xludf.DUMMYFUNCTION("""COMPUTED_VALUE"""),"Нет")</f>
        <v>Нет</v>
      </c>
      <c r="N1493" s="6" t="str">
        <f>IFERROR(__xludf.DUMMYFUNCTION("""COMPUTED_VALUE"""),"Скверы, парки, уют, чистота, образованные люди")</f>
        <v>Скверы, парки, уют, чистота, образованные люди</v>
      </c>
      <c r="O1493" s="6" t="str">
        <f>IFERROR(__xludf.DUMMYFUNCTION("""COMPUTED_VALUE"""),"Экологию, увеличить зелёные насаждения(деревья), навести чистоту (умыть город), ввести штрафы за мусор, уменьшить количество транспорта в центре, покрасить и отремонтировать фасады старых домов в центре, сделать центр города туристически привлекательным.")</f>
        <v>Экологию, увеличить зелёные насаждения(деревья), навести чистоту (умыть город), ввести штрафы за мусор, уменьшить количество транспорта в центре, покрасить и отремонтировать фасады старых домов в центре, сделать центр города туристически привлекательным.</v>
      </c>
      <c r="P1493" s="6" t="str">
        <f>IFERROR(__xludf.DUMMYFUNCTION("""COMPUTED_VALUE"""),"Интернет: официальные страницы гос.структур, газета ""Кузбасс""")</f>
        <v>Интернет: официальные страницы гос.структур, газета "Кузбасс"</v>
      </c>
      <c r="Q1493" s="6" t="str">
        <f>IFERROR(__xludf.DUMMYFUNCTION("""COMPUTED_VALUE"""),"интервью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результаты местных исследований (рейтинги/аналитика/тенденции), интервью с экспертами на р"&amp;"азные темы (напишите в разделе Другое свои предложения), История города")</f>
        <v>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 История города</v>
      </c>
      <c r="R1493" s="6" t="str">
        <f>IFERROR(__xludf.DUMMYFUNCTION("""COMPUTED_VALUE"""),"День шахтера, день химика")</f>
        <v>День шахтера, день химика</v>
      </c>
      <c r="S1493" s="6" t="str">
        <f>IFERROR(__xludf.DUMMYFUNCTION("""COMPUTED_VALUE"""),"Нет, не приходилось")</f>
        <v>Нет, не приходилось</v>
      </c>
      <c r="T1493" s="6" t="str">
        <f>IFERROR(__xludf.DUMMYFUNCTION("""COMPUTED_VALUE"""),"Столица Кузбасса")</f>
        <v>Столица Кузбасса</v>
      </c>
      <c r="U1493" s="6" t="str">
        <f>IFERROR(__xludf.DUMMYFUNCTION("""COMPUTED_VALUE"""),"Старая часть города: Весенняя, Ноградская, Островского, Кирова, Арочная и набережная")</f>
        <v>Старая часть города: Весенняя, Ноградская, Островского, Кирова, Арочная и набережная</v>
      </c>
      <c r="V1493" s="6" t="str">
        <f>IFERROR(__xludf.DUMMYFUNCTION("""COMPUTED_VALUE"""),"Создали город , такой какой он сейчас")</f>
        <v>Создали город , такой какой он сейчас</v>
      </c>
      <c r="W1493" s="6" t="str">
        <f>IFERROR(__xludf.DUMMYFUNCTION("""COMPUTED_VALUE"""),"Разные")</f>
        <v>Разные</v>
      </c>
      <c r="X1493" s="6" t="str">
        <f>IFERROR(__xludf.DUMMYFUNCTION("""COMPUTED_VALUE"""),"Набережная, исторический центр")</f>
        <v>Набережная, исторический центр</v>
      </c>
      <c r="Y1493" s="6" t="str">
        <f>IFERROR(__xludf.DUMMYFUNCTION("""COMPUTED_VALUE"""),"Открытие театров")</f>
        <v>Открытие театров</v>
      </c>
      <c r="Z1493" s="6" t="str">
        <f>IFERROR(__xludf.DUMMYFUNCTION("""COMPUTED_VALUE"""),"Строительство ")</f>
        <v>Строительство </v>
      </c>
      <c r="AA1493" s="6" t="str">
        <f>IFERROR(__xludf.DUMMYFUNCTION("""COMPUTED_VALUE"""),"Экология, грязь, падение культуры у населения")</f>
        <v>Экология, грязь, падение культуры у населения</v>
      </c>
      <c r="AB1493" s="6" t="str">
        <f>IFERROR(__xludf.DUMMYFUNCTION("""COMPUTED_VALUE"""),"Не надо сообществ, нужны профессионалы своего дела")</f>
        <v>Не надо сообществ, нужны профессионалы своего дела</v>
      </c>
      <c r="AC1493" s="6" t="str">
        <f>IFERROR(__xludf.DUMMYFUNCTION("""COMPUTED_VALUE"""),"Событий достаточно, необходимо обширнее рекламировать")</f>
        <v>Событий достаточно, необходимо обширнее рекламировать</v>
      </c>
      <c r="AD1493" s="6" t="str">
        <f>IFERROR(__xludf.DUMMYFUNCTION("""COMPUTED_VALUE"""),"Волонтера: оказать любую посильную помощь непосредственно во время реализации проекта, Работа от рассвета до заката")</f>
        <v>Волонтера: оказать любую посильную помощь непосредственно во время реализации проекта, Работа от рассвета до заката</v>
      </c>
      <c r="AE1493" s="6" t="str">
        <f>IFERROR(__xludf.DUMMYFUNCTION("""COMPUTED_VALUE"""),"Женский")</f>
        <v>Женский</v>
      </c>
      <c r="AF1493" s="6" t="str">
        <f>IFERROR(__xludf.DUMMYFUNCTION("""COMPUTED_VALUE"""),"старше 55")</f>
        <v>старше 55</v>
      </c>
      <c r="AG1493" s="6"/>
      <c r="AH1493" s="6"/>
      <c r="AI1493" s="6"/>
      <c r="AJ1493" s="6"/>
      <c r="AK1493" s="6"/>
      <c r="AL1493" s="6"/>
      <c r="AM1493" s="6"/>
    </row>
    <row r="1494">
      <c r="A1494" s="6">
        <v>1493.0</v>
      </c>
      <c r="B1494" s="6" t="str">
        <f>IFERROR(__xludf.DUMMYFUNCTION("""COMPUTED_VALUE"""),"Культура")</f>
        <v>Культура</v>
      </c>
      <c r="C1494" s="6" t="str">
        <f>IFERROR(__xludf.DUMMYFUNCTION("""COMPUTED_VALUE"""),"Чтение")</f>
        <v>Чтение</v>
      </c>
      <c r="D1494" s="6" t="str">
        <f>IFERROR(__xludf.DUMMYFUNCTION("""COMPUTED_VALUE"""),"В Рудничном. Радуга")</f>
        <v>В Рудничном. Радуга</v>
      </c>
      <c r="E1494" s="6" t="str">
        <f>IFERROR(__xludf.DUMMYFUNCTION("""COMPUTED_VALUE"""),"Памятник шахтерам, музей ""Красная горка"", сосновый бор")</f>
        <v>Памятник шахтерам, музей "Красная горка", сосновый бор</v>
      </c>
      <c r="F1494" s="6" t="str">
        <f>IFERROR(__xludf.DUMMYFUNCTION("""COMPUTED_VALUE"""),"Живу здесь с рождения")</f>
        <v>Живу здесь с рождения</v>
      </c>
      <c r="G1494" s="6" t="str">
        <f>IFERROR(__xludf.DUMMYFUNCTION("""COMPUTED_VALUE"""),"В парки, бор")</f>
        <v>В парки, бор</v>
      </c>
      <c r="H1494" s="6" t="str">
        <f>IFERROR(__xludf.DUMMYFUNCTION("""COMPUTED_VALUE"""),"Родной, любимый, красивый, строгий, удобный для жизни")</f>
        <v>Родной, любимый, красивый, строгий, удобный для жизни</v>
      </c>
      <c r="I1494" s="6" t="str">
        <f>IFERROR(__xludf.DUMMYFUNCTION("""COMPUTED_VALUE"""),"Михайло Волков, Балибалов, Юрьев, Рукавишников")</f>
        <v>Михайло Волков, Балибалов, Юрьев, Рукавишников</v>
      </c>
      <c r="J1494" s="6" t="str">
        <f>IFERROR(__xludf.DUMMYFUNCTION("""COMPUTED_VALUE"""),"Тулеев, Михайлов, Середюк")</f>
        <v>Тулеев, Михайлов, Середюк</v>
      </c>
      <c r="K1494" s="6" t="str">
        <f>IFERROR(__xludf.DUMMYFUNCTION("""COMPUTED_VALUE"""),"Центр города, набережную, бор")</f>
        <v>Центр города, набережную, бор</v>
      </c>
      <c r="L1494" s="6" t="str">
        <f>IFERROR(__xludf.DUMMYFUNCTION("""COMPUTED_VALUE"""),"Не знаю")</f>
        <v>Не знаю</v>
      </c>
      <c r="M1494" s="6" t="str">
        <f>IFERROR(__xludf.DUMMYFUNCTION("""COMPUTED_VALUE"""),"Нет")</f>
        <v>Нет</v>
      </c>
      <c r="N1494" s="6" t="str">
        <f>IFERROR(__xludf.DUMMYFUNCTION("""COMPUTED_VALUE"""),"Чистый воздух, улицы, дворы, транспорт, наличие кафе и магазинов")</f>
        <v>Чистый воздух, улицы, дворы, транспорт, наличие кафе и магазинов</v>
      </c>
      <c r="O1494" s="6" t="str">
        <f>IFERROR(__xludf.DUMMYFUNCTION("""COMPUTED_VALUE"""),"Воздух")</f>
        <v>Воздух</v>
      </c>
      <c r="P1494" s="6" t="str">
        <f>IFERROR(__xludf.DUMMYFUNCTION("""COMPUTED_VALUE"""),"Гугл новости")</f>
        <v>Гугл новости</v>
      </c>
      <c r="Q149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крим"&amp;"инальные новости (происшествия/преступления),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v>
      </c>
      <c r="R1494" s="6" t="str">
        <f>IFERROR(__xludf.DUMMYFUNCTION("""COMPUTED_VALUE"""),"День Победы, День города, День шахтера, Масленица")</f>
        <v>День Победы, День города, День шахтера, Масленица</v>
      </c>
      <c r="S1494" s="6" t="str">
        <f>IFERROR(__xludf.DUMMYFUNCTION("""COMPUTED_VALUE"""),"Да. По работе")</f>
        <v>Да. По работе</v>
      </c>
      <c r="T1494" s="6" t="str">
        <f>IFERROR(__xludf.DUMMYFUNCTION("""COMPUTED_VALUE"""),"АИК Кузбасс, шахтерская столица")</f>
        <v>АИК Кузбасс, шахтерская столица</v>
      </c>
      <c r="U1494" s="6" t="str">
        <f>IFERROR(__xludf.DUMMYFUNCTION("""COMPUTED_VALUE"""),"Площадь Советов, здания администрации города и главпочтампта")</f>
        <v>Площадь Советов, здания администрации города и главпочтампта</v>
      </c>
      <c r="V1494" s="6" t="str">
        <f>IFERROR(__xludf.DUMMYFUNCTION("""COMPUTED_VALUE"""),"Построили красивый центр города с музеями, театрами, парками")</f>
        <v>Построили красивый центр города с музеями, театрами, парками</v>
      </c>
      <c r="W1494" s="6" t="str">
        <f>IFERROR(__xludf.DUMMYFUNCTION("""COMPUTED_VALUE"""),"Честные, открытые, умные, строгие, культурные, деловые, трудолюбивые, модные")</f>
        <v>Честные, открытые, умные, строгие, культурные, деловые, трудолюбивые, модные</v>
      </c>
      <c r="X1494" s="6" t="str">
        <f>IFERROR(__xludf.DUMMYFUNCTION("""COMPUTED_VALUE"""),"Пр. Советский, пл.Советов, филармония, набережная, пл.Пушкина")</f>
        <v>Пр. Советский, пл.Советов, филармония, набережная, пл.Пушкина</v>
      </c>
      <c r="Y1494" s="6" t="str">
        <f>IFERROR(__xludf.DUMMYFUNCTION("""COMPUTED_VALUE"""),"Рок фестиваль на пр.Октябрьском")</f>
        <v>Рок фестиваль на пр.Октябрьском</v>
      </c>
      <c r="Z1494" s="6" t="str">
        <f>IFERROR(__xludf.DUMMYFUNCTION("""COMPUTED_VALUE"""),"Празднование 100-летия города Кемерово")</f>
        <v>Празднование 100-летия города Кемерово</v>
      </c>
      <c r="AA1494" s="6" t="str">
        <f>IFERROR(__xludf.DUMMYFUNCTION("""COMPUTED_VALUE"""),"Пожар в ТЦ Зимняя вишня")</f>
        <v>Пожар в ТЦ Зимняя вишня</v>
      </c>
      <c r="AB1494" s="6" t="str">
        <f>IFERROR(__xludf.DUMMYFUNCTION("""COMPUTED_VALUE"""),"Никаких")</f>
        <v>Никаких</v>
      </c>
      <c r="AC1494" s="6" t="str">
        <f>IFERROR(__xludf.DUMMYFUNCTION("""COMPUTED_VALUE"""),"Традиционно проводимых достаточно")</f>
        <v>Традиционно проводимых достаточно</v>
      </c>
      <c r="AD149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494" s="6" t="str">
        <f>IFERROR(__xludf.DUMMYFUNCTION("""COMPUTED_VALUE"""),"Женский")</f>
        <v>Женский</v>
      </c>
      <c r="AF1494" s="6" t="str">
        <f>IFERROR(__xludf.DUMMYFUNCTION("""COMPUTED_VALUE"""),"45-55")</f>
        <v>45-55</v>
      </c>
      <c r="AG1494" s="6"/>
      <c r="AH1494" s="6"/>
      <c r="AI1494" s="6"/>
      <c r="AJ1494" s="6"/>
      <c r="AK1494" s="6"/>
      <c r="AL1494" s="6"/>
      <c r="AM1494" s="6"/>
    </row>
    <row r="1495">
      <c r="A1495" s="6">
        <v>1494.0</v>
      </c>
      <c r="B1495" s="6" t="str">
        <f>IFERROR(__xludf.DUMMYFUNCTION("""COMPUTED_VALUE"""),"Индивидуальный предприниматель")</f>
        <v>Индивидуальный предприниматель</v>
      </c>
      <c r="C1495" s="6" t="str">
        <f>IFERROR(__xludf.DUMMYFUNCTION("""COMPUTED_VALUE"""),"Рыбалка")</f>
        <v>Рыбалка</v>
      </c>
      <c r="D1495" s="6" t="str">
        <f>IFERROR(__xludf.DUMMYFUNCTION("""COMPUTED_VALUE"""),"Рудничный")</f>
        <v>Рудничный</v>
      </c>
      <c r="E1495" s="6" t="str">
        <f>IFERROR(__xludf.DUMMYFUNCTION("""COMPUTED_VALUE"""),"Красная горка, бор")</f>
        <v>Красная горка, бор</v>
      </c>
      <c r="F1495" s="6" t="str">
        <f>IFERROR(__xludf.DUMMYFUNCTION("""COMPUTED_VALUE"""),"Живу здесь с рождения")</f>
        <v>Живу здесь с рождения</v>
      </c>
      <c r="G1495" s="6" t="str">
        <f>IFERROR(__xludf.DUMMYFUNCTION("""COMPUTED_VALUE"""),"Сосновый бор, городской сад, Бульвар строителей")</f>
        <v>Сосновый бор, городской сад, Бульвар строителей</v>
      </c>
      <c r="H1495" s="6" t="str">
        <f>IFERROR(__xludf.DUMMYFUNCTION("""COMPUTED_VALUE"""),"Томь, Бор, кедр, остров, сугробы.")</f>
        <v>Томь, Бор, кедр, остров, сугробы.</v>
      </c>
      <c r="I1495" s="6" t="str">
        <f>IFERROR(__xludf.DUMMYFUNCTION("""COMPUTED_VALUE"""),"Волков, Леонов")</f>
        <v>Волков, Леонов</v>
      </c>
      <c r="J1495" s="6" t="str">
        <f>IFERROR(__xludf.DUMMYFUNCTION("""COMPUTED_VALUE"""),"Михайлов")</f>
        <v>Михайлов</v>
      </c>
      <c r="K1495" s="6" t="str">
        <f>IFERROR(__xludf.DUMMYFUNCTION("""COMPUTED_VALUE"""),"Набережная")</f>
        <v>Набережная</v>
      </c>
      <c r="L1495" s="6" t="str">
        <f>IFERROR(__xludf.DUMMYFUNCTION("""COMPUTED_VALUE"""),"Нет")</f>
        <v>Нет</v>
      </c>
      <c r="M1495" s="6" t="str">
        <f>IFERROR(__xludf.DUMMYFUNCTION("""COMPUTED_VALUE"""),"Нет")</f>
        <v>Нет</v>
      </c>
      <c r="N1495" s="6" t="str">
        <f>IFERROR(__xludf.DUMMYFUNCTION("""COMPUTED_VALUE"""),"Чистота, озеленение, чистый воздух, общественный транспорт, культурный досуг.")</f>
        <v>Чистота, озеленение, чистый воздух, общественный транспорт, культурный досуг.</v>
      </c>
      <c r="O1495" s="6" t="str">
        <f>IFERROR(__xludf.DUMMYFUNCTION("""COMPUTED_VALUE"""),"Экология,уборка периферийных улиц, обновление общественного транспорта, парковки, увеличение пешеходных зон.")</f>
        <v>Экология,уборка периферийных улиц, обновление общественного транспорта, парковки, увеличение пешеходных зон.</v>
      </c>
      <c r="P1495" s="6" t="str">
        <f>IFERROR(__xludf.DUMMYFUNCTION("""COMPUTED_VALUE"""),"ФБ")</f>
        <v>ФБ</v>
      </c>
      <c r="Q1495"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495" s="6" t="str">
        <f>IFERROR(__xludf.DUMMYFUNCTION("""COMPUTED_VALUE"""),"День города")</f>
        <v>День города</v>
      </c>
      <c r="S1495" s="6" t="str">
        <f>IFERROR(__xludf.DUMMYFUNCTION("""COMPUTED_VALUE"""),"Нет, не приходилось")</f>
        <v>Нет, не приходилось</v>
      </c>
      <c r="T1495" s="6" t="str">
        <f>IFERROR(__xludf.DUMMYFUNCTION("""COMPUTED_VALUE"""),"Нет")</f>
        <v>Нет</v>
      </c>
      <c r="U1495" s="6" t="str">
        <f>IFERROR(__xludf.DUMMYFUNCTION("""COMPUTED_VALUE"""),"Горсад, бульвар строителей")</f>
        <v>Горсад, бульвар строителей</v>
      </c>
      <c r="V1495" s="6" t="str">
        <f>IFERROR(__xludf.DUMMYFUNCTION("""COMPUTED_VALUE"""),"Работали")</f>
        <v>Работали</v>
      </c>
      <c r="W1495" s="6" t="str">
        <f>IFERROR(__xludf.DUMMYFUNCTION("""COMPUTED_VALUE"""),"Дружелюбные.")</f>
        <v>Дружелюбные.</v>
      </c>
      <c r="X1495" s="6" t="str">
        <f>IFERROR(__xludf.DUMMYFUNCTION("""COMPUTED_VALUE"""),"Притомский")</f>
        <v>Притомский</v>
      </c>
      <c r="Y1495" s="6" t="str">
        <f>IFERROR(__xludf.DUMMYFUNCTION("""COMPUTED_VALUE"""),"ЧМ по хоккею с мячом")</f>
        <v>ЧМ по хоккею с мячом</v>
      </c>
      <c r="Z1495" s="6" t="str">
        <f>IFERROR(__xludf.DUMMYFUNCTION("""COMPUTED_VALUE"""),"Нет")</f>
        <v>Нет</v>
      </c>
      <c r="AA1495" s="6" t="str">
        <f>IFERROR(__xludf.DUMMYFUNCTION("""COMPUTED_VALUE"""),"Проблемы в университете")</f>
        <v>Проблемы в университете</v>
      </c>
      <c r="AB1495" s="6" t="str">
        <f>IFERROR(__xludf.DUMMYFUNCTION("""COMPUTED_VALUE"""),"Нет")</f>
        <v>Нет</v>
      </c>
      <c r="AC1495" s="6" t="str">
        <f>IFERROR(__xludf.DUMMYFUNCTION("""COMPUTED_VALUE"""),"Открытых уличных мероприятий")</f>
        <v>Открытых уличных мероприятий</v>
      </c>
      <c r="AD149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495" s="6" t="str">
        <f>IFERROR(__xludf.DUMMYFUNCTION("""COMPUTED_VALUE"""),"Мужской")</f>
        <v>Мужской</v>
      </c>
      <c r="AF1495" s="6" t="str">
        <f>IFERROR(__xludf.DUMMYFUNCTION("""COMPUTED_VALUE"""),"45-55")</f>
        <v>45-55</v>
      </c>
      <c r="AG1495" s="6"/>
      <c r="AH1495" s="6"/>
      <c r="AI1495" s="6"/>
      <c r="AJ1495" s="6"/>
      <c r="AK1495" s="6"/>
      <c r="AL1495" s="6"/>
      <c r="AM1495" s="6"/>
    </row>
    <row r="1496">
      <c r="A1496" s="6">
        <v>1495.0</v>
      </c>
      <c r="B1496" s="6" t="str">
        <f>IFERROR(__xludf.DUMMYFUNCTION("""COMPUTED_VALUE"""),"Учусь")</f>
        <v>Учусь</v>
      </c>
      <c r="C1496" s="6" t="str">
        <f>IFERROR(__xludf.DUMMYFUNCTION("""COMPUTED_VALUE"""),"Игра на гитаре ")</f>
        <v>Игра на гитаре </v>
      </c>
      <c r="D1496" s="6" t="str">
        <f>IFERROR(__xludf.DUMMYFUNCTION("""COMPUTED_VALUE"""),"Лененский. Лененский")</f>
        <v>Лененский. Лененский</v>
      </c>
      <c r="E1496" s="6" t="str">
        <f>IFERROR(__xludf.DUMMYFUNCTION("""COMPUTED_VALUE"""),"Бульвар строителей, парк(забыла как называется) ")</f>
        <v>Бульвар строителей, парк(забыла как называется) </v>
      </c>
      <c r="F1496" s="6" t="str">
        <f>IFERROR(__xludf.DUMMYFUNCTION("""COMPUTED_VALUE"""),"Живу здесь с рождения")</f>
        <v>Живу здесь с рождения</v>
      </c>
      <c r="G1496" s="6" t="str">
        <f>IFERROR(__xludf.DUMMYFUNCTION("""COMPUTED_VALUE"""),"Бульвар строителей, парк ангелов, лапландия, набережная")</f>
        <v>Бульвар строителей, парк ангелов, лапландия, набережная</v>
      </c>
      <c r="H1496" s="6" t="str">
        <f>IFERROR(__xludf.DUMMYFUNCTION("""COMPUTED_VALUE"""),"Снег, деревья, дом, друзья, уголь")</f>
        <v>Снег, деревья, дом, друзья, уголь</v>
      </c>
      <c r="I1496" s="6" t="str">
        <f>IFERROR(__xludf.DUMMYFUNCTION("""COMPUTED_VALUE"""),"Не знаю")</f>
        <v>Не знаю</v>
      </c>
      <c r="J1496" s="6" t="str">
        <f>IFERROR(__xludf.DUMMYFUNCTION("""COMPUTED_VALUE"""),"Не знаю ")</f>
        <v>Не знаю </v>
      </c>
      <c r="K1496" s="6" t="str">
        <f>IFERROR(__xludf.DUMMYFUNCTION("""COMPUTED_VALUE"""),"Бор, парк ангелов")</f>
        <v>Бор, парк ангелов</v>
      </c>
      <c r="L1496" s="6" t="str">
        <f>IFERROR(__xludf.DUMMYFUNCTION("""COMPUTED_VALUE"""),"-")</f>
        <v>-</v>
      </c>
      <c r="M1496" s="6" t="str">
        <f>IFERROR(__xludf.DUMMYFUNCTION("""COMPUTED_VALUE"""),"Нет")</f>
        <v>Нет</v>
      </c>
      <c r="N1496" s="6" t="str">
        <f>IFERROR(__xludf.DUMMYFUNCTION("""COMPUTED_VALUE"""),"Парки для прогулок, без заводов, без дыма, спортивные площадки, детские площадки")</f>
        <v>Парки для прогулок, без заводов, без дыма, спортивные площадки, детские площадки</v>
      </c>
      <c r="O1496" s="6" t="str">
        <f>IFERROR(__xludf.DUMMYFUNCTION("""COMPUTED_VALUE"""),"Где то дороги")</f>
        <v>Где то дороги</v>
      </c>
      <c r="P1496" s="6" t="str">
        <f>IFERROR(__xludf.DUMMYFUNCTION("""COMPUTED_VALUE"""),"От знакомых ")</f>
        <v>От знакомых </v>
      </c>
      <c r="Q1496"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496" s="6" t="str">
        <f>IFERROR(__xludf.DUMMYFUNCTION("""COMPUTED_VALUE"""),"9 мая ")</f>
        <v>9 мая </v>
      </c>
      <c r="S1496" s="6" t="str">
        <f>IFERROR(__xludf.DUMMYFUNCTION("""COMPUTED_VALUE"""),"Нет, не приходилось")</f>
        <v>Нет, не приходилось</v>
      </c>
      <c r="T1496" s="6" t="str">
        <f>IFERROR(__xludf.DUMMYFUNCTION("""COMPUTED_VALUE"""),"Знают из за шахт и пожара в зимней вишне")</f>
        <v>Знают из за шахт и пожара в зимней вишне</v>
      </c>
      <c r="U1496" s="6" t="str">
        <f>IFERROR(__xludf.DUMMYFUNCTION("""COMPUTED_VALUE"""),"Где Ленин стоит")</f>
        <v>Где Ленин стоит</v>
      </c>
      <c r="V1496" s="6" t="str">
        <f>IFERROR(__xludf.DUMMYFUNCTION("""COMPUTED_VALUE"""),"Рыли землю и добывали уголь")</f>
        <v>Рыли землю и добывали уголь</v>
      </c>
      <c r="W1496" s="6" t="str">
        <f>IFERROR(__xludf.DUMMYFUNCTION("""COMPUTED_VALUE"""),"Все разные, кто то добрый и помогает старикам, кому то все равно и они проходят мимо. Все как везде")</f>
        <v>Все разные, кто то добрый и помогает старикам, кому то все равно и они проходят мимо. Все как везде</v>
      </c>
      <c r="X1496" s="6" t="str">
        <f>IFERROR(__xludf.DUMMYFUNCTION("""COMPUTED_VALUE"""),"Через набережную, потом на советский.потом не знаю куда, по паркам поездить ")</f>
        <v>Через набережную, потом на советский.потом не знаю куда, по паркам поездить </v>
      </c>
      <c r="Y1496" s="6" t="str">
        <f>IFERROR(__xludf.DUMMYFUNCTION("""COMPUTED_VALUE"""),"Библиотеку федорова")</f>
        <v>Библиотеку федорова</v>
      </c>
      <c r="Z1496" s="6" t="str">
        <f>IFERROR(__xludf.DUMMYFUNCTION("""COMPUTED_VALUE"""),"Не знаю")</f>
        <v>Не знаю</v>
      </c>
      <c r="AA1496" s="6" t="str">
        <f>IFERROR(__xludf.DUMMYFUNCTION("""COMPUTED_VALUE"""),"Не знаю")</f>
        <v>Не знаю</v>
      </c>
      <c r="AB1496" s="6" t="str">
        <f>IFERROR(__xludf.DUMMYFUNCTION("""COMPUTED_VALUE"""),"Музыкантов ")</f>
        <v>Музыкантов </v>
      </c>
      <c r="AC1496" s="6" t="str">
        <f>IFERROR(__xludf.DUMMYFUNCTION("""COMPUTED_VALUE"""),"Не люблю массовые мероприятия ")</f>
        <v>Не люблю массовые мероприятия </v>
      </c>
      <c r="AD149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96" s="6" t="str">
        <f>IFERROR(__xludf.DUMMYFUNCTION("""COMPUTED_VALUE"""),"Женский")</f>
        <v>Женский</v>
      </c>
      <c r="AF1496" s="6" t="str">
        <f>IFERROR(__xludf.DUMMYFUNCTION("""COMPUTED_VALUE"""),"18-29")</f>
        <v>18-29</v>
      </c>
      <c r="AG1496" s="6"/>
      <c r="AH1496" s="6"/>
      <c r="AI1496" s="6"/>
      <c r="AJ1496" s="6"/>
      <c r="AK1496" s="6"/>
      <c r="AL1496" s="6"/>
      <c r="AM1496" s="6"/>
    </row>
    <row r="1497">
      <c r="A1497" s="6">
        <v>1496.0</v>
      </c>
      <c r="B1497" s="6" t="str">
        <f>IFERROR(__xludf.DUMMYFUNCTION("""COMPUTED_VALUE"""),"Организация работы отдела")</f>
        <v>Организация работы отдела</v>
      </c>
      <c r="C1497" s="6" t="str">
        <f>IFERROR(__xludf.DUMMYFUNCTION("""COMPUTED_VALUE"""),"Работа, танц.деятельность дочери.")</f>
        <v>Работа, танц.деятельность дочери.</v>
      </c>
      <c r="D1497" s="6" t="str">
        <f>IFERROR(__xludf.DUMMYFUNCTION("""COMPUTED_VALUE"""),"Заводский, фпк
")</f>
        <v>Заводский, фпк
</v>
      </c>
      <c r="E1497" s="6" t="str">
        <f>IFERROR(__xludf.DUMMYFUNCTION("""COMPUTED_VALUE"""),"Сложно назаать")</f>
        <v>Сложно назаать</v>
      </c>
      <c r="F1497" s="6" t="str">
        <f>IFERROR(__xludf.DUMMYFUNCTION("""COMPUTED_VALUE"""),"Переехал сюда из другого места (откуда? укажите в графе другое), Республика Якутия.")</f>
        <v>Переехал сюда из другого места (откуда? укажите в графе другое), Республика Якутия.</v>
      </c>
      <c r="G1497" s="6" t="str">
        <f>IFERROR(__xludf.DUMMYFUNCTION("""COMPUTED_VALUE"""),"Набережная")</f>
        <v>Набережная</v>
      </c>
      <c r="H1497" s="6" t="str">
        <f>IFERROR(__xludf.DUMMYFUNCTION("""COMPUTED_VALUE"""),"Столица Кузбасса, Родина моих дочерей,  создание моей семьи,место учебы,трудовая деятельность
")</f>
        <v>Столица Кузбасса, Родина моих дочерей,  создание моей семьи,место учебы,трудовая деятельность
</v>
      </c>
      <c r="I1497" s="6" t="str">
        <f>IFERROR(__xludf.DUMMYFUNCTION("""COMPUTED_VALUE"""),"Михайло Волков.")</f>
        <v>Михайло Волков.</v>
      </c>
      <c r="J1497" s="6" t="str">
        <f>IFERROR(__xludf.DUMMYFUNCTION("""COMPUTED_VALUE"""),"Мэр города В.Михайлов.")</f>
        <v>Мэр города В.Михайлов.</v>
      </c>
      <c r="K1497" s="6" t="str">
        <f>IFERROR(__xludf.DUMMYFUNCTION("""COMPUTED_VALUE"""),"Музей Красная горка.")</f>
        <v>Музей Красная горка.</v>
      </c>
      <c r="L1497" s="6" t="str">
        <f>IFERROR(__xludf.DUMMYFUNCTION("""COMPUTED_VALUE"""),"Жители Кемерова -труженики и великие люди.")</f>
        <v>Жители Кемерова -труженики и великие люди.</v>
      </c>
      <c r="M1497" s="6" t="str">
        <f>IFERROR(__xludf.DUMMYFUNCTION("""COMPUTED_VALUE"""),"Жить по-кемеровски.")</f>
        <v>Жить по-кемеровски.</v>
      </c>
      <c r="N1497" s="6" t="str">
        <f>IFERROR(__xludf.DUMMYFUNCTION("""COMPUTED_VALUE"""),"Процедуры по очистке города после зимы, субботники,помывка улиц.грязь")</f>
        <v>Процедуры по очистке города после зимы, субботники,помывка улиц.грязь</v>
      </c>
      <c r="O1497" s="6" t="str">
        <f>IFERROR(__xludf.DUMMYFUNCTION("""COMPUTED_VALUE"""),"Чтобы убирали хозяева собак за туалетн.содержимым.")</f>
        <v>Чтобы убирали хозяева собак за туалетн.содержимым.</v>
      </c>
      <c r="P1497" s="6" t="str">
        <f>IFERROR(__xludf.DUMMYFUNCTION("""COMPUTED_VALUE"""),"Соц сети.")</f>
        <v>Соц сети.</v>
      </c>
      <c r="Q1497" s="6" t="str">
        <f>IFERROR(__xludf.DUMMYFUNCTION("""COMPUTED_VALUE"""),"где вкусно поесть/открытие новых кафе/ресторанов, интервью с местными политиками, интервью с местными предпринимателями")</f>
        <v>где вкусно поесть/открытие новых кафе/ресторанов, интервью с местными политиками, интервью с местными предпринимателями</v>
      </c>
      <c r="R1497" s="6" t="str">
        <f>IFERROR(__xludf.DUMMYFUNCTION("""COMPUTED_VALUE"""),"Новый год, день защиты детей.")</f>
        <v>Новый год, день защиты детей.</v>
      </c>
      <c r="S1497" s="6" t="str">
        <f>IFERROR(__xludf.DUMMYFUNCTION("""COMPUTED_VALUE"""),"Нет, не приходилось")</f>
        <v>Нет, не приходилось</v>
      </c>
      <c r="T1497" s="6" t="str">
        <f>IFERROR(__xludf.DUMMYFUNCTION("""COMPUTED_VALUE"""),"Столица Кузбасса.")</f>
        <v>Столица Кузбасса.</v>
      </c>
      <c r="U1497" s="6" t="str">
        <f>IFERROR(__xludf.DUMMYFUNCTION("""COMPUTED_VALUE"""),"Памятник неизвестному солдату.")</f>
        <v>Памятник неизвестному солдату.</v>
      </c>
      <c r="V1497" s="6" t="str">
        <f>IFERROR(__xludf.DUMMYFUNCTION("""COMPUTED_VALUE"""),"Михайлов В. Настоящий хозяин города.")</f>
        <v>Михайлов В. Настоящий хозяин города.</v>
      </c>
      <c r="W1497" s="6" t="str">
        <f>IFERROR(__xludf.DUMMYFUNCTION("""COMPUTED_VALUE"""),"Суровые,скромные,сдержанные,в тревоге.")</f>
        <v>Суровые,скромные,сдержанные,в тревоге.</v>
      </c>
      <c r="X1497" s="6" t="str">
        <f>IFERROR(__xludf.DUMMYFUNCTION("""COMPUTED_VALUE"""),"ВЕСЕННЯЯ УЛИЦА.")</f>
        <v>ВЕСЕННЯЯ УЛИЦА.</v>
      </c>
      <c r="Y1497" s="6" t="str">
        <f>IFERROR(__xludf.DUMMYFUNCTION("""COMPUTED_VALUE"""),"Чемпионат мира по хоккею с мячом.")</f>
        <v>Чемпионат мира по хоккею с мячом.</v>
      </c>
      <c r="Z1497" s="6" t="str">
        <f>IFERROR(__xludf.DUMMYFUNCTION("""COMPUTED_VALUE"""),"Сложно сказать.")</f>
        <v>Сложно сказать.</v>
      </c>
      <c r="AA1497" s="6" t="str">
        <f>IFERROR(__xludf.DUMMYFUNCTION("""COMPUTED_VALUE"""),"Вроде все пока стабильно.")</f>
        <v>Вроде все пока стабильно.</v>
      </c>
      <c r="AB1497" s="6" t="str">
        <f>IFERROR(__xludf.DUMMYFUNCTION("""COMPUTED_VALUE"""),"Общественых.Мало информации клубов по интересам.для взрослых женщин занятий по фитнесу,йоге.")</f>
        <v>Общественых.Мало информации клубов по интересам.для взрослых женщин занятий по фитнесу,йоге.</v>
      </c>
      <c r="AC1497" s="6" t="str">
        <f>IFERROR(__xludf.DUMMYFUNCTION("""COMPUTED_VALUE"""),"По больше доступных учреждений для занятий,для детей
")</f>
        <v>По больше доступных учреждений для занятий,для детей
</v>
      </c>
      <c r="AD149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497" s="6" t="str">
        <f>IFERROR(__xludf.DUMMYFUNCTION("""COMPUTED_VALUE"""),"Женский")</f>
        <v>Женский</v>
      </c>
      <c r="AF1497" s="6" t="str">
        <f>IFERROR(__xludf.DUMMYFUNCTION("""COMPUTED_VALUE"""),"45-55")</f>
        <v>45-55</v>
      </c>
      <c r="AG1497" s="6"/>
      <c r="AH1497" s="6"/>
      <c r="AI1497" s="6"/>
      <c r="AJ1497" s="6"/>
      <c r="AK1497" s="6"/>
      <c r="AL1497" s="6"/>
      <c r="AM1497" s="6"/>
    </row>
    <row r="1498">
      <c r="A1498" s="6">
        <v>1497.0</v>
      </c>
      <c r="B1498" s="6" t="str">
        <f>IFERROR(__xludf.DUMMYFUNCTION("""COMPUTED_VALUE"""),"Работаю")</f>
        <v>Работаю</v>
      </c>
      <c r="C1498" s="6" t="str">
        <f>IFERROR(__xludf.DUMMYFUNCTION("""COMPUTED_VALUE"""),"туризм, чтение")</f>
        <v>туризм, чтение</v>
      </c>
      <c r="D1498" s="6" t="str">
        <f>IFERROR(__xludf.DUMMYFUNCTION("""COMPUTED_VALUE"""),"Ленинский")</f>
        <v>Ленинский</v>
      </c>
      <c r="E1498" s="6" t="str">
        <f>IFERROR(__xludf.DUMMYFUNCTION("""COMPUTED_VALUE"""),"Бульвар Строителей")</f>
        <v>Бульвар Строителей</v>
      </c>
      <c r="F1498" s="6" t="str">
        <f>IFERROR(__xludf.DUMMYFUNCTION("""COMPUTED_VALUE"""),"Живу здесь с рождения")</f>
        <v>Живу здесь с рождения</v>
      </c>
      <c r="G1498" s="6" t="str">
        <f>IFERROR(__xludf.DUMMYFUNCTION("""COMPUTED_VALUE"""),"Кинотеатры, парки")</f>
        <v>Кинотеатры, парки</v>
      </c>
      <c r="H1498" s="6" t="str">
        <f>IFERROR(__xludf.DUMMYFUNCTION("""COMPUTED_VALUE"""),"Уголь, заводы, культура, Томь, Кузбасс")</f>
        <v>Уголь, заводы, культура, Томь, Кузбасс</v>
      </c>
      <c r="I1498" s="6" t="str">
        <f>IFERROR(__xludf.DUMMYFUNCTION("""COMPUTED_VALUE"""),"Леонов")</f>
        <v>Леонов</v>
      </c>
      <c r="J1498" s="6" t="str">
        <f>IFERROR(__xludf.DUMMYFUNCTION("""COMPUTED_VALUE"""),"не знаю")</f>
        <v>не знаю</v>
      </c>
      <c r="K1498" s="6" t="str">
        <f>IFERROR(__xludf.DUMMYFUNCTION("""COMPUTED_VALUE"""),"Набережная")</f>
        <v>Набережная</v>
      </c>
      <c r="L1498" s="6" t="str">
        <f>IFERROR(__xludf.DUMMYFUNCTION("""COMPUTED_VALUE"""),"не знаю")</f>
        <v>не знаю</v>
      </c>
      <c r="M1498" s="6" t="str">
        <f>IFERROR(__xludf.DUMMYFUNCTION("""COMPUTED_VALUE"""),"Щегловка")</f>
        <v>Щегловка</v>
      </c>
      <c r="N1498" s="6" t="str">
        <f>IFERROR(__xludf.DUMMYFUNCTION("""COMPUTED_VALUE"""),"Чистота, хорошие дороги, удобные дворы, хватает парковок, безопасность")</f>
        <v>Чистота, хорошие дороги, удобные дворы, хватает парковок, безопасность</v>
      </c>
      <c r="O1498" s="6" t="str">
        <f>IFERROR(__xludf.DUMMYFUNCTION("""COMPUTED_VALUE"""),"Экология")</f>
        <v>Экология</v>
      </c>
      <c r="P1498" s="6" t="str">
        <f>IFERROR(__xludf.DUMMYFUNCTION("""COMPUTED_VALUE"""),"вк, инстаграм")</f>
        <v>вк, инстаграм</v>
      </c>
      <c r="Q1498"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498" s="6" t="str">
        <f>IFERROR(__xludf.DUMMYFUNCTION("""COMPUTED_VALUE"""),"нет таких")</f>
        <v>нет таких</v>
      </c>
      <c r="S1498" s="6" t="str">
        <f>IFERROR(__xludf.DUMMYFUNCTION("""COMPUTED_VALUE"""),"Нет, не приходилось")</f>
        <v>Нет, не приходилось</v>
      </c>
      <c r="T1498" s="6" t="str">
        <f>IFERROR(__xludf.DUMMYFUNCTION("""COMPUTED_VALUE"""),"Шахты")</f>
        <v>Шахты</v>
      </c>
      <c r="U1498" s="6" t="str">
        <f>IFERROR(__xludf.DUMMYFUNCTION("""COMPUTED_VALUE"""),"Площадь Советов")</f>
        <v>Площадь Советов</v>
      </c>
      <c r="V1498" s="6" t="str">
        <f>IFERROR(__xludf.DUMMYFUNCTION("""COMPUTED_VALUE"""),"не знаю")</f>
        <v>не знаю</v>
      </c>
      <c r="W1498" s="6" t="str">
        <f>IFERROR(__xludf.DUMMYFUNCTION("""COMPUTED_VALUE"""),"суровые")</f>
        <v>суровые</v>
      </c>
      <c r="X1498" s="6" t="str">
        <f>IFERROR(__xludf.DUMMYFUNCTION("""COMPUTED_VALUE"""),"Набережная")</f>
        <v>Набережная</v>
      </c>
      <c r="Y1498" s="6" t="str">
        <f>IFERROR(__xludf.DUMMYFUNCTION("""COMPUTED_VALUE"""),"не знаю")</f>
        <v>не знаю</v>
      </c>
      <c r="Z1498" s="6" t="str">
        <f>IFERROR(__xludf.DUMMYFUNCTION("""COMPUTED_VALUE"""),"-")</f>
        <v>-</v>
      </c>
      <c r="AA1498" s="6" t="str">
        <f>IFERROR(__xludf.DUMMYFUNCTION("""COMPUTED_VALUE"""),"-")</f>
        <v>-</v>
      </c>
      <c r="AB1498" s="6" t="str">
        <f>IFERROR(__xludf.DUMMYFUNCTION("""COMPUTED_VALUE"""),"Никаких")</f>
        <v>Никаких</v>
      </c>
      <c r="AC1498" s="6" t="str">
        <f>IFERROR(__xludf.DUMMYFUNCTION("""COMPUTED_VALUE"""),"-")</f>
        <v>-</v>
      </c>
      <c r="AD1498"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498" s="6" t="str">
        <f>IFERROR(__xludf.DUMMYFUNCTION("""COMPUTED_VALUE"""),"Мужской")</f>
        <v>Мужской</v>
      </c>
      <c r="AF1498" s="6" t="str">
        <f>IFERROR(__xludf.DUMMYFUNCTION("""COMPUTED_VALUE"""),"30-44")</f>
        <v>30-44</v>
      </c>
      <c r="AG1498" s="6"/>
      <c r="AH1498" s="6"/>
      <c r="AI1498" s="6"/>
      <c r="AJ1498" s="6"/>
      <c r="AK1498" s="6"/>
      <c r="AL1498" s="6"/>
      <c r="AM1498" s="6"/>
    </row>
    <row r="1499">
      <c r="A1499" s="6">
        <v>1498.0</v>
      </c>
      <c r="B1499" s="6" t="str">
        <f>IFERROR(__xludf.DUMMYFUNCTION("""COMPUTED_VALUE"""),"Индивидуальный предприниматель")</f>
        <v>Индивидуальный предприниматель</v>
      </c>
      <c r="C1499" s="6" t="str">
        <f>IFERROR(__xludf.DUMMYFUNCTION("""COMPUTED_VALUE"""),"Лыжи, сноуборд")</f>
        <v>Лыжи, сноуборд</v>
      </c>
      <c r="D1499" s="6" t="str">
        <f>IFERROR(__xludf.DUMMYFUNCTION("""COMPUTED_VALUE"""),"Центральный")</f>
        <v>Центральный</v>
      </c>
      <c r="E1499" s="6" t="str">
        <f>IFERROR(__xludf.DUMMYFUNCTION("""COMPUTED_VALUE"""),"Набережная, площадь Волкова, фонтан")</f>
        <v>Набережная, площадь Волкова, фонтан</v>
      </c>
      <c r="F1499" s="6" t="str">
        <f>IFERROR(__xludf.DUMMYFUNCTION("""COMPUTED_VALUE"""),"Живу здесь с рождения")</f>
        <v>Живу здесь с рождения</v>
      </c>
      <c r="G1499" s="6" t="str">
        <f>IFERROR(__xludf.DUMMYFUNCTION("""COMPUTED_VALUE"""),"Сосновый бор, парки")</f>
        <v>Сосновый бор, парки</v>
      </c>
      <c r="H1499" s="6" t="str">
        <f>IFERROR(__xludf.DUMMYFUNCTION("""COMPUTED_VALUE"""),"Сибирь, шахтеры")</f>
        <v>Сибирь, шахтеры</v>
      </c>
      <c r="I1499" s="6" t="str">
        <f>IFERROR(__xludf.DUMMYFUNCTION("""COMPUTED_VALUE"""),"Леонов, Волков")</f>
        <v>Леонов, Волков</v>
      </c>
      <c r="J1499" s="6" t="str">
        <f>IFERROR(__xludf.DUMMYFUNCTION("""COMPUTED_VALUE"""),"-")</f>
        <v>-</v>
      </c>
      <c r="K1499" s="6" t="str">
        <f>IFERROR(__xludf.DUMMYFUNCTION("""COMPUTED_VALUE"""),"Томская Писаница")</f>
        <v>Томская Писаница</v>
      </c>
      <c r="L1499" s="6" t="str">
        <f>IFERROR(__xludf.DUMMYFUNCTION("""COMPUTED_VALUE"""),"-")</f>
        <v>-</v>
      </c>
      <c r="M1499" s="6" t="str">
        <f>IFERROR(__xludf.DUMMYFUNCTION("""COMPUTED_VALUE"""),"нет")</f>
        <v>нет</v>
      </c>
      <c r="N1499" s="6" t="str">
        <f>IFERROR(__xludf.DUMMYFUNCTION("""COMPUTED_VALUE"""),"Зелень, Чистота, Безопасность")</f>
        <v>Зелень, Чистота, Безопасность</v>
      </c>
      <c r="O1499" s="6" t="str">
        <f>IFERROR(__xludf.DUMMYFUNCTION("""COMPUTED_VALUE"""),"Чистота")</f>
        <v>Чистота</v>
      </c>
      <c r="P1499" s="6" t="str">
        <f>IFERROR(__xludf.DUMMYFUNCTION("""COMPUTED_VALUE"""),"тв, социалки")</f>
        <v>тв, социалки</v>
      </c>
      <c r="Q1499" s="6" t="str">
        <f>IFERROR(__xludf.DUMMYFUNCTION("""COMPUTED_VALUE"""),"куда пойти в свободное время, культурные новинки (что почитать/что послушать), бизнес-новости (средний чек/рекламные акции/запуск новых предприятий)")</f>
        <v>куда пойти в свободное время, культурные новинки (что почитать/что послушать), бизнес-новости (средний чек/рекламные акции/запуск новых предприятий)</v>
      </c>
      <c r="R1499" s="6" t="str">
        <f>IFERROR(__xludf.DUMMYFUNCTION("""COMPUTED_VALUE"""),"-")</f>
        <v>-</v>
      </c>
      <c r="S1499" s="6" t="str">
        <f>IFERROR(__xludf.DUMMYFUNCTION("""COMPUTED_VALUE"""),"Делал рассылку по электронной почте")</f>
        <v>Делал рассылку по электронной почте</v>
      </c>
      <c r="T1499" s="6" t="str">
        <f>IFERROR(__xludf.DUMMYFUNCTION("""COMPUTED_VALUE"""),"Ничем")</f>
        <v>Ничем</v>
      </c>
      <c r="U1499" s="6" t="str">
        <f>IFERROR(__xludf.DUMMYFUNCTION("""COMPUTED_VALUE"""),"Площадь Советов")</f>
        <v>Площадь Советов</v>
      </c>
      <c r="V1499" s="6" t="str">
        <f>IFERROR(__xludf.DUMMYFUNCTION("""COMPUTED_VALUE"""),"Ничего")</f>
        <v>Ничего</v>
      </c>
      <c r="W1499" s="6" t="str">
        <f>IFERROR(__xludf.DUMMYFUNCTION("""COMPUTED_VALUE"""),"Разные")</f>
        <v>Разные</v>
      </c>
      <c r="X1499" s="6" t="str">
        <f>IFERROR(__xludf.DUMMYFUNCTION("""COMPUTED_VALUE"""),"Набережная, сосновый бор")</f>
        <v>Набережная, сосновый бор</v>
      </c>
      <c r="Y1499" s="6" t="str">
        <f>IFERROR(__xludf.DUMMYFUNCTION("""COMPUTED_VALUE"""),"-")</f>
        <v>-</v>
      </c>
      <c r="Z1499" s="6" t="str">
        <f>IFERROR(__xludf.DUMMYFUNCTION("""COMPUTED_VALUE"""),"День города")</f>
        <v>День города</v>
      </c>
      <c r="AA1499" s="6" t="str">
        <f>IFERROR(__xludf.DUMMYFUNCTION("""COMPUTED_VALUE"""),"Зимняя вишня")</f>
        <v>Зимняя вишня</v>
      </c>
      <c r="AB1499" s="6" t="str">
        <f>IFERROR(__xludf.DUMMYFUNCTION("""COMPUTED_VALUE"""),"Всего хватает")</f>
        <v>Всего хватает</v>
      </c>
      <c r="AC1499" s="6" t="str">
        <f>IFERROR(__xludf.DUMMYFUNCTION("""COMPUTED_VALUE"""),"-")</f>
        <v>-</v>
      </c>
      <c r="AD1499"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499" s="6" t="str">
        <f>IFERROR(__xludf.DUMMYFUNCTION("""COMPUTED_VALUE"""),"Мужской")</f>
        <v>Мужской</v>
      </c>
      <c r="AF1499" s="6" t="str">
        <f>IFERROR(__xludf.DUMMYFUNCTION("""COMPUTED_VALUE"""),"45-55")</f>
        <v>45-55</v>
      </c>
      <c r="AG1499" s="6"/>
      <c r="AH1499" s="6"/>
      <c r="AI1499" s="6"/>
      <c r="AJ1499" s="6"/>
      <c r="AK1499" s="6"/>
      <c r="AL1499" s="6"/>
      <c r="AM1499" s="6"/>
    </row>
    <row r="1500">
      <c r="A1500" s="6">
        <v>1499.0</v>
      </c>
      <c r="B1500" s="6" t="str">
        <f>IFERROR(__xludf.DUMMYFUNCTION("""COMPUTED_VALUE"""),"Менеджер")</f>
        <v>Менеджер</v>
      </c>
      <c r="C1500" s="6" t="str">
        <f>IFERROR(__xludf.DUMMYFUNCTION("""COMPUTED_VALUE"""),"Музыка")</f>
        <v>Музыка</v>
      </c>
      <c r="D1500" s="6" t="str">
        <f>IFERROR(__xludf.DUMMYFUNCTION("""COMPUTED_VALUE"""),"Центральный")</f>
        <v>Центральный</v>
      </c>
      <c r="E1500" s="6" t="str">
        <f>IFERROR(__xludf.DUMMYFUNCTION("""COMPUTED_VALUE"""),"Драмтеатр, фонтан, площадь Советов")</f>
        <v>Драмтеатр, фонтан, площадь Советов</v>
      </c>
      <c r="F1500" s="6" t="str">
        <f>IFERROR(__xludf.DUMMYFUNCTION("""COMPUTED_VALUE"""),"Живу здесь с рождения")</f>
        <v>Живу здесь с рождения</v>
      </c>
      <c r="G1500" s="6" t="str">
        <f>IFERROR(__xludf.DUMMYFUNCTION("""COMPUTED_VALUE"""),"Красная Горка, Томская Писаница, Парки")</f>
        <v>Красная Горка, Томская Писаница, Парки</v>
      </c>
      <c r="H1500" s="6" t="str">
        <f>IFERROR(__xludf.DUMMYFUNCTION("""COMPUTED_VALUE"""),"Уголь, грязь, холодно")</f>
        <v>Уголь, грязь, холодно</v>
      </c>
      <c r="I1500" s="6" t="str">
        <f>IFERROR(__xludf.DUMMYFUNCTION("""COMPUTED_VALUE"""),"Тулеев")</f>
        <v>Тулеев</v>
      </c>
      <c r="J1500" s="6" t="str">
        <f>IFERROR(__xludf.DUMMYFUNCTION("""COMPUTED_VALUE"""),"не знаю")</f>
        <v>не знаю</v>
      </c>
      <c r="K1500" s="6" t="str">
        <f>IFERROR(__xludf.DUMMYFUNCTION("""COMPUTED_VALUE"""),"Томская писаница")</f>
        <v>Томская писаница</v>
      </c>
      <c r="L1500" s="6" t="str">
        <f>IFERROR(__xludf.DUMMYFUNCTION("""COMPUTED_VALUE"""),"-")</f>
        <v>-</v>
      </c>
      <c r="M1500" s="6" t="str">
        <f>IFERROR(__xludf.DUMMYFUNCTION("""COMPUTED_VALUE"""),"Щегловка")</f>
        <v>Щегловка</v>
      </c>
      <c r="N1500" s="6" t="str">
        <f>IFERROR(__xludf.DUMMYFUNCTION("""COMPUTED_VALUE"""),"чисто, нормальная планировка, отсутствие криминала")</f>
        <v>чисто, нормальная планировка, отсутствие криминала</v>
      </c>
      <c r="O1500" s="6" t="str">
        <f>IFERROR(__xludf.DUMMYFUNCTION("""COMPUTED_VALUE"""),"экология, парковки")</f>
        <v>экология, парковки</v>
      </c>
      <c r="P1500" s="6" t="str">
        <f>IFERROR(__xludf.DUMMYFUNCTION("""COMPUTED_VALUE"""),"Соц сети, новости")</f>
        <v>Соц сети, новости</v>
      </c>
      <c r="Q1500"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f>
        <v>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v>
      </c>
      <c r="R1500" s="6" t="str">
        <f>IFERROR(__xludf.DUMMYFUNCTION("""COMPUTED_VALUE"""),"День Победы")</f>
        <v>День Победы</v>
      </c>
      <c r="S1500" s="6" t="str">
        <f>IFERROR(__xludf.DUMMYFUNCTION("""COMPUTED_VALUE"""),"Нет, не приходилось")</f>
        <v>Нет, не приходилось</v>
      </c>
      <c r="T1500" s="6" t="str">
        <f>IFERROR(__xludf.DUMMYFUNCTION("""COMPUTED_VALUE"""),"уголь")</f>
        <v>уголь</v>
      </c>
      <c r="U1500" s="6" t="str">
        <f>IFERROR(__xludf.DUMMYFUNCTION("""COMPUTED_VALUE"""),"Площадь Советов")</f>
        <v>Площадь Советов</v>
      </c>
      <c r="V1500" s="6" t="str">
        <f>IFERROR(__xludf.DUMMYFUNCTION("""COMPUTED_VALUE"""),"ничего")</f>
        <v>ничего</v>
      </c>
      <c r="W1500" s="6" t="str">
        <f>IFERROR(__xludf.DUMMYFUNCTION("""COMPUTED_VALUE"""),"Угрюмые, унылые")</f>
        <v>Угрюмые, унылые</v>
      </c>
      <c r="X1500" s="6" t="str">
        <f>IFERROR(__xludf.DUMMYFUNCTION("""COMPUTED_VALUE"""),"Набережная")</f>
        <v>Набережная</v>
      </c>
      <c r="Y1500" s="6" t="str">
        <f>IFERROR(__xludf.DUMMYFUNCTION("""COMPUTED_VALUE"""),"-")</f>
        <v>-</v>
      </c>
      <c r="Z1500" s="6" t="str">
        <f>IFERROR(__xludf.DUMMYFUNCTION("""COMPUTED_VALUE"""),"День города")</f>
        <v>День города</v>
      </c>
      <c r="AA1500" s="6" t="str">
        <f>IFERROR(__xludf.DUMMYFUNCTION("""COMPUTED_VALUE"""),"-")</f>
        <v>-</v>
      </c>
      <c r="AB1500" s="6" t="str">
        <f>IFERROR(__xludf.DUMMYFUNCTION("""COMPUTED_VALUE"""),"Профсоюзов")</f>
        <v>Профсоюзов</v>
      </c>
      <c r="AC1500" s="6" t="str">
        <f>IFERROR(__xludf.DUMMYFUNCTION("""COMPUTED_VALUE"""),"Аквапарк, как в Новосибирске")</f>
        <v>Аквапарк, как в Новосибирске</v>
      </c>
      <c r="AD150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00" s="6" t="str">
        <f>IFERROR(__xludf.DUMMYFUNCTION("""COMPUTED_VALUE"""),"Мужской")</f>
        <v>Мужской</v>
      </c>
      <c r="AF1500" s="6" t="str">
        <f>IFERROR(__xludf.DUMMYFUNCTION("""COMPUTED_VALUE"""),"30-44")</f>
        <v>30-44</v>
      </c>
      <c r="AG1500" s="6"/>
      <c r="AH1500" s="6"/>
      <c r="AI1500" s="6"/>
      <c r="AJ1500" s="6"/>
      <c r="AK1500" s="6"/>
      <c r="AL1500" s="6"/>
      <c r="AM1500" s="6"/>
    </row>
    <row r="1501">
      <c r="A1501" s="6">
        <v>1500.0</v>
      </c>
      <c r="B1501" s="6" t="str">
        <f>IFERROR(__xludf.DUMMYFUNCTION("""COMPUTED_VALUE"""),"Образование и культура")</f>
        <v>Образование и культура</v>
      </c>
      <c r="C1501" s="6" t="str">
        <f>IFERROR(__xludf.DUMMYFUNCTION("""COMPUTED_VALUE"""),"Коллекционирование")</f>
        <v>Коллекционирование</v>
      </c>
      <c r="D1501" s="6" t="str">
        <f>IFERROR(__xludf.DUMMYFUNCTION("""COMPUTED_VALUE"""),"Ленинский")</f>
        <v>Ленинский</v>
      </c>
      <c r="E1501" s="6" t="str">
        <f>IFERROR(__xludf.DUMMYFUNCTION("""COMPUTED_VALUE"""),"Кузбасский парк")</f>
        <v>Кузбасский парк</v>
      </c>
      <c r="F1501" s="6" t="str">
        <f>IFERROR(__xludf.DUMMYFUNCTION("""COMPUTED_VALUE"""),"Переехал сюда из другого места (откуда? укажите в графе другое), С Урала")</f>
        <v>Переехал сюда из другого места (откуда? укажите в графе другое), С Урала</v>
      </c>
      <c r="G1501" s="6" t="str">
        <f>IFERROR(__xludf.DUMMYFUNCTION("""COMPUTED_VALUE"""),"Музеи, КЦИ, парки")</f>
        <v>Музеи, КЦИ, парки</v>
      </c>
      <c r="H1501" s="6" t="str">
        <f>IFERROR(__xludf.DUMMYFUNCTION("""COMPUTED_VALUE"""),"Строящийся, молодой")</f>
        <v>Строящийся, молодой</v>
      </c>
      <c r="I1501" s="6" t="str">
        <f>IFERROR(__xludf.DUMMYFUNCTION("""COMPUTED_VALUE"""),"Волков М., Рутгерс, Мессершмидт Д.Г.")</f>
        <v>Волков М., Рутгерс, Мессершмидт Д.Г.</v>
      </c>
      <c r="J1501" s="6" t="str">
        <f>IFERROR(__xludf.DUMMYFUNCTION("""COMPUTED_VALUE"""),"Федорова И.Ф., Михайлов В.В.")</f>
        <v>Федорова И.Ф., Михайлов В.В.</v>
      </c>
      <c r="K1501" s="6" t="str">
        <f>IFERROR(__xludf.DUMMYFUNCTION("""COMPUTED_VALUE"""),"Красная горка, Памятник Э.Неизвестного, Сосновый бор")</f>
        <v>Красная горка, Памятник Э.Неизвестного, Сосновый бор</v>
      </c>
      <c r="L1501" s="6" t="str">
        <f>IFERROR(__xludf.DUMMYFUNCTION("""COMPUTED_VALUE"""),"Не знаю")</f>
        <v>Не знаю</v>
      </c>
      <c r="M1501" s="6" t="str">
        <f>IFERROR(__xludf.DUMMYFUNCTION("""COMPUTED_VALUE"""),"Щегловский базар")</f>
        <v>Щегловский базар</v>
      </c>
      <c r="N1501" s="6" t="str">
        <f>IFERROR(__xludf.DUMMYFUNCTION("""COMPUTED_VALUE"""),"Чистота дорог и воздуха, зеленая зона, доступность транспорта, учреждения культуры")</f>
        <v>Чистота дорог и воздуха, зеленая зона, доступность транспорта, учреждения культуры</v>
      </c>
      <c r="O1501" s="6" t="str">
        <f>IFERROR(__xludf.DUMMYFUNCTION("""COMPUTED_VALUE"""),"Развивать - дорожные ""артерии"", зоны отдыха горожан.")</f>
        <v>Развивать - дорожные "артерии", зоны отдыха горожан.</v>
      </c>
      <c r="P1501" s="6" t="str">
        <f>IFERROR(__xludf.DUMMYFUNCTION("""COMPUTED_VALUE"""),"Соцсети, сми")</f>
        <v>Соцсети, сми</v>
      </c>
      <c r="Q1501" s="6" t="str">
        <f>IFERROR(__xludf.DUMMYFUNCTION("""COMPUTED_VALUE"""),"куда пойти в свободное время,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предложения)")</f>
        <v>куда пойти в свободное время,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предложения)</v>
      </c>
      <c r="R1501" s="6" t="str">
        <f>IFERROR(__xludf.DUMMYFUNCTION("""COMPUTED_VALUE"""),"День города")</f>
        <v>День города</v>
      </c>
      <c r="S1501" s="6" t="str">
        <f>IFERROR(__xludf.DUMMYFUNCTION("""COMPUTED_VALUE"""),"Нет, не приходилось")</f>
        <v>Нет, не приходилось</v>
      </c>
      <c r="T1501" s="6" t="str">
        <f>IFERROR(__xludf.DUMMYFUNCTION("""COMPUTED_VALUE"""),"Культурные ценности и история города")</f>
        <v>Культурные ценности и история города</v>
      </c>
      <c r="U1501" s="6" t="str">
        <f>IFERROR(__xludf.DUMMYFUNCTION("""COMPUTED_VALUE"""),"Музей ""Красная горка""")</f>
        <v>Музей "Красная горка"</v>
      </c>
      <c r="V1501" s="6" t="str">
        <f>IFERROR(__xludf.DUMMYFUNCTION("""COMPUTED_VALUE"""),"Создавали культурные ценности")</f>
        <v>Создавали культурные ценности</v>
      </c>
      <c r="W1501" s="6" t="str">
        <f>IFERROR(__xludf.DUMMYFUNCTION("""COMPUTED_VALUE"""),"Доброжелательные")</f>
        <v>Доброжелательные</v>
      </c>
      <c r="X1501" s="6" t="str">
        <f>IFERROR(__xludf.DUMMYFUNCTION("""COMPUTED_VALUE"""),"Красная горка")</f>
        <v>Красная горка</v>
      </c>
      <c r="Y1501" s="6" t="str">
        <f>IFERROR(__xludf.DUMMYFUNCTION("""COMPUTED_VALUE"""),"300 лет Кузбассу")</f>
        <v>300 лет Кузбассу</v>
      </c>
      <c r="Z1501" s="6" t="str">
        <f>IFERROR(__xludf.DUMMYFUNCTION("""COMPUTED_VALUE"""),"Строительство культурного кластера")</f>
        <v>Строительство культурного кластера</v>
      </c>
      <c r="AA1501" s="6" t="str">
        <f>IFERROR(__xludf.DUMMYFUNCTION("""COMPUTED_VALUE"""),"Пожар в Зимней вишне")</f>
        <v>Пожар в Зимней вишне</v>
      </c>
      <c r="AB1501" s="6" t="str">
        <f>IFERROR(__xludf.DUMMYFUNCTION("""COMPUTED_VALUE"""),"Не знаю")</f>
        <v>Не знаю</v>
      </c>
      <c r="AC1501" s="6" t="str">
        <f>IFERROR(__xludf.DUMMYFUNCTION("""COMPUTED_VALUE"""),"Выставки")</f>
        <v>Выставки</v>
      </c>
      <c r="AD1501"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501" s="6" t="str">
        <f>IFERROR(__xludf.DUMMYFUNCTION("""COMPUTED_VALUE"""),"Женский")</f>
        <v>Женский</v>
      </c>
      <c r="AF1501" s="6" t="str">
        <f>IFERROR(__xludf.DUMMYFUNCTION("""COMPUTED_VALUE"""),"старше 55")</f>
        <v>старше 55</v>
      </c>
      <c r="AG1501" s="6"/>
      <c r="AH1501" s="6"/>
      <c r="AI1501" s="6"/>
      <c r="AJ1501" s="6"/>
      <c r="AK1501" s="6"/>
      <c r="AL1501" s="6"/>
      <c r="AM1501" s="6"/>
    </row>
    <row r="1502">
      <c r="A1502" s="6">
        <v>1501.0</v>
      </c>
      <c r="B1502" s="6" t="str">
        <f>IFERROR(__xludf.DUMMYFUNCTION("""COMPUTED_VALUE"""),"Экономист")</f>
        <v>Экономист</v>
      </c>
      <c r="C1502" s="6" t="str">
        <f>IFERROR(__xludf.DUMMYFUNCTION("""COMPUTED_VALUE"""),"Иллюстратор")</f>
        <v>Иллюстратор</v>
      </c>
      <c r="D1502" s="6" t="str">
        <f>IFERROR(__xludf.DUMMYFUNCTION("""COMPUTED_VALUE"""),"Заводский. ФПК")</f>
        <v>Заводский. ФПК</v>
      </c>
      <c r="E1502" s="6" t="str">
        <f>IFERROR(__xludf.DUMMYFUNCTION("""COMPUTED_VALUE"""),"Гринвич")</f>
        <v>Гринвич</v>
      </c>
      <c r="F1502" s="6" t="str">
        <f>IFERROR(__xludf.DUMMYFUNCTION("""COMPUTED_VALUE"""),"Переехал сюда из другого места (откуда? укажите в графе другое), г. Печора")</f>
        <v>Переехал сюда из другого места (откуда? укажите в графе другое), г. Печора</v>
      </c>
      <c r="G1502" s="6" t="str">
        <f>IFERROR(__xludf.DUMMYFUNCTION("""COMPUTED_VALUE"""),"Рудничный бор")</f>
        <v>Рудничный бор</v>
      </c>
      <c r="H1502" s="6" t="str">
        <f>IFERROR(__xludf.DUMMYFUNCTION("""COMPUTED_VALUE"""),"Мусор в кустах, мусор вдоль реки, мусор в Березовой роще, грязь. ")</f>
        <v>Мусор в кустах, мусор вдоль реки, мусор в Березовой роще, грязь. </v>
      </c>
      <c r="I1502" s="6" t="str">
        <f>IFERROR(__xludf.DUMMYFUNCTION("""COMPUTED_VALUE"""),"Леонов, Волков")</f>
        <v>Леонов, Волков</v>
      </c>
      <c r="J1502" s="6" t="str">
        <f>IFERROR(__xludf.DUMMYFUNCTION("""COMPUTED_VALUE"""),"Нет таких")</f>
        <v>Нет таких</v>
      </c>
      <c r="K1502" s="6" t="str">
        <f>IFERROR(__xludf.DUMMYFUNCTION("""COMPUTED_VALUE"""),"Рудничный бор")</f>
        <v>Рудничный бор</v>
      </c>
      <c r="L1502" s="6" t="str">
        <f>IFERROR(__xludf.DUMMYFUNCTION("""COMPUTED_VALUE"""),"?")</f>
        <v>?</v>
      </c>
      <c r="M1502" s="6" t="str">
        <f>IFERROR(__xludf.DUMMYFUNCTION("""COMPUTED_VALUE"""),"В КемеровО, а не в КемеровЕ")</f>
        <v>В КемеровО, а не в КемеровЕ</v>
      </c>
      <c r="N1502" s="6" t="str">
        <f>IFERROR(__xludf.DUMMYFUNCTION("""COMPUTED_VALUE"""),"Парки, велосипедные дорожки, хорошие дороги и тротуары, доступная среда для инвалидов, общественные чистые туалеты")</f>
        <v>Парки, велосипедные дорожки, хорошие дороги и тротуары, доступная среда для инвалидов, общественные чистые туалеты</v>
      </c>
      <c r="O1502" s="6" t="str">
        <f>IFERROR(__xludf.DUMMYFUNCTION("""COMPUTED_VALUE"""),"Пункты сбора вторсырья")</f>
        <v>Пункты сбора вторсырья</v>
      </c>
      <c r="P1502" s="6" t="str">
        <f>IFERROR(__xludf.DUMMYFUNCTION("""COMPUTED_VALUE"""),"@eco_kem (в Инстаграм), Внутри и снаружи (VK), Кузбасский центр искусств (VK)")</f>
        <v>@eco_kem (в Инстаграм), Внутри и снаружи (VK), Кузбасский центр искусств (VK)</v>
      </c>
      <c r="Q1502" s="6" t="str">
        <f>IFERROR(__xludf.DUMMYFUNCTION("""COMPUTED_VALUE"""),"куда пойти в свободное время, городская афиша (кино/театр/концерты), интервью с местными творческими личностями, Экологические мероприятия, спортивные мероприятия")</f>
        <v>куда пойти в свободное время, городская афиша (кино/театр/концерты), интервью с местными творческими личностями, Экологические мероприятия, спортивные мероприятия</v>
      </c>
      <c r="R1502" s="6" t="str">
        <f>IFERROR(__xludf.DUMMYFUNCTION("""COMPUTED_VALUE"""),"Субботники")</f>
        <v>Субботники</v>
      </c>
      <c r="S1502" s="6" t="str">
        <f>IFERROR(__xludf.DUMMYFUNCTION("""COMPUTED_VALUE"""),"Нет, не приходилось")</f>
        <v>Нет, не приходилось</v>
      </c>
      <c r="T1502" s="6" t="str">
        <f>IFERROR(__xludf.DUMMYFUNCTION("""COMPUTED_VALUE"""),"Запах зимой, так говорят Москвичи. Странным человеком в шортах с Пепси-колой. Самой дорогой ёлкой. Сгоревшей Зимней вишней")</f>
        <v>Запах зимой, так говорят Москвичи. Странным человеком в шортах с Пепси-колой. Самой дорогой ёлкой. Сгоревшей Зимней вишней</v>
      </c>
      <c r="U1502" s="6" t="str">
        <f>IFERROR(__xludf.DUMMYFUNCTION("""COMPUTED_VALUE"""),"Филармония")</f>
        <v>Филармония</v>
      </c>
      <c r="V1502" s="6" t="str">
        <f>IFERROR(__xludf.DUMMYFUNCTION("""COMPUTED_VALUE"""),"Ничего")</f>
        <v>Ничего</v>
      </c>
      <c r="W1502" s="6" t="str">
        <f>IFERROR(__xludf.DUMMYFUNCTION("""COMPUTED_VALUE"""),"Долготерпеливые. ")</f>
        <v>Долготерпеливые. </v>
      </c>
      <c r="X1502" s="6" t="str">
        <f>IFERROR(__xludf.DUMMYFUNCTION("""COMPUTED_VALUE"""),"Театр для Детей и Молодежи- Площадь Пушкина- набережная")</f>
        <v>Театр для Детей и Молодежи- Площадь Пушкина- набережная</v>
      </c>
      <c r="Y1502" s="6" t="str">
        <f>IFERROR(__xludf.DUMMYFUNCTION("""COMPUTED_VALUE"""),"Чемпионат по Хоккею с мячом. Пожар в Зимней Вишне")</f>
        <v>Чемпионат по Хоккею с мячом. Пожар в Зимней Вишне</v>
      </c>
      <c r="Z1502" s="6" t="str">
        <f>IFERROR(__xludf.DUMMYFUNCTION("""COMPUTED_VALUE"""),"Лыжня России, лыжные соревнования ")</f>
        <v>Лыжня России, лыжные соревнования </v>
      </c>
      <c r="AA1502" s="6" t="str">
        <f>IFERROR(__xludf.DUMMYFUNCTION("""COMPUTED_VALUE"""),"Переезд неизвестно куда СДЮШОР 3 по лыжным гонкам, им необходимо новое здание (не аренда) и новая современная трасса в лесополосе вдоль рудничного района, (кроме, за исключением Рудничного бора, там не соответствует требованиям и природоохранным мероприят"&amp;"иям). ")</f>
        <v>Переезд неизвестно куда СДЮШОР 3 по лыжным гонкам, им необходимо новое здание (не аренда) и новая современная трасса в лесополосе вдоль рудничного района, (кроме, за исключением Рудничного бора, там не соответствует требованиям и природоохранным мероприятиям). </v>
      </c>
      <c r="AB1502" s="6" t="str">
        <f>IFERROR(__xludf.DUMMYFUNCTION("""COMPUTED_VALUE"""),"Современных художественных выставок (не репродукции!). Арт кафе- антикварк, место для проведения творческих мероприятий молодежи. Музыкальные доступные современные залы для выступления молодежных групп (возможно на бесплатной основе) и это не про народные"&amp;" коллективы , а именно роковые, джазовые, реп и прочее. Современные движения, а не только «эх, ягода-малинка»")</f>
        <v>Современных художественных выставок (не репродукции!). Арт кафе- антикварк, место для проведения творческих мероприятий молодежи. Музыкальные доступные современные залы для выступления молодежных групп (возможно на бесплатной основе) и это не про народные коллективы , а именно роковые, джазовые, реп и прочее. Современные движения, а не только «эх, ягода-малинка»</v>
      </c>
      <c r="AC1502" s="6" t="str">
        <f>IFERROR(__xludf.DUMMYFUNCTION("""COMPUTED_VALUE"""),"Арт события. ")</f>
        <v>Арт события. </v>
      </c>
      <c r="AD150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02" s="6" t="str">
        <f>IFERROR(__xludf.DUMMYFUNCTION("""COMPUTED_VALUE"""),"Женский")</f>
        <v>Женский</v>
      </c>
      <c r="AF1502" s="6" t="str">
        <f>IFERROR(__xludf.DUMMYFUNCTION("""COMPUTED_VALUE"""),"30-44")</f>
        <v>30-44</v>
      </c>
      <c r="AG1502" s="6"/>
      <c r="AH1502" s="6"/>
      <c r="AI1502" s="6"/>
      <c r="AJ1502" s="6"/>
      <c r="AK1502" s="6"/>
      <c r="AL1502" s="6"/>
      <c r="AM1502" s="6"/>
    </row>
    <row r="1503">
      <c r="A1503" s="6">
        <v>1502.0</v>
      </c>
      <c r="B1503" s="6" t="str">
        <f>IFERROR(__xludf.DUMMYFUNCTION("""COMPUTED_VALUE"""),"Водитель")</f>
        <v>Водитель</v>
      </c>
      <c r="C1503" s="6" t="str">
        <f>IFERROR(__xludf.DUMMYFUNCTION("""COMPUTED_VALUE"""),"Рыбалка, дача")</f>
        <v>Рыбалка, дача</v>
      </c>
      <c r="D1503" s="6" t="str">
        <f>IFERROR(__xludf.DUMMYFUNCTION("""COMPUTED_VALUE"""),"Кировский")</f>
        <v>Кировский</v>
      </c>
      <c r="E1503" s="6" t="str">
        <f>IFERROR(__xludf.DUMMYFUNCTION("""COMPUTED_VALUE"""),"Набережная")</f>
        <v>Набережная</v>
      </c>
      <c r="F1503" s="6" t="str">
        <f>IFERROR(__xludf.DUMMYFUNCTION("""COMPUTED_VALUE"""),"Живу здесь с рождения")</f>
        <v>Живу здесь с рождения</v>
      </c>
      <c r="G1503" s="6" t="str">
        <f>IFERROR(__xludf.DUMMYFUNCTION("""COMPUTED_VALUE"""),"По настроению, нет одних и тех же мест")</f>
        <v>По настроению, нет одних и тех же мест</v>
      </c>
      <c r="H1503" s="6" t="str">
        <f>IFERROR(__xludf.DUMMYFUNCTION("""COMPUTED_VALUE"""),"Бор, Набережная, Уголь, Томь, Заводы")</f>
        <v>Бор, Набережная, Уголь, Томь, Заводы</v>
      </c>
      <c r="I1503" s="6" t="str">
        <f>IFERROR(__xludf.DUMMYFUNCTION("""COMPUTED_VALUE"""),"Волков, Тулеев, Леонов")</f>
        <v>Волков, Тулеев, Леонов</v>
      </c>
      <c r="J1503" s="6" t="str">
        <f>IFERROR(__xludf.DUMMYFUNCTION("""COMPUTED_VALUE"""),"нет таких")</f>
        <v>нет таких</v>
      </c>
      <c r="K1503" s="6" t="str">
        <f>IFERROR(__xludf.DUMMYFUNCTION("""COMPUTED_VALUE"""),"Набережная и Бор")</f>
        <v>Набережная и Бор</v>
      </c>
      <c r="L1503" s="6" t="str">
        <f>IFERROR(__xludf.DUMMYFUNCTION("""COMPUTED_VALUE"""),"не знаю таких")</f>
        <v>не знаю таких</v>
      </c>
      <c r="M1503" s="6" t="str">
        <f>IFERROR(__xludf.DUMMYFUNCTION("""COMPUTED_VALUE"""),"нет")</f>
        <v>нет</v>
      </c>
      <c r="N1503" s="6" t="str">
        <f>IFERROR(__xludf.DUMMYFUNCTION("""COMPUTED_VALUE"""),"Нормальные дороги без пробок, чистота, экология, адекватные люди")</f>
        <v>Нормальные дороги без пробок, чистота, экология, адекватные люди</v>
      </c>
      <c r="O1503" s="6" t="str">
        <f>IFERROR(__xludf.DUMMYFUNCTION("""COMPUTED_VALUE"""),"Разобраться с парковками")</f>
        <v>Разобраться с парковками</v>
      </c>
      <c r="P1503" s="6" t="str">
        <f>IFERROR(__xludf.DUMMYFUNCTION("""COMPUTED_VALUE"""),"специально не мониторю, случайно доходит")</f>
        <v>специально не мониторю, случайно доходит</v>
      </c>
      <c r="Q1503" s="6" t="str">
        <f>IFERROR(__xludf.DUMMYFUNCTION("""COMPUTED_VALUE"""),"городская афиша (кино/театр/концерты), интервью с местными политиками,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интервью с местными политиками, криминальные новости (происшествия/преступления), бизнес-новости (средний чек/рекламные акции/запуск новых предприятий)</v>
      </c>
      <c r="R1503" s="6" t="str">
        <f>IFERROR(__xludf.DUMMYFUNCTION("""COMPUTED_VALUE"""),"День города")</f>
        <v>День города</v>
      </c>
      <c r="S1503" s="6" t="str">
        <f>IFERROR(__xludf.DUMMYFUNCTION("""COMPUTED_VALUE"""),"Нет, не приходилось")</f>
        <v>Нет, не приходилось</v>
      </c>
      <c r="T1503" s="6" t="str">
        <f>IFERROR(__xludf.DUMMYFUNCTION("""COMPUTED_VALUE"""),"не знаю")</f>
        <v>не знаю</v>
      </c>
      <c r="U1503" s="6" t="str">
        <f>IFERROR(__xludf.DUMMYFUNCTION("""COMPUTED_VALUE"""),"Площадь Советов")</f>
        <v>Площадь Советов</v>
      </c>
      <c r="V1503" s="6" t="str">
        <f>IFERROR(__xludf.DUMMYFUNCTION("""COMPUTED_VALUE"""),"-")</f>
        <v>-</v>
      </c>
      <c r="W1503" s="6" t="str">
        <f>IFERROR(__xludf.DUMMYFUNCTION("""COMPUTED_VALUE"""),"Как и любой сибиряк, живучие")</f>
        <v>Как и любой сибиряк, живучие</v>
      </c>
      <c r="X1503" s="6" t="str">
        <f>IFERROR(__xludf.DUMMYFUNCTION("""COMPUTED_VALUE"""),"Набережная")</f>
        <v>Набережная</v>
      </c>
      <c r="Y1503" s="6" t="str">
        <f>IFERROR(__xludf.DUMMYFUNCTION("""COMPUTED_VALUE"""),"-")</f>
        <v>-</v>
      </c>
      <c r="Z1503" s="6" t="str">
        <f>IFERROR(__xludf.DUMMYFUNCTION("""COMPUTED_VALUE"""),"-")</f>
        <v>-</v>
      </c>
      <c r="AA1503" s="6" t="str">
        <f>IFERROR(__xludf.DUMMYFUNCTION("""COMPUTED_VALUE"""),"-")</f>
        <v>-</v>
      </c>
      <c r="AB1503" s="6" t="str">
        <f>IFERROR(__xludf.DUMMYFUNCTION("""COMPUTED_VALUE"""),"-")</f>
        <v>-</v>
      </c>
      <c r="AC1503" s="6" t="str">
        <f>IFERROR(__xludf.DUMMYFUNCTION("""COMPUTED_VALUE"""),"Какие то локальные события по районам")</f>
        <v>Какие то локальные события по районам</v>
      </c>
      <c r="AD150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03" s="6" t="str">
        <f>IFERROR(__xludf.DUMMYFUNCTION("""COMPUTED_VALUE"""),"Мужской")</f>
        <v>Мужской</v>
      </c>
      <c r="AF1503" s="6" t="str">
        <f>IFERROR(__xludf.DUMMYFUNCTION("""COMPUTED_VALUE"""),"45-55")</f>
        <v>45-55</v>
      </c>
      <c r="AG1503" s="6"/>
      <c r="AH1503" s="6"/>
      <c r="AI1503" s="6"/>
      <c r="AJ1503" s="6"/>
      <c r="AK1503" s="6"/>
      <c r="AL1503" s="6"/>
      <c r="AM1503" s="6"/>
    </row>
    <row r="1504">
      <c r="A1504" s="6">
        <v>1503.0</v>
      </c>
      <c r="B1504" s="6" t="str">
        <f>IFERROR(__xludf.DUMMYFUNCTION("""COMPUTED_VALUE"""),"Работаю")</f>
        <v>Работаю</v>
      </c>
      <c r="C1504" s="6" t="str">
        <f>IFERROR(__xludf.DUMMYFUNCTION("""COMPUTED_VALUE"""),"Туризм")</f>
        <v>Туризм</v>
      </c>
      <c r="D1504" s="6" t="str">
        <f>IFERROR(__xludf.DUMMYFUNCTION("""COMPUTED_VALUE"""),"Центральный")</f>
        <v>Центральный</v>
      </c>
      <c r="E1504" s="6" t="str">
        <f>IFERROR(__xludf.DUMMYFUNCTION("""COMPUTED_VALUE"""),"Площадь советов")</f>
        <v>Площадь советов</v>
      </c>
      <c r="F1504" s="6" t="str">
        <f>IFERROR(__xludf.DUMMYFUNCTION("""COMPUTED_VALUE"""),"Живу здесь с рождения")</f>
        <v>Живу здесь с рождения</v>
      </c>
      <c r="G1504" s="6" t="str">
        <f>IFERROR(__xludf.DUMMYFUNCTION("""COMPUTED_VALUE"""),"Парки, кафе, бары")</f>
        <v>Парки, кафе, бары</v>
      </c>
      <c r="H1504" s="6" t="str">
        <f>IFERROR(__xludf.DUMMYFUNCTION("""COMPUTED_VALUE"""),"Тулеев, столица области, Щегловка, Сосновый бор, уголь")</f>
        <v>Тулеев, столица области, Щегловка, Сосновый бор, уголь</v>
      </c>
      <c r="I1504" s="6" t="str">
        <f>IFERROR(__xludf.DUMMYFUNCTION("""COMPUTED_VALUE"""),"Леонов, Тулеев")</f>
        <v>Леонов, Тулеев</v>
      </c>
      <c r="J1504" s="6" t="str">
        <f>IFERROR(__xludf.DUMMYFUNCTION("""COMPUTED_VALUE"""),"нет таких")</f>
        <v>нет таких</v>
      </c>
      <c r="K1504" s="6" t="str">
        <f>IFERROR(__xludf.DUMMYFUNCTION("""COMPUTED_VALUE"""),"Набережная")</f>
        <v>Набережная</v>
      </c>
      <c r="L1504" s="6" t="str">
        <f>IFERROR(__xludf.DUMMYFUNCTION("""COMPUTED_VALUE"""),"не знаю")</f>
        <v>не знаю</v>
      </c>
      <c r="M1504" s="6" t="str">
        <f>IFERROR(__xludf.DUMMYFUNCTION("""COMPUTED_VALUE"""),"Щегловка типа ""деревня""")</f>
        <v>Щегловка типа "деревня"</v>
      </c>
      <c r="N1504" s="6" t="str">
        <f>IFERROR(__xludf.DUMMYFUNCTION("""COMPUTED_VALUE"""),"Чисто, безопасно, ровные дороги")</f>
        <v>Чисто, безопасно, ровные дороги</v>
      </c>
      <c r="O1504" s="6" t="str">
        <f>IFERROR(__xludf.DUMMYFUNCTION("""COMPUTED_VALUE"""),"Парковки, экология")</f>
        <v>Парковки, экология</v>
      </c>
      <c r="P1504" s="6" t="str">
        <f>IFERROR(__xludf.DUMMYFUNCTION("""COMPUTED_VALUE"""),"тв")</f>
        <v>тв</v>
      </c>
      <c r="Q1504" s="6" t="str">
        <f>IFERROR(__xludf.DUMMYFUNCTION("""COMPUTED_VALUE"""),"разное")</f>
        <v>разное</v>
      </c>
      <c r="R1504" s="6" t="str">
        <f>IFERROR(__xludf.DUMMYFUNCTION("""COMPUTED_VALUE"""),"нет таких")</f>
        <v>нет таких</v>
      </c>
      <c r="S1504" s="6" t="str">
        <f>IFERROR(__xludf.DUMMYFUNCTION("""COMPUTED_VALUE"""),"Нет, не приходилось")</f>
        <v>Нет, не приходилось</v>
      </c>
      <c r="T1504" s="6" t="str">
        <f>IFERROR(__xludf.DUMMYFUNCTION("""COMPUTED_VALUE"""),"столица области, уголь")</f>
        <v>столица области, уголь</v>
      </c>
      <c r="U1504" s="6" t="str">
        <f>IFERROR(__xludf.DUMMYFUNCTION("""COMPUTED_VALUE"""),"Драмтеатр")</f>
        <v>Драмтеатр</v>
      </c>
      <c r="V1504" s="6" t="str">
        <f>IFERROR(__xludf.DUMMYFUNCTION("""COMPUTED_VALUE"""),"Работали на износ")</f>
        <v>Работали на износ</v>
      </c>
      <c r="W1504" s="6" t="str">
        <f>IFERROR(__xludf.DUMMYFUNCTION("""COMPUTED_VALUE"""),"разные, есть и суровые угрюмые, есть и современные активные")</f>
        <v>разные, есть и суровые угрюмые, есть и современные активные</v>
      </c>
      <c r="X1504" s="6" t="str">
        <f>IFERROR(__xludf.DUMMYFUNCTION("""COMPUTED_VALUE"""),"Набережная")</f>
        <v>Набережная</v>
      </c>
      <c r="Y1504" s="6" t="str">
        <f>IFERROR(__xludf.DUMMYFUNCTION("""COMPUTED_VALUE"""),"Тулеев у власти")</f>
        <v>Тулеев у власти</v>
      </c>
      <c r="Z1504" s="6" t="str">
        <f>IFERROR(__xludf.DUMMYFUNCTION("""COMPUTED_VALUE"""),"не знаю")</f>
        <v>не знаю</v>
      </c>
      <c r="AA1504" s="6" t="str">
        <f>IFERROR(__xludf.DUMMYFUNCTION("""COMPUTED_VALUE"""),"Зимняя вишня и отсутствие выводов")</f>
        <v>Зимняя вишня и отсутствие выводов</v>
      </c>
      <c r="AB1504" s="6" t="str">
        <f>IFERROR(__xludf.DUMMYFUNCTION("""COMPUTED_VALUE"""),"всего хватает")</f>
        <v>всего хватает</v>
      </c>
      <c r="AC1504" s="6" t="str">
        <f>IFERROR(__xludf.DUMMYFUNCTION("""COMPUTED_VALUE"""),"Социально ориентированных, а не показухи на общегородских праздниках")</f>
        <v>Социально ориентированных, а не показухи на общегородских праздниках</v>
      </c>
      <c r="AD150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04" s="6" t="str">
        <f>IFERROR(__xludf.DUMMYFUNCTION("""COMPUTED_VALUE"""),"Мужской")</f>
        <v>Мужской</v>
      </c>
      <c r="AF1504" s="6" t="str">
        <f>IFERROR(__xludf.DUMMYFUNCTION("""COMPUTED_VALUE"""),"30-44")</f>
        <v>30-44</v>
      </c>
      <c r="AG1504" s="6"/>
      <c r="AH1504" s="6"/>
      <c r="AI1504" s="6"/>
      <c r="AJ1504" s="6"/>
      <c r="AK1504" s="6"/>
      <c r="AL1504" s="6"/>
      <c r="AM1504" s="6"/>
    </row>
    <row r="1505">
      <c r="A1505" s="6">
        <v>1504.0</v>
      </c>
      <c r="B1505" s="6" t="str">
        <f>IFERROR(__xludf.DUMMYFUNCTION("""COMPUTED_VALUE"""),"школьница ")</f>
        <v>школьница </v>
      </c>
      <c r="C1505" s="6" t="str">
        <f>IFERROR(__xludf.DUMMYFUNCTION("""COMPUTED_VALUE"""),"пение")</f>
        <v>пение</v>
      </c>
      <c r="D1505" s="6" t="str">
        <f>IFERROR(__xludf.DUMMYFUNCTION("""COMPUTED_VALUE"""),"фпк")</f>
        <v>фпк</v>
      </c>
      <c r="E1505" s="6" t="str">
        <f>IFERROR(__xludf.DUMMYFUNCTION("""COMPUTED_VALUE"""),"гринвич, сквер напротив ")</f>
        <v>гринвич, сквер напротив </v>
      </c>
      <c r="F1505" s="6" t="str">
        <f>IFERROR(__xludf.DUMMYFUNCTION("""COMPUTED_VALUE"""),"Живу здесь с рождения")</f>
        <v>Живу здесь с рождения</v>
      </c>
      <c r="G1505" s="6" t="str">
        <f>IFERROR(__xludf.DUMMYFUNCTION("""COMPUTED_VALUE"""),"в центр, набережная, весенняя, южный ")</f>
        <v>в центр, набережная, весенняя, южный </v>
      </c>
      <c r="H1505" s="6" t="str">
        <f>IFERROR(__xludf.DUMMYFUNCTION("""COMPUTED_VALUE"""),"обыденность, скука, воспоминания, детство, кофе ")</f>
        <v>обыденность, скука, воспоминания, детство, кофе </v>
      </c>
      <c r="I1505" s="6" t="str">
        <f>IFERROR(__xludf.DUMMYFUNCTION("""COMPUTED_VALUE"""),"не помню) михайло волков?)")</f>
        <v>не помню) михайло волков?)</v>
      </c>
      <c r="J1505" s="6" t="str">
        <f>IFERROR(__xludf.DUMMYFUNCTION("""COMPUTED_VALUE"""),"имён не знаю, но думаю это ответственные и честные люди, искренне любящие свой город и готовые его развивать ")</f>
        <v>имён не знаю, но думаю это ответственные и честные люди, искренне любящие свой город и готовые его развивать </v>
      </c>
      <c r="K1505" s="6" t="str">
        <f>IFERROR(__xludf.DUMMYFUNCTION("""COMPUTED_VALUE"""),"драмтеатр, филармония, клумба, порт кофе, весенняя улица, фпк😎, московский, красное ")</f>
        <v>драмтеатр, филармония, клумба, порт кофе, весенняя улица, фпк😎, московский, красное </v>
      </c>
      <c r="L1505" s="6" t="str">
        <f>IFERROR(__xludf.DUMMYFUNCTION("""COMPUTED_VALUE"""),"не могу вспомнить")</f>
        <v>не могу вспомнить</v>
      </c>
      <c r="M1505" s="6" t="str">
        <f>IFERROR(__xludf.DUMMYFUNCTION("""COMPUTED_VALUE"""),"нас с подружками зовут фпкашками😭🥺 а так, весенька, южка и тд")</f>
        <v>нас с подружками зовут фпкашками😭🥺 а так, весенька, южка и тд</v>
      </c>
      <c r="N1505" s="6" t="str">
        <f>IFERROR(__xludf.DUMMYFUNCTION("""COMPUTED_VALUE"""),"чистота, наличие большого кол-ва парковых зон, комфортный и регулярный общественный транспорт, большой выбор развлечений, гармоничный, красивый ландшафт города ")</f>
        <v>чистота, наличие большого кол-ва парковых зон, комфортный и регулярный общественный транспорт, большой выбор развлечений, гармоничный, красивый ландшафт города </v>
      </c>
      <c r="O1505" s="6" t="str">
        <f>IFERROR(__xludf.DUMMYFUNCTION("""COMPUTED_VALUE"""),"больше парковых зон, меньше парковок, асфальта и заборов, введение дизайн кода 😭😭😭")</f>
        <v>больше парковых зон, меньше парковок, асфальта и заборов, введение дизайн кода 😭😭😭</v>
      </c>
      <c r="P1505" s="6" t="str">
        <f>IFERROR(__xludf.DUMMYFUNCTION("""COMPUTED_VALUE"""),"инстаграм, аккаунты заведений")</f>
        <v>инстаграм, аккаунты заведений</v>
      </c>
      <c r="Q1505" s="6" t="str">
        <f>IFERROR(__xludf.DUMMYFUNCTION("""COMPUTED_VALUE"""),"где вкусно поесть/открытие новых кафе/ресторанов, городская афиша (кино/театр/концерты), результаты местных исследований (рейтинги/аналитика/тенденции)")</f>
        <v>где вкусно поесть/открытие новых кафе/ресторанов, городская афиша (кино/театр/концерты), результаты местных исследований (рейтинги/аналитика/тенденции)</v>
      </c>
      <c r="R1505" s="6" t="str">
        <f>IFERROR(__xludf.DUMMYFUNCTION("""COMPUTED_VALUE"""),"не люблю большие скопления людей ")</f>
        <v>не люблю большие скопления людей </v>
      </c>
      <c r="S1505" s="6" t="str">
        <f>IFERROR(__xludf.DUMMYFUNCTION("""COMPUTED_VALUE"""),"Нет, не приходилось")</f>
        <v>Нет, не приходилось</v>
      </c>
      <c r="T1505" s="6" t="str">
        <f>IFERROR(__xludf.DUMMYFUNCTION("""COMPUTED_VALUE"""),"к сожалению, пожаром. но он уникален своей историей и, наверно, большим выбором вузов, колледжей и тд по области ")</f>
        <v>к сожалению, пожаром. но он уникален своей историей и, наверно, большим выбором вузов, колледжей и тд по области </v>
      </c>
      <c r="U1505" s="6" t="str">
        <f>IFERROR(__xludf.DUMMYFUNCTION("""COMPUTED_VALUE"""),"центр ")</f>
        <v>центр </v>
      </c>
      <c r="V1505" s="6" t="str">
        <f>IFERROR(__xludf.DUMMYFUNCTION("""COMPUTED_VALUE"""),"создавали его таким, какой он сейчас ")</f>
        <v>создавали его таким, какой он сейчас </v>
      </c>
      <c r="W1505" s="6" t="str">
        <f>IFERROR(__xludf.DUMMYFUNCTION("""COMPUTED_VALUE"""),"не улыбаются в ответ :( ")</f>
        <v>не улыбаются в ответ :( </v>
      </c>
      <c r="X1505" s="6" t="str">
        <f>IFERROR(__xludf.DUMMYFUNCTION("""COMPUTED_VALUE"""),"университетский мост-&gt; площадь советов-&gt; драм театр-&gt; весенняя-&gt; набережная ")</f>
        <v>университетский мост-&gt; площадь советов-&gt; драм театр-&gt; весенняя-&gt; набережная </v>
      </c>
      <c r="Y1505" s="6" t="str">
        <f>IFERROR(__xludf.DUMMYFUNCTION("""COMPUTED_VALUE"""),"не знаю ")</f>
        <v>не знаю </v>
      </c>
      <c r="Z1505" s="6" t="str">
        <f>IFERROR(__xludf.DUMMYFUNCTION("""COMPUTED_VALUE"""),"застройка и облагораживание московского ")</f>
        <v>застройка и облагораживание московского </v>
      </c>
      <c r="AA1505" s="6" t="str">
        <f>IFERROR(__xludf.DUMMYFUNCTION("""COMPUTED_VALUE"""),"не помню ")</f>
        <v>не помню </v>
      </c>
      <c r="AB1505" s="6" t="str">
        <f>IFERROR(__xludf.DUMMYFUNCTION("""COMPUTED_VALUE"""),"не знаю ")</f>
        <v>не знаю </v>
      </c>
      <c r="AC1505" s="6" t="str">
        <f>IFERROR(__xludf.DUMMYFUNCTION("""COMPUTED_VALUE"""),"музыкальные фестивали ")</f>
        <v>музыкальные фестивали </v>
      </c>
      <c r="AD150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05" s="6" t="str">
        <f>IFERROR(__xludf.DUMMYFUNCTION("""COMPUTED_VALUE"""),"Женский")</f>
        <v>Женский</v>
      </c>
      <c r="AF1505" s="6" t="str">
        <f>IFERROR(__xludf.DUMMYFUNCTION("""COMPUTED_VALUE"""),"18-29")</f>
        <v>18-29</v>
      </c>
      <c r="AG1505" s="6"/>
      <c r="AH1505" s="6"/>
      <c r="AI1505" s="6"/>
      <c r="AJ1505" s="6"/>
      <c r="AK1505" s="6"/>
      <c r="AL1505" s="6"/>
      <c r="AM1505" s="6"/>
    </row>
    <row r="1506">
      <c r="A1506" s="6">
        <v>1505.0</v>
      </c>
      <c r="B1506" s="6" t="str">
        <f>IFERROR(__xludf.DUMMYFUNCTION("""COMPUTED_VALUE"""),"Студент")</f>
        <v>Студент</v>
      </c>
      <c r="C1506" s="6" t="str">
        <f>IFERROR(__xludf.DUMMYFUNCTION("""COMPUTED_VALUE"""),"Спорт")</f>
        <v>Спорт</v>
      </c>
      <c r="D1506" s="6" t="str">
        <f>IFERROR(__xludf.DUMMYFUNCTION("""COMPUTED_VALUE"""),"Кировский")</f>
        <v>Кировский</v>
      </c>
      <c r="E1506" s="6" t="str">
        <f>IFERROR(__xludf.DUMMYFUNCTION("""COMPUTED_VALUE"""),"Набережная")</f>
        <v>Набережная</v>
      </c>
      <c r="F1506" s="6" t="str">
        <f>IFERROR(__xludf.DUMMYFUNCTION("""COMPUTED_VALUE"""),"Живу здесь с рождения")</f>
        <v>Живу здесь с рождения</v>
      </c>
      <c r="G1506" s="6" t="str">
        <f>IFERROR(__xludf.DUMMYFUNCTION("""COMPUTED_VALUE"""),"Набережная, центр")</f>
        <v>Набережная, центр</v>
      </c>
      <c r="H1506" s="6" t="str">
        <f>IFERROR(__xludf.DUMMYFUNCTION("""COMPUTED_VALUE"""),"уголь, кузбасс, снег, зима, кедр")</f>
        <v>уголь, кузбасс, снег, зима, кедр</v>
      </c>
      <c r="I1506" s="6" t="str">
        <f>IFERROR(__xludf.DUMMYFUNCTION("""COMPUTED_VALUE"""),"Леонов, Волков, Волошина, Тулеев")</f>
        <v>Леонов, Волков, Волошина, Тулеев</v>
      </c>
      <c r="J1506" s="6" t="str">
        <f>IFERROR(__xludf.DUMMYFUNCTION("""COMPUTED_VALUE"""),"Леонов, Тулеев")</f>
        <v>Леонов, Тулеев</v>
      </c>
      <c r="K1506" s="6" t="str">
        <f>IFERROR(__xludf.DUMMYFUNCTION("""COMPUTED_VALUE"""),"Центр города")</f>
        <v>Центр города</v>
      </c>
      <c r="L1506" s="6" t="str">
        <f>IFERROR(__xludf.DUMMYFUNCTION("""COMPUTED_VALUE"""),"не знаю")</f>
        <v>не знаю</v>
      </c>
      <c r="M1506" s="6" t="str">
        <f>IFERROR(__xludf.DUMMYFUNCTION("""COMPUTED_VALUE"""),"нет")</f>
        <v>нет</v>
      </c>
      <c r="N1506" s="6" t="str">
        <f>IFERROR(__xludf.DUMMYFUNCTION("""COMPUTED_VALUE"""),"Экология, медицина, рынок труда, развитая инфраструктура")</f>
        <v>Экология, медицина, рынок труда, развитая инфраструктура</v>
      </c>
      <c r="O1506" s="6" t="str">
        <f>IFERROR(__xludf.DUMMYFUNCTION("""COMPUTED_VALUE"""),"Воздух и парковки")</f>
        <v>Воздух и парковки</v>
      </c>
      <c r="P1506" s="6" t="str">
        <f>IFERROR(__xludf.DUMMYFUNCTION("""COMPUTED_VALUE"""),"вк, а42, яндекс афиша")</f>
        <v>вк, а42, яндекс афиша</v>
      </c>
      <c r="Q150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ново"&amp;"сти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506" s="6" t="str">
        <f>IFERROR(__xludf.DUMMYFUNCTION("""COMPUTED_VALUE"""),"никакие не важны")</f>
        <v>никакие не важны</v>
      </c>
      <c r="S1506" s="6" t="str">
        <f>IFERROR(__xludf.DUMMYFUNCTION("""COMPUTED_VALUE"""),"Нет, не приходилось")</f>
        <v>Нет, не приходилось</v>
      </c>
      <c r="T1506" s="6" t="str">
        <f>IFERROR(__xludf.DUMMYFUNCTION("""COMPUTED_VALUE"""),"Сосновый Бор в черте города")</f>
        <v>Сосновый Бор в черте города</v>
      </c>
      <c r="U1506" s="6" t="str">
        <f>IFERROR(__xludf.DUMMYFUNCTION("""COMPUTED_VALUE"""),"Площадь Советов")</f>
        <v>Площадь Советов</v>
      </c>
      <c r="V1506" s="6" t="str">
        <f>IFERROR(__xludf.DUMMYFUNCTION("""COMPUTED_VALUE"""),"Гробили здоровье на местных производствах")</f>
        <v>Гробили здоровье на местных производствах</v>
      </c>
      <c r="W1506" s="6" t="str">
        <f>IFERROR(__xludf.DUMMYFUNCTION("""COMPUTED_VALUE"""),"Недоверчивые, терпеливые")</f>
        <v>Недоверчивые, терпеливые</v>
      </c>
      <c r="X1506" s="6" t="str">
        <f>IFERROR(__xludf.DUMMYFUNCTION("""COMPUTED_VALUE"""),"Набережная, парк чудес")</f>
        <v>Набережная, парк чудес</v>
      </c>
      <c r="Y1506" s="6" t="str">
        <f>IFERROR(__xludf.DUMMYFUNCTION("""COMPUTED_VALUE"""),"Уголь нашли")</f>
        <v>Уголь нашли</v>
      </c>
      <c r="Z1506" s="6" t="str">
        <f>IFERROR(__xludf.DUMMYFUNCTION("""COMPUTED_VALUE"""),"-")</f>
        <v>-</v>
      </c>
      <c r="AA1506" s="6" t="str">
        <f>IFERROR(__xludf.DUMMYFUNCTION("""COMPUTED_VALUE"""),"-")</f>
        <v>-</v>
      </c>
      <c r="AB1506" s="6" t="str">
        <f>IFERROR(__xludf.DUMMYFUNCTION("""COMPUTED_VALUE"""),"Аквапарка")</f>
        <v>Аквапарка</v>
      </c>
      <c r="AC1506" s="6" t="str">
        <f>IFERROR(__xludf.DUMMYFUNCTION("""COMPUTED_VALUE"""),"не знаю")</f>
        <v>не знаю</v>
      </c>
      <c r="AD150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06" s="6" t="str">
        <f>IFERROR(__xludf.DUMMYFUNCTION("""COMPUTED_VALUE"""),"Мужской")</f>
        <v>Мужской</v>
      </c>
      <c r="AF1506" s="6" t="str">
        <f>IFERROR(__xludf.DUMMYFUNCTION("""COMPUTED_VALUE"""),"18-29")</f>
        <v>18-29</v>
      </c>
      <c r="AG1506" s="6"/>
      <c r="AH1506" s="6"/>
      <c r="AI1506" s="6"/>
      <c r="AJ1506" s="6"/>
      <c r="AK1506" s="6"/>
      <c r="AL1506" s="6"/>
      <c r="AM1506" s="6"/>
    </row>
    <row r="1507">
      <c r="A1507" s="6">
        <v>1506.0</v>
      </c>
      <c r="B1507" s="6" t="str">
        <f>IFERROR(__xludf.DUMMYFUNCTION("""COMPUTED_VALUE"""),"Художник,член Союза художников России ,преподаватель")</f>
        <v>Художник,член Союза художников России ,преподаватель</v>
      </c>
      <c r="C1507" s="6" t="str">
        <f>IFERROR(__xludf.DUMMYFUNCTION("""COMPUTED_VALUE"""),"Живопись,графика,соц.сети")</f>
        <v>Живопись,графика,соц.сети</v>
      </c>
      <c r="D1507" s="6" t="str">
        <f>IFERROR(__xludf.DUMMYFUNCTION("""COMPUTED_VALUE"""),"Рудничый район, Радуга, МЖК")</f>
        <v>Рудничый район, Радуга, МЖК</v>
      </c>
      <c r="E1507" s="6" t="str">
        <f>IFERROR(__xludf.DUMMYFUNCTION("""COMPUTED_VALUE"""),"Бор, сквер у церкви, Петровка")</f>
        <v>Бор, сквер у церкви, Петровка</v>
      </c>
      <c r="F1507" s="6" t="str">
        <f>IFERROR(__xludf.DUMMYFUNCTION("""COMPUTED_VALUE"""),"Переехал сюда из другого места (откуда? укажите в графе другое), Родилась в Ленинске ,училась в Кемерово,Владивостоке,вернулась по распределению")</f>
        <v>Переехал сюда из другого места (откуда? укажите в графе другое), Родилась в Ленинске ,училась в Кемерово,Владивостоке,вернулась по распределению</v>
      </c>
      <c r="G1507" s="6" t="str">
        <f>IFERROR(__xludf.DUMMYFUNCTION("""COMPUTED_VALUE"""),"Театр, музей Изо, КЦИ, Набережная")</f>
        <v>Театр, музей Изо, КЦИ, Набережная</v>
      </c>
      <c r="H1507" s="6" t="str">
        <f>IFERROR(__xludf.DUMMYFUNCTION("""COMPUTED_VALUE"""),"Томь, бор, Весенняя, фонтан, Знаменский, Азот")</f>
        <v>Томь, бор, Весенняя, фонтан, Знаменский, Азот</v>
      </c>
      <c r="I1507" s="6" t="str">
        <f>IFERROR(__xludf.DUMMYFUNCTION("""COMPUTED_VALUE"""),"Михайло Волков, Аман Тулеев, Алексей Леонов, Леонид Лутугин, Мартеньянов ")</f>
        <v>Михайло Волков, Аман Тулеев, Алексей Леонов, Леонид Лутугин, Мартеньянов </v>
      </c>
      <c r="J1507" s="6" t="str">
        <f>IFERROR(__xludf.DUMMYFUNCTION("""COMPUTED_VALUE"""),"Кирчанов, Бобров, Бурмистров, Михайлов")</f>
        <v>Кирчанов, Бобров, Бурмистров, Михайлов</v>
      </c>
      <c r="K1507" s="6" t="str">
        <f>IFERROR(__xludf.DUMMYFUNCTION("""COMPUTED_VALUE"""),"Горсад, Красная горка, Знаменский, смотровая площадка бора")</f>
        <v>Горсад, Красная горка, Знаменский, смотровая площадка бора</v>
      </c>
      <c r="L1507" s="6" t="str">
        <f>IFERROR(__xludf.DUMMYFUNCTION("""COMPUTED_VALUE"""),"""Человек из Кемероваааа"" ")</f>
        <v>"Человек из Кемероваааа" </v>
      </c>
      <c r="M1507" s="6" t="str">
        <f>IFERROR(__xludf.DUMMYFUNCTION("""COMPUTED_VALUE"""),"Кемерийци")</f>
        <v>Кемерийци</v>
      </c>
      <c r="N1507" s="6" t="str">
        <f>IFERROR(__xludf.DUMMYFUNCTION("""COMPUTED_VALUE"""),"Чисто, быстро, вкусно, жилье, работа")</f>
        <v>Чисто, быстро, вкусно, жилье, работа</v>
      </c>
      <c r="O1507" s="6" t="str">
        <f>IFERROR(__xludf.DUMMYFUNCTION("""COMPUTED_VALUE"""),"Мост, обьездную дорогу ")</f>
        <v>Мост, обьездную дорогу </v>
      </c>
      <c r="P1507" s="6" t="str">
        <f>IFERROR(__xludf.DUMMYFUNCTION("""COMPUTED_VALUE"""),"Новости на тв")</f>
        <v>Новости на тв</v>
      </c>
      <c r="Q1507" s="6" t="str">
        <f>IFERROR(__xludf.DUMMYFUNCTION("""COMPUTED_VALUE"""),"городская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новости про новые профессии/куда поступать/вакансии, интервью с экспертами на разные темы ("&amp;"напишите в разделе Другое свои предложения)")</f>
        <v>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предложения)</v>
      </c>
      <c r="R1507" s="6" t="str">
        <f>IFERROR(__xludf.DUMMYFUNCTION("""COMPUTED_VALUE"""),"Елки")</f>
        <v>Елки</v>
      </c>
      <c r="S1507" s="6" t="str">
        <f>IFERROR(__xludf.DUMMYFUNCTION("""COMPUTED_VALUE"""),"Нет, не приходилось")</f>
        <v>Нет, не приходилось</v>
      </c>
      <c r="T1507" s="6" t="str">
        <f>IFERROR(__xludf.DUMMYFUNCTION("""COMPUTED_VALUE"""),"Очень много людей уехали, кемеровчан можно встретить везде")</f>
        <v>Очень много людей уехали, кемеровчан можно встретить везде</v>
      </c>
      <c r="U1507" s="6" t="str">
        <f>IFERROR(__xludf.DUMMYFUNCTION("""COMPUTED_VALUE"""),"Башня главпочтамта")</f>
        <v>Башня главпочтамта</v>
      </c>
      <c r="V1507" s="6" t="str">
        <f>IFERROR(__xludf.DUMMYFUNCTION("""COMPUTED_VALUE"""),"Кемерово")</f>
        <v>Кемерово</v>
      </c>
      <c r="W1507" s="6" t="str">
        <f>IFERROR(__xludf.DUMMYFUNCTION("""COMPUTED_VALUE"""),"Все хотят уехать, но не уезжают")</f>
        <v>Все хотят уехать, но не уезжают</v>
      </c>
      <c r="X1507" s="6" t="str">
        <f>IFERROR(__xludf.DUMMYFUNCTION("""COMPUTED_VALUE"""),"Красная горка ")</f>
        <v>Красная горка </v>
      </c>
      <c r="Y1507" s="6" t="str">
        <f>IFERROR(__xludf.DUMMYFUNCTION("""COMPUTED_VALUE"""),"Чемпионат по хоккею ")</f>
        <v>Чемпионат по хоккею </v>
      </c>
      <c r="Z1507" s="6" t="str">
        <f>IFERROR(__xludf.DUMMYFUNCTION("""COMPUTED_VALUE"""),"Кластер ")</f>
        <v>Кластер </v>
      </c>
      <c r="AA1507" s="6" t="str">
        <f>IFERROR(__xludf.DUMMYFUNCTION("""COMPUTED_VALUE"""),"Бескультурие чиновников")</f>
        <v>Бескультурие чиновников</v>
      </c>
      <c r="AB1507" s="6" t="str">
        <f>IFERROR(__xludf.DUMMYFUNCTION("""COMPUTED_VALUE"""),"Молодёжных проектов")</f>
        <v>Молодёжных проектов</v>
      </c>
      <c r="AC1507" s="6" t="str">
        <f>IFERROR(__xludf.DUMMYFUNCTION("""COMPUTED_VALUE"""),"Массовый спор т")</f>
        <v>Массовый спор т</v>
      </c>
      <c r="AD1507"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507" s="6" t="str">
        <f>IFERROR(__xludf.DUMMYFUNCTION("""COMPUTED_VALUE"""),"Женский")</f>
        <v>Женский</v>
      </c>
      <c r="AF1507" s="6" t="str">
        <f>IFERROR(__xludf.DUMMYFUNCTION("""COMPUTED_VALUE"""),"старше 55")</f>
        <v>старше 55</v>
      </c>
      <c r="AG1507" s="6"/>
      <c r="AH1507" s="6"/>
      <c r="AI1507" s="6"/>
      <c r="AJ1507" s="6"/>
      <c r="AK1507" s="6"/>
      <c r="AL1507" s="6"/>
      <c r="AM1507" s="6"/>
    </row>
    <row r="1508">
      <c r="A1508" s="6">
        <v>1507.0</v>
      </c>
      <c r="B1508" s="6" t="str">
        <f>IFERROR(__xludf.DUMMYFUNCTION("""COMPUTED_VALUE"""),"Руководитель ")</f>
        <v>Руководитель </v>
      </c>
      <c r="C1508" s="6" t="str">
        <f>IFERROR(__xludf.DUMMYFUNCTION("""COMPUTED_VALUE"""),"Своё дело")</f>
        <v>Своё дело</v>
      </c>
      <c r="D1508" s="6" t="str">
        <f>IFERROR(__xludf.DUMMYFUNCTION("""COMPUTED_VALUE"""),"Фпк")</f>
        <v>Фпк</v>
      </c>
      <c r="E1508" s="6" t="str">
        <f>IFERROR(__xludf.DUMMYFUNCTION("""COMPUTED_VALUE"""),"Нет")</f>
        <v>Нет</v>
      </c>
      <c r="F1508" s="6" t="str">
        <f>IFERROR(__xludf.DUMMYFUNCTION("""COMPUTED_VALUE"""),"Переехал сюда из другого места (откуда? укажите в графе другое), Ленинск- Кузнецкий ")</f>
        <v>Переехал сюда из другого места (откуда? укажите в графе другое), Ленинск- Кузнецкий </v>
      </c>
      <c r="G1508" s="6" t="str">
        <f>IFERROR(__xludf.DUMMYFUNCTION("""COMPUTED_VALUE"""),"Нет интересных мест")</f>
        <v>Нет интересных мест</v>
      </c>
      <c r="H1508" s="6" t="str">
        <f>IFERROR(__xludf.DUMMYFUNCTION("""COMPUTED_VALUE"""),"Грязь, отсталость, коррупция, серость, старость")</f>
        <v>Грязь, отсталость, коррупция, серость, старость</v>
      </c>
      <c r="I1508" s="6" t="str">
        <f>IFERROR(__xludf.DUMMYFUNCTION("""COMPUTED_VALUE"""),"Волков")</f>
        <v>Волков</v>
      </c>
      <c r="J1508" s="6" t="str">
        <f>IFERROR(__xludf.DUMMYFUNCTION("""COMPUTED_VALUE"""),"Михайлов")</f>
        <v>Михайлов</v>
      </c>
      <c r="K1508" s="6" t="str">
        <f>IFERROR(__xludf.DUMMYFUNCTION("""COMPUTED_VALUE"""),"Сосновый бор")</f>
        <v>Сосновый бор</v>
      </c>
      <c r="L1508" s="6" t="str">
        <f>IFERROR(__xludf.DUMMYFUNCTION("""COMPUTED_VALUE"""),"Нет")</f>
        <v>Нет</v>
      </c>
      <c r="M1508" s="6" t="str">
        <f>IFERROR(__xludf.DUMMYFUNCTION("""COMPUTED_VALUE"""),"Нет")</f>
        <v>Нет</v>
      </c>
      <c r="N1508" s="6" t="str">
        <f>IFERROR(__xludf.DUMMYFUNCTION("""COMPUTED_VALUE"""),"Чистота, доступная среда для инвалидов, освещение, признаки урбанизации")</f>
        <v>Чистота, доступная среда для инвалидов, освещение, признаки урбанизации</v>
      </c>
      <c r="O1508" s="6" t="str">
        <f>IFERROR(__xludf.DUMMYFUNCTION("""COMPUTED_VALUE"""),"Сознание чиновников - что Кемерово не ограничивается площадью Советов, и убирать город надо до его границ, все районы. Не давить на бизнес, сделать город действительно ярким и привлекательным для горожан.")</f>
        <v>Сознание чиновников - что Кемерово не ограничивается площадью Советов, и убирать город надо до его границ, все районы. Не давить на бизнес, сделать город действительно ярким и привлекательным для горожан.</v>
      </c>
      <c r="P1508" s="6" t="str">
        <f>IFERROR(__xludf.DUMMYFUNCTION("""COMPUTED_VALUE"""),"От друзей")</f>
        <v>От друзей</v>
      </c>
      <c r="Q1508" s="6" t="str">
        <f>IFERROR(__xludf.DUMMYFUNCTION("""COMPUTED_VALUE"""),"результаты местных исследований (рейтинги/аналитика/тенденции), интервью с экспертами на разные темы (напишите в разделе Другое свои предложения)")</f>
        <v>результаты местных исследований (рейтинги/аналитика/тенденции), интервью с экспертами на разные темы (напишите в разделе Другое свои предложения)</v>
      </c>
      <c r="R1508" s="6" t="str">
        <f>IFERROR(__xludf.DUMMYFUNCTION("""COMPUTED_VALUE"""),"Нет")</f>
        <v>Нет</v>
      </c>
      <c r="S1508" s="6" t="str">
        <f>IFERROR(__xludf.DUMMYFUNCTION("""COMPUTED_VALUE"""),"Нет, не приходилось")</f>
        <v>Нет, не приходилось</v>
      </c>
      <c r="T1508" s="6" t="str">
        <f>IFERROR(__xludf.DUMMYFUNCTION("""COMPUTED_VALUE"""),"Зимняя вишня»")</f>
        <v>Зимняя вишня»</v>
      </c>
      <c r="U1508" s="6" t="str">
        <f>IFERROR(__xludf.DUMMYFUNCTION("""COMPUTED_VALUE"""),"Нет")</f>
        <v>Нет</v>
      </c>
      <c r="V1508" s="6" t="str">
        <f>IFERROR(__xludf.DUMMYFUNCTION("""COMPUTED_VALUE"""),"-")</f>
        <v>-</v>
      </c>
      <c r="W1508" s="6" t="str">
        <f>IFERROR(__xludf.DUMMYFUNCTION("""COMPUTED_VALUE"""),"-")</f>
        <v>-</v>
      </c>
      <c r="X1508" s="6" t="str">
        <f>IFERROR(__xludf.DUMMYFUNCTION("""COMPUTED_VALUE"""),"Нет такого")</f>
        <v>Нет такого</v>
      </c>
      <c r="Y1508" s="6" t="str">
        <f>IFERROR(__xludf.DUMMYFUNCTION("""COMPUTED_VALUE"""),"-")</f>
        <v>-</v>
      </c>
      <c r="Z1508" s="6" t="str">
        <f>IFERROR(__xludf.DUMMYFUNCTION("""COMPUTED_VALUE"""),"-")</f>
        <v>-</v>
      </c>
      <c r="AA1508" s="6" t="str">
        <f>IFERROR(__xludf.DUMMYFUNCTION("""COMPUTED_VALUE"""),"-")</f>
        <v>-</v>
      </c>
      <c r="AB1508" s="6" t="str">
        <f>IFERROR(__xludf.DUMMYFUNCTION("""COMPUTED_VALUE"""),"-")</f>
        <v>-</v>
      </c>
      <c r="AC1508" s="6" t="str">
        <f>IFERROR(__xludf.DUMMYFUNCTION("""COMPUTED_VALUE"""),"-")</f>
        <v>-</v>
      </c>
      <c r="AD1508"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508" s="6" t="str">
        <f>IFERROR(__xludf.DUMMYFUNCTION("""COMPUTED_VALUE"""),"Мужской")</f>
        <v>Мужской</v>
      </c>
      <c r="AF1508" s="6" t="str">
        <f>IFERROR(__xludf.DUMMYFUNCTION("""COMPUTED_VALUE"""),"30-44")</f>
        <v>30-44</v>
      </c>
      <c r="AG1508" s="6"/>
      <c r="AH1508" s="6"/>
      <c r="AI1508" s="6"/>
      <c r="AJ1508" s="6"/>
      <c r="AK1508" s="6"/>
      <c r="AL1508" s="6"/>
      <c r="AM1508" s="6"/>
    </row>
    <row r="1509">
      <c r="A1509" s="6">
        <v>1508.0</v>
      </c>
      <c r="B1509" s="6" t="str">
        <f>IFERROR(__xludf.DUMMYFUNCTION("""COMPUTED_VALUE"""),"Автомеханик")</f>
        <v>Автомеханик</v>
      </c>
      <c r="C1509" s="6" t="str">
        <f>IFERROR(__xludf.DUMMYFUNCTION("""COMPUTED_VALUE"""),"нет времени на хобби")</f>
        <v>нет времени на хобби</v>
      </c>
      <c r="D1509" s="6" t="str">
        <f>IFERROR(__xludf.DUMMYFUNCTION("""COMPUTED_VALUE"""),"Центральный")</f>
        <v>Центральный</v>
      </c>
      <c r="E1509" s="6" t="str">
        <f>IFERROR(__xludf.DUMMYFUNCTION("""COMPUTED_VALUE"""),"Центр города")</f>
        <v>Центр города</v>
      </c>
      <c r="F1509" s="6" t="str">
        <f>IFERROR(__xludf.DUMMYFUNCTION("""COMPUTED_VALUE"""),"Живу здесь с рождения")</f>
        <v>Живу здесь с рождения</v>
      </c>
      <c r="G1509" s="6" t="str">
        <f>IFERROR(__xludf.DUMMYFUNCTION("""COMPUTED_VALUE"""),"Никуда")</f>
        <v>Никуда</v>
      </c>
      <c r="H1509" s="6" t="str">
        <f>IFERROR(__xludf.DUMMYFUNCTION("""COMPUTED_VALUE"""),"Уголь, смог, мороз")</f>
        <v>Уголь, смог, мороз</v>
      </c>
      <c r="I1509" s="6" t="str">
        <f>IFERROR(__xludf.DUMMYFUNCTION("""COMPUTED_VALUE"""),"Тулеев")</f>
        <v>Тулеев</v>
      </c>
      <c r="J1509" s="6" t="str">
        <f>IFERROR(__xludf.DUMMYFUNCTION("""COMPUTED_VALUE"""),"-")</f>
        <v>-</v>
      </c>
      <c r="K1509" s="6" t="str">
        <f>IFERROR(__xludf.DUMMYFUNCTION("""COMPUTED_VALUE"""),"Набережная, парк Ангелов")</f>
        <v>Набережная, парк Ангелов</v>
      </c>
      <c r="L1509" s="6" t="str">
        <f>IFERROR(__xludf.DUMMYFUNCTION("""COMPUTED_VALUE"""),"не знаю")</f>
        <v>не знаю</v>
      </c>
      <c r="M1509" s="6" t="str">
        <f>IFERROR(__xludf.DUMMYFUNCTION("""COMPUTED_VALUE"""),"нет")</f>
        <v>нет</v>
      </c>
      <c r="N1509" s="6" t="str">
        <f>IFERROR(__xludf.DUMMYFUNCTION("""COMPUTED_VALUE"""),"Зелень, дороги, экология")</f>
        <v>Зелень, дороги, экология</v>
      </c>
      <c r="O1509" s="6" t="str">
        <f>IFERROR(__xludf.DUMMYFUNCTION("""COMPUTED_VALUE"""),"Зелень, дороги, экология")</f>
        <v>Зелень, дороги, экология</v>
      </c>
      <c r="P1509" s="6" t="str">
        <f>IFERROR(__xludf.DUMMYFUNCTION("""COMPUTED_VALUE"""),"Интернет, не знаю, специально не слежу")</f>
        <v>Интернет, не знаю, специально не слежу</v>
      </c>
      <c r="Q1509"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509" s="6" t="str">
        <f>IFERROR(__xludf.DUMMYFUNCTION("""COMPUTED_VALUE"""),"никаких")</f>
        <v>никаких</v>
      </c>
      <c r="S1509" s="6" t="str">
        <f>IFERROR(__xludf.DUMMYFUNCTION("""COMPUTED_VALUE"""),"Нет, не приходилось")</f>
        <v>Нет, не приходилось</v>
      </c>
      <c r="T1509" s="6" t="str">
        <f>IFERROR(__xludf.DUMMYFUNCTION("""COMPUTED_VALUE"""),"Столица Кузбасса")</f>
        <v>Столица Кузбасса</v>
      </c>
      <c r="U1509" s="6" t="str">
        <f>IFERROR(__xludf.DUMMYFUNCTION("""COMPUTED_VALUE"""),"Площадь Советов")</f>
        <v>Площадь Советов</v>
      </c>
      <c r="V1509" s="6" t="str">
        <f>IFERROR(__xludf.DUMMYFUNCTION("""COMPUTED_VALUE"""),"не знаю")</f>
        <v>не знаю</v>
      </c>
      <c r="W1509" s="6" t="str">
        <f>IFERROR(__xludf.DUMMYFUNCTION("""COMPUTED_VALUE"""),"Обычные работяги")</f>
        <v>Обычные работяги</v>
      </c>
      <c r="X1509" s="6" t="str">
        <f>IFERROR(__xludf.DUMMYFUNCTION("""COMPUTED_VALUE"""),"Набережная, центр")</f>
        <v>Набережная, центр</v>
      </c>
      <c r="Y1509" s="6" t="str">
        <f>IFERROR(__xludf.DUMMYFUNCTION("""COMPUTED_VALUE"""),"не знаю")</f>
        <v>не знаю</v>
      </c>
      <c r="Z1509" s="6" t="str">
        <f>IFERROR(__xludf.DUMMYFUNCTION("""COMPUTED_VALUE"""),"нет таких")</f>
        <v>нет таких</v>
      </c>
      <c r="AA1509" s="6" t="str">
        <f>IFERROR(__xludf.DUMMYFUNCTION("""COMPUTED_VALUE"""),"-")</f>
        <v>-</v>
      </c>
      <c r="AB1509" s="6" t="str">
        <f>IFERROR(__xludf.DUMMYFUNCTION("""COMPUTED_VALUE"""),"некогда об этом думать")</f>
        <v>некогда об этом думать</v>
      </c>
      <c r="AC1509" s="6" t="str">
        <f>IFERROR(__xludf.DUMMYFUNCTION("""COMPUTED_VALUE"""),"-")</f>
        <v>-</v>
      </c>
      <c r="AD150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09" s="6" t="str">
        <f>IFERROR(__xludf.DUMMYFUNCTION("""COMPUTED_VALUE"""),"Мужской")</f>
        <v>Мужской</v>
      </c>
      <c r="AF1509" s="6" t="str">
        <f>IFERROR(__xludf.DUMMYFUNCTION("""COMPUTED_VALUE"""),"30-44")</f>
        <v>30-44</v>
      </c>
      <c r="AG1509" s="6"/>
      <c r="AH1509" s="6"/>
      <c r="AI1509" s="6"/>
      <c r="AJ1509" s="6"/>
      <c r="AK1509" s="6"/>
      <c r="AL1509" s="6"/>
      <c r="AM1509" s="6"/>
    </row>
    <row r="1510">
      <c r="A1510" s="6">
        <v>1509.0</v>
      </c>
      <c r="B1510" s="6" t="str">
        <f>IFERROR(__xludf.DUMMYFUNCTION("""COMPUTED_VALUE"""),"Пенсинор")</f>
        <v>Пенсинор</v>
      </c>
      <c r="C1510" s="6" t="str">
        <f>IFERROR(__xludf.DUMMYFUNCTION("""COMPUTED_VALUE"""),"Театр, балет")</f>
        <v>Театр, балет</v>
      </c>
      <c r="D1510" s="6" t="str">
        <f>IFERROR(__xludf.DUMMYFUNCTION("""COMPUTED_VALUE"""),"Центральный, ""центр"".")</f>
        <v>Центральный, "центр".</v>
      </c>
      <c r="E1510" s="6" t="str">
        <f>IFERROR(__xludf.DUMMYFUNCTION("""COMPUTED_VALUE"""),"Бассейн Лазурный, набережная, краеведческий музей, галерея.")</f>
        <v>Бассейн Лазурный, набережная, краеведческий музей, галерея.</v>
      </c>
      <c r="F1510" s="6" t="str">
        <f>IFERROR(__xludf.DUMMYFUNCTION("""COMPUTED_VALUE"""),"Переехал сюда из другого места (откуда? укажите в графе другое), Переехала семья, я - ребёнок, не имела своего мнения, 50 лет назадд.")</f>
        <v>Переехал сюда из другого места (откуда? укажите в графе другое), Переехала семья, я - ребёнок, не имела своего мнения, 50 лет назадд.</v>
      </c>
      <c r="G1510" s="6" t="str">
        <f>IFERROR(__xludf.DUMMYFUNCTION("""COMPUTED_VALUE"""),"Гулять по набережной, в театры.")</f>
        <v>Гулять по набережной, в театры.</v>
      </c>
      <c r="H1510" s="6" t="str">
        <f>IFERROR(__xludf.DUMMYFUNCTION("""COMPUTED_VALUE"""),"Грязный, вонючий, неприглядный, неухоженный, зелёный.")</f>
        <v>Грязный, вонючий, неприглядный, неухоженный, зелёный.</v>
      </c>
      <c r="I1510" s="6" t="str">
        <f>IFERROR(__xludf.DUMMYFUNCTION("""COMPUTED_VALUE"""),"Алексей Леонов, Михайло Волков")</f>
        <v>Алексей Леонов, Михайло Волков</v>
      </c>
      <c r="J1510" s="6" t="str">
        <f>IFERROR(__xludf.DUMMYFUNCTION("""COMPUTED_VALUE"""),"Лучшие всегда в тени.")</f>
        <v>Лучшие всегда в тени.</v>
      </c>
      <c r="K1510" s="6" t="str">
        <f>IFERROR(__xludf.DUMMYFUNCTION("""COMPUTED_VALUE"""),"Лесную поляну.")</f>
        <v>Лесную поляну.</v>
      </c>
      <c r="L1510" s="6" t="str">
        <f>IFERROR(__xludf.DUMMYFUNCTION("""COMPUTED_VALUE"""),"М.Волков ходил-бродил и нашёл уголь")</f>
        <v>М.Волков ходил-бродил и нашёл уголь</v>
      </c>
      <c r="M1510" s="6" t="str">
        <f>IFERROR(__xludf.DUMMYFUNCTION("""COMPUTED_VALUE"""),"лОжить, садить, ставить(инъекцию)")</f>
        <v>лОжить, садить, ставить(инъекцию)</v>
      </c>
      <c r="N1510" s="6" t="str">
        <f>IFERROR(__xludf.DUMMYFUNCTION("""COMPUTED_VALUE"""),"Нет пробок на дорогах. Пока нет")</f>
        <v>Нет пробок на дорогах. Пока нет</v>
      </c>
      <c r="O1510" s="6" t="str">
        <f>IFERROR(__xludf.DUMMYFUNCTION("""COMPUTED_VALUE"""),"Экологию!!! Народ мрёт, как мухи!!!
Нет парковок, дворы переполнены.
Не работает уже 2года Лазурный!!!")</f>
        <v>Экологию!!! Народ мрёт, как мухи!!!
Нет парковок, дворы переполнены.
Не работает уже 2года Лазурный!!!</v>
      </c>
      <c r="P1510" s="6" t="str">
        <f>IFERROR(__xludf.DUMMYFUNCTION("""COMPUTED_VALUE"""),"Инстаграм, гугл-сервисы.")</f>
        <v>Инстаграм, гугл-сервисы.</v>
      </c>
      <c r="Q151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510" s="6" t="str">
        <f>IFERROR(__xludf.DUMMYFUNCTION("""COMPUTED_VALUE"""),"Новогодняя ёлка")</f>
        <v>Новогодняя ёлка</v>
      </c>
      <c r="S1510" s="6" t="str">
        <f>IFERROR(__xludf.DUMMYFUNCTION("""COMPUTED_VALUE"""),"Нет, не приходилось")</f>
        <v>Нет, не приходилось</v>
      </c>
      <c r="T1510" s="6" t="str">
        <f>IFERROR(__xludf.DUMMYFUNCTION("""COMPUTED_VALUE"""),"Его чудовищная экология, частный сектор прямо посреди центральног района. ")</f>
        <v>Его чудовищная экология, частный сектор прямо посреди центральног района. </v>
      </c>
      <c r="U1510" s="6" t="str">
        <f>IFERROR(__xludf.DUMMYFUNCTION("""COMPUTED_VALUE"""),"Драматический театр и фонтан")</f>
        <v>Драматический театр и фонтан</v>
      </c>
      <c r="V1510" s="6" t="str">
        <f>IFERROR(__xludf.DUMMYFUNCTION("""COMPUTED_VALUE"""),"Построили драмтеатр и улицу Весенняя")</f>
        <v>Построили драмтеатр и улицу Весенняя</v>
      </c>
      <c r="W1510" s="6" t="str">
        <f>IFERROR(__xludf.DUMMYFUNCTION("""COMPUTED_VALUE"""),"Они холодные, обозлённые, отчаившиеся от своей обездоленности, неимения работы, адекватной оплаты труда. Довольно примитивные.")</f>
        <v>Они холодные, обозлённые, отчаившиеся от своей обездоленности, неимения работы, адекватной оплаты труда. Довольно примитивные.</v>
      </c>
      <c r="X1510" s="6" t="str">
        <f>IFERROR(__xludf.DUMMYFUNCTION("""COMPUTED_VALUE"""),"Весенняя-площпдь театра- набережная")</f>
        <v>Весенняя-площпдь театра- набережная</v>
      </c>
      <c r="Y1510" s="6" t="str">
        <f>IFERROR(__xludf.DUMMYFUNCTION("""COMPUTED_VALUE"""),"Приезжали Рихтер, Третьяков. Очень давно. Сейчас афиша слабая, нието к нам не ездит!!!")</f>
        <v>Приезжали Рихтер, Третьяков. Очень давно. Сейчас афиша слабая, нието к нам не ездит!!!</v>
      </c>
      <c r="Z1510" s="6" t="str">
        <f>IFERROR(__xludf.DUMMYFUNCTION("""COMPUTED_VALUE"""),"Самоизоляция")</f>
        <v>Самоизоляция</v>
      </c>
      <c r="AA1510" s="6" t="str">
        <f>IFERROR(__xludf.DUMMYFUNCTION("""COMPUTED_VALUE"""),"Экологический беспредел")</f>
        <v>Экологический беспредел</v>
      </c>
      <c r="AB1510" s="6" t="str">
        <f>IFERROR(__xludf.DUMMYFUNCTION("""COMPUTED_VALUE"""),"Мне хватает")</f>
        <v>Мне хватает</v>
      </c>
      <c r="AC1510" s="6" t="str">
        <f>IFERROR(__xludf.DUMMYFUNCTION("""COMPUTED_VALUE"""),"Расширить афишу, приглашать на гастроли театры, галереи. Починить взлётно-посадочную полосу.")</f>
        <v>Расширить афишу, приглашать на гастроли театры, галереи. Починить взлётно-посадочную полосу.</v>
      </c>
      <c r="AD1510" s="6" t="str">
        <f>IFERROR(__xludf.DUMMYFUNCTION("""COMPUTED_VALUE"""),"Не готов принимать личное участие (укажите, пожалуйста, причину в поле «Другое»), Такой штат администраторов! ")</f>
        <v>Не готов принимать личное участие (укажите, пожалуйста, причину в поле «Другое»), Такой штат администраторов! </v>
      </c>
      <c r="AE1510" s="6" t="str">
        <f>IFERROR(__xludf.DUMMYFUNCTION("""COMPUTED_VALUE"""),"Женский")</f>
        <v>Женский</v>
      </c>
      <c r="AF1510" s="6" t="str">
        <f>IFERROR(__xludf.DUMMYFUNCTION("""COMPUTED_VALUE"""),"старше 55")</f>
        <v>старше 55</v>
      </c>
      <c r="AG1510" s="6"/>
      <c r="AH1510" s="6"/>
      <c r="AI1510" s="6"/>
      <c r="AJ1510" s="6"/>
      <c r="AK1510" s="6"/>
      <c r="AL1510" s="6"/>
      <c r="AM1510" s="6"/>
    </row>
    <row r="1511">
      <c r="A1511" s="6">
        <v>1510.0</v>
      </c>
      <c r="B1511" s="6" t="str">
        <f>IFERROR(__xludf.DUMMYFUNCTION("""COMPUTED_VALUE"""),"Маркетинг ")</f>
        <v>Маркетинг </v>
      </c>
      <c r="C1511" s="6" t="str">
        <f>IFERROR(__xludf.DUMMYFUNCTION("""COMPUTED_VALUE"""),"Английский ")</f>
        <v>Английский </v>
      </c>
      <c r="D1511" s="6" t="str">
        <f>IFERROR(__xludf.DUMMYFUNCTION("""COMPUTED_VALUE"""),"В Центре")</f>
        <v>В Центре</v>
      </c>
      <c r="E1511" s="6" t="str">
        <f>IFERROR(__xludf.DUMMYFUNCTION("""COMPUTED_VALUE"""),"Сквер возле Филармонии, площадь Советов, парк Ангелов, набережная, театры.")</f>
        <v>Сквер возле Филармонии, площадь Советов, парк Ангелов, набережная, театры.</v>
      </c>
      <c r="F1511" s="6" t="str">
        <f>IFERROR(__xludf.DUMMYFUNCTION("""COMPUTED_VALUE"""),"Живу здесь с рождения")</f>
        <v>Живу здесь с рождения</v>
      </c>
      <c r="G1511" s="6" t="str">
        <f>IFERROR(__xludf.DUMMYFUNCTION("""COMPUTED_VALUE"""),"Набережная, театры, Филармония, кафе.")</f>
        <v>Набережная, театры, Филармония, кафе.</v>
      </c>
      <c r="H1511" s="6" t="str">
        <f>IFERROR(__xludf.DUMMYFUNCTION("""COMPUTED_VALUE"""),"Уголь, дым от заводов, маленький, но уютный город,  зелень")</f>
        <v>Уголь, дым от заводов, маленький, но уютный город,  зелень</v>
      </c>
      <c r="I1511" s="6" t="str">
        <f>IFERROR(__xludf.DUMMYFUNCTION("""COMPUTED_VALUE"""),"Леонов, Михайлов, Волков.")</f>
        <v>Леонов, Михайлов, Волков.</v>
      </c>
      <c r="J1511" s="6" t="str">
        <f>IFERROR(__xludf.DUMMYFUNCTION("""COMPUTED_VALUE"""),"Гришковец, Забавин.")</f>
        <v>Гришковец, Забавин.</v>
      </c>
      <c r="K1511" s="6" t="str">
        <f>IFERROR(__xludf.DUMMYFUNCTION("""COMPUTED_VALUE"""),"Томская Писаница, Набережная, Парк Ангелов, Сосновый бор.")</f>
        <v>Томская Писаница, Набережная, Парк Ангелов, Сосновый бор.</v>
      </c>
      <c r="L1511" s="6" t="str">
        <f>IFERROR(__xludf.DUMMYFUNCTION("""COMPUTED_VALUE"""),"Не знаю")</f>
        <v>Не знаю</v>
      </c>
      <c r="M1511" s="6" t="str">
        <f>IFERROR(__xludf.DUMMYFUNCTION("""COMPUTED_VALUE"""),"Нет")</f>
        <v>Нет</v>
      </c>
      <c r="N1511" s="6" t="str">
        <f>IFERROR(__xludf.DUMMYFUNCTION("""COMPUTED_VALUE"""),"Чистота, свежий воздух, наличие работы и доступного жилья, красивые, зелёные места")</f>
        <v>Чистота, свежий воздух, наличие работы и доступного жилья, красивые, зелёные места</v>
      </c>
      <c r="O1511" s="6" t="str">
        <f>IFERROR(__xludf.DUMMYFUNCTION("""COMPUTED_VALUE"""),"Улучшить экологию. Сделать больше парков, фонтанов, мест для отдыха и прогулок")</f>
        <v>Улучшить экологию. Сделать больше парков, фонтанов, мест для отдыха и прогулок</v>
      </c>
      <c r="P1511" s="6" t="str">
        <f>IFERROR(__xludf.DUMMYFUNCTION("""COMPUTED_VALUE"""),"Все42, А42, Инстаграм, ВКонтакте ")</f>
        <v>Все42, А42, Инстаграм, ВКонтакте </v>
      </c>
      <c r="Q1511"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511" s="6" t="str">
        <f>IFERROR(__xludf.DUMMYFUNCTION("""COMPUTED_VALUE"""),"День города, Новый год, 9 мая, день Шахтёра.")</f>
        <v>День города, Новый год, 9 мая, день Шахтёра.</v>
      </c>
      <c r="S1511" s="6" t="str">
        <f>IFERROR(__xludf.DUMMYFUNCTION("""COMPUTED_VALUE"""),"Через социальные сети (Какие? Укажите в графе другое), Обращался в редакции городских газет, телевидения, радио")</f>
        <v>Через социальные сети (Какие? Укажите в графе другое), Обращался в редакции городских газет, телевидения, радио</v>
      </c>
      <c r="T1511" s="6" t="str">
        <f>IFERROR(__xludf.DUMMYFUNCTION("""COMPUTED_VALUE"""),"Природа, леса, широкие улицы.")</f>
        <v>Природа, леса, широкие улицы.</v>
      </c>
      <c r="U1511" s="6" t="str">
        <f>IFERROR(__xludf.DUMMYFUNCTION("""COMPUTED_VALUE"""),"Площадь Советов")</f>
        <v>Площадь Советов</v>
      </c>
      <c r="V1511" s="6" t="str">
        <f>IFERROR(__xludf.DUMMYFUNCTION("""COMPUTED_VALUE"""),"Открывали театры, скверы, устанавливали новые скульптуры, украшали город.")</f>
        <v>Открывали театры, скверы, устанавливали новые скульптуры, украшали город.</v>
      </c>
      <c r="W1511" s="6" t="str">
        <f>IFERROR(__xludf.DUMMYFUNCTION("""COMPUTED_VALUE"""),"Честные, обязательные, исполнительные и немного суровые")</f>
        <v>Честные, обязательные, исполнительные и немного суровые</v>
      </c>
      <c r="X1511" s="6" t="str">
        <f>IFERROR(__xludf.DUMMYFUNCTION("""COMPUTED_VALUE"""),"Набережная - Центр")</f>
        <v>Набережная - Центр</v>
      </c>
      <c r="Y1511" s="6" t="str">
        <f>IFERROR(__xludf.DUMMYFUNCTION("""COMPUTED_VALUE"""),"Открытие театров, фонтанов ")</f>
        <v>Открытие театров, фонтанов </v>
      </c>
      <c r="Z1511" s="6" t="str">
        <f>IFERROR(__xludf.DUMMYFUNCTION("""COMPUTED_VALUE"""),"Таких было мало")</f>
        <v>Таких было мало</v>
      </c>
      <c r="AA1511" s="6" t="str">
        <f>IFERROR(__xludf.DUMMYFUNCTION("""COMPUTED_VALUE"""),"Ухудшение экологии и чистоты города, закрытие некоторых кафе, ухудшение аттракционнов в Парке Чудес.")</f>
        <v>Ухудшение экологии и чистоты города, закрытие некоторых кафе, ухудшение аттракционнов в Парке Чудес.</v>
      </c>
      <c r="AB1511" s="6" t="str">
        <f>IFERROR(__xludf.DUMMYFUNCTION("""COMPUTED_VALUE"""),"Языковые клубы")</f>
        <v>Языковые клубы</v>
      </c>
      <c r="AC1511" s="6" t="str">
        <f>IFERROR(__xludf.DUMMYFUNCTION("""COMPUTED_VALUE"""),"Творческих, культурных, музыкантов на улице, субботники.")</f>
        <v>Творческих, культурных, музыкантов на улице, субботники.</v>
      </c>
      <c r="AD1511"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511" s="6" t="str">
        <f>IFERROR(__xludf.DUMMYFUNCTION("""COMPUTED_VALUE"""),"Женский")</f>
        <v>Женский</v>
      </c>
      <c r="AF1511" s="6" t="str">
        <f>IFERROR(__xludf.DUMMYFUNCTION("""COMPUTED_VALUE"""),"30-44")</f>
        <v>30-44</v>
      </c>
      <c r="AG1511" s="6"/>
      <c r="AH1511" s="6"/>
      <c r="AI1511" s="6"/>
      <c r="AJ1511" s="6"/>
      <c r="AK1511" s="6"/>
      <c r="AL1511" s="6"/>
      <c r="AM1511" s="6"/>
    </row>
    <row r="1512">
      <c r="A1512" s="6">
        <v>1511.0</v>
      </c>
      <c r="B1512" s="6" t="str">
        <f>IFERROR(__xludf.DUMMYFUNCTION("""COMPUTED_VALUE"""),"Пенсинер")</f>
        <v>Пенсинер</v>
      </c>
      <c r="C1512" s="6" t="str">
        <f>IFERROR(__xludf.DUMMYFUNCTION("""COMPUTED_VALUE"""),"Йога и английский язык ")</f>
        <v>Йога и английский язык </v>
      </c>
      <c r="D1512" s="6" t="str">
        <f>IFERROR(__xludf.DUMMYFUNCTION("""COMPUTED_VALUE"""),"Радуга ")</f>
        <v>Радуга </v>
      </c>
      <c r="E1512" s="6" t="str">
        <f>IFERROR(__xludf.DUMMYFUNCTION("""COMPUTED_VALUE"""),"Сосновый Рудничный бор, музей Красная Горка")</f>
        <v>Сосновый Рудничный бор, музей Красная Горка</v>
      </c>
      <c r="F151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512" s="6" t="str">
        <f>IFERROR(__xludf.DUMMYFUNCTION("""COMPUTED_VALUE"""),"Рудничный бор")</f>
        <v>Рудничный бор</v>
      </c>
      <c r="H1512" s="6" t="str">
        <f>IFERROR(__xludf.DUMMYFUNCTION("""COMPUTED_VALUE"""),"Рудничный бор, АИК, улица Весенняя, река Томь, плохой воздух")</f>
        <v>Рудничный бор, АИК, улица Весенняя, река Томь, плохой воздух</v>
      </c>
      <c r="I1512" s="6" t="str">
        <f>IFERROR(__xludf.DUMMYFUNCTION("""COMPUTED_VALUE"""),"Волков, Рутгерс, ")</f>
        <v>Волков, Рутгерс, </v>
      </c>
      <c r="J1512" s="6" t="str">
        <f>IFERROR(__xludf.DUMMYFUNCTION("""COMPUTED_VALUE"""),"Подгорбунский, Мартемьянов, Леонов, Михайлов")</f>
        <v>Подгорбунский, Мартемьянов, Леонов, Михайлов</v>
      </c>
      <c r="K1512" s="6" t="str">
        <f>IFERROR(__xludf.DUMMYFUNCTION("""COMPUTED_VALUE"""),"Рудничный бор, музей Красная Горка, мечеть Мунира, Лесная Поляна")</f>
        <v>Рудничный бор, музей Красная Горка, мечеть Мунира, Лесная Поляна</v>
      </c>
      <c r="L1512" s="6" t="str">
        <f>IFERROR(__xludf.DUMMYFUNCTION("""COMPUTED_VALUE"""),"Не знаю ")</f>
        <v>Не знаю </v>
      </c>
      <c r="M1512" s="6" t="str">
        <f>IFERROR(__xludf.DUMMYFUNCTION("""COMPUTED_VALUE"""),"Нет")</f>
        <v>Нет</v>
      </c>
      <c r="N1512" s="6" t="str">
        <f>IFERROR(__xludf.DUMMYFUNCTION("""COMPUTED_VALUE"""),"Не могу назвать")</f>
        <v>Не могу назвать</v>
      </c>
      <c r="O1512" s="6" t="str">
        <f>IFERROR(__xludf.DUMMYFUNCTION("""COMPUTED_VALUE"""),"Отношение властей города к мнению горожан")</f>
        <v>Отношение властей города к мнению горожан</v>
      </c>
      <c r="P1512" s="6" t="str">
        <f>IFERROR(__xludf.DUMMYFUNCTION("""COMPUTED_VALUE"""),"ТВ, Фэйсбук ")</f>
        <v>ТВ, Фэйсбук </v>
      </c>
      <c r="Q1512" s="6" t="str">
        <f>IFERROR(__xludf.DUMMYFUNCTION("""COMPUTED_VALUE"""),"интервью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512" s="6" t="str">
        <f>IFERROR(__xludf.DUMMYFUNCTION("""COMPUTED_VALUE"""),"Затрудняюсь ответить")</f>
        <v>Затрудняюсь ответить</v>
      </c>
      <c r="S1512" s="6" t="str">
        <f>IFERROR(__xludf.DUMMYFUNCTION("""COMPUTED_VALUE"""),"Сбор подписей в защиту Рудничного бора")</f>
        <v>Сбор подписей в защиту Рудничного бора</v>
      </c>
      <c r="T1512" s="6" t="str">
        <f>IFERROR(__xludf.DUMMYFUNCTION("""COMPUTED_VALUE"""),"Рудничный бор, музей Красная Горка ")</f>
        <v>Рудничный бор, музей Красная Горка </v>
      </c>
      <c r="U1512" s="6" t="str">
        <f>IFERROR(__xludf.DUMMYFUNCTION("""COMPUTED_VALUE"""),"Советский проспект, улица Весенняя, площади Советов и Пушкина")</f>
        <v>Советский проспект, улица Весенняя, площади Советов и Пушкина</v>
      </c>
      <c r="V1512" s="6" t="str">
        <f>IFERROR(__xludf.DUMMYFUNCTION("""COMPUTED_VALUE"""),"Затрудняюсь ответить")</f>
        <v>Затрудняюсь ответить</v>
      </c>
      <c r="W1512" s="6" t="str">
        <f>IFERROR(__xludf.DUMMYFUNCTION("""COMPUTED_VALUE"""),"Затрудняюсь ")</f>
        <v>Затрудняюсь </v>
      </c>
      <c r="X1512" s="6" t="str">
        <f>IFERROR(__xludf.DUMMYFUNCTION("""COMPUTED_VALUE"""),"По улице Весенней до памятника и набережная ")</f>
        <v>По улице Весенней до памятника и набережная </v>
      </c>
      <c r="Y1512" s="6" t="str">
        <f>IFERROR(__xludf.DUMMYFUNCTION("""COMPUTED_VALUE"""),"Затрудняюсь ")</f>
        <v>Затрудняюсь </v>
      </c>
      <c r="Z1512" s="6" t="str">
        <f>IFERROR(__xludf.DUMMYFUNCTION("""COMPUTED_VALUE"""),"Отстояли Рудничный бор ")</f>
        <v>Отстояли Рудничный бор </v>
      </c>
      <c r="AA1512" s="6" t="str">
        <f>IFERROR(__xludf.DUMMYFUNCTION("""COMPUTED_VALUE"""),"Невнимание властей к мнению жителей (примеры: строительство кафе на набережной, новый разрез рядом с городом). Отсутствие городского приюта для животных")</f>
        <v>Невнимание властей к мнению жителей (примеры: строительство кафе на набережной, новый разрез рядом с городом). Отсутствие городского приюта для животных</v>
      </c>
      <c r="AB1512" s="6" t="str">
        <f>IFERROR(__xludf.DUMMYFUNCTION("""COMPUTED_VALUE"""),"Затрудняюсь ")</f>
        <v>Затрудняюсь </v>
      </c>
      <c r="AC1512" s="6" t="str">
        <f>IFERROR(__xludf.DUMMYFUNCTION("""COMPUTED_VALUE"""),"Затрудняюсь ")</f>
        <v>Затрудняюсь </v>
      </c>
      <c r="AD151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12" s="6" t="str">
        <f>IFERROR(__xludf.DUMMYFUNCTION("""COMPUTED_VALUE"""),"Женский")</f>
        <v>Женский</v>
      </c>
      <c r="AF1512" s="6" t="str">
        <f>IFERROR(__xludf.DUMMYFUNCTION("""COMPUTED_VALUE"""),"старше 55")</f>
        <v>старше 55</v>
      </c>
      <c r="AG1512" s="6"/>
      <c r="AH1512" s="6"/>
      <c r="AI1512" s="6"/>
      <c r="AJ1512" s="6"/>
      <c r="AK1512" s="6"/>
      <c r="AL1512" s="6"/>
      <c r="AM1512" s="6"/>
    </row>
    <row r="1513">
      <c r="A1513" s="6">
        <v>1512.0</v>
      </c>
      <c r="B1513" s="6" t="str">
        <f>IFERROR(__xludf.DUMMYFUNCTION("""COMPUTED_VALUE"""),"Студентка ")</f>
        <v>Студентка </v>
      </c>
      <c r="C1513" s="6" t="str">
        <f>IFERROR(__xludf.DUMMYFUNCTION("""COMPUTED_VALUE"""),"Есть, танцы ")</f>
        <v>Есть, танцы </v>
      </c>
      <c r="D1513" s="6" t="str">
        <f>IFERROR(__xludf.DUMMYFUNCTION("""COMPUTED_VALUE"""),"В Ленинском ")</f>
        <v>В Ленинском </v>
      </c>
      <c r="E1513" s="6" t="str">
        <f>IFERROR(__xludf.DUMMYFUNCTION("""COMPUTED_VALUE"""),"Бульвар, памятник, посвящённый блокаде Ленинграда")</f>
        <v>Бульвар, памятник, посвящённый блокаде Ленинграда</v>
      </c>
      <c r="F1513" s="6" t="str">
        <f>IFERROR(__xludf.DUMMYFUNCTION("""COMPUTED_VALUE"""),"Живу здесь с рождения, Родился здесь,но сейчас живу в другом городе")</f>
        <v>Живу здесь с рождения, Родился здесь,но сейчас живу в другом городе</v>
      </c>
      <c r="G1513" s="6" t="str">
        <f>IFERROR(__xludf.DUMMYFUNCTION("""COMPUTED_VALUE"""),"На бульвар, в цент города, в парк аттракционов")</f>
        <v>На бульвар, в цент города, в парк аттракционов</v>
      </c>
      <c r="H1513" s="6" t="str">
        <f>IFERROR(__xludf.DUMMYFUNCTION("""COMPUTED_VALUE"""),"Мода, чистота, экология, радость, уют ")</f>
        <v>Мода, чистота, экология, радость, уют </v>
      </c>
      <c r="I1513" s="6" t="str">
        <f>IFERROR(__xludf.DUMMYFUNCTION("""COMPUTED_VALUE"""),"Волков")</f>
        <v>Волков</v>
      </c>
      <c r="J1513" s="6" t="str">
        <f>IFERROR(__xludf.DUMMYFUNCTION("""COMPUTED_VALUE"""),"Середюк ")</f>
        <v>Середюк </v>
      </c>
      <c r="K1513" s="6" t="str">
        <f>IFERROR(__xludf.DUMMYFUNCTION("""COMPUTED_VALUE"""),"Красная горка, бульвар, набережная ")</f>
        <v>Красная горка, бульвар, набережная </v>
      </c>
      <c r="L1513" s="6" t="str">
        <f>IFERROR(__xludf.DUMMYFUNCTION("""COMPUTED_VALUE"""),". ")</f>
        <v>. </v>
      </c>
      <c r="M1513" s="6" t="str">
        <f>IFERROR(__xludf.DUMMYFUNCTION("""COMPUTED_VALUE"""),"Нет ")</f>
        <v>Нет </v>
      </c>
      <c r="N1513" s="6" t="str">
        <f>IFERROR(__xludf.DUMMYFUNCTION("""COMPUTED_VALUE"""),"Архитектура, много мест для прогулки, кафе, тц, развитый общественный транспорт")</f>
        <v>Архитектура, много мест для прогулки, кафе, тц, развитый общественный транспорт</v>
      </c>
      <c r="O1513" s="6" t="str">
        <f>IFERROR(__xludf.DUMMYFUNCTION("""COMPUTED_VALUE"""),"Сделать упор на чистоту города, траспот ")</f>
        <v>Сделать упор на чистоту города, траспот </v>
      </c>
      <c r="P1513" s="6" t="str">
        <f>IFERROR(__xludf.DUMMYFUNCTION("""COMPUTED_VALUE"""),"Vse42, А42, ngs42")</f>
        <v>Vse42, А42, ngs42</v>
      </c>
      <c r="Q1513"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поступать/"&amp;"вакансии,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513" s="6" t="str">
        <f>IFERROR(__xludf.DUMMYFUNCTION("""COMPUTED_VALUE"""),"Всей семьёй ходим на эти праздники ")</f>
        <v>Всей семьёй ходим на эти праздники </v>
      </c>
      <c r="S1513" s="6" t="str">
        <f>IFERROR(__xludf.DUMMYFUNCTION("""COMPUTED_VALUE"""),"Нет, не приходилось")</f>
        <v>Нет, не приходилось</v>
      </c>
      <c r="T1513" s="6" t="str">
        <f>IFERROR(__xludf.DUMMYFUNCTION("""COMPUTED_VALUE"""),"Уголь. Комфорт. Позитивные эмоции ")</f>
        <v>Уголь. Комфорт. Позитивные эмоции </v>
      </c>
      <c r="U1513" s="6" t="str">
        <f>IFERROR(__xludf.DUMMYFUNCTION("""COMPUTED_VALUE"""),"Центр города - набережная, парк Чудес, площадь Советов, а такое бульвар Строителей ")</f>
        <v>Центр города - набережная, парк Чудес, площадь Советов, а такое бульвар Строителей </v>
      </c>
      <c r="V1513" s="6" t="str">
        <f>IFERROR(__xludf.DUMMYFUNCTION("""COMPUTED_VALUE"""),"Город становится больше и краше ")</f>
        <v>Город становится больше и краше </v>
      </c>
      <c r="W1513" s="6" t="str">
        <f>IFERROR(__xludf.DUMMYFUNCTION("""COMPUTED_VALUE"""),"Позитивность, честность ")</f>
        <v>Позитивность, честность </v>
      </c>
      <c r="X1513" s="6" t="str">
        <f>IFERROR(__xludf.DUMMYFUNCTION("""COMPUTED_VALUE"""),"Прямикгсгв цент города ")</f>
        <v>Прямикгсгв цент города </v>
      </c>
      <c r="Y1513" s="6" t="str">
        <f>IFERROR(__xludf.DUMMYFUNCTION("""COMPUTED_VALUE"""),"Добыча угля ")</f>
        <v>Добыча угля </v>
      </c>
      <c r="Z1513" s="6" t="str">
        <f>IFERROR(__xludf.DUMMYFUNCTION("""COMPUTED_VALUE"""),"Парад на 9 мая, различные военно-патриотические мероприятия, день города ")</f>
        <v>Парад на 9 мая, различные военно-патриотические мероприятия, день города </v>
      </c>
      <c r="AA1513" s="6" t="str">
        <f>IFERROR(__xludf.DUMMYFUNCTION("""COMPUTED_VALUE"""),"-")</f>
        <v>-</v>
      </c>
      <c r="AB1513" s="6" t="str">
        <f>IFERROR(__xludf.DUMMYFUNCTION("""COMPUTED_VALUE"""),"-")</f>
        <v>-</v>
      </c>
      <c r="AC1513" s="6" t="str">
        <f>IFERROR(__xludf.DUMMYFUNCTION("""COMPUTED_VALUE"""),"Больше культурных мероприятий ")</f>
        <v>Больше культурных мероприятий </v>
      </c>
      <c r="AD1513"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13" s="6" t="str">
        <f>IFERROR(__xludf.DUMMYFUNCTION("""COMPUTED_VALUE"""),"Женский")</f>
        <v>Женский</v>
      </c>
      <c r="AF1513" s="6" t="str">
        <f>IFERROR(__xludf.DUMMYFUNCTION("""COMPUTED_VALUE"""),"18-29")</f>
        <v>18-29</v>
      </c>
      <c r="AG1513" s="6"/>
      <c r="AH1513" s="6"/>
      <c r="AI1513" s="6"/>
      <c r="AJ1513" s="6"/>
      <c r="AK1513" s="6"/>
      <c r="AL1513" s="6"/>
      <c r="AM1513" s="6"/>
    </row>
    <row r="1514">
      <c r="A1514" s="6">
        <v>1513.0</v>
      </c>
      <c r="B1514" s="6" t="str">
        <f>IFERROR(__xludf.DUMMYFUNCTION("""COMPUTED_VALUE"""),"Социальная защита населения")</f>
        <v>Социальная защита населения</v>
      </c>
      <c r="C1514" s="6" t="str">
        <f>IFERROR(__xludf.DUMMYFUNCTION("""COMPUTED_VALUE"""),"Спорт, чтение, ЗОЖ, кино")</f>
        <v>Спорт, чтение, ЗОЖ, кино</v>
      </c>
      <c r="D1514" s="6" t="str">
        <f>IFERROR(__xludf.DUMMYFUNCTION("""COMPUTED_VALUE"""),"Центральный район")</f>
        <v>Центральный район</v>
      </c>
      <c r="E1514" s="6" t="str">
        <f>IFERROR(__xludf.DUMMYFUNCTION("""COMPUTED_VALUE"""),"Очень много! Драмтеатр, улица Весенняя, площадь Советов, набережная, площадь Волкова и т.д.
")</f>
        <v>Очень много! Драмтеатр, улица Весенняя, площадь Советов, набережная, площадь Волкова и т.д.
</v>
      </c>
      <c r="F1514" s="6" t="str">
        <f>IFERROR(__xludf.DUMMYFUNCTION("""COMPUTED_VALUE"""),"Живу здесь с рождения")</f>
        <v>Живу здесь с рождения</v>
      </c>
      <c r="G1514" s="6" t="str">
        <f>IFERROR(__xludf.DUMMYFUNCTION("""COMPUTED_VALUE"""),"Много гуляю по центру города, т.к. живу тут, осенью люблю Комсомольский парк, нравится гулять в сосновом бору")</f>
        <v>Много гуляю по центру города, т.к. живу тут, осенью люблю Комсомольский парк, нравится гулять в сосновом бору</v>
      </c>
      <c r="H1514" s="6" t="str">
        <f>IFERROR(__xludf.DUMMYFUNCTION("""COMPUTED_VALUE"""),"Уютный, бежевый, загазованный (увы), теплый, столица")</f>
        <v>Уютный, бежевый, загазованный (увы), теплый, столица</v>
      </c>
      <c r="I1514" s="6" t="str">
        <f>IFERROR(__xludf.DUMMYFUNCTION("""COMPUTED_VALUE"""),"Михайло Волков, Леонов, Тулеев")</f>
        <v>Михайло Волков, Леонов, Тулеев</v>
      </c>
      <c r="J1514" s="6" t="str">
        <f>IFERROR(__xludf.DUMMYFUNCTION("""COMPUTED_VALUE"""),"Гришковец Евгений")</f>
        <v>Гришковец Евгений</v>
      </c>
      <c r="K1514" s="6" t="str">
        <f>IFERROR(__xludf.DUMMYFUNCTION("""COMPUTED_VALUE"""),"Прогулялась бы по центру города (по улице Весенней, по набережной), посидела в маленьких кафешках, на лавочке площади Пушкина")</f>
        <v>Прогулялась бы по центру города (по улице Весенней, по набережной), посидела в маленьких кафешках, на лавочке площади Пушкина</v>
      </c>
      <c r="L1514" s="6" t="str">
        <f>IFERROR(__xludf.DUMMYFUNCTION("""COMPUTED_VALUE"""),"Очень сложно что-то вспомнить, ничего не приходит в голову ((")</f>
        <v>Очень сложно что-то вспомнить, ничего не приходит в голову ((</v>
      </c>
      <c r="M1514" s="6" t="str">
        <f>IFERROR(__xludf.DUMMYFUNCTION("""COMPUTED_VALUE"""),"Увы, нет")</f>
        <v>Увы, нет</v>
      </c>
      <c r="N1514" s="6" t="str">
        <f>IFERROR(__xludf.DUMMYFUNCTION("""COMPUTED_VALUE"""),"Насыщенная культурная жизнь (выставки, спектакли) Отсутствие пробок, резко-континентальный климат, чистые дворы, отремонтированные здания, в целом приятный, уютный облик города. Побольше авиарейсов в разные города))")</f>
        <v>Насыщенная культурная жизнь (выставки, спектакли) Отсутствие пробок, резко-континентальный климат, чистые дворы, отремонтированные здания, в целом приятный, уютный облик города. Побольше авиарейсов в разные города))</v>
      </c>
      <c r="O1514" s="6" t="str">
        <f>IFERROR(__xludf.DUMMYFUNCTION("""COMPUTED_VALUE"""),"Как житель Центрального района, не могу не отметить ужасное состояние фасадов домов на проспекте Советском. Снаружи они отремонтированные, а внутри дворов страх и разруха! Хотелось бы жить в опрятном доме. 
Но самое главное, пожалуй, это экология. Отврати"&amp;"тельный загрязнённый воздух. Люди просто сбегают из города из-за этого.
Побольше сажать деревьев, кустарников.
Перекрасить или как-то иначе видоизменить хрущевки вдоль проспекта Ленина. Выглядят серо и скучно. 
Соорудить побольше уютных сквериков и мест о"&amp;"тдыха. 
Решить (гуманным образом) вопрос с бездомными животными. Построить приют, отловить всех бродяг, стерилизовать, содержать и раздавать населению! Контролировать дальнейшую судьбу. Помогать частным приютам, они делают большое дело! Стать передовым, к"&amp;"ультурным городом!")</f>
        <v>Как житель Центрального района, не могу не отметить ужасное состояние фасадов домов на проспекте Советском. Снаружи они отремонтированные, а внутри дворов страх и разруха! Хотелось бы жить в опрятном доме. 
Но самое главное, пожалуй, это экология. Отвратительный загрязнённый воздух. Люди просто сбегают из города из-за этого.
Побольше сажать деревьев, кустарников.
Перекрасить или как-то иначе видоизменить хрущевки вдоль проспекта Ленина. Выглядят серо и скучно. 
Соорудить побольше уютных сквериков и мест отдыха. 
Решить (гуманным образом) вопрос с бездомными животными. Построить приют, отловить всех бродяг, стерилизовать, содержать и раздавать населению! Контролировать дальнейшую судьбу. Помогать частным приютам, они делают большое дело! Стать передовым, культурным городом!</v>
      </c>
      <c r="P1514" s="6" t="str">
        <f>IFERROR(__xludf.DUMMYFUNCTION("""COMPUTED_VALUE"""),"От друзей, на работе, из Интернета конечно (Instagram)")</f>
        <v>От друзей, на работе, из Интернета конечно (Instagram)</v>
      </c>
      <c r="Q151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v>
      </c>
      <c r="R1514" s="6" t="str">
        <f>IFERROR(__xludf.DUMMYFUNCTION("""COMPUTED_VALUE"""),"Парад Победы 9 мая, Новый год на площади Советов")</f>
        <v>Парад Победы 9 мая, Новый год на площади Советов</v>
      </c>
      <c r="S1514" s="6" t="str">
        <f>IFERROR(__xludf.DUMMYFUNCTION("""COMPUTED_VALUE"""),"Участие в тренировке по боксу для книги рекордов Гиннеса,Участие в акции ""Семья"", ""Помоги собраться в школу"", ""День семьи любви и верности"" и т.д. ")</f>
        <v>Участие в тренировке по боксу для книги рекордов Гиннеса,Участие в акции "Семья", "Помоги собраться в школу", "День семьи любви и верности" и т.д. </v>
      </c>
      <c r="T1514" s="6" t="str">
        <f>IFERROR(__xludf.DUMMYFUNCTION("""COMPUTED_VALUE"""),"Своими знаменитыми людьми, большим количеством упоминаний в кино, песнях (человек из Кемерово!), Столица Кузбасса")</f>
        <v>Своими знаменитыми людьми, большим количеством упоминаний в кино, песнях (человек из Кемерово!), Столица Кузбасса</v>
      </c>
      <c r="U1514" s="6" t="str">
        <f>IFERROR(__xludf.DUMMYFUNCTION("""COMPUTED_VALUE"""),"Площадь Советов, Драмтеатр")</f>
        <v>Площадь Советов, Драмтеатр</v>
      </c>
      <c r="V1514" s="6" t="str">
        <f>IFERROR(__xludf.DUMMYFUNCTION("""COMPUTED_VALUE"""),"Принимали участие в городских мероприятиях, выходили на субботники, не уехали из него))")</f>
        <v>Принимали участие в городских мероприятиях, выходили на субботники, не уехали из него))</v>
      </c>
      <c r="W1514" s="6" t="str">
        <f>IFERROR(__xludf.DUMMYFUNCTION("""COMPUTED_VALUE"""),"Энергичные, смелые, патриотичных))")</f>
        <v>Энергичные, смелые, патриотичных))</v>
      </c>
      <c r="X1514" s="6" t="str">
        <f>IFERROR(__xludf.DUMMYFUNCTION("""COMPUTED_VALUE"""),"От площади Волкова, по Весенней, Драмтеатру, площади Пушкина, на набережную. Можно проехать к памятнику Эрнста Неизвестного, погулять по Красной горке.")</f>
        <v>От площади Волкова, по Весенней, Драмтеатру, площади Пушкина, на набережную. Можно проехать к памятнику Эрнста Неизвестного, погулять по Красной горке.</v>
      </c>
      <c r="Y1514" s="6" t="str">
        <f>IFERROR(__xludf.DUMMYFUNCTION("""COMPUTED_VALUE"""),"Приезд Deep Purple?))) Если серьезно, приходит в голову чемпионат мира по хоккею с мячом Bandy, рекордная тренировка, приуроченная к дню бокса в 2017 году")</f>
        <v>Приезд Deep Purple?))) Если серьезно, приходит в голову чемпионат мира по хоккею с мячом Bandy, рекордная тренировка, приуроченная к дню бокса в 2017 году</v>
      </c>
      <c r="Z1514" s="6" t="str">
        <f>IFERROR(__xludf.DUMMYFUNCTION("""COMPUTED_VALUE"""),"Фестиваль ""Герои мирового пока"", парад Победы 2020г. ")</f>
        <v>Фестиваль "Герои мирового пока", парад Победы 2020г. </v>
      </c>
      <c r="AA1514" s="6" t="str">
        <f>IFERROR(__xludf.DUMMYFUNCTION("""COMPUTED_VALUE"""),"Печально-известная ёлка на площади Советов за 18 млн. Зимняя вишня (не хочу даже в подробности вдаваться, много чего в этой связи возмущает)")</f>
        <v>Печально-известная ёлка на площади Советов за 18 млн. Зимняя вишня (не хочу даже в подробности вдаваться, много чего в этой связи возмущает)</v>
      </c>
      <c r="AB1514" s="6" t="str">
        <f>IFERROR(__xludf.DUMMYFUNCTION("""COMPUTED_VALUE"""),"Интересный кинопоказов классики известных режиссеров, в общем, чего-то связанного с культурой. Хотя, может, я просто недостаточно осведомлена?)")</f>
        <v>Интересный кинопоказов классики известных режиссеров, в общем, чего-то связанного с культурой. Хотя, может, я просто недостаточно осведомлена?)</v>
      </c>
      <c r="AC1514" s="6" t="str">
        <f>IFERROR(__xludf.DUMMYFUNCTION("""COMPUTED_VALUE"""),"Побольше культурных событий! ")</f>
        <v>Побольше культурных событий! </v>
      </c>
      <c r="AD151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14" s="6" t="str">
        <f>IFERROR(__xludf.DUMMYFUNCTION("""COMPUTED_VALUE"""),"Женский")</f>
        <v>Женский</v>
      </c>
      <c r="AF1514" s="6" t="str">
        <f>IFERROR(__xludf.DUMMYFUNCTION("""COMPUTED_VALUE"""),"30-44")</f>
        <v>30-44</v>
      </c>
      <c r="AG1514" s="6"/>
      <c r="AH1514" s="6"/>
      <c r="AI1514" s="6"/>
      <c r="AJ1514" s="6"/>
      <c r="AK1514" s="6"/>
      <c r="AL1514" s="6"/>
      <c r="AM1514" s="6"/>
    </row>
    <row r="1515">
      <c r="A1515" s="6">
        <v>1514.0</v>
      </c>
      <c r="B1515" s="6" t="str">
        <f>IFERROR(__xludf.DUMMYFUNCTION("""COMPUTED_VALUE"""),"Строитель")</f>
        <v>Строитель</v>
      </c>
      <c r="C1515" s="6" t="str">
        <f>IFERROR(__xludf.DUMMYFUNCTION("""COMPUTED_VALUE"""),"Автомобили")</f>
        <v>Автомобили</v>
      </c>
      <c r="D1515" s="6" t="str">
        <f>IFERROR(__xludf.DUMMYFUNCTION("""COMPUTED_VALUE"""),"Ленинский")</f>
        <v>Ленинский</v>
      </c>
      <c r="E1515" s="6" t="str">
        <f>IFERROR(__xludf.DUMMYFUNCTION("""COMPUTED_VALUE"""),"Бульвар Строителей, Лента")</f>
        <v>Бульвар Строителей, Лента</v>
      </c>
      <c r="F1515" s="6" t="str">
        <f>IFERROR(__xludf.DUMMYFUNCTION("""COMPUTED_VALUE"""),"Живу здесь с рождения")</f>
        <v>Живу здесь с рождения</v>
      </c>
      <c r="G1515" s="6" t="str">
        <f>IFERROR(__xludf.DUMMYFUNCTION("""COMPUTED_VALUE"""),"Парк чудес")</f>
        <v>Парк чудес</v>
      </c>
      <c r="H1515" s="6" t="str">
        <f>IFERROR(__xludf.DUMMYFUNCTION("""COMPUTED_VALUE"""),"Набережная, Кузбасс, Томь, Уголь, Бор")</f>
        <v>Набережная, Кузбасс, Томь, Уголь, Бор</v>
      </c>
      <c r="I1515" s="6" t="str">
        <f>IFERROR(__xludf.DUMMYFUNCTION("""COMPUTED_VALUE"""),"Леонов")</f>
        <v>Леонов</v>
      </c>
      <c r="J1515" s="6" t="str">
        <f>IFERROR(__xludf.DUMMYFUNCTION("""COMPUTED_VALUE"""),"-")</f>
        <v>-</v>
      </c>
      <c r="K1515" s="6" t="str">
        <f>IFERROR(__xludf.DUMMYFUNCTION("""COMPUTED_VALUE"""),"Парки, набережная")</f>
        <v>Парки, набережная</v>
      </c>
      <c r="L1515" s="6" t="str">
        <f>IFERROR(__xludf.DUMMYFUNCTION("""COMPUTED_VALUE"""),"-")</f>
        <v>-</v>
      </c>
      <c r="M1515" s="6" t="str">
        <f>IFERROR(__xludf.DUMMYFUNCTION("""COMPUTED_VALUE"""),"нет")</f>
        <v>нет</v>
      </c>
      <c r="N1515" s="6" t="str">
        <f>IFERROR(__xludf.DUMMYFUNCTION("""COMPUTED_VALUE"""),"Тихо, ровные дороги, парковки")</f>
        <v>Тихо, ровные дороги, парковки</v>
      </c>
      <c r="O1515" s="6" t="str">
        <f>IFERROR(__xludf.DUMMYFUNCTION("""COMPUTED_VALUE"""),"Воздух, парковки нормальные")</f>
        <v>Воздух, парковки нормальные</v>
      </c>
      <c r="P1515" s="6" t="str">
        <f>IFERROR(__xludf.DUMMYFUNCTION("""COMPUTED_VALUE"""),"радио, тв, социалки")</f>
        <v>радио, тв, социалки</v>
      </c>
      <c r="Q1515" s="6" t="str">
        <f>IFERROR(__xludf.DUMMYFUNCTION("""COMPUTED_VALUE"""),"куда пойти в свободное время, где вкусно поесть/открытие новых кафе/ресторанов, бизнес-новости (средний чек/рекламные акции/запуск новых предприятий)")</f>
        <v>куда пойти в свободное время, где вкусно поесть/открытие новых кафе/ресторанов, бизнес-новости (средний чек/рекламные акции/запуск новых предприятий)</v>
      </c>
      <c r="R1515" s="6" t="str">
        <f>IFERROR(__xludf.DUMMYFUNCTION("""COMPUTED_VALUE"""),"День города, День победы, День шахтера")</f>
        <v>День города, День победы, День шахтера</v>
      </c>
      <c r="S1515" s="6" t="str">
        <f>IFERROR(__xludf.DUMMYFUNCTION("""COMPUTED_VALUE"""),"Нет, не приходилось")</f>
        <v>Нет, не приходилось</v>
      </c>
      <c r="T1515" s="6" t="str">
        <f>IFERROR(__xludf.DUMMYFUNCTION("""COMPUTED_VALUE"""),"Угольный край")</f>
        <v>Угольный край</v>
      </c>
      <c r="U1515" s="6" t="str">
        <f>IFERROR(__xludf.DUMMYFUNCTION("""COMPUTED_VALUE"""),"Площадь Советов")</f>
        <v>Площадь Советов</v>
      </c>
      <c r="V1515" s="6" t="str">
        <f>IFERROR(__xludf.DUMMYFUNCTION("""COMPUTED_VALUE"""),"-")</f>
        <v>-</v>
      </c>
      <c r="W1515" s="6" t="str">
        <f>IFERROR(__xludf.DUMMYFUNCTION("""COMPUTED_VALUE"""),"Суетливые, угрюмые, трудолюбивые")</f>
        <v>Суетливые, угрюмые, трудолюбивые</v>
      </c>
      <c r="X1515" s="6" t="str">
        <f>IFERROR(__xludf.DUMMYFUNCTION("""COMPUTED_VALUE"""),"Старый центр")</f>
        <v>Старый центр</v>
      </c>
      <c r="Y1515" s="6" t="str">
        <f>IFERROR(__xludf.DUMMYFUNCTION("""COMPUTED_VALUE"""),"-")</f>
        <v>-</v>
      </c>
      <c r="Z1515" s="6" t="str">
        <f>IFERROR(__xludf.DUMMYFUNCTION("""COMPUTED_VALUE"""),"День шахтера")</f>
        <v>День шахтера</v>
      </c>
      <c r="AA1515" s="6" t="str">
        <f>IFERROR(__xludf.DUMMYFUNCTION("""COMPUTED_VALUE"""),"пожар в зимней вишне, ёлочка за 18 миллионов, наигранная паника из за ковида")</f>
        <v>пожар в зимней вишне, ёлочка за 18 миллионов, наигранная паника из за ковида</v>
      </c>
      <c r="AB1515" s="6" t="str">
        <f>IFERROR(__xludf.DUMMYFUNCTION("""COMPUTED_VALUE"""),"нет таких")</f>
        <v>нет таких</v>
      </c>
      <c r="AC1515" s="6" t="str">
        <f>IFERROR(__xludf.DUMMYFUNCTION("""COMPUTED_VALUE"""),"не знаю")</f>
        <v>не знаю</v>
      </c>
      <c r="AD151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15" s="6" t="str">
        <f>IFERROR(__xludf.DUMMYFUNCTION("""COMPUTED_VALUE"""),"Мужской")</f>
        <v>Мужской</v>
      </c>
      <c r="AF1515" s="6" t="str">
        <f>IFERROR(__xludf.DUMMYFUNCTION("""COMPUTED_VALUE"""),"45-55")</f>
        <v>45-55</v>
      </c>
      <c r="AG1515" s="6"/>
      <c r="AH1515" s="6"/>
      <c r="AI1515" s="6"/>
      <c r="AJ1515" s="6"/>
      <c r="AK1515" s="6"/>
      <c r="AL1515" s="6"/>
      <c r="AM1515" s="6"/>
    </row>
    <row r="1516">
      <c r="A1516" s="6">
        <v>1515.0</v>
      </c>
      <c r="B1516" s="6" t="str">
        <f>IFERROR(__xludf.DUMMYFUNCTION("""COMPUTED_VALUE"""),"Работаю")</f>
        <v>Работаю</v>
      </c>
      <c r="C1516" s="6" t="str">
        <f>IFERROR(__xludf.DUMMYFUNCTION("""COMPUTED_VALUE"""),"Неь")</f>
        <v>Неь</v>
      </c>
      <c r="D1516" s="6" t="str">
        <f>IFERROR(__xludf.DUMMYFUNCTION("""COMPUTED_VALUE"""),"Кедровка")</f>
        <v>Кедровка</v>
      </c>
      <c r="E1516" s="6" t="str">
        <f>IFERROR(__xludf.DUMMYFUNCTION("""COMPUTED_VALUE"""),"Абк")</f>
        <v>Абк</v>
      </c>
      <c r="F1516" s="6" t="str">
        <f>IFERROR(__xludf.DUMMYFUNCTION("""COMPUTED_VALUE"""),"Переехал сюда из другого места (откуда? укажите в графе другое), Центр Кемерово")</f>
        <v>Переехал сюда из другого места (откуда? укажите в графе другое), Центр Кемерово</v>
      </c>
      <c r="G1516" s="6" t="str">
        <f>IFERROR(__xludf.DUMMYFUNCTION("""COMPUTED_VALUE"""),"Набережная")</f>
        <v>Набережная</v>
      </c>
      <c r="H1516" s="6" t="str">
        <f>IFERROR(__xludf.DUMMYFUNCTION("""COMPUTED_VALUE"""),"Азот уголь Тулеев смог пробки")</f>
        <v>Азот уголь Тулеев смог пробки</v>
      </c>
      <c r="I1516" s="6" t="str">
        <f>IFERROR(__xludf.DUMMYFUNCTION("""COMPUTED_VALUE"""),"Раздаев Бабанский ")</f>
        <v>Раздаев Бабанский </v>
      </c>
      <c r="J1516" s="6" t="str">
        <f>IFERROR(__xludf.DUMMYFUNCTION("""COMPUTED_VALUE"""),"Пристовка")</f>
        <v>Пристовка</v>
      </c>
      <c r="K1516" s="6" t="str">
        <f>IFERROR(__xludf.DUMMYFUNCTION("""COMPUTED_VALUE"""),"Красноя горка")</f>
        <v>Красноя горка</v>
      </c>
      <c r="L1516" s="6" t="str">
        <f>IFERROR(__xludf.DUMMYFUNCTION("""COMPUTED_VALUE"""),"Лазурное побережье мужик подходит к таксисту ,,довези до Кемерово тот ошалело куда? Мужик объясняет Россия Сибирь...таксист да пошел ты... мужик открывает кейс полый долларов таксист братан тебе куда на рудник в Кировский?")</f>
        <v>Лазурное побережье мужик подходит к таксисту ,,довези до Кемерово тот ошалело куда? Мужик объясняет Россия Сибирь...таксист да пошел ты... мужик открывает кейс полый долларов таксист братан тебе куда на рудник в Кировский?</v>
      </c>
      <c r="M1516" s="6" t="str">
        <f>IFERROR(__xludf.DUMMYFUNCTION("""COMPUTED_VALUE"""),"С легонца")</f>
        <v>С легонца</v>
      </c>
      <c r="N1516" s="6" t="str">
        <f>IFERROR(__xludf.DUMMYFUNCTION("""COMPUTED_VALUE"""),"Отсутствие пробок")</f>
        <v>Отсутствие пробок</v>
      </c>
      <c r="O1516" s="6" t="str">
        <f>IFERROR(__xludf.DUMMYFUNCTION("""COMPUTED_VALUE"""),"Экологию")</f>
        <v>Экологию</v>
      </c>
      <c r="P1516" s="6" t="str">
        <f>IFERROR(__xludf.DUMMYFUNCTION("""COMPUTED_VALUE"""),"Телевизор")</f>
        <v>Телевизор</v>
      </c>
      <c r="Q1516" s="6" t="str">
        <f>IFERROR(__xludf.DUMMYFUNCTION("""COMPUTED_VALUE"""),"культурные новинки (что почитать/что послушать), интервью с местными политиками, криминальные новости (происшествия/преступления)")</f>
        <v>культурные новинки (что почитать/что послушать), интервью с местными политиками, криминальные новости (происшествия/преступления)</v>
      </c>
      <c r="R1516" s="6" t="str">
        <f>IFERROR(__xludf.DUMMYFUNCTION("""COMPUTED_VALUE"""),"День шахтера")</f>
        <v>День шахтера</v>
      </c>
      <c r="S1516" s="6" t="str">
        <f>IFERROR(__xludf.DUMMYFUNCTION("""COMPUTED_VALUE"""),"Нет, не приходилось")</f>
        <v>Нет, не приходилось</v>
      </c>
      <c r="T1516" s="6" t="str">
        <f>IFERROR(__xludf.DUMMYFUNCTION("""COMPUTED_VALUE"""),"Люди")</f>
        <v>Люди</v>
      </c>
      <c r="U1516" s="6" t="str">
        <f>IFERROR(__xludf.DUMMYFUNCTION("""COMPUTED_VALUE"""),"Драм театр фонтан")</f>
        <v>Драм театр фонтан</v>
      </c>
      <c r="V1516" s="6" t="str">
        <f>IFERROR(__xludf.DUMMYFUNCTION("""COMPUTED_VALUE"""),"Сохранили бор")</f>
        <v>Сохранили бор</v>
      </c>
      <c r="W1516" s="6" t="str">
        <f>IFERROR(__xludf.DUMMYFUNCTION("""COMPUTED_VALUE"""),"Хмурые")</f>
        <v>Хмурые</v>
      </c>
      <c r="X1516" s="6" t="str">
        <f>IFERROR(__xludf.DUMMYFUNCTION("""COMPUTED_VALUE"""),"Весенняя")</f>
        <v>Весенняя</v>
      </c>
      <c r="Y1516" s="6" t="str">
        <f>IFERROR(__xludf.DUMMYFUNCTION("""COMPUTED_VALUE"""),"Незнаю")</f>
        <v>Незнаю</v>
      </c>
      <c r="Z1516" s="6" t="str">
        <f>IFERROR(__xludf.DUMMYFUNCTION("""COMPUTED_VALUE"""),"Небыло")</f>
        <v>Небыло</v>
      </c>
      <c r="AA1516" s="6" t="str">
        <f>IFERROR(__xludf.DUMMYFUNCTION("""COMPUTED_VALUE"""),"Зимняя вишня")</f>
        <v>Зимняя вишня</v>
      </c>
      <c r="AB1516" s="6" t="str">
        <f>IFERROR(__xludf.DUMMYFUNCTION("""COMPUTED_VALUE"""),"Хватает")</f>
        <v>Хватает</v>
      </c>
      <c r="AC1516" s="6" t="str">
        <f>IFERROR(__xludf.DUMMYFUNCTION("""COMPUTED_VALUE"""),"Фестивали")</f>
        <v>Фестивали</v>
      </c>
      <c r="AD151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16" s="6" t="str">
        <f>IFERROR(__xludf.DUMMYFUNCTION("""COMPUTED_VALUE"""),"Мужской")</f>
        <v>Мужской</v>
      </c>
      <c r="AF1516" s="6" t="str">
        <f>IFERROR(__xludf.DUMMYFUNCTION("""COMPUTED_VALUE"""),"45-55")</f>
        <v>45-55</v>
      </c>
      <c r="AG1516" s="6"/>
      <c r="AH1516" s="6"/>
      <c r="AI1516" s="6"/>
      <c r="AJ1516" s="6"/>
      <c r="AK1516" s="6"/>
      <c r="AL1516" s="6"/>
      <c r="AM1516" s="6"/>
    </row>
    <row r="1517">
      <c r="A1517" s="6">
        <v>1516.0</v>
      </c>
      <c r="B1517" s="6" t="str">
        <f>IFERROR(__xludf.DUMMYFUNCTION("""COMPUTED_VALUE"""),"Сборка корпусной мебели")</f>
        <v>Сборка корпусной мебели</v>
      </c>
      <c r="C1517" s="6" t="str">
        <f>IFERROR(__xludf.DUMMYFUNCTION("""COMPUTED_VALUE"""),"Рисование, декоративное прикладное творчество, велосипед")</f>
        <v>Рисование, декоративное прикладное творчество, велосипед</v>
      </c>
      <c r="D1517" s="6" t="str">
        <f>IFERROR(__xludf.DUMMYFUNCTION("""COMPUTED_VALUE"""),"Кировский район, микрашка")</f>
        <v>Кировский район, микрашка</v>
      </c>
      <c r="E1517" s="6" t="str">
        <f>IFERROR(__xludf.DUMMYFUNCTION("""COMPUTED_VALUE"""),"Набережная, берёзовая роща")</f>
        <v>Набережная, берёзовая роща</v>
      </c>
      <c r="F1517" s="6" t="str">
        <f>IFERROR(__xludf.DUMMYFUNCTION("""COMPUTED_VALUE"""),"Живу здесь с рождения")</f>
        <v>Живу здесь с рождения</v>
      </c>
      <c r="G1517" s="6" t="str">
        <f>IFERROR(__xludf.DUMMYFUNCTION("""COMPUTED_VALUE"""),"Озеро, сосновый/кедровый бор, центральная набережная")</f>
        <v>Озеро, сосновый/кедровый бор, центральная набережная</v>
      </c>
      <c r="H1517" s="6" t="str">
        <f>IFERROR(__xludf.DUMMYFUNCTION("""COMPUTED_VALUE"""),"Культура, природа, доступность, промышленость, ")</f>
        <v>Культура, природа, доступность, промышленость, </v>
      </c>
      <c r="I1517" s="6" t="str">
        <f>IFERROR(__xludf.DUMMYFUNCTION("""COMPUTED_VALUE"""),"Евгений Леонов, Михайло Волков, Александр Панин")</f>
        <v>Евгений Леонов, Михайло Волков, Александр Панин</v>
      </c>
      <c r="J1517" s="6" t="str">
        <f>IFERROR(__xludf.DUMMYFUNCTION("""COMPUTED_VALUE"""),"Аман Тулеев")</f>
        <v>Аман Тулеев</v>
      </c>
      <c r="K1517" s="6" t="str">
        <f>IFERROR(__xludf.DUMMYFUNCTION("""COMPUTED_VALUE"""),"Сосновый бор, памятник шахтёрам на Красной Горке, Музей заповедник Томская писаница, объект 1200(концлагерь для военнопленных) ")</f>
        <v>Сосновый бор, памятник шахтёрам на Красной Горке, Музей заповедник Томская писаница, объект 1200(концлагерь для военнопленных) </v>
      </c>
      <c r="L1517" s="6" t="str">
        <f>IFERROR(__xludf.DUMMYFUNCTION("""COMPUTED_VALUE"""),"Не знаю таких")</f>
        <v>Не знаю таких</v>
      </c>
      <c r="M1517" s="6" t="str">
        <f>IFERROR(__xludf.DUMMYFUNCTION("""COMPUTED_VALUE"""),"Не знаю таких")</f>
        <v>Не знаю таких</v>
      </c>
      <c r="N1517" s="6" t="str">
        <f>IFERROR(__xludf.DUMMYFUNCTION("""COMPUTED_VALUE"""),"Культура, отдых, природа, ")</f>
        <v>Культура, отдых, природа, </v>
      </c>
      <c r="O1517" s="6" t="str">
        <f>IFERROR(__xludf.DUMMYFUNCTION("""COMPUTED_VALUE"""),"Экологическую ситуацию ")</f>
        <v>Экологическую ситуацию </v>
      </c>
      <c r="P1517" s="6" t="str">
        <f>IFERROR(__xludf.DUMMYFUNCTION("""COMPUTED_VALUE"""),"VSE42, VK, INSTAGRAM")</f>
        <v>VSE42, VK, INSTAGRAM</v>
      </c>
      <c r="Q1517"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517" s="6" t="str">
        <f>IFERROR(__xludf.DUMMYFUNCTION("""COMPUTED_VALUE"""),"День шахтёра, день города, 9 мая")</f>
        <v>День шахтёра, день города, 9 мая</v>
      </c>
      <c r="S1517" s="6" t="str">
        <f>IFERROR(__xludf.DUMMYFUNCTION("""COMPUTED_VALUE"""),"Нет, не приходилось")</f>
        <v>Нет, не приходилось</v>
      </c>
      <c r="T1517" s="6" t="str">
        <f>IFERROR(__xludf.DUMMYFUNCTION("""COMPUTED_VALUE"""),"Музей заповедник ""Красная Горка""")</f>
        <v>Музей заповедник "Красная Горка"</v>
      </c>
      <c r="U1517" s="6" t="str">
        <f>IFERROR(__xludf.DUMMYFUNCTION("""COMPUTED_VALUE"""),"Культурные места, театры, скверы, арт гостинные")</f>
        <v>Культурные места, театры, скверы, арт гостинные</v>
      </c>
      <c r="V1517" s="6" t="str">
        <f>IFERROR(__xludf.DUMMYFUNCTION("""COMPUTED_VALUE"""),"Работники ПО ""ПРОГРЕСС"" беспечили снабжение войск во время ВОВ")</f>
        <v>Работники ПО "ПРОГРЕСС" беспечили снабжение войск во время ВОВ</v>
      </c>
      <c r="W1517" s="6" t="str">
        <f>IFERROR(__xludf.DUMMYFUNCTION("""COMPUTED_VALUE"""),"Стойкость, отзывчивость, мобильность")</f>
        <v>Стойкость, отзывчивость, мобильность</v>
      </c>
      <c r="X1517" s="6" t="str">
        <f>IFERROR(__xludf.DUMMYFUNCTION("""COMPUTED_VALUE"""),"памятник шахтёрам на Красной Горке, кузнецкий мост, центральная набережная, театр оперетты Кузбасса, парк имени Жукова")</f>
        <v>памятник шахтёрам на Красной Горке, кузнецкий мост, центральная набережная, театр оперетты Кузбасса, парк имени Жукова</v>
      </c>
      <c r="Y1517" s="6" t="str">
        <f>IFERROR(__xludf.DUMMYFUNCTION("""COMPUTED_VALUE"""),"Рок фестиваль ""Герои мирового Рока"" в честь 25 компании ""СТРОЙСЕРВИС"" ")</f>
        <v>Рок фестиваль "Герои мирового Рока" в честь 25 компании "СТРОЙСЕРВИС" </v>
      </c>
      <c r="Z1517" s="6" t="str">
        <f>IFERROR(__xludf.DUMMYFUNCTION("""COMPUTED_VALUE"""),"Возведение культурного кластера на проспекте Московский/Притомский")</f>
        <v>Возведение культурного кластера на проспекте Московский/Притомский</v>
      </c>
      <c r="AA1517" s="6" t="str">
        <f>IFERROR(__xludf.DUMMYFUNCTION("""COMPUTED_VALUE"""),"Пожар в тц Зимняя Вишня")</f>
        <v>Пожар в тц Зимняя Вишня</v>
      </c>
      <c r="AB1517" s="6" t="str">
        <f>IFERROR(__xludf.DUMMYFUNCTION("""COMPUTED_VALUE"""),"Непрофессиональных художников, мастеровых")</f>
        <v>Непрофессиональных художников, мастеровых</v>
      </c>
      <c r="AC1517" s="6" t="str">
        <f>IFERROR(__xludf.DUMMYFUNCTION("""COMPUTED_VALUE"""),"Концерты, выставки, арт фестивали")</f>
        <v>Концерты, выставки, арт фестивали</v>
      </c>
      <c r="AD1517"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517" s="6" t="str">
        <f>IFERROR(__xludf.DUMMYFUNCTION("""COMPUTED_VALUE"""),"Мужской")</f>
        <v>Мужской</v>
      </c>
      <c r="AF1517" s="6" t="str">
        <f>IFERROR(__xludf.DUMMYFUNCTION("""COMPUTED_VALUE"""),"30-44")</f>
        <v>30-44</v>
      </c>
      <c r="AG1517" s="6"/>
      <c r="AH1517" s="6"/>
      <c r="AI1517" s="6"/>
      <c r="AJ1517" s="6"/>
      <c r="AK1517" s="6"/>
      <c r="AL1517" s="6"/>
      <c r="AM1517" s="6"/>
    </row>
    <row r="1518">
      <c r="A1518" s="6">
        <v>1517.0</v>
      </c>
      <c r="B1518" s="6" t="str">
        <f>IFERROR(__xludf.DUMMYFUNCTION("""COMPUTED_VALUE"""),"Студент")</f>
        <v>Студент</v>
      </c>
      <c r="C1518" s="6" t="str">
        <f>IFERROR(__xludf.DUMMYFUNCTION("""COMPUTED_VALUE"""),"Фотография, велоспорт")</f>
        <v>Фотография, велоспорт</v>
      </c>
      <c r="D1518" s="6" t="str">
        <f>IFERROR(__xludf.DUMMYFUNCTION("""COMPUTED_VALUE"""),"Ленинский")</f>
        <v>Ленинский</v>
      </c>
      <c r="E1518" s="6" t="str">
        <f>IFERROR(__xludf.DUMMYFUNCTION("""COMPUTED_VALUE"""),"Парк, бульвар строителей")</f>
        <v>Парк, бульвар строителей</v>
      </c>
      <c r="F1518" s="6" t="str">
        <f>IFERROR(__xludf.DUMMYFUNCTION("""COMPUTED_VALUE"""),"Живу здесь с рождения")</f>
        <v>Живу здесь с рождения</v>
      </c>
      <c r="G1518" s="6" t="str">
        <f>IFERROR(__xludf.DUMMYFUNCTION("""COMPUTED_VALUE"""),"Кузбасс парк")</f>
        <v>Кузбасс парк</v>
      </c>
      <c r="H1518" s="6" t="str">
        <f>IFERROR(__xludf.DUMMYFUNCTION("""COMPUTED_VALUE"""),"Уголь, смог, шахтеры")</f>
        <v>Уголь, смог, шахтеры</v>
      </c>
      <c r="I1518" s="6" t="str">
        <f>IFERROR(__xludf.DUMMYFUNCTION("""COMPUTED_VALUE"""),"Леонов, Тулеев, Белов")</f>
        <v>Леонов, Тулеев, Белов</v>
      </c>
      <c r="J1518" s="6" t="str">
        <f>IFERROR(__xludf.DUMMYFUNCTION("""COMPUTED_VALUE"""),"Тулеев")</f>
        <v>Тулеев</v>
      </c>
      <c r="K1518" s="6" t="str">
        <f>IFERROR(__xludf.DUMMYFUNCTION("""COMPUTED_VALUE"""),"Набережная, Бульвар ")</f>
        <v>Набережная, Бульвар </v>
      </c>
      <c r="L1518" s="6" t="str">
        <f>IFERROR(__xludf.DUMMYFUNCTION("""COMPUTED_VALUE"""),"не знаю")</f>
        <v>не знаю</v>
      </c>
      <c r="M1518" s="6" t="str">
        <f>IFERROR(__xludf.DUMMYFUNCTION("""COMPUTED_VALUE"""),"нет")</f>
        <v>нет</v>
      </c>
      <c r="N1518" s="6" t="str">
        <f>IFERROR(__xludf.DUMMYFUNCTION("""COMPUTED_VALUE"""),"Чистота, низкая преступность, чистый воздух")</f>
        <v>Чистота, низкая преступность, чистый воздух</v>
      </c>
      <c r="O1518" s="6" t="str">
        <f>IFERROR(__xludf.DUMMYFUNCTION("""COMPUTED_VALUE"""),"Экология")</f>
        <v>Экология</v>
      </c>
      <c r="P1518" s="6" t="str">
        <f>IFERROR(__xludf.DUMMYFUNCTION("""COMPUTED_VALUE"""),"Инстаграм, вк")</f>
        <v>Инстаграм, вк</v>
      </c>
      <c r="Q151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поступать/"&amp;"вакансии,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518" s="6" t="str">
        <f>IFERROR(__xludf.DUMMYFUNCTION("""COMPUTED_VALUE"""),"новый год")</f>
        <v>новый год</v>
      </c>
      <c r="S1518" s="6" t="str">
        <f>IFERROR(__xludf.DUMMYFUNCTION("""COMPUTED_VALUE"""),"Нет, не приходилось")</f>
        <v>Нет, не приходилось</v>
      </c>
      <c r="T1518" s="6" t="str">
        <f>IFERROR(__xludf.DUMMYFUNCTION("""COMPUTED_VALUE"""),"Уголь")</f>
        <v>Уголь</v>
      </c>
      <c r="U1518" s="6" t="str">
        <f>IFERROR(__xludf.DUMMYFUNCTION("""COMPUTED_VALUE"""),"Площадь Советов")</f>
        <v>Площадь Советов</v>
      </c>
      <c r="V1518" s="6" t="str">
        <f>IFERROR(__xludf.DUMMYFUNCTION("""COMPUTED_VALUE"""),"Шахты")</f>
        <v>Шахты</v>
      </c>
      <c r="W1518" s="6" t="str">
        <f>IFERROR(__xludf.DUMMYFUNCTION("""COMPUTED_VALUE"""),"Трудолюбивые")</f>
        <v>Трудолюбивые</v>
      </c>
      <c r="X1518" s="6" t="str">
        <f>IFERROR(__xludf.DUMMYFUNCTION("""COMPUTED_VALUE"""),"Набережная, Парк Ангелов")</f>
        <v>Набережная, Парк Ангелов</v>
      </c>
      <c r="Y1518" s="6" t="str">
        <f>IFERROR(__xludf.DUMMYFUNCTION("""COMPUTED_VALUE"""),"не знаю")</f>
        <v>не знаю</v>
      </c>
      <c r="Z1518" s="6" t="str">
        <f>IFERROR(__xludf.DUMMYFUNCTION("""COMPUTED_VALUE"""),"нет таких")</f>
        <v>нет таких</v>
      </c>
      <c r="AA1518" s="6" t="str">
        <f>IFERROR(__xludf.DUMMYFUNCTION("""COMPUTED_VALUE"""),"нет таких")</f>
        <v>нет таких</v>
      </c>
      <c r="AB1518" s="6" t="str">
        <f>IFERROR(__xludf.DUMMYFUNCTION("""COMPUTED_VALUE"""),"всего хватает")</f>
        <v>всего хватает</v>
      </c>
      <c r="AC1518" s="6" t="str">
        <f>IFERROR(__xludf.DUMMYFUNCTION("""COMPUTED_VALUE"""),"Интересные локальные мероприятия")</f>
        <v>Интересные локальные мероприятия</v>
      </c>
      <c r="AD151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18" s="6" t="str">
        <f>IFERROR(__xludf.DUMMYFUNCTION("""COMPUTED_VALUE"""),"Мужской")</f>
        <v>Мужской</v>
      </c>
      <c r="AF1518" s="6" t="str">
        <f>IFERROR(__xludf.DUMMYFUNCTION("""COMPUTED_VALUE"""),"18-29")</f>
        <v>18-29</v>
      </c>
      <c r="AG1518" s="6"/>
      <c r="AH1518" s="6"/>
      <c r="AI1518" s="6"/>
      <c r="AJ1518" s="6"/>
      <c r="AK1518" s="6"/>
      <c r="AL1518" s="6"/>
      <c r="AM1518" s="6"/>
    </row>
    <row r="1519">
      <c r="A1519" s="6">
        <v>1518.0</v>
      </c>
      <c r="B1519" s="6" t="str">
        <f>IFERROR(__xludf.DUMMYFUNCTION("""COMPUTED_VALUE"""),"Специалист на предприятии")</f>
        <v>Специалист на предприятии</v>
      </c>
      <c r="C1519" s="6" t="str">
        <f>IFERROR(__xludf.DUMMYFUNCTION("""COMPUTED_VALUE"""),"Путешествия")</f>
        <v>Путешествия</v>
      </c>
      <c r="D1519" s="6" t="str">
        <f>IFERROR(__xludf.DUMMYFUNCTION("""COMPUTED_VALUE"""),"Кировский")</f>
        <v>Кировский</v>
      </c>
      <c r="E1519" s="6" t="str">
        <f>IFERROR(__xludf.DUMMYFUNCTION("""COMPUTED_VALUE"""),"ДК, Набережная")</f>
        <v>ДК, Набережная</v>
      </c>
      <c r="F1519" s="6" t="str">
        <f>IFERROR(__xludf.DUMMYFUNCTION("""COMPUTED_VALUE"""),"Живу здесь с рождения")</f>
        <v>Живу здесь с рождения</v>
      </c>
      <c r="G1519" s="6" t="str">
        <f>IFERROR(__xludf.DUMMYFUNCTION("""COMPUTED_VALUE"""),"По разному")</f>
        <v>По разному</v>
      </c>
      <c r="H1519" s="6" t="str">
        <f>IFERROR(__xludf.DUMMYFUNCTION("""COMPUTED_VALUE"""),"Кузбасс, Столица, Уголь")</f>
        <v>Кузбасс, Столица, Уголь</v>
      </c>
      <c r="I1519" s="6" t="str">
        <f>IFERROR(__xludf.DUMMYFUNCTION("""COMPUTED_VALUE"""),"Леонов, Волков")</f>
        <v>Леонов, Волков</v>
      </c>
      <c r="J1519" s="6" t="str">
        <f>IFERROR(__xludf.DUMMYFUNCTION("""COMPUTED_VALUE"""),"Тулеев")</f>
        <v>Тулеев</v>
      </c>
      <c r="K1519" s="6" t="str">
        <f>IFERROR(__xludf.DUMMYFUNCTION("""COMPUTED_VALUE"""),"Набережная, Панк Ангелов, Томская писаница, старый центр")</f>
        <v>Набережная, Панк Ангелов, Томская писаница, старый центр</v>
      </c>
      <c r="L1519" s="6" t="str">
        <f>IFERROR(__xludf.DUMMYFUNCTION("""COMPUTED_VALUE"""),"-")</f>
        <v>-</v>
      </c>
      <c r="M1519" s="6" t="str">
        <f>IFERROR(__xludf.DUMMYFUNCTION("""COMPUTED_VALUE"""),"-")</f>
        <v>-</v>
      </c>
      <c r="N1519" s="6" t="str">
        <f>IFERROR(__xludf.DUMMYFUNCTION("""COMPUTED_VALUE"""),"Экология, Транспортная инфраструктура, соц.службы")</f>
        <v>Экология, Транспортная инфраструктура, соц.службы</v>
      </c>
      <c r="O1519" s="6" t="str">
        <f>IFERROR(__xludf.DUMMYFUNCTION("""COMPUTED_VALUE"""),"Экология, парковки")</f>
        <v>Экология, парковки</v>
      </c>
      <c r="P1519" s="6" t="str">
        <f>IFERROR(__xludf.DUMMYFUNCTION("""COMPUTED_VALUE"""),"Радио Кузбасс, интернет")</f>
        <v>Радио Кузбасс, интернет</v>
      </c>
      <c r="Q1519" s="6" t="str">
        <f>IFERROR(__xludf.DUMMYFUNCTION("""COMPUTED_VALUE"""),"интервью с местными политиками,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политиками,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519" s="6" t="str">
        <f>IFERROR(__xludf.DUMMYFUNCTION("""COMPUTED_VALUE"""),"День города, Новый год")</f>
        <v>День города, Новый год</v>
      </c>
      <c r="S1519" s="6" t="str">
        <f>IFERROR(__xludf.DUMMYFUNCTION("""COMPUTED_VALUE"""),"Нет, не приходилось")</f>
        <v>Нет, не приходилось</v>
      </c>
      <c r="T1519" s="6" t="str">
        <f>IFERROR(__xludf.DUMMYFUNCTION("""COMPUTED_VALUE"""),"Уголь и столица")</f>
        <v>Уголь и столица</v>
      </c>
      <c r="U1519" s="6" t="str">
        <f>IFERROR(__xludf.DUMMYFUNCTION("""COMPUTED_VALUE"""),"Площадь Советов")</f>
        <v>Площадь Советов</v>
      </c>
      <c r="V1519" s="6" t="str">
        <f>IFERROR(__xludf.DUMMYFUNCTION("""COMPUTED_VALUE"""),"Строили в советское время")</f>
        <v>Строили в советское время</v>
      </c>
      <c r="W1519" s="6" t="str">
        <f>IFERROR(__xludf.DUMMYFUNCTION("""COMPUTED_VALUE"""),"Все разные")</f>
        <v>Все разные</v>
      </c>
      <c r="X1519" s="6" t="str">
        <f>IFERROR(__xludf.DUMMYFUNCTION("""COMPUTED_VALUE"""),"Парки, набережная")</f>
        <v>Парки, набережная</v>
      </c>
      <c r="Y1519" s="6" t="str">
        <f>IFERROR(__xludf.DUMMYFUNCTION("""COMPUTED_VALUE"""),"Много разного, сложно выделить")</f>
        <v>Много разного, сложно выделить</v>
      </c>
      <c r="Z1519" s="6" t="str">
        <f>IFERROR(__xludf.DUMMYFUNCTION("""COMPUTED_VALUE"""),"Активная стройка новых объектов")</f>
        <v>Активная стройка новых объектов</v>
      </c>
      <c r="AA1519" s="6" t="str">
        <f>IFERROR(__xludf.DUMMYFUNCTION("""COMPUTED_VALUE"""),"Зимняя Вишня")</f>
        <v>Зимняя Вишня</v>
      </c>
      <c r="AB1519" s="6" t="str">
        <f>IFERROR(__xludf.DUMMYFUNCTION("""COMPUTED_VALUE"""),"Всё есть, только надо искать")</f>
        <v>Всё есть, только надо искать</v>
      </c>
      <c r="AC1519" s="6" t="str">
        <f>IFERROR(__xludf.DUMMYFUNCTION("""COMPUTED_VALUE"""),"Всего хватает")</f>
        <v>Всего хватает</v>
      </c>
      <c r="AD151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19" s="6" t="str">
        <f>IFERROR(__xludf.DUMMYFUNCTION("""COMPUTED_VALUE"""),"Мужской")</f>
        <v>Мужской</v>
      </c>
      <c r="AF1519" s="6" t="str">
        <f>IFERROR(__xludf.DUMMYFUNCTION("""COMPUTED_VALUE"""),"30-44")</f>
        <v>30-44</v>
      </c>
      <c r="AG1519" s="6"/>
      <c r="AH1519" s="6"/>
      <c r="AI1519" s="6"/>
      <c r="AJ1519" s="6"/>
      <c r="AK1519" s="6"/>
      <c r="AL1519" s="6"/>
      <c r="AM1519" s="6"/>
    </row>
    <row r="1520">
      <c r="A1520" s="6">
        <v>1519.0</v>
      </c>
      <c r="B1520" s="6" t="str">
        <f>IFERROR(__xludf.DUMMYFUNCTION("""COMPUTED_VALUE"""),"Менеджер по продажам")</f>
        <v>Менеджер по продажам</v>
      </c>
      <c r="C1520" s="6" t="str">
        <f>IFERROR(__xludf.DUMMYFUNCTION("""COMPUTED_VALUE"""),"Программирование")</f>
        <v>Программирование</v>
      </c>
      <c r="D1520" s="6" t="str">
        <f>IFERROR(__xludf.DUMMYFUNCTION("""COMPUTED_VALUE"""),"Заводский, Южный")</f>
        <v>Заводский, Южный</v>
      </c>
      <c r="E1520" s="6" t="str">
        <f>IFERROR(__xludf.DUMMYFUNCTION("""COMPUTED_VALUE"""),"Нет, к сожалению ")</f>
        <v>Нет, к сожалению </v>
      </c>
      <c r="F1520" s="6" t="str">
        <f>IFERROR(__xludf.DUMMYFUNCTION("""COMPUTED_VALUE"""),"Живу здесь с рождения")</f>
        <v>Живу здесь с рождения</v>
      </c>
      <c r="G1520" s="6" t="str">
        <f>IFERROR(__xludf.DUMMYFUNCTION("""COMPUTED_VALUE"""),"Гуляю по району")</f>
        <v>Гуляю по району</v>
      </c>
      <c r="H1520" s="6" t="str">
        <f>IFERROR(__xludf.DUMMYFUNCTION("""COMPUTED_VALUE"""),"Частный сектор, малый город, молодой, холод, уезжающие в другие города")</f>
        <v>Частный сектор, малый город, молодой, холод, уезжающие в другие города</v>
      </c>
      <c r="I1520" s="6" t="str">
        <f>IFERROR(__xludf.DUMMYFUNCTION("""COMPUTED_VALUE"""),"Не знаю")</f>
        <v>Не знаю</v>
      </c>
      <c r="J1520" s="6" t="str">
        <f>IFERROR(__xludf.DUMMYFUNCTION("""COMPUTED_VALUE"""),"Не знаю")</f>
        <v>Не знаю</v>
      </c>
      <c r="K1520" s="6" t="str">
        <f>IFERROR(__xludf.DUMMYFUNCTION("""COMPUTED_VALUE"""),"Строящаяся набережная, парк у кадетского корпуса")</f>
        <v>Строящаяся набережная, парк у кадетского корпуса</v>
      </c>
      <c r="L1520" s="6" t="str">
        <f>IFERROR(__xludf.DUMMYFUNCTION("""COMPUTED_VALUE"""),"Нет идей")</f>
        <v>Нет идей</v>
      </c>
      <c r="M1520" s="6" t="str">
        <f>IFERROR(__xludf.DUMMYFUNCTION("""COMPUTED_VALUE"""),"Нет")</f>
        <v>Нет</v>
      </c>
      <c r="N1520" s="6" t="str">
        <f>IFERROR(__xludf.DUMMYFUNCTION("""COMPUTED_VALUE"""),"Наличие безбарьерных тротуаров, велодорожек, отсутствие в городе частного сектора, наличие парков для прогулок и бега в доступности от места проживания, единая архитектурная концепция , хорошие дорожные развязки,  наличие парковок для автомобиля ")</f>
        <v>Наличие безбарьерных тротуаров, велодорожек, отсутствие в городе частного сектора, наличие парков для прогулок и бега в доступности от места проживания, единая архитектурная концепция , хорошие дорожные развязки,  наличие парковок для автомобиля </v>
      </c>
      <c r="O1520" s="6" t="str">
        <f>IFERROR(__xludf.DUMMYFUNCTION("""COMPUTED_VALUE"""),"Все из 13 пункта")</f>
        <v>Все из 13 пункта</v>
      </c>
      <c r="P1520" s="6" t="str">
        <f>IFERROR(__xludf.DUMMYFUNCTION("""COMPUTED_VALUE"""),"Нет любимых ресурсов")</f>
        <v>Нет любимых ресурсов</v>
      </c>
      <c r="Q1520" s="6" t="str">
        <f>IFERROR(__xludf.DUMMYFUNCTION("""COMPUTED_VALUE"""),"куда пойти в свободное время,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(напишите"&amp;" в разделе Другое свои предложения)")</f>
        <v>куда пойти в свободное время,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1520" s="6" t="str">
        <f>IFERROR(__xludf.DUMMYFUNCTION("""COMPUTED_VALUE"""),"День города")</f>
        <v>День города</v>
      </c>
      <c r="S1520" s="6" t="str">
        <f>IFERROR(__xludf.DUMMYFUNCTION("""COMPUTED_VALUE"""),"Нет, не приходилось")</f>
        <v>Нет, не приходилось</v>
      </c>
      <c r="T1520" s="6" t="str">
        <f>IFERROR(__xludf.DUMMYFUNCTION("""COMPUTED_VALUE"""),"К сожалению, не знаю о таком, кроме трагедии в «Зимней вишне»")</f>
        <v>К сожалению, не знаю о таком, кроме трагедии в «Зимней вишне»</v>
      </c>
      <c r="U1520" s="6" t="str">
        <f>IFERROR(__xludf.DUMMYFUNCTION("""COMPUTED_VALUE"""),"Площадь Советов")</f>
        <v>Площадь Советов</v>
      </c>
      <c r="V1520" s="6" t="str">
        <f>IFERROR(__xludf.DUMMYFUNCTION("""COMPUTED_VALUE"""),"То было раньше. Гордится нужно нынешними достижениями")</f>
        <v>То было раньше. Гордится нужно нынешними достижениями</v>
      </c>
      <c r="W1520" s="6" t="str">
        <f>IFERROR(__xludf.DUMMYFUNCTION("""COMPUTED_VALUE"""),"Самому было бы интересно узнать")</f>
        <v>Самому было бы интересно узнать</v>
      </c>
      <c r="X1520" s="6" t="str">
        <f>IFERROR(__xludf.DUMMYFUNCTION("""COMPUTED_VALUE"""),"Как в 22")</f>
        <v>Как в 22</v>
      </c>
      <c r="Y1520" s="6" t="str">
        <f>IFERROR(__xludf.DUMMYFUNCTION("""COMPUTED_VALUE"""),"Не знаю")</f>
        <v>Не знаю</v>
      </c>
      <c r="Z1520" s="6" t="str">
        <f>IFERROR(__xludf.DUMMYFUNCTION("""COMPUTED_VALUE"""),"Решение о строительстве объезда города, строительство продолжения набережной и площади. Надеюсь, получится красиво и удобно")</f>
        <v>Решение о строительстве объезда города, строительство продолжения набережной и площади. Надеюсь, получится красиво и удобно</v>
      </c>
      <c r="AA1520" s="6" t="str">
        <f>IFERROR(__xludf.DUMMYFUNCTION("""COMPUTED_VALUE"""),"Нет такого")</f>
        <v>Нет такого</v>
      </c>
      <c r="AB1520" s="6" t="str">
        <f>IFERROR(__xludf.DUMMYFUNCTION("""COMPUTED_VALUE"""),"Обсуждение идей развития города, помощи власти в развитии, ")</f>
        <v>Обсуждение идей развития города, помощи власти в развитии, </v>
      </c>
      <c r="AC1520" s="6" t="str">
        <f>IFERROR(__xludf.DUMMYFUNCTION("""COMPUTED_VALUE"""),"Нужны праздничные мероприятия, которых нет у других. Может парады героев фильмов, карнавалы какие-нибудь. Разные открытые конкурсы типа по робототехники, бои роботов может быть. Также не понимаю, почему спортивные школы не организуют шоу для всех зрителей"&amp;", например художественные гимна тки деликт красивые представления, но это не публично, можно делать шоу на льду у фигуристов. Приглашать с других городов. Чтобы Кемерово был центром притяжения.")</f>
        <v>Нужны праздничные мероприятия, которых нет у других. Может парады героев фильмов, карнавалы какие-нибудь. Разные открытые конкурсы типа по робототехники, бои роботов может быть. Также не понимаю, почему спортивные школы не организуют шоу для всех зрителей, например художественные гимна тки деликт красивые представления, но это не публично, можно делать шоу на льду у фигуристов. Приглашать с других городов. Чтобы Кемерово был центром притяжения.</v>
      </c>
      <c r="AD1520"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Участник"&amp;"а: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520" s="6" t="str">
        <f>IFERROR(__xludf.DUMMYFUNCTION("""COMPUTED_VALUE"""),"Мужской")</f>
        <v>Мужской</v>
      </c>
      <c r="AF1520" s="6" t="str">
        <f>IFERROR(__xludf.DUMMYFUNCTION("""COMPUTED_VALUE"""),"30-44")</f>
        <v>30-44</v>
      </c>
      <c r="AG1520" s="6"/>
      <c r="AH1520" s="6"/>
      <c r="AI1520" s="6"/>
      <c r="AJ1520" s="6"/>
      <c r="AK1520" s="6"/>
      <c r="AL1520" s="6"/>
      <c r="AM1520" s="6"/>
    </row>
    <row r="1521">
      <c r="A1521" s="6">
        <v>1520.0</v>
      </c>
      <c r="B1521" s="6" t="str">
        <f>IFERROR(__xludf.DUMMYFUNCTION("""COMPUTED_VALUE"""),"Госслужащий")</f>
        <v>Госслужащий</v>
      </c>
      <c r="C1521" s="6" t="str">
        <f>IFERROR(__xludf.DUMMYFUNCTION("""COMPUTED_VALUE"""),"Фильмы и живопись")</f>
        <v>Фильмы и живопись</v>
      </c>
      <c r="D1521" s="6" t="str">
        <f>IFERROR(__xludf.DUMMYFUNCTION("""COMPUTED_VALUE"""),"Кировский (так и называю) ")</f>
        <v>Кировский (так и называю) </v>
      </c>
      <c r="E1521" s="6" t="str">
        <f>IFERROR(__xludf.DUMMYFUNCTION("""COMPUTED_VALUE"""),"Набережная, ДК Кировского района")</f>
        <v>Набережная, ДК Кировского района</v>
      </c>
      <c r="F1521" s="6" t="str">
        <f>IFERROR(__xludf.DUMMYFUNCTION("""COMPUTED_VALUE"""),"Переехал сюда из другого места (откуда? укажите в графе другое), Из Казахстана")</f>
        <v>Переехал сюда из другого места (откуда? укажите в графе другое), Из Казахстана</v>
      </c>
      <c r="G1521" s="6" t="str">
        <f>IFERROR(__xludf.DUMMYFUNCTION("""COMPUTED_VALUE"""),"Центр города,  Томская писаница, сосновый бор и санаторий ""Кедровый бор"" ")</f>
        <v>Центр города,  Томская писаница, сосновый бор и санаторий "Кедровый бор" </v>
      </c>
      <c r="H1521" s="6" t="str">
        <f>IFERROR(__xludf.DUMMYFUNCTION("""COMPUTED_VALUE"""),"Тихий")</f>
        <v>Тихий</v>
      </c>
      <c r="I1521" s="6" t="str">
        <f>IFERROR(__xludf.DUMMYFUNCTION("""COMPUTED_VALUE"""),"Леонов Алексей")</f>
        <v>Леонов Алексей</v>
      </c>
      <c r="J1521" s="6" t="str">
        <f>IFERROR(__xludf.DUMMYFUNCTION("""COMPUTED_VALUE"""),"Владимир Михайлов (бывший мер) ")</f>
        <v>Владимир Михайлов (бывший мер) </v>
      </c>
      <c r="K1521" s="6" t="str">
        <f>IFERROR(__xludf.DUMMYFUNCTION("""COMPUTED_VALUE"""),"Томская писаница, Лесная поляна, Хаски лэнд, музей Красная Горка, Весенняя улица, набережные обе, парк Ангелов")</f>
        <v>Томская писаница, Лесная поляна, Хаски лэнд, музей Красная Горка, Весенняя улица, набережные обе, парк Ангелов</v>
      </c>
      <c r="L1521" s="6" t="str">
        <f>IFERROR(__xludf.DUMMYFUNCTION("""COMPUTED_VALUE"""),"Не знаю ничего такого")</f>
        <v>Не знаю ничего такого</v>
      </c>
      <c r="M1521" s="6" t="str">
        <f>IFERROR(__xludf.DUMMYFUNCTION("""COMPUTED_VALUE"""),"Нет")</f>
        <v>Нет</v>
      </c>
      <c r="N1521" s="6" t="str">
        <f>IFERROR(__xludf.DUMMYFUNCTION("""COMPUTED_VALUE"""),"Чистота, безопасность, развитая инфраструктура, экология наличие рабочих мест")</f>
        <v>Чистота, безопасность, развитая инфраструктура, экология наличие рабочих мест</v>
      </c>
      <c r="O1521" s="6" t="str">
        <f>IFERROR(__xludf.DUMMYFUNCTION("""COMPUTED_VALUE"""),"Чистоты не хватает, нет развлекательных центров и не представлены в городе крупнейшие торговые сети, которые есть в других областных центрах")</f>
        <v>Чистоты не хватает, нет развлекательных центров и не представлены в городе крупнейшие торговые сети, которые есть в других областных центрах</v>
      </c>
      <c r="P1521" s="6" t="str">
        <f>IFERROR(__xludf.DUMMYFUNCTION("""COMPUTED_VALUE"""),"Инстаграмм , Вконтакте - паблики Все 42, инцидент Кемерово")</f>
        <v>Инстаграмм , Вконтакте - паблики Все 42, инцидент Кемерово</v>
      </c>
      <c r="Q1521"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результаты местных исследований (рейтинги/аналитика/тенденции)</v>
      </c>
      <c r="R1521" s="6" t="str">
        <f>IFERROR(__xludf.DUMMYFUNCTION("""COMPUTED_VALUE"""),"День города и день Шахтера")</f>
        <v>День города и день Шахтера</v>
      </c>
      <c r="S1521" s="6" t="str">
        <f>IFERROR(__xludf.DUMMYFUNCTION("""COMPUTED_VALUE"""),"Нет, не приходилось")</f>
        <v>Нет, не приходилось</v>
      </c>
      <c r="T1521" s="6" t="str">
        <f>IFERROR(__xludf.DUMMYFUNCTION("""COMPUTED_VALUE"""),"Знаменит Томской писаницей и музеем Красная Горка, и к сожалению Зимней вишней")</f>
        <v>Знаменит Томской писаницей и музеем Красная Горка, и к сожалению Зимней вишней</v>
      </c>
      <c r="U1521" s="6" t="str">
        <f>IFERROR(__xludf.DUMMYFUNCTION("""COMPUTED_VALUE"""),"Исторический центр -пр. Советский и площадь Совето")</f>
        <v>Исторический центр -пр. Советский и площадь Совето</v>
      </c>
      <c r="V1521" s="6" t="str">
        <f>IFERROR(__xludf.DUMMYFUNCTION("""COMPUTED_VALUE"""),"Затрудняюсь ответить")</f>
        <v>Затрудняюсь ответить</v>
      </c>
      <c r="W1521" s="6" t="str">
        <f>IFERROR(__xludf.DUMMYFUNCTION("""COMPUTED_VALUE"""),"Разные, к сожалению очень много маргиналов, и просто невоспитанных людей, которые портят все лучшие начинания... (Сломанные остановочные пункты, расписанные стены домов, часто нецензурно, и т. д.) ")</f>
        <v>Разные, к сожалению очень много маргиналов, и просто невоспитанных людей, которые портят все лучшие начинания... (Сломанные остановочные пункты, расписанные стены домов, часто нецензурно, и т. д.) </v>
      </c>
      <c r="X1521" s="6" t="str">
        <f>IFERROR(__xludf.DUMMYFUNCTION("""COMPUTED_VALUE"""),"Центр города и набережная в центре")</f>
        <v>Центр города и набережная в центре</v>
      </c>
      <c r="Y1521" s="6" t="str">
        <f>IFERROR(__xludf.DUMMYFUNCTION("""COMPUTED_VALUE"""),"Затрудняюсь ответить")</f>
        <v>Затрудняюсь ответить</v>
      </c>
      <c r="Z1521" s="6" t="str">
        <f>IFERROR(__xludf.DUMMYFUNCTION("""COMPUTED_VALUE"""),"Отремонтированный бульвар Строителей и отремонтированная набережная в Кировском, рок фестиваль")</f>
        <v>Отремонтированный бульвар Строителей и отремонтированная набережная в Кировском, рок фестиваль</v>
      </c>
      <c r="AA1521" s="6" t="str">
        <f>IFERROR(__xludf.DUMMYFUNCTION("""COMPUTED_VALUE"""),"Скандалы с полицией и скорой помощью, когда не приезжали вовремя на вызов и не оказывали помощь")</f>
        <v>Скандалы с полицией и скорой помощью, когда не приезжали вовремя на вызов и не оказывали помощь</v>
      </c>
      <c r="AB1521" s="6" t="str">
        <f>IFERROR(__xludf.DUMMYFUNCTION("""COMPUTED_VALUE"""),"Я не любитель сообществ")</f>
        <v>Я не любитель сообществ</v>
      </c>
      <c r="AC1521" s="6" t="str">
        <f>IFERROR(__xludf.DUMMYFUNCTION("""COMPUTED_VALUE"""),"Больше фестивалей и выставок, современных, хотелось бы инверсивные спектакли чтоб появились")</f>
        <v>Больше фестивалей и выставок, современных, хотелось бы инверсивные спектакли чтоб появились</v>
      </c>
      <c r="AD152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21" s="6" t="str">
        <f>IFERROR(__xludf.DUMMYFUNCTION("""COMPUTED_VALUE"""),"Женский")</f>
        <v>Женский</v>
      </c>
      <c r="AF1521" s="6" t="str">
        <f>IFERROR(__xludf.DUMMYFUNCTION("""COMPUTED_VALUE"""),"30-44")</f>
        <v>30-44</v>
      </c>
      <c r="AG1521" s="6"/>
      <c r="AH1521" s="6"/>
      <c r="AI1521" s="6"/>
      <c r="AJ1521" s="6"/>
      <c r="AK1521" s="6"/>
      <c r="AL1521" s="6"/>
      <c r="AM1521" s="6"/>
    </row>
    <row r="1522">
      <c r="A1522" s="6">
        <v>1521.0</v>
      </c>
      <c r="B1522" s="6" t="str">
        <f>IFERROR(__xludf.DUMMYFUNCTION("""COMPUTED_VALUE"""),"Госслужба,+фитнестренер")</f>
        <v>Госслужба,+фитнестренер</v>
      </c>
      <c r="C1522" s="6" t="str">
        <f>IFERROR(__xludf.DUMMYFUNCTION("""COMPUTED_VALUE"""),"Спорт, велосипед собаки, дача ")</f>
        <v>Спорт, велосипед собаки, дача </v>
      </c>
      <c r="D1522" s="6" t="str">
        <f>IFERROR(__xludf.DUMMYFUNCTION("""COMPUTED_VALUE"""),"Центральный ")</f>
        <v>Центральный </v>
      </c>
      <c r="E1522" s="6" t="str">
        <f>IFERROR(__xludf.DUMMYFUNCTION("""COMPUTED_VALUE"""),"Цирк, парк влюбленных")</f>
        <v>Цирк, парк влюбленных</v>
      </c>
      <c r="F1522" s="6" t="str">
        <f>IFERROR(__xludf.DUMMYFUNCTION("""COMPUTED_VALUE"""),"Живу здесь с рождения")</f>
        <v>Живу здесь с рождения</v>
      </c>
      <c r="G1522" s="6" t="str">
        <f>IFERROR(__xludf.DUMMYFUNCTION("""COMPUTED_VALUE"""),"Набережная")</f>
        <v>Набережная</v>
      </c>
      <c r="H1522" s="6" t="str">
        <f>IFERROR(__xludf.DUMMYFUNCTION("""COMPUTED_VALUE"""),"Грязь, смог, заводы, серость, плохие дороги")</f>
        <v>Грязь, смог, заводы, серость, плохие дороги</v>
      </c>
      <c r="I1522" s="6" t="str">
        <f>IFERROR(__xludf.DUMMYFUNCTION("""COMPUTED_VALUE"""),"Леонов, Волошина")</f>
        <v>Леонов, Волошина</v>
      </c>
      <c r="J1522" s="6" t="str">
        <f>IFERROR(__xludf.DUMMYFUNCTION("""COMPUTED_VALUE"""),"Тулеев")</f>
        <v>Тулеев</v>
      </c>
      <c r="K1522" s="6" t="str">
        <f>IFERROR(__xludf.DUMMYFUNCTION("""COMPUTED_VALUE"""),"Набережная, фонтан, театр драмы, парк Жукова в России одна")</f>
        <v>Набережная, фонтан, театр драмы, парк Жукова в России одна</v>
      </c>
      <c r="L1522" s="6" t="str">
        <f>IFERROR(__xludf.DUMMYFUNCTION("""COMPUTED_VALUE"""),"В России две беды дураки и дороги ")</f>
        <v>В России две беды дураки и дороги </v>
      </c>
      <c r="M1522" s="6" t="str">
        <f>IFERROR(__xludf.DUMMYFUNCTION("""COMPUTED_VALUE"""),"Нет")</f>
        <v>Нет</v>
      </c>
      <c r="N1522" s="6" t="str">
        <f>IFERROR(__xludf.DUMMYFUNCTION("""COMPUTED_VALUE"""),"Хорошие дороги, чистый воздух, икея, наличие рабочих мест, парки")</f>
        <v>Хорошие дороги, чистый воздух, икея, наличие рабочих мест, парки</v>
      </c>
      <c r="O1522" s="6" t="str">
        <f>IFERROR(__xludf.DUMMYFUNCTION("""COMPUTED_VALUE"""),"Очистить воздух ")</f>
        <v>Очистить воздух </v>
      </c>
      <c r="P1522" s="6" t="str">
        <f>IFERROR(__xludf.DUMMYFUNCTION("""COMPUTED_VALUE"""),"Инста")</f>
        <v>Инста</v>
      </c>
      <c r="Q1522"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522" s="6" t="str">
        <f>IFERROR(__xludf.DUMMYFUNCTION("""COMPUTED_VALUE"""),"Нет таких")</f>
        <v>Нет таких</v>
      </c>
      <c r="S1522" s="6" t="str">
        <f>IFERROR(__xludf.DUMMYFUNCTION("""COMPUTED_VALUE"""),"Нет, не приходилось")</f>
        <v>Нет, не приходилось</v>
      </c>
      <c r="T1522" s="6" t="str">
        <f>IFERROR(__xludf.DUMMYFUNCTION("""COMPUTED_VALUE"""),"Елка за 18млн")</f>
        <v>Елка за 18млн</v>
      </c>
      <c r="U1522" s="6" t="str">
        <f>IFERROR(__xludf.DUMMYFUNCTION("""COMPUTED_VALUE"""),"Весенняя, набережная, горсад")</f>
        <v>Весенняя, набережная, горсад</v>
      </c>
      <c r="V1522" s="6" t="str">
        <f>IFERROR(__xludf.DUMMYFUNCTION("""COMPUTED_VALUE"""),"Затрудняюсь")</f>
        <v>Затрудняюсь</v>
      </c>
      <c r="W1522" s="6" t="str">
        <f>IFERROR(__xludf.DUMMYFUNCTION("""COMPUTED_VALUE"""),"Хмурые, злые, равнодушные")</f>
        <v>Хмурые, злые, равнодушные</v>
      </c>
      <c r="X1522" s="6" t="str">
        <f>IFERROR(__xludf.DUMMYFUNCTION("""COMPUTED_VALUE"""),"Набережная")</f>
        <v>Набережная</v>
      </c>
      <c r="Y1522" s="6" t="str">
        <f>IFERROR(__xludf.DUMMYFUNCTION("""COMPUTED_VALUE"""),"Не могу сказать ")</f>
        <v>Не могу сказать </v>
      </c>
      <c r="Z1522" s="6" t="str">
        <f>IFERROR(__xludf.DUMMYFUNCTION("""COMPUTED_VALUE"""),"Нет таких")</f>
        <v>Нет таких</v>
      </c>
      <c r="AA1522" s="6" t="str">
        <f>IFERROR(__xludf.DUMMYFUNCTION("""COMPUTED_VALUE"""),"Зимняя вишня. Закрытие лазурного")</f>
        <v>Зимняя вишня. Закрытие лазурного</v>
      </c>
      <c r="AB1522" s="6" t="str">
        <f>IFERROR(__xludf.DUMMYFUNCTION("""COMPUTED_VALUE"""),"Нет таких")</f>
        <v>Нет таких</v>
      </c>
      <c r="AC1522" s="6" t="str">
        <f>IFERROR(__xludf.DUMMYFUNCTION("""COMPUTED_VALUE"""),"Концерты")</f>
        <v>Концерты</v>
      </c>
      <c r="AD1522"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522" s="6" t="str">
        <f>IFERROR(__xludf.DUMMYFUNCTION("""COMPUTED_VALUE"""),"Женский")</f>
        <v>Женский</v>
      </c>
      <c r="AF1522" s="6" t="str">
        <f>IFERROR(__xludf.DUMMYFUNCTION("""COMPUTED_VALUE"""),"30-44")</f>
        <v>30-44</v>
      </c>
      <c r="AG1522" s="6"/>
      <c r="AH1522" s="6"/>
      <c r="AI1522" s="6"/>
      <c r="AJ1522" s="6"/>
      <c r="AK1522" s="6"/>
      <c r="AL1522" s="6"/>
      <c r="AM1522" s="6"/>
    </row>
    <row r="1523">
      <c r="A1523" s="6">
        <v>1522.0</v>
      </c>
      <c r="B1523" s="6" t="str">
        <f>IFERROR(__xludf.DUMMYFUNCTION("""COMPUTED_VALUE"""),"Предприниматель")</f>
        <v>Предприниматель</v>
      </c>
      <c r="C1523" s="6" t="str">
        <f>IFERROR(__xludf.DUMMYFUNCTION("""COMPUTED_VALUE"""),"Вязание")</f>
        <v>Вязание</v>
      </c>
      <c r="D1523" s="6" t="str">
        <f>IFERROR(__xludf.DUMMYFUNCTION("""COMPUTED_VALUE"""),"Радуга")</f>
        <v>Радуга</v>
      </c>
      <c r="E1523" s="6" t="str">
        <f>IFERROR(__xludf.DUMMYFUNCTION("""COMPUTED_VALUE"""),"Сосновый бор")</f>
        <v>Сосновый бор</v>
      </c>
      <c r="F1523" s="6" t="str">
        <f>IFERROR(__xludf.DUMMYFUNCTION("""COMPUTED_VALUE"""),"Живу здесь с рождения")</f>
        <v>Живу здесь с рождения</v>
      </c>
      <c r="G1523" s="6" t="str">
        <f>IFERROR(__xludf.DUMMYFUNCTION("""COMPUTED_VALUE"""),"Набережная р. Томь, Горсад, Сосновый бор")</f>
        <v>Набережная р. Томь, Горсад, Сосновый бор</v>
      </c>
      <c r="H1523" s="6" t="str">
        <f>IFERROR(__xludf.DUMMYFUNCTION("""COMPUTED_VALUE"""),"Уголь, шахта, родина, свобода, дом")</f>
        <v>Уголь, шахта, родина, свобода, дом</v>
      </c>
      <c r="I1523" s="6" t="str">
        <f>IFERROR(__xludf.DUMMYFUNCTION("""COMPUTED_VALUE"""),"Коломейцев")</f>
        <v>Коломейцев</v>
      </c>
      <c r="J1523" s="6" t="str">
        <f>IFERROR(__xludf.DUMMYFUNCTION("""COMPUTED_VALUE"""),"Михайлов (бывший мэр)")</f>
        <v>Михайлов (бывший мэр)</v>
      </c>
      <c r="K1523" s="6" t="str">
        <f>IFERROR(__xludf.DUMMYFUNCTION("""COMPUTED_VALUE"""),"Красная горка, Горсад, Набережная р. Томь")</f>
        <v>Красная горка, Горсад, Набережная р. Томь</v>
      </c>
      <c r="L1523" s="6" t="str">
        <f>IFERROR(__xludf.DUMMYFUNCTION("""COMPUTED_VALUE"""),"Без труда не вытащишь  рыбку из пруда")</f>
        <v>Без труда не вытащишь  рыбку из пруда</v>
      </c>
      <c r="M1523" s="6" t="str">
        <f>IFERROR(__xludf.DUMMYFUNCTION("""COMPUTED_VALUE"""),"Нет")</f>
        <v>Нет</v>
      </c>
      <c r="N1523" s="6" t="str">
        <f>IFERROR(__xludf.DUMMYFUNCTION("""COMPUTED_VALUE"""),"Транспортная доступность, чистые дороги (особенно зимой), отсутствие пробок, много зелени, доброжелательность жителей")</f>
        <v>Транспортная доступность, чистые дороги (особенно зимой), отсутствие пробок, много зелени, доброжелательность жителей</v>
      </c>
      <c r="O1523" s="6" t="str">
        <f>IFERROR(__xludf.DUMMYFUNCTION("""COMPUTED_VALUE"""),"Сделать объездную дорогу вокруг города для фур")</f>
        <v>Сделать объездную дорогу вокруг города для фур</v>
      </c>
      <c r="P1523" s="6" t="str">
        <f>IFERROR(__xludf.DUMMYFUNCTION("""COMPUTED_VALUE"""),"Вайбер, канал Официальный Кузбасс")</f>
        <v>Вайбер, канал Официальный Кузбасс</v>
      </c>
      <c r="Q1523" s="6" t="str">
        <f>IFERROR(__xludf.DUMMYFUNCTION("""COMPUTED_VALUE"""),"куда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v>
      </c>
      <c r="R1523" s="6" t="str">
        <f>IFERROR(__xludf.DUMMYFUNCTION("""COMPUTED_VALUE"""),"День города")</f>
        <v>День города</v>
      </c>
      <c r="S1523" s="6" t="str">
        <f>IFERROR(__xludf.DUMMYFUNCTION("""COMPUTED_VALUE"""),"Нет, не приходилось")</f>
        <v>Нет, не приходилось</v>
      </c>
      <c r="T1523" s="6" t="str">
        <f>IFERROR(__xludf.DUMMYFUNCTION("""COMPUTED_VALUE"""),"Известен ""Зимней вишней"", знаменит углем. Уникальность?- не знаю, обычный рабочий город")</f>
        <v>Известен "Зимней вишней", знаменит углем. Уникальность?- не знаю, обычный рабочий город</v>
      </c>
      <c r="U1523" s="6" t="str">
        <f>IFERROR(__xludf.DUMMYFUNCTION("""COMPUTED_VALUE"""),"Бульвар Строителей, Площадь Советов")</f>
        <v>Бульвар Строителей, Площадь Советов</v>
      </c>
      <c r="V1523" s="6" t="str">
        <f>IFERROR(__xludf.DUMMYFUNCTION("""COMPUTED_VALUE"""),"Хорошо делали свою работу.")</f>
        <v>Хорошо делали свою работу.</v>
      </c>
      <c r="W1523" s="6" t="str">
        <f>IFERROR(__xludf.DUMMYFUNCTION("""COMPUTED_VALUE"""),"Угрюмость, неприветливость, основательность, неторопливость")</f>
        <v>Угрюмость, неприветливость, основательность, неторопливость</v>
      </c>
      <c r="X1523" s="6" t="str">
        <f>IFERROR(__xludf.DUMMYFUNCTION("""COMPUTED_VALUE"""),"Набережная в Горсаду - Красная горка")</f>
        <v>Набережная в Горсаду - Красная горка</v>
      </c>
      <c r="Y1523" s="6" t="str">
        <f>IFERROR(__xludf.DUMMYFUNCTION("""COMPUTED_VALUE"""),"Незнаю")</f>
        <v>Незнаю</v>
      </c>
      <c r="Z1523" s="6" t="str">
        <f>IFERROR(__xludf.DUMMYFUNCTION("""COMPUTED_VALUE"""),"Открытие Кадетского училища на б-ре Строителей")</f>
        <v>Открытие Кадетского училища на б-ре Строителей</v>
      </c>
      <c r="AA1523" s="6" t="str">
        <f>IFERROR(__xludf.DUMMYFUNCTION("""COMPUTED_VALUE"""),"Конфликт вокруг бассейна Лазурный")</f>
        <v>Конфликт вокруг бассейна Лазурный</v>
      </c>
      <c r="AB1523" s="6" t="str">
        <f>IFERROR(__xludf.DUMMYFUNCTION("""COMPUTED_VALUE"""),"Культурных")</f>
        <v>Культурных</v>
      </c>
      <c r="AC1523" s="6" t="str">
        <f>IFERROR(__xludf.DUMMYFUNCTION("""COMPUTED_VALUE"""),"Их должно быть много. Чем разнообразнее они будут - тем интереснее будет")</f>
        <v>Их должно быть много. Чем разнообразнее они будут - тем интереснее будет</v>
      </c>
      <c r="AD152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23" s="6" t="str">
        <f>IFERROR(__xludf.DUMMYFUNCTION("""COMPUTED_VALUE"""),"Женский")</f>
        <v>Женский</v>
      </c>
      <c r="AF1523" s="6" t="str">
        <f>IFERROR(__xludf.DUMMYFUNCTION("""COMPUTED_VALUE"""),"30-44")</f>
        <v>30-44</v>
      </c>
      <c r="AG1523" s="6"/>
      <c r="AH1523" s="6"/>
      <c r="AI1523" s="6"/>
      <c r="AJ1523" s="6"/>
      <c r="AK1523" s="6"/>
      <c r="AL1523" s="6"/>
      <c r="AM1523" s="6"/>
    </row>
    <row r="1524">
      <c r="A1524" s="6">
        <v>1523.0</v>
      </c>
      <c r="B1524" s="6" t="str">
        <f>IFERROR(__xludf.DUMMYFUNCTION("""COMPUTED_VALUE"""),"Учитель")</f>
        <v>Учитель</v>
      </c>
      <c r="C1524" s="6" t="str">
        <f>IFERROR(__xludf.DUMMYFUNCTION("""COMPUTED_VALUE"""),"Музыка")</f>
        <v>Музыка</v>
      </c>
      <c r="D1524" s="6" t="str">
        <f>IFERROR(__xludf.DUMMYFUNCTION("""COMPUTED_VALUE"""),"Кировский")</f>
        <v>Кировский</v>
      </c>
      <c r="E1524" s="6" t="str">
        <f>IFERROR(__xludf.DUMMYFUNCTION("""COMPUTED_VALUE"""),"Парк ""Берёзовая роща""")</f>
        <v>Парк "Берёзовая роща"</v>
      </c>
      <c r="F1524" s="6" t="str">
        <f>IFERROR(__xludf.DUMMYFUNCTION("""COMPUTED_VALUE"""),"Переехал сюда из другого места (откуда? укажите в графе другое), Иваново")</f>
        <v>Переехал сюда из другого места (откуда? укажите в графе другое), Иваново</v>
      </c>
      <c r="G1524" s="6" t="str">
        <f>IFERROR(__xludf.DUMMYFUNCTION("""COMPUTED_VALUE"""),"Набережная (ул. Назарова)")</f>
        <v>Набережная (ул. Назарова)</v>
      </c>
      <c r="H1524" s="6" t="str">
        <f>IFERROR(__xludf.DUMMYFUNCTION("""COMPUTED_VALUE"""),"Шахтёр, Леонов, Дух, Сибирь, Тайга")</f>
        <v>Шахтёр, Леонов, Дух, Сибирь, Тайга</v>
      </c>
      <c r="I1524" s="6" t="str">
        <f>IFERROR(__xludf.DUMMYFUNCTION("""COMPUTED_VALUE"""),"Леонов, Волынов, Александров, Назаров")</f>
        <v>Леонов, Волынов, Александров, Назаров</v>
      </c>
      <c r="J1524" s="6" t="str">
        <f>IFERROR(__xludf.DUMMYFUNCTION("""COMPUTED_VALUE"""),"Тулеев")</f>
        <v>Тулеев</v>
      </c>
      <c r="K1524" s="6" t="str">
        <f>IFERROR(__xludf.DUMMYFUNCTION("""COMPUTED_VALUE"""),"Площадь Пушкина, Красная горка, гора Кузбасс, набережная Кировского района")</f>
        <v>Площадь Пушкина, Красная горка, гора Кузбасс, набережная Кировского района</v>
      </c>
      <c r="L1524" s="6" t="str">
        <f>IFERROR(__xludf.DUMMYFUNCTION("""COMPUTED_VALUE"""),"Истории о величии сибирского духа")</f>
        <v>Истории о величии сибирского духа</v>
      </c>
      <c r="M1524" s="6" t="str">
        <f>IFERROR(__xludf.DUMMYFUNCTION("""COMPUTED_VALUE"""),"Вехотка, повешать, что попало")</f>
        <v>Вехотка, повешать, что попало</v>
      </c>
      <c r="N1524" s="6" t="str">
        <f>IFERROR(__xludf.DUMMYFUNCTION("""COMPUTED_VALUE"""),"1. Доступность инфраструктуры; 2. Экологическая безопасность; 3. Обильное озеленение; 4. Отсутствие парковок во дворах; 5. Безопасность.")</f>
        <v>1. Доступность инфраструктуры; 2. Экологическая безопасность; 3. Обильное озеленение; 4. Отсутствие парковок во дворах; 5. Безопасность.</v>
      </c>
      <c r="O1524" s="6" t="str">
        <f>IFERROR(__xludf.DUMMYFUNCTION("""COMPUTED_VALUE"""),"Благоустроить подходы/подъезды к детсадам и школам")</f>
        <v>Благоустроить подходы/подъезды к детсадам и школам</v>
      </c>
      <c r="P1524" s="6" t="str">
        <f>IFERROR(__xludf.DUMMYFUNCTION("""COMPUTED_VALUE"""),"ВК, Яндекс")</f>
        <v>ВК, Яндекс</v>
      </c>
      <c r="Q1524" s="6" t="str">
        <f>IFERROR(__xludf.DUMMYFUNCTION("""COMPUTED_VALUE"""),"городская афиша (кино/театр/концерты), интервью с местными политиками,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f>
        <v>городская афиша (кино/театр/концерты), интервью с местными политиками, 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1524" s="6" t="str">
        <f>IFERROR(__xludf.DUMMYFUNCTION("""COMPUTED_VALUE"""),"День шахтёра, День города")</f>
        <v>День шахтёра, День города</v>
      </c>
      <c r="S1524" s="6" t="str">
        <f>IFERROR(__xludf.DUMMYFUNCTION("""COMPUTED_VALUE"""),"Работал в СМИ")</f>
        <v>Работал в СМИ</v>
      </c>
      <c r="T1524" s="6" t="str">
        <f>IFERROR(__xludf.DUMMYFUNCTION("""COMPUTED_VALUE"""),"Традиции рабочих профессий")</f>
        <v>Традиции рабочих профессий</v>
      </c>
      <c r="U1524" s="6" t="str">
        <f>IFERROR(__xludf.DUMMYFUNCTION("""COMPUTED_VALUE"""),"Красная горка, КЭМЗ")</f>
        <v>Красная горка, КЭМЗ</v>
      </c>
      <c r="V1524" s="6" t="str">
        <f>IFERROR(__xludf.DUMMYFUNCTION("""COMPUTED_VALUE"""),"Ковали Великую Победу")</f>
        <v>Ковали Великую Победу</v>
      </c>
      <c r="W1524" s="6" t="str">
        <f>IFERROR(__xludf.DUMMYFUNCTION("""COMPUTED_VALUE"""),"Справедливость, духовная чистота, позитианый настрой, доброта")</f>
        <v>Справедливость, духовная чистота, позитианый настрой, доброта</v>
      </c>
      <c r="X1524" s="6" t="str">
        <f>IFERROR(__xludf.DUMMYFUNCTION("""COMPUTED_VALUE"""),"Трамвай 3 + трамвай 1")</f>
        <v>Трамвай 3 + трамвай 1</v>
      </c>
      <c r="Y1524" s="6" t="str">
        <f>IFERROR(__xludf.DUMMYFUNCTION("""COMPUTED_VALUE"""),"Выделение из состава Новосибирской области в 1943 году")</f>
        <v>Выделение из состава Новосибирской области в 1943 году</v>
      </c>
      <c r="Z1524" s="6" t="str">
        <f>IFERROR(__xludf.DUMMYFUNCTION("""COMPUTED_VALUE"""),"Приход к власти Цивилёва С.Е.")</f>
        <v>Приход к власти Цивилёва С.Е.</v>
      </c>
      <c r="AA1524" s="6" t="str">
        <f>IFERROR(__xludf.DUMMYFUNCTION("""COMPUTED_VALUE"""),"Трагедия в ""Зимней вишне""")</f>
        <v>Трагедия в "Зимней вишне"</v>
      </c>
      <c r="AB1524" s="6" t="str">
        <f>IFERROR(__xludf.DUMMYFUNCTION("""COMPUTED_VALUE"""),"Музыкальных")</f>
        <v>Музыкальных</v>
      </c>
      <c r="AC1524" s="6" t="str">
        <f>IFERROR(__xludf.DUMMYFUNCTION("""COMPUTED_VALUE"""),"Мызыкальных событий разных стилей")</f>
        <v>Мызыкальных событий разных стилей</v>
      </c>
      <c r="AD1524"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524" s="6" t="str">
        <f>IFERROR(__xludf.DUMMYFUNCTION("""COMPUTED_VALUE"""),"Мужской")</f>
        <v>Мужской</v>
      </c>
      <c r="AF1524" s="6" t="str">
        <f>IFERROR(__xludf.DUMMYFUNCTION("""COMPUTED_VALUE"""),"30-44")</f>
        <v>30-44</v>
      </c>
      <c r="AG1524" s="6"/>
      <c r="AH1524" s="6"/>
      <c r="AI1524" s="6"/>
      <c r="AJ1524" s="6"/>
      <c r="AK1524" s="6"/>
      <c r="AL1524" s="6"/>
      <c r="AM1524" s="6"/>
    </row>
    <row r="1525">
      <c r="A1525" s="6">
        <v>1524.0</v>
      </c>
      <c r="B1525" s="6" t="str">
        <f>IFERROR(__xludf.DUMMYFUNCTION("""COMPUTED_VALUE"""),"Пенсионерка")</f>
        <v>Пенсионерка</v>
      </c>
      <c r="C1525" s="6" t="str">
        <f>IFERROR(__xludf.DUMMYFUNCTION("""COMPUTED_VALUE"""),"Шитье, лыжи, велосипед")</f>
        <v>Шитье, лыжи, велосипед</v>
      </c>
      <c r="D1525" s="6" t="str">
        <f>IFERROR(__xludf.DUMMYFUNCTION("""COMPUTED_VALUE"""),"Кировский")</f>
        <v>Кировский</v>
      </c>
      <c r="E1525" s="6" t="str">
        <f>IFERROR(__xludf.DUMMYFUNCTION("""COMPUTED_VALUE"""),"Новая набережная")</f>
        <v>Новая набережная</v>
      </c>
      <c r="F1525" s="6" t="str">
        <f>IFERROR(__xludf.DUMMYFUNCTION("""COMPUTED_VALUE"""),"Живу здесь с рождения")</f>
        <v>Живу здесь с рождения</v>
      </c>
      <c r="G1525" s="6" t="str">
        <f>IFERROR(__xludf.DUMMYFUNCTION("""COMPUTED_VALUE"""),"Бор, набережная")</f>
        <v>Бор, набережная</v>
      </c>
      <c r="H1525" s="6" t="str">
        <f>IFERROR(__xludf.DUMMYFUNCTION("""COMPUTED_VALUE"""),"Заброшенный район, дворы безобразие")</f>
        <v>Заброшенный район, дворы безобразие</v>
      </c>
      <c r="I1525" s="6" t="str">
        <f>IFERROR(__xludf.DUMMYFUNCTION("""COMPUTED_VALUE"""),"Леонов, ")</f>
        <v>Леонов, </v>
      </c>
      <c r="J1525" s="6" t="str">
        <f>IFERROR(__xludf.DUMMYFUNCTION("""COMPUTED_VALUE"""),"..... ")</f>
        <v>..... </v>
      </c>
      <c r="K1525" s="6" t="str">
        <f>IFERROR(__xludf.DUMMYFUNCTION("""COMPUTED_VALUE"""),"....... Может Центр")</f>
        <v>....... Может Центр</v>
      </c>
      <c r="L1525" s="6" t="str">
        <f>IFERROR(__xludf.DUMMYFUNCTION("""COMPUTED_VALUE"""),"Хочется материться и плакать")</f>
        <v>Хочется материться и плакать</v>
      </c>
      <c r="M1525" s="6" t="str">
        <f>IFERROR(__xludf.DUMMYFUNCTION("""COMPUTED_VALUE"""),"Кировский дыра,притон для наркоманов, сточные воды и вонь с левобережья")</f>
        <v>Кировский дыра,притон для наркоманов, сточные воды и вонь с левобережья</v>
      </c>
      <c r="N1525" s="6" t="str">
        <f>IFERROR(__xludf.DUMMYFUNCTION("""COMPUTED_VALUE"""),"Прожить ещё одно лето без вони с очистных")</f>
        <v>Прожить ещё одно лето без вони с очистных</v>
      </c>
      <c r="O1525" s="6" t="str">
        <f>IFERROR(__xludf.DUMMYFUNCTION("""COMPUTED_VALUE"""),"В городе достаточно неплохо")</f>
        <v>В городе достаточно неплохо</v>
      </c>
      <c r="P1525" s="6" t="str">
        <f>IFERROR(__xludf.DUMMYFUNCTION("""COMPUTED_VALUE"""),"Интернет")</f>
        <v>Интернет</v>
      </c>
      <c r="Q1525" s="6" t="str">
        <f>IFERROR(__xludf.DUMMYFUNCTION("""COMPUTED_VALUE"""),"где вкусно поесть/открытие новых кафе/ресторанов, городская афиша (кино/театр/концерты)")</f>
        <v>где вкусно поесть/открытие новых кафе/ресторанов, городская афиша (кино/театр/концерты)</v>
      </c>
      <c r="R1525" s="6" t="str">
        <f>IFERROR(__xludf.DUMMYFUNCTION("""COMPUTED_VALUE"""),"Covid мешает жить и нищета, не до праздников!!! ")</f>
        <v>Covid мешает жить и нищета, не до праздников!!! </v>
      </c>
      <c r="S1525" s="6" t="str">
        <f>IFERROR(__xludf.DUMMYFUNCTION("""COMPUTED_VALUE"""),"Нет, не приходилось")</f>
        <v>Нет, не приходилось</v>
      </c>
      <c r="T1525" s="6" t="str">
        <f>IFERROR(__xludf.DUMMYFUNCTION("""COMPUTED_VALUE"""),"Люди хорошие")</f>
        <v>Люди хорошие</v>
      </c>
      <c r="U1525" s="6" t="str">
        <f>IFERROR(__xludf.DUMMYFUNCTION("""COMPUTED_VALUE"""),"Горсад и центр")</f>
        <v>Горсад и центр</v>
      </c>
      <c r="V1525" s="6" t="str">
        <f>IFERROR(__xludf.DUMMYFUNCTION("""COMPUTED_VALUE"""),"..... ")</f>
        <v>..... </v>
      </c>
      <c r="W1525" s="6" t="str">
        <f>IFERROR(__xludf.DUMMYFUNCTION("""COMPUTED_VALUE"""),"В целом сибиряки отличаются красотой души, но нация деградирует")</f>
        <v>В целом сибиряки отличаются красотой души, но нация деградирует</v>
      </c>
      <c r="X1525" s="6" t="str">
        <f>IFERROR(__xludf.DUMMYFUNCTION("""COMPUTED_VALUE"""),"Центр и б-р Строителей, новос ройки")</f>
        <v>Центр и б-р Строителей, новос ройки</v>
      </c>
      <c r="Y1525" s="6" t="str">
        <f>IFERROR(__xludf.DUMMYFUNCTION("""COMPUTED_VALUE"""),"Леонов Алексей наша гордость")</f>
        <v>Леонов Алексей наша гордость</v>
      </c>
      <c r="Z1525" s="6" t="str">
        <f>IFERROR(__xludf.DUMMYFUNCTION("""COMPUTED_VALUE"""),"Радуют  салюты")</f>
        <v>Радуют  салюты</v>
      </c>
      <c r="AA1525" s="6" t="str">
        <f>IFERROR(__xludf.DUMMYFUNCTION("""COMPUTED_VALUE"""),"""Вишня зимняя"" и события связанные с Covid")</f>
        <v>"Вишня зимняя" и события связанные с Covid</v>
      </c>
      <c r="AB1525" s="6" t="str">
        <f>IFERROR(__xludf.DUMMYFUNCTION("""COMPUTED_VALUE"""),"....... ")</f>
        <v>....... </v>
      </c>
      <c r="AC1525" s="6" t="str">
        <f>IFERROR(__xludf.DUMMYFUNCTION("""COMPUTED_VALUE"""),"........ ")</f>
        <v>........ </v>
      </c>
      <c r="AD1525" s="6" t="str">
        <f>IFERROR(__xludf.DUMMYFUNCTION("""COMPUTED_VALUE"""),"Нет надежды на лучшее")</f>
        <v>Нет надежды на лучшее</v>
      </c>
      <c r="AE1525" s="6" t="str">
        <f>IFERROR(__xludf.DUMMYFUNCTION("""COMPUTED_VALUE"""),"Женский")</f>
        <v>Женский</v>
      </c>
      <c r="AF1525" s="6" t="str">
        <f>IFERROR(__xludf.DUMMYFUNCTION("""COMPUTED_VALUE"""),"старше 55")</f>
        <v>старше 55</v>
      </c>
      <c r="AG1525" s="6"/>
      <c r="AH1525" s="6"/>
      <c r="AI1525" s="6"/>
      <c r="AJ1525" s="6"/>
      <c r="AK1525" s="6"/>
      <c r="AL1525" s="6"/>
      <c r="AM1525" s="6"/>
    </row>
    <row r="1526">
      <c r="A1526" s="6">
        <v>1525.0</v>
      </c>
      <c r="B1526" s="6" t="str">
        <f>IFERROR(__xludf.DUMMYFUNCTION("""COMPUTED_VALUE"""),"Специалист по кадрам")</f>
        <v>Специалист по кадрам</v>
      </c>
      <c r="C1526" s="6" t="str">
        <f>IFERROR(__xludf.DUMMYFUNCTION("""COMPUTED_VALUE"""),"Садоводство")</f>
        <v>Садоводство</v>
      </c>
      <c r="D1526" s="6" t="str">
        <f>IFERROR(__xludf.DUMMYFUNCTION("""COMPUTED_VALUE"""),"Южный")</f>
        <v>Южный</v>
      </c>
      <c r="E1526" s="6" t="str">
        <f>IFERROR(__xludf.DUMMYFUNCTION("""COMPUTED_VALUE"""),"Храм Утоли мои печали")</f>
        <v>Храм Утоли мои печали</v>
      </c>
      <c r="F1526"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526" s="6" t="str">
        <f>IFERROR(__xludf.DUMMYFUNCTION("""COMPUTED_VALUE"""),"Набережная Томи")</f>
        <v>Набережная Томи</v>
      </c>
      <c r="H1526" s="6" t="str">
        <f>IFERROR(__xludf.DUMMYFUNCTION("""COMPUTED_VALUE"""),"Газ, трубы, серость, дом, родня")</f>
        <v>Газ, трубы, серость, дом, родня</v>
      </c>
      <c r="I1526" s="6" t="str">
        <f>IFERROR(__xludf.DUMMYFUNCTION("""COMPUTED_VALUE"""),"Штоколов, Бобров, Подгорбунский, Бурков, Двужильный, Пересыпкин, Балибалов, Леонов, Бабанский, Рутгерс...")</f>
        <v>Штоколов, Бобров, Подгорбунский, Бурков, Двужильный, Пересыпкин, Балибалов, Леонов, Бабанский, Рутгерс...</v>
      </c>
      <c r="J1526" s="6" t="str">
        <f>IFERROR(__xludf.DUMMYFUNCTION("""COMPUTED_VALUE"""),"Вайман Е. Ф., Якимова Н. С., Тулеев А. Г., Сапунар А. Я., Плотникова Т. А.,")</f>
        <v>Вайман Е. Ф., Якимова Н. С., Тулеев А. Г., Сапунар А. Я., Плотникова Т. А.,</v>
      </c>
      <c r="K1526" s="6" t="str">
        <f>IFERROR(__xludf.DUMMYFUNCTION("""COMPUTED_VALUE"""),"Музей Красная горка, военно-исторический музей, Музыкальный театр, филармония, притомская набережная, улица Весенняя, Драмтеатр и фонтан, парк Ангелов.")</f>
        <v>Музей Красная горка, военно-исторический музей, Музыкальный театр, филармония, притомская набережная, улица Весенняя, Драмтеатр и фонтан, парк Ангелов.</v>
      </c>
      <c r="L1526" s="6" t="str">
        <f>IFERROR(__xludf.DUMMYFUNCTION("""COMPUTED_VALUE"""),"«Улыбка» на миллион»")</f>
        <v>«Улыбка» на миллион»</v>
      </c>
      <c r="M1526" s="6" t="str">
        <f>IFERROR(__xludf.DUMMYFUNCTION("""COMPUTED_VALUE"""),"Кузбасская пенсия")</f>
        <v>Кузбасская пенсия</v>
      </c>
      <c r="N1526" s="6" t="str">
        <f>IFERROR(__xludf.DUMMYFUNCTION("""COMPUTED_VALUE"""),"Качественная и доступная медицина, качественные дороги и Тротуары, благоустроенные дворы, чистый воздух, парковые зоны со скамейками.")</f>
        <v>Качественная и доступная медицина, качественные дороги и Тротуары, благоустроенные дворы, чистый воздух, парковые зоны со скамейками.</v>
      </c>
      <c r="O1526" s="6" t="str">
        <f>IFERROR(__xludf.DUMMYFUNCTION("""COMPUTED_VALUE"""),"Разбить парки.")</f>
        <v>Разбить парки.</v>
      </c>
      <c r="P1526" s="6" t="str">
        <f>IFERROR(__xludf.DUMMYFUNCTION("""COMPUTED_VALUE"""),"Сибдепо, Инстаграм, официальный сайт администрации Кемерово ")</f>
        <v>Сибдепо, Инстаграм, официальный сайт администрации Кемерово </v>
      </c>
      <c r="Q1526" s="6" t="str">
        <f>IFERROR(__xludf.DUMMYFUNCTION("""COMPUTED_VALUE"""),"городская афиша (кино/театр/концерты), интервью с местными предпринимателями, результаты местных исследований (рейтинги/аналитика/тенденции)")</f>
        <v>городская афиша (кино/театр/концерты), интервью с местными предпринимателями, результаты местных исследований (рейтинги/аналитика/тенденции)</v>
      </c>
      <c r="R1526" s="6" t="str">
        <f>IFERROR(__xludf.DUMMYFUNCTION("""COMPUTED_VALUE"""),"9 мая")</f>
        <v>9 мая</v>
      </c>
      <c r="S1526" s="6" t="str">
        <f>IFERROR(__xludf.DUMMYFUNCTION("""COMPUTED_VALUE"""),"Нет, не приходилось")</f>
        <v>Нет, не приходилось</v>
      </c>
      <c r="T1526" s="6" t="str">
        <f>IFERROR(__xludf.DUMMYFUNCTION("""COMPUTED_VALUE"""),"Пожар в Зимней вишне")</f>
        <v>Пожар в Зимней вишне</v>
      </c>
      <c r="U1526" s="6" t="str">
        <f>IFERROR(__xludf.DUMMYFUNCTION("""COMPUTED_VALUE"""),"Фонтан у Доамтеатра")</f>
        <v>Фонтан у Доамтеатра</v>
      </c>
      <c r="V1526" s="6" t="str">
        <f>IFERROR(__xludf.DUMMYFUNCTION("""COMPUTED_VALUE"""),"Затрудняюсь")</f>
        <v>Затрудняюсь</v>
      </c>
      <c r="W1526" s="6" t="str">
        <f>IFERROR(__xludf.DUMMYFUNCTION("""COMPUTED_VALUE"""),"Суровые")</f>
        <v>Суровые</v>
      </c>
      <c r="X1526" s="6" t="str">
        <f>IFERROR(__xludf.DUMMYFUNCTION("""COMPUTED_VALUE"""),"Проспект Советский - Весенняя - Набережная")</f>
        <v>Проспект Советский - Весенняя - Набережная</v>
      </c>
      <c r="Y1526" s="6" t="str">
        <f>IFERROR(__xludf.DUMMYFUNCTION("""COMPUTED_VALUE"""),"Симфоночь в Томской писанице")</f>
        <v>Симфоночь в Томской писанице</v>
      </c>
      <c r="Z1526" s="6" t="str">
        <f>IFERROR(__xludf.DUMMYFUNCTION("""COMPUTED_VALUE"""),"Новые городские автобусы , светофоры на перекрёстках, концерт Гергиева, театр Слово, обновлённая экспозиция в краеведческом музее, художественные выставки,")</f>
        <v>Новые городские автобусы , светофоры на перекрёстках, концерт Гергиева, театр Слово, обновлённая экспозиция в краеведческом музее, художественные выставки,</v>
      </c>
      <c r="AA1526" s="6" t="str">
        <f>IFERROR(__xludf.DUMMYFUNCTION("""COMPUTED_VALUE"""),"Строительство многоэтажных жилых комплексов и запущение старых , ужасные условия проживания граждан в общежитиях, которые не ремонтировались с момента сдачи в эксплуатацию.")</f>
        <v>Строительство многоэтажных жилых комплексов и запущение старых , ужасные условия проживания граждан в общежитиях, которые не ремонтировались с момента сдачи в эксплуатацию.</v>
      </c>
      <c r="AB1526" s="6" t="str">
        <f>IFERROR(__xludf.DUMMYFUNCTION("""COMPUTED_VALUE"""),"Лично мне хватает")</f>
        <v>Лично мне хватает</v>
      </c>
      <c r="AC1526" s="6" t="str">
        <f>IFERROR(__xludf.DUMMYFUNCTION("""COMPUTED_VALUE"""),"Красивые парки и скверы , уличные музыканты")</f>
        <v>Красивые парки и скверы , уличные музыканты</v>
      </c>
      <c r="AD152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26" s="6" t="str">
        <f>IFERROR(__xludf.DUMMYFUNCTION("""COMPUTED_VALUE"""),"Женский")</f>
        <v>Женский</v>
      </c>
      <c r="AF1526" s="6" t="str">
        <f>IFERROR(__xludf.DUMMYFUNCTION("""COMPUTED_VALUE"""),"45-55")</f>
        <v>45-55</v>
      </c>
      <c r="AG1526" s="6"/>
      <c r="AH1526" s="6"/>
      <c r="AI1526" s="6"/>
      <c r="AJ1526" s="6"/>
      <c r="AK1526" s="6"/>
      <c r="AL1526" s="6"/>
      <c r="AM1526" s="6"/>
    </row>
    <row r="1527">
      <c r="A1527" s="6">
        <v>1526.0</v>
      </c>
      <c r="B1527" s="6" t="str">
        <f>IFERROR(__xludf.DUMMYFUNCTION("""COMPUTED_VALUE"""),"Специалист по продажам")</f>
        <v>Специалист по продажам</v>
      </c>
      <c r="C1527" s="6" t="str">
        <f>IFERROR(__xludf.DUMMYFUNCTION("""COMPUTED_VALUE"""),"Нет")</f>
        <v>Нет</v>
      </c>
      <c r="D1527" s="6" t="str">
        <f>IFERROR(__xludf.DUMMYFUNCTION("""COMPUTED_VALUE"""),"Центральный")</f>
        <v>Центральный</v>
      </c>
      <c r="E1527" s="6" t="str">
        <f>IFERROR(__xludf.DUMMYFUNCTION("""COMPUTED_VALUE"""),"Пл. Советов, фонтан у драм. театра, набережная,вечный огонь, филармония, гор. сад,набережная р. искитимка, пл. Пушкина, ул Весенняя. ")</f>
        <v>Пл. Советов, фонтан у драм. театра, набережная,вечный огонь, филармония, гор. сад,набережная р. искитимка, пл. Пушкина, ул Весенняя. </v>
      </c>
      <c r="F1527" s="6" t="str">
        <f>IFERROR(__xludf.DUMMYFUNCTION("""COMPUTED_VALUE"""),"Живу здесь с рождения")</f>
        <v>Живу здесь с рождения</v>
      </c>
      <c r="G1527" s="6" t="str">
        <f>IFERROR(__xludf.DUMMYFUNCTION("""COMPUTED_VALUE"""),"В парки, в молод. театр, кино. ")</f>
        <v>В парки, в молод. театр, кино. </v>
      </c>
      <c r="H1527" s="6" t="str">
        <f>IFERROR(__xludf.DUMMYFUNCTION("""COMPUTED_VALUE"""),"Большая деревня. ")</f>
        <v>Большая деревня. </v>
      </c>
      <c r="I1527" s="6" t="str">
        <f>IFERROR(__xludf.DUMMYFUNCTION("""COMPUTED_VALUE"""),"Леонов. ")</f>
        <v>Леонов. </v>
      </c>
      <c r="J1527" s="6" t="str">
        <f>IFERROR(__xludf.DUMMYFUNCTION("""COMPUTED_VALUE"""),"Не знаю таких")</f>
        <v>Не знаю таких</v>
      </c>
      <c r="K1527" s="6" t="str">
        <f>IFERROR(__xludf.DUMMYFUNCTION("""COMPUTED_VALUE"""),"Нет таких")</f>
        <v>Нет таких</v>
      </c>
      <c r="L1527" s="6" t="str">
        <f>IFERROR(__xludf.DUMMYFUNCTION("""COMPUTED_VALUE"""),"Не знаю")</f>
        <v>Не знаю</v>
      </c>
      <c r="M1527" s="6" t="str">
        <f>IFERROR(__xludf.DUMMYFUNCTION("""COMPUTED_VALUE"""),"Нет")</f>
        <v>Нет</v>
      </c>
      <c r="N1527" s="6" t="str">
        <f>IFERROR(__xludf.DUMMYFUNCTION("""COMPUTED_VALUE"""),"Чистота(в т. ч. воздуха) , зоны отдыха, малоитажная застройка, транспортная доступность, забота о бездомных животных (не уничтожение, а поддержка и помощь зоозащитным организациям) ")</f>
        <v>Чистота(в т. ч. воздуха) , зоны отдыха, малоитажная застройка, транспортная доступность, забота о бездомных животных (не уничтожение, а поддержка и помощь зоозащитным организациям) </v>
      </c>
      <c r="O1527" s="6" t="str">
        <f>IFERROR(__xludf.DUMMYFUNCTION("""COMPUTED_VALUE"""),"Не знаю")</f>
        <v>Не знаю</v>
      </c>
      <c r="P1527" s="6" t="str">
        <f>IFERROR(__xludf.DUMMYFUNCTION("""COMPUTED_VALUE"""),"Не интересуюсь событиями города")</f>
        <v>Не интересуюсь событиями города</v>
      </c>
      <c r="Q1527" s="6" t="str">
        <f>IFERROR(__xludf.DUMMYFUNCTION("""COMPUTED_VALUE"""),"Отчеты о потраченеых бюджетных деньгах, администрацией города, и руководителей мун. организаций здравоохранения и др. ")</f>
        <v>Отчеты о потраченеых бюджетных деньгах, администрацией города, и руководителей мун. организаций здравоохранения и др. </v>
      </c>
      <c r="R1527" s="6" t="str">
        <f>IFERROR(__xludf.DUMMYFUNCTION("""COMPUTED_VALUE"""),"День города")</f>
        <v>День города</v>
      </c>
      <c r="S1527" s="6" t="str">
        <f>IFERROR(__xludf.DUMMYFUNCTION("""COMPUTED_VALUE"""),"Нет, не приходилось")</f>
        <v>Нет, не приходилось</v>
      </c>
      <c r="T1527" s="6" t="str">
        <f>IFERROR(__xludf.DUMMYFUNCTION("""COMPUTED_VALUE"""),"Известен углем. ")</f>
        <v>Известен углем. </v>
      </c>
      <c r="U1527" s="6" t="str">
        <f>IFERROR(__xludf.DUMMYFUNCTION("""COMPUTED_VALUE"""),"По. Советов")</f>
        <v>По. Советов</v>
      </c>
      <c r="V1527" s="6" t="str">
        <f>IFERROR(__xludf.DUMMYFUNCTION("""COMPUTED_VALUE"""),"Шахтеры, в советское время, углем страну обеспечивали. ")</f>
        <v>Шахтеры, в советское время, углем страну обеспечивали. </v>
      </c>
      <c r="W1527" s="6" t="str">
        <f>IFERROR(__xludf.DUMMYFUNCTION("""COMPUTED_VALUE"""),"Обычные")</f>
        <v>Обычные</v>
      </c>
      <c r="X1527" s="6" t="str">
        <f>IFERROR(__xludf.DUMMYFUNCTION("""COMPUTED_VALUE"""),"Крутого нет")</f>
        <v>Крутого нет</v>
      </c>
      <c r="Y1527" s="6" t="str">
        <f>IFERROR(__xludf.DUMMYFUNCTION("""COMPUTED_VALUE"""),"Нет такого")</f>
        <v>Нет такого</v>
      </c>
      <c r="Z1527" s="6" t="str">
        <f>IFERROR(__xludf.DUMMYFUNCTION("""COMPUTED_VALUE"""),"Никакие")</f>
        <v>Никакие</v>
      </c>
      <c r="AA1527" s="6" t="str">
        <f>IFERROR(__xludf.DUMMYFUNCTION("""COMPUTED_VALUE"""),"Полиция из-за отсутствия свободного экипажа не приехала на вызов, когда девушку убивали. Вообще полиция не приезжает, когда вызываешь по поводу беспорядков ночью во дворе. ")</f>
        <v>Полиция из-за отсутствия свободного экипажа не приехала на вызов, когда девушку убивали. Вообще полиция не приезжает, когда вызываешь по поводу беспорядков ночью во дворе. </v>
      </c>
      <c r="AB1527" s="6" t="str">
        <f>IFERROR(__xludf.DUMMYFUNCTION("""COMPUTED_VALUE"""),"Сообеств хватает, не хватает поддержки зоопрютам и зоозащитникам. ")</f>
        <v>Сообеств хватает, не хватает поддержки зоопрютам и зоозащитникам. </v>
      </c>
      <c r="AC1527" s="6" t="str">
        <f>IFERROR(__xludf.DUMMYFUNCTION("""COMPUTED_VALUE"""),"Больше привозных выставок больших российских музеев")</f>
        <v>Больше привозных выставок больших российских музеев</v>
      </c>
      <c r="AD152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27" s="6" t="str">
        <f>IFERROR(__xludf.DUMMYFUNCTION("""COMPUTED_VALUE"""),"Женский")</f>
        <v>Женский</v>
      </c>
      <c r="AF1527" s="6" t="str">
        <f>IFERROR(__xludf.DUMMYFUNCTION("""COMPUTED_VALUE"""),"30-44")</f>
        <v>30-44</v>
      </c>
      <c r="AG1527" s="6"/>
      <c r="AH1527" s="6"/>
      <c r="AI1527" s="6"/>
      <c r="AJ1527" s="6"/>
      <c r="AK1527" s="6"/>
      <c r="AL1527" s="6"/>
      <c r="AM1527" s="6"/>
    </row>
    <row r="1528">
      <c r="A1528" s="6">
        <v>1527.0</v>
      </c>
      <c r="B1528" s="6" t="str">
        <f>IFERROR(__xludf.DUMMYFUNCTION("""COMPUTED_VALUE"""),"Работаю")</f>
        <v>Работаю</v>
      </c>
      <c r="C1528" s="6" t="str">
        <f>IFERROR(__xludf.DUMMYFUNCTION("""COMPUTED_VALUE"""),"Цветоводство")</f>
        <v>Цветоводство</v>
      </c>
      <c r="D1528" s="6" t="str">
        <f>IFERROR(__xludf.DUMMYFUNCTION("""COMPUTED_VALUE"""),"Заводский, Южный, так и называю Южный")</f>
        <v>Заводский, Южный, так и называю Южный</v>
      </c>
      <c r="E1528" s="6" t="str">
        <f>IFERROR(__xludf.DUMMYFUNCTION("""COMPUTED_VALUE"""),"Нет знаковых мест, нет парков, нет спорткомплекса, не куда ребёнка сводить, маленькая площадка возле Церкви, куда приводят детей. ")</f>
        <v>Нет знаковых мест, нет парков, нет спорткомплекса, не куда ребёнка сводить, маленькая площадка возле Церкви, куда приводят детей. </v>
      </c>
      <c r="F1528" s="6" t="str">
        <f>IFERROR(__xludf.DUMMYFUNCTION("""COMPUTED_VALUE"""),"Живу здесь с рождения")</f>
        <v>Живу здесь с рождения</v>
      </c>
      <c r="G1528" s="6" t="str">
        <f>IFERROR(__xludf.DUMMYFUNCTION("""COMPUTED_VALUE"""),"Парк Жукова, бор, городской сад")</f>
        <v>Парк Жукова, бор, городской сад</v>
      </c>
      <c r="H1528" s="6" t="str">
        <f>IFERROR(__xludf.DUMMYFUNCTION("""COMPUTED_VALUE"""),"Очень хочется чтобы слова написанные поэтом стали действительностью Город-сад! ")</f>
        <v>Очень хочется чтобы слова написанные поэтом стали действительностью Город-сад! </v>
      </c>
      <c r="I1528" s="6" t="str">
        <f>IFERROR(__xludf.DUMMYFUNCTION("""COMPUTED_VALUE"""),"Мартемьянов, Леонов")</f>
        <v>Мартемьянов, Леонов</v>
      </c>
      <c r="J1528" s="6" t="str">
        <f>IFERROR(__xludf.DUMMYFUNCTION("""COMPUTED_VALUE"""),"Якунин Игорь Николаевич, Тулеев")</f>
        <v>Якунин Игорь Николаевич, Тулеев</v>
      </c>
      <c r="K1528" s="6" t="str">
        <f>IFERROR(__xludf.DUMMYFUNCTION("""COMPUTED_VALUE"""),"Памятник шахтёрам, Набережную")</f>
        <v>Памятник шахтёрам, Набережную</v>
      </c>
      <c r="L1528" s="6" t="str">
        <f>IFERROR(__xludf.DUMMYFUNCTION("""COMPUTED_VALUE"""),"Не знаю")</f>
        <v>Не знаю</v>
      </c>
      <c r="M1528" s="6" t="str">
        <f>IFERROR(__xludf.DUMMYFUNCTION("""COMPUTED_VALUE"""),"Нет")</f>
        <v>Нет</v>
      </c>
      <c r="N1528" s="6" t="str">
        <f>IFERROR(__xludf.DUMMYFUNCTION("""COMPUTED_VALUE"""),"Парки и зелёные зоны в шаговой доступности, бассейны, спорт комплексы,  Южный, район где много молодых семей и ничего нет. ")</f>
        <v>Парки и зелёные зоны в шаговой доступности, бассейны, спорт комплексы,  Южный, район где много молодых семей и ничего нет. </v>
      </c>
      <c r="O1528" s="6" t="str">
        <f>IFERROR(__xludf.DUMMYFUNCTION("""COMPUTED_VALUE"""),"Построить современные детскую и взрослую поликлиники на Южном, улучшить работу транспорта, навести порядок, город очень грязный. ")</f>
        <v>Построить современные детскую и взрослую поликлиники на Южном, улучшить работу транспорта, навести порядок, город очень грязный. </v>
      </c>
      <c r="P1528" s="6" t="str">
        <f>IFERROR(__xludf.DUMMYFUNCTION("""COMPUTED_VALUE"""),"Новости")</f>
        <v>Новости</v>
      </c>
      <c r="Q1528" s="6" t="str">
        <f>IFERROR(__xludf.DUMMYFUNCTION("""COMPUTED_VALUE"""),"городская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1528" s="6" t="str">
        <f>IFERROR(__xludf.DUMMYFUNCTION("""COMPUTED_VALUE"""),"День города")</f>
        <v>День города</v>
      </c>
      <c r="S1528" s="6" t="str">
        <f>IFERROR(__xludf.DUMMYFUNCTION("""COMPUTED_VALUE"""),"Нет, не приходилось")</f>
        <v>Нет, не приходилось</v>
      </c>
      <c r="T1528" s="6" t="str">
        <f>IFERROR(__xludf.DUMMYFUNCTION("""COMPUTED_VALUE"""),"Обычный город")</f>
        <v>Обычный город</v>
      </c>
      <c r="U1528" s="6" t="str">
        <f>IFERROR(__xludf.DUMMYFUNCTION("""COMPUTED_VALUE"""),"Весенняя, Площадь Советов")</f>
        <v>Весенняя, Площадь Советов</v>
      </c>
      <c r="V1528" s="6" t="str">
        <f>IFERROR(__xludf.DUMMYFUNCTION("""COMPUTED_VALUE"""),"Построили город, заводы и фабрики, заложили парки и скверы. Жаль, что от заводов и фабрик остались лишь воспоминания. ")</f>
        <v>Построили город, заводы и фабрики, заложили парки и скверы. Жаль, что от заводов и фабрик остались лишь воспоминания. </v>
      </c>
      <c r="W1528" s="6" t="str">
        <f>IFERROR(__xludf.DUMMYFUNCTION("""COMPUTED_VALUE"""),"С широкой душой и добрым сердцем! ")</f>
        <v>С широкой душой и добрым сердцем! </v>
      </c>
      <c r="X1528" s="6" t="str">
        <f>IFERROR(__xludf.DUMMYFUNCTION("""COMPUTED_VALUE"""),"Нет крутых маршрутов,  Центр горсад, Площадь Советов, Весенняя. ")</f>
        <v>Нет крутых маршрутов,  Центр горсад, Площадь Советов, Весенняя. </v>
      </c>
      <c r="Y1528" s="6" t="str">
        <f>IFERROR(__xludf.DUMMYFUNCTION("""COMPUTED_VALUE"""),"Добыча угля! ")</f>
        <v>Добыча угля! </v>
      </c>
      <c r="Z1528" s="6" t="str">
        <f>IFERROR(__xludf.DUMMYFUNCTION("""COMPUTED_VALUE"""),"Нет таких")</f>
        <v>Нет таких</v>
      </c>
      <c r="AA1528" s="6" t="str">
        <f>IFERROR(__xludf.DUMMYFUNCTION("""COMPUTED_VALUE"""),"Развал медицины")</f>
        <v>Развал медицины</v>
      </c>
      <c r="AB1528" s="6" t="str">
        <f>IFERROR(__xludf.DUMMYFUNCTION("""COMPUTED_VALUE"""),"Дети - это будущее!!! ")</f>
        <v>Дети - это будущее!!! </v>
      </c>
      <c r="AC1528" s="6" t="str">
        <f>IFERROR(__xludf.DUMMYFUNCTION("""COMPUTED_VALUE"""),"Мероприятия и события, которые можно посетить  семьями")</f>
        <v>Мероприятия и события, которые можно посетить  семьями</v>
      </c>
      <c r="AD152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 Приняла участие в озеленени"&amp;"и")</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 Приняла участие в озеленении</v>
      </c>
      <c r="AE1528" s="6" t="str">
        <f>IFERROR(__xludf.DUMMYFUNCTION("""COMPUTED_VALUE"""),"Женский")</f>
        <v>Женский</v>
      </c>
      <c r="AF1528" s="6" t="str">
        <f>IFERROR(__xludf.DUMMYFUNCTION("""COMPUTED_VALUE"""),"старше 55")</f>
        <v>старше 55</v>
      </c>
      <c r="AG1528" s="6"/>
      <c r="AH1528" s="6"/>
      <c r="AI1528" s="6"/>
      <c r="AJ1528" s="6"/>
      <c r="AK1528" s="6"/>
      <c r="AL1528" s="6"/>
      <c r="AM1528" s="6"/>
    </row>
    <row r="1529">
      <c r="A1529" s="6">
        <v>1528.0</v>
      </c>
      <c r="B1529" s="6" t="str">
        <f>IFERROR(__xludf.DUMMYFUNCTION("""COMPUTED_VALUE"""),"Самозанята")</f>
        <v>Самозанята</v>
      </c>
      <c r="C1529" s="6" t="str">
        <f>IFERROR(__xludf.DUMMYFUNCTION("""COMPUTED_VALUE"""),"Вокал, кулинария, шитье, вязание, дача")</f>
        <v>Вокал, кулинария, шитье, вязание, дача</v>
      </c>
      <c r="D1529" s="6" t="str">
        <f>IFERROR(__xludf.DUMMYFUNCTION("""COMPUTED_VALUE"""),"Южный")</f>
        <v>Южный</v>
      </c>
      <c r="E1529" s="6" t="str">
        <f>IFERROR(__xludf.DUMMYFUNCTION("""COMPUTED_VALUE"""),"Церковь, аллея на Патриотов,")</f>
        <v>Церковь, аллея на Патриотов,</v>
      </c>
      <c r="F1529" s="6" t="str">
        <f>IFERROR(__xludf.DUMMYFUNCTION("""COMPUTED_VALUE"""),"Живу здесь с рождения")</f>
        <v>Живу здесь с рождения</v>
      </c>
      <c r="G1529" s="6" t="str">
        <f>IFERROR(__xludf.DUMMYFUNCTION("""COMPUTED_VALUE"""),"Горсад, парк победы, Весенняя, бор на Радуге")</f>
        <v>Горсад, парк победы, Весенняя, бор на Радуге</v>
      </c>
      <c r="H1529" s="6" t="str">
        <f>IFERROR(__xludf.DUMMYFUNCTION("""COMPUTED_VALUE"""),"Зелень, Томь, театр на Весенней, мой дом, Шахтеры")</f>
        <v>Зелень, Томь, театр на Весенней, мой дом, Шахтеры</v>
      </c>
      <c r="I1529" s="6" t="str">
        <f>IFERROR(__xludf.DUMMYFUNCTION("""COMPUTED_VALUE"""),"Волков, Леонов,")</f>
        <v>Волков, Леонов,</v>
      </c>
      <c r="J1529" s="6" t="str">
        <f>IFERROR(__xludf.DUMMYFUNCTION("""COMPUTED_VALUE"""),"Гришковец, Панин, Леонов.")</f>
        <v>Гришковец, Панин, Леонов.</v>
      </c>
      <c r="K1529" s="6" t="str">
        <f>IFERROR(__xludf.DUMMYFUNCTION("""COMPUTED_VALUE"""),"Красная горка, парк победы, Весенняя, набережная, ")</f>
        <v>Красная горка, парк победы, Весенняя, набережная, </v>
      </c>
      <c r="L1529" s="6" t="str">
        <f>IFERROR(__xludf.DUMMYFUNCTION("""COMPUTED_VALUE"""),"Затолкали в газовую камеру кемеровчанина, а ему хоть бы что, следом толкают Москвича, он упирается и плачет, а кемеровчанин говорит- ""Слышь, ты или туда или сюда... газ то выходит"" ))))) ")</f>
        <v>Затолкали в газовую камеру кемеровчанина, а ему хоть бы что, следом толкают Москвича, он упирается и плачет, а кемеровчанин говорит- "Слышь, ты или туда или сюда... газ то выходит" ))))) </v>
      </c>
      <c r="M1529" s="6" t="str">
        <f>IFERROR(__xludf.DUMMYFUNCTION("""COMPUTED_VALUE"""),"Нет")</f>
        <v>Нет</v>
      </c>
      <c r="N1529" s="6" t="str">
        <f>IFERROR(__xludf.DUMMYFUNCTION("""COMPUTED_VALUE"""),"Хорошие дороги относительно других городов. Всё рядом, мало пробок,")</f>
        <v>Хорошие дороги относительно других городов. Всё рядом, мало пробок,</v>
      </c>
      <c r="O1529" s="6" t="str">
        <f>IFERROR(__xludf.DUMMYFUNCTION("""COMPUTED_VALUE"""),"Заняться ветхим жильем , переселить людей, которые живут в аварийных домах. Восстановить местное производство. Помочь деревенским. Нужно создавать рабочие места в селах и деревнях, наладить фермерское производство.")</f>
        <v>Заняться ветхим жильем , переселить людей, которые живут в аварийных домах. Восстановить местное производство. Помочь деревенским. Нужно создавать рабочие места в селах и деревнях, наладить фермерское производство.</v>
      </c>
      <c r="P1529" s="6" t="str">
        <f>IFERROR(__xludf.DUMMYFUNCTION("""COMPUTED_VALUE"""),"Инстаграм")</f>
        <v>Инстаграм</v>
      </c>
      <c r="Q1529"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529" s="6" t="str">
        <f>IFERROR(__xludf.DUMMYFUNCTION("""COMPUTED_VALUE"""),"9 мая")</f>
        <v>9 мая</v>
      </c>
      <c r="S1529" s="6" t="str">
        <f>IFERROR(__xludf.DUMMYFUNCTION("""COMPUTED_VALUE"""),"Нет, не приходилось")</f>
        <v>Нет, не приходилось</v>
      </c>
      <c r="T1529" s="6" t="str">
        <f>IFERROR(__xludf.DUMMYFUNCTION("""COMPUTED_VALUE"""),"Уголь")</f>
        <v>Уголь</v>
      </c>
      <c r="U1529" s="6" t="str">
        <f>IFERROR(__xludf.DUMMYFUNCTION("""COMPUTED_VALUE"""),"Универмаг")</f>
        <v>Универмаг</v>
      </c>
      <c r="V1529" s="6" t="str">
        <f>IFERROR(__xludf.DUMMYFUNCTION("""COMPUTED_VALUE"""),"Родили и воспитали хороших и талантливых людей")</f>
        <v>Родили и воспитали хороших и талантливых людей</v>
      </c>
      <c r="W1529" s="6" t="str">
        <f>IFERROR(__xludf.DUMMYFUNCTION("""COMPUTED_VALUE"""),"Милосердные, отзывчивые, терпеливые")</f>
        <v>Милосердные, отзывчивые, терпеливые</v>
      </c>
      <c r="X1529" s="6" t="str">
        <f>IFERROR(__xludf.DUMMYFUNCTION("""COMPUTED_VALUE"""),"Красная горка, набережная, южный")</f>
        <v>Красная горка, набережная, южный</v>
      </c>
      <c r="Y1529" s="6" t="str">
        <f>IFERROR(__xludf.DUMMYFUNCTION("""COMPUTED_VALUE"""),"Рок концерт")</f>
        <v>Рок концерт</v>
      </c>
      <c r="Z1529" s="6" t="str">
        <f>IFERROR(__xludf.DUMMYFUNCTION("""COMPUTED_VALUE"""),"Рок концерт")</f>
        <v>Рок концерт</v>
      </c>
      <c r="AA1529" s="6" t="str">
        <f>IFERROR(__xludf.DUMMYFUNCTION("""COMPUTED_VALUE"""),"Зимняя вишня, убийство Веры Пехтелевой")</f>
        <v>Зимняя вишня, убийство Веры Пехтелевой</v>
      </c>
      <c r="AB1529" s="6" t="str">
        <f>IFERROR(__xludf.DUMMYFUNCTION("""COMPUTED_VALUE"""),"Всего хватает")</f>
        <v>Всего хватает</v>
      </c>
      <c r="AC1529" s="6" t="str">
        <f>IFERROR(__xludf.DUMMYFUNCTION("""COMPUTED_VALUE"""),"Не люблю городские мероприятия . Всегда толкотня.")</f>
        <v>Не люблю городские мероприятия . Всегда толкотня.</v>
      </c>
      <c r="AD152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529" s="6" t="str">
        <f>IFERROR(__xludf.DUMMYFUNCTION("""COMPUTED_VALUE"""),"Женский")</f>
        <v>Женский</v>
      </c>
      <c r="AF1529" s="6" t="str">
        <f>IFERROR(__xludf.DUMMYFUNCTION("""COMPUTED_VALUE"""),"45-55")</f>
        <v>45-55</v>
      </c>
      <c r="AG1529" s="6"/>
      <c r="AH1529" s="6"/>
      <c r="AI1529" s="6"/>
      <c r="AJ1529" s="6"/>
      <c r="AK1529" s="6"/>
      <c r="AL1529" s="6"/>
      <c r="AM1529" s="6"/>
    </row>
    <row r="1530">
      <c r="A1530" s="6">
        <v>1529.0</v>
      </c>
      <c r="B1530" s="6" t="str">
        <f>IFERROR(__xludf.DUMMYFUNCTION("""COMPUTED_VALUE"""),"Пенсионер ")</f>
        <v>Пенсионер </v>
      </c>
      <c r="C1530" s="6" t="str">
        <f>IFERROR(__xludf.DUMMYFUNCTION("""COMPUTED_VALUE"""),"Нет ")</f>
        <v>Нет </v>
      </c>
      <c r="D1530" s="6" t="str">
        <f>IFERROR(__xludf.DUMMYFUNCTION("""COMPUTED_VALUE"""),"Кировский")</f>
        <v>Кировский</v>
      </c>
      <c r="E1530" s="6" t="str">
        <f>IFERROR(__xludf.DUMMYFUNCTION("""COMPUTED_VALUE"""),"ДК")</f>
        <v>ДК</v>
      </c>
      <c r="F1530" s="6" t="str">
        <f>IFERROR(__xludf.DUMMYFUNCTION("""COMPUTED_VALUE"""),"Живу здесь с рождения")</f>
        <v>Живу здесь с рождения</v>
      </c>
      <c r="G1530" s="6" t="str">
        <f>IFERROR(__xludf.DUMMYFUNCTION("""COMPUTED_VALUE"""),"Горсад")</f>
        <v>Горсад</v>
      </c>
      <c r="H1530" s="6" t="str">
        <f>IFERROR(__xludf.DUMMYFUNCTION("""COMPUTED_VALUE"""),"Д@ра")</f>
        <v>Д@ра</v>
      </c>
      <c r="I1530" s="6" t="str">
        <f>IFERROR(__xludf.DUMMYFUNCTION("""COMPUTED_VALUE"""),"Бутов")</f>
        <v>Бутов</v>
      </c>
      <c r="J1530" s="6" t="str">
        <f>IFERROR(__xludf.DUMMYFUNCTION("""COMPUTED_VALUE"""),"Михайлов В.В.")</f>
        <v>Михайлов В.В.</v>
      </c>
      <c r="K1530" s="6" t="str">
        <f>IFERROR(__xludf.DUMMYFUNCTION("""COMPUTED_VALUE"""),"Сосновый бор ")</f>
        <v>Сосновый бор </v>
      </c>
      <c r="L1530" s="6" t="str">
        <f>IFERROR(__xludf.DUMMYFUNCTION("""COMPUTED_VALUE"""),"Не знаю ")</f>
        <v>Не знаю </v>
      </c>
      <c r="M1530" s="6" t="str">
        <f>IFERROR(__xludf.DUMMYFUNCTION("""COMPUTED_VALUE"""),"Не знаю ")</f>
        <v>Не знаю </v>
      </c>
      <c r="N1530" s="6" t="str">
        <f>IFERROR(__xludf.DUMMYFUNCTION("""COMPUTED_VALUE"""),"Транспорт, экология, работа ")</f>
        <v>Транспорт, экология, работа </v>
      </c>
      <c r="O1530" s="6" t="str">
        <f>IFERROR(__xludf.DUMMYFUNCTION("""COMPUTED_VALUE"""),"Цены и пенсии ")</f>
        <v>Цены и пенсии </v>
      </c>
      <c r="P1530" s="6" t="str">
        <f>IFERROR(__xludf.DUMMYFUNCTION("""COMPUTED_VALUE"""),"Интернет ")</f>
        <v>Интернет </v>
      </c>
      <c r="Q1530" s="6" t="str">
        <f>IFERROR(__xludf.DUMMYFUNCTION("""COMPUTED_VALUE"""),"где вкусно поесть/открытие новых кафе/ресторанов, криминальные новости (происшествия/преступления), новости про новые профессии/куда поступать/вакансии")</f>
        <v>где вкусно поесть/открытие новых кафе/ресторанов, криминальные новости (происшествия/преступления), новости про новые профессии/куда поступать/вакансии</v>
      </c>
      <c r="R1530" s="6" t="str">
        <f>IFERROR(__xludf.DUMMYFUNCTION("""COMPUTED_VALUE"""),"9 мая")</f>
        <v>9 мая</v>
      </c>
      <c r="S1530" s="6" t="str">
        <f>IFERROR(__xludf.DUMMYFUNCTION("""COMPUTED_VALUE"""),"Нет, не приходилось")</f>
        <v>Нет, не приходилось</v>
      </c>
      <c r="T1530" s="6" t="str">
        <f>IFERROR(__xludf.DUMMYFUNCTION("""COMPUTED_VALUE"""),"Экология ")</f>
        <v>Экология </v>
      </c>
      <c r="U1530" s="6" t="str">
        <f>IFERROR(__xludf.DUMMYFUNCTION("""COMPUTED_VALUE"""),"Улица им.Кирова ")</f>
        <v>Улица им.Кирова </v>
      </c>
      <c r="V1530" s="6" t="str">
        <f>IFERROR(__xludf.DUMMYFUNCTION("""COMPUTED_VALUE"""),"Шахтёры ")</f>
        <v>Шахтёры </v>
      </c>
      <c r="W1530" s="6" t="str">
        <f>IFERROR(__xludf.DUMMYFUNCTION("""COMPUTED_VALUE"""),"Разные ")</f>
        <v>Разные </v>
      </c>
      <c r="X1530" s="6" t="str">
        <f>IFERROR(__xludf.DUMMYFUNCTION("""COMPUTED_VALUE"""),"Пр. Советов ")</f>
        <v>Пр. Советов </v>
      </c>
      <c r="Y1530" s="6" t="str">
        <f>IFERROR(__xludf.DUMMYFUNCTION("""COMPUTED_VALUE"""),"Ст.Химик ")</f>
        <v>Ст.Химик </v>
      </c>
      <c r="Z1530" s="6" t="str">
        <f>IFERROR(__xludf.DUMMYFUNCTION("""COMPUTED_VALUE"""),"Нет")</f>
        <v>Нет</v>
      </c>
      <c r="AA1530" s="6" t="str">
        <f>IFERROR(__xludf.DUMMYFUNCTION("""COMPUTED_VALUE"""),"Рост цен ")</f>
        <v>Рост цен </v>
      </c>
      <c r="AB1530" s="6" t="str">
        <f>IFERROR(__xludf.DUMMYFUNCTION("""COMPUTED_VALUE"""),"Не знаю ")</f>
        <v>Не знаю </v>
      </c>
      <c r="AC1530" s="6" t="str">
        <f>IFERROR(__xludf.DUMMYFUNCTION("""COMPUTED_VALUE"""),"Не знаю ")</f>
        <v>Не знаю </v>
      </c>
      <c r="AD153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30" s="6" t="str">
        <f>IFERROR(__xludf.DUMMYFUNCTION("""COMPUTED_VALUE"""),"Мужской")</f>
        <v>Мужской</v>
      </c>
      <c r="AF1530" s="6" t="str">
        <f>IFERROR(__xludf.DUMMYFUNCTION("""COMPUTED_VALUE"""),"старше 55")</f>
        <v>старше 55</v>
      </c>
      <c r="AG1530" s="6"/>
      <c r="AH1530" s="6"/>
      <c r="AI1530" s="6"/>
      <c r="AJ1530" s="6"/>
      <c r="AK1530" s="6"/>
      <c r="AL1530" s="6"/>
      <c r="AM1530" s="6"/>
    </row>
    <row r="1531">
      <c r="A1531" s="6">
        <v>1530.0</v>
      </c>
      <c r="B1531" s="6" t="str">
        <f>IFERROR(__xludf.DUMMYFUNCTION("""COMPUTED_VALUE"""),"Экономист")</f>
        <v>Экономист</v>
      </c>
      <c r="C1531" s="6" t="str">
        <f>IFERROR(__xludf.DUMMYFUNCTION("""COMPUTED_VALUE"""),"Чтение, фитнес , исскуство")</f>
        <v>Чтение, фитнес , исскуство</v>
      </c>
      <c r="D1531" s="6" t="str">
        <f>IFERROR(__xludf.DUMMYFUNCTION("""COMPUTED_VALUE"""),"Рудничный , Кардиоцентр,""моя деревня""")</f>
        <v>Рудничный , Кардиоцентр,"моя деревня"</v>
      </c>
      <c r="E1531" s="6" t="str">
        <f>IFERROR(__xludf.DUMMYFUNCTION("""COMPUTED_VALUE"""),"Срсеовый бор , Лыжная база Локомотив")</f>
        <v>Срсеовый бор , Лыжная база Локомотив</v>
      </c>
      <c r="F153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531" s="6" t="str">
        <f>IFERROR(__xludf.DUMMYFUNCTION("""COMPUTED_VALUE"""),"Бор ,  Центральная часть  города")</f>
        <v>Бор ,  Центральная часть  города</v>
      </c>
      <c r="H1531" s="6" t="str">
        <f>IFERROR(__xludf.DUMMYFUNCTION("""COMPUTED_VALUE"""),"Молодой , строящийся , родной ,  сибирский, город трудяга")</f>
        <v>Молодой , строящийся , родной ,  сибирский, город трудяга</v>
      </c>
      <c r="I1531" s="6" t="str">
        <f>IFERROR(__xludf.DUMMYFUNCTION("""COMPUTED_VALUE"""),"Михайлов , Леонов, Рутгерс")</f>
        <v>Михайлов , Леонов, Рутгерс</v>
      </c>
      <c r="J1531" s="6" t="str">
        <f>IFERROR(__xludf.DUMMYFUNCTION("""COMPUTED_VALUE"""),"Гришковец, Середюк")</f>
        <v>Гришковец, Середюк</v>
      </c>
      <c r="K1531" s="6" t="str">
        <f>IFERROR(__xludf.DUMMYFUNCTION("""COMPUTED_VALUE"""),"Памятник Эрнста Неизвестного,  набережная Кировского оайона , Весенняя ,пл.Советов")</f>
        <v>Памятник Эрнста Неизвестного,  набережная Кировского оайона , Весенняя ,пл.Советов</v>
      </c>
      <c r="L1531" s="6" t="str">
        <f>IFERROR(__xludf.DUMMYFUNCTION("""COMPUTED_VALUE"""),"Затрудняюсь")</f>
        <v>Затрудняюсь</v>
      </c>
      <c r="M1531" s="6" t="str">
        <f>IFERROR(__xludf.DUMMYFUNCTION("""COMPUTED_VALUE"""),"Неизвестны")</f>
        <v>Неизвестны</v>
      </c>
      <c r="N1531" s="6" t="str">
        <f>IFERROR(__xludf.DUMMYFUNCTION("""COMPUTED_VALUE"""),"Дороги, образование , медицина , спортивные сооружения , торговые центры")</f>
        <v>Дороги, образование , медицина , спортивные сооружения , торговые центры</v>
      </c>
      <c r="O1531" s="6" t="str">
        <f>IFERROR(__xludf.DUMMYFUNCTION("""COMPUTED_VALUE"""),"Дороги , чистота на малых улицах, работаю на Кирчаеова,  ямы , мусог , бродячие собаки. Километр до центра-жуть")</f>
        <v>Дороги , чистота на малых улицах, работаю на Кирчаеова,  ямы , мусог , бродячие собаки. Километр до центра-жуть</v>
      </c>
      <c r="P1531" s="6" t="str">
        <f>IFERROR(__xludf.DUMMYFUNCTION("""COMPUTED_VALUE"""),"Интернет , фейсбук")</f>
        <v>Интернет , фейсбук</v>
      </c>
      <c r="Q1531"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1531" s="6" t="str">
        <f>IFERROR(__xludf.DUMMYFUNCTION("""COMPUTED_VALUE"""),"День победы")</f>
        <v>День победы</v>
      </c>
      <c r="S1531" s="6" t="str">
        <f>IFERROR(__xludf.DUMMYFUNCTION("""COMPUTED_VALUE"""),"Нет, не приходилось")</f>
        <v>Нет, не приходилось</v>
      </c>
      <c r="T1531" s="6" t="str">
        <f>IFERROR(__xludf.DUMMYFUNCTION("""COMPUTED_VALUE"""),"Природа, индус триальный туриз м")</f>
        <v>Природа, индус триальный туриз м</v>
      </c>
      <c r="U1531" s="6" t="str">
        <f>IFERROR(__xludf.DUMMYFUNCTION("""COMPUTED_VALUE"""),"Бор")</f>
        <v>Бор</v>
      </c>
      <c r="V1531" s="6" t="str">
        <f>IFERROR(__xludf.DUMMYFUNCTION("""COMPUTED_VALUE"""),"Освоили угледобычу")</f>
        <v>Освоили угледобычу</v>
      </c>
      <c r="W1531" s="6" t="str">
        <f>IFERROR(__xludf.DUMMYFUNCTION("""COMPUTED_VALUE"""),"Суровые")</f>
        <v>Суровые</v>
      </c>
      <c r="X1531" s="6" t="str">
        <f>IFERROR(__xludf.DUMMYFUNCTION("""COMPUTED_VALUE"""),"Центр")</f>
        <v>Центр</v>
      </c>
      <c r="Y1531" s="6" t="str">
        <f>IFERROR(__xludf.DUMMYFUNCTION("""COMPUTED_VALUE"""),"Неизвестно")</f>
        <v>Неизвестно</v>
      </c>
      <c r="Z1531" s="6" t="str">
        <f>IFERROR(__xludf.DUMMYFUNCTION("""COMPUTED_VALUE"""),"Рок концерт Стройсервиса на день Шахиеров")</f>
        <v>Рок концерт Стройсервиса на день Шахиеров</v>
      </c>
      <c r="AA1531" s="6" t="str">
        <f>IFERROR(__xludf.DUMMYFUNCTION("""COMPUTED_VALUE"""),"Неь")</f>
        <v>Неь</v>
      </c>
      <c r="AB1531" s="6" t="str">
        <f>IFERROR(__xludf.DUMMYFUNCTION("""COMPUTED_VALUE"""),"Мне не нужны сообщества")</f>
        <v>Мне не нужны сообщества</v>
      </c>
      <c r="AC1531" s="6" t="str">
        <f>IFERROR(__xludf.DUMMYFUNCTION("""COMPUTED_VALUE"""),"На Радуге -бассейн")</f>
        <v>На Радуге -бассейн</v>
      </c>
      <c r="AD1531"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31" s="6" t="str">
        <f>IFERROR(__xludf.DUMMYFUNCTION("""COMPUTED_VALUE"""),"Женский")</f>
        <v>Женский</v>
      </c>
      <c r="AF1531" s="6" t="str">
        <f>IFERROR(__xludf.DUMMYFUNCTION("""COMPUTED_VALUE"""),"45-55")</f>
        <v>45-55</v>
      </c>
      <c r="AG1531" s="6"/>
      <c r="AH1531" s="6"/>
      <c r="AI1531" s="6"/>
      <c r="AJ1531" s="6"/>
      <c r="AK1531" s="6"/>
      <c r="AL1531" s="6"/>
      <c r="AM1531" s="6"/>
    </row>
    <row r="1532">
      <c r="A1532" s="6">
        <v>1531.0</v>
      </c>
      <c r="B1532" s="6" t="str">
        <f>IFERROR(__xludf.DUMMYFUNCTION("""COMPUTED_VALUE"""),"Культура")</f>
        <v>Культура</v>
      </c>
      <c r="C1532" s="6" t="str">
        <f>IFERROR(__xludf.DUMMYFUNCTION("""COMPUTED_VALUE"""),"Рукоделие")</f>
        <v>Рукоделие</v>
      </c>
      <c r="D1532" s="6" t="str">
        <f>IFERROR(__xludf.DUMMYFUNCTION("""COMPUTED_VALUE"""),"Кировский")</f>
        <v>Кировский</v>
      </c>
      <c r="E1532" s="6" t="str">
        <f>IFERROR(__xludf.DUMMYFUNCTION("""COMPUTED_VALUE"""),"Нсбережная")</f>
        <v>Нсбережная</v>
      </c>
      <c r="F1532" s="6" t="str">
        <f>IFERROR(__xludf.DUMMYFUNCTION("""COMPUTED_VALUE"""),"Живу здесь с рождения")</f>
        <v>Живу здесь с рождения</v>
      </c>
      <c r="G1532" s="6" t="str">
        <f>IFERROR(__xludf.DUMMYFUNCTION("""COMPUTED_VALUE"""),"Роща")</f>
        <v>Роща</v>
      </c>
      <c r="H1532" s="6" t="str">
        <f>IFERROR(__xludf.DUMMYFUNCTION("""COMPUTED_VALUE"""),"Заводы. Тополя. Томь. Работа. Детство")</f>
        <v>Заводы. Тополя. Томь. Работа. Детство</v>
      </c>
      <c r="I1532" s="6" t="str">
        <f>IFERROR(__xludf.DUMMYFUNCTION("""COMPUTED_VALUE"""),"Волков. Рутгерс.")</f>
        <v>Волков. Рутгерс.</v>
      </c>
      <c r="J1532" s="6" t="str">
        <f>IFERROR(__xludf.DUMMYFUNCTION("""COMPUTED_VALUE"""),"Тулеев. Михайлов.")</f>
        <v>Тулеев. Михайлов.</v>
      </c>
      <c r="K1532" s="6" t="str">
        <f>IFERROR(__xludf.DUMMYFUNCTION("""COMPUTED_VALUE"""),"Центр. Набережная.")</f>
        <v>Центр. Набережная.</v>
      </c>
      <c r="L1532" s="6" t="str">
        <f>IFERROR(__xludf.DUMMYFUNCTION("""COMPUTED_VALUE"""),"Нет ответа")</f>
        <v>Нет ответа</v>
      </c>
      <c r="M1532" s="6" t="str">
        <f>IFERROR(__xludf.DUMMYFUNCTION("""COMPUTED_VALUE"""),"Нет")</f>
        <v>Нет</v>
      </c>
      <c r="N1532" s="6" t="str">
        <f>IFERROR(__xludf.DUMMYFUNCTION("""COMPUTED_VALUE"""),"Транспорт. Жилье. Культурные учреждения. Спорт. Детский досуг.")</f>
        <v>Транспорт. Жилье. Культурные учреждения. Спорт. Детский досуг.</v>
      </c>
      <c r="O1532" s="6" t="str">
        <f>IFERROR(__xludf.DUMMYFUNCTION("""COMPUTED_VALUE"""),"Медобслуживание")</f>
        <v>Медобслуживание</v>
      </c>
      <c r="P1532" s="6" t="str">
        <f>IFERROR(__xludf.DUMMYFUNCTION("""COMPUTED_VALUE"""),"Вести.")</f>
        <v>Вести.</v>
      </c>
      <c r="Q1532" s="6" t="str">
        <f>IFERROR(__xludf.DUMMYFUNCTION("""COMPUTED_VALUE"""),"городская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f>
        <v>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v>
      </c>
      <c r="R1532" s="6" t="str">
        <f>IFERROR(__xludf.DUMMYFUNCTION("""COMPUTED_VALUE"""),"День шахтера")</f>
        <v>День шахтера</v>
      </c>
      <c r="S1532" s="6" t="str">
        <f>IFERROR(__xludf.DUMMYFUNCTION("""COMPUTED_VALUE"""),"Нет, не приходилось")</f>
        <v>Нет, не приходилось</v>
      </c>
      <c r="T1532" s="6" t="str">
        <f>IFERROR(__xludf.DUMMYFUNCTION("""COMPUTED_VALUE"""),"Губернатором Тулеевым.")</f>
        <v>Губернатором Тулеевым.</v>
      </c>
      <c r="U1532" s="6" t="str">
        <f>IFERROR(__xludf.DUMMYFUNCTION("""COMPUTED_VALUE"""),"Пл. Советов")</f>
        <v>Пл. Советов</v>
      </c>
      <c r="V1532" s="6" t="str">
        <f>IFERROR(__xludf.DUMMYFUNCTION("""COMPUTED_VALUE"""),"Верили в построение коммунизма")</f>
        <v>Верили в построение коммунизма</v>
      </c>
      <c r="W1532" s="6" t="str">
        <f>IFERROR(__xludf.DUMMYFUNCTION("""COMPUTED_VALUE"""),"Равнодушие")</f>
        <v>Равнодушие</v>
      </c>
      <c r="X1532" s="6" t="str">
        <f>IFERROR(__xludf.DUMMYFUNCTION("""COMPUTED_VALUE"""),"Набережная")</f>
        <v>Набережная</v>
      </c>
      <c r="Y1532" s="6" t="str">
        <f>IFERROR(__xludf.DUMMYFUNCTION("""COMPUTED_VALUE"""),"Концерт Д.Хворостовского на день шахтера")</f>
        <v>Концерт Д.Хворостовского на день шахтера</v>
      </c>
      <c r="Z1532" s="6" t="str">
        <f>IFERROR(__xludf.DUMMYFUNCTION("""COMPUTED_VALUE"""),"Новые автобусы")</f>
        <v>Новые автобусы</v>
      </c>
      <c r="AA1532" s="6" t="str">
        <f>IFERROR(__xludf.DUMMYFUNCTION("""COMPUTED_VALUE"""),"Судебный процесс ""Зимняя вишня""")</f>
        <v>Судебный процесс "Зимняя вишня"</v>
      </c>
      <c r="AB1532" s="6" t="str">
        <f>IFERROR(__xludf.DUMMYFUNCTION("""COMPUTED_VALUE"""),"Всего хватает")</f>
        <v>Всего хватает</v>
      </c>
      <c r="AC1532" s="6" t="str">
        <f>IFERROR(__xludf.DUMMYFUNCTION("""COMPUTED_VALUE"""),"Доступность в посещении")</f>
        <v>Доступность в посещении</v>
      </c>
      <c r="AD153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32" s="6" t="str">
        <f>IFERROR(__xludf.DUMMYFUNCTION("""COMPUTED_VALUE"""),"Женский")</f>
        <v>Женский</v>
      </c>
      <c r="AF1532" s="6" t="str">
        <f>IFERROR(__xludf.DUMMYFUNCTION("""COMPUTED_VALUE"""),"старше 55")</f>
        <v>старше 55</v>
      </c>
      <c r="AG1532" s="6"/>
      <c r="AH1532" s="6"/>
      <c r="AI1532" s="6"/>
      <c r="AJ1532" s="6"/>
      <c r="AK1532" s="6"/>
      <c r="AL1532" s="6"/>
      <c r="AM1532" s="6"/>
    </row>
    <row r="1533">
      <c r="A1533" s="6">
        <v>1532.0</v>
      </c>
      <c r="B1533" s="6" t="str">
        <f>IFERROR(__xludf.DUMMYFUNCTION("""COMPUTED_VALUE"""),"Область культуры")</f>
        <v>Область культуры</v>
      </c>
      <c r="C1533" s="6" t="str">
        <f>IFERROR(__xludf.DUMMYFUNCTION("""COMPUTED_VALUE"""),"Велосипед")</f>
        <v>Велосипед</v>
      </c>
      <c r="D1533" s="6" t="str">
        <f>IFERROR(__xludf.DUMMYFUNCTION("""COMPUTED_VALUE"""),"Ленинский")</f>
        <v>Ленинский</v>
      </c>
      <c r="E1533" s="6" t="str">
        <f>IFERROR(__xludf.DUMMYFUNCTION("""COMPUTED_VALUE"""),"Кадетское президентское училище, линейный парк на Бульваре строителей, озеро Красное и река Томь")</f>
        <v>Кадетское президентское училище, линейный парк на Бульваре строителей, озеро Красное и река Томь</v>
      </c>
      <c r="F1533" s="6" t="str">
        <f>IFERROR(__xludf.DUMMYFUNCTION("""COMPUTED_VALUE"""),"Живу здесь с рождения")</f>
        <v>Живу здесь с рождения</v>
      </c>
      <c r="G1533" s="6" t="str">
        <f>IFERROR(__xludf.DUMMYFUNCTION("""COMPUTED_VALUE"""),"Сосновый бор, Бульвар Строителей, парк Веры Волошиной, центр города.")</f>
        <v>Сосновый бор, Бульвар Строителей, парк Веры Волошиной, центр города.</v>
      </c>
      <c r="H1533" s="6" t="str">
        <f>IFERROR(__xludf.DUMMYFUNCTION("""COMPUTED_VALUE"""),"Плохие тратуары, интересные стройки новых объектов, много зелени, грязный воздух, ужасный вид правобережной части города")</f>
        <v>Плохие тратуары, интересные стройки новых объектов, много зелени, грязный воздух, ужасный вид правобережной части города</v>
      </c>
      <c r="I1533" s="6" t="str">
        <f>IFERROR(__xludf.DUMMYFUNCTION("""COMPUTED_VALUE"""),"Леонов, Мартемьянов, Тулеев, ")</f>
        <v>Леонов, Мартемьянов, Тулеев, </v>
      </c>
      <c r="J1533" s="6" t="str">
        <f>IFERROR(__xludf.DUMMYFUNCTION("""COMPUTED_VALUE"""),"Тулеев, Михайлов")</f>
        <v>Тулеев, Михайлов</v>
      </c>
      <c r="K1533" s="6" t="str">
        <f>IFERROR(__xludf.DUMMYFUNCTION("""COMPUTED_VALUE"""),"Сосновый бор, Бульвар Строителей, кадетское президентское училище, другие парки и скверы")</f>
        <v>Сосновый бор, Бульвар Строителей, кадетское президентское училище, другие парки и скверы</v>
      </c>
      <c r="L1533" s="6" t="str">
        <f>IFERROR(__xludf.DUMMYFUNCTION("""COMPUTED_VALUE"""),"Не приходит на ум")</f>
        <v>Не приходит на ум</v>
      </c>
      <c r="M1533" s="6" t="str">
        <f>IFERROR(__xludf.DUMMYFUNCTION("""COMPUTED_VALUE"""),"Мультифора, верхонки, вехотка.")</f>
        <v>Мультифора, верхонки, вехотка.</v>
      </c>
      <c r="N1533" s="6" t="str">
        <f>IFERROR(__xludf.DUMMYFUNCTION("""COMPUTED_VALUE"""),"Чистота, развитая инфраструктура, наличие различных рабочих мест, просветительная работа с населением (культура, история), экология.")</f>
        <v>Чистота, развитая инфраструктура, наличие различных рабочих мест, просветительная работа с населением (культура, история), экология.</v>
      </c>
      <c r="O1533" s="6" t="str">
        <f>IFERROR(__xludf.DUMMYFUNCTION("""COMPUTED_VALUE"""),"Отношение власти к городу. ")</f>
        <v>Отношение власти к городу. </v>
      </c>
      <c r="P1533" s="6" t="str">
        <f>IFERROR(__xludf.DUMMYFUNCTION("""COMPUTED_VALUE"""),"Инстаграм, ВК")</f>
        <v>Инстаграм, ВК</v>
      </c>
      <c r="Q1533" s="6" t="str">
        <f>IFERROR(__xludf.DUMMYFUNCTION("""COMPUTED_VALUE"""),"городская афиша (кино/театр/концерты), интервью с местными политиками,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 интервью с экспертами на р"&amp;"азные темы (напишите в разделе Другое свои предложения)")</f>
        <v>городская афиша (кино/театр/концерты), интервью с местными политиками,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1533" s="6" t="str">
        <f>IFERROR(__xludf.DUMMYFUNCTION("""COMPUTED_VALUE"""),"12 июня(день города)")</f>
        <v>12 июня(день города)</v>
      </c>
      <c r="S1533" s="6" t="str">
        <f>IFERROR(__xludf.DUMMYFUNCTION("""COMPUTED_VALUE"""),"Нет, не приходилось")</f>
        <v>Нет, не приходилось</v>
      </c>
      <c r="T1533" s="6" t="str">
        <f>IFERROR(__xludf.DUMMYFUNCTION("""COMPUTED_VALUE"""),"Людьми. Природой ( но скорее области в целом)")</f>
        <v>Людьми. Природой ( но скорее области в целом)</v>
      </c>
      <c r="U1533" s="6" t="str">
        <f>IFERROR(__xludf.DUMMYFUNCTION("""COMPUTED_VALUE"""),"Сам центр города. Площадь советов")</f>
        <v>Сам центр города. Площадь советов</v>
      </c>
      <c r="V1533" s="6" t="str">
        <f>IFERROR(__xludf.DUMMYFUNCTION("""COMPUTED_VALUE"""),"Сложно ответить")</f>
        <v>Сложно ответить</v>
      </c>
      <c r="W1533" s="6" t="str">
        <f>IFERROR(__xludf.DUMMYFUNCTION("""COMPUTED_VALUE"""),"Прямолинейные, местами жёсткие.")</f>
        <v>Прямолинейные, местами жёсткие.</v>
      </c>
      <c r="X1533" s="6" t="str">
        <f>IFERROR(__xludf.DUMMYFUNCTION("""COMPUTED_VALUE"""),"Центр города, сосновый бор, ленинский район.")</f>
        <v>Центр города, сосновый бор, ленинский район.</v>
      </c>
      <c r="Y1533" s="6" t="str">
        <f>IFERROR(__xludf.DUMMYFUNCTION("""COMPUTED_VALUE"""),"Все впереди")</f>
        <v>Все впереди</v>
      </c>
      <c r="Z1533" s="6" t="str">
        <f>IFERROR(__xludf.DUMMYFUNCTION("""COMPUTED_VALUE"""),"Начало важных строек. Они важны, но забыли о самом важном. Чтобы люди туда шли, нужно чтобы они где-то зарабатывали на эти развлечения...")</f>
        <v>Начало важных строек. Они важны, но забыли о самом важном. Чтобы люди туда шли, нужно чтобы они где-то зарабатывали на эти развлечения...</v>
      </c>
      <c r="AA1533" s="6" t="str">
        <f>IFERROR(__xludf.DUMMYFUNCTION("""COMPUTED_VALUE"""),"Зимняя вишня")</f>
        <v>Зимняя вишня</v>
      </c>
      <c r="AB1533" s="6" t="str">
        <f>IFERROR(__xludf.DUMMYFUNCTION("""COMPUTED_VALUE"""),"Людей стремящихся через культуру достучаться до душ людей.")</f>
        <v>Людей стремящихся через культуру достучаться до душ людей.</v>
      </c>
      <c r="AC1533" s="6" t="str">
        <f>IFERROR(__xludf.DUMMYFUNCTION("""COMPUTED_VALUE"""),"Изменение города и воспитание людей")</f>
        <v>Изменение города и воспитание людей</v>
      </c>
      <c r="AD1533"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533" s="6" t="str">
        <f>IFERROR(__xludf.DUMMYFUNCTION("""COMPUTED_VALUE"""),"Мужской")</f>
        <v>Мужской</v>
      </c>
      <c r="AF1533" s="6" t="str">
        <f>IFERROR(__xludf.DUMMYFUNCTION("""COMPUTED_VALUE"""),"18-29")</f>
        <v>18-29</v>
      </c>
      <c r="AG1533" s="6"/>
      <c r="AH1533" s="6"/>
      <c r="AI1533" s="6"/>
      <c r="AJ1533" s="6"/>
      <c r="AK1533" s="6"/>
      <c r="AL1533" s="6"/>
      <c r="AM1533" s="6"/>
    </row>
    <row r="1534">
      <c r="A1534" s="6">
        <v>1533.0</v>
      </c>
      <c r="B1534" s="6" t="str">
        <f>IFERROR(__xludf.DUMMYFUNCTION("""COMPUTED_VALUE"""),"Дизайнер мебели")</f>
        <v>Дизайнер мебели</v>
      </c>
      <c r="C1534" s="6" t="str">
        <f>IFERROR(__xludf.DUMMYFUNCTION("""COMPUTED_VALUE"""),"Есть вкусную еду")</f>
        <v>Есть вкусную еду</v>
      </c>
      <c r="D1534" s="6" t="str">
        <f>IFERROR(__xludf.DUMMYFUNCTION("""COMPUTED_VALUE"""),"Кировском")</f>
        <v>Кировском</v>
      </c>
      <c r="E1534" s="6" t="str">
        <f>IFERROR(__xludf.DUMMYFUNCTION("""COMPUTED_VALUE"""),"Дк кировского")</f>
        <v>Дк кировского</v>
      </c>
      <c r="F1534" s="6" t="str">
        <f>IFERROR(__xludf.DUMMYFUNCTION("""COMPUTED_VALUE"""),"Живу здесь с рождения")</f>
        <v>Живу здесь с рождения</v>
      </c>
      <c r="G1534" s="6" t="str">
        <f>IFERROR(__xludf.DUMMYFUNCTION("""COMPUTED_VALUE"""),"В центре города")</f>
        <v>В центре города</v>
      </c>
      <c r="H1534" s="6" t="str">
        <f>IFERROR(__xludf.DUMMYFUNCTION("""COMPUTED_VALUE"""),"Развалины, уголь, копоть, трубы с дымом,, лес в центре")</f>
        <v>Развалины, уголь, копоть, трубы с дымом,, лес в центре</v>
      </c>
      <c r="I1534" s="6" t="str">
        <f>IFERROR(__xludf.DUMMYFUNCTION("""COMPUTED_VALUE"""),"Тулеев")</f>
        <v>Тулеев</v>
      </c>
      <c r="J1534" s="6" t="str">
        <f>IFERROR(__xludf.DUMMYFUNCTION("""COMPUTED_VALUE"""),"Нет таких")</f>
        <v>Нет таких</v>
      </c>
      <c r="K1534" s="6" t="str">
        <f>IFERROR(__xludf.DUMMYFUNCTION("""COMPUTED_VALUE"""),"Бор, причал, люскус")</f>
        <v>Бор, причал, люскус</v>
      </c>
      <c r="L1534" s="6" t="str">
        <f>IFERROR(__xludf.DUMMYFUNCTION("""COMPUTED_VALUE"""),"Не знаю таких")</f>
        <v>Не знаю таких</v>
      </c>
      <c r="M1534" s="6" t="str">
        <f>IFERROR(__xludf.DUMMYFUNCTION("""COMPUTED_VALUE"""),"Нет")</f>
        <v>Нет</v>
      </c>
      <c r="N1534" s="6" t="str">
        <f>IFERROR(__xludf.DUMMYFUNCTION("""COMPUTED_VALUE"""),"Метро, больше парков, ещё один мост, больше зелени, регулируемые пешеходные переходы")</f>
        <v>Метро, больше парков, ещё один мост, больше зелени, регулируемые пешеходные переходы</v>
      </c>
      <c r="O1534" s="6" t="str">
        <f>IFERROR(__xludf.DUMMYFUNCTION("""COMPUTED_VALUE"""),"Подход слуг народа к городу")</f>
        <v>Подход слуг народа к городу</v>
      </c>
      <c r="P1534" s="6" t="str">
        <f>IFERROR(__xludf.DUMMYFUNCTION("""COMPUTED_VALUE"""),"Инстаграмм")</f>
        <v>Инстаграмм</v>
      </c>
      <c r="Q1534" s="6" t="str">
        <f>IFERROR(__xludf.DUMMYFUNCTION("""COMPUTED_VALUE"""),"где вкусно поесть/открытие новых кафе/ресторанов, результаты местных исследований (рейтинги/аналитика/тенденции)")</f>
        <v>где вкусно поесть/открытие новых кафе/ресторанов, результаты местных исследований (рейтинги/аналитика/тенденции)</v>
      </c>
      <c r="R1534" s="6" t="str">
        <f>IFERROR(__xludf.DUMMYFUNCTION("""COMPUTED_VALUE"""),"Не люблю праздники, после них все улицы засраны")</f>
        <v>Не люблю праздники, после них все улицы засраны</v>
      </c>
      <c r="S1534" s="6" t="str">
        <f>IFERROR(__xludf.DUMMYFUNCTION("""COMPUTED_VALUE"""),"Нет, не приходилось")</f>
        <v>Нет, не приходилось</v>
      </c>
      <c r="T1534" s="6" t="str">
        <f>IFERROR(__xludf.DUMMYFUNCTION("""COMPUTED_VALUE"""),"Зимней вишней трупами детей")</f>
        <v>Зимней вишней трупами детей</v>
      </c>
      <c r="U1534" s="6" t="str">
        <f>IFERROR(__xludf.DUMMYFUNCTION("""COMPUTED_VALUE"""),"Площадь советов")</f>
        <v>Площадь советов</v>
      </c>
      <c r="V1534" s="6" t="str">
        <f>IFERROR(__xludf.DUMMYFUNCTION("""COMPUTED_VALUE"""),"Не знаю")</f>
        <v>Не знаю</v>
      </c>
      <c r="W1534" s="6" t="str">
        <f>IFERROR(__xludf.DUMMYFUNCTION("""COMPUTED_VALUE"""),"Угрюмые, не воспитанные, засранцы")</f>
        <v>Угрюмые, не воспитанные, засранцы</v>
      </c>
      <c r="X1534" s="6" t="str">
        <f>IFERROR(__xludf.DUMMYFUNCTION("""COMPUTED_VALUE"""),"Не выходить из центра города")</f>
        <v>Не выходить из центра города</v>
      </c>
      <c r="Y1534" s="6" t="str">
        <f>IFERROR(__xludf.DUMMYFUNCTION("""COMPUTED_VALUE"""),"Хз")</f>
        <v>Хз</v>
      </c>
      <c r="Z1534" s="6" t="str">
        <f>IFERROR(__xludf.DUMMYFUNCTION("""COMPUTED_VALUE"""),"Ничего ")</f>
        <v>Ничего </v>
      </c>
      <c r="AA1534" s="6" t="str">
        <f>IFERROR(__xludf.DUMMYFUNCTION("""COMPUTED_VALUE"""),"Что виновных в гибели людей в зимней вишне даже не привлекли к суду")</f>
        <v>Что виновных в гибели людей в зимней вишне даже не привлекли к суду</v>
      </c>
      <c r="AB1534" s="6" t="str">
        <f>IFERROR(__xludf.DUMMYFUNCTION("""COMPUTED_VALUE"""),"Сообществ воспитанных людей")</f>
        <v>Сообществ воспитанных людей</v>
      </c>
      <c r="AC1534" s="6" t="str">
        <f>IFERROR(__xludf.DUMMYFUNCTION("""COMPUTED_VALUE"""),"Гонки")</f>
        <v>Гонки</v>
      </c>
      <c r="AD1534"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534" s="6" t="str">
        <f>IFERROR(__xludf.DUMMYFUNCTION("""COMPUTED_VALUE"""),"Женский")</f>
        <v>Женский</v>
      </c>
      <c r="AF1534" s="6" t="str">
        <f>IFERROR(__xludf.DUMMYFUNCTION("""COMPUTED_VALUE"""),"30-44")</f>
        <v>30-44</v>
      </c>
      <c r="AG1534" s="6"/>
      <c r="AH1534" s="6"/>
      <c r="AI1534" s="6"/>
      <c r="AJ1534" s="6"/>
      <c r="AK1534" s="6"/>
      <c r="AL1534" s="6"/>
      <c r="AM1534" s="6"/>
    </row>
    <row r="1535">
      <c r="A1535" s="6">
        <v>1534.0</v>
      </c>
      <c r="B1535" s="6" t="str">
        <f>IFERROR(__xludf.DUMMYFUNCTION("""COMPUTED_VALUE"""),"Бухгалтерия ")</f>
        <v>Бухгалтерия </v>
      </c>
      <c r="C1535" s="6" t="str">
        <f>IFERROR(__xludf.DUMMYFUNCTION("""COMPUTED_VALUE"""),"Нет")</f>
        <v>Нет</v>
      </c>
      <c r="D1535" s="6" t="str">
        <f>IFERROR(__xludf.DUMMYFUNCTION("""COMPUTED_VALUE"""),"Ленинский р-н")</f>
        <v>Ленинский р-н</v>
      </c>
      <c r="E1535" s="6" t="str">
        <f>IFERROR(__xludf.DUMMYFUNCTION("""COMPUTED_VALUE"""),"Бульвар Строителей ")</f>
        <v>Бульвар Строителей </v>
      </c>
      <c r="F1535" s="6" t="str">
        <f>IFERROR(__xludf.DUMMYFUNCTION("""COMPUTED_VALUE"""),"Живу здесь с рождения")</f>
        <v>Живу здесь с рождения</v>
      </c>
      <c r="G1535" s="6" t="str">
        <f>IFERROR(__xludf.DUMMYFUNCTION("""COMPUTED_VALUE"""),"Горсад, бульвар Строителей")</f>
        <v>Горсад, бульвар Строителей</v>
      </c>
      <c r="H1535" s="6" t="str">
        <f>IFERROR(__xludf.DUMMYFUNCTION("""COMPUTED_VALUE"""),"Уголь, Кузбасс, Зимняя вишня, новогодняя елка за 18 млн.руб, дом. ")</f>
        <v>Уголь, Кузбасс, Зимняя вишня, новогодняя елка за 18 млн.руб, дом. </v>
      </c>
      <c r="I1535" s="6" t="str">
        <f>IFERROR(__xludf.DUMMYFUNCTION("""COMPUTED_VALUE"""),"Михайло Волков, Алексей Леонов")</f>
        <v>Михайло Волков, Алексей Леонов</v>
      </c>
      <c r="J1535" s="6" t="str">
        <f>IFERROR(__xludf.DUMMYFUNCTION("""COMPUTED_VALUE"""),"Аман Тулеев")</f>
        <v>Аман Тулеев</v>
      </c>
      <c r="K1535" s="6" t="str">
        <f>IFERROR(__xludf.DUMMYFUNCTION("""COMPUTED_VALUE"""),"Парк чудес, красная горка")</f>
        <v>Парк чудес, красная горка</v>
      </c>
      <c r="L1535" s="6" t="str">
        <f>IFERROR(__xludf.DUMMYFUNCTION("""COMPUTED_VALUE"""),"Песня Кемерово, исп. Вася Пряников")</f>
        <v>Песня Кемерово, исп. Вася Пряников</v>
      </c>
      <c r="M1535" s="6" t="str">
        <f>IFERROR(__xludf.DUMMYFUNCTION("""COMPUTED_VALUE"""),"Мультифора(везде фаил), Кемерово - не склоняется")</f>
        <v>Мультифора(везде фаил), Кемерово - не склоняется</v>
      </c>
      <c r="N1535" s="6" t="str">
        <f>IFERROR(__xludf.DUMMYFUNCTION("""COMPUTED_VALUE"""),"1. Привычка 2.родные, знакомые, 3. Постоянная работа ")</f>
        <v>1. Привычка 2.родные, знакомые, 3. Постоянная работа </v>
      </c>
      <c r="O1535" s="6" t="str">
        <f>IFERROR(__xludf.DUMMYFUNCTION("""COMPUTED_VALUE"""),"Экологию, власть")</f>
        <v>Экологию, власть</v>
      </c>
      <c r="P1535" s="6" t="str">
        <f>IFERROR(__xludf.DUMMYFUNCTION("""COMPUTED_VALUE"""),"Яндекс, гугл, вк и т.д")</f>
        <v>Яндекс, гугл, вк и т.д</v>
      </c>
      <c r="Q1535"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1535" s="6" t="str">
        <f>IFERROR(__xludf.DUMMYFUNCTION("""COMPUTED_VALUE"""),"Новый год, день шахтёра, 9 мая")</f>
        <v>Новый год, день шахтёра, 9 мая</v>
      </c>
      <c r="S1535" s="6" t="str">
        <f>IFERROR(__xludf.DUMMYFUNCTION("""COMPUTED_VALUE"""),"Нет, не приходилось")</f>
        <v>Нет, не приходилось</v>
      </c>
      <c r="T1535" s="6" t="str">
        <f>IFERROR(__xludf.DUMMYFUNCTION("""COMPUTED_VALUE"""),"Уголь, тайга")</f>
        <v>Уголь, тайга</v>
      </c>
      <c r="U1535" s="6" t="str">
        <f>IFERROR(__xludf.DUMMYFUNCTION("""COMPUTED_VALUE"""),"Пл. СОВЕТОВ, ")</f>
        <v>Пл. СОВЕТОВ, </v>
      </c>
      <c r="V1535" s="6" t="str">
        <f>IFERROR(__xludf.DUMMYFUNCTION("""COMPUTED_VALUE"""),"Добыли уголь ")</f>
        <v>Добыли уголь </v>
      </c>
      <c r="W1535" s="6" t="str">
        <f>IFERROR(__xludf.DUMMYFUNCTION("""COMPUTED_VALUE"""),"Злые")</f>
        <v>Злые</v>
      </c>
      <c r="X1535" s="6" t="str">
        <f>IFERROR(__xludf.DUMMYFUNCTION("""COMPUTED_VALUE"""),"Набережная, бульвар Строителей")</f>
        <v>Набережная, бульвар Строителей</v>
      </c>
      <c r="Y1535" s="6" t="str">
        <f>IFERROR(__xludf.DUMMYFUNCTION("""COMPUTED_VALUE"""),"Бенди")</f>
        <v>Бенди</v>
      </c>
      <c r="Z1535" s="6" t="str">
        <f>IFERROR(__xludf.DUMMYFUNCTION("""COMPUTED_VALUE"""),"Кузбасс стал чемпионом по волейболу ")</f>
        <v>Кузбасс стал чемпионом по волейболу </v>
      </c>
      <c r="AA1535" s="6" t="str">
        <f>IFERROR(__xludf.DUMMYFUNCTION("""COMPUTED_VALUE"""),"Аресты на митингах")</f>
        <v>Аресты на митингах</v>
      </c>
      <c r="AB1535" s="6" t="str">
        <f>IFERROR(__xludf.DUMMYFUNCTION("""COMPUTED_VALUE"""),"Всего хватает ")</f>
        <v>Всего хватает </v>
      </c>
      <c r="AC1535" s="6" t="str">
        <f>IFERROR(__xludf.DUMMYFUNCTION("""COMPUTED_VALUE"""),"Больше спортивных мероприятий, дворовых клубов")</f>
        <v>Больше спортивных мероприятий, дворовых клубов</v>
      </c>
      <c r="AD153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35" s="6" t="str">
        <f>IFERROR(__xludf.DUMMYFUNCTION("""COMPUTED_VALUE"""),"Женский")</f>
        <v>Женский</v>
      </c>
      <c r="AF1535" s="6" t="str">
        <f>IFERROR(__xludf.DUMMYFUNCTION("""COMPUTED_VALUE"""),"30-44")</f>
        <v>30-44</v>
      </c>
      <c r="AG1535" s="6"/>
      <c r="AH1535" s="6"/>
      <c r="AI1535" s="6"/>
      <c r="AJ1535" s="6"/>
      <c r="AK1535" s="6"/>
      <c r="AL1535" s="6"/>
      <c r="AM1535" s="6"/>
    </row>
    <row r="1536">
      <c r="A1536" s="6">
        <v>1535.0</v>
      </c>
      <c r="B1536" s="6" t="str">
        <f>IFERROR(__xludf.DUMMYFUNCTION("""COMPUTED_VALUE"""),"ИП")</f>
        <v>ИП</v>
      </c>
      <c r="C1536" s="6" t="str">
        <f>IFERROR(__xludf.DUMMYFUNCTION("""COMPUTED_VALUE"""),"Анализ")</f>
        <v>Анализ</v>
      </c>
      <c r="D1536" s="6" t="str">
        <f>IFERROR(__xludf.DUMMYFUNCTION("""COMPUTED_VALUE"""),"Кировский - Родина")</f>
        <v>Кировский - Родина</v>
      </c>
      <c r="E1536" s="6" t="str">
        <f>IFERROR(__xludf.DUMMYFUNCTION("""COMPUTED_VALUE"""),"Набережная")</f>
        <v>Набережная</v>
      </c>
      <c r="F1536" s="6" t="str">
        <f>IFERROR(__xludf.DUMMYFUNCTION("""COMPUTED_VALUE"""),"Живу здесь с рождения")</f>
        <v>Живу здесь с рождения</v>
      </c>
      <c r="G1536" s="6" t="str">
        <f>IFERROR(__xludf.DUMMYFUNCTION("""COMPUTED_VALUE"""),"Горсад, джаз реки - Жара")</f>
        <v>Горсад, джаз реки - Жара</v>
      </c>
      <c r="H1536" s="6" t="str">
        <f>IFERROR(__xludf.DUMMYFUNCTION("""COMPUTED_VALUE"""),"Смог, пыль, урбанизация, транспортная развязка, губернатор - варяг")</f>
        <v>Смог, пыль, урбанизация, транспортная развязка, губернатор - варяг</v>
      </c>
      <c r="I1536" s="6" t="str">
        <f>IFERROR(__xludf.DUMMYFUNCTION("""COMPUTED_VALUE"""),"Барбараш ")</f>
        <v>Барбараш </v>
      </c>
      <c r="J1536" s="6" t="str">
        <f>IFERROR(__xludf.DUMMYFUNCTION("""COMPUTED_VALUE"""),"Гришковец")</f>
        <v>Гришковец</v>
      </c>
      <c r="K1536" s="6" t="str">
        <f>IFERROR(__xludf.DUMMYFUNCTION("""COMPUTED_VALUE"""),"Красная горка, Лесная Поляна")</f>
        <v>Красная горка, Лесная Поляна</v>
      </c>
      <c r="L1536" s="6" t="str">
        <f>IFERROR(__xludf.DUMMYFUNCTION("""COMPUTED_VALUE"""),"Где родился - там пригодился")</f>
        <v>Где родился - там пригодился</v>
      </c>
      <c r="M1536" s="6" t="str">
        <f>IFERROR(__xludf.DUMMYFUNCTION("""COMPUTED_VALUE"""),"Мультифора")</f>
        <v>Мультифора</v>
      </c>
      <c r="N1536" s="6" t="str">
        <f>IFERROR(__xludf.DUMMYFUNCTION("""COMPUTED_VALUE"""),"Экология, квалифицированная медицина, улучшение дорожного асфальтного покрытия, увеличения транспортных развязок и строительство моста, улучшение качества работы полиции")</f>
        <v>Экология, квалифицированная медицина, улучшение дорожного асфальтного покрытия, увеличения транспортных развязок и строительство моста, улучшение качества работы полиции</v>
      </c>
      <c r="O1536" s="6" t="str">
        <f>IFERROR(__xludf.DUMMYFUNCTION("""COMPUTED_VALUE"""),"Экологию")</f>
        <v>Экологию</v>
      </c>
      <c r="P1536" s="6" t="str">
        <f>IFERROR(__xludf.DUMMYFUNCTION("""COMPUTED_VALUE"""),"Разное")</f>
        <v>Разное</v>
      </c>
      <c r="Q1536" s="6" t="str">
        <f>IFERROR(__xludf.DUMMYFUNCTION("""COMPUTED_VALUE"""),"городская афиша (кино/театр/концерты), интервью с местными предпринимателями, результаты местных исследований (рейтинги/аналитика/тенденции)")</f>
        <v>городская афиша (кино/театр/концерты), интервью с местными предпринимателями, результаты местных исследований (рейтинги/аналитика/тенденции)</v>
      </c>
      <c r="R1536" s="6" t="str">
        <f>IFERROR(__xludf.DUMMYFUNCTION("""COMPUTED_VALUE"""),"День шахтера")</f>
        <v>День шахтера</v>
      </c>
      <c r="S1536" s="6" t="str">
        <f>IFERROR(__xludf.DUMMYFUNCTION("""COMPUTED_VALUE"""),"Нет, не приходилось")</f>
        <v>Нет, не приходилось</v>
      </c>
      <c r="T1536" s="6" t="str">
        <f>IFERROR(__xludf.DUMMYFUNCTION("""COMPUTED_VALUE"""),"Зимняя вишня, к сожалению, по истине - всемирная ""слава"" ")</f>
        <v>Зимняя вишня, к сожалению, по истине - всемирная "слава" </v>
      </c>
      <c r="U1536" s="6" t="str">
        <f>IFERROR(__xludf.DUMMYFUNCTION("""COMPUTED_VALUE"""),"Филармиония")</f>
        <v>Филармиония</v>
      </c>
      <c r="V1536" s="6" t="str">
        <f>IFERROR(__xludf.DUMMYFUNCTION("""COMPUTED_VALUE"""),"В 90-ые шахтёры дошли до Москвы")</f>
        <v>В 90-ые шахтёры дошли до Москвы</v>
      </c>
      <c r="W1536" s="6" t="str">
        <f>IFERROR(__xludf.DUMMYFUNCTION("""COMPUTED_VALUE"""),"Стойкие, суровые, настоящие")</f>
        <v>Стойкие, суровые, настоящие</v>
      </c>
      <c r="X1536" s="6" t="str">
        <f>IFERROR(__xludf.DUMMYFUNCTION("""COMPUTED_VALUE"""),"Центр города - Советский/Весенняя")</f>
        <v>Центр города - Советский/Весенняя</v>
      </c>
      <c r="Y1536" s="6" t="str">
        <f>IFERROR(__xludf.DUMMYFUNCTION("""COMPUTED_VALUE"""),"Кемерово стало столицей Кузбасса")</f>
        <v>Кемерово стало столицей Кузбасса</v>
      </c>
      <c r="Z1536" s="6" t="str">
        <f>IFERROR(__xludf.DUMMYFUNCTION("""COMPUTED_VALUE"""),"Никакие")</f>
        <v>Никакие</v>
      </c>
      <c r="AA1536" s="6" t="str">
        <f>IFERROR(__xludf.DUMMYFUNCTION("""COMPUTED_VALUE"""),"Бездействие правоохранительных органов при исполнении служебных обязанностей")</f>
        <v>Бездействие правоохранительных органов при исполнении служебных обязанностей</v>
      </c>
      <c r="AB1536" s="6" t="str">
        <f>IFERROR(__xludf.DUMMYFUNCTION("""COMPUTED_VALUE"""),"Культурно-массовых")</f>
        <v>Культурно-массовых</v>
      </c>
      <c r="AC1536" s="6" t="str">
        <f>IFERROR(__xludf.DUMMYFUNCTION("""COMPUTED_VALUE"""),"Концерты, выставки, благотворительность")</f>
        <v>Концерты, выставки, благотворительность</v>
      </c>
      <c r="AD1536"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536" s="6" t="str">
        <f>IFERROR(__xludf.DUMMYFUNCTION("""COMPUTED_VALUE"""),"Женский")</f>
        <v>Женский</v>
      </c>
      <c r="AF1536" s="6" t="str">
        <f>IFERROR(__xludf.DUMMYFUNCTION("""COMPUTED_VALUE"""),"30-44")</f>
        <v>30-44</v>
      </c>
      <c r="AG1536" s="6"/>
      <c r="AH1536" s="6"/>
      <c r="AI1536" s="6"/>
      <c r="AJ1536" s="6"/>
      <c r="AK1536" s="6"/>
      <c r="AL1536" s="6"/>
      <c r="AM1536" s="6"/>
    </row>
    <row r="1537">
      <c r="A1537" s="6">
        <v>1536.0</v>
      </c>
      <c r="B1537" s="6" t="str">
        <f>IFERROR(__xludf.DUMMYFUNCTION("""COMPUTED_VALUE"""),"Работаю")</f>
        <v>Работаю</v>
      </c>
      <c r="C1537" s="6" t="str">
        <f>IFERROR(__xludf.DUMMYFUNCTION("""COMPUTED_VALUE"""),"Нет")</f>
        <v>Нет</v>
      </c>
      <c r="D1537" s="6" t="str">
        <f>IFERROR(__xludf.DUMMYFUNCTION("""COMPUTED_VALUE"""),"Заводский - Южный ")</f>
        <v>Заводский - Южный </v>
      </c>
      <c r="E1537" s="6" t="str">
        <f>IFERROR(__xludf.DUMMYFUNCTION("""COMPUTED_VALUE"""),"Отсутствуют. Ну или может храм")</f>
        <v>Отсутствуют. Ну или может храм</v>
      </c>
      <c r="F1537" s="6" t="str">
        <f>IFERROR(__xludf.DUMMYFUNCTION("""COMPUTED_VALUE"""),"Живу здесь с рождения")</f>
        <v>Живу здесь с рождения</v>
      </c>
      <c r="G1537" s="6" t="str">
        <f>IFERROR(__xludf.DUMMYFUNCTION("""COMPUTED_VALUE"""),"Ресторан Лазурный берег")</f>
        <v>Ресторан Лазурный берег</v>
      </c>
      <c r="H1537" s="6" t="str">
        <f>IFERROR(__xludf.DUMMYFUNCTION("""COMPUTED_VALUE"""),"Город красивый очень, но битые дороги и смог.....")</f>
        <v>Город красивый очень, но битые дороги и смог.....</v>
      </c>
      <c r="I1537" s="6" t="str">
        <f>IFERROR(__xludf.DUMMYFUNCTION("""COMPUTED_VALUE"""),"Волошина, Леонов, Двужильный, Мартемьянов...")</f>
        <v>Волошина, Леонов, Двужильный, Мартемьянов...</v>
      </c>
      <c r="J1537" s="6" t="str">
        <f>IFERROR(__xludf.DUMMYFUNCTION("""COMPUTED_VALUE"""),"Тулеев")</f>
        <v>Тулеев</v>
      </c>
      <c r="K1537" s="6" t="str">
        <f>IFERROR(__xludf.DUMMYFUNCTION("""COMPUTED_VALUE"""),"🤷‍♀️")</f>
        <v>🤷‍♀️</v>
      </c>
      <c r="L1537" s="6" t="str">
        <f>IFERROR(__xludf.DUMMYFUNCTION("""COMPUTED_VALUE"""),"🤷‍♀️")</f>
        <v>🤷‍♀️</v>
      </c>
      <c r="M1537" s="6" t="str">
        <f>IFERROR(__xludf.DUMMYFUNCTION("""COMPUTED_VALUE"""),"🤷‍♀️")</f>
        <v>🤷‍♀️</v>
      </c>
      <c r="N1537" s="6" t="str">
        <f>IFERROR(__xludf.DUMMYFUNCTION("""COMPUTED_VALUE"""),"Чистый воздух, безопасность, досуг ")</f>
        <v>Чистый воздух, безопасность, досуг </v>
      </c>
      <c r="O1537" s="6" t="str">
        <f>IFERROR(__xludf.DUMMYFUNCTION("""COMPUTED_VALUE"""),"Выброс химикатов в атмосферу")</f>
        <v>Выброс химикатов в атмосферу</v>
      </c>
      <c r="P1537" s="6" t="str">
        <f>IFERROR(__xludf.DUMMYFUNCTION("""COMPUTED_VALUE"""),"Инстаграм")</f>
        <v>Инстаграм</v>
      </c>
      <c r="Q1537" s="6" t="str">
        <f>IFERROR(__xludf.DUMMYFUNCTION("""COMPUTED_VALUE"""),"куда пойти в свободное время, где вкусно поесть/открытие новых кафе/ресторанов, новости про новые профессии/куда поступать/вакансии")</f>
        <v>куда пойти в свободное время, где вкусно поесть/открытие новых кафе/ресторанов, новости про новые профессии/куда поступать/вакансии</v>
      </c>
      <c r="R1537" s="6" t="str">
        <f>IFERROR(__xludf.DUMMYFUNCTION("""COMPUTED_VALUE"""),"День Победы")</f>
        <v>День Победы</v>
      </c>
      <c r="S1537" s="6" t="str">
        <f>IFERROR(__xludf.DUMMYFUNCTION("""COMPUTED_VALUE"""),"Нет, не приходилось")</f>
        <v>Нет, не приходилось</v>
      </c>
      <c r="T1537" s="6" t="str">
        <f>IFERROR(__xludf.DUMMYFUNCTION("""COMPUTED_VALUE"""),"К сожалению ""Зимняя вишня""")</f>
        <v>К сожалению "Зимняя вишня"</v>
      </c>
      <c r="U1537" s="6" t="str">
        <f>IFERROR(__xludf.DUMMYFUNCTION("""COMPUTED_VALUE"""),"Фонтан")</f>
        <v>Фонтан</v>
      </c>
      <c r="V1537" s="6" t="str">
        <f>IFERROR(__xludf.DUMMYFUNCTION("""COMPUTED_VALUE"""),"🤷‍♀️")</f>
        <v>🤷‍♀️</v>
      </c>
      <c r="W1537" s="6" t="str">
        <f>IFERROR(__xludf.DUMMYFUNCTION("""COMPUTED_VALUE"""),"Разные ")</f>
        <v>Разные </v>
      </c>
      <c r="X1537" s="6" t="str">
        <f>IFERROR(__xludf.DUMMYFUNCTION("""COMPUTED_VALUE"""),"Красная горка")</f>
        <v>Красная горка</v>
      </c>
      <c r="Y1537" s="6" t="str">
        <f>IFERROR(__xludf.DUMMYFUNCTION("""COMPUTED_VALUE"""),"🤷‍♀️")</f>
        <v>🤷‍♀️</v>
      </c>
      <c r="Z1537" s="6" t="str">
        <f>IFERROR(__xludf.DUMMYFUNCTION("""COMPUTED_VALUE"""),"🤷‍♀️")</f>
        <v>🤷‍♀️</v>
      </c>
      <c r="AA1537" s="6" t="str">
        <f>IFERROR(__xludf.DUMMYFUNCTION("""COMPUTED_VALUE"""),"🤷‍♀️")</f>
        <v>🤷‍♀️</v>
      </c>
      <c r="AB1537" s="6" t="str">
        <f>IFERROR(__xludf.DUMMYFUNCTION("""COMPUTED_VALUE"""),"Детский досуг и досуг для пожилых людей ")</f>
        <v>Детский досуг и досуг для пожилых людей </v>
      </c>
      <c r="AC1537" s="6" t="str">
        <f>IFERROR(__xludf.DUMMYFUNCTION("""COMPUTED_VALUE"""),"Веселые")</f>
        <v>Веселые</v>
      </c>
      <c r="AD153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37" s="6" t="str">
        <f>IFERROR(__xludf.DUMMYFUNCTION("""COMPUTED_VALUE"""),"Женский")</f>
        <v>Женский</v>
      </c>
      <c r="AF1537" s="6" t="str">
        <f>IFERROR(__xludf.DUMMYFUNCTION("""COMPUTED_VALUE"""),"30-44")</f>
        <v>30-44</v>
      </c>
      <c r="AG1537" s="6"/>
      <c r="AH1537" s="6"/>
      <c r="AI1537" s="6"/>
      <c r="AJ1537" s="6"/>
      <c r="AK1537" s="6"/>
      <c r="AL1537" s="6"/>
      <c r="AM1537" s="6"/>
    </row>
    <row r="1538">
      <c r="A1538" s="6">
        <v>1537.0</v>
      </c>
      <c r="B1538" s="6" t="str">
        <f>IFERROR(__xludf.DUMMYFUNCTION("""COMPUTED_VALUE"""),"Служащий")</f>
        <v>Служащий</v>
      </c>
      <c r="C1538" s="6" t="str">
        <f>IFERROR(__xludf.DUMMYFUNCTION("""COMPUTED_VALUE"""),"да")</f>
        <v>да</v>
      </c>
      <c r="D1538" s="6" t="str">
        <f>IFERROR(__xludf.DUMMYFUNCTION("""COMPUTED_VALUE"""),"Кировский")</f>
        <v>Кировский</v>
      </c>
      <c r="E1538" s="6" t="str">
        <f>IFERROR(__xludf.DUMMYFUNCTION("""COMPUTED_VALUE"""),"Берёзовая Роща")</f>
        <v>Берёзовая Роща</v>
      </c>
      <c r="F1538" s="6" t="str">
        <f>IFERROR(__xludf.DUMMYFUNCTION("""COMPUTED_VALUE"""),"Живу здесь с рождения")</f>
        <v>Живу здесь с рождения</v>
      </c>
      <c r="G1538" s="6" t="str">
        <f>IFERROR(__xludf.DUMMYFUNCTION("""COMPUTED_VALUE"""),"домой")</f>
        <v>домой</v>
      </c>
      <c r="H1538" s="6" t="str">
        <f>IFERROR(__xludf.DUMMYFUNCTION("""COMPUTED_VALUE"""),"химия  воздух криминал тупик дороги")</f>
        <v>химия  воздух криминал тупик дороги</v>
      </c>
      <c r="I1538" s="6" t="str">
        <f>IFERROR(__xludf.DUMMYFUNCTION("""COMPUTED_VALUE"""),"Волков ")</f>
        <v>Волков </v>
      </c>
      <c r="J1538" s="6" t="str">
        <f>IFERROR(__xludf.DUMMYFUNCTION("""COMPUTED_VALUE"""),"Леонов, Раздаев")</f>
        <v>Леонов, Раздаев</v>
      </c>
      <c r="K1538" s="6" t="str">
        <f>IFERROR(__xludf.DUMMYFUNCTION("""COMPUTED_VALUE"""),"Прогресс")</f>
        <v>Прогресс</v>
      </c>
      <c r="L1538" s="6" t="str">
        <f>IFERROR(__xludf.DUMMYFUNCTION("""COMPUTED_VALUE"""),"нету")</f>
        <v>нету</v>
      </c>
      <c r="M1538" s="6" t="str">
        <f>IFERROR(__xludf.DUMMYFUNCTION("""COMPUTED_VALUE"""),"Люди в Кемерове говорят правильно )")</f>
        <v>Люди в Кемерове говорят правильно )</v>
      </c>
      <c r="N1538" s="6" t="str">
        <f>IFERROR(__xludf.DUMMYFUNCTION("""COMPUTED_VALUE"""),"Спокойствие, дороги, чистота... доступность транспорта, воздух")</f>
        <v>Спокойствие, дороги, чистота... доступность транспорта, воздух</v>
      </c>
      <c r="O1538" s="6" t="str">
        <f>IFERROR(__xludf.DUMMYFUNCTION("""COMPUTED_VALUE"""),"Заставить работать учителей и врачей просто нормально выполнять обязанности
")</f>
        <v>Заставить работать учителей и врачей просто нормально выполнять обязанности
</v>
      </c>
      <c r="P1538" s="6" t="str">
        <f>IFERROR(__xludf.DUMMYFUNCTION("""COMPUTED_VALUE"""),"работа.")</f>
        <v>работа.</v>
      </c>
      <c r="Q1538" s="6" t="str">
        <f>IFERROR(__xludf.DUMMYFUNCTION("""COMPUTED_VALUE"""),"интервью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1538" s="6" t="str">
        <f>IFERROR(__xludf.DUMMYFUNCTION("""COMPUTED_VALUE"""),"25.03.!!!
")</f>
        <v>25.03.!!!
</v>
      </c>
      <c r="S1538" s="6" t="str">
        <f>IFERROR(__xludf.DUMMYFUNCTION("""COMPUTED_VALUE"""),"это работа")</f>
        <v>это работа</v>
      </c>
      <c r="T1538" s="6" t="str">
        <f>IFERROR(__xludf.DUMMYFUNCTION("""COMPUTED_VALUE"""),"нет")</f>
        <v>нет</v>
      </c>
      <c r="U1538" s="6" t="str">
        <f>IFERROR(__xludf.DUMMYFUNCTION("""COMPUTED_VALUE"""),"центр")</f>
        <v>центр</v>
      </c>
      <c r="V1538" s="6" t="str">
        <f>IFERROR(__xludf.DUMMYFUNCTION("""COMPUTED_VALUE"""),"Ничего хотя могли...")</f>
        <v>Ничего хотя могли...</v>
      </c>
      <c r="W1538" s="6" t="str">
        <f>IFERROR(__xludf.DUMMYFUNCTION("""COMPUTED_VALUE"""),"Контрастные,")</f>
        <v>Контрастные,</v>
      </c>
      <c r="X1538" s="6" t="str">
        <f>IFERROR(__xludf.DUMMYFUNCTION("""COMPUTED_VALUE"""),"40")</f>
        <v>40</v>
      </c>
      <c r="Y1538" s="6" t="str">
        <f>IFERROR(__xludf.DUMMYFUNCTION("""COMPUTED_VALUE"""),"Забастовка шахтёров в 90ых")</f>
        <v>Забастовка шахтёров в 90ых</v>
      </c>
      <c r="Z1538" s="6" t="str">
        <f>IFERROR(__xludf.DUMMYFUNCTION("""COMPUTED_VALUE"""),"нету")</f>
        <v>нету</v>
      </c>
      <c r="AA1538" s="6" t="str">
        <f>IFERROR(__xludf.DUMMYFUNCTION("""COMPUTED_VALUE"""),"строительство парка Ангелов...")</f>
        <v>строительство парка Ангелов...</v>
      </c>
      <c r="AB1538" s="6" t="str">
        <f>IFERROR(__xludf.DUMMYFUNCTION("""COMPUTED_VALUE"""),"не нуждаюсь")</f>
        <v>не нуждаюсь</v>
      </c>
      <c r="AC1538" s="6" t="str">
        <f>IFERROR(__xludf.DUMMYFUNCTION("""COMPUTED_VALUE"""),"детские праздники, конкурсы")</f>
        <v>детские праздники, конкурсы</v>
      </c>
      <c r="AD1538"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538" s="6" t="str">
        <f>IFERROR(__xludf.DUMMYFUNCTION("""COMPUTED_VALUE"""),"Мужской")</f>
        <v>Мужской</v>
      </c>
      <c r="AF1538" s="6" t="str">
        <f>IFERROR(__xludf.DUMMYFUNCTION("""COMPUTED_VALUE"""),"30-44")</f>
        <v>30-44</v>
      </c>
      <c r="AG1538" s="6"/>
      <c r="AH1538" s="6"/>
      <c r="AI1538" s="6"/>
      <c r="AJ1538" s="6"/>
      <c r="AK1538" s="6"/>
      <c r="AL1538" s="6"/>
      <c r="AM1538" s="6"/>
    </row>
    <row r="1539">
      <c r="A1539" s="6">
        <v>1538.0</v>
      </c>
      <c r="B1539" s="6" t="str">
        <f>IFERROR(__xludf.DUMMYFUNCTION("""COMPUTED_VALUE"""),"Уход за близким родственником")</f>
        <v>Уход за близким родственником</v>
      </c>
      <c r="C1539" s="6" t="str">
        <f>IFERROR(__xludf.DUMMYFUNCTION("""COMPUTED_VALUE"""),"Чтение, вязание")</f>
        <v>Чтение, вязание</v>
      </c>
      <c r="D1539" s="6" t="str">
        <f>IFERROR(__xludf.DUMMYFUNCTION("""COMPUTED_VALUE"""),"Кировский")</f>
        <v>Кировский</v>
      </c>
      <c r="E1539" s="6" t="str">
        <f>IFERROR(__xludf.DUMMYFUNCTION("""COMPUTED_VALUE"""),"Набережная, Березовая роща, Аллея (40 лет Октября)")</f>
        <v>Набережная, Березовая роща, Аллея (40 лет Октября)</v>
      </c>
      <c r="F1539" s="6" t="str">
        <f>IFERROR(__xludf.DUMMYFUNCTION("""COMPUTED_VALUE"""),"Переехал сюда из другого места (откуда? укажите в графе другое), Приморский край")</f>
        <v>Переехал сюда из другого места (откуда? укажите в графе другое), Приморский край</v>
      </c>
      <c r="G1539" s="6" t="str">
        <f>IFERROR(__xludf.DUMMYFUNCTION("""COMPUTED_VALUE"""),"Набережная в Кировском р-не, в центре. Театры. Выставки.")</f>
        <v>Набережная в Кировском р-не, в центре. Театры. Выставки.</v>
      </c>
      <c r="H1539" s="6" t="str">
        <f>IFERROR(__xludf.DUMMYFUNCTION("""COMPUTED_VALUE"""),"Красная горка, Парк Чудес, Набережная, Драмтеатр, ")</f>
        <v>Красная горка, Парк Чудес, Набережная, Драмтеатр, </v>
      </c>
      <c r="I1539" s="6" t="str">
        <f>IFERROR(__xludf.DUMMYFUNCTION("""COMPUTED_VALUE"""),"Леонов")</f>
        <v>Леонов</v>
      </c>
      <c r="J1539" s="6" t="str">
        <f>IFERROR(__xludf.DUMMYFUNCTION("""COMPUTED_VALUE"""),"Не знаю")</f>
        <v>Не знаю</v>
      </c>
      <c r="K1539" s="6" t="str">
        <f>IFERROR(__xludf.DUMMYFUNCTION("""COMPUTED_VALUE"""),"Школа, где учился Леонов. Шахтер на Красной горке. Дома-колбасы.")</f>
        <v>Школа, где учился Леонов. Шахтер на Красной горке. Дома-колбасы.</v>
      </c>
      <c r="L1539" s="6" t="str">
        <f>IFERROR(__xludf.DUMMYFUNCTION("""COMPUTED_VALUE"""),"Не знаю")</f>
        <v>Не знаю</v>
      </c>
      <c r="M1539" s="6" t="str">
        <f>IFERROR(__xludf.DUMMYFUNCTION("""COMPUTED_VALUE"""),"Нет")</f>
        <v>Нет</v>
      </c>
      <c r="N1539" s="6" t="str">
        <f>IFERROR(__xludf.DUMMYFUNCTION("""COMPUTED_VALUE"""),"Равнинная местность, много зелени.")</f>
        <v>Равнинная местность, много зелени.</v>
      </c>
      <c r="O1539" s="6" t="str">
        <f>IFERROR(__xludf.DUMMYFUNCTION("""COMPUTED_VALUE"""),"Привести в порядок тротуары.")</f>
        <v>Привести в порядок тротуары.</v>
      </c>
      <c r="P1539" s="6" t="str">
        <f>IFERROR(__xludf.DUMMYFUNCTION("""COMPUTED_VALUE"""),"Яндекс.Новости. Google")</f>
        <v>Яндекс.Новости. Google</v>
      </c>
      <c r="Q1539" s="6" t="str">
        <f>IFERROR(__xludf.DUMMYFUNCTION("""COMPUTED_VALUE"""),"где вкусно поесть/открытие новых кафе/ресторанов, городская афиша (кино/театр/концерты), интервью с местными творческими личностями, результаты местных исследований (рейтинги/аналитика/тенденции)")</f>
        <v>где вкусно поесть/открытие новых кафе/ресторанов, городская афиша (кино/театр/концерты), интервью с местными творческими личностями, результаты местных исследований (рейтинги/аналитика/тенденции)</v>
      </c>
      <c r="R1539" s="6" t="str">
        <f>IFERROR(__xludf.DUMMYFUNCTION("""COMPUTED_VALUE"""),"День города. День шахтера.")</f>
        <v>День города. День шахтера.</v>
      </c>
      <c r="S1539" s="6" t="str">
        <f>IFERROR(__xludf.DUMMYFUNCTION("""COMPUTED_VALUE"""),"Нет, не приходилось")</f>
        <v>Нет, не приходилось</v>
      </c>
      <c r="T1539" s="6" t="str">
        <f>IFERROR(__xludf.DUMMYFUNCTION("""COMPUTED_VALUE"""),"Последнее время печально известен в связи с трагедией ""Зимней вишни"".")</f>
        <v>Последнее время печально известен в связи с трагедией "Зимней вишни".</v>
      </c>
      <c r="U1539" s="6" t="str">
        <f>IFERROR(__xludf.DUMMYFUNCTION("""COMPUTED_VALUE"""),"Центральная площадь")</f>
        <v>Центральная площадь</v>
      </c>
      <c r="V1539" s="6" t="str">
        <f>IFERROR(__xludf.DUMMYFUNCTION("""COMPUTED_VALUE"""),"Трудятся")</f>
        <v>Трудятся</v>
      </c>
      <c r="W1539" s="6" t="str">
        <f>IFERROR(__xludf.DUMMYFUNCTION("""COMPUTED_VALUE"""),"Дружелюбные")</f>
        <v>Дружелюбные</v>
      </c>
      <c r="X1539" s="6" t="str">
        <f>IFERROR(__xludf.DUMMYFUNCTION("""COMPUTED_VALUE"""),"Набережная - Красная горка")</f>
        <v>Набережная - Красная горка</v>
      </c>
      <c r="Y1539" s="6" t="str">
        <f>IFERROR(__xludf.DUMMYFUNCTION("""COMPUTED_VALUE"""),"Набор в натуральную школу (Машков)")</f>
        <v>Набор в натуральную школу (Машков)</v>
      </c>
      <c r="Z1539" s="6" t="str">
        <f>IFERROR(__xludf.DUMMYFUNCTION("""COMPUTED_VALUE"""),"Бессмертный полк")</f>
        <v>Бессмертный полк</v>
      </c>
      <c r="AA1539" s="6" t="str">
        <f>IFERROR(__xludf.DUMMYFUNCTION("""COMPUTED_VALUE"""),"Никакие")</f>
        <v>Никакие</v>
      </c>
      <c r="AB1539" s="6" t="str">
        <f>IFERROR(__xludf.DUMMYFUNCTION("""COMPUTED_VALUE"""),"Не знаю, какие есть")</f>
        <v>Не знаю, какие есть</v>
      </c>
      <c r="AC1539" s="6" t="str">
        <f>IFERROR(__xludf.DUMMYFUNCTION("""COMPUTED_VALUE"""),"Музыкальные фестивали под открытым небом")</f>
        <v>Музыкальные фестивали под открытым небом</v>
      </c>
      <c r="AD1539"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39" s="6" t="str">
        <f>IFERROR(__xludf.DUMMYFUNCTION("""COMPUTED_VALUE"""),"Женский")</f>
        <v>Женский</v>
      </c>
      <c r="AF1539" s="6" t="str">
        <f>IFERROR(__xludf.DUMMYFUNCTION("""COMPUTED_VALUE"""),"45-55")</f>
        <v>45-55</v>
      </c>
      <c r="AG1539" s="6"/>
      <c r="AH1539" s="6"/>
      <c r="AI1539" s="6"/>
      <c r="AJ1539" s="6"/>
      <c r="AK1539" s="6"/>
      <c r="AL1539" s="6"/>
      <c r="AM1539" s="6"/>
    </row>
    <row r="1540">
      <c r="A1540" s="6">
        <v>1539.0</v>
      </c>
      <c r="B1540" s="6" t="str">
        <f>IFERROR(__xludf.DUMMYFUNCTION("""COMPUTED_VALUE"""),"Работаю")</f>
        <v>Работаю</v>
      </c>
      <c r="C1540" s="6" t="str">
        <f>IFERROR(__xludf.DUMMYFUNCTION("""COMPUTED_VALUE"""),"Рисую")</f>
        <v>Рисую</v>
      </c>
      <c r="D1540" s="6" t="str">
        <f>IFERROR(__xludf.DUMMYFUNCTION("""COMPUTED_VALUE"""),"Центральный")</f>
        <v>Центральный</v>
      </c>
      <c r="E1540" s="6" t="str">
        <f>IFERROR(__xludf.DUMMYFUNCTION("""COMPUTED_VALUE"""),"Набережная, парки")</f>
        <v>Набережная, парки</v>
      </c>
      <c r="F1540" s="6" t="str">
        <f>IFERROR(__xludf.DUMMYFUNCTION("""COMPUTED_VALUE"""),"Переехал сюда из другого места (откуда? укажите в графе другое), Анжеро-Судженска")</f>
        <v>Переехал сюда из другого места (откуда? укажите в графе другое), Анжеро-Судженска</v>
      </c>
      <c r="G1540" s="6" t="str">
        <f>IFERROR(__xludf.DUMMYFUNCTION("""COMPUTED_VALUE"""),"В парки")</f>
        <v>В парки</v>
      </c>
      <c r="H1540" s="6" t="str">
        <f>IFERROR(__xludf.DUMMYFUNCTION("""COMPUTED_VALUE"""),"Азот, воздух, Томь, пробки, новострой")</f>
        <v>Азот, воздух, Томь, пробки, новострой</v>
      </c>
      <c r="I1540" s="6" t="str">
        <f>IFERROR(__xludf.DUMMYFUNCTION("""COMPUTED_VALUE"""),"Леонов, Гришковец, Малышева, тулеев")</f>
        <v>Леонов, Гришковец, Малышева, тулеев</v>
      </c>
      <c r="J1540" s="6" t="str">
        <f>IFERROR(__xludf.DUMMYFUNCTION("""COMPUTED_VALUE"""),"Не знаю")</f>
        <v>Не знаю</v>
      </c>
      <c r="K1540" s="6" t="str">
        <f>IFERROR(__xludf.DUMMYFUNCTION("""COMPUTED_VALUE"""),"Бульвар строителей , парки в центре")</f>
        <v>Бульвар строителей , парки в центре</v>
      </c>
      <c r="L1540" s="6" t="str">
        <f>IFERROR(__xludf.DUMMYFUNCTION("""COMPUTED_VALUE"""),"Не знаю")</f>
        <v>Не знаю</v>
      </c>
      <c r="M1540" s="6" t="str">
        <f>IFERROR(__xludf.DUMMYFUNCTION("""COMPUTED_VALUE"""),"Нет")</f>
        <v>Нет</v>
      </c>
      <c r="N1540" s="6" t="str">
        <f>IFERROR(__xludf.DUMMYFUNCTION("""COMPUTED_VALUE"""),"Чистота улиц, чистота воздуха, места отдыха, а в целом тут и так не плохо")</f>
        <v>Чистота улиц, чистота воздуха, места отдыха, а в целом тут и так не плохо</v>
      </c>
      <c r="O1540" s="6" t="str">
        <f>IFERROR(__xludf.DUMMYFUNCTION("""COMPUTED_VALUE"""),"Думаю что совсем старый жилой фонд надо менять и в конечно фасады зданий в центре в ужасном состоянии, срочно ремонт, серость панелек похожа на гетто .")</f>
        <v>Думаю что совсем старый жилой фонд надо менять и в конечно фасады зданий в центре в ужасном состоянии, срочно ремонт, серость панелек похожа на гетто .</v>
      </c>
      <c r="P1540" s="6" t="str">
        <f>IFERROR(__xludf.DUMMYFUNCTION("""COMPUTED_VALUE"""),"Сайты -Регион 42, типичный Кемерово")</f>
        <v>Сайты -Регион 42, типичный Кемерово</v>
      </c>
      <c r="Q1540" s="6" t="str">
        <f>IFERROR(__xludf.DUMMYFUNCTION("""COMPUTED_VALUE"""),"городская афиша (кино/театр/концерты), культурные новинки (что почитать/что послушать), Нет совсем клубов по интересам для одиноких взрослых людей, если и есть то мало кто знает о них")</f>
        <v>городская афиша (кино/театр/концерты), культурные новинки (что почитать/что послушать), Нет совсем клубов по интересам для одиноких взрослых людей, если и есть то мало кто знает о них</v>
      </c>
      <c r="R1540" s="6" t="str">
        <f>IFERROR(__xludf.DUMMYFUNCTION("""COMPUTED_VALUE"""),"Жаль что у нас совсем нет каких то грандиозных мероприятий, если приглашают артистов то это такие которыет не вызывают особого интереса. А вот например рок концерт это был фурор . Мне кажется нужна культурная жизнь городу а она совсем отсутствует, нет мер"&amp;"оприятий для молодежи массовых, вызывающих интерес")</f>
        <v>Жаль что у нас совсем нет каких то грандиозных мероприятий, если приглашают артистов то это такие которыет не вызывают особого интереса. А вот например рок концерт это был фурор . Мне кажется нужна культурная жизнь городу а она совсем отсутствует, нет мероприятий для молодежи массовых, вызывающих интерес</v>
      </c>
      <c r="S1540" s="6" t="str">
        <f>IFERROR(__xludf.DUMMYFUNCTION("""COMPUTED_VALUE"""),"Нет, не приходилось")</f>
        <v>Нет, не приходилось</v>
      </c>
      <c r="T1540" s="6" t="str">
        <f>IFERROR(__xludf.DUMMYFUNCTION("""COMPUTED_VALUE"""),"Уникального ни чего нет")</f>
        <v>Уникального ни чего нет</v>
      </c>
      <c r="U1540" s="6" t="str">
        <f>IFERROR(__xludf.DUMMYFUNCTION("""COMPUTED_VALUE"""),"Бульвар строителей думаю второй центр")</f>
        <v>Бульвар строителей думаю второй центр</v>
      </c>
      <c r="V1540" s="6" t="str">
        <f>IFERROR(__xludf.DUMMYFUNCTION("""COMPUTED_VALUE"""),"Я затрудняюсь ответить")</f>
        <v>Я затрудняюсь ответить</v>
      </c>
      <c r="W1540" s="6" t="str">
        <f>IFERROR(__xludf.DUMMYFUNCTION("""COMPUTED_VALUE"""),"Люди злые становятся, не общительные. Мы разучились общаться. Люди уставшие, заезженные работой. ")</f>
        <v>Люди злые становятся, не общительные. Мы разучились общаться. Люди уставшие, заезженные работой. </v>
      </c>
      <c r="X1540" s="6" t="str">
        <f>IFERROR(__xludf.DUMMYFUNCTION("""COMPUTED_VALUE"""),"Набережная, советский а вообще нет маршрутов")</f>
        <v>Набережная, советский а вообще нет маршрутов</v>
      </c>
      <c r="Y1540" s="6" t="str">
        <f>IFERROR(__xludf.DUMMYFUNCTION("""COMPUTED_VALUE"""),"Затрудняюсь ответить")</f>
        <v>Затрудняюсь ответить</v>
      </c>
      <c r="Z1540" s="6" t="str">
        <f>IFERROR(__xludf.DUMMYFUNCTION("""COMPUTED_VALUE"""),"Рок концерт")</f>
        <v>Рок концерт</v>
      </c>
      <c r="AA1540" s="6" t="str">
        <f>IFERROR(__xludf.DUMMYFUNCTION("""COMPUTED_VALUE"""),"Затрудняюсь ответить")</f>
        <v>Затрудняюсь ответить</v>
      </c>
      <c r="AB1540" s="6" t="str">
        <f>IFERROR(__xludf.DUMMYFUNCTION("""COMPUTED_VALUE"""),"Клубов по интересам людей надо шевелить")</f>
        <v>Клубов по интересам людей надо шевелить</v>
      </c>
      <c r="AC1540" s="6" t="str">
        <f>IFERROR(__xludf.DUMMYFUNCTION("""COMPUTED_VALUE"""),"Общественные мероприятия и не просто пожрать кашу в парке и побегать а это должны быть какие то музыкальные парады, может шествия где молодежь может выплеснуть энергию в правильном русле . Посмотрите зарубежную практику в этом направлении. Соцкульт меропр"&amp;"иятия настолько слабые и посредственные что просто не хочется на них ходить. Не интересно.")</f>
        <v>Общественные мероприятия и не просто пожрать кашу в парке и побегать а это должны быть какие то музыкальные парады, может шествия где молодежь может выплеснуть энергию в правильном русле . Посмотрите зарубежную практику в этом направлении. Соцкульт мероприятия настолько слабые и посредственные что просто не хочется на них ходить. Не интересно.</v>
      </c>
      <c r="AD154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40" s="6" t="str">
        <f>IFERROR(__xludf.DUMMYFUNCTION("""COMPUTED_VALUE"""),"Женский")</f>
        <v>Женский</v>
      </c>
      <c r="AF1540" s="6" t="str">
        <f>IFERROR(__xludf.DUMMYFUNCTION("""COMPUTED_VALUE"""),"45-55")</f>
        <v>45-55</v>
      </c>
      <c r="AG1540" s="6"/>
      <c r="AH1540" s="6"/>
      <c r="AI1540" s="6"/>
      <c r="AJ1540" s="6"/>
      <c r="AK1540" s="6"/>
      <c r="AL1540" s="6"/>
      <c r="AM1540" s="6"/>
    </row>
    <row r="1541">
      <c r="A1541" s="6">
        <v>1540.0</v>
      </c>
      <c r="B1541" s="6" t="str">
        <f>IFERROR(__xludf.DUMMYFUNCTION("""COMPUTED_VALUE"""),"Медицина")</f>
        <v>Медицина</v>
      </c>
      <c r="C1541" s="6" t="str">
        <f>IFERROR(__xludf.DUMMYFUNCTION("""COMPUTED_VALUE"""),"Путешествия, спорт, книги, рукоделие")</f>
        <v>Путешествия, спорт, книги, рукоделие</v>
      </c>
      <c r="D1541" s="6" t="str">
        <f>IFERROR(__xludf.DUMMYFUNCTION("""COMPUTED_VALUE"""),"Ленинский ")</f>
        <v>Ленинский </v>
      </c>
      <c r="E1541" s="6" t="str">
        <f>IFERROR(__xludf.DUMMYFUNCTION("""COMPUTED_VALUE"""),"Широкие проспекты")</f>
        <v>Широкие проспекты</v>
      </c>
      <c r="F1541" s="6" t="str">
        <f>IFERROR(__xludf.DUMMYFUNCTION("""COMPUTED_VALUE"""),"Живу здесь с рождения")</f>
        <v>Живу здесь с рождения</v>
      </c>
      <c r="G1541" s="6" t="str">
        <f>IFERROR(__xludf.DUMMYFUNCTION("""COMPUTED_VALUE"""),"Музей, театр, парки, кафе, квиз игры")</f>
        <v>Музей, театр, парки, кафе, квиз игры</v>
      </c>
      <c r="H1541" s="6" t="str">
        <f>IFERROR(__xludf.DUMMYFUNCTION("""COMPUTED_VALUE"""),"Индустриальный, советский, плохая экология,тем не менее зеленый и чистый(в плане мусора) ")</f>
        <v>Индустриальный, советский, плохая экология,тем не менее зеленый и чистый(в плане мусора) </v>
      </c>
      <c r="I1541" s="6" t="str">
        <f>IFERROR(__xludf.DUMMYFUNCTION("""COMPUTED_VALUE"""),"Гришковец, Панин, братья Кирилловы")</f>
        <v>Гришковец, Панин, братья Кирилловы</v>
      </c>
      <c r="J1541" s="6" t="str">
        <f>IFERROR(__xludf.DUMMYFUNCTION("""COMPUTED_VALUE"""),"Спортсмены, актёры ")</f>
        <v>Спортсмены, актёры </v>
      </c>
      <c r="K1541" s="6" t="str">
        <f>IFERROR(__xludf.DUMMYFUNCTION("""COMPUTED_VALUE"""),"Сосновый бор, набережная ")</f>
        <v>Сосновый бор, набережная </v>
      </c>
      <c r="L1541" s="6" t="str">
        <f>IFERROR(__xludf.DUMMYFUNCTION("""COMPUTED_VALUE"""),"Нет")</f>
        <v>Нет</v>
      </c>
      <c r="M1541" s="6" t="str">
        <f>IFERROR(__xludf.DUMMYFUNCTION("""COMPUTED_VALUE"""),"Нет")</f>
        <v>Нет</v>
      </c>
      <c r="N1541" s="6" t="str">
        <f>IFERROR(__xludf.DUMMYFUNCTION("""COMPUTED_VALUE"""),"Чистый город(без мусора), озеленение, широкие проспекты")</f>
        <v>Чистый город(без мусора), озеленение, широкие проспекты</v>
      </c>
      <c r="O1541" s="6" t="str">
        <f>IFERROR(__xludf.DUMMYFUNCTION("""COMPUTED_VALUE"""),"Экология ")</f>
        <v>Экология </v>
      </c>
      <c r="P1541" s="6" t="str">
        <f>IFERROR(__xludf.DUMMYFUNCTION("""COMPUTED_VALUE"""),"Новости тв, инстаграм")</f>
        <v>Новости тв, инстаграм</v>
      </c>
      <c r="Q1541"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1541" s="6" t="str">
        <f>IFERROR(__xludf.DUMMYFUNCTION("""COMPUTED_VALUE"""),"День Победы, Новый год")</f>
        <v>День Победы, Новый год</v>
      </c>
      <c r="S1541" s="6" t="str">
        <f>IFERROR(__xludf.DUMMYFUNCTION("""COMPUTED_VALUE"""),"Нет, не приходилось")</f>
        <v>Нет, не приходилось</v>
      </c>
      <c r="T1541" s="6" t="str">
        <f>IFERROR(__xludf.DUMMYFUNCTION("""COMPUTED_VALUE"""),"Известен угольными разрезами и трагедией в Зимней вишне.
Для гостей иностранцев - экзотика, Сибирь.")</f>
        <v>Известен угольными разрезами и трагедией в Зимней вишне.
Для гостей иностранцев - экзотика, Сибирь.</v>
      </c>
      <c r="U1541" s="6" t="str">
        <f>IFERROR(__xludf.DUMMYFUNCTION("""COMPUTED_VALUE"""),"Площадь Советов ")</f>
        <v>Площадь Советов </v>
      </c>
      <c r="V1541" s="6" t="str">
        <f>IFERROR(__xludf.DUMMYFUNCTION("""COMPUTED_VALUE"""),"Саморазвитие и переезд, состоялись они в столицах. В военное время - труд! ")</f>
        <v>Саморазвитие и переезд, состоялись они в столицах. В военное время - труд! </v>
      </c>
      <c r="W1541" s="6" t="str">
        <f>IFERROR(__xludf.DUMMYFUNCTION("""COMPUTED_VALUE"""),"С чувством юмора ")</f>
        <v>С чувством юмора </v>
      </c>
      <c r="X1541" s="6" t="str">
        <f>IFERROR(__xludf.DUMMYFUNCTION("""COMPUTED_VALUE"""),"Я не знаю ""крутых маршрутов"" по городу) Если делать его крутым, то нужно вести его с историком.Эстетической ценности в самом городе не вижу ")</f>
        <v>Я не знаю "крутых маршрутов" по городу) Если делать его крутым, то нужно вести его с историком.Эстетической ценности в самом городе не вижу </v>
      </c>
      <c r="Y1541" s="6" t="str">
        <f>IFERROR(__xludf.DUMMYFUNCTION("""COMPUTED_VALUE"""),"Основание индустриальной колонии. Культурное - проект Внутри и снаружи. Внутренний туризм ")</f>
        <v>Основание индустриальной колонии. Культурное - проект Внутри и снаружи. Внутренний туризм </v>
      </c>
      <c r="Z1541" s="6" t="str">
        <f>IFERROR(__xludf.DUMMYFUNCTION("""COMPUTED_VALUE"""),"Строительство новых спортивных и культурных объектов ")</f>
        <v>Строительство новых спортивных и культурных объектов </v>
      </c>
      <c r="AA1541" s="6" t="str">
        <f>IFERROR(__xludf.DUMMYFUNCTION("""COMPUTED_VALUE"""),"Вопросы экологии и низких зарплат ")</f>
        <v>Вопросы экологии и низких зарплат </v>
      </c>
      <c r="AB1541" s="6" t="str">
        <f>IFERROR(__xludf.DUMMYFUNCTION("""COMPUTED_VALUE"""),"Хватает) ")</f>
        <v>Хватает) </v>
      </c>
      <c r="AC1541" s="6" t="str">
        <f>IFERROR(__xludf.DUMMYFUNCTION("""COMPUTED_VALUE"""),"Город достаточно культурный, необходимы деньги, чтобы все интересное можно было объять. ")</f>
        <v>Город достаточно культурный, необходимы деньги, чтобы все интересное можно было объять. </v>
      </c>
      <c r="AD1541"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41" s="6" t="str">
        <f>IFERROR(__xludf.DUMMYFUNCTION("""COMPUTED_VALUE"""),"Женский")</f>
        <v>Женский</v>
      </c>
      <c r="AF1541" s="6" t="str">
        <f>IFERROR(__xludf.DUMMYFUNCTION("""COMPUTED_VALUE"""),"45-55")</f>
        <v>45-55</v>
      </c>
      <c r="AG1541" s="6"/>
      <c r="AH1541" s="6"/>
      <c r="AI1541" s="6"/>
      <c r="AJ1541" s="6"/>
      <c r="AK1541" s="6"/>
      <c r="AL1541" s="6"/>
      <c r="AM1541" s="6"/>
    </row>
    <row r="1542">
      <c r="A1542" s="6">
        <v>1541.0</v>
      </c>
      <c r="B1542" s="6" t="str">
        <f>IFERROR(__xludf.DUMMYFUNCTION("""COMPUTED_VALUE"""),"Руководитель")</f>
        <v>Руководитель</v>
      </c>
      <c r="C1542" s="6" t="str">
        <f>IFERROR(__xludf.DUMMYFUNCTION("""COMPUTED_VALUE"""),"Творческий досуг")</f>
        <v>Творческий досуг</v>
      </c>
      <c r="D1542" s="6" t="str">
        <f>IFERROR(__xludf.DUMMYFUNCTION("""COMPUTED_VALUE"""),"Южный")</f>
        <v>Южный</v>
      </c>
      <c r="E1542" s="6" t="str">
        <f>IFERROR(__xludf.DUMMYFUNCTION("""COMPUTED_VALUE"""),"Церковь")</f>
        <v>Церковь</v>
      </c>
      <c r="F1542" s="6" t="str">
        <f>IFERROR(__xludf.DUMMYFUNCTION("""COMPUTED_VALUE"""),"Живу здесь с рождения")</f>
        <v>Живу здесь с рождения</v>
      </c>
      <c r="G1542" s="6" t="str">
        <f>IFERROR(__xludf.DUMMYFUNCTION("""COMPUTED_VALUE"""),"Особо ходить не куда")</f>
        <v>Особо ходить не куда</v>
      </c>
      <c r="H1542" s="6" t="str">
        <f>IFERROR(__xludf.DUMMYFUNCTION("""COMPUTED_VALUE"""),"Дым, грязь, азот, газ, шахты")</f>
        <v>Дым, грязь, азот, газ, шахты</v>
      </c>
      <c r="I1542" s="6" t="str">
        <f>IFERROR(__xludf.DUMMYFUNCTION("""COMPUTED_VALUE"""),"Мартемьянов")</f>
        <v>Мартемьянов</v>
      </c>
      <c r="J1542" s="6" t="str">
        <f>IFERROR(__xludf.DUMMYFUNCTION("""COMPUTED_VALUE"""),"Нет таких")</f>
        <v>Нет таких</v>
      </c>
      <c r="K1542" s="6" t="str">
        <f>IFERROR(__xludf.DUMMYFUNCTION("""COMPUTED_VALUE"""),"Набережная, фонтан, сквер ангелов")</f>
        <v>Набережная, фонтан, сквер ангелов</v>
      </c>
      <c r="L1542" s="6" t="str">
        <f>IFERROR(__xludf.DUMMYFUNCTION("""COMPUTED_VALUE"""),"Не знаю")</f>
        <v>Не знаю</v>
      </c>
      <c r="M1542" s="6" t="str">
        <f>IFERROR(__xludf.DUMMYFUNCTION("""COMPUTED_VALUE"""),"Нет")</f>
        <v>Нет</v>
      </c>
      <c r="N1542" s="6" t="str">
        <f>IFERROR(__xludf.DUMMYFUNCTION("""COMPUTED_VALUE"""),"Экология, достойный уровень зп, медицина на должном уровне")</f>
        <v>Экология, достойный уровень зп, медицина на должном уровне</v>
      </c>
      <c r="O1542" s="6" t="str">
        <f>IFERROR(__xludf.DUMMYFUNCTION("""COMPUTED_VALUE"""),"Губернатора")</f>
        <v>Губернатора</v>
      </c>
      <c r="P1542" s="6" t="str">
        <f>IFERROR(__xludf.DUMMYFUNCTION("""COMPUTED_VALUE"""),"Инстаграмм, яндекс новости")</f>
        <v>Инстаграмм, яндекс новости</v>
      </c>
      <c r="Q1542" s="6" t="str">
        <f>IFERROR(__xludf.DUMMYFUNCTION("""COMPUTED_VALUE"""),"куда пойти в свободное время,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(на"&amp;"пишите в разделе Другое свои предложения)")</f>
        <v>куда пойти в свободное время,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542" s="6" t="str">
        <f>IFERROR(__xludf.DUMMYFUNCTION("""COMPUTED_VALUE"""),"Новый год, 9 мач")</f>
        <v>Новый год, 9 мач</v>
      </c>
      <c r="S1542" s="6" t="str">
        <f>IFERROR(__xludf.DUMMYFUNCTION("""COMPUTED_VALUE"""),"Нет, не приходилось")</f>
        <v>Нет, не приходилось</v>
      </c>
      <c r="T1542" s="6" t="str">
        <f>IFERROR(__xludf.DUMMYFUNCTION("""COMPUTED_VALUE"""),"Уголь")</f>
        <v>Уголь</v>
      </c>
      <c r="U1542" s="6" t="str">
        <f>IFERROR(__xludf.DUMMYFUNCTION("""COMPUTED_VALUE"""),"Уголь")</f>
        <v>Уголь</v>
      </c>
      <c r="V1542" s="6" t="str">
        <f>IFERROR(__xludf.DUMMYFUNCTION("""COMPUTED_VALUE"""),"Добыча угля")</f>
        <v>Добыча угля</v>
      </c>
      <c r="W1542" s="6" t="str">
        <f>IFERROR(__xludf.DUMMYFUNCTION("""COMPUTED_VALUE"""),"Добрые, приветливые, отзывчивые")</f>
        <v>Добрые, приветливые, отзывчивые</v>
      </c>
      <c r="X1542" s="6" t="str">
        <f>IFERROR(__xludf.DUMMYFUNCTION("""COMPUTED_VALUE"""),"Центр")</f>
        <v>Центр</v>
      </c>
      <c r="Y1542" s="6" t="str">
        <f>IFERROR(__xludf.DUMMYFUNCTION("""COMPUTED_VALUE"""),"Не знаю")</f>
        <v>Не знаю</v>
      </c>
      <c r="Z1542" s="6" t="str">
        <f>IFERROR(__xludf.DUMMYFUNCTION("""COMPUTED_VALUE"""),"Затрудняюсь ответить")</f>
        <v>Затрудняюсь ответить</v>
      </c>
      <c r="AA1542" s="6" t="str">
        <f>IFERROR(__xludf.DUMMYFUNCTION("""COMPUTED_VALUE"""),"Политика цивилева, открытие новых шахт, развитие не нужных направлений")</f>
        <v>Политика цивилева, открытие новых шахт, развитие не нужных направлений</v>
      </c>
      <c r="AB1542" s="6" t="str">
        <f>IFERROR(__xludf.DUMMYFUNCTION("""COMPUTED_VALUE"""),"Помоги городу Кемерово")</f>
        <v>Помоги городу Кемерово</v>
      </c>
      <c r="AC1542" s="6" t="str">
        <f>IFERROR(__xludf.DUMMYFUNCTION("""COMPUTED_VALUE"""),"Событиями тут не спасти ситуацию")</f>
        <v>Событиями тут не спасти ситуацию</v>
      </c>
      <c r="AD154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42" s="6" t="str">
        <f>IFERROR(__xludf.DUMMYFUNCTION("""COMPUTED_VALUE"""),"Мужской")</f>
        <v>Мужской</v>
      </c>
      <c r="AF1542" s="6" t="str">
        <f>IFERROR(__xludf.DUMMYFUNCTION("""COMPUTED_VALUE"""),"30-44")</f>
        <v>30-44</v>
      </c>
      <c r="AG1542" s="6"/>
      <c r="AH1542" s="6"/>
      <c r="AI1542" s="6"/>
      <c r="AJ1542" s="6"/>
      <c r="AK1542" s="6"/>
      <c r="AL1542" s="6"/>
      <c r="AM1542" s="6"/>
    </row>
    <row r="1543">
      <c r="A1543" s="6">
        <v>1542.0</v>
      </c>
      <c r="B1543" s="6" t="str">
        <f>IFERROR(__xludf.DUMMYFUNCTION("""COMPUTED_VALUE"""),"Пенсионер")</f>
        <v>Пенсионер</v>
      </c>
      <c r="C1543" s="6" t="str">
        <f>IFERROR(__xludf.DUMMYFUNCTION("""COMPUTED_VALUE"""),"Путешествия")</f>
        <v>Путешествия</v>
      </c>
      <c r="D1543" s="6" t="str">
        <f>IFERROR(__xludf.DUMMYFUNCTION("""COMPUTED_VALUE"""),"Лесная Поляна")</f>
        <v>Лесная Поляна</v>
      </c>
      <c r="E1543" s="6" t="str">
        <f>IFERROR(__xludf.DUMMYFUNCTION("""COMPUTED_VALUE"""),"Зона отдыха ""Лесная Сказка""")</f>
        <v>Зона отдыха "Лесная Сказка"</v>
      </c>
      <c r="F1543" s="6" t="str">
        <f>IFERROR(__xludf.DUMMYFUNCTION("""COMPUTED_VALUE"""),"Переехал сюда из другого места (откуда? укажите в графе другое), Живем на Лесной Поляне 11,5 лет")</f>
        <v>Переехал сюда из другого места (откуда? укажите в графе другое), Живем на Лесной Поляне 11,5 лет</v>
      </c>
      <c r="G1543" s="6" t="str">
        <f>IFERROR(__xludf.DUMMYFUNCTION("""COMPUTED_VALUE"""),"Гуляем через день по любимым, чистым, хорошо освещенным (!!!) улицам Лесной Поляны по 5-7 км")</f>
        <v>Гуляем через день по любимым, чистым, хорошо освещенным (!!!) улицам Лесной Поляны по 5-7 км</v>
      </c>
      <c r="H1543" s="6" t="str">
        <f>IFERROR(__xludf.DUMMYFUNCTION("""COMPUTED_VALUE"""),"Любимый, красивый, чистый, комфортный, доброжелательный.. ")</f>
        <v>Любимый, красивый, чистый, комфортный, доброжелательный.. </v>
      </c>
      <c r="I1543" s="6" t="str">
        <f>IFERROR(__xludf.DUMMYFUNCTION("""COMPUTED_VALUE"""),"Горобцов Б. С.!!!!!!!!!!!!!!! ")</f>
        <v>Горобцов Б. С.!!!!!!!!!!!!!!! </v>
      </c>
      <c r="J1543" s="6" t="str">
        <f>IFERROR(__xludf.DUMMYFUNCTION("""COMPUTED_VALUE"""),"Михайлов, Горобцов")</f>
        <v>Михайлов, Горобцов</v>
      </c>
      <c r="K1543" s="6" t="str">
        <f>IFERROR(__xludf.DUMMYFUNCTION("""COMPUTED_VALUE"""),"Ботанический сад, водоем и зона отдыха на Лесной сказке")</f>
        <v>Ботанический сад, водоем и зона отдыха на Лесной сказке</v>
      </c>
      <c r="L1543" s="6" t="str">
        <f>IFERROR(__xludf.DUMMYFUNCTION("""COMPUTED_VALUE"""),"Хочешь быть счастливым- будь им!!! ")</f>
        <v>Хочешь быть счастливым- будь им!!! </v>
      </c>
      <c r="M1543" s="6" t="str">
        <f>IFERROR(__xludf.DUMMYFUNCTION("""COMPUTED_VALUE"""),"Из последнего.. ""В Кемерово даже каши суровые "" ( Би2) ")</f>
        <v>Из последнего.. "В Кемерово даже каши суровые " ( Би2) </v>
      </c>
      <c r="N1543" s="6" t="str">
        <f>IFERROR(__xludf.DUMMYFUNCTION("""COMPUTED_VALUE"""),"Чистота, хорошее освещение улиц, доступность магазинов, банка и тд. Наличие школ и детских/с.")</f>
        <v>Чистота, хорошее освещение улиц, доступность магазинов, банка и тд. Наличие школ и детских/с.</v>
      </c>
      <c r="O1543" s="6" t="str">
        <f>IFERROR(__xludf.DUMMYFUNCTION("""COMPUTED_VALUE"""),"Обьездную дорогу для нового микрорайона ""Солнечный""")</f>
        <v>Обьездную дорогу для нового микрорайона "Солнечный"</v>
      </c>
      <c r="P1543" s="6" t="str">
        <f>IFERROR(__xludf.DUMMYFUNCTION("""COMPUTED_VALUE"""),"Интернет ")</f>
        <v>Интернет </v>
      </c>
      <c r="Q1543"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543" s="6" t="str">
        <f>IFERROR(__xludf.DUMMYFUNCTION("""COMPUTED_VALUE"""),"День Строителя, Новый Год. ")</f>
        <v>День Строителя, Новый Год. </v>
      </c>
      <c r="S1543" s="6" t="str">
        <f>IFERROR(__xludf.DUMMYFUNCTION("""COMPUTED_VALUE"""),"Делал рассылку по электронной почте")</f>
        <v>Делал рассылку по электронной почте</v>
      </c>
      <c r="T1543" s="6" t="str">
        <f>IFERROR(__xludf.DUMMYFUNCTION("""COMPUTED_VALUE"""),"В прошлом - индустриальный город. ")</f>
        <v>В прошлом - индустриальный город. </v>
      </c>
      <c r="U1543" s="6" t="str">
        <f>IFERROR(__xludf.DUMMYFUNCTION("""COMPUTED_VALUE"""),"Набережная. Сейчас -Лесная Поляна")</f>
        <v>Набережная. Сейчас -Лесная Поляна</v>
      </c>
      <c r="V1543" s="6" t="str">
        <f>IFERROR(__xludf.DUMMYFUNCTION("""COMPUTED_VALUE"""),"Во время войны, быстро восстановили эвакуированные заводы. Кемерово славился своими рабочими ( Коммунар, Прогресс, АКЗ, Азот, Хтмпрои, ЗХВ, Мехзавод), строителями ( Промстрой, Химсрой, Гражданстрой и тд) ")</f>
        <v>Во время войны, быстро восстановили эвакуированные заводы. Кемерово славился своими рабочими ( Коммунар, Прогресс, АКЗ, Азот, Хтмпрои, ЗХВ, Мехзавод), строителями ( Промстрой, Химсрой, Гражданстрой и тд) </v>
      </c>
      <c r="W1543" s="6" t="str">
        <f>IFERROR(__xludf.DUMMYFUNCTION("""COMPUTED_VALUE"""),"Суровость... ")</f>
        <v>Суровость... </v>
      </c>
      <c r="X1543" s="6" t="str">
        <f>IFERROR(__xludf.DUMMYFUNCTION("""COMPUTED_VALUE"""),"По старому центру, бульвар Строителей и, конечно, Лесная Поляна. ")</f>
        <v>По старому центру, бульвар Строителей и, конечно, Лесная Поляна. </v>
      </c>
      <c r="Y1543" s="6" t="str">
        <f>IFERROR(__xludf.DUMMYFUNCTION("""COMPUTED_VALUE"""),"Выездное заседание Совета Европы, которое проводилось в 2005 году ,впервые в России и выбор пал на город Кемерово. Были члены ПАССЕ из 27 стран Европы. ")</f>
        <v>Выездное заседание Совета Европы, которое проводилось в 2005 году ,впервые в России и выбор пал на город Кемерово. Были члены ПАССЕ из 27 стран Европы. </v>
      </c>
      <c r="Z1543" s="6" t="str">
        <f>IFERROR(__xludf.DUMMYFUNCTION("""COMPUTED_VALUE"""),"Постановка ""Травиаты"" в музыкальном театре Кузбасса")</f>
        <v>Постановка "Травиаты" в музыкальном театре Кузбасса</v>
      </c>
      <c r="AA1543" s="6" t="str">
        <f>IFERROR(__xludf.DUMMYFUNCTION("""COMPUTED_VALUE"""),"Попытки открыть разрез рядом с Лесной Поляной")</f>
        <v>Попытки открыть разрез рядом с Лесной Поляной</v>
      </c>
      <c r="AB1543" s="6" t="str">
        <f>IFERROR(__xludf.DUMMYFUNCTION("""COMPUTED_VALUE"""),"Все общественные организации в городе есть. На Лесной Поляне нужна АЗС")</f>
        <v>Все общественные организации в городе есть. На Лесной Поляне нужна АЗС</v>
      </c>
      <c r="AC1543" s="6" t="str">
        <f>IFERROR(__xludf.DUMMYFUNCTION("""COMPUTED_VALUE"""),"На Лесной Поляне необходим свой киноконцертный зал!!!!!!!!!! ")</f>
        <v>На Лесной Поляне необходим свой киноконцертный зал!!!!!!!!!! </v>
      </c>
      <c r="AD1543" s="6" t="str">
        <f>IFERROR(__xludf.DUMMYFUNCTION("""COMPUTED_VALUE"""),"С удовольствием самим посещать эти мероприятия и приглашать своих друзей")</f>
        <v>С удовольствием самим посещать эти мероприятия и приглашать своих друзей</v>
      </c>
      <c r="AE1543" s="6" t="str">
        <f>IFERROR(__xludf.DUMMYFUNCTION("""COMPUTED_VALUE"""),"Женский")</f>
        <v>Женский</v>
      </c>
      <c r="AF1543" s="6" t="str">
        <f>IFERROR(__xludf.DUMMYFUNCTION("""COMPUTED_VALUE"""),"старше 55")</f>
        <v>старше 55</v>
      </c>
      <c r="AG1543" s="6"/>
      <c r="AH1543" s="6"/>
      <c r="AI1543" s="6"/>
      <c r="AJ1543" s="6"/>
      <c r="AK1543" s="6"/>
      <c r="AL1543" s="6"/>
      <c r="AM1543" s="6"/>
    </row>
    <row r="1544">
      <c r="A1544" s="6">
        <v>1543.0</v>
      </c>
      <c r="B1544" s="6" t="str">
        <f>IFERROR(__xludf.DUMMYFUNCTION("""COMPUTED_VALUE"""),"В декрете")</f>
        <v>В декрете</v>
      </c>
      <c r="C1544" s="6" t="str">
        <f>IFERROR(__xludf.DUMMYFUNCTION("""COMPUTED_VALUE"""),"Пишу стихи")</f>
        <v>Пишу стихи</v>
      </c>
      <c r="D1544" s="6" t="str">
        <f>IFERROR(__xludf.DUMMYFUNCTION("""COMPUTED_VALUE"""),"Рудничный. Радуга")</f>
        <v>Рудничный. Радуга</v>
      </c>
      <c r="E1544" s="6" t="str">
        <f>IFERROR(__xludf.DUMMYFUNCTION("""COMPUTED_VALUE"""),"Южный")</f>
        <v>Южный</v>
      </c>
      <c r="F1544" s="6" t="str">
        <f>IFERROR(__xludf.DUMMYFUNCTION("""COMPUTED_VALUE"""),"Живу здесь с рождения")</f>
        <v>Живу здесь с рождения</v>
      </c>
      <c r="G1544" s="6" t="str">
        <f>IFERROR(__xludf.DUMMYFUNCTION("""COMPUTED_VALUE"""),"Шопинг")</f>
        <v>Шопинг</v>
      </c>
      <c r="H1544" s="6" t="str">
        <f>IFERROR(__xludf.DUMMYFUNCTION("""COMPUTED_VALUE"""),"Уголь. Грязь. Зимняя вишня. Идиоты")</f>
        <v>Уголь. Грязь. Зимняя вишня. Идиоты</v>
      </c>
      <c r="I1544" s="6" t="str">
        <f>IFERROR(__xludf.DUMMYFUNCTION("""COMPUTED_VALUE"""),"Гришковец")</f>
        <v>Гришковец</v>
      </c>
      <c r="J1544" s="6" t="str">
        <f>IFERROR(__xludf.DUMMYFUNCTION("""COMPUTED_VALUE"""),"Малышева")</f>
        <v>Малышева</v>
      </c>
      <c r="K1544" s="6" t="str">
        <f>IFERROR(__xludf.DUMMYFUNCTION("""COMPUTED_VALUE"""),"Бомжей")</f>
        <v>Бомжей</v>
      </c>
      <c r="L1544" s="6" t="str">
        <f>IFERROR(__xludf.DUMMYFUNCTION("""COMPUTED_VALUE"""),"Не знаю")</f>
        <v>Не знаю</v>
      </c>
      <c r="M1544" s="6" t="str">
        <f>IFERROR(__xludf.DUMMYFUNCTION("""COMPUTED_VALUE"""),"Нет")</f>
        <v>Нет</v>
      </c>
      <c r="N1544" s="6" t="str">
        <f>IFERROR(__xludf.DUMMYFUNCTION("""COMPUTED_VALUE"""),"Чистый воздух, зарплата, добрые люди, защищённость от мэра")</f>
        <v>Чистый воздух, зарплата, добрые люди, защищённость от мэра</v>
      </c>
      <c r="O1544" s="6" t="str">
        <f>IFERROR(__xludf.DUMMYFUNCTION("""COMPUTED_VALUE"""),"Всё")</f>
        <v>Всё</v>
      </c>
      <c r="P1544" s="6" t="str">
        <f>IFERROR(__xludf.DUMMYFUNCTION("""COMPUTED_VALUE"""),"Интернет")</f>
        <v>Интернет</v>
      </c>
      <c r="Q1544"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v>
      </c>
      <c r="R1544" s="6" t="str">
        <f>IFERROR(__xludf.DUMMYFUNCTION("""COMPUTED_VALUE"""),"Нет таких")</f>
        <v>Нет таких</v>
      </c>
      <c r="S1544" s="6" t="str">
        <f>IFERROR(__xludf.DUMMYFUNCTION("""COMPUTED_VALUE"""),"Нет, не приходилось")</f>
        <v>Нет, не приходилось</v>
      </c>
      <c r="T1544" s="6" t="str">
        <f>IFERROR(__xludf.DUMMYFUNCTION("""COMPUTED_VALUE"""),"Уголь. Зимняя Вишня")</f>
        <v>Уголь. Зимняя Вишня</v>
      </c>
      <c r="U1544" s="6" t="str">
        <f>IFERROR(__xludf.DUMMYFUNCTION("""COMPUTED_VALUE"""),"Красная горка")</f>
        <v>Красная горка</v>
      </c>
      <c r="V1544" s="6" t="str">
        <f>IFERROR(__xludf.DUMMYFUNCTION("""COMPUTED_VALUE"""),"Ничего")</f>
        <v>Ничего</v>
      </c>
      <c r="W1544" s="6" t="str">
        <f>IFERROR(__xludf.DUMMYFUNCTION("""COMPUTED_VALUE"""),"Злые")</f>
        <v>Злые</v>
      </c>
      <c r="X1544" s="6" t="str">
        <f>IFERROR(__xludf.DUMMYFUNCTION("""COMPUTED_VALUE"""),"Бор")</f>
        <v>Бор</v>
      </c>
      <c r="Y1544" s="6" t="str">
        <f>IFERROR(__xludf.DUMMYFUNCTION("""COMPUTED_VALUE"""),"Пожар")</f>
        <v>Пожар</v>
      </c>
      <c r="Z1544" s="6" t="str">
        <f>IFERROR(__xludf.DUMMYFUNCTION("""COMPUTED_VALUE"""),"Нет таких")</f>
        <v>Нет таких</v>
      </c>
      <c r="AA1544" s="6" t="str">
        <f>IFERROR(__xludf.DUMMYFUNCTION("""COMPUTED_VALUE"""),"Много таких")</f>
        <v>Много таких</v>
      </c>
      <c r="AB1544" s="6" t="str">
        <f>IFERROR(__xludf.DUMMYFUNCTION("""COMPUTED_VALUE"""),"Всего много")</f>
        <v>Всего много</v>
      </c>
      <c r="AC1544" s="6" t="str">
        <f>IFERROR(__xludf.DUMMYFUNCTION("""COMPUTED_VALUE"""),"Зарплату повысить")</f>
        <v>Зарплату повысить</v>
      </c>
      <c r="AD1544" s="6" t="str">
        <f>IFERROR(__xludf.DUMMYFUNCTION("""COMPUTED_VALUE"""),"Не готов принимать личное участие (укажите, пожалуйста, причину в поле «Другое»), Запустить свой предпринимательский проект, организовать компанию.")</f>
        <v>Не готов принимать личное участие (укажите, пожалуйста, причину в поле «Другое»), Запустить свой предпринимательский проект, организовать компанию.</v>
      </c>
      <c r="AE1544" s="6" t="str">
        <f>IFERROR(__xludf.DUMMYFUNCTION("""COMPUTED_VALUE"""),"Женский")</f>
        <v>Женский</v>
      </c>
      <c r="AF1544" s="6" t="str">
        <f>IFERROR(__xludf.DUMMYFUNCTION("""COMPUTED_VALUE"""),"18-29")</f>
        <v>18-29</v>
      </c>
      <c r="AG1544" s="6"/>
      <c r="AH1544" s="6"/>
      <c r="AI1544" s="6"/>
      <c r="AJ1544" s="6"/>
      <c r="AK1544" s="6"/>
      <c r="AL1544" s="6"/>
      <c r="AM1544" s="6"/>
    </row>
    <row r="1545">
      <c r="A1545" s="6">
        <v>1544.0</v>
      </c>
      <c r="B1545" s="6" t="str">
        <f>IFERROR(__xludf.DUMMYFUNCTION("""COMPUTED_VALUE"""),"Работаю ")</f>
        <v>Работаю </v>
      </c>
      <c r="C1545" s="6" t="str">
        <f>IFERROR(__xludf.DUMMYFUNCTION("""COMPUTED_VALUE"""),"Цветы ")</f>
        <v>Цветы </v>
      </c>
      <c r="D1545" s="6" t="str">
        <f>IFERROR(__xludf.DUMMYFUNCTION("""COMPUTED_VALUE"""),"Кировский ")</f>
        <v>Кировский </v>
      </c>
      <c r="E1545" s="6" t="str">
        <f>IFERROR(__xludf.DUMMYFUNCTION("""COMPUTED_VALUE"""),"Парк набережная ")</f>
        <v>Парк набережная </v>
      </c>
      <c r="F1545" s="6" t="str">
        <f>IFERROR(__xludf.DUMMYFUNCTION("""COMPUTED_VALUE"""),"Переехал сюда из другого места (откуда? укажите в графе другое), Тяжин")</f>
        <v>Переехал сюда из другого места (откуда? укажите в графе другое), Тяжин</v>
      </c>
      <c r="G1545" s="6" t="str">
        <f>IFERROR(__xludf.DUMMYFUNCTION("""COMPUTED_VALUE"""),"Набережная. парк чудес ")</f>
        <v>Набережная. парк чудес </v>
      </c>
      <c r="H1545" s="6" t="str">
        <f>IFERROR(__xludf.DUMMYFUNCTION("""COMPUTED_VALUE"""),"Грязный воздух. ")</f>
        <v>Грязный воздух. </v>
      </c>
      <c r="I1545" s="6" t="str">
        <f>IFERROR(__xludf.DUMMYFUNCTION("""COMPUTED_VALUE"""),"Леонов ")</f>
        <v>Леонов </v>
      </c>
      <c r="J1545" s="6" t="str">
        <f>IFERROR(__xludf.DUMMYFUNCTION("""COMPUTED_VALUE"""),"Тулеев. Сердюк")</f>
        <v>Тулеев. Сердюк</v>
      </c>
      <c r="K1545" s="6" t="str">
        <f>IFERROR(__xludf.DUMMYFUNCTION("""COMPUTED_VALUE"""),"Томская писаница ")</f>
        <v>Томская писаница </v>
      </c>
      <c r="L1545" s="6" t="str">
        <f>IFERROR(__xludf.DUMMYFUNCTION("""COMPUTED_VALUE"""),"Незнаю ")</f>
        <v>Незнаю </v>
      </c>
      <c r="M1545" s="6" t="str">
        <f>IFERROR(__xludf.DUMMYFUNCTION("""COMPUTED_VALUE"""),"Нет")</f>
        <v>Нет</v>
      </c>
      <c r="N1545" s="6" t="str">
        <f>IFERROR(__xludf.DUMMYFUNCTION("""COMPUTED_VALUE"""),"Чистый воздух. Хорошие зарплаты. Медицина ")</f>
        <v>Чистый воздух. Хорошие зарплаты. Медицина </v>
      </c>
      <c r="O1545" s="6" t="str">
        <f>IFERROR(__xludf.DUMMYFUNCTION("""COMPUTED_VALUE"""),"Самих людей... Нет нормальной зарплаты люди злые из за этого... ")</f>
        <v>Самих людей... Нет нормальной зарплаты люди злые из за этого... </v>
      </c>
      <c r="P1545" s="6" t="str">
        <f>IFERROR(__xludf.DUMMYFUNCTION("""COMPUTED_VALUE"""),"Инстограм ")</f>
        <v>Инстограм </v>
      </c>
      <c r="Q1545"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f>
        <v>бизнес-новости (средний чек/рекламные акции/запуск новых предприятий), результаты местных исследований (рейтинги/аналитика/тенденции)</v>
      </c>
      <c r="R1545" s="6" t="str">
        <f>IFERROR(__xludf.DUMMYFUNCTION("""COMPUTED_VALUE"""),"9 мая. день города. ")</f>
        <v>9 мая. день города. </v>
      </c>
      <c r="S1545" s="6" t="str">
        <f>IFERROR(__xludf.DUMMYFUNCTION("""COMPUTED_VALUE"""),"Нет, не приходилось")</f>
        <v>Нет, не приходилось</v>
      </c>
      <c r="T1545" s="6" t="str">
        <f>IFERROR(__xludf.DUMMYFUNCTION("""COMPUTED_VALUE"""),"Плохой экологией.. ")</f>
        <v>Плохой экологией.. </v>
      </c>
      <c r="U1545" s="6" t="str">
        <f>IFERROR(__xludf.DUMMYFUNCTION("""COMPUTED_VALUE"""),"Площадь советов ")</f>
        <v>Площадь советов </v>
      </c>
      <c r="V1545" s="6" t="str">
        <f>IFERROR(__xludf.DUMMYFUNCTION("""COMPUTED_VALUE"""),"Да по сути ничего... ")</f>
        <v>Да по сути ничего... </v>
      </c>
      <c r="W1545" s="6" t="str">
        <f>IFERROR(__xludf.DUMMYFUNCTION("""COMPUTED_VALUE"""),"Очень затрудняюсь ответит..
")</f>
        <v>Очень затрудняюсь ответит..
</v>
      </c>
      <c r="X1545" s="6" t="str">
        <f>IFERROR(__xludf.DUMMYFUNCTION("""COMPUTED_VALUE"""),"Красная горка. Набережная площадь советов и кадетский корпус")</f>
        <v>Красная горка. Набережная площадь советов и кадетский корпус</v>
      </c>
      <c r="Y1545" s="6" t="str">
        <f>IFERROR(__xludf.DUMMYFUNCTION("""COMPUTED_VALUE"""),"Гибель зимней вишни ")</f>
        <v>Гибель зимней вишни </v>
      </c>
      <c r="Z1545" s="6" t="str">
        <f>IFERROR(__xludf.DUMMYFUNCTION("""COMPUTED_VALUE"""),"Да ничего ")</f>
        <v>Да ничего </v>
      </c>
      <c r="AA1545" s="6" t="str">
        <f>IFERROR(__xludf.DUMMYFUNCTION("""COMPUTED_VALUE"""),"Грязный воздух. Режим чёрного неба. Высокие цены.. Если бы не ипотека уехали бы отсюда ")</f>
        <v>Грязный воздух. Режим чёрного неба. Высокие цены.. Если бы не ипотека уехали бы отсюда </v>
      </c>
      <c r="AB1545" s="6" t="str">
        <f>IFERROR(__xludf.DUMMYFUNCTION("""COMPUTED_VALUE"""),"А городе не хватает зарплат и чистого воздуха. А сообщество достаточно ")</f>
        <v>А городе не хватает зарплат и чистого воздуха. А сообщество достаточно </v>
      </c>
      <c r="AC1545" s="6" t="str">
        <f>IFERROR(__xludf.DUMMYFUNCTION("""COMPUTED_VALUE"""),"Нет ответа ")</f>
        <v>Нет ответа </v>
      </c>
      <c r="AD154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45" s="6" t="str">
        <f>IFERROR(__xludf.DUMMYFUNCTION("""COMPUTED_VALUE"""),"Женский")</f>
        <v>Женский</v>
      </c>
      <c r="AF1545" s="6" t="str">
        <f>IFERROR(__xludf.DUMMYFUNCTION("""COMPUTED_VALUE"""),"45-55")</f>
        <v>45-55</v>
      </c>
      <c r="AG1545" s="6"/>
      <c r="AH1545" s="6"/>
      <c r="AI1545" s="6"/>
      <c r="AJ1545" s="6"/>
      <c r="AK1545" s="6"/>
      <c r="AL1545" s="6"/>
      <c r="AM1545" s="6"/>
    </row>
    <row r="1546">
      <c r="A1546" s="6">
        <v>1545.0</v>
      </c>
      <c r="B1546" s="6" t="str">
        <f>IFERROR(__xludf.DUMMYFUNCTION("""COMPUTED_VALUE"""),"Торговля")</f>
        <v>Торговля</v>
      </c>
      <c r="C1546" s="6" t="str">
        <f>IFERROR(__xludf.DUMMYFUNCTION("""COMPUTED_VALUE"""),"Чтение книг")</f>
        <v>Чтение книг</v>
      </c>
      <c r="D1546" s="6" t="str">
        <f>IFERROR(__xludf.DUMMYFUNCTION("""COMPUTED_VALUE"""),"Центральный")</f>
        <v>Центральный</v>
      </c>
      <c r="E1546" s="6" t="str">
        <f>IFERROR(__xludf.DUMMYFUNCTION("""COMPUTED_VALUE"""),"Театры, филармония, набережная. ")</f>
        <v>Театры, филармония, набережная. </v>
      </c>
      <c r="F1546" s="6" t="str">
        <f>IFERROR(__xludf.DUMMYFUNCTION("""COMPUTED_VALUE"""),"Живу здесь с рождения")</f>
        <v>Живу здесь с рождения</v>
      </c>
      <c r="G1546" s="6" t="str">
        <f>IFERROR(__xludf.DUMMYFUNCTION("""COMPUTED_VALUE"""),"Гулять с детьми в парк им. Веры Волошиной")</f>
        <v>Гулять с детьми в парк им. Веры Волошиной</v>
      </c>
      <c r="H1546" s="6" t="str">
        <f>IFERROR(__xludf.DUMMYFUNCTION("""COMPUTED_VALUE"""),"Серый, типовой, удобный, задымленный, скучный. ")</f>
        <v>Серый, типовой, удобный, задымленный, скучный. </v>
      </c>
      <c r="I1546" s="6" t="str">
        <f>IFERROR(__xludf.DUMMYFUNCTION("""COMPUTED_VALUE"""),"Михайло Волков, Вера Волошина, Алексей Леонов. ")</f>
        <v>Михайло Волков, Вера Волошина, Алексей Леонов. </v>
      </c>
      <c r="J1546" s="6" t="str">
        <f>IFERROR(__xludf.DUMMYFUNCTION("""COMPUTED_VALUE"""),"Владимир Васильевич Михайлов ")</f>
        <v>Владимир Васильевич Михайлов </v>
      </c>
      <c r="K1546" s="6" t="str">
        <f>IFERROR(__xludf.DUMMYFUNCTION("""COMPUTED_VALUE"""),"Сосновый бор, центр города")</f>
        <v>Сосновый бор, центр города</v>
      </c>
      <c r="L1546" s="6" t="str">
        <f>IFERROR(__xludf.DUMMYFUNCTION("""COMPUTED_VALUE"""),"Не знаю")</f>
        <v>Не знаю</v>
      </c>
      <c r="M1546" s="6" t="str">
        <f>IFERROR(__xludf.DUMMYFUNCTION("""COMPUTED_VALUE"""),"Нет")</f>
        <v>Нет</v>
      </c>
      <c r="N1546" s="6" t="str">
        <f>IFERROR(__xludf.DUMMYFUNCTION("""COMPUTED_VALUE"""),"Чистота, отсутствие пробок, отсутствие смога, отремонтированные дороги, безопасность на улицах. ")</f>
        <v>Чистота, отсутствие пробок, отсутствие смога, отремонтированные дороги, безопасность на улицах. </v>
      </c>
      <c r="O1546" s="6" t="str">
        <f>IFERROR(__xludf.DUMMYFUNCTION("""COMPUTED_VALUE"""),"Провести уборку города ")</f>
        <v>Провести уборку города </v>
      </c>
      <c r="P1546" s="6" t="str">
        <f>IFERROR(__xludf.DUMMYFUNCTION("""COMPUTED_VALUE"""),"Реклама по тв, инстаграм")</f>
        <v>Реклама по тв, инстаграм</v>
      </c>
      <c r="Q1546" s="6" t="str">
        <f>IFERROR(__xludf.DUMMYFUNCTION("""COMPUTED_VALUE"""),"городская афиша (кино/театр/концерты), культурные новинки (что почитать/что послушать), криминальные новости (происшествия/преступления)")</f>
        <v>городская афиша (кино/театр/концерты), культурные новинки (что почитать/что послушать), криминальные новости (происшествия/преступления)</v>
      </c>
      <c r="R1546" s="6" t="str">
        <f>IFERROR(__xludf.DUMMYFUNCTION("""COMPUTED_VALUE"""),"9 мая, день города, день шахтёра. ")</f>
        <v>9 мая, день города, день шахтёра. </v>
      </c>
      <c r="S1546" s="6" t="str">
        <f>IFERROR(__xludf.DUMMYFUNCTION("""COMPUTED_VALUE"""),"Нет, не приходилось")</f>
        <v>Нет, не приходилось</v>
      </c>
      <c r="T1546" s="6" t="str">
        <f>IFERROR(__xludf.DUMMYFUNCTION("""COMPUTED_VALUE"""),"Особо ни чем. Промышленный типовой город, построен для проживания угледобытчиков. Заводы все позакрывались, на их месте сотни торговых центров. В которых работает половина населения. ")</f>
        <v>Особо ни чем. Промышленный типовой город, построен для проживания угледобытчиков. Заводы все позакрывались, на их месте сотни торговых центров. В которых работает половина населения. </v>
      </c>
      <c r="U1546" s="6" t="str">
        <f>IFERROR(__xludf.DUMMYFUNCTION("""COMPUTED_VALUE"""),"Памятник у вечного огня. ")</f>
        <v>Памятник у вечного огня. </v>
      </c>
      <c r="V1546" s="6" t="str">
        <f>IFERROR(__xludf.DUMMYFUNCTION("""COMPUTED_VALUE"""),"Работали, развивали город, наращивали промышленеые мощности. ")</f>
        <v>Работали, развивали город, наращивали промышленеые мощности. </v>
      </c>
      <c r="W1546" s="6" t="str">
        <f>IFERROR(__xludf.DUMMYFUNCTION("""COMPUTED_VALUE"""),"Доброжелательные")</f>
        <v>Доброжелательные</v>
      </c>
      <c r="X1546" s="6" t="str">
        <f>IFERROR(__xludf.DUMMYFUNCTION("""COMPUTED_VALUE"""),"Улица Весенняя, проспект Советский")</f>
        <v>Улица Весенняя, проспект Советский</v>
      </c>
      <c r="Y1546" s="6" t="str">
        <f>IFERROR(__xludf.DUMMYFUNCTION("""COMPUTED_VALUE"""),"Затрудняюсь ответить ")</f>
        <v>Затрудняюсь ответить </v>
      </c>
      <c r="Z1546" s="6" t="str">
        <f>IFERROR(__xludf.DUMMYFUNCTION("""COMPUTED_VALUE"""),"Открытие кадетского училища ")</f>
        <v>Открытие кадетского училища </v>
      </c>
      <c r="AA1546" s="6" t="str">
        <f>IFERROR(__xludf.DUMMYFUNCTION("""COMPUTED_VALUE"""),"Закрытие бассейна Лазурный, выселение учеников школы номер 5, по проспекту Октябрьскому 39 на Притомский проспект ")</f>
        <v>Закрытие бассейна Лазурный, выселение учеников школы номер 5, по проспекту Октябрьскому 39 на Притомский проспект </v>
      </c>
      <c r="AB1546" s="6" t="str">
        <f>IFERROR(__xludf.DUMMYFUNCTION("""COMPUTED_VALUE"""),"Не знаю ")</f>
        <v>Не знаю </v>
      </c>
      <c r="AC1546" s="6" t="str">
        <f>IFERROR(__xludf.DUMMYFUNCTION("""COMPUTED_VALUE"""),"Фестивали, концерты на открытых площадках")</f>
        <v>Фестивали, концерты на открытых площадках</v>
      </c>
      <c r="AD154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46" s="6" t="str">
        <f>IFERROR(__xludf.DUMMYFUNCTION("""COMPUTED_VALUE"""),"Женский")</f>
        <v>Женский</v>
      </c>
      <c r="AF1546" s="6" t="str">
        <f>IFERROR(__xludf.DUMMYFUNCTION("""COMPUTED_VALUE"""),"30-44")</f>
        <v>30-44</v>
      </c>
      <c r="AG1546" s="6"/>
      <c r="AH1546" s="6"/>
      <c r="AI1546" s="6"/>
      <c r="AJ1546" s="6"/>
      <c r="AK1546" s="6"/>
      <c r="AL1546" s="6"/>
      <c r="AM1546" s="6"/>
    </row>
    <row r="1547">
      <c r="A1547" s="6">
        <v>1546.0</v>
      </c>
      <c r="B1547" s="6" t="str">
        <f>IFERROR(__xludf.DUMMYFUNCTION("""COMPUTED_VALUE"""),"Менеджер ")</f>
        <v>Менеджер </v>
      </c>
      <c r="C1547" s="6" t="str">
        <f>IFERROR(__xludf.DUMMYFUNCTION("""COMPUTED_VALUE"""),"Нет")</f>
        <v>Нет</v>
      </c>
      <c r="D1547" s="6" t="str">
        <f>IFERROR(__xludf.DUMMYFUNCTION("""COMPUTED_VALUE"""),"Южный ")</f>
        <v>Южный </v>
      </c>
      <c r="E1547" s="6" t="str">
        <f>IFERROR(__xludf.DUMMYFUNCTION("""COMPUTED_VALUE"""),"Аллея")</f>
        <v>Аллея</v>
      </c>
      <c r="F1547" s="6" t="str">
        <f>IFERROR(__xludf.DUMMYFUNCTION("""COMPUTED_VALUE"""),"Переехал сюда из другого места (откуда? укажите в графе другое), Топки ")</f>
        <v>Переехал сюда из другого места (откуда? укажите в графе другое), Топки </v>
      </c>
      <c r="G1547" s="6" t="str">
        <f>IFERROR(__xludf.DUMMYFUNCTION("""COMPUTED_VALUE"""),"Центр ")</f>
        <v>Центр </v>
      </c>
      <c r="H1547" s="6" t="str">
        <f>IFERROR(__xludf.DUMMYFUNCTION("""COMPUTED_VALUE"""),"Серость экология плохая")</f>
        <v>Серость экология плохая</v>
      </c>
      <c r="I1547" s="6" t="str">
        <f>IFERROR(__xludf.DUMMYFUNCTION("""COMPUTED_VALUE"""),"Леонов ")</f>
        <v>Леонов </v>
      </c>
      <c r="J1547" s="6" t="str">
        <f>IFERROR(__xludf.DUMMYFUNCTION("""COMPUTED_VALUE"""),"Гришковец")</f>
        <v>Гришковец</v>
      </c>
      <c r="K1547" s="6" t="str">
        <f>IFERROR(__xludf.DUMMYFUNCTION("""COMPUTED_VALUE"""),"Красна горка ")</f>
        <v>Красна горка </v>
      </c>
      <c r="L1547" s="6" t="str">
        <f>IFERROR(__xludf.DUMMYFUNCTION("""COMPUTED_VALUE"""),"Не знаю ")</f>
        <v>Не знаю </v>
      </c>
      <c r="M1547" s="6" t="str">
        <f>IFERROR(__xludf.DUMMYFUNCTION("""COMPUTED_VALUE"""),"Нет")</f>
        <v>Нет</v>
      </c>
      <c r="N1547" s="6" t="str">
        <f>IFERROR(__xludf.DUMMYFUNCTION("""COMPUTED_VALUE"""),"Быт устроен весь в одном районе, за его пределы редко выезжаю ")</f>
        <v>Быт устроен весь в одном районе, за его пределы редко выезжаю </v>
      </c>
      <c r="O1547" s="6" t="str">
        <f>IFERROR(__xludf.DUMMYFUNCTION("""COMPUTED_VALUE"""),"Убрать транзитный транспорт ")</f>
        <v>Убрать транзитный транспорт </v>
      </c>
      <c r="P1547" s="6" t="str">
        <f>IFERROR(__xludf.DUMMYFUNCTION("""COMPUTED_VALUE"""),"Соцсети ")</f>
        <v>Соцсети </v>
      </c>
      <c r="Q1547" s="6" t="str">
        <f>IFERROR(__xludf.DUMMYFUNCTION("""COMPUTED_VALUE"""),"городская афиша (кино/театр/концерты), интервью с экспертами на разные темы (напишите в разделе Другое свои предложения)")</f>
        <v>городская афиша (кино/театр/концерты), интервью с экспертами на разные темы (напишите в разделе Другое свои предложения)</v>
      </c>
      <c r="R1547" s="6" t="str">
        <f>IFERROR(__xludf.DUMMYFUNCTION("""COMPUTED_VALUE"""),"День Победы ")</f>
        <v>День Победы </v>
      </c>
      <c r="S1547" s="6" t="str">
        <f>IFERROR(__xludf.DUMMYFUNCTION("""COMPUTED_VALUE"""),"Нет, не приходилось")</f>
        <v>Нет, не приходилось</v>
      </c>
      <c r="T1547" s="6" t="str">
        <f>IFERROR(__xludf.DUMMYFUNCTION("""COMPUTED_VALUE"""),"Знаменит углём и трагедией в зимней вишне ")</f>
        <v>Знаменит углём и трагедией в зимней вишне </v>
      </c>
      <c r="U1547" s="6" t="str">
        <f>IFERROR(__xludf.DUMMYFUNCTION("""COMPUTED_VALUE"""),"Фонтан на драме")</f>
        <v>Фонтан на драме</v>
      </c>
      <c r="V1547" s="6" t="str">
        <f>IFERROR(__xludf.DUMMYFUNCTION("""COMPUTED_VALUE"""),"Угольную и химическую промышленность освоили ")</f>
        <v>Угольную и химическую промышленность освоили </v>
      </c>
      <c r="W1547" s="6" t="str">
        <f>IFERROR(__xludf.DUMMYFUNCTION("""COMPUTED_VALUE"""),"Не смотря на серость и тяжкие условия жизни добрые и отзывчивые ")</f>
        <v>Не смотря на серость и тяжкие условия жизни добрые и отзывчивые </v>
      </c>
      <c r="X1547" s="6" t="str">
        <f>IFERROR(__xludf.DUMMYFUNCTION("""COMPUTED_VALUE"""),"Набережная городская ")</f>
        <v>Набережная городская </v>
      </c>
      <c r="Y1547" s="6" t="str">
        <f>IFERROR(__xludf.DUMMYFUNCTION("""COMPUTED_VALUE"""),"Рок концерт ")</f>
        <v>Рок концерт </v>
      </c>
      <c r="Z1547" s="6" t="str">
        <f>IFERROR(__xludf.DUMMYFUNCTION("""COMPUTED_VALUE"""),"Строительство соц объектов ")</f>
        <v>Строительство соц объектов </v>
      </c>
      <c r="AA1547" s="6" t="str">
        <f>IFERROR(__xludf.DUMMYFUNCTION("""COMPUTED_VALUE"""),"Нет негодования ")</f>
        <v>Нет негодования </v>
      </c>
      <c r="AB1547" s="6" t="str">
        <f>IFERROR(__xludf.DUMMYFUNCTION("""COMPUTED_VALUE"""),"Все хватает")</f>
        <v>Все хватает</v>
      </c>
      <c r="AC1547" s="6" t="str">
        <f>IFERROR(__xludf.DUMMYFUNCTION("""COMPUTED_VALUE"""),"Больше мероприятий всяких культурных ")</f>
        <v>Больше мероприятий всяких культурных </v>
      </c>
      <c r="AD154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547" s="6" t="str">
        <f>IFERROR(__xludf.DUMMYFUNCTION("""COMPUTED_VALUE"""),"Женский")</f>
        <v>Женский</v>
      </c>
      <c r="AF1547" s="6" t="str">
        <f>IFERROR(__xludf.DUMMYFUNCTION("""COMPUTED_VALUE"""),"30-44")</f>
        <v>30-44</v>
      </c>
      <c r="AG1547" s="6"/>
      <c r="AH1547" s="6"/>
      <c r="AI1547" s="6"/>
      <c r="AJ1547" s="6"/>
      <c r="AK1547" s="6"/>
      <c r="AL1547" s="6"/>
      <c r="AM1547" s="6"/>
    </row>
    <row r="1548">
      <c r="A1548" s="6">
        <v>1547.0</v>
      </c>
      <c r="B1548" s="6" t="str">
        <f>IFERROR(__xludf.DUMMYFUNCTION("""COMPUTED_VALUE"""),"Оператор кол центра")</f>
        <v>Оператор кол центра</v>
      </c>
      <c r="C1548" s="6" t="str">
        <f>IFERROR(__xludf.DUMMYFUNCTION("""COMPUTED_VALUE"""),"Фотографирую")</f>
        <v>Фотографирую</v>
      </c>
      <c r="D1548" s="6" t="str">
        <f>IFERROR(__xludf.DUMMYFUNCTION("""COMPUTED_VALUE"""),"Лесная Поляна бульвар, называю лесная Поляна или Поляна ")</f>
        <v>Лесная Поляна бульвар, называю лесная Поляна или Поляна </v>
      </c>
      <c r="E1548" s="6" t="str">
        <f>IFERROR(__xludf.DUMMYFUNCTION("""COMPUTED_VALUE"""),"Лес, олень (у церкви) ")</f>
        <v>Лес, олень (у церкви) </v>
      </c>
      <c r="F1548" s="6" t="str">
        <f>IFERROR(__xludf.DUMMYFUNCTION("""COMPUTED_VALUE"""),"Живу здесь с рождения")</f>
        <v>Живу здесь с рождения</v>
      </c>
      <c r="G1548" s="6" t="str">
        <f>IFERROR(__xludf.DUMMYFUNCTION("""COMPUTED_VALUE"""),"Бор, центр")</f>
        <v>Бор, центр</v>
      </c>
      <c r="H1548" s="6" t="str">
        <f>IFERROR(__xludf.DUMMYFUNCTION("""COMPUTED_VALUE"""),"-")</f>
        <v>-</v>
      </c>
      <c r="I1548" s="6" t="str">
        <f>IFERROR(__xludf.DUMMYFUNCTION("""COMPUTED_VALUE"""),"Аман Тулеев ")</f>
        <v>Аман Тулеев </v>
      </c>
      <c r="J1548" s="6" t="str">
        <f>IFERROR(__xludf.DUMMYFUNCTION("""COMPUTED_VALUE"""),"Аман Тулеев ")</f>
        <v>Аман Тулеев </v>
      </c>
      <c r="K1548" s="6" t="str">
        <f>IFERROR(__xludf.DUMMYFUNCTION("""COMPUTED_VALUE"""),"Вид с креста")</f>
        <v>Вид с креста</v>
      </c>
      <c r="L1548" s="6" t="str">
        <f>IFERROR(__xludf.DUMMYFUNCTION("""COMPUTED_VALUE"""),"-")</f>
        <v>-</v>
      </c>
      <c r="M1548" s="6" t="str">
        <f>IFERROR(__xludf.DUMMYFUNCTION("""COMPUTED_VALUE"""),"Нет")</f>
        <v>Нет</v>
      </c>
      <c r="N1548" s="6" t="str">
        <f>IFERROR(__xludf.DUMMYFUNCTION("""COMPUTED_VALUE"""),"Хорошие дорогие, дппже во дворах, чистый воздух без запахов и выбросов заводов, водители в транспорте не курят и не матерят пассажиров, автобусы приезжают по расписанию, места для кемпинга с возможностью пожарить мясо.")</f>
        <v>Хорошие дорогие, дппже во дворах, чистый воздух без запахов и выбросов заводов, водители в транспорте не курят и не матерят пассажиров, автобусы приезжают по расписанию, места для кемпинга с возможностью пожарить мясо.</v>
      </c>
      <c r="O1548" s="6" t="str">
        <f>IFERROR(__xludf.DUMMYFUNCTION("""COMPUTED_VALUE"""),"Избавиться от выбросов с заводов")</f>
        <v>Избавиться от выбросов с заводов</v>
      </c>
      <c r="P1548" s="6" t="str">
        <f>IFERROR(__xludf.DUMMYFUNCTION("""COMPUTED_VALUE"""),"Инстаграм ")</f>
        <v>Инстаграм </v>
      </c>
      <c r="Q1548"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548" s="6" t="str">
        <f>IFERROR(__xludf.DUMMYFUNCTION("""COMPUTED_VALUE"""),"День города")</f>
        <v>День города</v>
      </c>
      <c r="S1548" s="6" t="str">
        <f>IFERROR(__xludf.DUMMYFUNCTION("""COMPUTED_VALUE"""),"Нет, не приходилось")</f>
        <v>Нет, не приходилось</v>
      </c>
      <c r="T1548" s="6" t="str">
        <f>IFERROR(__xludf.DUMMYFUNCTION("""COMPUTED_VALUE"""),"Столица Кузбасса ")</f>
        <v>Столица Кузбасса </v>
      </c>
      <c r="U1548" s="6" t="str">
        <f>IFERROR(__xludf.DUMMYFUNCTION("""COMPUTED_VALUE"""),"-")</f>
        <v>-</v>
      </c>
      <c r="V1548" s="6" t="str">
        <f>IFERROR(__xludf.DUMMYFUNCTION("""COMPUTED_VALUE"""),"-")</f>
        <v>-</v>
      </c>
      <c r="W1548" s="6" t="str">
        <f>IFERROR(__xludf.DUMMYFUNCTION("""COMPUTED_VALUE"""),"Иногда отзывчивые, но часто озлобленные ")</f>
        <v>Иногда отзывчивые, но часто озлобленные </v>
      </c>
      <c r="X1548" s="6" t="str">
        <f>IFERROR(__xludf.DUMMYFUNCTION("""COMPUTED_VALUE"""),"Весенняя, набережная")</f>
        <v>Весенняя, набережная</v>
      </c>
      <c r="Y1548" s="6" t="str">
        <f>IFERROR(__xludf.DUMMYFUNCTION("""COMPUTED_VALUE"""),"В 2019 праздник рок концерт в честь 25 летия предприятия")</f>
        <v>В 2019 праздник рок концерт в честь 25 летия предприятия</v>
      </c>
      <c r="Z1548" s="6" t="str">
        <f>IFERROR(__xludf.DUMMYFUNCTION("""COMPUTED_VALUE"""),"24 пункт")</f>
        <v>24 пункт</v>
      </c>
      <c r="AA1548" s="6" t="str">
        <f>IFERROR(__xludf.DUMMYFUNCTION("""COMPUTED_VALUE"""),"-")</f>
        <v>-</v>
      </c>
      <c r="AB1548" s="6" t="str">
        <f>IFERROR(__xludf.DUMMYFUNCTION("""COMPUTED_VALUE"""),"-")</f>
        <v>-</v>
      </c>
      <c r="AC1548" s="6" t="str">
        <f>IFERROR(__xludf.DUMMYFUNCTION("""COMPUTED_VALUE"""),"Очень не хватает концертов, которые отменяются из-за ""пандемии"", хотя в других городах России они проводятся. Даже в близлежащих. ")</f>
        <v>Очень не хватает концертов, которые отменяются из-за "пандемии", хотя в других городах России они проводятся. Даже в близлежащих. </v>
      </c>
      <c r="AD154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48" s="6" t="str">
        <f>IFERROR(__xludf.DUMMYFUNCTION("""COMPUTED_VALUE"""),"Женский")</f>
        <v>Женский</v>
      </c>
      <c r="AF1548" s="6" t="str">
        <f>IFERROR(__xludf.DUMMYFUNCTION("""COMPUTED_VALUE"""),"30-44")</f>
        <v>30-44</v>
      </c>
      <c r="AG1548" s="6"/>
      <c r="AH1548" s="6"/>
      <c r="AI1548" s="6"/>
      <c r="AJ1548" s="6"/>
      <c r="AK1548" s="6"/>
      <c r="AL1548" s="6"/>
      <c r="AM1548" s="6"/>
    </row>
    <row r="1549">
      <c r="A1549" s="6">
        <v>1548.0</v>
      </c>
      <c r="B1549" s="6" t="str">
        <f>IFERROR(__xludf.DUMMYFUNCTION("""COMPUTED_VALUE"""),"Бухгалтерия ")</f>
        <v>Бухгалтерия </v>
      </c>
      <c r="C1549" s="6" t="str">
        <f>IFERROR(__xludf.DUMMYFUNCTION("""COMPUTED_VALUE"""),"Пение")</f>
        <v>Пение</v>
      </c>
      <c r="D1549" s="6" t="str">
        <f>IFERROR(__xludf.DUMMYFUNCTION("""COMPUTED_VALUE"""),"Кировский")</f>
        <v>Кировский</v>
      </c>
      <c r="E1549" s="6" t="str">
        <f>IFERROR(__xludf.DUMMYFUNCTION("""COMPUTED_VALUE"""),"Набережная")</f>
        <v>Набережная</v>
      </c>
      <c r="F1549" s="6" t="str">
        <f>IFERROR(__xludf.DUMMYFUNCTION("""COMPUTED_VALUE"""),"Живу здесь с рождения")</f>
        <v>Живу здесь с рождения</v>
      </c>
      <c r="G1549" s="6" t="str">
        <f>IFERROR(__xludf.DUMMYFUNCTION("""COMPUTED_VALUE"""),"Центр, Сосновый бор")</f>
        <v>Центр, Сосновый бор</v>
      </c>
      <c r="H1549" s="6" t="str">
        <f>IFERROR(__xludf.DUMMYFUNCTION("""COMPUTED_VALUE"""),"Смог, ")</f>
        <v>Смог, </v>
      </c>
      <c r="I1549" s="6" t="str">
        <f>IFERROR(__xludf.DUMMYFUNCTION("""COMPUTED_VALUE"""),"Леонов, Тулеев")</f>
        <v>Леонов, Тулеев</v>
      </c>
      <c r="J1549" s="6" t="str">
        <f>IFERROR(__xludf.DUMMYFUNCTION("""COMPUTED_VALUE"""),"Середюк-хороший мер")</f>
        <v>Середюк-хороший мер</v>
      </c>
      <c r="K1549" s="6" t="str">
        <f>IFERROR(__xludf.DUMMYFUNCTION("""COMPUTED_VALUE"""),"Музыкальный театр, набережная, хаски-лэнд")</f>
        <v>Музыкальный театр, набережная, хаски-лэнд</v>
      </c>
      <c r="L1549" s="6" t="str">
        <f>IFERROR(__xludf.DUMMYFUNCTION("""COMPUTED_VALUE"""),"Южный-никому не нужный)) рудничный-дурничный))")</f>
        <v>Южный-никому не нужный)) рудничный-дурничный))</v>
      </c>
      <c r="M1549" s="6" t="str">
        <f>IFERROR(__xludf.DUMMYFUNCTION("""COMPUTED_VALUE"""),"Не знаю")</f>
        <v>Не знаю</v>
      </c>
      <c r="N1549" s="6" t="str">
        <f>IFERROR(__xludf.DUMMYFUNCTION("""COMPUTED_VALUE"""),"Чистота, свежий воздух, хорошие дороги, общественный транспорт, доступная медицина ")</f>
        <v>Чистота, свежий воздух, хорошие дороги, общественный транспорт, доступная медицина </v>
      </c>
      <c r="O1549" s="6" t="str">
        <f>IFERROR(__xludf.DUMMYFUNCTION("""COMPUTED_VALUE"""),"Работу медиков  и скорой помощи и полиции")</f>
        <v>Работу медиков  и скорой помощи и полиции</v>
      </c>
      <c r="P1549" s="6" t="str">
        <f>IFERROR(__xludf.DUMMYFUNCTION("""COMPUTED_VALUE"""),"Инстаграмм, ТВ")</f>
        <v>Инстаграмм, ТВ</v>
      </c>
      <c r="Q1549" s="6" t="str">
        <f>IFERROR(__xludf.DUMMYFUNCTION("""COMPUTED_VALUE"""),"Новости дня")</f>
        <v>Новости дня</v>
      </c>
      <c r="R1549" s="6" t="str">
        <f>IFERROR(__xludf.DUMMYFUNCTION("""COMPUTED_VALUE"""),"9 мая")</f>
        <v>9 мая</v>
      </c>
      <c r="S1549" s="6" t="str">
        <f>IFERROR(__xludf.DUMMYFUNCTION("""COMPUTED_VALUE"""),"Нет, не приходилось")</f>
        <v>Нет, не приходилось</v>
      </c>
      <c r="T1549" s="6" t="str">
        <f>IFERROR(__xludf.DUMMYFUNCTION("""COMPUTED_VALUE"""),"Не знаю")</f>
        <v>Не знаю</v>
      </c>
      <c r="U1549" s="6" t="str">
        <f>IFERROR(__xludf.DUMMYFUNCTION("""COMPUTED_VALUE"""),"Вечный огонь, памятник шахтерам")</f>
        <v>Вечный огонь, памятник шахтерам</v>
      </c>
      <c r="V1549" s="6" t="str">
        <f>IFERROR(__xludf.DUMMYFUNCTION("""COMPUTED_VALUE"""),"Много работали")</f>
        <v>Много работали</v>
      </c>
      <c r="W1549" s="6" t="str">
        <f>IFERROR(__xludf.DUMMYFUNCTION("""COMPUTED_VALUE"""),"Стойкость и терпение")</f>
        <v>Стойкость и терпение</v>
      </c>
      <c r="X1549" s="6" t="str">
        <f>IFERROR(__xludf.DUMMYFUNCTION("""COMPUTED_VALUE"""),"Погулять по Весенней")</f>
        <v>Погулять по Весенней</v>
      </c>
      <c r="Y1549" s="6" t="str">
        <f>IFERROR(__xludf.DUMMYFUNCTION("""COMPUTED_VALUE"""),"Будет. З00 лет Кузбассу")</f>
        <v>Будет. З00 лет Кузбассу</v>
      </c>
      <c r="Z1549" s="6" t="str">
        <f>IFERROR(__xludf.DUMMYFUNCTION("""COMPUTED_VALUE"""),"На остановке Никольский собор построили Мария-ра")</f>
        <v>На остановке Никольский собор построили Мария-ра</v>
      </c>
      <c r="AA1549" s="6" t="str">
        <f>IFERROR(__xludf.DUMMYFUNCTION("""COMPUTED_VALUE"""),"Пожар в Зимней Вишне")</f>
        <v>Пожар в Зимней Вишне</v>
      </c>
      <c r="AB1549" s="6" t="str">
        <f>IFERROR(__xludf.DUMMYFUNCTION("""COMPUTED_VALUE"""),"Всего полно")</f>
        <v>Всего полно</v>
      </c>
      <c r="AC1549" s="6" t="str">
        <f>IFERROR(__xludf.DUMMYFUNCTION("""COMPUTED_VALUE"""),"Бесплатные детские секции и кружки ")</f>
        <v>Бесплатные детские секции и кружки </v>
      </c>
      <c r="AD154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49" s="6" t="str">
        <f>IFERROR(__xludf.DUMMYFUNCTION("""COMPUTED_VALUE"""),"Женский")</f>
        <v>Женский</v>
      </c>
      <c r="AF1549" s="6" t="str">
        <f>IFERROR(__xludf.DUMMYFUNCTION("""COMPUTED_VALUE"""),"30-44")</f>
        <v>30-44</v>
      </c>
      <c r="AG1549" s="6"/>
      <c r="AH1549" s="6"/>
      <c r="AI1549" s="6"/>
      <c r="AJ1549" s="6"/>
      <c r="AK1549" s="6"/>
      <c r="AL1549" s="6"/>
      <c r="AM1549" s="6"/>
    </row>
    <row r="1550">
      <c r="A1550" s="6">
        <v>1549.0</v>
      </c>
      <c r="B1550" s="6" t="str">
        <f>IFERROR(__xludf.DUMMYFUNCTION("""COMPUTED_VALUE"""),"Пенсионер")</f>
        <v>Пенсионер</v>
      </c>
      <c r="C1550" s="6" t="str">
        <f>IFERROR(__xludf.DUMMYFUNCTION("""COMPUTED_VALUE"""),"Поделки, вязание, алмазная мозаика")</f>
        <v>Поделки, вязание, алмазная мозаика</v>
      </c>
      <c r="D1550" s="6" t="str">
        <f>IFERROR(__xludf.DUMMYFUNCTION("""COMPUTED_VALUE"""),"Заводский")</f>
        <v>Заводский</v>
      </c>
      <c r="E1550" s="6" t="str">
        <f>IFERROR(__xludf.DUMMYFUNCTION("""COMPUTED_VALUE"""),"ДК на Патриотов, 9")</f>
        <v>ДК на Патриотов, 9</v>
      </c>
      <c r="F1550" s="6" t="str">
        <f>IFERROR(__xludf.DUMMYFUNCTION("""COMPUTED_VALUE"""),"Переехал сюда из другого места (откуда? укажите в графе другое), Из Омской области в 1968г.")</f>
        <v>Переехал сюда из другого места (откуда? укажите в графе другое), Из Омской области в 1968г.</v>
      </c>
      <c r="G1550" s="6" t="str">
        <f>IFERROR(__xludf.DUMMYFUNCTION("""COMPUTED_VALUE"""),"Рудничный бор, парк Жукова, Парк им. В. Волошиной, горсад")</f>
        <v>Рудничный бор, парк Жукова, Парк им. В. Волошиной, горсад</v>
      </c>
      <c r="H1550" s="6" t="str">
        <f>IFERROR(__xludf.DUMMYFUNCTION("""COMPUTED_VALUE"""),"Красная горка, театр им. Боброва, драмтеатр им. Луначарского, площадь Советов, набережная Томикосмонавт")</f>
        <v>Красная горка, театр им. Боброва, драмтеатр им. Луначарского, площадь Советов, набережная Томикосмонавт</v>
      </c>
      <c r="I1550" s="6" t="str">
        <f>IFERROR(__xludf.DUMMYFUNCTION("""COMPUTED_VALUE"""),"Космонавт Алексей Леонов")</f>
        <v>Космонавт Алексей Леонов</v>
      </c>
      <c r="J1550" s="6" t="str">
        <f>IFERROR(__xludf.DUMMYFUNCTION("""COMPUTED_VALUE"""),"Жигулина Эмилия Васильевнаб")</f>
        <v>Жигулина Эмилия Васильевнаб</v>
      </c>
      <c r="K1550" s="6" t="str">
        <f>IFERROR(__xludf.DUMMYFUNCTION("""COMPUTED_VALUE"""),"Притомская набережная")</f>
        <v>Притомская набережная</v>
      </c>
      <c r="L1550" s="6" t="str">
        <f>IFERROR(__xludf.DUMMYFUNCTION("""COMPUTED_VALUE"""),"Южный, никому не нужный")</f>
        <v>Южный, никому не нужный</v>
      </c>
      <c r="M1550" s="6" t="str">
        <f>IFERROR(__xludf.DUMMYFUNCTION("""COMPUTED_VALUE"""),"Кемерово, главная кочегарка страны")</f>
        <v>Кемерово, главная кочегарка страны</v>
      </c>
      <c r="N1550" s="6" t="str">
        <f>IFERROR(__xludf.DUMMYFUNCTION("""COMPUTED_VALUE"""),"Магазины в шаговой доступности, большие возможности для занятия спортом, открытие вело дорожек, доступность информации")</f>
        <v>Магазины в шаговой доступности, большие возможности для занятия спортом, открытие вело дорожек, доступность информации</v>
      </c>
      <c r="O1550" s="6" t="str">
        <f>IFERROR(__xludf.DUMMYFUNCTION("""COMPUTED_VALUE"""),"Наладить работу перевозки пассажиров")</f>
        <v>Наладить работу перевозки пассажиров</v>
      </c>
      <c r="P1550" s="6" t="str">
        <f>IFERROR(__xludf.DUMMYFUNCTION("""COMPUTED_VALUE"""),"Сибирский медведь")</f>
        <v>Сибирский медведь</v>
      </c>
      <c r="Q1550"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550" s="6" t="str">
        <f>IFERROR(__xludf.DUMMYFUNCTION("""COMPUTED_VALUE"""),"День города, праздник Победы, Новый год")</f>
        <v>День города, праздник Победы, Новый год</v>
      </c>
      <c r="S1550" s="6" t="str">
        <f>IFERROR(__xludf.DUMMYFUNCTION("""COMPUTED_VALUE"""),"Нет, не приходилось")</f>
        <v>Нет, не приходилось</v>
      </c>
      <c r="T1550" s="6" t="str">
        <f>IFERROR(__xludf.DUMMYFUNCTION("""COMPUTED_VALUE"""),"Музей Красная горка, Филармония")</f>
        <v>Музей Красная горка, Филармония</v>
      </c>
      <c r="U1550" s="6" t="str">
        <f>IFERROR(__xludf.DUMMYFUNCTION("""COMPUTED_VALUE"""),"Площадь Советов")</f>
        <v>Площадь Советов</v>
      </c>
      <c r="V1550" s="6" t="str">
        <f>IFERROR(__xludf.DUMMYFUNCTION("""COMPUTED_VALUE"""),"Благоустройство города")</f>
        <v>Благоустройство города</v>
      </c>
      <c r="W1550" s="6" t="str">
        <f>IFERROR(__xludf.DUMMYFUNCTION("""COMPUTED_VALUE"""),"Доброжелательные")</f>
        <v>Доброжелательные</v>
      </c>
      <c r="X1550" s="6" t="str">
        <f>IFERROR(__xludf.DUMMYFUNCTION("""COMPUTED_VALUE"""),"Бульвар Строителей, с самого его начала и до конца")</f>
        <v>Бульвар Строителей, с самого его начала и до конца</v>
      </c>
      <c r="Y1550" s="6" t="str">
        <f>IFERROR(__xludf.DUMMYFUNCTION("""COMPUTED_VALUE"""),"Аэропорт им. Леонова")</f>
        <v>Аэропорт им. Леонова</v>
      </c>
      <c r="Z1550" s="6" t="str">
        <f>IFERROR(__xludf.DUMMYFUNCTION("""COMPUTED_VALUE"""),"Празднование юбилея присоединения Крыма к России ""Крымская весна""")</f>
        <v>Празднование юбилея присоединения Крыма к России "Крымская весна"</v>
      </c>
      <c r="AA1550" s="6" t="str">
        <f>IFERROR(__xludf.DUMMYFUNCTION("""COMPUTED_VALUE"""),"Пожар в Зимней вишне")</f>
        <v>Пожар в Зимней вишне</v>
      </c>
      <c r="AB1550" s="6" t="str">
        <f>IFERROR(__xludf.DUMMYFUNCTION("""COMPUTED_VALUE"""),"Клубов по интересам")</f>
        <v>Клубов по интересам</v>
      </c>
      <c r="AC1550" s="6" t="str">
        <f>IFERROR(__xludf.DUMMYFUNCTION("""COMPUTED_VALUE"""),"Наладить работу общественного транспорта")</f>
        <v>Наладить работу общественного транспорта</v>
      </c>
      <c r="AD1550" s="6" t="str">
        <f>IFERROR(__xludf.DUMMYFUNCTION("""COMPUTED_VALUE"""),"Не готов принимать личное участие (укажите, пожалуйста, причину в поле «Другое»), Проблема со здоровьем")</f>
        <v>Не готов принимать личное участие (укажите, пожалуйста, причину в поле «Другое»), Проблема со здоровьем</v>
      </c>
      <c r="AE1550" s="6" t="str">
        <f>IFERROR(__xludf.DUMMYFUNCTION("""COMPUTED_VALUE"""),"Женский")</f>
        <v>Женский</v>
      </c>
      <c r="AF1550" s="6" t="str">
        <f>IFERROR(__xludf.DUMMYFUNCTION("""COMPUTED_VALUE"""),"старше 55")</f>
        <v>старше 55</v>
      </c>
      <c r="AG1550" s="6"/>
      <c r="AH1550" s="6"/>
      <c r="AI1550" s="6"/>
      <c r="AJ1550" s="6"/>
      <c r="AK1550" s="6"/>
      <c r="AL1550" s="6"/>
      <c r="AM1550" s="6"/>
    </row>
    <row r="1551">
      <c r="A1551" s="6">
        <v>1550.0</v>
      </c>
      <c r="B1551" s="6" t="str">
        <f>IFERROR(__xludf.DUMMYFUNCTION("""COMPUTED_VALUE"""),"работаю")</f>
        <v>работаю</v>
      </c>
      <c r="C1551" s="6" t="str">
        <f>IFERROR(__xludf.DUMMYFUNCTION("""COMPUTED_VALUE"""),"нет")</f>
        <v>нет</v>
      </c>
      <c r="D1551" s="6" t="str">
        <f>IFERROR(__xludf.DUMMYFUNCTION("""COMPUTED_VALUE"""),"Заводский")</f>
        <v>Заводский</v>
      </c>
      <c r="E1551" s="6" t="str">
        <f>IFERROR(__xludf.DUMMYFUNCTION("""COMPUTED_VALUE"""),"Парк Англов")</f>
        <v>Парк Англов</v>
      </c>
      <c r="F1551" s="6" t="str">
        <f>IFERROR(__xludf.DUMMYFUNCTION("""COMPUTED_VALUE"""),"Живу здесь с рождения")</f>
        <v>Живу здесь с рождения</v>
      </c>
      <c r="G1551" s="6" t="str">
        <f>IFERROR(__xludf.DUMMYFUNCTION("""COMPUTED_VALUE"""),"на весеннюю")</f>
        <v>на весеннюю</v>
      </c>
      <c r="H1551" s="6" t="str">
        <f>IFERROR(__xludf.DUMMYFUNCTION("""COMPUTED_VALUE"""),"заводы, река Томь, уголь, фонтан у драм . театра, пл.Советов")</f>
        <v>заводы, река Томь, уголь, фонтан у драм . театра, пл.Советов</v>
      </c>
      <c r="I1551" s="6" t="str">
        <f>IFERROR(__xludf.DUMMYFUNCTION("""COMPUTED_VALUE"""),"Лебедев Александр Михайлович, Михайлов Владимир Васильевич ")</f>
        <v>Лебедев Александр Михайлович, Михайлов Владимир Васильевич </v>
      </c>
      <c r="J1551" s="6" t="str">
        <f>IFERROR(__xludf.DUMMYFUNCTION("""COMPUTED_VALUE"""),"Нет таких")</f>
        <v>Нет таких</v>
      </c>
      <c r="K1551" s="6" t="str">
        <f>IFERROR(__xludf.DUMMYFUNCTION("""COMPUTED_VALUE"""),"Красная горка")</f>
        <v>Красная горка</v>
      </c>
      <c r="L1551" s="6" t="str">
        <f>IFERROR(__xludf.DUMMYFUNCTION("""COMPUTED_VALUE"""),"История про Михайло Волкова, как он уголь открыл ")</f>
        <v>История про Михайло Волкова, как он уголь открыл </v>
      </c>
      <c r="M1551" s="6" t="str">
        <f>IFERROR(__xludf.DUMMYFUNCTION("""COMPUTED_VALUE"""),"нет")</f>
        <v>нет</v>
      </c>
      <c r="N1551" s="6" t="str">
        <f>IFERROR(__xludf.DUMMYFUNCTION("""COMPUTED_VALUE"""),"чистота, экологичность, организованные места для прогулок с детьми, ")</f>
        <v>чистота, экологичность, организованные места для прогулок с детьми, </v>
      </c>
      <c r="O1551" s="6" t="str">
        <f>IFERROR(__xludf.DUMMYFUNCTION("""COMPUTED_VALUE"""),"дороги")</f>
        <v>дороги</v>
      </c>
      <c r="P1551" s="6" t="str">
        <f>IFERROR(__xludf.DUMMYFUNCTION("""COMPUTED_VALUE"""),"Инстаграм, маил ру")</f>
        <v>Инстаграм, маил ру</v>
      </c>
      <c r="Q1551" s="6" t="str">
        <f>IFERROR(__xludf.DUMMYFUNCTION("""COMPUTED_VALUE"""),"куда пойти в свободное время, городская афиша (кино/театр/концерты), интервью с местными творческими личностями, новости про новые профессии/куда поступать/вакансии")</f>
        <v>куда пойти в свободное время, городская афиша (кино/театр/концерты), интервью с местными творческими личностями, новости про новые профессии/куда поступать/вакансии</v>
      </c>
      <c r="R1551" s="6" t="str">
        <f>IFERROR(__xludf.DUMMYFUNCTION("""COMPUTED_VALUE"""),"9 мая")</f>
        <v>9 мая</v>
      </c>
      <c r="S1551" s="6" t="str">
        <f>IFERROR(__xludf.DUMMYFUNCTION("""COMPUTED_VALUE"""),"Нет, не приходилось")</f>
        <v>Нет, не приходилось</v>
      </c>
      <c r="T1551" s="6" t="str">
        <f>IFERROR(__xludf.DUMMYFUNCTION("""COMPUTED_VALUE"""),"добрыми людьми")</f>
        <v>добрыми людьми</v>
      </c>
      <c r="U1551" s="6" t="str">
        <f>IFERROR(__xludf.DUMMYFUNCTION("""COMPUTED_VALUE"""),"Улица весенняя")</f>
        <v>Улица весенняя</v>
      </c>
      <c r="V1551" s="6" t="str">
        <f>IFERROR(__xludf.DUMMYFUNCTION("""COMPUTED_VALUE"""),"а")</f>
        <v>а</v>
      </c>
      <c r="W1551" s="6" t="str">
        <f>IFERROR(__xludf.DUMMYFUNCTION("""COMPUTED_VALUE"""),"отзывчивые, добрые, открытые")</f>
        <v>отзывчивые, добрые, открытые</v>
      </c>
      <c r="X1551" s="6" t="str">
        <f>IFERROR(__xludf.DUMMYFUNCTION("""COMPUTED_VALUE"""),"уютная улица Весенняя, фонтан у драм театра, набережная и гор.сад")</f>
        <v>уютная улица Весенняя, фонтан у драм театра, набережная и гор.сад</v>
      </c>
      <c r="Y1551" s="6" t="str">
        <f>IFERROR(__xludf.DUMMYFUNCTION("""COMPUTED_VALUE"""),"не знаю")</f>
        <v>не знаю</v>
      </c>
      <c r="Z1551" s="6" t="str">
        <f>IFERROR(__xludf.DUMMYFUNCTION("""COMPUTED_VALUE"""),"нет такого")</f>
        <v>нет такого</v>
      </c>
      <c r="AA1551" s="6" t="str">
        <f>IFERROR(__xludf.DUMMYFUNCTION("""COMPUTED_VALUE"""),"смена главы региона")</f>
        <v>смена главы региона</v>
      </c>
      <c r="AB1551" s="6" t="str">
        <f>IFERROR(__xludf.DUMMYFUNCTION("""COMPUTED_VALUE"""),"не имею понятия, у меня свои сообщества")</f>
        <v>не имею понятия, у меня свои сообщества</v>
      </c>
      <c r="AC1551" s="6" t="str">
        <f>IFERROR(__xludf.DUMMYFUNCTION("""COMPUTED_VALUE"""),"культурных уровня Москвы, Питера")</f>
        <v>культурных уровня Москвы, Питера</v>
      </c>
      <c r="AD155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51" s="6" t="str">
        <f>IFERROR(__xludf.DUMMYFUNCTION("""COMPUTED_VALUE"""),"Женский")</f>
        <v>Женский</v>
      </c>
      <c r="AF1551" s="6" t="str">
        <f>IFERROR(__xludf.DUMMYFUNCTION("""COMPUTED_VALUE"""),"30-44")</f>
        <v>30-44</v>
      </c>
      <c r="AG1551" s="6"/>
      <c r="AH1551" s="6"/>
      <c r="AI1551" s="6"/>
      <c r="AJ1551" s="6"/>
      <c r="AK1551" s="6"/>
      <c r="AL1551" s="6"/>
      <c r="AM1551" s="6"/>
    </row>
    <row r="1552">
      <c r="A1552" s="6">
        <v>1551.0</v>
      </c>
      <c r="B1552" s="6" t="str">
        <f>IFERROR(__xludf.DUMMYFUNCTION("""COMPUTED_VALUE"""),"Программист")</f>
        <v>Программист</v>
      </c>
      <c r="C1552" s="6" t="str">
        <f>IFERROR(__xludf.DUMMYFUNCTION("""COMPUTED_VALUE"""),"Чтение, пауэрлифтинг")</f>
        <v>Чтение, пауэрлифтинг</v>
      </c>
      <c r="D1552" s="6" t="str">
        <f>IFERROR(__xludf.DUMMYFUNCTION("""COMPUTED_VALUE"""),"Заводский")</f>
        <v>Заводский</v>
      </c>
      <c r="E1552" s="6" t="str">
        <f>IFERROR(__xludf.DUMMYFUNCTION("""COMPUTED_VALUE"""),"Ул. Патриотов")</f>
        <v>Ул. Патриотов</v>
      </c>
      <c r="F1552" s="6" t="str">
        <f>IFERROR(__xludf.DUMMYFUNCTION("""COMPUTED_VALUE"""),"Живу здесь с рождения")</f>
        <v>Живу здесь с рождения</v>
      </c>
      <c r="G1552" s="6" t="str">
        <f>IFERROR(__xludf.DUMMYFUNCTION("""COMPUTED_VALUE"""),"Горсад, Комсомольский парк, сосновый бор, бульвар строителей.")</f>
        <v>Горсад, Комсомольский парк, сосновый бор, бульвар строителей.</v>
      </c>
      <c r="H1552" s="6" t="str">
        <f>IFERROR(__xludf.DUMMYFUNCTION("""COMPUTED_VALUE"""),"Столица Кузбасса")</f>
        <v>Столица Кузбасса</v>
      </c>
      <c r="I1552" s="6" t="str">
        <f>IFERROR(__xludf.DUMMYFUNCTION("""COMPUTED_VALUE"""),"Волков, Рутгерс")</f>
        <v>Волков, Рутгерс</v>
      </c>
      <c r="J1552" s="6" t="str">
        <f>IFERROR(__xludf.DUMMYFUNCTION("""COMPUTED_VALUE"""),"Леонов")</f>
        <v>Леонов</v>
      </c>
      <c r="K1552" s="6" t="str">
        <f>IFERROR(__xludf.DUMMYFUNCTION("""COMPUTED_VALUE"""),"Красная горка, ботанический сад, Томская писанница, Танай.")</f>
        <v>Красная горка, ботанический сад, Томская писанница, Танай.</v>
      </c>
      <c r="L1552" s="6" t="str">
        <f>IFERROR(__xludf.DUMMYFUNCTION("""COMPUTED_VALUE"""),"А из нашего окна - зона 5 видна, а из нашего окошка - только кладбище немножко. Район ФПК, ул. Свободы.")</f>
        <v>А из нашего окна - зона 5 видна, а из нашего окошка - только кладбище немножко. Район ФПК, ул. Свободы.</v>
      </c>
      <c r="M1552" s="6" t="str">
        <f>IFERROR(__xludf.DUMMYFUNCTION("""COMPUTED_VALUE"""),"Нет")</f>
        <v>Нет</v>
      </c>
      <c r="N1552" s="6" t="str">
        <f>IFERROR(__xludf.DUMMYFUNCTION("""COMPUTED_VALUE"""),"Чистый воздух, наличие парков и мест отдыха, транспортная доступность других городов и стран, наличие крупных непродовольственных сетей - ИКЕА, МЕГА и т.п.")</f>
        <v>Чистый воздух, наличие парков и мест отдыха, транспортная доступность других городов и стран, наличие крупных непродовольственных сетей - ИКЕА, МЕГА и т.п.</v>
      </c>
      <c r="O1552" s="6" t="str">
        <f>IFERROR(__xludf.DUMMYFUNCTION("""COMPUTED_VALUE"""),"Экология, угольная ТЭЦ и частный сектор на угле не дают нормально дышать. Зимой заводский район живёт в печном смоге. Экология - главная и основная причина уехать.")</f>
        <v>Экология, угольная ТЭЦ и частный сектор на угле не дают нормально дышать. Зимой заводский район живёт в печном смоге. Экология - главная и основная причина уехать.</v>
      </c>
      <c r="P1552" s="7" t="str">
        <f>IFERROR(__xludf.DUMMYFUNCTION("""COMPUTED_VALUE"""),"a42.ru")</f>
        <v>a42.ru</v>
      </c>
      <c r="Q1552" s="6" t="str">
        <f>IFERROR(__xludf.DUMMYFUNCTION("""COMPUTED_VALUE"""),"где вкусно поесть/открытие новых кафе/ресторанов, городская афиша (кино/театр/концерты), бизнес-новости (средний чек/рекламные акции/запуск новых предприятий)")</f>
        <v>где вкусно поесть/открытие новых кафе/ресторанов, городская афиша (кино/театр/концерты), бизнес-новости (средний чек/рекламные акции/запуск новых предприятий)</v>
      </c>
      <c r="R1552" s="6" t="str">
        <f>IFERROR(__xludf.DUMMYFUNCTION("""COMPUTED_VALUE"""),"День шахтера")</f>
        <v>День шахтера</v>
      </c>
      <c r="S1552" s="6" t="str">
        <f>IFERROR(__xludf.DUMMYFUNCTION("""COMPUTED_VALUE"""),"Нет, не приходилось")</f>
        <v>Нет, не приходилось</v>
      </c>
      <c r="T1552" s="6" t="str">
        <f>IFERROR(__xludf.DUMMYFUNCTION("""COMPUTED_VALUE"""),"Печально известен после Зимней вишни")</f>
        <v>Печально известен после Зимней вишни</v>
      </c>
      <c r="U1552" s="6" t="str">
        <f>IFERROR(__xludf.DUMMYFUNCTION("""COMPUTED_VALUE"""),"Ул. Весенняя, горсад, площадь советов ")</f>
        <v>Ул. Весенняя, горсад, площадь советов </v>
      </c>
      <c r="V1552" s="6" t="str">
        <f>IFERROR(__xludf.DUMMYFUNCTION("""COMPUTED_VALUE"""),"Алексей Леонов - первый человек, который вышел в открытый космос")</f>
        <v>Алексей Леонов - первый человек, который вышел в открытый космос</v>
      </c>
      <c r="W1552" s="6" t="str">
        <f>IFERROR(__xludf.DUMMYFUNCTION("""COMPUTED_VALUE"""),"Люди постоянно рассуждающие о чистоте воздуха")</f>
        <v>Люди постоянно рассуждающие о чистоте воздуха</v>
      </c>
      <c r="X1552" s="6" t="str">
        <f>IFERROR(__xludf.DUMMYFUNCTION("""COMPUTED_VALUE"""),"Горсад, набережная, площадь советов, советский проспект, театр драмы, ул. Весенняя, площадь Волкова.")</f>
        <v>Горсад, набережная, площадь советов, советский проспект, театр драмы, ул. Весенняя, площадь Волкова.</v>
      </c>
      <c r="Y1552" s="6" t="str">
        <f>IFERROR(__xludf.DUMMYFUNCTION("""COMPUTED_VALUE"""),"Не знаю")</f>
        <v>Не знаю</v>
      </c>
      <c r="Z1552" s="6" t="str">
        <f>IFERROR(__xludf.DUMMYFUNCTION("""COMPUTED_VALUE"""),"Дороги, строительство новых культурных и спортивных объектов, реконструкция аэропорта")</f>
        <v>Дороги, строительство новых культурных и спортивных объектов, реконструкция аэропорта</v>
      </c>
      <c r="AA1552" s="6" t="str">
        <f>IFERROR(__xludf.DUMMYFUNCTION("""COMPUTED_VALUE"""),"Закрыли Лазурный, ЦУМ находится в ужасном плачевном состоянии. В цирке ремонт не проводился лет 60.")</f>
        <v>Закрыли Лазурный, ЦУМ находится в ужасном плачевном состоянии. В цирке ремонт не проводился лет 60.</v>
      </c>
      <c r="AB1552" s="6" t="str">
        <f>IFERROR(__xludf.DUMMYFUNCTION("""COMPUTED_VALUE"""),"Сообщества боевых экологов")</f>
        <v>Сообщества боевых экологов</v>
      </c>
      <c r="AC1552" s="6" t="str">
        <f>IFERROR(__xludf.DUMMYFUNCTION("""COMPUTED_VALUE"""),"Спортивных соревнований уровня сибирского федерального округа, страны или международных.")</f>
        <v>Спортивных соревнований уровня сибирского федерального округа, страны или международных.</v>
      </c>
      <c r="AD1552"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552" s="6" t="str">
        <f>IFERROR(__xludf.DUMMYFUNCTION("""COMPUTED_VALUE"""),"Мужской")</f>
        <v>Мужской</v>
      </c>
      <c r="AF1552" s="6" t="str">
        <f>IFERROR(__xludf.DUMMYFUNCTION("""COMPUTED_VALUE"""),"30-44")</f>
        <v>30-44</v>
      </c>
      <c r="AG1552" s="6"/>
      <c r="AH1552" s="6"/>
      <c r="AI1552" s="6"/>
      <c r="AJ1552" s="6"/>
      <c r="AK1552" s="6"/>
      <c r="AL1552" s="6"/>
      <c r="AM1552" s="6"/>
    </row>
    <row r="1553">
      <c r="A1553" s="6">
        <v>1552.0</v>
      </c>
      <c r="B1553" s="6" t="str">
        <f>IFERROR(__xludf.DUMMYFUNCTION("""COMPUTED_VALUE"""),"Торговля ")</f>
        <v>Торговля </v>
      </c>
      <c r="C1553" s="6" t="str">
        <f>IFERROR(__xludf.DUMMYFUNCTION("""COMPUTED_VALUE"""),"Стиль и мода, йога и астрология ")</f>
        <v>Стиль и мода, йога и астрология </v>
      </c>
      <c r="D1553" s="6" t="str">
        <f>IFERROR(__xludf.DUMMYFUNCTION("""COMPUTED_VALUE"""),"Рудничный, самый чистый,красивый и спокойный ")</f>
        <v>Рудничный, самый чистый,красивый и спокойный </v>
      </c>
      <c r="E1553" s="6" t="str">
        <f>IFERROR(__xludf.DUMMYFUNCTION("""COMPUTED_VALUE"""),"Бор за Институтской 26 и 28 (не стоит его разрушать и строить там дорогу!!!!!!!!!!!!!!)")</f>
        <v>Бор за Институтской 26 и 28 (не стоит его разрушать и строить там дорогу!!!!!!!!!!!!!!)</v>
      </c>
      <c r="F1553" s="6" t="str">
        <f>IFERROR(__xludf.DUMMYFUNCTION("""COMPUTED_VALUE"""),"Живу здесь с рождения")</f>
        <v>Живу здесь с рождения</v>
      </c>
      <c r="G1553" s="6" t="str">
        <f>IFERROR(__xludf.DUMMYFUNCTION("""COMPUTED_VALUE"""),"В Бор ")</f>
        <v>В Бор </v>
      </c>
      <c r="H1553" s="6" t="str">
        <f>IFERROR(__xludf.DUMMYFUNCTION("""COMPUTED_VALUE"""),"Уголь, шахтер, молодость, природа, спокойствие")</f>
        <v>Уголь, шахтер, молодость, природа, спокойствие</v>
      </c>
      <c r="I1553" s="6" t="str">
        <f>IFERROR(__xludf.DUMMYFUNCTION("""COMPUTED_VALUE"""),"Рутгерс")</f>
        <v>Рутгерс</v>
      </c>
      <c r="J1553" s="6" t="str">
        <f>IFERROR(__xludf.DUMMYFUNCTION("""COMPUTED_VALUE"""),"Не знаю ")</f>
        <v>Не знаю </v>
      </c>
      <c r="K1553" s="6" t="str">
        <f>IFERROR(__xludf.DUMMYFUNCTION("""COMPUTED_VALUE"""),"Памятник шахтеру, красная горка, набережная, фонтан, вид на город с горы соснового бора ")</f>
        <v>Памятник шахтеру, красная горка, набережная, фонтан, вид на город с горы соснового бора </v>
      </c>
      <c r="L1553" s="6" t="str">
        <f>IFERROR(__xludf.DUMMYFUNCTION("""COMPUTED_VALUE"""),"Не знаю таких, люди суровые и работящие)))")</f>
        <v>Не знаю таких, люди суровые и работящие)))</v>
      </c>
      <c r="M1553" s="6" t="str">
        <f>IFERROR(__xludf.DUMMYFUNCTION("""COMPUTED_VALUE"""),"Нет")</f>
        <v>Нет</v>
      </c>
      <c r="N1553" s="6" t="str">
        <f>IFERROR(__xludf.DUMMYFUNCTION("""COMPUTED_VALUE"""),"Возможность купить необходимые вещи, т.е 
Развитая торговля, комфортный транспорт, зеленые зоны, места отдыха, кафе, возможности трудоустройства и достойного заработка ")</f>
        <v>Возможность купить необходимые вещи, т.е 
Развитая торговля, комфортный транспорт, зеленые зоны, места отдыха, кафе, возможности трудоустройства и достойного заработка </v>
      </c>
      <c r="O1553" s="6" t="str">
        <f>IFERROR(__xludf.DUMMYFUNCTION("""COMPUTED_VALUE"""),"Добавить места где можно проводить досуг ")</f>
        <v>Добавить места где можно проводить досуг </v>
      </c>
      <c r="P1553" s="6" t="str">
        <f>IFERROR(__xludf.DUMMYFUNCTION("""COMPUTED_VALUE"""),"Инстаграмм")</f>
        <v>Инстаграмм</v>
      </c>
      <c r="Q1553"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 результаты местных исследований (рейтинги/ан"&amp;"алитика/тенденции)")</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v>
      </c>
      <c r="R1553" s="6" t="str">
        <f>IFERROR(__xludf.DUMMYFUNCTION("""COMPUTED_VALUE"""),"День по еды, Масленница, новый год, день города, день шахтера ")</f>
        <v>День по еды, Масленница, новый год, день города, день шахтера </v>
      </c>
      <c r="S1553" s="6" t="str">
        <f>IFERROR(__xludf.DUMMYFUNCTION("""COMPUTED_VALUE"""),"Нет, не приходилось")</f>
        <v>Нет, не приходилось</v>
      </c>
      <c r="T1553" s="6" t="str">
        <f>IFERROR(__xludf.DUMMYFUNCTION("""COMPUTED_VALUE"""),"Добыча угля, уникальности мало, шахтерская столица ")</f>
        <v>Добыча угля, уникальности мало, шахтерская столица </v>
      </c>
      <c r="U1553" s="6" t="str">
        <f>IFERROR(__xludf.DUMMYFUNCTION("""COMPUTED_VALUE"""),"Гор сад, площадь советов ")</f>
        <v>Гор сад, площадь советов </v>
      </c>
      <c r="V1553" s="6" t="str">
        <f>IFERROR(__xludf.DUMMYFUNCTION("""COMPUTED_VALUE"""),"Творческие и спортивные, научные достижения")</f>
        <v>Творческие и спортивные, научные достижения</v>
      </c>
      <c r="W1553" s="6" t="str">
        <f>IFERROR(__xludf.DUMMYFUNCTION("""COMPUTED_VALUE"""),"Хмурые, добрые, простые и душевные в отличии от Ноосибирска )))) ")</f>
        <v>Хмурые, добрые, простые и душевные в отличии от Ноосибирска )))) </v>
      </c>
      <c r="X1553" s="6" t="str">
        <f>IFERROR(__xludf.DUMMYFUNCTION("""COMPUTED_VALUE"""),"Набережная или красная горка ")</f>
        <v>Набережная или красная горка </v>
      </c>
      <c r="Y1553" s="6" t="str">
        <f>IFERROR(__xludf.DUMMYFUNCTION("""COMPUTED_VALUE"""),"Bandy, кузнецкий мост ")</f>
        <v>Bandy, кузнецкий мост </v>
      </c>
      <c r="Z1553" s="6" t="str">
        <f>IFERROR(__xludf.DUMMYFUNCTION("""COMPUTED_VALUE"""),"Маршрут 23 автобуса ")</f>
        <v>Маршрут 23 автобуса </v>
      </c>
      <c r="AA1553" s="6" t="str">
        <f>IFERROR(__xludf.DUMMYFUNCTION("""COMPUTED_VALUE"""),"Зимняя вишня ")</f>
        <v>Зимняя вишня </v>
      </c>
      <c r="AB1553" s="6" t="str">
        <f>IFERROR(__xludf.DUMMYFUNCTION("""COMPUTED_VALUE"""),"Кафе в красивых и уютных местах, мастер классы, обучения в разлисных сферах ")</f>
        <v>Кафе в красивых и уютных местах, мастер классы, обучения в разлисных сферах </v>
      </c>
      <c r="AC1553" s="6" t="str">
        <f>IFERROR(__xludf.DUMMYFUNCTION("""COMPUTED_VALUE"""),"Концерты, соревнования, мастер классы")</f>
        <v>Концерты, соревнования, мастер классы</v>
      </c>
      <c r="AD155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53" s="6" t="str">
        <f>IFERROR(__xludf.DUMMYFUNCTION("""COMPUTED_VALUE"""),"Женский")</f>
        <v>Женский</v>
      </c>
      <c r="AF1553" s="6" t="str">
        <f>IFERROR(__xludf.DUMMYFUNCTION("""COMPUTED_VALUE"""),"30-44")</f>
        <v>30-44</v>
      </c>
      <c r="AG1553" s="6"/>
      <c r="AH1553" s="6"/>
      <c r="AI1553" s="6"/>
      <c r="AJ1553" s="6"/>
      <c r="AK1553" s="6"/>
      <c r="AL1553" s="6"/>
      <c r="AM1553" s="6"/>
    </row>
    <row r="1554">
      <c r="A1554" s="6">
        <v>1553.0</v>
      </c>
      <c r="B1554" s="6" t="str">
        <f>IFERROR(__xludf.DUMMYFUNCTION("""COMPUTED_VALUE"""),"Домохозяйка")</f>
        <v>Домохозяйка</v>
      </c>
      <c r="C1554" s="6" t="str">
        <f>IFERROR(__xludf.DUMMYFUNCTION("""COMPUTED_VALUE"""),"Нет")</f>
        <v>Нет</v>
      </c>
      <c r="D1554" s="6" t="str">
        <f>IFERROR(__xludf.DUMMYFUNCTION("""COMPUTED_VALUE"""),"Лесная Поляна ")</f>
        <v>Лесная Поляна </v>
      </c>
      <c r="E1554" s="6" t="str">
        <f>IFERROR(__xludf.DUMMYFUNCTION("""COMPUTED_VALUE"""),"Детские площадки")</f>
        <v>Детские площадки</v>
      </c>
      <c r="F1554" s="6" t="str">
        <f>IFERROR(__xludf.DUMMYFUNCTION("""COMPUTED_VALUE"""),"Переехал сюда из другого места (откуда? укажите в графе другое), Приехала из Новосибирска ")</f>
        <v>Переехал сюда из другого места (откуда? укажите в графе другое), Приехала из Новосибирска </v>
      </c>
      <c r="G1554" s="6" t="str">
        <f>IFERROR(__xludf.DUMMYFUNCTION("""COMPUTED_VALUE"""),"Парки, набережная, театры, рестораны ")</f>
        <v>Парки, набережная, театры, рестораны </v>
      </c>
      <c r="H1554" s="6" t="str">
        <f>IFERROR(__xludf.DUMMYFUNCTION("""COMPUTED_VALUE"""),"Малоразвитый, спокойный, скучноватый , маленький")</f>
        <v>Малоразвитый, спокойный, скучноватый , маленький</v>
      </c>
      <c r="I1554" s="6" t="str">
        <f>IFERROR(__xludf.DUMMYFUNCTION("""COMPUTED_VALUE"""),"——-")</f>
        <v>——-</v>
      </c>
      <c r="J1554" s="6" t="str">
        <f>IFERROR(__xludf.DUMMYFUNCTION("""COMPUTED_VALUE"""),"———")</f>
        <v>———</v>
      </c>
      <c r="K1554" s="6" t="str">
        <f>IFERROR(__xludf.DUMMYFUNCTION("""COMPUTED_VALUE"""),"————")</f>
        <v>————</v>
      </c>
      <c r="L1554" s="6" t="str">
        <f>IFERROR(__xludf.DUMMYFUNCTION("""COMPUTED_VALUE"""),"——-")</f>
        <v>——-</v>
      </c>
      <c r="M1554" s="6" t="str">
        <f>IFERROR(__xludf.DUMMYFUNCTION("""COMPUTED_VALUE"""),"Нет")</f>
        <v>Нет</v>
      </c>
      <c r="N1554" s="6" t="str">
        <f>IFERROR(__xludf.DUMMYFUNCTION("""COMPUTED_VALUE"""),"Наличие ТРЦ, транспортная доступность ( наличие авиарейсов в разные направления) развлечения, досуг для взрослых и детей, спа комплексы ")</f>
        <v>Наличие ТРЦ, транспортная доступность ( наличие авиарейсов в разные направления) развлечения, досуг для взрослых и детей, спа комплексы </v>
      </c>
      <c r="O1554" s="6" t="str">
        <f>IFERROR(__xludf.DUMMYFUNCTION("""COMPUTED_VALUE"""),"Построить хороший трц ")</f>
        <v>Построить хороший трц </v>
      </c>
      <c r="P1554" s="6" t="str">
        <f>IFERROR(__xludf.DUMMYFUNCTION("""COMPUTED_VALUE"""),"Интернет ")</f>
        <v>Интернет </v>
      </c>
      <c r="Q155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554" s="6" t="str">
        <f>IFERROR(__xludf.DUMMYFUNCTION("""COMPUTED_VALUE"""),"——-")</f>
        <v>——-</v>
      </c>
      <c r="S1554" s="6" t="str">
        <f>IFERROR(__xludf.DUMMYFUNCTION("""COMPUTED_VALUE"""),"Нет, не приходилось")</f>
        <v>Нет, не приходилось</v>
      </c>
      <c r="T1554" s="6" t="str">
        <f>IFERROR(__xludf.DUMMYFUNCTION("""COMPUTED_VALUE"""),"Ничего")</f>
        <v>Ничего</v>
      </c>
      <c r="U1554" s="6" t="str">
        <f>IFERROR(__xludf.DUMMYFUNCTION("""COMPUTED_VALUE"""),"——-")</f>
        <v>——-</v>
      </c>
      <c r="V1554" s="6" t="str">
        <f>IFERROR(__xludf.DUMMYFUNCTION("""COMPUTED_VALUE"""),"——")</f>
        <v>——</v>
      </c>
      <c r="W1554" s="6" t="str">
        <f>IFERROR(__xludf.DUMMYFUNCTION("""COMPUTED_VALUE"""),"Обычные люди")</f>
        <v>Обычные люди</v>
      </c>
      <c r="X1554" s="6" t="str">
        <f>IFERROR(__xludf.DUMMYFUNCTION("""COMPUTED_VALUE"""),"Нет такого")</f>
        <v>Нет такого</v>
      </c>
      <c r="Y1554" s="6" t="str">
        <f>IFERROR(__xludf.DUMMYFUNCTION("""COMPUTED_VALUE"""),"——")</f>
        <v>——</v>
      </c>
      <c r="Z1554" s="6" t="str">
        <f>IFERROR(__xludf.DUMMYFUNCTION("""COMPUTED_VALUE"""),"Появление новых зданий, строительство стадиона , ремонт дорог")</f>
        <v>Появление новых зданий, строительство стадиона , ремонт дорог</v>
      </c>
      <c r="AA1554" s="6" t="str">
        <f>IFERROR(__xludf.DUMMYFUNCTION("""COMPUTED_VALUE"""),"——")</f>
        <v>——</v>
      </c>
      <c r="AB1554" s="6" t="str">
        <f>IFERROR(__xludf.DUMMYFUNCTION("""COMPUTED_VALUE"""),"——-")</f>
        <v>——-</v>
      </c>
      <c r="AC1554" s="6" t="str">
        <f>IFERROR(__xludf.DUMMYFUNCTION("""COMPUTED_VALUE"""),"Больше концертов, современных выставок, ")</f>
        <v>Больше концертов, современных выставок, </v>
      </c>
      <c r="AD155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54" s="6" t="str">
        <f>IFERROR(__xludf.DUMMYFUNCTION("""COMPUTED_VALUE"""),"Женский")</f>
        <v>Женский</v>
      </c>
      <c r="AF1554" s="6" t="str">
        <f>IFERROR(__xludf.DUMMYFUNCTION("""COMPUTED_VALUE"""),"30-44")</f>
        <v>30-44</v>
      </c>
      <c r="AG1554" s="6"/>
      <c r="AH1554" s="6"/>
      <c r="AI1554" s="6"/>
      <c r="AJ1554" s="6"/>
      <c r="AK1554" s="6"/>
      <c r="AL1554" s="6"/>
      <c r="AM1554" s="6"/>
    </row>
    <row r="1555">
      <c r="A1555" s="6">
        <v>1554.0</v>
      </c>
      <c r="B1555" s="6" t="str">
        <f>IFERROR(__xludf.DUMMYFUNCTION("""COMPUTED_VALUE"""),"Кассир")</f>
        <v>Кассир</v>
      </c>
      <c r="C1555" s="6" t="str">
        <f>IFERROR(__xludf.DUMMYFUNCTION("""COMPUTED_VALUE"""),"Я шью")</f>
        <v>Я шью</v>
      </c>
      <c r="D1555" s="6" t="str">
        <f>IFERROR(__xludf.DUMMYFUNCTION("""COMPUTED_VALUE"""),"Ленинский")</f>
        <v>Ленинский</v>
      </c>
      <c r="E1555" s="6" t="str">
        <f>IFERROR(__xludf.DUMMYFUNCTION("""COMPUTED_VALUE"""),"Бульвар строителей")</f>
        <v>Бульвар строителей</v>
      </c>
      <c r="F1555" s="6" t="str">
        <f>IFERROR(__xludf.DUMMYFUNCTION("""COMPUTED_VALUE"""),"Живу здесь с рождения")</f>
        <v>Живу здесь с рождения</v>
      </c>
      <c r="G1555" s="6" t="str">
        <f>IFERROR(__xludf.DUMMYFUNCTION("""COMPUTED_VALUE"""),"Летом на набережную и бульвар Строителей")</f>
        <v>Летом на набережную и бульвар Строителей</v>
      </c>
      <c r="H1555" s="6" t="str">
        <f>IFERROR(__xludf.DUMMYFUNCTION("""COMPUTED_VALUE"""),"Уголь, деревья,  простор, серость,  скука")</f>
        <v>Уголь, деревья,  простор, серость,  скука</v>
      </c>
      <c r="I1555" s="6" t="str">
        <f>IFERROR(__xludf.DUMMYFUNCTION("""COMPUTED_VALUE"""),"Леонов М.А.,Шокуров А.А. ")</f>
        <v>Леонов М.А.,Шокуров А.А. </v>
      </c>
      <c r="J1555" s="6" t="str">
        <f>IFERROR(__xludf.DUMMYFUNCTION("""COMPUTED_VALUE"""),"Гришковец, Самойлов, Бабенко")</f>
        <v>Гришковец, Самойлов, Бабенко</v>
      </c>
      <c r="K1555" s="6" t="str">
        <f>IFERROR(__xludf.DUMMYFUNCTION("""COMPUTED_VALUE"""),",набережная, парк ангелов")</f>
        <v>,набережная, парк ангелов</v>
      </c>
      <c r="L1555" s="6" t="str">
        <f>IFERROR(__xludf.DUMMYFUNCTION("""COMPUTED_VALUE"""),"Невоспитанное, некультурное было в большинстве своём.")</f>
        <v>Невоспитанное, некультурное было в большинстве своём.</v>
      </c>
      <c r="M1555" s="6" t="str">
        <f>IFERROR(__xludf.DUMMYFUNCTION("""COMPUTED_VALUE"""),"Нет")</f>
        <v>Нет</v>
      </c>
      <c r="N1555" s="6" t="str">
        <f>IFERROR(__xludf.DUMMYFUNCTION("""COMPUTED_VALUE"""),"Озеленение, чистота города, наличие детских площадок во дворах и общественных местах, доступная транспортная развязка, ровные дороги")</f>
        <v>Озеленение, чистота города, наличие детских площадок во дворах и общественных местах, доступная транспортная развязка, ровные дороги</v>
      </c>
      <c r="O1555" s="6" t="str">
        <f>IFERROR(__xludf.DUMMYFUNCTION("""COMPUTED_VALUE"""),"Современные детские площадки в старых дворах города.")</f>
        <v>Современные детские площадки в старых дворах города.</v>
      </c>
      <c r="P1555" s="6" t="str">
        <f>IFERROR(__xludf.DUMMYFUNCTION("""COMPUTED_VALUE"""),"Instagram ")</f>
        <v>Instagram </v>
      </c>
      <c r="Q1555"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ре"&amp;"зультаты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555" s="6" t="str">
        <f>IFERROR(__xludf.DUMMYFUNCTION("""COMPUTED_VALUE"""),"День города, день шахтера")</f>
        <v>День города, день шахтера</v>
      </c>
      <c r="S1555" s="6" t="str">
        <f>IFERROR(__xludf.DUMMYFUNCTION("""COMPUTED_VALUE"""),"Нет, не приходилось")</f>
        <v>Нет, не приходилось</v>
      </c>
      <c r="T1555" s="6" t="str">
        <f>IFERROR(__xludf.DUMMYFUNCTION("""COMPUTED_VALUE"""),"Тулеевым")</f>
        <v>Тулеевым</v>
      </c>
      <c r="U1555" s="6" t="str">
        <f>IFERROR(__xludf.DUMMYFUNCTION("""COMPUTED_VALUE"""),"Набережная")</f>
        <v>Набережная</v>
      </c>
      <c r="V1555" s="6" t="str">
        <f>IFERROR(__xludf.DUMMYFUNCTION("""COMPUTED_VALUE"""),"Развивали угольную промышленность, развивали медицину в регионе")</f>
        <v>Развивали угольную промышленность, развивали медицину в регионе</v>
      </c>
      <c r="W1555" s="6" t="str">
        <f>IFERROR(__xludf.DUMMYFUNCTION("""COMPUTED_VALUE"""),"Невоспитанные, некультурные,  но добрые и сострадательные")</f>
        <v>Невоспитанные, некультурные,  но добрые и сострадательные</v>
      </c>
      <c r="X1555" s="6" t="str">
        <f>IFERROR(__xludf.DUMMYFUNCTION("""COMPUTED_VALUE"""),"Центр")</f>
        <v>Центр</v>
      </c>
      <c r="Y1555" s="6" t="str">
        <f>IFERROR(__xludf.DUMMYFUNCTION("""COMPUTED_VALUE"""),"Печальное событие с зимней вишней")</f>
        <v>Печальное событие с зимней вишней</v>
      </c>
      <c r="Z1555" s="6" t="str">
        <f>IFERROR(__xludf.DUMMYFUNCTION("""COMPUTED_VALUE"""),"Концерт Би-2")</f>
        <v>Концерт Би-2</v>
      </c>
      <c r="AA1555" s="6" t="str">
        <f>IFERROR(__xludf.DUMMYFUNCTION("""COMPUTED_VALUE"""),"Город стал более неухоженным ")</f>
        <v>Город стал более неухоженным </v>
      </c>
      <c r="AB1555" s="6" t="str">
        <f>IFERROR(__xludf.DUMMYFUNCTION("""COMPUTED_VALUE"""),"Хотелось бы галерею современного искусства ")</f>
        <v>Хотелось бы галерею современного искусства </v>
      </c>
      <c r="AC1555" s="6" t="str">
        <f>IFERROR(__xludf.DUMMYFUNCTION("""COMPUTED_VALUE"""),"Больше разнообразных музыкальных фестивалей для молодежи, рок фестивали, спортивных мероприятий")</f>
        <v>Больше разнообразных музыкальных фестивалей для молодежи, рок фестивали, спортивных мероприятий</v>
      </c>
      <c r="AD155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55" s="6" t="str">
        <f>IFERROR(__xludf.DUMMYFUNCTION("""COMPUTED_VALUE"""),"Женский")</f>
        <v>Женский</v>
      </c>
      <c r="AF1555" s="6" t="str">
        <f>IFERROR(__xludf.DUMMYFUNCTION("""COMPUTED_VALUE"""),"30-44")</f>
        <v>30-44</v>
      </c>
      <c r="AG1555" s="6"/>
      <c r="AH1555" s="6"/>
      <c r="AI1555" s="6"/>
      <c r="AJ1555" s="6"/>
      <c r="AK1555" s="6"/>
      <c r="AL1555" s="6"/>
      <c r="AM1555" s="6"/>
    </row>
    <row r="1556">
      <c r="A1556" s="6">
        <v>1555.0</v>
      </c>
      <c r="B1556" s="6" t="str">
        <f>IFERROR(__xludf.DUMMYFUNCTION("""COMPUTED_VALUE"""),"Фотограф")</f>
        <v>Фотограф</v>
      </c>
      <c r="C1556" s="6" t="str">
        <f>IFERROR(__xludf.DUMMYFUNCTION("""COMPUTED_VALUE"""),"Спорт. Восточные единоборства.")</f>
        <v>Спорт. Восточные единоборства.</v>
      </c>
      <c r="D1556" s="6" t="str">
        <f>IFERROR(__xludf.DUMMYFUNCTION("""COMPUTED_VALUE"""),"Ленинский.")</f>
        <v>Ленинский.</v>
      </c>
      <c r="E1556" s="6" t="str">
        <f>IFERROR(__xludf.DUMMYFUNCTION("""COMPUTED_VALUE"""),"Парк на пр. Химиков. Бульвар Строителей.")</f>
        <v>Парк на пр. Химиков. Бульвар Строителей.</v>
      </c>
      <c r="F1556" s="6" t="str">
        <f>IFERROR(__xludf.DUMMYFUNCTION("""COMPUTED_VALUE"""),"Живу здесь с рождения")</f>
        <v>Живу здесь с рождения</v>
      </c>
      <c r="G1556" s="6" t="str">
        <f>IFERROR(__xludf.DUMMYFUNCTION("""COMPUTED_VALUE"""),"Парк на пр. Химиков. Бульвар Строителей. Набережная Томи.")</f>
        <v>Парк на пр. Химиков. Бульвар Строителей. Набережная Томи.</v>
      </c>
      <c r="H1556" s="6" t="str">
        <f>IFERROR(__xludf.DUMMYFUNCTION("""COMPUTED_VALUE"""),"Серый, депрессивный, не экологичный, ")</f>
        <v>Серый, депрессивный, не экологичный, </v>
      </c>
      <c r="I1556" s="6" t="str">
        <f>IFERROR(__xludf.DUMMYFUNCTION("""COMPUTED_VALUE"""),"Леонов А.А., М. Волков., В. Волошина, Подгорбунский")</f>
        <v>Леонов А.А., М. Волков., В. Волошина, Подгорбунский</v>
      </c>
      <c r="J1556" s="6" t="str">
        <f>IFERROR(__xludf.DUMMYFUNCTION("""COMPUTED_VALUE"""),"Михайлов, Тулеев, Леонов А.А.")</f>
        <v>Михайлов, Тулеев, Леонов А.А.</v>
      </c>
      <c r="K1556" s="6" t="str">
        <f>IFERROR(__xludf.DUMMYFUNCTION("""COMPUTED_VALUE"""),"Томская писанница, притомская набережная, Драмтеатр.")</f>
        <v>Томская писанница, притомская набережная, Драмтеатр.</v>
      </c>
      <c r="L1556" s="6" t="str">
        <f>IFERROR(__xludf.DUMMYFUNCTION("""COMPUTED_VALUE"""),"Не знаю")</f>
        <v>Не знаю</v>
      </c>
      <c r="M1556" s="6" t="str">
        <f>IFERROR(__xludf.DUMMYFUNCTION("""COMPUTED_VALUE"""),"Не знаю")</f>
        <v>Не знаю</v>
      </c>
      <c r="N1556" s="6" t="str">
        <f>IFERROR(__xludf.DUMMYFUNCTION("""COMPUTED_VALUE"""),"Наличие работы, экологичность, транспортная доступность, наличие парков,  наличие дет. садов и школ.")</f>
        <v>Наличие работы, экологичность, транспортная доступность, наличие парков,  наличие дет. садов и школ.</v>
      </c>
      <c r="O1556" s="6" t="str">
        <f>IFERROR(__xludf.DUMMYFUNCTION("""COMPUTED_VALUE"""),"Экологию!!!! Построить объездную дорогу М 53 и мост.")</f>
        <v>Экологию!!!! Построить объездную дорогу М 53 и мост.</v>
      </c>
      <c r="P1556" s="6" t="str">
        <f>IFERROR(__xludf.DUMMYFUNCTION("""COMPUTED_VALUE"""),"Вк. ""Типичный Кемерово"", Инстаграм. Контекстная реклама Яндекс.")</f>
        <v>Вк. "Типичный Кемерово", Инстаграм. Контекстная реклама Яндекс.</v>
      </c>
      <c r="Q1556"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1556" s="6" t="str">
        <f>IFERROR(__xludf.DUMMYFUNCTION("""COMPUTED_VALUE"""),"День Победы, День города.")</f>
        <v>День Победы, День города.</v>
      </c>
      <c r="S1556" s="6" t="str">
        <f>IFERROR(__xludf.DUMMYFUNCTION("""COMPUTED_VALUE"""),"Работал фотографом в СМИ")</f>
        <v>Работал фотографом в СМИ</v>
      </c>
      <c r="T1556" s="6" t="str">
        <f>IFERROR(__xludf.DUMMYFUNCTION("""COMPUTED_VALUE"""),"Ничего")</f>
        <v>Ничего</v>
      </c>
      <c r="U1556" s="6" t="str">
        <f>IFERROR(__xludf.DUMMYFUNCTION("""COMPUTED_VALUE"""),"Проспект Советский, ул. Весенняя, Набережная.")</f>
        <v>Проспект Советский, ул. Весенняя, Набережная.</v>
      </c>
      <c r="V1556" s="6" t="str">
        <f>IFERROR(__xludf.DUMMYFUNCTION("""COMPUTED_VALUE"""),"Леонов вышел в открытый космос")</f>
        <v>Леонов вышел в открытый космос</v>
      </c>
      <c r="W1556" s="6" t="str">
        <f>IFERROR(__xludf.DUMMYFUNCTION("""COMPUTED_VALUE"""),"Открытые, гостеприимные")</f>
        <v>Открытые, гостеприимные</v>
      </c>
      <c r="X1556" s="6" t="str">
        <f>IFERROR(__xludf.DUMMYFUNCTION("""COMPUTED_VALUE"""),"Проспект Советский, ул. Весенняя, Набережная.")</f>
        <v>Проспект Советский, ул. Весенняя, Набережная.</v>
      </c>
      <c r="Y1556" s="6" t="str">
        <f>IFERROR(__xludf.DUMMYFUNCTION("""COMPUTED_VALUE"""),"Не знаю")</f>
        <v>Не знаю</v>
      </c>
      <c r="Z1556" s="6" t="str">
        <f>IFERROR(__xludf.DUMMYFUNCTION("""COMPUTED_VALUE"""),"Концерт группы Accept")</f>
        <v>Концерт группы Accept</v>
      </c>
      <c r="AA1556" s="6" t="str">
        <f>IFERROR(__xludf.DUMMYFUNCTION("""COMPUTED_VALUE"""),"Не знаю")</f>
        <v>Не знаю</v>
      </c>
      <c r="AB1556" s="6" t="str">
        <f>IFERROR(__xludf.DUMMYFUNCTION("""COMPUTED_VALUE"""),"Творческих, связанных с культурой. Альтернативных, выставочных площадок, для общения.")</f>
        <v>Творческих, связанных с культурой. Альтернативных, выставочных площадок, для общения.</v>
      </c>
      <c r="AC1556" s="6" t="str">
        <f>IFERROR(__xludf.DUMMYFUNCTION("""COMPUTED_VALUE"""),"Концерты, выставки, спектакли местных творческих личностей.")</f>
        <v>Концерты, выставки, спектакли местных творческих личностей.</v>
      </c>
      <c r="AD155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56" s="6" t="str">
        <f>IFERROR(__xludf.DUMMYFUNCTION("""COMPUTED_VALUE"""),"Мужской")</f>
        <v>Мужской</v>
      </c>
      <c r="AF1556" s="6" t="str">
        <f>IFERROR(__xludf.DUMMYFUNCTION("""COMPUTED_VALUE"""),"45-55")</f>
        <v>45-55</v>
      </c>
      <c r="AG1556" s="6"/>
      <c r="AH1556" s="6"/>
      <c r="AI1556" s="6"/>
      <c r="AJ1556" s="6"/>
      <c r="AK1556" s="6"/>
      <c r="AL1556" s="6"/>
      <c r="AM1556" s="6"/>
    </row>
    <row r="1557">
      <c r="A1557" s="6">
        <v>1556.0</v>
      </c>
      <c r="B1557" s="6" t="str">
        <f>IFERROR(__xludf.DUMMYFUNCTION("""COMPUTED_VALUE"""),"Руководитель среднего звена")</f>
        <v>Руководитель среднего звена</v>
      </c>
      <c r="C1557" s="6" t="str">
        <f>IFERROR(__xludf.DUMMYFUNCTION("""COMPUTED_VALUE"""),"Вышивка бисером")</f>
        <v>Вышивка бисером</v>
      </c>
      <c r="D1557" s="6" t="str">
        <f>IFERROR(__xludf.DUMMYFUNCTION("""COMPUTED_VALUE"""),"Южный")</f>
        <v>Южный</v>
      </c>
      <c r="E1557" s="6" t="str">
        <f>IFERROR(__xludf.DUMMYFUNCTION("""COMPUTED_VALUE"""),"Аллея на Патриотов")</f>
        <v>Аллея на Патриотов</v>
      </c>
      <c r="F1557" s="6" t="str">
        <f>IFERROR(__xludf.DUMMYFUNCTION("""COMPUTED_VALUE"""),"Живу здесь с рождения")</f>
        <v>Живу здесь с рождения</v>
      </c>
      <c r="G1557" s="6" t="str">
        <f>IFERROR(__xludf.DUMMYFUNCTION("""COMPUTED_VALUE"""),"Сосновый бор")</f>
        <v>Сосновый бор</v>
      </c>
      <c r="H1557" s="6" t="str">
        <f>IFERROR(__xludf.DUMMYFUNCTION("""COMPUTED_VALUE"""),"Уголь, экология, завод, пыль, сажа")</f>
        <v>Уголь, экология, завод, пыль, сажа</v>
      </c>
      <c r="I1557" s="6" t="str">
        <f>IFERROR(__xludf.DUMMYFUNCTION("""COMPUTED_VALUE"""),"Волков")</f>
        <v>Волков</v>
      </c>
      <c r="J1557" s="6" t="str">
        <f>IFERROR(__xludf.DUMMYFUNCTION("""COMPUTED_VALUE"""),"-")</f>
        <v>-</v>
      </c>
      <c r="K1557" s="6" t="str">
        <f>IFERROR(__xludf.DUMMYFUNCTION("""COMPUTED_VALUE"""),"Красная горка, вечный огонь")</f>
        <v>Красная горка, вечный огонь</v>
      </c>
      <c r="L1557" s="6" t="str">
        <f>IFERROR(__xludf.DUMMYFUNCTION("""COMPUTED_VALUE"""),"-")</f>
        <v>-</v>
      </c>
      <c r="M1557" s="6" t="str">
        <f>IFERROR(__xludf.DUMMYFUNCTION("""COMPUTED_VALUE"""),"-")</f>
        <v>-</v>
      </c>
      <c r="N1557" s="6" t="str">
        <f>IFERROR(__xludf.DUMMYFUNCTION("""COMPUTED_VALUE"""),"Хорошая экология, красивые фасады домов, чистые парки")</f>
        <v>Хорошая экология, красивые фасады домов, чистые парки</v>
      </c>
      <c r="O1557" s="6" t="str">
        <f>IFERROR(__xludf.DUMMYFUNCTION("""COMPUTED_VALUE"""),"Экологию")</f>
        <v>Экологию</v>
      </c>
      <c r="P1557" s="6" t="str">
        <f>IFERROR(__xludf.DUMMYFUNCTION("""COMPUTED_VALUE"""),"Инстаграмм")</f>
        <v>Инстаграмм</v>
      </c>
      <c r="Q155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557" s="6" t="str">
        <f>IFERROR(__xludf.DUMMYFUNCTION("""COMPUTED_VALUE"""),"Масленица, день защиты детей")</f>
        <v>Масленица, день защиты детей</v>
      </c>
      <c r="S1557" s="6" t="str">
        <f>IFERROR(__xludf.DUMMYFUNCTION("""COMPUTED_VALUE"""),"Нет, не приходилось")</f>
        <v>Нет, не приходилось</v>
      </c>
      <c r="T1557" s="6" t="str">
        <f>IFERROR(__xludf.DUMMYFUNCTION("""COMPUTED_VALUE"""),"Углем")</f>
        <v>Углем</v>
      </c>
      <c r="U1557" s="6" t="str">
        <f>IFERROR(__xludf.DUMMYFUNCTION("""COMPUTED_VALUE"""),"Фонтан")</f>
        <v>Фонтан</v>
      </c>
      <c r="V1557" s="6" t="str">
        <f>IFERROR(__xludf.DUMMYFUNCTION("""COMPUTED_VALUE"""),"-")</f>
        <v>-</v>
      </c>
      <c r="W1557" s="6" t="str">
        <f>IFERROR(__xludf.DUMMYFUNCTION("""COMPUTED_VALUE"""),"Залечит повыше, клюнуть ближнего")</f>
        <v>Залечит повыше, клюнуть ближнего</v>
      </c>
      <c r="X1557" s="6" t="str">
        <f>IFERROR(__xludf.DUMMYFUNCTION("""COMPUTED_VALUE"""),"Фонтан, набережная, красная горка, ботанический сад")</f>
        <v>Фонтан, набережная, красная горка, ботанический сад</v>
      </c>
      <c r="Y1557" s="6" t="str">
        <f>IFERROR(__xludf.DUMMYFUNCTION("""COMPUTED_VALUE"""),"Зимняя вишня")</f>
        <v>Зимняя вишня</v>
      </c>
      <c r="Z1557" s="6" t="str">
        <f>IFERROR(__xludf.DUMMYFUNCTION("""COMPUTED_VALUE"""),"-")</f>
        <v>-</v>
      </c>
      <c r="AA1557" s="6" t="str">
        <f>IFERROR(__xludf.DUMMYFUNCTION("""COMPUTED_VALUE"""),"-")</f>
        <v>-</v>
      </c>
      <c r="AB1557" s="6" t="str">
        <f>IFERROR(__xludf.DUMMYFUNCTION("""COMPUTED_VALUE"""),"-")</f>
        <v>-</v>
      </c>
      <c r="AC1557" s="6" t="str">
        <f>IFERROR(__xludf.DUMMYFUNCTION("""COMPUTED_VALUE"""),"-")</f>
        <v>-</v>
      </c>
      <c r="AD155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57" s="6" t="str">
        <f>IFERROR(__xludf.DUMMYFUNCTION("""COMPUTED_VALUE"""),"Женский")</f>
        <v>Женский</v>
      </c>
      <c r="AF1557" s="6" t="str">
        <f>IFERROR(__xludf.DUMMYFUNCTION("""COMPUTED_VALUE"""),"30-44")</f>
        <v>30-44</v>
      </c>
      <c r="AG1557" s="6"/>
      <c r="AH1557" s="6"/>
      <c r="AI1557" s="6"/>
      <c r="AJ1557" s="6"/>
      <c r="AK1557" s="6"/>
      <c r="AL1557" s="6"/>
      <c r="AM1557" s="6"/>
    </row>
    <row r="1558">
      <c r="A1558" s="6">
        <v>1557.0</v>
      </c>
      <c r="B1558" s="6" t="str">
        <f>IFERROR(__xludf.DUMMYFUNCTION("""COMPUTED_VALUE"""),"Руководитель среднего звена")</f>
        <v>Руководитель среднего звена</v>
      </c>
      <c r="C1558" s="6" t="str">
        <f>IFERROR(__xludf.DUMMYFUNCTION("""COMPUTED_VALUE"""),"Вышивка бисером")</f>
        <v>Вышивка бисером</v>
      </c>
      <c r="D1558" s="6" t="str">
        <f>IFERROR(__xludf.DUMMYFUNCTION("""COMPUTED_VALUE"""),"Южный")</f>
        <v>Южный</v>
      </c>
      <c r="E1558" s="6" t="str">
        <f>IFERROR(__xludf.DUMMYFUNCTION("""COMPUTED_VALUE"""),"Аллея на Патриотов")</f>
        <v>Аллея на Патриотов</v>
      </c>
      <c r="F1558" s="6" t="str">
        <f>IFERROR(__xludf.DUMMYFUNCTION("""COMPUTED_VALUE"""),"Живу здесь с рождения")</f>
        <v>Живу здесь с рождения</v>
      </c>
      <c r="G1558" s="6" t="str">
        <f>IFERROR(__xludf.DUMMYFUNCTION("""COMPUTED_VALUE"""),"Сосновый бор")</f>
        <v>Сосновый бор</v>
      </c>
      <c r="H1558" s="6" t="str">
        <f>IFERROR(__xludf.DUMMYFUNCTION("""COMPUTED_VALUE"""),"Уголь, экология, завод, пыль, сажа")</f>
        <v>Уголь, экология, завод, пыль, сажа</v>
      </c>
      <c r="I1558" s="6" t="str">
        <f>IFERROR(__xludf.DUMMYFUNCTION("""COMPUTED_VALUE"""),"Волков")</f>
        <v>Волков</v>
      </c>
      <c r="J1558" s="6" t="str">
        <f>IFERROR(__xludf.DUMMYFUNCTION("""COMPUTED_VALUE"""),"-")</f>
        <v>-</v>
      </c>
      <c r="K1558" s="6" t="str">
        <f>IFERROR(__xludf.DUMMYFUNCTION("""COMPUTED_VALUE"""),"Красная горка, вечный огонь")</f>
        <v>Красная горка, вечный огонь</v>
      </c>
      <c r="L1558" s="6" t="str">
        <f>IFERROR(__xludf.DUMMYFUNCTION("""COMPUTED_VALUE"""),"-")</f>
        <v>-</v>
      </c>
      <c r="M1558" s="6" t="str">
        <f>IFERROR(__xludf.DUMMYFUNCTION("""COMPUTED_VALUE"""),"-")</f>
        <v>-</v>
      </c>
      <c r="N1558" s="6" t="str">
        <f>IFERROR(__xludf.DUMMYFUNCTION("""COMPUTED_VALUE"""),"Хорошая экология, красивые фасады домов, чистые парки")</f>
        <v>Хорошая экология, красивые фасады домов, чистые парки</v>
      </c>
      <c r="O1558" s="6" t="str">
        <f>IFERROR(__xludf.DUMMYFUNCTION("""COMPUTED_VALUE"""),"Экологию")</f>
        <v>Экологию</v>
      </c>
      <c r="P1558" s="6" t="str">
        <f>IFERROR(__xludf.DUMMYFUNCTION("""COMPUTED_VALUE"""),"Инстаграмм")</f>
        <v>Инстаграмм</v>
      </c>
      <c r="Q1558"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558" s="6" t="str">
        <f>IFERROR(__xludf.DUMMYFUNCTION("""COMPUTED_VALUE"""),"Масленица, день защиты детей")</f>
        <v>Масленица, день защиты детей</v>
      </c>
      <c r="S1558" s="6" t="str">
        <f>IFERROR(__xludf.DUMMYFUNCTION("""COMPUTED_VALUE"""),"Нет, не приходилось")</f>
        <v>Нет, не приходилось</v>
      </c>
      <c r="T1558" s="6" t="str">
        <f>IFERROR(__xludf.DUMMYFUNCTION("""COMPUTED_VALUE"""),"Углем")</f>
        <v>Углем</v>
      </c>
      <c r="U1558" s="6" t="str">
        <f>IFERROR(__xludf.DUMMYFUNCTION("""COMPUTED_VALUE"""),"Фонтан")</f>
        <v>Фонтан</v>
      </c>
      <c r="V1558" s="6" t="str">
        <f>IFERROR(__xludf.DUMMYFUNCTION("""COMPUTED_VALUE"""),"-")</f>
        <v>-</v>
      </c>
      <c r="W1558" s="6" t="str">
        <f>IFERROR(__xludf.DUMMYFUNCTION("""COMPUTED_VALUE"""),"Залечит повыше, клюнуть ближнего")</f>
        <v>Залечит повыше, клюнуть ближнего</v>
      </c>
      <c r="X1558" s="6" t="str">
        <f>IFERROR(__xludf.DUMMYFUNCTION("""COMPUTED_VALUE"""),"Фонтан, набережная, красная горка, ботанический сад")</f>
        <v>Фонтан, набережная, красная горка, ботанический сад</v>
      </c>
      <c r="Y1558" s="6" t="str">
        <f>IFERROR(__xludf.DUMMYFUNCTION("""COMPUTED_VALUE"""),"Зимняя вишня")</f>
        <v>Зимняя вишня</v>
      </c>
      <c r="Z1558" s="6" t="str">
        <f>IFERROR(__xludf.DUMMYFUNCTION("""COMPUTED_VALUE"""),"-")</f>
        <v>-</v>
      </c>
      <c r="AA1558" s="6" t="str">
        <f>IFERROR(__xludf.DUMMYFUNCTION("""COMPUTED_VALUE"""),"-")</f>
        <v>-</v>
      </c>
      <c r="AB1558" s="6" t="str">
        <f>IFERROR(__xludf.DUMMYFUNCTION("""COMPUTED_VALUE"""),"-")</f>
        <v>-</v>
      </c>
      <c r="AC1558" s="6" t="str">
        <f>IFERROR(__xludf.DUMMYFUNCTION("""COMPUTED_VALUE"""),"-")</f>
        <v>-</v>
      </c>
      <c r="AD155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58" s="6" t="str">
        <f>IFERROR(__xludf.DUMMYFUNCTION("""COMPUTED_VALUE"""),"Женский")</f>
        <v>Женский</v>
      </c>
      <c r="AF1558" s="6" t="str">
        <f>IFERROR(__xludf.DUMMYFUNCTION("""COMPUTED_VALUE"""),"30-44")</f>
        <v>30-44</v>
      </c>
      <c r="AG1558" s="6"/>
      <c r="AH1558" s="6"/>
      <c r="AI1558" s="6"/>
      <c r="AJ1558" s="6"/>
      <c r="AK1558" s="6"/>
      <c r="AL1558" s="6"/>
      <c r="AM1558" s="6"/>
    </row>
    <row r="1559">
      <c r="A1559" s="6">
        <v>1558.0</v>
      </c>
      <c r="B1559" s="6" t="str">
        <f>IFERROR(__xludf.DUMMYFUNCTION("""COMPUTED_VALUE"""),"Офисный сотрудник")</f>
        <v>Офисный сотрудник</v>
      </c>
      <c r="C1559" s="6" t="str">
        <f>IFERROR(__xludf.DUMMYFUNCTION("""COMPUTED_VALUE"""),"Спорт")</f>
        <v>Спорт</v>
      </c>
      <c r="D1559" s="6" t="str">
        <f>IFERROR(__xludf.DUMMYFUNCTION("""COMPUTED_VALUE"""),"Рудничный")</f>
        <v>Рудничный</v>
      </c>
      <c r="E1559" s="6" t="str">
        <f>IFERROR(__xludf.DUMMYFUNCTION("""COMPUTED_VALUE"""),"Сквер у ТЦ Радуга ")</f>
        <v>Сквер у ТЦ Радуга </v>
      </c>
      <c r="F1559" s="6" t="str">
        <f>IFERROR(__xludf.DUMMYFUNCTION("""COMPUTED_VALUE"""),"Переехал сюда из другого места (откуда? укажите в графе другое), Из Кедровки")</f>
        <v>Переехал сюда из другого места (откуда? укажите в графе другое), Из Кедровки</v>
      </c>
      <c r="G1559" s="6" t="str">
        <f>IFERROR(__xludf.DUMMYFUNCTION("""COMPUTED_VALUE"""),"Сосновый бор")</f>
        <v>Сосновый бор</v>
      </c>
      <c r="H1559" s="6" t="str">
        <f>IFERROR(__xludf.DUMMYFUNCTION("""COMPUTED_VALUE"""),"Пробки, грязь, дым, набережная, река, ")</f>
        <v>Пробки, грязь, дым, набережная, река, </v>
      </c>
      <c r="I1559" s="6" t="str">
        <f>IFERROR(__xludf.DUMMYFUNCTION("""COMPUTED_VALUE"""),"Михайло Волков")</f>
        <v>Михайло Волков</v>
      </c>
      <c r="J1559" s="6" t="str">
        <f>IFERROR(__xludf.DUMMYFUNCTION("""COMPUTED_VALUE"""),"Тулеев")</f>
        <v>Тулеев</v>
      </c>
      <c r="K1559" s="6" t="str">
        <f>IFERROR(__xludf.DUMMYFUNCTION("""COMPUTED_VALUE"""),"Нет достопримечательностей")</f>
        <v>Нет достопримечательностей</v>
      </c>
      <c r="L1559" s="6" t="str">
        <f>IFERROR(__xludf.DUMMYFUNCTION("""COMPUTED_VALUE"""),"-")</f>
        <v>-</v>
      </c>
      <c r="M1559" s="6" t="str">
        <f>IFERROR(__xludf.DUMMYFUNCTION("""COMPUTED_VALUE"""),"-")</f>
        <v>-</v>
      </c>
      <c r="N1559" s="6" t="str">
        <f>IFERROR(__xludf.DUMMYFUNCTION("""COMPUTED_VALUE"""),"Минимальные пробки, озеленение ")</f>
        <v>Минимальные пробки, озеленение </v>
      </c>
      <c r="O1559" s="6" t="str">
        <f>IFERROR(__xludf.DUMMYFUNCTION("""COMPUTED_VALUE"""),"Построить объездную дорогу, убрать фуры")</f>
        <v>Построить объездную дорогу, убрать фуры</v>
      </c>
      <c r="P1559" s="6" t="str">
        <f>IFERROR(__xludf.DUMMYFUNCTION("""COMPUTED_VALUE"""),"Телеграм")</f>
        <v>Телеграм</v>
      </c>
      <c r="Q1559" s="6" t="str">
        <f>IFERROR(__xludf.DUMMYFUNCTION("""COMPUTED_VALUE"""),"куда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v>
      </c>
      <c r="R1559" s="6" t="str">
        <f>IFERROR(__xludf.DUMMYFUNCTION("""COMPUTED_VALUE"""),"День шахтёра ")</f>
        <v>День шахтёра </v>
      </c>
      <c r="S1559" s="6" t="str">
        <f>IFERROR(__xludf.DUMMYFUNCTION("""COMPUTED_VALUE"""),"Нет, не приходилось")</f>
        <v>Нет, не приходилось</v>
      </c>
      <c r="T1559" s="6" t="str">
        <f>IFERROR(__xludf.DUMMYFUNCTION("""COMPUTED_VALUE"""),"Ничем ")</f>
        <v>Ничем </v>
      </c>
      <c r="U1559" s="6" t="str">
        <f>IFERROR(__xludf.DUMMYFUNCTION("""COMPUTED_VALUE"""),"Набережная ")</f>
        <v>Набережная </v>
      </c>
      <c r="V1559" s="6" t="str">
        <f>IFERROR(__xludf.DUMMYFUNCTION("""COMPUTED_VALUE"""),"-")</f>
        <v>-</v>
      </c>
      <c r="W1559" s="6" t="str">
        <f>IFERROR(__xludf.DUMMYFUNCTION("""COMPUTED_VALUE"""),"-")</f>
        <v>-</v>
      </c>
      <c r="X1559" s="6" t="str">
        <f>IFERROR(__xludf.DUMMYFUNCTION("""COMPUTED_VALUE"""),"Сосновый бор до ""креста"" с видом на город")</f>
        <v>Сосновый бор до "креста" с видом на город</v>
      </c>
      <c r="Y1559" s="6" t="str">
        <f>IFERROR(__xludf.DUMMYFUNCTION("""COMPUTED_VALUE"""),"-")</f>
        <v>-</v>
      </c>
      <c r="Z1559" s="6" t="str">
        <f>IFERROR(__xludf.DUMMYFUNCTION("""COMPUTED_VALUE"""),"-")</f>
        <v>-</v>
      </c>
      <c r="AA1559" s="6" t="str">
        <f>IFERROR(__xludf.DUMMYFUNCTION("""COMPUTED_VALUE"""),"-")</f>
        <v>-</v>
      </c>
      <c r="AB1559" s="6" t="str">
        <f>IFERROR(__xludf.DUMMYFUNCTION("""COMPUTED_VALUE"""),"-")</f>
        <v>-</v>
      </c>
      <c r="AC1559" s="6" t="str">
        <f>IFERROR(__xludf.DUMMYFUNCTION("""COMPUTED_VALUE"""),"-")</f>
        <v>-</v>
      </c>
      <c r="AD155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59" s="6" t="str">
        <f>IFERROR(__xludf.DUMMYFUNCTION("""COMPUTED_VALUE"""),"Женский")</f>
        <v>Женский</v>
      </c>
      <c r="AF1559" s="6" t="str">
        <f>IFERROR(__xludf.DUMMYFUNCTION("""COMPUTED_VALUE"""),"30-44")</f>
        <v>30-44</v>
      </c>
      <c r="AG1559" s="6"/>
      <c r="AH1559" s="6"/>
      <c r="AI1559" s="6"/>
      <c r="AJ1559" s="6"/>
      <c r="AK1559" s="6"/>
      <c r="AL1559" s="6"/>
      <c r="AM1559" s="6"/>
    </row>
    <row r="1560">
      <c r="A1560" s="6">
        <v>1559.0</v>
      </c>
      <c r="B1560" s="6" t="str">
        <f>IFERROR(__xludf.DUMMYFUNCTION("""COMPUTED_VALUE"""),"работаю")</f>
        <v>работаю</v>
      </c>
      <c r="C1560" s="6" t="str">
        <f>IFERROR(__xludf.DUMMYFUNCTION("""COMPUTED_VALUE"""),"разные виды рукоделия")</f>
        <v>разные виды рукоделия</v>
      </c>
      <c r="D1560" s="6" t="str">
        <f>IFERROR(__xludf.DUMMYFUNCTION("""COMPUTED_VALUE"""),"Центральный")</f>
        <v>Центральный</v>
      </c>
      <c r="E1560" s="6" t="str">
        <f>IFERROR(__xludf.DUMMYFUNCTION("""COMPUTED_VALUE"""),"Набережная, ул.Весенняя")</f>
        <v>Набережная, ул.Весенняя</v>
      </c>
      <c r="F1560" s="6" t="str">
        <f>IFERROR(__xludf.DUMMYFUNCTION("""COMPUTED_VALUE"""),"Переехал сюда из другого места (откуда? укажите в графе другое), 23 года живу в Кемерово, приехала учится и осталась,из города Кемеровской области")</f>
        <v>Переехал сюда из другого места (откуда? укажите в графе другое), 23 года живу в Кемерово, приехала учится и осталась,из города Кемеровской области</v>
      </c>
      <c r="G1560" s="6" t="str">
        <f>IFERROR(__xludf.DUMMYFUNCTION("""COMPUTED_VALUE"""),"прогулки в разных районах города")</f>
        <v>прогулки в разных районах города</v>
      </c>
      <c r="H1560" s="6" t="str">
        <f>IFERROR(__xludf.DUMMYFUNCTION("""COMPUTED_VALUE"""),"затрудняюсь с ответом")</f>
        <v>затрудняюсь с ответом</v>
      </c>
      <c r="I1560" s="6" t="str">
        <f>IFERROR(__xludf.DUMMYFUNCTION("""COMPUTED_VALUE"""),"Алексей Леонов")</f>
        <v>Алексей Леонов</v>
      </c>
      <c r="J1560" s="6" t="str">
        <f>IFERROR(__xludf.DUMMYFUNCTION("""COMPUTED_VALUE"""),"среди представителей власти и администрации таких нет. среди представителей бизнеса тоже нет.")</f>
        <v>среди представителей власти и администрации таких нет. среди представителей бизнеса тоже нет.</v>
      </c>
      <c r="K1560" s="6" t="str">
        <f>IFERROR(__xludf.DUMMYFUNCTION("""COMPUTED_VALUE"""),"Набережная, Весенняя, Красная горка")</f>
        <v>Набережная, Весенняя, Красная горка</v>
      </c>
      <c r="L1560" s="6" t="str">
        <f>IFERROR(__xludf.DUMMYFUNCTION("""COMPUTED_VALUE"""),"не слышала такого")</f>
        <v>не слышала такого</v>
      </c>
      <c r="M1560" s="6" t="str">
        <f>IFERROR(__xludf.DUMMYFUNCTION("""COMPUTED_VALUE"""),"нет")</f>
        <v>нет</v>
      </c>
      <c r="N1560" s="6" t="str">
        <f>IFERROR(__xludf.DUMMYFUNCTION("""COMPUTED_VALUE"""),"Развитая транспортная инфраструктура и комфортность общественного транспорта. Чистота. Хорошие торговые центры (в Кемерово таких на сегодняшний день нет. ездим в Новосибирск). Места для прогулок (парки, детские площадки). Удобство перемещения по городским"&amp;" улицам родителей с колясками и инвалидов.")</f>
        <v>Развитая транспортная инфраструктура и комфортность общественного транспорта. Чистота. Хорошие торговые центры (в Кемерово таких на сегодняшний день нет. ездим в Новосибирск). Места для прогулок (парки, детские площадки). Удобство перемещения по городским улицам родителей с колясками и инвалидов.</v>
      </c>
      <c r="O1560" s="6" t="str">
        <f>IFERROR(__xludf.DUMMYFUNCTION("""COMPUTED_VALUE"""),"обветшалый общественный транспорт")</f>
        <v>обветшалый общественный транспорт</v>
      </c>
      <c r="P1560" s="6" t="str">
        <f>IFERROR(__xludf.DUMMYFUNCTION("""COMPUTED_VALUE"""),"нет")</f>
        <v>нет</v>
      </c>
      <c r="Q1560"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560" s="6" t="str">
        <f>IFERROR(__xludf.DUMMYFUNCTION("""COMPUTED_VALUE"""),"как то проволили ""Честфест"" это было очень классно")</f>
        <v>как то проволили "Честфест" это было очень классно</v>
      </c>
      <c r="S1560" s="6" t="str">
        <f>IFERROR(__xludf.DUMMYFUNCTION("""COMPUTED_VALUE"""),"Нет, не приходилось")</f>
        <v>Нет, не приходилось</v>
      </c>
      <c r="T1560" s="6" t="str">
        <f>IFERROR(__xludf.DUMMYFUNCTION("""COMPUTED_VALUE"""),"Уникален Алексеем Леоновым -гордость города")</f>
        <v>Уникален Алексеем Леоновым -гордость города</v>
      </c>
      <c r="U1560" s="6" t="str">
        <f>IFERROR(__xludf.DUMMYFUNCTION("""COMPUTED_VALUE"""),"площадь Советов ")</f>
        <v>площадь Советов </v>
      </c>
      <c r="V1560" s="6" t="str">
        <f>IFERROR(__xludf.DUMMYFUNCTION("""COMPUTED_VALUE"""),"жили")</f>
        <v>жили</v>
      </c>
      <c r="W1560" s="6" t="str">
        <f>IFERROR(__xludf.DUMMYFUNCTION("""COMPUTED_VALUE"""),"разные")</f>
        <v>разные</v>
      </c>
      <c r="X1560" s="6" t="str">
        <f>IFERROR(__xludf.DUMMYFUNCTION("""COMPUTED_VALUE"""),"Весенняя, набережная в центре, Красная горка")</f>
        <v>Весенняя, набережная в центре, Красная горка</v>
      </c>
      <c r="Y1560" s="6" t="str">
        <f>IFERROR(__xludf.DUMMYFUNCTION("""COMPUTED_VALUE"""),"затрудняюсь с ответом")</f>
        <v>затрудняюсь с ответом</v>
      </c>
      <c r="Z1560" s="6" t="str">
        <f>IFERROR(__xludf.DUMMYFUNCTION("""COMPUTED_VALUE"""),"нет таких")</f>
        <v>нет таких</v>
      </c>
      <c r="AA1560" s="6" t="str">
        <f>IFERROR(__xludf.DUMMYFUNCTION("""COMPUTED_VALUE"""),"пожар в Зимней вишне и другие пожары которые были после")</f>
        <v>пожар в Зимней вишне и другие пожары которые были после</v>
      </c>
      <c r="AB1560" s="6" t="str">
        <f>IFERROR(__xludf.DUMMYFUNCTION("""COMPUTED_VALUE"""),"хватает")</f>
        <v>хватает</v>
      </c>
      <c r="AC1560" s="6" t="str">
        <f>IFERROR(__xludf.DUMMYFUNCTION("""COMPUTED_VALUE"""),"для людейа не для ""галочки""")</f>
        <v>для людейа не для "галочки"</v>
      </c>
      <c r="AD156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60" s="6" t="str">
        <f>IFERROR(__xludf.DUMMYFUNCTION("""COMPUTED_VALUE"""),"Женский")</f>
        <v>Женский</v>
      </c>
      <c r="AF1560" s="6" t="str">
        <f>IFERROR(__xludf.DUMMYFUNCTION("""COMPUTED_VALUE"""),"30-44")</f>
        <v>30-44</v>
      </c>
      <c r="AG1560" s="6"/>
      <c r="AH1560" s="6"/>
      <c r="AI1560" s="6"/>
      <c r="AJ1560" s="6"/>
      <c r="AK1560" s="6"/>
      <c r="AL1560" s="6"/>
      <c r="AM1560" s="6"/>
    </row>
    <row r="1561">
      <c r="A1561" s="6">
        <v>1560.0</v>
      </c>
      <c r="B1561" s="6" t="str">
        <f>IFERROR(__xludf.DUMMYFUNCTION("""COMPUTED_VALUE"""),"Начальник сметно-договорного отдела ")</f>
        <v>Начальник сметно-договорного отдела </v>
      </c>
      <c r="C1561" s="6" t="str">
        <f>IFERROR(__xludf.DUMMYFUNCTION("""COMPUTED_VALUE"""),"Нет")</f>
        <v>Нет</v>
      </c>
      <c r="D1561" s="6" t="str">
        <f>IFERROR(__xludf.DUMMYFUNCTION("""COMPUTED_VALUE"""),"Центральный. Центр.")</f>
        <v>Центральный. Центр.</v>
      </c>
      <c r="E1561" s="6" t="str">
        <f>IFERROR(__xludf.DUMMYFUNCTION("""COMPUTED_VALUE"""),"Ул весенняя , набережная")</f>
        <v>Ул весенняя , набережная</v>
      </c>
      <c r="F1561" s="6" t="str">
        <f>IFERROR(__xludf.DUMMYFUNCTION("""COMPUTED_VALUE"""),"Живу здесь с рождения")</f>
        <v>Живу здесь с рождения</v>
      </c>
      <c r="G1561" s="6" t="str">
        <f>IFERROR(__xludf.DUMMYFUNCTION("""COMPUTED_VALUE"""),"Прогулки по центру города ")</f>
        <v>Прогулки по центру города </v>
      </c>
      <c r="H1561" s="6" t="str">
        <f>IFERROR(__xludf.DUMMYFUNCTION("""COMPUTED_VALUE"""),"Тулеев, часовня, филармония, драма, утренний смог")</f>
        <v>Тулеев, часовня, филармония, драма, утренний смог</v>
      </c>
      <c r="I1561" s="6" t="str">
        <f>IFERROR(__xludf.DUMMYFUNCTION("""COMPUTED_VALUE"""),"Й. Б. Ван Лохем")</f>
        <v>Й. Б. Ван Лохем</v>
      </c>
      <c r="J1561" s="6" t="str">
        <f>IFERROR(__xludf.DUMMYFUNCTION("""COMPUTED_VALUE"""),"Тулеев")</f>
        <v>Тулеев</v>
      </c>
      <c r="K1561" s="6" t="str">
        <f>IFERROR(__xludf.DUMMYFUNCTION("""COMPUTED_VALUE"""),"Здание школы кемеровского рудника, дамба причал у музея красная горка")</f>
        <v>Здание школы кемеровского рудника, дамба причал у музея красная горка</v>
      </c>
      <c r="L1561" s="6" t="str">
        <f>IFERROR(__xludf.DUMMYFUNCTION("""COMPUTED_VALUE"""),"Южный некому не нужный")</f>
        <v>Южный некому не нужный</v>
      </c>
      <c r="M1561" s="6" t="str">
        <f>IFERROR(__xludf.DUMMYFUNCTION("""COMPUTED_VALUE"""),"Нет")</f>
        <v>Нет</v>
      </c>
      <c r="N1561" s="6" t="str">
        <f>IFERROR(__xludf.DUMMYFUNCTION("""COMPUTED_VALUE"""),"Чистые дворы и отреставрированные фасады, адекватное движение и расписание общественного транспорта, усиленный контроль дорожного движения и правил парковки, наличие парковых зон, уличное искусство и фестивали")</f>
        <v>Чистые дворы и отреставрированные фасады, адекватное движение и расписание общественного транспорта, усиленный контроль дорожного движения и правил парковки, наличие парковых зон, уличное искусство и фестивали</v>
      </c>
      <c r="O1561" s="6" t="str">
        <f>IFERROR(__xludf.DUMMYFUNCTION("""COMPUTED_VALUE"""),"Отмыть, покрасить, нанести разметку, контроль за парковкой в неположенных местах ")</f>
        <v>Отмыть, покрасить, нанести разметку, контроль за парковкой в неположенных местах </v>
      </c>
      <c r="P1561" s="6" t="str">
        <f>IFERROR(__xludf.DUMMYFUNCTION("""COMPUTED_VALUE"""),"Твитер, Инстаграм ")</f>
        <v>Твитер, Инстаграм </v>
      </c>
      <c r="Q1561" s="6" t="str">
        <f>IFERROR(__xludf.DUMMYFUNCTION("""COMPUTED_VALUE"""),"куда пойти в свободное время")</f>
        <v>куда пойти в свободное время</v>
      </c>
      <c r="R1561" s="6" t="str">
        <f>IFERROR(__xludf.DUMMYFUNCTION("""COMPUTED_VALUE"""),"День шахтера ")</f>
        <v>День шахтера </v>
      </c>
      <c r="S1561" s="6" t="str">
        <f>IFERROR(__xludf.DUMMYFUNCTION("""COMPUTED_VALUE"""),"Обращался в редакции городских газет, телевидения, радио")</f>
        <v>Обращался в редакции городских газет, телевидения, радио</v>
      </c>
      <c r="T1561" s="6" t="str">
        <f>IFERROR(__xludf.DUMMYFUNCTION("""COMPUTED_VALUE"""),"Бесплатные туалеты ")</f>
        <v>Бесплатные туалеты </v>
      </c>
      <c r="U1561" s="6" t="str">
        <f>IFERROR(__xludf.DUMMYFUNCTION("""COMPUTED_VALUE"""),"Ул весенняя и набережная ")</f>
        <v>Ул весенняя и набережная </v>
      </c>
      <c r="V1561" s="6" t="str">
        <f>IFERROR(__xludf.DUMMYFUNCTION("""COMPUTED_VALUE"""),"Построили спорт комплекс октябрьский, что бы позже сделать из него ТРЦ лапландия")</f>
        <v>Построили спорт комплекс октябрьский, что бы позже сделать из него ТРЦ лапландия</v>
      </c>
      <c r="W1561" s="6" t="str">
        <f>IFERROR(__xludf.DUMMYFUNCTION("""COMPUTED_VALUE"""),"Скучные ")</f>
        <v>Скучные </v>
      </c>
      <c r="X1561" s="6" t="str">
        <f>IFERROR(__xludf.DUMMYFUNCTION("""COMPUTED_VALUE"""),"Промышленные районы ")</f>
        <v>Промышленные районы </v>
      </c>
      <c r="Y1561" s="6" t="str">
        <f>IFERROR(__xludf.DUMMYFUNCTION("""COMPUTED_VALUE"""),"Придумали праздник 300 летия ")</f>
        <v>Придумали праздник 300 летия </v>
      </c>
      <c r="Z1561" s="6" t="str">
        <f>IFERROR(__xludf.DUMMYFUNCTION("""COMPUTED_VALUE"""),"Не снесли бассейн в центре города ")</f>
        <v>Не снесли бассейн в центре города </v>
      </c>
      <c r="AA1561" s="6" t="str">
        <f>IFERROR(__xludf.DUMMYFUNCTION("""COMPUTED_VALUE"""),"Зимняя вишня, экологическая обстановка")</f>
        <v>Зимняя вишня, экологическая обстановка</v>
      </c>
      <c r="AB1561" s="6" t="str">
        <f>IFERROR(__xludf.DUMMYFUNCTION("""COMPUTED_VALUE"""),"Всего хватает ")</f>
        <v>Всего хватает </v>
      </c>
      <c r="AC1561" s="6" t="str">
        <f>IFERROR(__xludf.DUMMYFUNCTION("""COMPUTED_VALUE"""),"Уличные концерты, массовые спортивные мероприятия")</f>
        <v>Уличные концерты, массовые спортивные мероприятия</v>
      </c>
      <c r="AD156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61" s="6" t="str">
        <f>IFERROR(__xludf.DUMMYFUNCTION("""COMPUTED_VALUE"""),"Мужской")</f>
        <v>Мужской</v>
      </c>
      <c r="AF1561" s="6" t="str">
        <f>IFERROR(__xludf.DUMMYFUNCTION("""COMPUTED_VALUE"""),"30-44")</f>
        <v>30-44</v>
      </c>
      <c r="AG1561" s="6"/>
      <c r="AH1561" s="6"/>
      <c r="AI1561" s="6"/>
      <c r="AJ1561" s="6"/>
      <c r="AK1561" s="6"/>
      <c r="AL1561" s="6"/>
      <c r="AM1561" s="6"/>
    </row>
    <row r="1562">
      <c r="A1562" s="6">
        <v>1561.0</v>
      </c>
      <c r="B1562" s="6" t="str">
        <f>IFERROR(__xludf.DUMMYFUNCTION("""COMPUTED_VALUE"""),"Преподаватель английского взрослым студентам")</f>
        <v>Преподаватель английского взрослым студентам</v>
      </c>
      <c r="C1562" s="6" t="str">
        <f>IFERROR(__xludf.DUMMYFUNCTION("""COMPUTED_VALUE"""),"Путешествия, активный отдых на  природе, изучение иностранных языков")</f>
        <v>Путешествия, активный отдых на  природе, изучение иностранных языков</v>
      </c>
      <c r="D1562" s="6" t="str">
        <f>IFERROR(__xludf.DUMMYFUNCTION("""COMPUTED_VALUE"""),"Рудничный-Радуга ")</f>
        <v>Рудничный-Радуга </v>
      </c>
      <c r="E1562" s="6" t="str">
        <f>IFERROR(__xludf.DUMMYFUNCTION("""COMPUTED_VALUE"""),"Бор, кардиоцентр,ДК Шахтеров, аллея Шахтеров, Красная горка")</f>
        <v>Бор, кардиоцентр,ДК Шахтеров, аллея Шахтеров, Красная горка</v>
      </c>
      <c r="F1562" s="6" t="str">
        <f>IFERROR(__xludf.DUMMYFUNCTION("""COMPUTED_VALUE"""),"Живу здесь с рождения")</f>
        <v>Живу здесь с рождения</v>
      </c>
      <c r="G1562" s="6" t="str">
        <f>IFERROR(__xludf.DUMMYFUNCTION("""COMPUTED_VALUE"""),"Бор, набережная, Парк чудес")</f>
        <v>Бор, набережная, Парк чудес</v>
      </c>
      <c r="H1562" s="6" t="str">
        <f>IFERROR(__xludf.DUMMYFUNCTION("""COMPUTED_VALUE"""),"Комфорт и уют( который был раньше, сейчас его нет, нет чистоты в городе), загазованность, уголь,тайга, зима, природа, сибирь")</f>
        <v>Комфорт и уют( который был раньше, сейчас его нет, нет чистоты в городе), загазованность, уголь,тайга, зима, природа, сибирь</v>
      </c>
      <c r="I1562" s="6" t="str">
        <f>IFERROR(__xludf.DUMMYFUNCTION("""COMPUTED_VALUE"""),"Леонов,Волков, Подгорбунский")</f>
        <v>Леонов,Волков, Подгорбунский</v>
      </c>
      <c r="J1562" s="6" t="str">
        <f>IFERROR(__xludf.DUMMYFUNCTION("""COMPUTED_VALUE"""),"Затрудняюсь назвать")</f>
        <v>Затрудняюсь назвать</v>
      </c>
      <c r="K1562" s="6" t="str">
        <f>IFERROR(__xludf.DUMMYFUNCTION("""COMPUTED_VALUE"""),"Бор, Красная горка, набережная и река Томь,")</f>
        <v>Бор, Красная горка, набережная и река Томь,</v>
      </c>
      <c r="L1562" s="6" t="str">
        <f>IFERROR(__xludf.DUMMYFUNCTION("""COMPUTED_VALUE"""),"Затрудняюсь ответить")</f>
        <v>Затрудняюсь ответить</v>
      </c>
      <c r="M1562" s="6" t="str">
        <f>IFERROR(__xludf.DUMMYFUNCTION("""COMPUTED_VALUE"""),"Нет")</f>
        <v>Нет</v>
      </c>
      <c r="N1562" s="6" t="str">
        <f>IFERROR(__xludf.DUMMYFUNCTION("""COMPUTED_VALUE"""),"Чистота улиц, озеленение, чистый воздух, безопасность, соблюдение жителями правил и уважение друг к другу")</f>
        <v>Чистота улиц, озеленение, чистый воздух, безопасность, соблюдение жителями правил и уважение друг к другу</v>
      </c>
      <c r="O1562" s="6" t="str">
        <f>IFERROR(__xludf.DUMMYFUNCTION("""COMPUTED_VALUE"""),"Поддерживать чистоту на улицах города, как было раньше. Люди мусорят жутко, но раньше при постоянно чистых улицах повышалась культура людей. Гораздо меньше мусорили. Каждый район должен иметь технику и убирать улицы по четкому графику  а не стихийно раз в"&amp;" 1-2 месяца как сейчас. Убирать снег своевременно и увозить, не допускать грязь. МАКСИМАЛЬНО ОЗЕЛЕНЯТЬ ГОРОД. Прекратить вырубку деревьев. Сейчас не позволяет ковидная ситуация, но можно проводить больше разных массовых мероприятий, фестивалей, сплочающих"&amp;" людей. Повышать общий уровень культуры и воспитания жителей! Обязать чиновников выполнять свои обязанности и работать на благо людей, на постоянное улучшение жизни людей.")</f>
        <v>Поддерживать чистоту на улицах города, как было раньше. Люди мусорят жутко, но раньше при постоянно чистых улицах повышалась культура людей. Гораздо меньше мусорили. Каждый район должен иметь технику и убирать улицы по четкому графику  а не стихийно раз в 1-2 месяца как сейчас. Убирать снег своевременно и увозить, не допускать грязь. МАКСИМАЛЬНО ОЗЕЛЕНЯТЬ ГОРОД. Прекратить вырубку деревьев. Сейчас не позволяет ковидная ситуация, но можно проводить больше разных массовых мероприятий, фестивалей, сплочающих людей. Повышать общий уровень культуры и воспитания жителей! Обязать чиновников выполнять свои обязанности и работать на благо людей, на постоянное улучшение жизни людей.</v>
      </c>
      <c r="P1562" s="6" t="str">
        <f>IFERROR(__xludf.DUMMYFUNCTION("""COMPUTED_VALUE"""),"-")</f>
        <v>-</v>
      </c>
      <c r="Q1562" s="6" t="str">
        <f>IFERROR(__xludf.DUMMYFUNCTION("""COMPUTED_VALUE"""),"культурные новинки (что почитать/что послушать), интервью с местными предпринимателями, интервью с экспертами на разные темы (напишите в разделе Другое свои предложения)")</f>
        <v>культурные новинки (что почитать/что послушать), интервью с местными предпринимателями, интервью с экспертами на разные темы (напишите в разделе Другое свои предложения)</v>
      </c>
      <c r="R1562" s="6" t="str">
        <f>IFERROR(__xludf.DUMMYFUNCTION("""COMPUTED_VALUE"""),"День города, масленница,Новый год")</f>
        <v>День города, масленница,Новый год</v>
      </c>
      <c r="S1562" s="6" t="str">
        <f>IFERROR(__xludf.DUMMYFUNCTION("""COMPUTED_VALUE"""),"Нет, не приходилось")</f>
        <v>Нет, не приходилось</v>
      </c>
      <c r="T1562" s="6" t="str">
        <f>IFERROR(__xludf.DUMMYFUNCTION("""COMPUTED_VALUE"""),"Природа красивая, угольный край")</f>
        <v>Природа красивая, угольный край</v>
      </c>
      <c r="U1562" s="6" t="str">
        <f>IFERROR(__xludf.DUMMYFUNCTION("""COMPUTED_VALUE"""),"Исторический центр-пр. Советский  ул. Ноградская , Весенняя, Кирова, Островского")</f>
        <v>Исторический центр-пр. Советский  ул. Ноградская , Весенняя, Кирова, Островского</v>
      </c>
      <c r="V1562" s="6" t="str">
        <f>IFERROR(__xludf.DUMMYFUNCTION("""COMPUTED_VALUE"""),"Много работали")</f>
        <v>Много работали</v>
      </c>
      <c r="W1562" s="6" t="str">
        <f>IFERROR(__xludf.DUMMYFUNCTION("""COMPUTED_VALUE"""),"Сейчас очень много приезжих из совсем малых городов. Кемеровчане уезжают. Население деградирует и с этим нужно что-то делать. Кемеровчане( не приезжие)- открытые, отзывчивые, гостеприимные и добрые люди.")</f>
        <v>Сейчас очень много приезжих из совсем малых городов. Кемеровчане уезжают. Население деградирует и с этим нужно что-то делать. Кемеровчане( не приезжие)- открытые, отзывчивые, гостеприимные и добрые люди.</v>
      </c>
      <c r="X1562" s="6" t="str">
        <f>IFERROR(__xludf.DUMMYFUNCTION("""COMPUTED_VALUE"""),"По центру города")</f>
        <v>По центру города</v>
      </c>
      <c r="Y1562" s="6" t="str">
        <f>IFERROR(__xludf.DUMMYFUNCTION("""COMPUTED_VALUE"""),"Чемпионат по бенди")</f>
        <v>Чемпионат по бенди</v>
      </c>
      <c r="Z1562" s="6" t="str">
        <f>IFERROR(__xludf.DUMMYFUNCTION("""COMPUTED_VALUE"""),"Запрет на продажу пива в жилых домах!")</f>
        <v>Запрет на продажу пива в жилых домах!</v>
      </c>
      <c r="AA1562" s="6" t="str">
        <f>IFERROR(__xludf.DUMMYFUNCTION("""COMPUTED_VALUE"""),"Равнодушие чиновников к жизни людей, отсутствие желания решать проблемы жителей и выполнять свои прямые обязанности по улучшению жизни людей. Вырубка 20 деревьев между Домом творчества и детским садом на ул. Институтская- пр. Шахтеров ( лишить чинлвников "&amp;"прпва распоряжаться природой).  Безобразное отношение городских служб к своему труду и к жителям- провалена уборка снега, не чистятся тротуары, отсутствует благоустройство территорий. Все делается для отчетов, а не для людей. Огромные деньги тратятся на т"&amp;"о, что не является необходимостью для жителей( ёлка, театры, суд и пр), а улицы тонут в грязи, недостаточно парков и скверов для прогулок  нет и нехватает нужной снегоуборочной техники. Не уделяется внимание стационарам и больницам. Из некоторых люди выну"&amp;"ждены бежать  т.к антисанитария, нет нормальных туалетов и пр. ОТСУТСТВУЕТ ЗАБОТА О ЛЮДЯХ ПОЧТИ ВО ВСЁМ, ПОЧТИ ВО ВСЕХ СФЕРАХ. Постоянные отписки чиновников.Безобразные мероприятия с попытками что-то строить в бору в Рудничном районе. Бор-должен быть непр"&amp;"икосновенный.")</f>
        <v>Равнодушие чиновников к жизни людей, отсутствие желания решать проблемы жителей и выполнять свои прямые обязанности по улучшению жизни людей. Вырубка 20 деревьев между Домом творчества и детским садом на ул. Институтская- пр. Шахтеров ( лишить чинлвников прпва распоряжаться природой).  Безобразное отношение городских служб к своему труду и к жителям- провалена уборка снега, не чистятся тротуары, отсутствует благоустройство территорий. Все делается для отчетов, а не для людей. Огромные деньги тратятся на то, что не является необходимостью для жителей( ёлка, театры, суд и пр), а улицы тонут в грязи, недостаточно парков и скверов для прогулок  нет и нехватает нужной снегоуборочной техники. Не уделяется внимание стационарам и больницам. Из некоторых люди вынуждены бежать  т.к антисанитария, нет нормальных туалетов и пр. ОТСУТСТВУЕТ ЗАБОТА О ЛЮДЯХ ПОЧТИ ВО ВСЁМ, ПОЧТИ ВО ВСЕХ СФЕРАХ. Постоянные отписки чиновников.Безобразные мероприятия с попытками что-то строить в бору в Рудничном районе. Бор-должен быть неприкосновенный.</v>
      </c>
      <c r="AB1562" s="6" t="str">
        <f>IFERROR(__xludf.DUMMYFUNCTION("""COMPUTED_VALUE"""),"По профессии и увлечениям мои сообщества находятся в других странах")</f>
        <v>По профессии и увлечениям мои сообщества находятся в других странах</v>
      </c>
      <c r="AC1562" s="6" t="str">
        <f>IFERROR(__xludf.DUMMYFUNCTION("""COMPUTED_VALUE"""),"Сплочающие людей: фестивали, тематические праздники ( День чего-либо), спортивные игры для обычных людей и семей. Хотелось бы видеть оживление на улицах города, небольшие мероприятия для детей, пенсионеров, молодежи и пр. Необязательно что-то глобальное, "&amp;"но сплочающее, душевное. Общественные лекции, тренинги, мастер классы. Приятно прогуливаться по улицам, где играет музыка.")</f>
        <v>Сплочающие людей: фестивали, тематические праздники ( День чего-либо), спортивные игры для обычных людей и семей. Хотелось бы видеть оживление на улицах города, небольшие мероприятия для детей, пенсионеров, молодежи и пр. Необязательно что-то глобальное, но сплочающее, душевное. Общественные лекции, тренинги, мастер классы. Приятно прогуливаться по улицам, где играет музыка.</v>
      </c>
      <c r="AD156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62" s="6" t="str">
        <f>IFERROR(__xludf.DUMMYFUNCTION("""COMPUTED_VALUE"""),"Женский")</f>
        <v>Женский</v>
      </c>
      <c r="AF1562" s="6" t="str">
        <f>IFERROR(__xludf.DUMMYFUNCTION("""COMPUTED_VALUE"""),"45-55")</f>
        <v>45-55</v>
      </c>
      <c r="AG1562" s="6"/>
      <c r="AH1562" s="6"/>
      <c r="AI1562" s="6"/>
      <c r="AJ1562" s="6"/>
      <c r="AK1562" s="6"/>
      <c r="AL1562" s="6"/>
      <c r="AM1562" s="6"/>
    </row>
    <row r="1563">
      <c r="A1563" s="6">
        <v>1562.0</v>
      </c>
      <c r="B1563" s="6" t="str">
        <f>IFERROR(__xludf.DUMMYFUNCTION("""COMPUTED_VALUE"""),"Студент")</f>
        <v>Студент</v>
      </c>
      <c r="C1563" s="6" t="str">
        <f>IFERROR(__xludf.DUMMYFUNCTION("""COMPUTED_VALUE"""),"Люблю гулять по городу или кататься на велосипеде ")</f>
        <v>Люблю гулять по городу или кататься на велосипеде </v>
      </c>
      <c r="D1563" s="6" t="str">
        <f>IFERROR(__xludf.DUMMYFUNCTION("""COMPUTED_VALUE"""),"Деревня сухово, не знаю почти ")</f>
        <v>Деревня сухово, не знаю почти </v>
      </c>
      <c r="E1563" s="6" t="str">
        <f>IFERROR(__xludf.DUMMYFUNCTION("""COMPUTED_VALUE"""),"Европейские провинции")</f>
        <v>Европейские провинции</v>
      </c>
      <c r="F1563" s="6" t="str">
        <f>IFERROR(__xludf.DUMMYFUNCTION("""COMPUTED_VALUE"""),"Живу здесь с рождения")</f>
        <v>Живу здесь с рождения</v>
      </c>
      <c r="G1563" s="6" t="str">
        <f>IFERROR(__xludf.DUMMYFUNCTION("""COMPUTED_VALUE"""),"Парки")</f>
        <v>Парки</v>
      </c>
      <c r="H1563" s="6" t="str">
        <f>IFERROR(__xludf.DUMMYFUNCTION("""COMPUTED_VALUE"""),"Пустота, жопа мира, серость ")</f>
        <v>Пустота, жопа мира, серость </v>
      </c>
      <c r="I1563" s="6" t="str">
        <f>IFERROR(__xludf.DUMMYFUNCTION("""COMPUTED_VALUE"""),"Вера Волошина, Михайло Волков")</f>
        <v>Вера Волошина, Михайло Волков</v>
      </c>
      <c r="J1563" s="6" t="str">
        <f>IFERROR(__xludf.DUMMYFUNCTION("""COMPUTED_VALUE"""),"Не знаю")</f>
        <v>Не знаю</v>
      </c>
      <c r="K1563" s="6" t="str">
        <f>IFERROR(__xludf.DUMMYFUNCTION("""COMPUTED_VALUE"""),"Лесная поляна ")</f>
        <v>Лесная поляна </v>
      </c>
      <c r="L1563" s="6" t="str">
        <f>IFERROR(__xludf.DUMMYFUNCTION("""COMPUTED_VALUE"""),"Не знаю ")</f>
        <v>Не знаю </v>
      </c>
      <c r="M1563" s="6" t="str">
        <f>IFERROR(__xludf.DUMMYFUNCTION("""COMPUTED_VALUE"""),"Мультифора")</f>
        <v>Мультифора</v>
      </c>
      <c r="N1563" s="6" t="str">
        <f>IFERROR(__xludf.DUMMYFUNCTION("""COMPUTED_VALUE"""),"Чистота, много зелени, яркие дома, есть места отдыха и больше  магазинов масс маркет")</f>
        <v>Чистота, много зелени, яркие дома, есть места отдыха и больше  магазинов масс маркет</v>
      </c>
      <c r="O1563" s="6" t="str">
        <f>IFERROR(__xludf.DUMMYFUNCTION("""COMPUTED_VALUE"""),"Автобусы и маршрутки по расписанию!! ")</f>
        <v>Автобусы и маршрутки по расписанию!! </v>
      </c>
      <c r="P1563" s="6" t="str">
        <f>IFERROR(__xludf.DUMMYFUNCTION("""COMPUTED_VALUE"""),"Инстаграм, вк")</f>
        <v>Инстаграм, вк</v>
      </c>
      <c r="Q1563"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v>
      </c>
      <c r="R1563" s="6" t="str">
        <f>IFERROR(__xludf.DUMMYFUNCTION("""COMPUTED_VALUE"""),"Никакие ")</f>
        <v>Никакие </v>
      </c>
      <c r="S1563" s="6" t="str">
        <f>IFERROR(__xludf.DUMMYFUNCTION("""COMPUTED_VALUE"""),"Нет, не приходилось")</f>
        <v>Нет, не приходилось</v>
      </c>
      <c r="T1563" s="6" t="str">
        <f>IFERROR(__xludf.DUMMYFUNCTION("""COMPUTED_VALUE"""),"Ничем, на мой взгляд")</f>
        <v>Ничем, на мой взгляд</v>
      </c>
      <c r="U1563" s="6" t="str">
        <f>IFERROR(__xludf.DUMMYFUNCTION("""COMPUTED_VALUE"""),"Лесная поляна, там очень красиво, хотелось бы, чтобы так было везде ")</f>
        <v>Лесная поляна, там очень красиво, хотелось бы, чтобы так было везде </v>
      </c>
      <c r="V1563" s="6" t="str">
        <f>IFERROR(__xludf.DUMMYFUNCTION("""COMPUTED_VALUE"""),"Не знаю.. ")</f>
        <v>Не знаю.. </v>
      </c>
      <c r="W1563" s="6" t="str">
        <f>IFERROR(__xludf.DUMMYFUNCTION("""COMPUTED_VALUE"""),"Обычные люди ")</f>
        <v>Обычные люди </v>
      </c>
      <c r="X1563" s="6" t="str">
        <f>IFERROR(__xludf.DUMMYFUNCTION("""COMPUTED_VALUE"""),"На лесную поляну 😅😅😅")</f>
        <v>На лесную поляну 😅😅😅</v>
      </c>
      <c r="Y1563" s="6" t="str">
        <f>IFERROR(__xludf.DUMMYFUNCTION("""COMPUTED_VALUE"""),"К сожалению, не знаю ")</f>
        <v>К сожалению, не знаю </v>
      </c>
      <c r="Z1563" s="6" t="str">
        <f>IFERROR(__xludf.DUMMYFUNCTION("""COMPUTED_VALUE"""),"Кажется, никаких ")</f>
        <v>Кажется, никаких </v>
      </c>
      <c r="AA1563" s="6" t="str">
        <f>IFERROR(__xludf.DUMMYFUNCTION("""COMPUTED_VALUE"""),"За два года не знаю, а в целом - зимняя вишня.. ")</f>
        <v>За два года не знаю, а в целом - зимняя вишня.. </v>
      </c>
      <c r="AB1563" s="6" t="str">
        <f>IFERROR(__xludf.DUMMYFUNCTION("""COMPUTED_VALUE"""),"Мне это не интересно, поэтому не знаю ")</f>
        <v>Мне это не интересно, поэтому не знаю </v>
      </c>
      <c r="AC1563" s="6" t="str">
        <f>IFERROR(__xludf.DUMMYFUNCTION("""COMPUTED_VALUE"""),"Концерты! Тк в большем случае они в Новосибирске, к сожалению. ")</f>
        <v>Концерты! Тк в большем случае они в Новосибирске, к сожалению. </v>
      </c>
      <c r="AD156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63" s="6" t="str">
        <f>IFERROR(__xludf.DUMMYFUNCTION("""COMPUTED_VALUE"""),"Женский")</f>
        <v>Женский</v>
      </c>
      <c r="AF1563" s="6" t="str">
        <f>IFERROR(__xludf.DUMMYFUNCTION("""COMPUTED_VALUE"""),"18-29")</f>
        <v>18-29</v>
      </c>
      <c r="AG1563" s="6"/>
      <c r="AH1563" s="6"/>
      <c r="AI1563" s="6"/>
      <c r="AJ1563" s="6"/>
      <c r="AK1563" s="6"/>
      <c r="AL1563" s="6"/>
      <c r="AM1563" s="6"/>
    </row>
    <row r="1564">
      <c r="A1564" s="6">
        <v>1563.0</v>
      </c>
      <c r="B1564" s="6" t="str">
        <f>IFERROR(__xludf.DUMMYFUNCTION("""COMPUTED_VALUE"""),"Менеджер ")</f>
        <v>Менеджер </v>
      </c>
      <c r="C1564" s="6" t="str">
        <f>IFERROR(__xludf.DUMMYFUNCTION("""COMPUTED_VALUE"""),"Ходить в лес")</f>
        <v>Ходить в лес</v>
      </c>
      <c r="D1564" s="6" t="str">
        <f>IFERROR(__xludf.DUMMYFUNCTION("""COMPUTED_VALUE"""),"Ленинский")</f>
        <v>Ленинский</v>
      </c>
      <c r="E1564" s="6" t="str">
        <f>IFERROR(__xludf.DUMMYFUNCTION("""COMPUTED_VALUE"""),"Бот.сад, б-р Строителей")</f>
        <v>Бот.сад, б-р Строителей</v>
      </c>
      <c r="F1564" s="6" t="str">
        <f>IFERROR(__xludf.DUMMYFUNCTION("""COMPUTED_VALUE"""),"Живу здесь с рождения")</f>
        <v>Живу здесь с рождения</v>
      </c>
      <c r="G1564" s="6" t="str">
        <f>IFERROR(__xludf.DUMMYFUNCTION("""COMPUTED_VALUE"""),"В кузбасский парк, на бульвар, в центр ")</f>
        <v>В кузбасский парк, на бульвар, в центр </v>
      </c>
      <c r="H1564" s="6" t="str">
        <f>IFERROR(__xludf.DUMMYFUNCTION("""COMPUTED_VALUE"""),"Серый, грязный, душный, воняет от заводов, нет свежего воздуха, огромные спиленные пни деревьев")</f>
        <v>Серый, грязный, душный, воняет от заводов, нет свежего воздуха, огромные спиленные пни деревьев</v>
      </c>
      <c r="I1564" s="6" t="str">
        <f>IFERROR(__xludf.DUMMYFUNCTION("""COMPUTED_VALUE"""),"Гришковец, Тулеев")</f>
        <v>Гришковец, Тулеев</v>
      </c>
      <c r="J1564" s="6" t="str">
        <f>IFERROR(__xludf.DUMMYFUNCTION("""COMPUTED_VALUE"""),"-")</f>
        <v>-</v>
      </c>
      <c r="K1564" s="6" t="str">
        <f>IFERROR(__xludf.DUMMYFUNCTION("""COMPUTED_VALUE"""),"Увы приезжим нечего показать")</f>
        <v>Увы приезжим нечего показать</v>
      </c>
      <c r="L1564" s="6" t="str">
        <f>IFERROR(__xludf.DUMMYFUNCTION("""COMPUTED_VALUE"""),"-")</f>
        <v>-</v>
      </c>
      <c r="M1564" s="6" t="str">
        <f>IFERROR(__xludf.DUMMYFUNCTION("""COMPUTED_VALUE"""),"-")</f>
        <v>-</v>
      </c>
      <c r="N1564" s="6" t="str">
        <f>IFERROR(__xludf.DUMMYFUNCTION("""COMPUTED_VALUE"""),"Свежий воздух, чистые улицы, озеленение, хороший молл, кинотеатр, интересные выставки, а не репродукции.")</f>
        <v>Свежий воздух, чистые улицы, озеленение, хороший молл, кинотеатр, интересные выставки, а не репродукции.</v>
      </c>
      <c r="O1564" s="6" t="str">
        <f>IFERROR(__xludf.DUMMYFUNCTION("""COMPUTED_VALUE"""),"Следить за экологической обстановкой. Вынести заводскую территорию за пределы города, как в Екб, например")</f>
        <v>Следить за экологической обстановкой. Вынести заводскую территорию за пределы города, как в Екб, например</v>
      </c>
      <c r="P1564" s="6" t="str">
        <f>IFERROR(__xludf.DUMMYFUNCTION("""COMPUTED_VALUE"""),"Вк, инст")</f>
        <v>Вк, инст</v>
      </c>
      <c r="Q1564" s="6" t="str">
        <f>IFERROR(__xludf.DUMMYFUNCTION("""COMPUTED_VALUE"""),"где вкусно поесть/открытие новых кафе/ресторанов, городская афиша (кино/театр/концерты)")</f>
        <v>где вкусно поесть/открытие новых кафе/ресторанов, городская афиша (кино/театр/концерты)</v>
      </c>
      <c r="R1564" s="6" t="str">
        <f>IFERROR(__xludf.DUMMYFUNCTION("""COMPUTED_VALUE"""),"-")</f>
        <v>-</v>
      </c>
      <c r="S1564" s="6" t="str">
        <f>IFERROR(__xludf.DUMMYFUNCTION("""COMPUTED_VALUE"""),"Нет, не приходилось")</f>
        <v>Нет, не приходилось</v>
      </c>
      <c r="T1564" s="6" t="str">
        <f>IFERROR(__xludf.DUMMYFUNCTION("""COMPUTED_VALUE"""),"Знаменит угольными ресурсами, Кузбасс же. Уникален природой возможно и тем, что к нему привыкли. Такой маленький, что знаешь каждый закоулок в своем районе.")</f>
        <v>Знаменит угольными ресурсами, Кузбасс же. Уникален природой возможно и тем, что к нему привыкли. Такой маленький, что знаешь каждый закоулок в своем районе.</v>
      </c>
      <c r="U1564" s="6" t="str">
        <f>IFERROR(__xludf.DUMMYFUNCTION("""COMPUTED_VALUE"""),"Весенька")</f>
        <v>Весенька</v>
      </c>
      <c r="V1564" s="6" t="str">
        <f>IFERROR(__xludf.DUMMYFUNCTION("""COMPUTED_VALUE"""),"При социализме развивали промышленность, сейчас от нее страдаем. Раньше сажали деревья, сейчас вырубаем и садим кустики. Парк Ангелов сделали по срочной прихоти губернатора, привезя туда и посадив взрослые лесные деревья, которые погибают. Для чего?")</f>
        <v>При социализме развивали промышленность, сейчас от нее страдаем. Раньше сажали деревья, сейчас вырубаем и садим кустики. Парк Ангелов сделали по срочной прихоти губернатора, привезя туда и посадив взрослые лесные деревья, которые погибают. Для чего?</v>
      </c>
      <c r="W1564" s="6" t="str">
        <f>IFERROR(__xludf.DUMMYFUNCTION("""COMPUTED_VALUE"""),"Угрюмые, торопливые, неопрятные, колхозные. Стоит немного выделиться - таращат глаза. В крупных городах такого нет. Была в разных городах страны.")</f>
        <v>Угрюмые, торопливые, неопрятные, колхозные. Стоит немного выделиться - таращат глаза. В крупных городах такого нет. Была в разных городах страны.</v>
      </c>
      <c r="X1564" s="6" t="str">
        <f>IFERROR(__xludf.DUMMYFUNCTION("""COMPUTED_VALUE"""),"Крутого нет, это же не алтай")</f>
        <v>Крутого нет, это же не алтай</v>
      </c>
      <c r="Y1564" s="6" t="str">
        <f>IFERROR(__xludf.DUMMYFUNCTION("""COMPUTED_VALUE"""),"Появление Кемерово вместо Щегловска")</f>
        <v>Появление Кемерово вместо Щегловска</v>
      </c>
      <c r="Z1564" s="6" t="str">
        <f>IFERROR(__xludf.DUMMYFUNCTION("""COMPUTED_VALUE"""),"1. Отремонтировали юбилейный
2. Стали перекрашивать совковые постройки(бульвар, теперь и Химиков)")</f>
        <v>1. Отремонтировали юбилейный
2. Стали перекрашивать совковые постройки(бульвар, теперь и Химиков)</v>
      </c>
      <c r="AA1564" s="6" t="str">
        <f>IFERROR(__xludf.DUMMYFUNCTION("""COMPUTED_VALUE"""),"Зимняя вишня, корона и нелогичный режим из-за нее")</f>
        <v>Зимняя вишня, корона и нелогичный режим из-за нее</v>
      </c>
      <c r="AB1564" s="6" t="str">
        <f>IFERROR(__xludf.DUMMYFUNCTION("""COMPUTED_VALUE"""),"Сообществ, в которых люди могут узнать 
Об утилизации и сортировки отходов 
О реальной экологической обстановке 
О возможности помочь городу своими действиями (хоть деревья посадить)
О хороших привычках здорового общества (что то вроде желания выбросить у"&amp;"ведённый мусор, а не проходить мимо)")</f>
        <v>Сообществ, в которых люди могут узнать 
Об утилизации и сортировки отходов 
О реальной экологической обстановке 
О возможности помочь городу своими действиями (хоть деревья посадить)
О хороших привычках здорового общества (что то вроде желания выбросить уведённый мусор, а не проходить мимо)</v>
      </c>
      <c r="AC1564" s="6" t="str">
        <f>IFERROR(__xludf.DUMMYFUNCTION("""COMPUTED_VALUE"""),"Здесь просто дышать полной грудью надо начать для  начала, а не вдыхать заводскую дрянь")</f>
        <v>Здесь просто дышать полной грудью надо начать для  начала, а не вдыхать заводскую дрянь</v>
      </c>
      <c r="AD1564"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v>
      </c>
      <c r="AE1564" s="6" t="str">
        <f>IFERROR(__xludf.DUMMYFUNCTION("""COMPUTED_VALUE"""),"Женский")</f>
        <v>Женский</v>
      </c>
      <c r="AF1564" s="6" t="str">
        <f>IFERROR(__xludf.DUMMYFUNCTION("""COMPUTED_VALUE"""),"18-29")</f>
        <v>18-29</v>
      </c>
      <c r="AG1564" s="6"/>
      <c r="AH1564" s="6"/>
      <c r="AI1564" s="6"/>
      <c r="AJ1564" s="6"/>
      <c r="AK1564" s="6"/>
      <c r="AL1564" s="6"/>
      <c r="AM1564" s="6"/>
    </row>
    <row r="1565">
      <c r="A1565" s="6">
        <v>1564.0</v>
      </c>
      <c r="B1565" s="6" t="str">
        <f>IFERROR(__xludf.DUMMYFUNCTION("""COMPUTED_VALUE"""),"Менеджер")</f>
        <v>Менеджер</v>
      </c>
      <c r="C1565" s="6" t="str">
        <f>IFERROR(__xludf.DUMMYFUNCTION("""COMPUTED_VALUE"""),"Рыбалка")</f>
        <v>Рыбалка</v>
      </c>
      <c r="D1565" s="6" t="str">
        <f>IFERROR(__xludf.DUMMYFUNCTION("""COMPUTED_VALUE"""),"Ленинский")</f>
        <v>Ленинский</v>
      </c>
      <c r="E1565" s="6" t="str">
        <f>IFERROR(__xludf.DUMMYFUNCTION("""COMPUTED_VALUE"""),"Бульвар строителей")</f>
        <v>Бульвар строителей</v>
      </c>
      <c r="F1565" s="6" t="str">
        <f>IFERROR(__xludf.DUMMYFUNCTION("""COMPUTED_VALUE"""),"Живу здесь с рождения")</f>
        <v>Живу здесь с рождения</v>
      </c>
      <c r="G1565" s="6" t="str">
        <f>IFERROR(__xludf.DUMMYFUNCTION("""COMPUTED_VALUE"""),"В центр")</f>
        <v>В центр</v>
      </c>
      <c r="H1565" s="6" t="str">
        <f>IFERROR(__xludf.DUMMYFUNCTION("""COMPUTED_VALUE"""),"Кузбасс, уголь, река Томь, Леонов")</f>
        <v>Кузбасс, уголь, река Томь, Леонов</v>
      </c>
      <c r="I1565" s="6" t="str">
        <f>IFERROR(__xludf.DUMMYFUNCTION("""COMPUTED_VALUE"""),"Леонов")</f>
        <v>Леонов</v>
      </c>
      <c r="J1565" s="6" t="str">
        <f>IFERROR(__xludf.DUMMYFUNCTION("""COMPUTED_VALUE"""),"Тулеев")</f>
        <v>Тулеев</v>
      </c>
      <c r="K1565" s="6" t="str">
        <f>IFERROR(__xludf.DUMMYFUNCTION("""COMPUTED_VALUE"""),"Красная горка")</f>
        <v>Красная горка</v>
      </c>
      <c r="L1565" s="6" t="str">
        <f>IFERROR(__xludf.DUMMYFUNCTION("""COMPUTED_VALUE"""),"Не знаю")</f>
        <v>Не знаю</v>
      </c>
      <c r="M1565" s="6" t="str">
        <f>IFERROR(__xludf.DUMMYFUNCTION("""COMPUTED_VALUE"""),"Поехать в город. Это в Кировском районе так говорят поехать в центр")</f>
        <v>Поехать в город. Это в Кировском районе так говорят поехать в центр</v>
      </c>
      <c r="N1565" s="6" t="str">
        <f>IFERROR(__xludf.DUMMYFUNCTION("""COMPUTED_VALUE"""),"Нет пробок, хорошие дороги , чистота")</f>
        <v>Нет пробок, хорошие дороги , чистота</v>
      </c>
      <c r="O1565" s="6" t="str">
        <f>IFERROR(__xludf.DUMMYFUNCTION("""COMPUTED_VALUE"""),"Сделать объездную дорогу для фур")</f>
        <v>Сделать объездную дорогу для фур</v>
      </c>
      <c r="P1565" s="6" t="str">
        <f>IFERROR(__xludf.DUMMYFUNCTION("""COMPUTED_VALUE"""),"Вести Кузбасс")</f>
        <v>Вести Кузбасс</v>
      </c>
      <c r="Q1565" s="6" t="str">
        <f>IFERROR(__xludf.DUMMYFUNCTION("""COMPUTED_VALUE"""),"криминальные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565" s="6" t="str">
        <f>IFERROR(__xludf.DUMMYFUNCTION("""COMPUTED_VALUE"""),"День победы")</f>
        <v>День победы</v>
      </c>
      <c r="S1565" s="6" t="str">
        <f>IFERROR(__xludf.DUMMYFUNCTION("""COMPUTED_VALUE"""),"Нет, не приходилось")</f>
        <v>Нет, не приходилось</v>
      </c>
      <c r="T1565" s="6" t="str">
        <f>IFERROR(__xludf.DUMMYFUNCTION("""COMPUTED_VALUE"""),"Зимняя вишня")</f>
        <v>Зимняя вишня</v>
      </c>
      <c r="U1565" s="6" t="str">
        <f>IFERROR(__xludf.DUMMYFUNCTION("""COMPUTED_VALUE"""),"Площадь советов")</f>
        <v>Площадь советов</v>
      </c>
      <c r="V1565" s="6" t="str">
        <f>IFERROR(__xludf.DUMMYFUNCTION("""COMPUTED_VALUE"""),"Добыли уголь")</f>
        <v>Добыли уголь</v>
      </c>
      <c r="W1565" s="6" t="str">
        <f>IFERROR(__xludf.DUMMYFUNCTION("""COMPUTED_VALUE"""),"Злые")</f>
        <v>Злые</v>
      </c>
      <c r="X1565" s="6" t="str">
        <f>IFERROR(__xludf.DUMMYFUNCTION("""COMPUTED_VALUE"""),"Весенняя")</f>
        <v>Весенняя</v>
      </c>
      <c r="Y1565" s="6" t="str">
        <f>IFERROR(__xludf.DUMMYFUNCTION("""COMPUTED_VALUE"""),"Построили кузнецкий мост")</f>
        <v>Построили кузнецкий мост</v>
      </c>
      <c r="Z1565" s="6" t="str">
        <f>IFERROR(__xludf.DUMMYFUNCTION("""COMPUTED_VALUE"""),"Не знаю")</f>
        <v>Не знаю</v>
      </c>
      <c r="AA1565" s="6" t="str">
        <f>IFERROR(__xludf.DUMMYFUNCTION("""COMPUTED_VALUE"""),"Ни какие")</f>
        <v>Ни какие</v>
      </c>
      <c r="AB1565" s="6" t="str">
        <f>IFERROR(__xludf.DUMMYFUNCTION("""COMPUTED_VALUE"""),"Автоиобильных")</f>
        <v>Автоиобильных</v>
      </c>
      <c r="AC1565" s="6" t="str">
        <f>IFERROR(__xludf.DUMMYFUNCTION("""COMPUTED_VALUE"""),"Развлекательные")</f>
        <v>Развлекательные</v>
      </c>
      <c r="AD156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65" s="6" t="str">
        <f>IFERROR(__xludf.DUMMYFUNCTION("""COMPUTED_VALUE"""),"Мужской")</f>
        <v>Мужской</v>
      </c>
      <c r="AF1565" s="6" t="str">
        <f>IFERROR(__xludf.DUMMYFUNCTION("""COMPUTED_VALUE"""),"18-29")</f>
        <v>18-29</v>
      </c>
      <c r="AG1565" s="6"/>
      <c r="AH1565" s="6"/>
      <c r="AI1565" s="6"/>
      <c r="AJ1565" s="6"/>
      <c r="AK1565" s="6"/>
      <c r="AL1565" s="6"/>
      <c r="AM1565" s="6"/>
    </row>
    <row r="1566">
      <c r="A1566" s="6">
        <v>1565.0</v>
      </c>
      <c r="B1566" s="6" t="str">
        <f>IFERROR(__xludf.DUMMYFUNCTION("""COMPUTED_VALUE"""),"Студент/работаю ")</f>
        <v>Студент/работаю </v>
      </c>
      <c r="C1566" s="6" t="str">
        <f>IFERROR(__xludf.DUMMYFUNCTION("""COMPUTED_VALUE"""),"Рисование")</f>
        <v>Рисование</v>
      </c>
      <c r="D1566" s="6" t="str">
        <f>IFERROR(__xludf.DUMMYFUNCTION("""COMPUTED_VALUE"""),"Шалготарьян/шалго")</f>
        <v>Шалготарьян/шалго</v>
      </c>
      <c r="E1566" s="6" t="str">
        <f>IFERROR(__xludf.DUMMYFUNCTION("""COMPUTED_VALUE"""),"Озеро, рощи, полянки")</f>
        <v>Озеро, рощи, полянки</v>
      </c>
      <c r="F1566" s="6" t="str">
        <f>IFERROR(__xludf.DUMMYFUNCTION("""COMPUTED_VALUE"""),"Живу здесь с рождения")</f>
        <v>Живу здесь с рождения</v>
      </c>
      <c r="G1566" s="6" t="str">
        <f>IFERROR(__xludf.DUMMYFUNCTION("""COMPUTED_VALUE"""),"В универ и лапу ")</f>
        <v>В универ и лапу </v>
      </c>
      <c r="H1566" s="6" t="str">
        <f>IFERROR(__xludf.DUMMYFUNCTION("""COMPUTED_VALUE"""),"Пьянь
Зелень
Реклама соли
Компании
Лавочки")</f>
        <v>Пьянь
Зелень
Реклама соли
Компании
Лавочки</v>
      </c>
      <c r="I1566" s="6" t="str">
        <f>IFERROR(__xludf.DUMMYFUNCTION("""COMPUTED_VALUE"""),"Рутгерс, Волков")</f>
        <v>Рутгерс, Волков</v>
      </c>
      <c r="J1566" s="6" t="str">
        <f>IFERROR(__xludf.DUMMYFUNCTION("""COMPUTED_VALUE"""),"Тулеев самый известный, но на него не равняются. ")</f>
        <v>Тулеев самый известный, но на него не равняются. </v>
      </c>
      <c r="K1566" s="6" t="str">
        <f>IFERROR(__xludf.DUMMYFUNCTION("""COMPUTED_VALUE"""),"Сосновый бор")</f>
        <v>Сосновый бор</v>
      </c>
      <c r="L1566" s="6" t="str">
        <f>IFERROR(__xludf.DUMMYFUNCTION("""COMPUTED_VALUE"""),"Не жили богато и нечего начинать")</f>
        <v>Не жили богато и нечего начинать</v>
      </c>
      <c r="M1566" s="6" t="str">
        <f>IFERROR(__xludf.DUMMYFUNCTION("""COMPUTED_VALUE"""),"Неа")</f>
        <v>Неа</v>
      </c>
      <c r="N1566" s="6" t="str">
        <f>IFERROR(__xludf.DUMMYFUNCTION("""COMPUTED_VALUE"""),"Чистота
Транспорт
Магазины
Кафе 
Безопасность ")</f>
        <v>Чистота
Транспорт
Магазины
Кафе 
Безопасность </v>
      </c>
      <c r="O1566" s="6" t="str">
        <f>IFERROR(__xludf.DUMMYFUNCTION("""COMPUTED_VALUE"""),"Людей ")</f>
        <v>Людей </v>
      </c>
      <c r="P1566" s="6" t="str">
        <f>IFERROR(__xludf.DUMMYFUNCTION("""COMPUTED_VALUE"""),"Вк")</f>
        <v>Вк</v>
      </c>
      <c r="Q1566" s="6" t="str">
        <f>IFERROR(__xludf.DUMMYFUNCTION("""COMPUTED_VALUE"""),"городская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f>
        <v>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1566" s="6" t="str">
        <f>IFERROR(__xludf.DUMMYFUNCTION("""COMPUTED_VALUE"""),"Никакие")</f>
        <v>Никакие</v>
      </c>
      <c r="S1566" s="6" t="str">
        <f>IFERROR(__xludf.DUMMYFUNCTION("""COMPUTED_VALUE"""),"Нет, не приходилось")</f>
        <v>Нет, не приходилось</v>
      </c>
      <c r="T1566" s="6" t="str">
        <f>IFERROR(__xludf.DUMMYFUNCTION("""COMPUTED_VALUE"""),"Зимняя вишня")</f>
        <v>Зимняя вишня</v>
      </c>
      <c r="U1566" s="6" t="str">
        <f>IFERROR(__xludf.DUMMYFUNCTION("""COMPUTED_VALUE"""),"Площадь Советов")</f>
        <v>Площадь Советов</v>
      </c>
      <c r="V1566" s="6" t="str">
        <f>IFERROR(__xludf.DUMMYFUNCTION("""COMPUTED_VALUE"""),"Не разрушили до конца")</f>
        <v>Не разрушили до конца</v>
      </c>
      <c r="W1566" s="6" t="str">
        <f>IFERROR(__xludf.DUMMYFUNCTION("""COMPUTED_VALUE"""),"Такие же люди как и везде ")</f>
        <v>Такие же люди как и везде </v>
      </c>
      <c r="X1566" s="6" t="str">
        <f>IFERROR(__xludf.DUMMYFUNCTION("""COMPUTED_VALUE"""),"Советский, набережная, Притомский. Веселее только ночью от Радуги до центра по трамвайным рельсам идти. ")</f>
        <v>Советский, набережная, Притомский. Веселее только ночью от Радуги до центра по трамвайным рельсам идти. </v>
      </c>
      <c r="Y1566" s="6" t="str">
        <f>IFERROR(__xludf.DUMMYFUNCTION("""COMPUTED_VALUE"""),"Зимняя вишня ")</f>
        <v>Зимняя вишня </v>
      </c>
      <c r="Z1566" s="6" t="str">
        <f>IFERROR(__xludf.DUMMYFUNCTION("""COMPUTED_VALUE"""),"Не знаю ")</f>
        <v>Не знаю </v>
      </c>
      <c r="AA1566" s="6" t="str">
        <f>IFERROR(__xludf.DUMMYFUNCTION("""COMPUTED_VALUE"""),"Зимняя вишня, постройка тц на его месте. ")</f>
        <v>Зимняя вишня, постройка тц на его месте. </v>
      </c>
      <c r="AB1566" s="6" t="str">
        <f>IFERROR(__xludf.DUMMYFUNCTION("""COMPUTED_VALUE"""),"Не знаю ")</f>
        <v>Не знаю </v>
      </c>
      <c r="AC1566" s="6" t="str">
        <f>IFERROR(__xludf.DUMMYFUNCTION("""COMPUTED_VALUE"""),"Чтобы музыканты почаще включали город в список тура")</f>
        <v>Чтобы музыканты почаще включали город в список тура</v>
      </c>
      <c r="AD1566" s="6" t="str">
        <f>IFERROR(__xludf.DUMMYFUNCTION("""COMPUTED_VALUE"""),"Не готов принимать личное участие (укажите, пожалуйста, причину в поле «Другое»), Все равно все развалят либо деньги кончатся. ")</f>
        <v>Не готов принимать личное участие (укажите, пожалуйста, причину в поле «Другое»), Все равно все развалят либо деньги кончатся. </v>
      </c>
      <c r="AE1566" s="6" t="str">
        <f>IFERROR(__xludf.DUMMYFUNCTION("""COMPUTED_VALUE"""),"Женский")</f>
        <v>Женский</v>
      </c>
      <c r="AF1566" s="6" t="str">
        <f>IFERROR(__xludf.DUMMYFUNCTION("""COMPUTED_VALUE"""),"18-29")</f>
        <v>18-29</v>
      </c>
      <c r="AG1566" s="6"/>
      <c r="AH1566" s="6"/>
      <c r="AI1566" s="6"/>
      <c r="AJ1566" s="6"/>
      <c r="AK1566" s="6"/>
      <c r="AL1566" s="6"/>
      <c r="AM1566" s="6"/>
    </row>
    <row r="1567">
      <c r="A1567" s="6">
        <v>1566.0</v>
      </c>
      <c r="B1567" s="6" t="str">
        <f>IFERROR(__xludf.DUMMYFUNCTION("""COMPUTED_VALUE"""),"Библиотекарь")</f>
        <v>Библиотекарь</v>
      </c>
      <c r="C1567" s="6" t="str">
        <f>IFERROR(__xludf.DUMMYFUNCTION("""COMPUTED_VALUE"""),"Читать люблю")</f>
        <v>Читать люблю</v>
      </c>
      <c r="D1567" s="6" t="str">
        <f>IFERROR(__xludf.DUMMYFUNCTION("""COMPUTED_VALUE"""),"Кировский район..кировский")</f>
        <v>Кировский район..кировский</v>
      </c>
      <c r="E1567" s="6" t="str">
        <f>IFERROR(__xludf.DUMMYFUNCTION("""COMPUTED_VALUE"""),"Набережная...роща берёзовая ")</f>
        <v>Набережная...роща берёзовая </v>
      </c>
      <c r="F1567" s="6" t="str">
        <f>IFERROR(__xludf.DUMMYFUNCTION("""COMPUTED_VALUE"""),"Переехал сюда из другого места (откуда? укажите в графе другое), Живу с 2010 года..переехала в центрального района г.Кпмерово")</f>
        <v>Переехал сюда из другого места (откуда? укажите в графе другое), Живу с 2010 года..переехала в центрального района г.Кпмерово</v>
      </c>
      <c r="G1567" s="6" t="str">
        <f>IFERROR(__xludf.DUMMYFUNCTION("""COMPUTED_VALUE"""),"Набережная")</f>
        <v>Набережная</v>
      </c>
      <c r="H1567" s="6" t="str">
        <f>IFERROR(__xludf.DUMMYFUNCTION("""COMPUTED_VALUE"""),"Томь, вокзал,ленин,центр, трамвай")</f>
        <v>Томь, вокзал,ленин,центр, трамвай</v>
      </c>
      <c r="I1567" s="6" t="str">
        <f>IFERROR(__xludf.DUMMYFUNCTION("""COMPUTED_VALUE"""),"Григорьев")</f>
        <v>Григорьев</v>
      </c>
      <c r="J1567" s="6" t="str">
        <f>IFERROR(__xludf.DUMMYFUNCTION("""COMPUTED_VALUE"""),"Тулеев ")</f>
        <v>Тулеев </v>
      </c>
      <c r="K1567" s="6" t="str">
        <f>IFERROR(__xludf.DUMMYFUNCTION("""COMPUTED_VALUE"""),"Дк Шахтёров ")</f>
        <v>Дк Шахтёров </v>
      </c>
      <c r="L1567" s="6" t="str">
        <f>IFERROR(__xludf.DUMMYFUNCTION("""COMPUTED_VALUE"""),"Не место красит человека,а человек место")</f>
        <v>Не место красит человека,а человек место</v>
      </c>
      <c r="M1567" s="6" t="str">
        <f>IFERROR(__xludf.DUMMYFUNCTION("""COMPUTED_VALUE"""),"Шахтёр ")</f>
        <v>Шахтёр </v>
      </c>
      <c r="N1567" s="6" t="str">
        <f>IFERROR(__xludf.DUMMYFUNCTION("""COMPUTED_VALUE"""),"Достаточно комфортный по размерам,удобный,чистый,")</f>
        <v>Достаточно комфортный по размерам,удобный,чистый,</v>
      </c>
      <c r="O1567" s="6" t="str">
        <f>IFERROR(__xludf.DUMMYFUNCTION("""COMPUTED_VALUE"""),"Чистый воздух,дороги,здания отремонтировать")</f>
        <v>Чистый воздух,дороги,здания отремонтировать</v>
      </c>
      <c r="P1567" s="6" t="str">
        <f>IFERROR(__xludf.DUMMYFUNCTION("""COMPUTED_VALUE"""),"Инстаграм ")</f>
        <v>Инстаграм </v>
      </c>
      <c r="Q1567" s="6" t="str">
        <f>IFERROR(__xludf.DUMMYFUNCTION("""COMPUTED_VALUE"""),"культурные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f>
        <v>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1567" s="6" t="str">
        <f>IFERROR(__xludf.DUMMYFUNCTION("""COMPUTED_VALUE"""),"День победы ")</f>
        <v>День победы </v>
      </c>
      <c r="S1567" s="6" t="str">
        <f>IFERROR(__xludf.DUMMYFUNCTION("""COMPUTED_VALUE"""),"Нет, не приходилось")</f>
        <v>Нет, не приходилось</v>
      </c>
      <c r="T1567" s="6" t="str">
        <f>IFERROR(__xludf.DUMMYFUNCTION("""COMPUTED_VALUE"""),"Многое")</f>
        <v>Многое</v>
      </c>
      <c r="U1567" s="6" t="str">
        <f>IFERROR(__xludf.DUMMYFUNCTION("""COMPUTED_VALUE"""),"Площадь советов")</f>
        <v>Площадь советов</v>
      </c>
      <c r="V1567" s="6" t="str">
        <f>IFERROR(__xludf.DUMMYFUNCTION("""COMPUTED_VALUE"""),"Заводы")</f>
        <v>Заводы</v>
      </c>
      <c r="W1567" s="6" t="str">
        <f>IFERROR(__xludf.DUMMYFUNCTION("""COMPUTED_VALUE"""),"И добрый и не очень")</f>
        <v>И добрый и не очень</v>
      </c>
      <c r="X1567" s="6" t="str">
        <f>IFERROR(__xludf.DUMMYFUNCTION("""COMPUTED_VALUE"""),"Набережная Кировского района..фонтан...лесная поляна")</f>
        <v>Набережная Кировского района..фонтан...лесная поляна</v>
      </c>
      <c r="Y1567" s="6" t="str">
        <f>IFERROR(__xludf.DUMMYFUNCTION("""COMPUTED_VALUE"""),"День победы 9 мая")</f>
        <v>День победы 9 мая</v>
      </c>
      <c r="Z1567" s="6" t="str">
        <f>IFERROR(__xludf.DUMMYFUNCTION("""COMPUTED_VALUE"""),"Ремонт набережной в кировском районе")</f>
        <v>Ремонт набережной в кировском районе</v>
      </c>
      <c r="AA1567" s="6" t="str">
        <f>IFERROR(__xludf.DUMMYFUNCTION("""COMPUTED_VALUE"""),"Зимняя вишня")</f>
        <v>Зимняя вишня</v>
      </c>
      <c r="AB1567" s="6" t="str">
        <f>IFERROR(__xludf.DUMMYFUNCTION("""COMPUTED_VALUE"""),"Всех хватает")</f>
        <v>Всех хватает</v>
      </c>
      <c r="AC1567" s="6" t="str">
        <f>IFERROR(__xludf.DUMMYFUNCTION("""COMPUTED_VALUE"""),"Детский интересныйюе площадки")</f>
        <v>Детский интересныйюе площадки</v>
      </c>
      <c r="AD156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67" s="6" t="str">
        <f>IFERROR(__xludf.DUMMYFUNCTION("""COMPUTED_VALUE"""),"Женский")</f>
        <v>Женский</v>
      </c>
      <c r="AF1567" s="6" t="str">
        <f>IFERROR(__xludf.DUMMYFUNCTION("""COMPUTED_VALUE"""),"30-44")</f>
        <v>30-44</v>
      </c>
      <c r="AG1567" s="6"/>
      <c r="AH1567" s="6"/>
      <c r="AI1567" s="6"/>
      <c r="AJ1567" s="6"/>
      <c r="AK1567" s="6"/>
      <c r="AL1567" s="6"/>
      <c r="AM1567" s="6"/>
    </row>
    <row r="1568">
      <c r="A1568" s="6">
        <v>1567.0</v>
      </c>
      <c r="B1568" s="6" t="str">
        <f>IFERROR(__xludf.DUMMYFUNCTION("""COMPUTED_VALUE"""),"Медицина ")</f>
        <v>Медицина </v>
      </c>
      <c r="C1568" s="6" t="str">
        <f>IFERROR(__xludf.DUMMYFUNCTION("""COMPUTED_VALUE"""),"Алмазная вышивка ")</f>
        <v>Алмазная вышивка </v>
      </c>
      <c r="D1568" s="6" t="str">
        <f>IFERROR(__xludf.DUMMYFUNCTION("""COMPUTED_VALUE"""),"Кировский ")</f>
        <v>Кировский </v>
      </c>
      <c r="E1568" s="6" t="str">
        <f>IFERROR(__xludf.DUMMYFUNCTION("""COMPUTED_VALUE"""),"Набережная, аллея на улице Леонова ")</f>
        <v>Набережная, аллея на улице Леонова </v>
      </c>
      <c r="F1568" s="6" t="str">
        <f>IFERROR(__xludf.DUMMYFUNCTION("""COMPUTED_VALUE"""),"Живу здесь с рождения")</f>
        <v>Живу здесь с рождения</v>
      </c>
      <c r="G1568" s="6" t="str">
        <f>IFERROR(__xludf.DUMMYFUNCTION("""COMPUTED_VALUE""")," парк чудес, красная горка ")</f>
        <v> парк чудес, красная горка </v>
      </c>
      <c r="H1568" s="6" t="str">
        <f>IFERROR(__xludf.DUMMYFUNCTION("""COMPUTED_VALUE"""),"История 
Уголь
Многие  уезжают отсюда 
")</f>
        <v>История 
Уголь
Многие  уезжают отсюда 
</v>
      </c>
      <c r="I1568" s="6" t="str">
        <f>IFERROR(__xludf.DUMMYFUNCTION("""COMPUTED_VALUE"""),"Волков, Леонов ")</f>
        <v>Волков, Леонов </v>
      </c>
      <c r="J1568" s="6" t="str">
        <f>IFERROR(__xludf.DUMMYFUNCTION("""COMPUTED_VALUE"""),"Тулеев ")</f>
        <v>Тулеев </v>
      </c>
      <c r="K1568" s="6" t="str">
        <f>IFERROR(__xludf.DUMMYFUNCTION("""COMPUTED_VALUE"""),"Красная горка. Томская писаница. Набережная ")</f>
        <v>Красная горка. Томская писаница. Набережная </v>
      </c>
      <c r="L1568" s="6" t="str">
        <f>IFERROR(__xludf.DUMMYFUNCTION("""COMPUTED_VALUE"""),"Все бегут отсюда ")</f>
        <v>Все бегут отсюда </v>
      </c>
      <c r="M1568" s="6" t="str">
        <f>IFERROR(__xludf.DUMMYFUNCTION("""COMPUTED_VALUE"""),"Сибиряк - не тот кто не мерзнет, а тот, кто хорошо одевается ")</f>
        <v>Сибиряк - не тот кто не мерзнет, а тот, кто хорошо одевается </v>
      </c>
      <c r="N1568" s="6" t="str">
        <f>IFERROR(__xludf.DUMMYFUNCTION("""COMPUTED_VALUE"""),"Чистота 
Озеленение
 Отсутствие экскрементов собак 
Свежий воздух 
Транспорт 
")</f>
        <v>Чистота 
Озеленение
 Отсутствие экскрементов собак 
Свежий воздух 
Транспорт 
</v>
      </c>
      <c r="O1568" s="6" t="str">
        <f>IFERROR(__xludf.DUMMYFUNCTION("""COMPUTED_VALUE"""),"Экологию ")</f>
        <v>Экологию </v>
      </c>
      <c r="P1568" s="6" t="str">
        <f>IFERROR(__xludf.DUMMYFUNCTION("""COMPUTED_VALUE"""),"Инстаграмм ")</f>
        <v>Инстаграмм </v>
      </c>
      <c r="Q1568" s="6" t="str">
        <f>IFERROR(__xludf.DUMMYFUNCTION("""COMPUTED_VALUE"""),"куда пойти в свободное время,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куда пойти в свободное время, 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1568" s="6" t="str">
        <f>IFERROR(__xludf.DUMMYFUNCTION("""COMPUTED_VALUE"""),"День города. 9 мая. День защиты детей ")</f>
        <v>День города. 9 мая. День защиты детей </v>
      </c>
      <c r="S1568" s="6" t="str">
        <f>IFERROR(__xludf.DUMMYFUNCTION("""COMPUTED_VALUE"""),"Нет, не приходилось")</f>
        <v>Нет, не приходилось</v>
      </c>
      <c r="T1568" s="6" t="str">
        <f>IFERROR(__xludf.DUMMYFUNCTION("""COMPUTED_VALUE"""),"Уголь ")</f>
        <v>Уголь </v>
      </c>
      <c r="U1568" s="6" t="str">
        <f>IFERROR(__xludf.DUMMYFUNCTION("""COMPUTED_VALUE"""),"Красная горка ")</f>
        <v>Красная горка </v>
      </c>
      <c r="V1568" s="6" t="str">
        <f>IFERROR(__xludf.DUMMYFUNCTION("""COMPUTED_VALUE"""),"Работали ")</f>
        <v>Работали </v>
      </c>
      <c r="W1568" s="6" t="str">
        <f>IFERROR(__xludf.DUMMYFUNCTION("""COMPUTED_VALUE"""),"Позитивные, уставшие ")</f>
        <v>Позитивные, уставшие </v>
      </c>
      <c r="X1568" s="6" t="str">
        <f>IFERROR(__xludf.DUMMYFUNCTION("""COMPUTED_VALUE"""),"Набережная - бульвар Строителей ")</f>
        <v>Набережная - бульвар Строителей </v>
      </c>
      <c r="Y1568" s="6" t="str">
        <f>IFERROR(__xludf.DUMMYFUNCTION("""COMPUTED_VALUE"""),"Находка угля ")</f>
        <v>Находка угля </v>
      </c>
      <c r="Z1568" s="6" t="str">
        <f>IFERROR(__xludf.DUMMYFUNCTION("""COMPUTED_VALUE"""),"Нет таких ")</f>
        <v>Нет таких </v>
      </c>
      <c r="AA1568" s="6" t="str">
        <f>IFERROR(__xludf.DUMMYFUNCTION("""COMPUTED_VALUE"""),"Зимняя вишня, запрет аквапарка ")</f>
        <v>Зимняя вишня, запрет аквапарка </v>
      </c>
      <c r="AB1568" s="6" t="str">
        <f>IFERROR(__xludf.DUMMYFUNCTION("""COMPUTED_VALUE"""),"Профессиональных ")</f>
        <v>Профессиональных </v>
      </c>
      <c r="AC1568" s="6" t="str">
        <f>IFERROR(__xludf.DUMMYFUNCTION("""COMPUTED_VALUE"""),"Концерты ")</f>
        <v>Концерты </v>
      </c>
      <c r="AD156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Запустить свой предпринимательский проект, ор"&amp;"ганизовать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Запустить свой предпринимательский проект, организовать компанию.</v>
      </c>
      <c r="AE1568" s="6" t="str">
        <f>IFERROR(__xludf.DUMMYFUNCTION("""COMPUTED_VALUE"""),"Женский")</f>
        <v>Женский</v>
      </c>
      <c r="AF1568" s="6" t="str">
        <f>IFERROR(__xludf.DUMMYFUNCTION("""COMPUTED_VALUE"""),"30-44")</f>
        <v>30-44</v>
      </c>
      <c r="AG1568" s="6"/>
      <c r="AH1568" s="6"/>
      <c r="AI1568" s="6"/>
      <c r="AJ1568" s="6"/>
      <c r="AK1568" s="6"/>
      <c r="AL1568" s="6"/>
      <c r="AM1568" s="6"/>
    </row>
    <row r="1569">
      <c r="A1569" s="6">
        <v>1568.0</v>
      </c>
      <c r="B1569" s="6" t="str">
        <f>IFERROR(__xludf.DUMMYFUNCTION("""COMPUTED_VALUE"""),"Инженер-строитель")</f>
        <v>Инженер-строитель</v>
      </c>
      <c r="C1569" s="6" t="str">
        <f>IFERROR(__xludf.DUMMYFUNCTION("""COMPUTED_VALUE"""),"Совершенствование с профессии")</f>
        <v>Совершенствование с профессии</v>
      </c>
      <c r="D1569" s="6" t="str">
        <f>IFERROR(__xludf.DUMMYFUNCTION("""COMPUTED_VALUE"""),"Южный")</f>
        <v>Южный</v>
      </c>
      <c r="E1569" s="6" t="str">
        <f>IFERROR(__xludf.DUMMYFUNCTION("""COMPUTED_VALUE"""),"Храм, аллея на патриотах")</f>
        <v>Храм, аллея на патриотах</v>
      </c>
      <c r="F1569" s="6" t="str">
        <f>IFERROR(__xludf.DUMMYFUNCTION("""COMPUTED_VALUE"""),"Переехал сюда из другого места (откуда? укажите в графе другое), Переехала из Юрги после учебы в Новосибирске")</f>
        <v>Переехал сюда из другого места (откуда? укажите в графе другое), Переехала из Юрги после учебы в Новосибирске</v>
      </c>
      <c r="G1569" s="6" t="str">
        <f>IFERROR(__xludf.DUMMYFUNCTION("""COMPUTED_VALUE"""),"Дача, центр")</f>
        <v>Дача, центр</v>
      </c>
      <c r="H1569" s="6" t="str">
        <f>IFERROR(__xludf.DUMMYFUNCTION("""COMPUTED_VALUE"""),"Чистый, неплохие дороги, грязный воздух, зеленый, обновляющийся")</f>
        <v>Чистый, неплохие дороги, грязный воздух, зеленый, обновляющийся</v>
      </c>
      <c r="I1569" s="6" t="str">
        <f>IFERROR(__xludf.DUMMYFUNCTION("""COMPUTED_VALUE""")," Волков (который Михайло)")</f>
        <v> Волков (который Михайло)</v>
      </c>
      <c r="J1569" s="6" t="str">
        <f>IFERROR(__xludf.DUMMYFUNCTION("""COMPUTED_VALUE"""),"Каждый человек. Все важны для жизни и развития.")</f>
        <v>Каждый человек. Все важны для жизни и развития.</v>
      </c>
      <c r="K1569" s="6" t="str">
        <f>IFERROR(__xludf.DUMMYFUNCTION("""COMPUTED_VALUE"""),"Улица Арочная, вид с крыши управления РЖД")</f>
        <v>Улица Арочная, вид с крыши управления РЖД</v>
      </c>
      <c r="L1569" s="6" t="str">
        <f>IFERROR(__xludf.DUMMYFUNCTION("""COMPUTED_VALUE"""),"Иногда Кемерово переформулирую в Фермерово")</f>
        <v>Иногда Кемерово переформулирую в Фермерово</v>
      </c>
      <c r="M1569" s="6" t="str">
        <f>IFERROR(__xludf.DUMMYFUNCTION("""COMPUTED_VALUE"""),"Не припомню")</f>
        <v>Не припомню</v>
      </c>
      <c r="N1569" s="6" t="str">
        <f>IFERROR(__xludf.DUMMYFUNCTION("""COMPUTED_VALUE"""),"Ответственный и честный мэр. Тогда все сферы города работают согласованно")</f>
        <v>Ответственный и честный мэр. Тогда все сферы города работают согласованно</v>
      </c>
      <c r="O1569" s="6" t="str">
        <f>IFERROR(__xludf.DUMMYFUNCTION("""COMPUTED_VALUE"""),"Искоренить коррупцию, найти альтернативный областеобразующий ресурс,помимо угля.")</f>
        <v>Искоренить коррупцию, найти альтернативный областеобразующий ресурс,помимо угля.</v>
      </c>
      <c r="P1569" s="6" t="str">
        <f>IFERROR(__xludf.DUMMYFUNCTION("""COMPUTED_VALUE"""),"Инстаграм")</f>
        <v>Инстаграм</v>
      </c>
      <c r="Q1569" s="6" t="str">
        <f>IFERROR(__xludf.DUMMYFUNCTION("""COMPUTED_VALUE"""),"куда пойти в свободное время, интервью с местными политиками,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f>
        <v>куда пойти в свободное время, интервью с местными политиками,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v>
      </c>
      <c r="R1569" s="6" t="str">
        <f>IFERROR(__xludf.DUMMYFUNCTION("""COMPUTED_VALUE"""),"День города, новый год, 9 мая")</f>
        <v>День города, новый год, 9 мая</v>
      </c>
      <c r="S1569" s="6" t="str">
        <f>IFERROR(__xludf.DUMMYFUNCTION("""COMPUTED_VALUE"""),"Нет, не приходилось")</f>
        <v>Нет, не приходилось</v>
      </c>
      <c r="T1569" s="6" t="str">
        <f>IFERROR(__xludf.DUMMYFUNCTION("""COMPUTED_VALUE"""),"У нас хорошие дороги. Про негативно окрашенные факты не буду говорить")</f>
        <v>У нас хорошие дороги. Про негативно окрашенные факты не буду говорить</v>
      </c>
      <c r="U1569" s="6" t="str">
        <f>IFERROR(__xludf.DUMMYFUNCTION("""COMPUTED_VALUE"""),"Весь пр Советский. ")</f>
        <v>Весь пр Советский. </v>
      </c>
      <c r="V1569" s="6" t="str">
        <f>IFERROR(__xludf.DUMMYFUNCTION("""COMPUTED_VALUE"""),"Всегда были сильными духом")</f>
        <v>Всегда были сильными духом</v>
      </c>
      <c r="W1569" s="6" t="str">
        <f>IFERROR(__xludf.DUMMYFUNCTION("""COMPUTED_VALUE"""),"Хмурые?")</f>
        <v>Хмурые?</v>
      </c>
      <c r="X1569" s="6" t="str">
        <f>IFERROR(__xludf.DUMMYFUNCTION("""COMPUTED_VALUE"""),"Пр Советский и на Ноградскую или в сторону Притомского")</f>
        <v>Пр Советский и на Ноградскую или в сторону Притомского</v>
      </c>
      <c r="Y1569" s="6" t="str">
        <f>IFERROR(__xludf.DUMMYFUNCTION("""COMPUTED_VALUE"""),"Бастовка шахтеров. Сильные люди")</f>
        <v>Бастовка шахтеров. Сильные люди</v>
      </c>
      <c r="Z1569" s="6" t="str">
        <f>IFERROR(__xludf.DUMMYFUNCTION("""COMPUTED_VALUE"""),"Любые новые открытия (объекты,площадки)")</f>
        <v>Любые новые открытия (объекты,площадки)</v>
      </c>
      <c r="AA1569" s="6" t="str">
        <f>IFERROR(__xludf.DUMMYFUNCTION("""COMPUTED_VALUE"""),"300 летие Кузбасса, непонятно взявшееся откуда и показушная подготовка к празднованию")</f>
        <v>300 летие Кузбасса, непонятно взявшееся откуда и показушная подготовка к празднованию</v>
      </c>
      <c r="AB1569" s="6" t="str">
        <f>IFERROR(__xludf.DUMMYFUNCTION("""COMPUTED_VALUE"""),"Не приписываю себя к сообществам")</f>
        <v>Не приписываю себя к сообществам</v>
      </c>
      <c r="AC1569" s="6" t="str">
        <f>IFERROR(__xludf.DUMMYFUNCTION("""COMPUTED_VALUE"""),"Любые общественные мероприятия. Мне не хватает больших выставок и конференций, связанных со сферой строительства,как проводят в экспо центре в Новосибирске")</f>
        <v>Любые общественные мероприятия. Мне не хватает больших выставок и конференций, связанных со сферой строительства,как проводят в экспо центре в Новосибирске</v>
      </c>
      <c r="AD156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69" s="6" t="str">
        <f>IFERROR(__xludf.DUMMYFUNCTION("""COMPUTED_VALUE"""),"Женский")</f>
        <v>Женский</v>
      </c>
      <c r="AF1569" s="6" t="str">
        <f>IFERROR(__xludf.DUMMYFUNCTION("""COMPUTED_VALUE"""),"18-29")</f>
        <v>18-29</v>
      </c>
      <c r="AG1569" s="6"/>
      <c r="AH1569" s="6"/>
      <c r="AI1569" s="6"/>
      <c r="AJ1569" s="6"/>
      <c r="AK1569" s="6"/>
      <c r="AL1569" s="6"/>
      <c r="AM1569" s="6"/>
    </row>
    <row r="1570">
      <c r="A1570" s="6">
        <v>1569.0</v>
      </c>
      <c r="B1570" s="6" t="str">
        <f>IFERROR(__xludf.DUMMYFUNCTION("""COMPUTED_VALUE"""),"Работаю")</f>
        <v>Работаю</v>
      </c>
      <c r="C1570" s="6" t="str">
        <f>IFERROR(__xludf.DUMMYFUNCTION("""COMPUTED_VALUE"""),"Смотреть сериалы ")</f>
        <v>Смотреть сериалы </v>
      </c>
      <c r="D1570" s="6" t="str">
        <f>IFERROR(__xludf.DUMMYFUNCTION("""COMPUTED_VALUE"""),"Центральный, называем Ленина")</f>
        <v>Центральный, называем Ленина</v>
      </c>
      <c r="E1570" s="6" t="str">
        <f>IFERROR(__xludf.DUMMYFUNCTION("""COMPUTED_VALUE"""),"Пятёрочка, магнит, лента ")</f>
        <v>Пятёрочка, магнит, лента </v>
      </c>
      <c r="F1570" s="6" t="str">
        <f>IFERROR(__xludf.DUMMYFUNCTION("""COMPUTED_VALUE"""),"Живу здесь с рождения")</f>
        <v>Живу здесь с рождения</v>
      </c>
      <c r="G1570" s="6" t="str">
        <f>IFERROR(__xludf.DUMMYFUNCTION("""COMPUTED_VALUE"""),"Двор")</f>
        <v>Двор</v>
      </c>
      <c r="H1570" s="6" t="str">
        <f>IFERROR(__xludf.DUMMYFUNCTION("""COMPUTED_VALUE"""),"Экология, двор, деревня")</f>
        <v>Экология, двор, деревня</v>
      </c>
      <c r="I1570" s="6" t="str">
        <f>IFERROR(__xludf.DUMMYFUNCTION("""COMPUTED_VALUE"""),"Волков")</f>
        <v>Волков</v>
      </c>
      <c r="J1570" s="6" t="str">
        <f>IFERROR(__xludf.DUMMYFUNCTION("""COMPUTED_VALUE"""),"Пилипчук, тулеев ")</f>
        <v>Пилипчук, тулеев </v>
      </c>
      <c r="K1570" s="6" t="str">
        <f>IFERROR(__xludf.DUMMYFUNCTION("""COMPUTED_VALUE"""),"Нечего тут показывать ")</f>
        <v>Нечего тут показывать </v>
      </c>
      <c r="L1570" s="6" t="str">
        <f>IFERROR(__xludf.DUMMYFUNCTION("""COMPUTED_VALUE"""),"Затрудняюсь ответить")</f>
        <v>Затрудняюсь ответить</v>
      </c>
      <c r="M1570" s="6" t="str">
        <f>IFERROR(__xludf.DUMMYFUNCTION("""COMPUTED_VALUE"""),"Южный - никому не нужный. Центральный - ***льный")</f>
        <v>Южный - никому не нужный. Центральный - ***льный</v>
      </c>
      <c r="N1570" s="6" t="str">
        <f>IFERROR(__xludf.DUMMYFUNCTION("""COMPUTED_VALUE"""),"Экология, окружающие люди, есть куда сходить семьёй не дорого, транспорт ходил часто и долго, достойная зарплата")</f>
        <v>Экология, окружающие люди, есть куда сходить семьёй не дорого, транспорт ходил часто и долго, достойная зарплата</v>
      </c>
      <c r="O1570" s="6" t="str">
        <f>IFERROR(__xludf.DUMMYFUNCTION("""COMPUTED_VALUE"""),"Поднять зарплаты, особенно бюджетным сферам.")</f>
        <v>Поднять зарплаты, особенно бюджетным сферам.</v>
      </c>
      <c r="P1570" s="6" t="str">
        <f>IFERROR(__xludf.DUMMYFUNCTION("""COMPUTED_VALUE"""),"В контакте, инстаграм")</f>
        <v>В контакте, инстаграм</v>
      </c>
      <c r="Q1570" s="6" t="str">
        <f>IFERROR(__xludf.DUMMYFUNCTION("""COMPUTED_VALUE"""),"городская афиша (кино/театр/концерты), криминальные новости (происшествия/преступления), новости про новые профессии/куда поступать/вакансии")</f>
        <v>городская афиша (кино/театр/концерты), криминальные новости (происшествия/преступления), новости про новые профессии/куда поступать/вакансии</v>
      </c>
      <c r="R1570" s="6" t="str">
        <f>IFERROR(__xludf.DUMMYFUNCTION("""COMPUTED_VALUE"""),"9 мая, день города, новый год")</f>
        <v>9 мая, день города, новый год</v>
      </c>
      <c r="S1570" s="6" t="str">
        <f>IFERROR(__xludf.DUMMYFUNCTION("""COMPUTED_VALUE"""),"Нет, не приходилось")</f>
        <v>Нет, не приходилось</v>
      </c>
      <c r="T1570" s="6" t="str">
        <f>IFERROR(__xludf.DUMMYFUNCTION("""COMPUTED_VALUE"""),"Грязный воздух, известен пожаром в зимней вишне, уникального ничего нет")</f>
        <v>Грязный воздух, известен пожаром в зимней вишне, уникального ничего нет</v>
      </c>
      <c r="U1570" s="6" t="str">
        <f>IFERROR(__xludf.DUMMYFUNCTION("""COMPUTED_VALUE"""),"Памятник Ленину, фонтан, торговый центр Я, химик, кристалл")</f>
        <v>Памятник Ленину, фонтан, торговый центр Я, химик, кристалл</v>
      </c>
      <c r="V1570" s="6" t="str">
        <f>IFERROR(__xludf.DUMMYFUNCTION("""COMPUTED_VALUE"""),"Работали много")</f>
        <v>Работали много</v>
      </c>
      <c r="W1570" s="6" t="str">
        <f>IFERROR(__xludf.DUMMYFUNCTION("""COMPUTED_VALUE"""),"Наглые, жадные, наивные ")</f>
        <v>Наглые, жадные, наивные </v>
      </c>
      <c r="X1570" s="6" t="str">
        <f>IFERROR(__xludf.DUMMYFUNCTION("""COMPUTED_VALUE"""),"По бульвару и на притомский проспект")</f>
        <v>По бульвару и на притомский проспект</v>
      </c>
      <c r="Y1570" s="6" t="str">
        <f>IFERROR(__xludf.DUMMYFUNCTION("""COMPUTED_VALUE"""),"Пожар в зимней вишне. Отставка тулеева")</f>
        <v>Пожар в зимней вишне. Отставка тулеева</v>
      </c>
      <c r="Z1570" s="6" t="str">
        <f>IFERROR(__xludf.DUMMYFUNCTION("""COMPUTED_VALUE"""),"Масленица в томской писанице, рок-концерт где гостиница кристалл. ")</f>
        <v>Масленица в томской писанице, рок-концерт где гостиница кристалл. </v>
      </c>
      <c r="AA1570" s="6" t="str">
        <f>IFERROR(__xludf.DUMMYFUNCTION("""COMPUTED_VALUE"""),"Пожар в зимней вишне, митинги")</f>
        <v>Пожар в зимней вишне, митинги</v>
      </c>
      <c r="AB1570" s="6" t="str">
        <f>IFERROR(__xludf.DUMMYFUNCTION("""COMPUTED_VALUE"""),"Никаких ")</f>
        <v>Никаких </v>
      </c>
      <c r="AC1570" s="6" t="str">
        <f>IFERROR(__xludf.DUMMYFUNCTION("""COMPUTED_VALUE"""),"Чаще приглашали звёзд на бесплатные концерты в город. Музеи что бы работали по выходным. ")</f>
        <v>Чаще приглашали звёзд на бесплатные концерты в город. Музеи что бы работали по выходным. </v>
      </c>
      <c r="AD157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70" s="6" t="str">
        <f>IFERROR(__xludf.DUMMYFUNCTION("""COMPUTED_VALUE"""),"Женский")</f>
        <v>Женский</v>
      </c>
      <c r="AF1570" s="6" t="str">
        <f>IFERROR(__xludf.DUMMYFUNCTION("""COMPUTED_VALUE"""),"18-29")</f>
        <v>18-29</v>
      </c>
      <c r="AG1570" s="6"/>
      <c r="AH1570" s="6"/>
      <c r="AI1570" s="6"/>
      <c r="AJ1570" s="6"/>
      <c r="AK1570" s="6"/>
      <c r="AL1570" s="6"/>
      <c r="AM1570" s="6"/>
    </row>
    <row r="1571">
      <c r="A1571" s="6">
        <v>1570.0</v>
      </c>
      <c r="B1571" s="6" t="str">
        <f>IFERROR(__xludf.DUMMYFUNCTION("""COMPUTED_VALUE"""),"Работаю")</f>
        <v>Работаю</v>
      </c>
      <c r="C1571" s="6" t="str">
        <f>IFERROR(__xludf.DUMMYFUNCTION("""COMPUTED_VALUE"""),"Нет")</f>
        <v>Нет</v>
      </c>
      <c r="D1571" s="6" t="str">
        <f>IFERROR(__xludf.DUMMYFUNCTION("""COMPUTED_VALUE"""),"Рулничный, кедровка")</f>
        <v>Рулничный, кедровка</v>
      </c>
      <c r="E1571" s="6" t="str">
        <f>IFERROR(__xludf.DUMMYFUNCTION("""COMPUTED_VALUE"""),"Бульвар строителей")</f>
        <v>Бульвар строителей</v>
      </c>
      <c r="F1571" s="6" t="str">
        <f>IFERROR(__xludf.DUMMYFUNCTION("""COMPUTED_VALUE"""),"Живу здесь с рождения")</f>
        <v>Живу здесь с рождения</v>
      </c>
      <c r="G1571" s="6" t="str">
        <f>IFERROR(__xludf.DUMMYFUNCTION("""COMPUTED_VALUE"""),"Парк чудес")</f>
        <v>Парк чудес</v>
      </c>
      <c r="H1571" s="6" t="str">
        <f>IFERROR(__xludf.DUMMYFUNCTION("""COMPUTED_VALUE"""),".... ")</f>
        <v>.... </v>
      </c>
      <c r="I1571" s="6" t="str">
        <f>IFERROR(__xludf.DUMMYFUNCTION("""COMPUTED_VALUE"""),"Гагарин, Ленин. ")</f>
        <v>Гагарин, Ленин. </v>
      </c>
      <c r="J1571" s="6" t="str">
        <f>IFERROR(__xludf.DUMMYFUNCTION("""COMPUTED_VALUE"""),"Вера волошина")</f>
        <v>Вера волошина</v>
      </c>
      <c r="K1571" s="6" t="str">
        <f>IFERROR(__xludf.DUMMYFUNCTION("""COMPUTED_VALUE"""),"Зимняя вишня")</f>
        <v>Зимняя вишня</v>
      </c>
      <c r="L1571" s="6" t="str">
        <f>IFERROR(__xludf.DUMMYFUNCTION("""COMPUTED_VALUE"""),".... ")</f>
        <v>.... </v>
      </c>
      <c r="M1571" s="6" t="str">
        <f>IFERROR(__xludf.DUMMYFUNCTION("""COMPUTED_VALUE"""),".... ")</f>
        <v>.... </v>
      </c>
      <c r="N1571" s="6" t="str">
        <f>IFERROR(__xludf.DUMMYFUNCTION("""COMPUTED_VALUE"""),". ")</f>
        <v>. </v>
      </c>
      <c r="O1571" s="6" t="str">
        <f>IFERROR(__xludf.DUMMYFUNCTION("""COMPUTED_VALUE"""),"Запустили совсем кедровку")</f>
        <v>Запустили совсем кедровку</v>
      </c>
      <c r="P1571" s="6" t="str">
        <f>IFERROR(__xludf.DUMMYFUNCTION("""COMPUTED_VALUE"""),"Инцидент кемерово")</f>
        <v>Инцидент кемерово</v>
      </c>
      <c r="Q1571" s="6" t="str">
        <f>IFERROR(__xludf.DUMMYFUNCTION("""COMPUTED_VALUE"""),"куда пойти в свободное время, криминальные новости (происшествия/преступления), новости про новые профессии/куда поступать/вакансии")</f>
        <v>куда пойти в свободное время, криминальные новости (происшествия/преступления), новости про новые профессии/куда поступать/вакансии</v>
      </c>
      <c r="R1571" s="6" t="str">
        <f>IFERROR(__xludf.DUMMYFUNCTION("""COMPUTED_VALUE"""),"День города, день шахтёра, день победы")</f>
        <v>День города, день шахтёра, день победы</v>
      </c>
      <c r="S1571" s="6" t="str">
        <f>IFERROR(__xludf.DUMMYFUNCTION("""COMPUTED_VALUE"""),"Нет, не приходилось")</f>
        <v>Нет, не приходилось</v>
      </c>
      <c r="T1571" s="6" t="str">
        <f>IFERROR(__xludf.DUMMYFUNCTION("""COMPUTED_VALUE"""),"Ничего")</f>
        <v>Ничего</v>
      </c>
      <c r="U1571" s="6" t="str">
        <f>IFERROR(__xludf.DUMMYFUNCTION("""COMPUTED_VALUE"""),"Фантан.")</f>
        <v>Фантан.</v>
      </c>
      <c r="V1571" s="6" t="str">
        <f>IFERROR(__xludf.DUMMYFUNCTION("""COMPUTED_VALUE"""),".... ")</f>
        <v>.... </v>
      </c>
      <c r="W1571" s="6" t="str">
        <f>IFERROR(__xludf.DUMMYFUNCTION("""COMPUTED_VALUE"""),"... ")</f>
        <v>... </v>
      </c>
      <c r="X1571" s="6" t="str">
        <f>IFERROR(__xludf.DUMMYFUNCTION("""COMPUTED_VALUE"""),"Бульвар, весенняя, ленина")</f>
        <v>Бульвар, весенняя, ленина</v>
      </c>
      <c r="Y1571" s="6" t="str">
        <f>IFERROR(__xludf.DUMMYFUNCTION("""COMPUTED_VALUE"""),".... ")</f>
        <v>.... </v>
      </c>
      <c r="Z1571" s="6" t="str">
        <f>IFERROR(__xludf.DUMMYFUNCTION("""COMPUTED_VALUE"""),".... ")</f>
        <v>.... </v>
      </c>
      <c r="AA1571" s="6" t="str">
        <f>IFERROR(__xludf.DUMMYFUNCTION("""COMPUTED_VALUE"""),"Пожар з. М. ")</f>
        <v>Пожар з. М. </v>
      </c>
      <c r="AB1571" s="6" t="str">
        <f>IFERROR(__xludf.DUMMYFUNCTION("""COMPUTED_VALUE"""),"... ")</f>
        <v>... </v>
      </c>
      <c r="AC1571" s="6" t="str">
        <f>IFERROR(__xludf.DUMMYFUNCTION("""COMPUTED_VALUE"""),"Больше праздника ")</f>
        <v>Больше праздника </v>
      </c>
      <c r="AD1571"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71" s="6" t="str">
        <f>IFERROR(__xludf.DUMMYFUNCTION("""COMPUTED_VALUE"""),"Женский")</f>
        <v>Женский</v>
      </c>
      <c r="AF1571" s="6" t="str">
        <f>IFERROR(__xludf.DUMMYFUNCTION("""COMPUTED_VALUE"""),"18-29")</f>
        <v>18-29</v>
      </c>
      <c r="AG1571" s="6"/>
      <c r="AH1571" s="6"/>
      <c r="AI1571" s="6"/>
      <c r="AJ1571" s="6"/>
      <c r="AK1571" s="6"/>
      <c r="AL1571" s="6"/>
      <c r="AM1571" s="6"/>
    </row>
    <row r="1572">
      <c r="A1572" s="6">
        <v>1571.0</v>
      </c>
      <c r="B1572" s="6" t="str">
        <f>IFERROR(__xludf.DUMMYFUNCTION("""COMPUTED_VALUE"""),"Работаю")</f>
        <v>Работаю</v>
      </c>
      <c r="C1572" s="6" t="str">
        <f>IFERROR(__xludf.DUMMYFUNCTION("""COMPUTED_VALUE"""),"Нет")</f>
        <v>Нет</v>
      </c>
      <c r="D1572" s="6" t="str">
        <f>IFERROR(__xludf.DUMMYFUNCTION("""COMPUTED_VALUE"""),"Рулничный, кедровка")</f>
        <v>Рулничный, кедровка</v>
      </c>
      <c r="E1572" s="6" t="str">
        <f>IFERROR(__xludf.DUMMYFUNCTION("""COMPUTED_VALUE"""),"Бульвар строителей")</f>
        <v>Бульвар строителей</v>
      </c>
      <c r="F1572" s="6" t="str">
        <f>IFERROR(__xludf.DUMMYFUNCTION("""COMPUTED_VALUE"""),"Живу здесь с рождения")</f>
        <v>Живу здесь с рождения</v>
      </c>
      <c r="G1572" s="6" t="str">
        <f>IFERROR(__xludf.DUMMYFUNCTION("""COMPUTED_VALUE"""),"Парк чудес")</f>
        <v>Парк чудес</v>
      </c>
      <c r="H1572" s="6" t="str">
        <f>IFERROR(__xludf.DUMMYFUNCTION("""COMPUTED_VALUE"""),".... ")</f>
        <v>.... </v>
      </c>
      <c r="I1572" s="6" t="str">
        <f>IFERROR(__xludf.DUMMYFUNCTION("""COMPUTED_VALUE"""),"Гагарин, Ленин. ")</f>
        <v>Гагарин, Ленин. </v>
      </c>
      <c r="J1572" s="6" t="str">
        <f>IFERROR(__xludf.DUMMYFUNCTION("""COMPUTED_VALUE"""),"Вера волошина")</f>
        <v>Вера волошина</v>
      </c>
      <c r="K1572" s="6" t="str">
        <f>IFERROR(__xludf.DUMMYFUNCTION("""COMPUTED_VALUE"""),"Зимняя вишня")</f>
        <v>Зимняя вишня</v>
      </c>
      <c r="L1572" s="6" t="str">
        <f>IFERROR(__xludf.DUMMYFUNCTION("""COMPUTED_VALUE"""),".... ")</f>
        <v>.... </v>
      </c>
      <c r="M1572" s="6" t="str">
        <f>IFERROR(__xludf.DUMMYFUNCTION("""COMPUTED_VALUE"""),".... ")</f>
        <v>.... </v>
      </c>
      <c r="N1572" s="6" t="str">
        <f>IFERROR(__xludf.DUMMYFUNCTION("""COMPUTED_VALUE"""),". ")</f>
        <v>. </v>
      </c>
      <c r="O1572" s="6" t="str">
        <f>IFERROR(__xludf.DUMMYFUNCTION("""COMPUTED_VALUE"""),"Запустили совсем кедровку")</f>
        <v>Запустили совсем кедровку</v>
      </c>
      <c r="P1572" s="6" t="str">
        <f>IFERROR(__xludf.DUMMYFUNCTION("""COMPUTED_VALUE"""),"Инцидент кемерово")</f>
        <v>Инцидент кемерово</v>
      </c>
      <c r="Q1572" s="6" t="str">
        <f>IFERROR(__xludf.DUMMYFUNCTION("""COMPUTED_VALUE"""),"куда пойти в свободное время, криминальные новости (происшествия/преступления), новости про новые профессии/куда поступать/вакансии")</f>
        <v>куда пойти в свободное время, криминальные новости (происшествия/преступления), новости про новые профессии/куда поступать/вакансии</v>
      </c>
      <c r="R1572" s="6" t="str">
        <f>IFERROR(__xludf.DUMMYFUNCTION("""COMPUTED_VALUE"""),"День города, день шахтёра, день победы")</f>
        <v>День города, день шахтёра, день победы</v>
      </c>
      <c r="S1572" s="6" t="str">
        <f>IFERROR(__xludf.DUMMYFUNCTION("""COMPUTED_VALUE"""),"Нет, не приходилось")</f>
        <v>Нет, не приходилось</v>
      </c>
      <c r="T1572" s="6" t="str">
        <f>IFERROR(__xludf.DUMMYFUNCTION("""COMPUTED_VALUE"""),"Ничего")</f>
        <v>Ничего</v>
      </c>
      <c r="U1572" s="6" t="str">
        <f>IFERROR(__xludf.DUMMYFUNCTION("""COMPUTED_VALUE"""),"Фантан.")</f>
        <v>Фантан.</v>
      </c>
      <c r="V1572" s="6" t="str">
        <f>IFERROR(__xludf.DUMMYFUNCTION("""COMPUTED_VALUE"""),".... ")</f>
        <v>.... </v>
      </c>
      <c r="W1572" s="6" t="str">
        <f>IFERROR(__xludf.DUMMYFUNCTION("""COMPUTED_VALUE"""),"... ")</f>
        <v>... </v>
      </c>
      <c r="X1572" s="6" t="str">
        <f>IFERROR(__xludf.DUMMYFUNCTION("""COMPUTED_VALUE"""),"Бульвар, весенняя, ленина")</f>
        <v>Бульвар, весенняя, ленина</v>
      </c>
      <c r="Y1572" s="6" t="str">
        <f>IFERROR(__xludf.DUMMYFUNCTION("""COMPUTED_VALUE"""),".... ")</f>
        <v>.... </v>
      </c>
      <c r="Z1572" s="6" t="str">
        <f>IFERROR(__xludf.DUMMYFUNCTION("""COMPUTED_VALUE"""),".... ")</f>
        <v>.... </v>
      </c>
      <c r="AA1572" s="6" t="str">
        <f>IFERROR(__xludf.DUMMYFUNCTION("""COMPUTED_VALUE"""),"Пожар з. М. ")</f>
        <v>Пожар з. М. </v>
      </c>
      <c r="AB1572" s="6" t="str">
        <f>IFERROR(__xludf.DUMMYFUNCTION("""COMPUTED_VALUE"""),"... ")</f>
        <v>... </v>
      </c>
      <c r="AC1572" s="6" t="str">
        <f>IFERROR(__xludf.DUMMYFUNCTION("""COMPUTED_VALUE"""),"Больше праздника ")</f>
        <v>Больше праздника </v>
      </c>
      <c r="AD157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72" s="6" t="str">
        <f>IFERROR(__xludf.DUMMYFUNCTION("""COMPUTED_VALUE"""),"Женский")</f>
        <v>Женский</v>
      </c>
      <c r="AF1572" s="6" t="str">
        <f>IFERROR(__xludf.DUMMYFUNCTION("""COMPUTED_VALUE"""),"18-29")</f>
        <v>18-29</v>
      </c>
      <c r="AG1572" s="6"/>
      <c r="AH1572" s="6"/>
      <c r="AI1572" s="6"/>
      <c r="AJ1572" s="6"/>
      <c r="AK1572" s="6"/>
      <c r="AL1572" s="6"/>
      <c r="AM1572" s="6"/>
    </row>
    <row r="1573">
      <c r="A1573" s="6">
        <v>1572.0</v>
      </c>
      <c r="B1573" s="6" t="str">
        <f>IFERROR(__xludf.DUMMYFUNCTION("""COMPUTED_VALUE"""),"Бухгалтер")</f>
        <v>Бухгалтер</v>
      </c>
      <c r="C1573" s="6" t="str">
        <f>IFERROR(__xludf.DUMMYFUNCTION("""COMPUTED_VALUE"""),"Кулинария")</f>
        <v>Кулинария</v>
      </c>
      <c r="D1573" s="6" t="str">
        <f>IFERROR(__xludf.DUMMYFUNCTION("""COMPUTED_VALUE"""),"Заводском")</f>
        <v>Заводском</v>
      </c>
      <c r="E1573" s="6" t="str">
        <f>IFERROR(__xludf.DUMMYFUNCTION("""COMPUTED_VALUE"""),"Церковь")</f>
        <v>Церковь</v>
      </c>
      <c r="F1573"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573" s="6" t="str">
        <f>IFERROR(__xludf.DUMMYFUNCTION("""COMPUTED_VALUE"""),"Набережная")</f>
        <v>Набережная</v>
      </c>
      <c r="H1573" s="6" t="str">
        <f>IFERROR(__xludf.DUMMYFUNCTION("""COMPUTED_VALUE"""),"Грязный воздух, мало предприятий с достойной зарплатой, мало мест куда можно сходить семьёй отдахнуть. ")</f>
        <v>Грязный воздух, мало предприятий с достойной зарплатой, мало мест куда можно сходить семьёй отдахнуть. </v>
      </c>
      <c r="I1573" s="6" t="str">
        <f>IFERROR(__xludf.DUMMYFUNCTION("""COMPUTED_VALUE"""),"В. Волошина,")</f>
        <v>В. Волошина,</v>
      </c>
      <c r="J1573" s="6" t="str">
        <f>IFERROR(__xludf.DUMMYFUNCTION("""COMPUTED_VALUE"""),"А. Г. Тулеев")</f>
        <v>А. Г. Тулеев</v>
      </c>
      <c r="K1573" s="6" t="str">
        <f>IFERROR(__xludf.DUMMYFUNCTION("""COMPUTED_VALUE"""),"Томская писаница")</f>
        <v>Томская писаница</v>
      </c>
      <c r="L1573" s="6" t="str">
        <f>IFERROR(__xludf.DUMMYFUNCTION("""COMPUTED_VALUE"""),"*")</f>
        <v>*</v>
      </c>
      <c r="M1573" s="6" t="str">
        <f>IFERROR(__xludf.DUMMYFUNCTION("""COMPUTED_VALUE"""),"Нет")</f>
        <v>Нет</v>
      </c>
      <c r="N1573" s="6" t="str">
        <f>IFERROR(__xludf.DUMMYFUNCTION("""COMPUTED_VALUE"""),"Чистый воздух, предприятия с достойной белой зарплатой, новые парки для отдыха. ")</f>
        <v>Чистый воздух, предприятия с достойной белой зарплатой, новые парки для отдыха. </v>
      </c>
      <c r="O1573" s="6" t="str">
        <f>IFERROR(__xludf.DUMMYFUNCTION("""COMPUTED_VALUE"""),"Экологию")</f>
        <v>Экологию</v>
      </c>
      <c r="P1573" s="6" t="str">
        <f>IFERROR(__xludf.DUMMYFUNCTION("""COMPUTED_VALUE"""),"Инстаграм")</f>
        <v>Инстаграм</v>
      </c>
      <c r="Q1573" s="6" t="str">
        <f>IFERROR(__xludf.DUMMYFUNCTION("""COMPUTED_VALUE"""),"куда пойти в свободное время")</f>
        <v>куда пойти в свободное время</v>
      </c>
      <c r="R1573" s="6" t="str">
        <f>IFERROR(__xludf.DUMMYFUNCTION("""COMPUTED_VALUE"""),"9 мая, день города")</f>
        <v>9 мая, день города</v>
      </c>
      <c r="S1573" s="6" t="str">
        <f>IFERROR(__xludf.DUMMYFUNCTION("""COMPUTED_VALUE"""),"Нет, не приходилось")</f>
        <v>Нет, не приходилось</v>
      </c>
      <c r="T1573" s="6" t="str">
        <f>IFERROR(__xludf.DUMMYFUNCTION("""COMPUTED_VALUE"""),"Углем")</f>
        <v>Углем</v>
      </c>
      <c r="U1573" s="6" t="str">
        <f>IFERROR(__xludf.DUMMYFUNCTION("""COMPUTED_VALUE"""),"Площадь советов")</f>
        <v>Площадь советов</v>
      </c>
      <c r="V1573" s="6" t="str">
        <f>IFERROR(__xludf.DUMMYFUNCTION("""COMPUTED_VALUE"""),"🤷‍♂️")</f>
        <v>🤷‍♂️</v>
      </c>
      <c r="W1573" s="6" t="str">
        <f>IFERROR(__xludf.DUMMYFUNCTION("""COMPUTED_VALUE"""),"Добрые, терпеливые")</f>
        <v>Добрые, терпеливые</v>
      </c>
      <c r="X1573" s="6" t="str">
        <f>IFERROR(__xludf.DUMMYFUNCTION("""COMPUTED_VALUE"""),"Площадь советов")</f>
        <v>Площадь советов</v>
      </c>
      <c r="Y1573" s="6" t="str">
        <f>IFERROR(__xludf.DUMMYFUNCTION("""COMPUTED_VALUE"""),"🤷‍♂️")</f>
        <v>🤷‍♂️</v>
      </c>
      <c r="Z1573" s="6" t="str">
        <f>IFERROR(__xludf.DUMMYFUNCTION("""COMPUTED_VALUE"""),"🤷‍♂️🤷‍♂️")</f>
        <v>🤷‍♂️🤷‍♂️</v>
      </c>
      <c r="AA1573" s="6" t="str">
        <f>IFERROR(__xludf.DUMMYFUNCTION("""COMPUTED_VALUE"""),"🤷‍♂️")</f>
        <v>🤷‍♂️</v>
      </c>
      <c r="AB1573" s="6" t="str">
        <f>IFERROR(__xludf.DUMMYFUNCTION("""COMPUTED_VALUE"""),"🤷‍♂️")</f>
        <v>🤷‍♂️</v>
      </c>
      <c r="AC1573" s="6" t="str">
        <f>IFERROR(__xludf.DUMMYFUNCTION("""COMPUTED_VALUE"""),"🤷‍♂️")</f>
        <v>🤷‍♂️</v>
      </c>
      <c r="AD157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73" s="6" t="str">
        <f>IFERROR(__xludf.DUMMYFUNCTION("""COMPUTED_VALUE"""),"Женский")</f>
        <v>Женский</v>
      </c>
      <c r="AF1573" s="6" t="str">
        <f>IFERROR(__xludf.DUMMYFUNCTION("""COMPUTED_VALUE"""),"30-44")</f>
        <v>30-44</v>
      </c>
      <c r="AG1573" s="6"/>
      <c r="AH1573" s="6"/>
      <c r="AI1573" s="6"/>
      <c r="AJ1573" s="6"/>
      <c r="AK1573" s="6"/>
      <c r="AL1573" s="6"/>
      <c r="AM1573" s="6"/>
    </row>
    <row r="1574">
      <c r="A1574" s="6">
        <v>1573.0</v>
      </c>
      <c r="B1574" s="6" t="str">
        <f>IFERROR(__xludf.DUMMYFUNCTION("""COMPUTED_VALUE"""),"Работаю врачом")</f>
        <v>Работаю врачом</v>
      </c>
      <c r="C1574" s="6" t="str">
        <f>IFERROR(__xludf.DUMMYFUNCTION("""COMPUTED_VALUE"""),"Работа дополнительная после основной работы, иногда путешествую")</f>
        <v>Работа дополнительная после основной работы, иногда путешествую</v>
      </c>
      <c r="D1574" s="6" t="str">
        <f>IFERROR(__xludf.DUMMYFUNCTION("""COMPUTED_VALUE"""),"На южном, это сейчас мой дом")</f>
        <v>На южном, это сейчас мой дом</v>
      </c>
      <c r="E1574" s="6" t="str">
        <f>IFERROR(__xludf.DUMMYFUNCTION("""COMPUTED_VALUE"""),"Церковь, школа 14 и детский сад на улице Дружбы, бульвар на Патриотов")</f>
        <v>Церковь, школа 14 и детский сад на улице Дружбы, бульвар на Патриотов</v>
      </c>
      <c r="F1574" s="6" t="str">
        <f>IFERROR(__xludf.DUMMYFUNCTION("""COMPUTED_VALUE"""),"Живу здесь с рождения")</f>
        <v>Живу здесь с рождения</v>
      </c>
      <c r="G1574" s="6" t="str">
        <f>IFERROR(__xludf.DUMMYFUNCTION("""COMPUTED_VALUE"""),"Люблю гулять по проспекту Советскому")</f>
        <v>Люблю гулять по проспекту Советскому</v>
      </c>
      <c r="H1574" s="6" t="str">
        <f>IFERROR(__xludf.DUMMYFUNCTION("""COMPUTED_VALUE"""),"Родина,, Сибирь-матушка, промышленный, заводской, загазованный")</f>
        <v>Родина,, Сибирь-матушка, промышленный, заводской, загазованный</v>
      </c>
      <c r="I1574" s="6" t="str">
        <f>IFERROR(__xludf.DUMMYFUNCTION("""COMPUTED_VALUE"""),"Подгорбунский, Леонов, Романов")</f>
        <v>Подгорбунский, Леонов, Романов</v>
      </c>
      <c r="J1574" s="6" t="str">
        <f>IFERROR(__xludf.DUMMYFUNCTION("""COMPUTED_VALUE"""),"Михайлов ")</f>
        <v>Михайлов </v>
      </c>
      <c r="K1574" s="6" t="str">
        <f>IFERROR(__xludf.DUMMYFUNCTION("""COMPUTED_VALUE"""),"Вечный огонь, набережная, филармония, красная горка")</f>
        <v>Вечный огонь, набережная, филармония, красная горка</v>
      </c>
      <c r="L1574" s="6" t="str">
        <f>IFERROR(__xludf.DUMMYFUNCTION("""COMPUTED_VALUE"""),"Настоящий сибиряк не тот, кто не мёрзнет, а тот, кто тепло одевается ")</f>
        <v>Настоящий сибиряк не тот, кто не мёрзнет, а тот, кто тепло одевается </v>
      </c>
      <c r="M1574" s="6" t="str">
        <f>IFERROR(__xludf.DUMMYFUNCTION("""COMPUTED_VALUE"""),"«Опять газ выпустили»")</f>
        <v>«Опять газ выпустили»</v>
      </c>
      <c r="N1574" s="6" t="str">
        <f>IFERROR(__xludf.DUMMYFUNCTION("""COMPUTED_VALUE"""),"Чистота, освещение улиц, работа транспорта")</f>
        <v>Чистота, освещение улиц, работа транспорта</v>
      </c>
      <c r="O1574" s="6" t="str">
        <f>IFERROR(__xludf.DUMMYFUNCTION("""COMPUTED_VALUE"""),"Необходимо добавить количество автобусных маршрутов и самих автобусов с Южного в Центр, где работает большинство. За 10 лет моей жизни на Южном выстроено несколько десятков домов, а автобусы стали ходить реже— был 1 в 7 мин, а сейчас в 15! Вечером рано за"&amp;"канчивают ходить, после 20 час ни домой, ни из дома не уедешь, только на такси. Между районами плохая связь-как например добраться с Южного на Притомский? Очень трудно с работой, зарплата маленькая, во многих ИП она ещё и серая.")</f>
        <v>Необходимо добавить количество автобусных маршрутов и самих автобусов с Южного в Центр, где работает большинство. За 10 лет моей жизни на Южном выстроено несколько десятков домов, а автобусы стали ходить реже— был 1 в 7 мин, а сейчас в 15! Вечером рано заканчивают ходить, после 20 час ни домой, ни из дома не уедешь, только на такси. Между районами плохая связь-как например добраться с Южного на Притомский? Очень трудно с работой, зарплата маленькая, во многих ИП она ещё и серая.</v>
      </c>
      <c r="P1574" s="6" t="str">
        <f>IFERROR(__xludf.DUMMYFUNCTION("""COMPUTED_VALUE"""),"Инстаграм, новости Яндекс")</f>
        <v>Инстаграм, новости Яндекс</v>
      </c>
      <c r="Q157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v>
      </c>
      <c r="R1574" s="6" t="str">
        <f>IFERROR(__xludf.DUMMYFUNCTION("""COMPUTED_VALUE"""),"День города")</f>
        <v>День города</v>
      </c>
      <c r="S1574" s="6" t="str">
        <f>IFERROR(__xludf.DUMMYFUNCTION("""COMPUTED_VALUE"""),"Нет, не приходилось")</f>
        <v>Нет, не приходилось</v>
      </c>
      <c r="T1574" s="6" t="str">
        <f>IFERROR(__xludf.DUMMYFUNCTION("""COMPUTED_VALUE"""),"Уникального ничего нет, но гостям нравится своей компактностью. Прославился трагедией с Зимней вишней, к сожалению.")</f>
        <v>Уникального ничего нет, но гостям нравится своей компактностью. Прославился трагедией с Зимней вишней, к сожалению.</v>
      </c>
      <c r="U1574" s="6" t="str">
        <f>IFERROR(__xludf.DUMMYFUNCTION("""COMPUTED_VALUE"""),"Советский проспект, площадь Ленина ")</f>
        <v>Советский проспект, площадь Ленина </v>
      </c>
      <c r="V1574" s="6" t="str">
        <f>IFERROR(__xludf.DUMMYFUNCTION("""COMPUTED_VALUE"""),"Очень много работали ")</f>
        <v>Очень много работали </v>
      </c>
      <c r="W1574" s="6" t="str">
        <f>IFERROR(__xludf.DUMMYFUNCTION("""COMPUTED_VALUE"""),"Большинство добрые. трудолюбивые люди, готовые прийти на помощь")</f>
        <v>Большинство добрые. трудолюбивые люди, готовые прийти на помощь</v>
      </c>
      <c r="X1574" s="6" t="str">
        <f>IFERROR(__xludf.DUMMYFUNCTION("""COMPUTED_VALUE"""),"Площадь, Весенька, набережная, горсад, мост, надпись Кузбасс ")</f>
        <v>Площадь, Весенька, набережная, горсад, мост, надпись Кузбасс </v>
      </c>
      <c r="Y1574" s="6" t="str">
        <f>IFERROR(__xludf.DUMMYFUNCTION("""COMPUTED_VALUE"""),"Оно было не одно- например чемпионат по хоккею с мячом с Норвегией, Швецией и Финляндией во времена моего детства ")</f>
        <v>Оно было не одно- например чемпионат по хоккею с мячом с Норвегией, Швецией и Финляндией во времена моего детства </v>
      </c>
      <c r="Z1574" s="6" t="str">
        <f>IFERROR(__xludf.DUMMYFUNCTION("""COMPUTED_VALUE"""),"Рок-концерт в подарок от Стройсервиса")</f>
        <v>Рок-концерт в подарок от Стройсервиса</v>
      </c>
      <c r="AA1574" s="6" t="str">
        <f>IFERROR(__xludf.DUMMYFUNCTION("""COMPUTED_VALUE"""),"Расследование пожара в Зимней вишне, убийство Веры Пестелевой -отсутствие экипажей, машин, бензина и тд")</f>
        <v>Расследование пожара в Зимней вишне, убийство Веры Пестелевой -отсутствие экипажей, машин, бензина и тд</v>
      </c>
      <c r="AB1574" s="6" t="str">
        <f>IFERROR(__xludf.DUMMYFUNCTION("""COMPUTED_VALUE"""),"Мне хватает моей работы ")</f>
        <v>Мне хватает моей работы </v>
      </c>
      <c r="AC1574" s="6" t="str">
        <f>IFERROR(__xludf.DUMMYFUNCTION("""COMPUTED_VALUE"""),"Наш город такой маленький, что больше чем есть, в него уже ничего не поместить.  ")</f>
        <v>Наш город такой маленький, что больше чем есть, в него уже ничего не поместить.  </v>
      </c>
      <c r="AD1574" s="6" t="str">
        <f>IFERROR(__xludf.DUMMYFUNCTION("""COMPUTED_VALUE"""),"Не готов принимать личное участие (укажите, пожалуйста, причину в поле «Другое»), По роду профессии не  культмассовик")</f>
        <v>Не готов принимать личное участие (укажите, пожалуйста, причину в поле «Другое»), По роду профессии не  культмассовик</v>
      </c>
      <c r="AE1574" s="6" t="str">
        <f>IFERROR(__xludf.DUMMYFUNCTION("""COMPUTED_VALUE"""),"Женский")</f>
        <v>Женский</v>
      </c>
      <c r="AF1574" s="6" t="str">
        <f>IFERROR(__xludf.DUMMYFUNCTION("""COMPUTED_VALUE"""),"45-55")</f>
        <v>45-55</v>
      </c>
      <c r="AG1574" s="6"/>
      <c r="AH1574" s="6"/>
      <c r="AI1574" s="6"/>
      <c r="AJ1574" s="6"/>
      <c r="AK1574" s="6"/>
      <c r="AL1574" s="6"/>
      <c r="AM1574" s="6"/>
    </row>
    <row r="1575">
      <c r="A1575" s="6">
        <v>1574.0</v>
      </c>
      <c r="B1575" s="6" t="str">
        <f>IFERROR(__xludf.DUMMYFUNCTION("""COMPUTED_VALUE"""),"Бухучет")</f>
        <v>Бухучет</v>
      </c>
      <c r="C1575" s="6" t="str">
        <f>IFERROR(__xludf.DUMMYFUNCTION("""COMPUTED_VALUE"""),"Садоводство,  собаки")</f>
        <v>Садоводство,  собаки</v>
      </c>
      <c r="D1575" s="6" t="str">
        <f>IFERROR(__xludf.DUMMYFUNCTION("""COMPUTED_VALUE"""),"Южный, так и называю")</f>
        <v>Южный, так и называю</v>
      </c>
      <c r="E1575" s="6" t="str">
        <f>IFERROR(__xludf.DUMMYFUNCTION("""COMPUTED_VALUE"""),"Две новые школы")</f>
        <v>Две новые школы</v>
      </c>
      <c r="F1575" s="6" t="str">
        <f>IFERROR(__xludf.DUMMYFUNCTION("""COMPUTED_VALUE"""),"Переехал сюда из другого места (откуда? укажите в графе другое), С Топок")</f>
        <v>Переехал сюда из другого места (откуда? укажите в графе другое), С Топок</v>
      </c>
      <c r="G1575" s="6" t="str">
        <f>IFERROR(__xludf.DUMMYFUNCTION("""COMPUTED_VALUE"""),"Фонтан, сосновый бор, комсомольский парк, горсад")</f>
        <v>Фонтан, сосновый бор, комсомольский парк, горсад</v>
      </c>
      <c r="H1575" s="6" t="str">
        <f>IFERROR(__xludf.DUMMYFUNCTION("""COMPUTED_VALUE"""),"Шахтерский край, ")</f>
        <v>Шахтерский край, </v>
      </c>
      <c r="I1575" s="6" t="str">
        <f>IFERROR(__xludf.DUMMYFUNCTION("""COMPUTED_VALUE"""),"М.Волков, А.Леонов, А.Тулеев")</f>
        <v>М.Волков, А.Леонов, А.Тулеев</v>
      </c>
      <c r="J1575" s="6" t="str">
        <f>IFERROR(__xludf.DUMMYFUNCTION("""COMPUTED_VALUE"""),"Затрудняюсь ответить")</f>
        <v>Затрудняюсь ответить</v>
      </c>
      <c r="K1575" s="6" t="str">
        <f>IFERROR(__xludf.DUMMYFUNCTION("""COMPUTED_VALUE"""),"Горсад, сосновый бор, лесную поляну")</f>
        <v>Горсад, сосновый бор, лесную поляну</v>
      </c>
      <c r="L1575" s="6" t="str">
        <f>IFERROR(__xludf.DUMMYFUNCTION("""COMPUTED_VALUE"""),"Не приход ничего на ум")</f>
        <v>Не приход ничего на ум</v>
      </c>
      <c r="M1575" s="6" t="str">
        <f>IFERROR(__xludf.DUMMYFUNCTION("""COMPUTED_VALUE"""),"Нет")</f>
        <v>Нет</v>
      </c>
      <c r="N1575" s="6" t="str">
        <f>IFERROR(__xludf.DUMMYFUNCTION("""COMPUTED_VALUE"""),"Инфраструктура, безопасность, медицина, наличие рабочих мест, экология")</f>
        <v>Инфраструктура, безопасность, медицина, наличие рабочих мест, экология</v>
      </c>
      <c r="O1575" s="6" t="str">
        <f>IFERROR(__xludf.DUMMYFUNCTION("""COMPUTED_VALUE"""),"Дать рабочие места жителям, улучшить экологию, поднять образованность населения")</f>
        <v>Дать рабочие места жителям, улучшить экологию, поднять образованность населения</v>
      </c>
      <c r="P1575" s="6" t="str">
        <f>IFERROR(__xludf.DUMMYFUNCTION("""COMPUTED_VALUE"""),"Сайт ""афиша"", паблики в инстаграмм ""инцедент"" и ""кузбасс""")</f>
        <v>Сайт "афиша", паблики в инстаграмм "инцедент" и "кузбасс"</v>
      </c>
      <c r="Q1575"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(рейтинги/а"&amp;"налитика/тенденции),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575" s="6" t="str">
        <f>IFERROR(__xludf.DUMMYFUNCTION("""COMPUTED_VALUE"""),"9 мая")</f>
        <v>9 мая</v>
      </c>
      <c r="S1575" s="6" t="str">
        <f>IFERROR(__xludf.DUMMYFUNCTION("""COMPUTED_VALUE"""),"Нет, не приходилось")</f>
        <v>Нет, не приходилось</v>
      </c>
      <c r="T1575" s="6" t="str">
        <f>IFERROR(__xludf.DUMMYFUNCTION("""COMPUTED_VALUE"""),"Знаю только, что это столица Кузбасса, угольного бассейна, еще знаменит сосновым бором прям посередине города")</f>
        <v>Знаю только, что это столица Кузбасса, угольного бассейна, еще знаменит сосновым бором прям посередине города</v>
      </c>
      <c r="U1575" s="6" t="str">
        <f>IFERROR(__xludf.DUMMYFUNCTION("""COMPUTED_VALUE"""),"Драмтеатр+ул.Весенняя")</f>
        <v>Драмтеатр+ул.Весенняя</v>
      </c>
      <c r="V1575" s="6" t="str">
        <f>IFERROR(__xludf.DUMMYFUNCTION("""COMPUTED_VALUE"""),"Очень долго развивали и поддерживали горсад, ")</f>
        <v>Очень долго развивали и поддерживали горсад, </v>
      </c>
      <c r="W1575" s="6" t="str">
        <f>IFERROR(__xludf.DUMMYFUNCTION("""COMPUTED_VALUE"""),"Алкоголики, матершинники, с низким уровнем соц.ответственности. (край то тюремный, шахтерский, суровый). ")</f>
        <v>Алкоголики, матершинники, с низким уровнем соц.ответственности. (край то тюремный, шахтерский, суровый). </v>
      </c>
      <c r="X1575" s="6" t="str">
        <f>IFERROR(__xludf.DUMMYFUNCTION("""COMPUTED_VALUE"""),"Если с детьми, то горсад и набережная. Взрослым подойдет бульвар строителей")</f>
        <v>Если с детьми, то горсад и набережная. Взрослым подойдет бульвар строителей</v>
      </c>
      <c r="Y1575" s="6" t="str">
        <f>IFERROR(__xludf.DUMMYFUNCTION("""COMPUTED_VALUE"""),"Празднование дня шахтера")</f>
        <v>Празднование дня шахтера</v>
      </c>
      <c r="Z1575" s="6" t="str">
        <f>IFERROR(__xludf.DUMMYFUNCTION("""COMPUTED_VALUE"""),"Открытие новых школ и детсадов")</f>
        <v>Открытие новых школ и детсадов</v>
      </c>
      <c r="AA1575" s="6" t="str">
        <f>IFERROR(__xludf.DUMMYFUNCTION("""COMPUTED_VALUE"""),"Пожар в ""зимней вишне""")</f>
        <v>Пожар в "зимней вишне"</v>
      </c>
      <c r="AB1575" s="6" t="str">
        <f>IFERROR(__xludf.DUMMYFUNCTION("""COMPUTED_VALUE"""),"Спортивных направлений")</f>
        <v>Спортивных направлений</v>
      </c>
      <c r="AC1575" s="6" t="str">
        <f>IFERROR(__xludf.DUMMYFUNCTION("""COMPUTED_VALUE"""),"Семейные")</f>
        <v>Семейные</v>
      </c>
      <c r="AD1575" s="6" t="str">
        <f>IFERROR(__xludf.DUMMYFUNCTION("""COMPUTED_VALUE"""),"Не готов принимать личное участие (укажите, пожалуйста, причину в поле «Другое»), Гет свою.времени")</f>
        <v>Не готов принимать личное участие (укажите, пожалуйста, причину в поле «Другое»), Гет свою.времени</v>
      </c>
      <c r="AE1575" s="6" t="str">
        <f>IFERROR(__xludf.DUMMYFUNCTION("""COMPUTED_VALUE"""),"Женский")</f>
        <v>Женский</v>
      </c>
      <c r="AF1575" s="6" t="str">
        <f>IFERROR(__xludf.DUMMYFUNCTION("""COMPUTED_VALUE"""),"30-44")</f>
        <v>30-44</v>
      </c>
      <c r="AG1575" s="6"/>
      <c r="AH1575" s="6"/>
      <c r="AI1575" s="6"/>
      <c r="AJ1575" s="6"/>
      <c r="AK1575" s="6"/>
      <c r="AL1575" s="6"/>
      <c r="AM1575" s="6"/>
    </row>
    <row r="1576">
      <c r="A1576" s="6">
        <v>1575.0</v>
      </c>
      <c r="B1576" s="6" t="str">
        <f>IFERROR(__xludf.DUMMYFUNCTION("""COMPUTED_VALUE"""),"Продавец")</f>
        <v>Продавец</v>
      </c>
      <c r="C1576" s="6" t="str">
        <f>IFERROR(__xludf.DUMMYFUNCTION("""COMPUTED_VALUE"""),"Вышивка")</f>
        <v>Вышивка</v>
      </c>
      <c r="D1576" s="6" t="str">
        <f>IFERROR(__xludf.DUMMYFUNCTION("""COMPUTED_VALUE"""),"Центральный")</f>
        <v>Центральный</v>
      </c>
      <c r="E1576" s="6" t="str">
        <f>IFERROR(__xludf.DUMMYFUNCTION("""COMPUTED_VALUE"""),"Комсомольский парк")</f>
        <v>Комсомольский парк</v>
      </c>
      <c r="F1576" s="6" t="str">
        <f>IFERROR(__xludf.DUMMYFUNCTION("""COMPUTED_VALUE"""),"Живу здесь с рождения")</f>
        <v>Живу здесь с рождения</v>
      </c>
      <c r="G1576" s="6" t="str">
        <f>IFERROR(__xludf.DUMMYFUNCTION("""COMPUTED_VALUE"""),"Бульвар Строителей, пр.Московский, Бор, Красновка")</f>
        <v>Бульвар Строителей, пр.Московский, Бор, Красновка</v>
      </c>
      <c r="H1576" s="6" t="str">
        <f>IFERROR(__xludf.DUMMYFUNCTION("""COMPUTED_VALUE"""),"Сибирская природа, уголь, Томь, опустение,неустроенность")</f>
        <v>Сибирская природа, уголь, Томь, опустение,неустроенность</v>
      </c>
      <c r="I1576" s="6" t="str">
        <f>IFERROR(__xludf.DUMMYFUNCTION("""COMPUTED_VALUE"""),"Михайло Волков")</f>
        <v>Михайло Волков</v>
      </c>
      <c r="J1576" s="6" t="str">
        <f>IFERROR(__xludf.DUMMYFUNCTION("""COMPUTED_VALUE"""),"Владимир Михайлов! А горожан становится все меньше.")</f>
        <v>Владимир Михайлов! А горожан становится все меньше.</v>
      </c>
      <c r="K1576" s="6" t="str">
        <f>IFERROR(__xludf.DUMMYFUNCTION("""COMPUTED_VALUE"""),"Красная горка, памятник шахтеру, притомская набережная,бор.")</f>
        <v>Красная горка, памятник шахтеру, притомская набережная,бор.</v>
      </c>
      <c r="L1576" s="6" t="str">
        <f>IFERROR(__xludf.DUMMYFUNCTION("""COMPUTED_VALUE"""),"Поиски работы и размер зарплат- еще тот анекдот.")</f>
        <v>Поиски работы и размер зарплат- еще тот анекдот.</v>
      </c>
      <c r="M1576" s="6" t="str">
        <f>IFERROR(__xludf.DUMMYFUNCTION("""COMPUTED_VALUE"""),"В Кемерово. Не склоняется.")</f>
        <v>В Кемерово. Не склоняется.</v>
      </c>
      <c r="N1576" s="6" t="str">
        <f>IFERROR(__xludf.DUMMYFUNCTION("""COMPUTED_VALUE""")," Экология( может уже решат проблемму выбросов с заводов, и хотелось бы экологичную мусороперерабатывающую фабрику, как в Швеции, безотходную и некоптящую. )                                        
 Комфортные дороги с надежным покрытием.    
 Градообразую"&amp;"щие предприятия ( экологически чистые)с достойной оплатой труда и социальной поддержкой сотрудников.   
 Красивые и ухоженные парковые зоны и места отдыха,оборудованные стадионы в свободном доступе .                                       
 Поднять на высо"&amp;"кий уровень социальную сферу, бесплатное здравоохранение в часности. Очень непросто      получить вовремя квалифицированную помощь, к несчастью. Оборудовать и отремонтировать больницы . Уволить менеджеров из больниц , пригласить на их место врачей и плати"&amp;"ть им, чтоб лечить людей хотелось.            ")</f>
        <v> Экология( может уже решат проблемму выбросов с заводов, и хотелось бы экологичную мусороперерабатывающую фабрику, как в Швеции, безотходную и некоптящую. )                                        
 Комфортные дороги с надежным покрытием.    
 Градообразующие предприятия ( экологически чистые)с достойной оплатой труда и социальной поддержкой сотрудников.   
 Красивые и ухоженные парковые зоны и места отдыха,оборудованные стадионы в свободном доступе .                                       
 Поднять на высокий уровень социальную сферу, бесплатное здравоохранение в часности. Очень непросто      получить вовремя квалифицированную помощь, к несчастью. Оборудовать и отремонтировать больницы . Уволить менеджеров из больниц , пригласить на их место врачей и платить им, чтоб лечить людей хотелось.            </v>
      </c>
      <c r="O1576" s="6" t="str">
        <f>IFERROR(__xludf.DUMMYFUNCTION("""COMPUTED_VALUE"""),"См п.13")</f>
        <v>См п.13</v>
      </c>
      <c r="P1576" s="6" t="str">
        <f>IFERROR(__xludf.DUMMYFUNCTION("""COMPUTED_VALUE"""),"Инстаграм")</f>
        <v>Инстаграм</v>
      </c>
      <c r="Q1576"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ак"&amp;"ции/запуск новых предприятий),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576" s="6" t="str">
        <f>IFERROR(__xludf.DUMMYFUNCTION("""COMPUTED_VALUE"""),"День шахтеров. Хотелось бы еще таких концертов, как ""Легенды мирового рока""")</f>
        <v>День шахтеров. Хотелось бы еще таких концертов, как "Легенды мирового рока"</v>
      </c>
      <c r="S1576" s="6" t="str">
        <f>IFERROR(__xludf.DUMMYFUNCTION("""COMPUTED_VALUE"""),"Нет, не приходилось")</f>
        <v>Нет, не приходилось</v>
      </c>
      <c r="T1576" s="6" t="str">
        <f>IFERROR(__xludf.DUMMYFUNCTION("""COMPUTED_VALUE"""),"Когда- то его называли самым чистым городом Сибири. И дороги тоже лучше были.")</f>
        <v>Когда- то его называли самым чистым городом Сибири. И дороги тоже лучше были.</v>
      </c>
      <c r="U1576" s="6" t="str">
        <f>IFERROR(__xludf.DUMMYFUNCTION("""COMPUTED_VALUE"""),"Набережная левобережная и крест")</f>
        <v>Набережная левобережная и крест</v>
      </c>
      <c r="V1576" s="6" t="str">
        <f>IFERROR(__xludf.DUMMYFUNCTION("""COMPUTED_VALUE"""),"Трудились, защищали Родину во время войны.")</f>
        <v>Трудились, защищали Родину во время войны.</v>
      </c>
      <c r="W1576" s="6" t="str">
        <f>IFERROR(__xludf.DUMMYFUNCTION("""COMPUTED_VALUE"""),"Разные. В большей части- работяги. ")</f>
        <v>Разные. В большей части- работяги. </v>
      </c>
      <c r="X1576" s="6" t="str">
        <f>IFERROR(__xludf.DUMMYFUNCTION("""COMPUTED_VALUE"""),"Через старый центр на правый берег ( не пешком) к памятнику шахтеру")</f>
        <v>Через старый центр на правый берег ( не пешком) к памятнику шахтеру</v>
      </c>
      <c r="Y1576" s="6" t="str">
        <f>IFERROR(__xludf.DUMMYFUNCTION("""COMPUTED_VALUE"""),"Историческое- нашли уголь. Война скобный отпечаток оставила по всей стране. Во время войны в Кемерово привезли заводы. ")</f>
        <v>Историческое- нашли уголь. Война скобный отпечаток оставила по всей стране. Во время войны в Кемерово привезли заводы. </v>
      </c>
      <c r="Z1576" s="6" t="str">
        <f>IFERROR(__xludf.DUMMYFUNCTION("""COMPUTED_VALUE"""),"Понравился рок- фестиваль ( надеюсь крайний, а не последний). Обновление бульвара и пр. Московского.")</f>
        <v>Понравился рок- фестиваль ( надеюсь крайний, а не последний). Обновление бульвара и пр. Московского.</v>
      </c>
      <c r="AA1576" s="6" t="str">
        <f>IFERROR(__xludf.DUMMYFUNCTION("""COMPUTED_VALUE"""),"Реформы здравоохранения, платная скорая, отмена рейсов общественного транспорта.( выживают нас, что- ли?)")</f>
        <v>Реформы здравоохранения, платная скорая, отмена рейсов общественного транспорта.( выживают нас, что- ли?)</v>
      </c>
      <c r="AB1576" s="6" t="str">
        <f>IFERROR(__xludf.DUMMYFUNCTION("""COMPUTED_VALUE"""),"Оптимистов")</f>
        <v>Оптимистов</v>
      </c>
      <c r="AC1576" s="6" t="str">
        <f>IFERROR(__xludf.DUMMYFUNCTION("""COMPUTED_VALUE"""),"Фестивали, чемпионаты ( и туристов привлечет)")</f>
        <v>Фестивали, чемпионаты ( и туристов привлечет)</v>
      </c>
      <c r="AD1576"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76" s="6" t="str">
        <f>IFERROR(__xludf.DUMMYFUNCTION("""COMPUTED_VALUE"""),"Женский")</f>
        <v>Женский</v>
      </c>
      <c r="AF1576" s="6" t="str">
        <f>IFERROR(__xludf.DUMMYFUNCTION("""COMPUTED_VALUE"""),"30-44")</f>
        <v>30-44</v>
      </c>
      <c r="AG1576" s="6"/>
      <c r="AH1576" s="6"/>
      <c r="AI1576" s="6"/>
      <c r="AJ1576" s="6"/>
      <c r="AK1576" s="6"/>
      <c r="AL1576" s="6"/>
      <c r="AM1576" s="6"/>
    </row>
    <row r="1577">
      <c r="A1577" s="6">
        <v>1576.0</v>
      </c>
      <c r="B1577" s="6" t="str">
        <f>IFERROR(__xludf.DUMMYFUNCTION("""COMPUTED_VALUE"""),"Работаю")</f>
        <v>Работаю</v>
      </c>
      <c r="C1577" s="6" t="str">
        <f>IFERROR(__xludf.DUMMYFUNCTION("""COMPUTED_VALUE"""),"Рисование")</f>
        <v>Рисование</v>
      </c>
      <c r="D1577" s="6" t="str">
        <f>IFERROR(__xludf.DUMMYFUNCTION("""COMPUTED_VALUE"""),"Кировский")</f>
        <v>Кировский</v>
      </c>
      <c r="E1577" s="6" t="str">
        <f>IFERROR(__xludf.DUMMYFUNCTION("""COMPUTED_VALUE"""),"Набережная")</f>
        <v>Набережная</v>
      </c>
      <c r="F1577" s="6" t="str">
        <f>IFERROR(__xludf.DUMMYFUNCTION("""COMPUTED_VALUE"""),"Живу здесь с рождения")</f>
        <v>Живу здесь с рождения</v>
      </c>
      <c r="G1577" s="6" t="str">
        <f>IFERROR(__xludf.DUMMYFUNCTION("""COMPUTED_VALUE"""),"Набережная ")</f>
        <v>Набережная </v>
      </c>
      <c r="H1577" s="6" t="str">
        <f>IFERROR(__xludf.DUMMYFUNCTION("""COMPUTED_VALUE"""),"Драмтеатр, филармония, парк Чудес, памятник шахтёра, река Томь. ")</f>
        <v>Драмтеатр, филармония, парк Чудес, памятник шахтёра, река Томь. </v>
      </c>
      <c r="I1577" s="6" t="str">
        <f>IFERROR(__xludf.DUMMYFUNCTION("""COMPUTED_VALUE"""),"Тулеев, леонов, логинов виктор")</f>
        <v>Тулеев, леонов, логинов виктор</v>
      </c>
      <c r="J1577" s="6" t="str">
        <f>IFERROR(__xludf.DUMMYFUNCTION("""COMPUTED_VALUE"""),"Леонов А. А")</f>
        <v>Леонов А. А</v>
      </c>
      <c r="K1577" s="6" t="str">
        <f>IFERROR(__xludf.DUMMYFUNCTION("""COMPUTED_VALUE"""),"Памятник шахтёра, парк чудес")</f>
        <v>Памятник шахтёра, парк чудес</v>
      </c>
      <c r="L1577" s="6" t="str">
        <f>IFERROR(__xludf.DUMMYFUNCTION("""COMPUTED_VALUE"""),"Леонов первый вышел в открытый космос")</f>
        <v>Леонов первый вышел в открытый космос</v>
      </c>
      <c r="M1577" s="6" t="str">
        <f>IFERROR(__xludf.DUMMYFUNCTION("""COMPUTED_VALUE"""),"Не помню")</f>
        <v>Не помню</v>
      </c>
      <c r="N1577" s="6" t="str">
        <f>IFERROR(__xludf.DUMMYFUNCTION("""COMPUTED_VALUE"""),"Удобная инфраструктура")</f>
        <v>Удобная инфраструктура</v>
      </c>
      <c r="O1577" s="6" t="str">
        <f>IFERROR(__xludf.DUMMYFUNCTION("""COMPUTED_VALUE"""),"Ремонт дорог")</f>
        <v>Ремонт дорог</v>
      </c>
      <c r="P1577" s="6" t="str">
        <f>IFERROR(__xludf.DUMMYFUNCTION("""COMPUTED_VALUE"""),"А42")</f>
        <v>А42</v>
      </c>
      <c r="Q1577" s="6" t="str">
        <f>IFERROR(__xludf.DUMMYFUNCTION("""COMPUTED_VALUE"""),"интервью с местными творческими личностями, криминальные новости (происшествия/преступления)")</f>
        <v>интервью с местными творческими личностями, криминальные новости (происшествия/преступления)</v>
      </c>
      <c r="R1577" s="6" t="str">
        <f>IFERROR(__xludf.DUMMYFUNCTION("""COMPUTED_VALUE"""),"День города")</f>
        <v>День города</v>
      </c>
      <c r="S1577" s="6" t="str">
        <f>IFERROR(__xludf.DUMMYFUNCTION("""COMPUTED_VALUE"""),"Нет, не приходилось")</f>
        <v>Нет, не приходилось</v>
      </c>
      <c r="T1577" s="6" t="str">
        <f>IFERROR(__xludf.DUMMYFUNCTION("""COMPUTED_VALUE"""),"Шахтерами")</f>
        <v>Шахтерами</v>
      </c>
      <c r="U1577" s="6" t="str">
        <f>IFERROR(__xludf.DUMMYFUNCTION("""COMPUTED_VALUE"""),"Парк чудес")</f>
        <v>Парк чудес</v>
      </c>
      <c r="V1577" s="6" t="str">
        <f>IFERROR(__xludf.DUMMYFUNCTION("""COMPUTED_VALUE"""),"Ничего")</f>
        <v>Ничего</v>
      </c>
      <c r="W1577" s="6" t="str">
        <f>IFERROR(__xludf.DUMMYFUNCTION("""COMPUTED_VALUE"""),"Доброжелательные")</f>
        <v>Доброжелательные</v>
      </c>
      <c r="X1577" s="6" t="str">
        <f>IFERROR(__xludf.DUMMYFUNCTION("""COMPUTED_VALUE"""),"Вокзал-кирова")</f>
        <v>Вокзал-кирова</v>
      </c>
      <c r="Y1577" s="6" t="str">
        <f>IFERROR(__xludf.DUMMYFUNCTION("""COMPUTED_VALUE"""),"Не знаю")</f>
        <v>Не знаю</v>
      </c>
      <c r="Z1577" s="6" t="str">
        <f>IFERROR(__xludf.DUMMYFUNCTION("""COMPUTED_VALUE"""),"Нет таких")</f>
        <v>Нет таких</v>
      </c>
      <c r="AA1577" s="6" t="str">
        <f>IFERROR(__xludf.DUMMYFUNCTION("""COMPUTED_VALUE"""),"Пожар зимняя вишня")</f>
        <v>Пожар зимняя вишня</v>
      </c>
      <c r="AB1577" s="6" t="str">
        <f>IFERROR(__xludf.DUMMYFUNCTION("""COMPUTED_VALUE"""),"Не знаю")</f>
        <v>Не знаю</v>
      </c>
      <c r="AC1577" s="6" t="str">
        <f>IFERROR(__xludf.DUMMYFUNCTION("""COMPUTED_VALUE"""),"Культурные ")</f>
        <v>Культурные </v>
      </c>
      <c r="AD157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577" s="6" t="str">
        <f>IFERROR(__xludf.DUMMYFUNCTION("""COMPUTED_VALUE"""),"Женский")</f>
        <v>Женский</v>
      </c>
      <c r="AF1577" s="6" t="str">
        <f>IFERROR(__xludf.DUMMYFUNCTION("""COMPUTED_VALUE"""),"30-44")</f>
        <v>30-44</v>
      </c>
      <c r="AG1577" s="6"/>
      <c r="AH1577" s="6"/>
      <c r="AI1577" s="6"/>
      <c r="AJ1577" s="6"/>
      <c r="AK1577" s="6"/>
      <c r="AL1577" s="6"/>
      <c r="AM1577" s="6"/>
    </row>
    <row r="1578">
      <c r="A1578" s="6">
        <v>1577.0</v>
      </c>
      <c r="B1578" s="6" t="str">
        <f>IFERROR(__xludf.DUMMYFUNCTION("""COMPUTED_VALUE"""),"Пенсионер")</f>
        <v>Пенсионер</v>
      </c>
      <c r="C1578" s="6" t="str">
        <f>IFERROR(__xludf.DUMMYFUNCTION("""COMPUTED_VALUE"""),"Есть. Вышиваю")</f>
        <v>Есть. Вышиваю</v>
      </c>
      <c r="D1578" s="6" t="str">
        <f>IFERROR(__xludf.DUMMYFUNCTION("""COMPUTED_VALUE"""),"Мой любимый ЮЖНЫЙ")</f>
        <v>Мой любимый ЮЖНЫЙ</v>
      </c>
      <c r="E1578" s="6" t="str">
        <f>IFERROR(__xludf.DUMMYFUNCTION("""COMPUTED_VALUE"""),"Улица Патриотов")</f>
        <v>Улица Патриотов</v>
      </c>
      <c r="F1578" s="6" t="str">
        <f>IFERROR(__xludf.DUMMYFUNCTION("""COMPUTED_VALUE"""),"Живу здесь с рождения")</f>
        <v>Живу здесь с рождения</v>
      </c>
      <c r="G1578" s="6" t="str">
        <f>IFERROR(__xludf.DUMMYFUNCTION("""COMPUTED_VALUE"""),"В храм ""Утали моя печали ,,")</f>
        <v>В храм "Утали моя печали ,,</v>
      </c>
      <c r="H1578" s="6" t="str">
        <f>IFERROR(__xludf.DUMMYFUNCTION("""COMPUTED_VALUE"""),"Родной, уютный, тихий, чистый,тёплый. ")</f>
        <v>Родной, уютный, тихий, чистый,тёплый. </v>
      </c>
      <c r="I1578" s="6" t="str">
        <f>IFERROR(__xludf.DUMMYFUNCTION("""COMPUTED_VALUE"""),"Волков,")</f>
        <v>Волков,</v>
      </c>
      <c r="J1578" s="6" t="str">
        <f>IFERROR(__xludf.DUMMYFUNCTION("""COMPUTED_VALUE"""),"Тулеев А.Г., Михайлов В.В.")</f>
        <v>Тулеев А.Г., Михайлов В.В.</v>
      </c>
      <c r="K1578" s="6" t="str">
        <f>IFERROR(__xludf.DUMMYFUNCTION("""COMPUTED_VALUE"""),"Все, особенно Красную горку, римскую писанину. У нас по городу можно гулять и гулять. Смотреть и смотреть.")</f>
        <v>Все, особенно Красную горку, римскую писанину. У нас по городу можно гулять и гулять. Смотреть и смотреть.</v>
      </c>
      <c r="L1578" s="6" t="str">
        <f>IFERROR(__xludf.DUMMYFUNCTION("""COMPUTED_VALUE"""),"Обхаю, но не куда не уеду")</f>
        <v>Обхаю, но не куда не уеду</v>
      </c>
      <c r="M1578" s="6" t="str">
        <f>IFERROR(__xludf.DUMMYFUNCTION("""COMPUTED_VALUE"""),"Не поняла вопрос. ")</f>
        <v>Не поняла вопрос. </v>
      </c>
      <c r="N1578" s="6" t="str">
        <f>IFERROR(__xludf.DUMMYFUNCTION("""COMPUTED_VALUE"""),"Чистота, транспорт, школы, садики, магазины")</f>
        <v>Чистота, транспорт, школы, садики, магазины</v>
      </c>
      <c r="O1578" s="6" t="str">
        <f>IFERROR(__xludf.DUMMYFUNCTION("""COMPUTED_VALUE"""),"Меня все устраивает")</f>
        <v>Меня все устраивает</v>
      </c>
      <c r="P1578" s="6" t="str">
        <f>IFERROR(__xludf.DUMMYFUNCTION("""COMPUTED_VALUE"""),"Новости, инстаграм ")</f>
        <v>Новости, инстаграм </v>
      </c>
      <c r="Q1578" s="6" t="str">
        <f>IFERROR(__xludf.DUMMYFUNCTION("""COMPUTED_VALUE"""),"куда пойти в свободное время, городская афиша (кино/театр/концерты), интервью с местными политиками")</f>
        <v>куда пойти в свободное время, городская афиша (кино/театр/концерты), интервью с местными политиками</v>
      </c>
      <c r="R1578" s="6" t="str">
        <f>IFERROR(__xludf.DUMMYFUNCTION("""COMPUTED_VALUE"""),"День города, 9 мая, ")</f>
        <v>День города, 9 мая, </v>
      </c>
      <c r="S1578" s="6" t="str">
        <f>IFERROR(__xludf.DUMMYFUNCTION("""COMPUTED_VALUE"""),"Нет, не приходилось")</f>
        <v>Нет, не приходилось</v>
      </c>
      <c r="T1578" s="6" t="str">
        <f>IFERROR(__xludf.DUMMYFUNCTION("""COMPUTED_VALUE"""),"Угле ")</f>
        <v>Угле </v>
      </c>
      <c r="U1578" s="6" t="str">
        <f>IFERROR(__xludf.DUMMYFUNCTION("""COMPUTED_VALUE"""),"=Швейка=")</f>
        <v>=Швейка=</v>
      </c>
      <c r="V1578" s="6" t="str">
        <f>IFERROR(__xludf.DUMMYFUNCTION("""COMPUTED_VALUE"""),"Построили город")</f>
        <v>Построили город</v>
      </c>
      <c r="W1578" s="6" t="str">
        <f>IFERROR(__xludf.DUMMYFUNCTION("""COMPUTED_VALUE"""),"Очень много добрых")</f>
        <v>Очень много добрых</v>
      </c>
      <c r="X1578" s="6" t="str">
        <f>IFERROR(__xludf.DUMMYFUNCTION("""COMPUTED_VALUE"""),"Площадь советов")</f>
        <v>Площадь советов</v>
      </c>
      <c r="Y1578" s="6" t="str">
        <f>IFERROR(__xludf.DUMMYFUNCTION("""COMPUTED_VALUE"""),"Незнаю")</f>
        <v>Незнаю</v>
      </c>
      <c r="Z1578" s="6" t="str">
        <f>IFERROR(__xludf.DUMMYFUNCTION("""COMPUTED_VALUE"""),"Незнаю")</f>
        <v>Незнаю</v>
      </c>
      <c r="AA1578" s="6" t="str">
        <f>IFERROR(__xludf.DUMMYFUNCTION("""COMPUTED_VALUE"""),"Уход Тулеева А.Г.")</f>
        <v>Уход Тулеева А.Г.</v>
      </c>
      <c r="AB1578" s="6" t="str">
        <f>IFERROR(__xludf.DUMMYFUNCTION("""COMPUTED_VALUE"""),"Незнаю")</f>
        <v>Незнаю</v>
      </c>
      <c r="AC1578" s="6" t="str">
        <f>IFERROR(__xludf.DUMMYFUNCTION("""COMPUTED_VALUE"""),"Для маленьких детей")</f>
        <v>Для маленьких детей</v>
      </c>
      <c r="AD157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78" s="6" t="str">
        <f>IFERROR(__xludf.DUMMYFUNCTION("""COMPUTED_VALUE"""),"Женский")</f>
        <v>Женский</v>
      </c>
      <c r="AF1578" s="6" t="str">
        <f>IFERROR(__xludf.DUMMYFUNCTION("""COMPUTED_VALUE"""),"старше 55")</f>
        <v>старше 55</v>
      </c>
      <c r="AG1578" s="6"/>
      <c r="AH1578" s="6"/>
      <c r="AI1578" s="6"/>
      <c r="AJ1578" s="6"/>
      <c r="AK1578" s="6"/>
      <c r="AL1578" s="6"/>
      <c r="AM1578" s="6"/>
    </row>
    <row r="1579">
      <c r="A1579" s="6">
        <v>1578.0</v>
      </c>
      <c r="B1579" s="6" t="str">
        <f>IFERROR(__xludf.DUMMYFUNCTION("""COMPUTED_VALUE"""),"Бюджетный работник ")</f>
        <v>Бюджетный работник </v>
      </c>
      <c r="C1579" s="6" t="str">
        <f>IFERROR(__xludf.DUMMYFUNCTION("""COMPUTED_VALUE"""),"Дизайн, рисование ")</f>
        <v>Дизайн, рисование </v>
      </c>
      <c r="D1579" s="6" t="str">
        <f>IFERROR(__xludf.DUMMYFUNCTION("""COMPUTED_VALUE"""),"Лесная поляна - ЛП")</f>
        <v>Лесная поляна - ЛП</v>
      </c>
      <c r="E1579" s="6" t="str">
        <f>IFERROR(__xludf.DUMMYFUNCTION("""COMPUTED_VALUE"""),"Парк, б-р Осенний, ботанический сад ")</f>
        <v>Парк, б-р Осенний, ботанический сад </v>
      </c>
      <c r="F1579" s="6" t="str">
        <f>IFERROR(__xludf.DUMMYFUNCTION("""COMPUTED_VALUE"""),"Живу здесь с рождения")</f>
        <v>Живу здесь с рождения</v>
      </c>
      <c r="G1579" s="6" t="str">
        <f>IFERROR(__xludf.DUMMYFUNCTION("""COMPUTED_VALUE"""),"В бор, кинотеатры, театры")</f>
        <v>В бор, кинотеатры, театры</v>
      </c>
      <c r="H1579" s="6" t="str">
        <f>IFERROR(__xludf.DUMMYFUNCTION("""COMPUTED_VALUE"""),"Труженик, дымный, в последнее время строительная площадка, чистюля, летом благоухающий")</f>
        <v>Труженик, дымный, в последнее время строительная площадка, чистюля, летом благоухающий</v>
      </c>
      <c r="I1579" s="6" t="str">
        <f>IFERROR(__xludf.DUMMYFUNCTION("""COMPUTED_VALUE"""),"Леонов, Демьянов, Подгорбунский, Марченков, Феодоровский, Руковишников, Бобров, Волошина, Волков, Двужильный, Заузелков, Рутгерс")</f>
        <v>Леонов, Демьянов, Подгорбунский, Марченков, Феодоровский, Руковишников, Бобров, Волошина, Волков, Двужильный, Заузелков, Рутгерс</v>
      </c>
      <c r="J1579" s="6" t="str">
        <f>IFERROR(__xludf.DUMMYFUNCTION("""COMPUTED_VALUE"""),"Елена Малышева, Гришковец, Логинов, Сергей Решетов, Горобцов")</f>
        <v>Елена Малышева, Гришковец, Логинов, Сергей Решетов, Горобцов</v>
      </c>
      <c r="K1579" s="6" t="str">
        <f>IFERROR(__xludf.DUMMYFUNCTION("""COMPUTED_VALUE"""),"Томская писаница, памятник Шахтеру, красную горку, Лесная замка-питомник хаски, ботанический сад, Лесная поляна, вечерний Кемерово, бор в Рудничном районе")</f>
        <v>Томская писаница, памятник Шахтеру, красную горку, Лесная замка-питомник хаски, ботанический сад, Лесная поляна, вечерний Кемерово, бор в Рудничном районе</v>
      </c>
      <c r="L1579" s="6" t="str">
        <f>IFERROR(__xludf.DUMMYFUNCTION("""COMPUTED_VALUE"""),"Не знаю")</f>
        <v>Не знаю</v>
      </c>
      <c r="M1579" s="6" t="str">
        <f>IFERROR(__xludf.DUMMYFUNCTION("""COMPUTED_VALUE"""),"Не знаю")</f>
        <v>Не знаю</v>
      </c>
      <c r="N1579" s="6" t="str">
        <f>IFERROR(__xludf.DUMMYFUNCTION("""COMPUTED_VALUE"""),"Много рабочих, культурных, развлекательных мест, красота и ухоженность")</f>
        <v>Много рабочих, культурных, развлекательных мест, красота и ухоженность</v>
      </c>
      <c r="O1579" s="6" t="str">
        <f>IFERROR(__xludf.DUMMYFUNCTION("""COMPUTED_VALUE"""),"Построить и создать рабочие места с высокой заработной платой")</f>
        <v>Построить и создать рабочие места с высокой заработной платой</v>
      </c>
      <c r="P1579" s="6" t="str">
        <f>IFERROR(__xludf.DUMMYFUNCTION("""COMPUTED_VALUE"""),"Инстограмм, новостная леста Google")</f>
        <v>Инстограмм, новостная леста Google</v>
      </c>
      <c r="Q1579"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ме"&amp;"стных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579" s="6" t="str">
        <f>IFERROR(__xludf.DUMMYFUNCTION("""COMPUTED_VALUE"""),"День города")</f>
        <v>День города</v>
      </c>
      <c r="S1579" s="6" t="str">
        <f>IFERROR(__xludf.DUMMYFUNCTION("""COMPUTED_VALUE"""),"В 2005 году первая в городе разработала ознакомительный курс для студентов 4-5 курсов институтов по пенсионном заканадательству и вела его в КемТИППе")</f>
        <v>В 2005 году первая в городе разработала ознакомительный курс для студентов 4-5 курсов институтов по пенсионном заканадательству и вела его в КемТИППе</v>
      </c>
      <c r="T1579" s="6" t="str">
        <f>IFERROR(__xludf.DUMMYFUNCTION("""COMPUTED_VALUE"""),"Город труженик с богатой культурной жизнью, не равнодушными, творческим людьми, лёгкими на подъём")</f>
        <v>Город труженик с богатой культурной жизнью, не равнодушными, творческим людьми, лёгкими на подъём</v>
      </c>
      <c r="U1579" s="6" t="str">
        <f>IFERROR(__xludf.DUMMYFUNCTION("""COMPUTED_VALUE"""),"Ул. Весеннюю, набережную города")</f>
        <v>Ул. Весеннюю, набережную города</v>
      </c>
      <c r="V1579" s="6" t="str">
        <f>IFERROR(__xludf.DUMMYFUNCTION("""COMPUTED_VALUE"""),"Построили город и превратили его в красивый, ухоженный город сад")</f>
        <v>Построили город и превратили его в красивый, ухоженный город сад</v>
      </c>
      <c r="W1579" s="6" t="str">
        <f>IFERROR(__xludf.DUMMYFUNCTION("""COMPUTED_VALUE"""),"Открытые, мало улыбчивые люди, сосредоточены, воспитанные, вежливые ")</f>
        <v>Открытые, мало улыбчивые люди, сосредоточены, воспитанные, вежливые </v>
      </c>
      <c r="X1579" s="6" t="str">
        <f>IFERROR(__xludf.DUMMYFUNCTION("""COMPUTED_VALUE"""),"Начать с Кироского района-Красная горка с памятником Шахтеру-центр Кемерово-Лесная поляна")</f>
        <v>Начать с Кироского района-Красная горка с памятником Шахтеру-центр Кемерово-Лесная поляна</v>
      </c>
      <c r="Y1579" s="6" t="str">
        <f>IFERROR(__xludf.DUMMYFUNCTION("""COMPUTED_VALUE"""),"1943 год - год создания Кемеровской области")</f>
        <v>1943 год - год создания Кемеровской области</v>
      </c>
      <c r="Z1579" s="6" t="str">
        <f>IFERROR(__xludf.DUMMYFUNCTION("""COMPUTED_VALUE"""),"Строительство Арены и парка вокруг неё на Притомском")</f>
        <v>Строительство Арены и парка вокруг неё на Притомском</v>
      </c>
      <c r="AA1579" s="6" t="str">
        <f>IFERROR(__xludf.DUMMYFUNCTION("""COMPUTED_VALUE"""),"Зимняя вигня")</f>
        <v>Зимняя вигня</v>
      </c>
      <c r="AB1579" s="6" t="str">
        <f>IFERROR(__xludf.DUMMYFUNCTION("""COMPUTED_VALUE"""),"Всего достаточно")</f>
        <v>Всего достаточно</v>
      </c>
      <c r="AC1579" s="6" t="str">
        <f>IFERROR(__xludf.DUMMYFUNCTION("""COMPUTED_VALUE"""),"Открытый, круглогодичный бассейн, аква парк со множеством саун, бань, гидромассажем, спа зонами")</f>
        <v>Открытый, круглогодичный бассейн, аква парк со множеством саун, бань, гидромассажем, спа зонами</v>
      </c>
      <c r="AD157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79" s="6" t="str">
        <f>IFERROR(__xludf.DUMMYFUNCTION("""COMPUTED_VALUE"""),"Женский")</f>
        <v>Женский</v>
      </c>
      <c r="AF1579" s="6" t="str">
        <f>IFERROR(__xludf.DUMMYFUNCTION("""COMPUTED_VALUE"""),"45-55")</f>
        <v>45-55</v>
      </c>
      <c r="AG1579" s="6"/>
      <c r="AH1579" s="6"/>
      <c r="AI1579" s="6"/>
      <c r="AJ1579" s="6"/>
      <c r="AK1579" s="6"/>
      <c r="AL1579" s="6"/>
      <c r="AM1579" s="6"/>
    </row>
    <row r="1580">
      <c r="A1580" s="6">
        <v>1579.0</v>
      </c>
      <c r="B1580" s="6" t="str">
        <f>IFERROR(__xludf.DUMMYFUNCTION("""COMPUTED_VALUE"""),"Мастер ногтевого сервиса")</f>
        <v>Мастер ногтевого сервиса</v>
      </c>
      <c r="C1580" s="6" t="str">
        <f>IFERROR(__xludf.DUMMYFUNCTION("""COMPUTED_VALUE"""),"Рисование")</f>
        <v>Рисование</v>
      </c>
      <c r="D1580" s="6" t="str">
        <f>IFERROR(__xludf.DUMMYFUNCTION("""COMPUTED_VALUE"""),"Центральный")</f>
        <v>Центральный</v>
      </c>
      <c r="E1580" s="6" t="str">
        <f>IFERROR(__xludf.DUMMYFUNCTION("""COMPUTED_VALUE"""),"Парк Веры Волошиной, Юбилейный, парк Ангелов, Антошка")</f>
        <v>Парк Веры Волошиной, Юбилейный, парк Ангелов, Антошка</v>
      </c>
      <c r="F1580" s="6" t="str">
        <f>IFERROR(__xludf.DUMMYFUNCTION("""COMPUTED_VALUE"""),"Живу здесь с рождения")</f>
        <v>Живу здесь с рождения</v>
      </c>
      <c r="G1580" s="6" t="str">
        <f>IFERROR(__xludf.DUMMYFUNCTION("""COMPUTED_VALUE"""),"Набережная, Сосновый бор")</f>
        <v>Набережная, Сосновый бор</v>
      </c>
      <c r="H1580" s="6" t="str">
        <f>IFERROR(__xludf.DUMMYFUNCTION("""COMPUTED_VALUE"""),"Снег, транспорт, выбросы, уголь, шахтеры")</f>
        <v>Снег, транспорт, выбросы, уголь, шахтеры</v>
      </c>
      <c r="I1580" s="6" t="str">
        <f>IFERROR(__xludf.DUMMYFUNCTION("""COMPUTED_VALUE"""),"Евгений Гришковец, Андрей Панин, Алена Бабенко")</f>
        <v>Евгений Гришковец, Андрей Панин, Алена Бабенко</v>
      </c>
      <c r="J1580" s="6" t="str">
        <f>IFERROR(__xludf.DUMMYFUNCTION("""COMPUTED_VALUE"""),"Не знаю")</f>
        <v>Не знаю</v>
      </c>
      <c r="K1580" s="6" t="str">
        <f>IFERROR(__xludf.DUMMYFUNCTION("""COMPUTED_VALUE"""),"Красивые граффити ")</f>
        <v>Красивые граффити </v>
      </c>
      <c r="L1580" s="6" t="str">
        <f>IFERROR(__xludf.DUMMYFUNCTION("""COMPUTED_VALUE"""),"Песня Гребенщикова ""Человек из Кемерово""")</f>
        <v>Песня Гребенщикова "Человек из Кемерово"</v>
      </c>
      <c r="M1580" s="6" t="str">
        <f>IFERROR(__xludf.DUMMYFUNCTION("""COMPUTED_VALUE"""),"Южный никому не нужный.")</f>
        <v>Южный никому не нужный.</v>
      </c>
      <c r="N1580" s="6" t="str">
        <f>IFERROR(__xludf.DUMMYFUNCTION("""COMPUTED_VALUE"""),"Транспорт, отремонтированные дворовые территории, чистота в городе,  экология, безопасность")</f>
        <v>Транспорт, отремонтированные дворовые территории, чистота в городе,  экология, безопасность</v>
      </c>
      <c r="O1580" s="6" t="str">
        <f>IFERROR(__xludf.DUMMYFUNCTION("""COMPUTED_VALUE"""),"Распределение финансовых ресурсов")</f>
        <v>Распределение финансовых ресурсов</v>
      </c>
      <c r="P1580" s="6" t="str">
        <f>IFERROR(__xludf.DUMMYFUNCTION("""COMPUTED_VALUE"""),"Сибдепо, Афиша42")</f>
        <v>Сибдепо, Афиша42</v>
      </c>
      <c r="Q1580"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580" s="6" t="str">
        <f>IFERROR(__xludf.DUMMYFUNCTION("""COMPUTED_VALUE"""),"День города, день шахтера")</f>
        <v>День города, день шахтера</v>
      </c>
      <c r="S1580" s="6" t="str">
        <f>IFERROR(__xludf.DUMMYFUNCTION("""COMPUTED_VALUE"""),"Нет, не приходилось")</f>
        <v>Нет, не приходилось</v>
      </c>
      <c r="T1580" s="6" t="str">
        <f>IFERROR(__xludf.DUMMYFUNCTION("""COMPUTED_VALUE"""),"Сосновый бор ")</f>
        <v>Сосновый бор </v>
      </c>
      <c r="U1580" s="6" t="str">
        <f>IFERROR(__xludf.DUMMYFUNCTION("""COMPUTED_VALUE"""),"Площадь Советов, почтамт")</f>
        <v>Площадь Советов, почтамт</v>
      </c>
      <c r="V1580" s="6" t="str">
        <f>IFERROR(__xludf.DUMMYFUNCTION("""COMPUTED_VALUE"""),"Выстроили из поселка крупный областной центр")</f>
        <v>Выстроили из поселка крупный областной центр</v>
      </c>
      <c r="W1580" s="6" t="str">
        <f>IFERROR(__xludf.DUMMYFUNCTION("""COMPUTED_VALUE"""),"Разные")</f>
        <v>Разные</v>
      </c>
      <c r="X1580" s="6" t="str">
        <f>IFERROR(__xludf.DUMMYFUNCTION("""COMPUTED_VALUE"""),"От вокзала по проспекту Ленина")</f>
        <v>От вокзала по проспекту Ленина</v>
      </c>
      <c r="Y1580" s="6" t="str">
        <f>IFERROR(__xludf.DUMMYFUNCTION("""COMPUTED_VALUE"""),"Никакого")</f>
        <v>Никакого</v>
      </c>
      <c r="Z1580" s="6" t="str">
        <f>IFERROR(__xludf.DUMMYFUNCTION("""COMPUTED_VALUE"""),"Концерт в 2019")</f>
        <v>Концерт в 2019</v>
      </c>
      <c r="AA1580" s="6" t="str">
        <f>IFERROR(__xludf.DUMMYFUNCTION("""COMPUTED_VALUE"""),"Не знаю")</f>
        <v>Не знаю</v>
      </c>
      <c r="AB1580" s="6" t="str">
        <f>IFERROR(__xludf.DUMMYFUNCTION("""COMPUTED_VALUE"""),"Для молодежи")</f>
        <v>Для молодежи</v>
      </c>
      <c r="AC1580" s="6" t="str">
        <f>IFERROR(__xludf.DUMMYFUNCTION("""COMPUTED_VALUE"""),"Бесплатных развлечений летом в парках")</f>
        <v>Бесплатных развлечений летом в парках</v>
      </c>
      <c r="AD158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80" s="6" t="str">
        <f>IFERROR(__xludf.DUMMYFUNCTION("""COMPUTED_VALUE"""),"Женский")</f>
        <v>Женский</v>
      </c>
      <c r="AF1580" s="6" t="str">
        <f>IFERROR(__xludf.DUMMYFUNCTION("""COMPUTED_VALUE"""),"45-55")</f>
        <v>45-55</v>
      </c>
      <c r="AG1580" s="6"/>
      <c r="AH1580" s="6"/>
      <c r="AI1580" s="6"/>
      <c r="AJ1580" s="6"/>
      <c r="AK1580" s="6"/>
      <c r="AL1580" s="6"/>
      <c r="AM1580" s="6"/>
    </row>
    <row r="1581">
      <c r="A1581" s="6">
        <v>1580.0</v>
      </c>
      <c r="B1581" s="6" t="str">
        <f>IFERROR(__xludf.DUMMYFUNCTION("""COMPUTED_VALUE"""),"Работаю в банке")</f>
        <v>Работаю в банке</v>
      </c>
      <c r="C1581" s="6" t="str">
        <f>IFERROR(__xludf.DUMMYFUNCTION("""COMPUTED_VALUE"""),"Спортзал, прогулки")</f>
        <v>Спортзал, прогулки</v>
      </c>
      <c r="D1581" s="6" t="str">
        <f>IFERROR(__xludf.DUMMYFUNCTION("""COMPUTED_VALUE"""),"Южный ")</f>
        <v>Южный </v>
      </c>
      <c r="E1581" s="6" t="str">
        <f>IFERROR(__xludf.DUMMYFUNCTION("""COMPUTED_VALUE"""),"Только парк на улице патриотов (")</f>
        <v>Только парк на улице патриотов (</v>
      </c>
      <c r="F1581" s="6" t="str">
        <f>IFERROR(__xludf.DUMMYFUNCTION("""COMPUTED_VALUE"""),"Переехал сюда из другого места (откуда? укажите в графе другое), Из Еревана в 2 года")</f>
        <v>Переехал сюда из другого места (откуда? укажите в графе другое), Из Еревана в 2 года</v>
      </c>
      <c r="G1581" s="6" t="str">
        <f>IFERROR(__xludf.DUMMYFUNCTION("""COMPUTED_VALUE"""),"В центр ")</f>
        <v>В центр </v>
      </c>
      <c r="H1581" s="6" t="str">
        <f>IFERROR(__xludf.DUMMYFUNCTION("""COMPUTED_VALUE"""),"Столица,  серость")</f>
        <v>Столица,  серость</v>
      </c>
      <c r="I1581" s="6" t="str">
        <f>IFERROR(__xludf.DUMMYFUNCTION("""COMPUTED_VALUE"""),"Волошина, Тулеев")</f>
        <v>Волошина, Тулеев</v>
      </c>
      <c r="J1581" s="6" t="str">
        <f>IFERROR(__xludf.DUMMYFUNCTION("""COMPUTED_VALUE"""),"Не знаю таких")</f>
        <v>Не знаю таких</v>
      </c>
      <c r="K1581" s="6" t="str">
        <f>IFERROR(__xludf.DUMMYFUNCTION("""COMPUTED_VALUE"""),"Центр, красная Горка")</f>
        <v>Центр, красная Горка</v>
      </c>
      <c r="L1581" s="6" t="str">
        <f>IFERROR(__xludf.DUMMYFUNCTION("""COMPUTED_VALUE"""),"(")</f>
        <v>(</v>
      </c>
      <c r="M1581" s="6" t="str">
        <f>IFERROR(__xludf.DUMMYFUNCTION("""COMPUTED_VALUE"""),"(")</f>
        <v>(</v>
      </c>
      <c r="N1581" s="6" t="str">
        <f>IFERROR(__xludf.DUMMYFUNCTION("""COMPUTED_VALUE"""),"Уютно, все своё как говорится, в основном чисто.")</f>
        <v>Уютно, все своё как говорится, в основном чисто.</v>
      </c>
      <c r="O1581" s="6" t="str">
        <f>IFERROR(__xludf.DUMMYFUNCTION("""COMPUTED_VALUE"""),"Уровень дохода, рабочие места")</f>
        <v>Уровень дохода, рабочие места</v>
      </c>
      <c r="P1581" s="6" t="str">
        <f>IFERROR(__xludf.DUMMYFUNCTION("""COMPUTED_VALUE"""),"Инстаграм ")</f>
        <v>Инстаграм </v>
      </c>
      <c r="Q1581" s="6" t="str">
        <f>IFERROR(__xludf.DUMMYFUNCTION("""COMPUTED_VALUE"""),"куда пойти в свободное время, где вкусно поесть/открытие новых кафе/ресторанов, новости про новые профессии/куда поступать/вакансии")</f>
        <v>куда пойти в свободное время, где вкусно поесть/открытие новых кафе/ресторанов, новости про новые профессии/куда поступать/вакансии</v>
      </c>
      <c r="R1581" s="6" t="str">
        <f>IFERROR(__xludf.DUMMYFUNCTION("""COMPUTED_VALUE"""),"День города")</f>
        <v>День города</v>
      </c>
      <c r="S1581" s="6" t="str">
        <f>IFERROR(__xludf.DUMMYFUNCTION("""COMPUTED_VALUE"""),"Нет, не приходилось")</f>
        <v>Нет, не приходилось</v>
      </c>
      <c r="T1581" s="6" t="str">
        <f>IFERROR(__xludf.DUMMYFUNCTION("""COMPUTED_VALUE"""),"Угольной промышленностью")</f>
        <v>Угольной промышленностью</v>
      </c>
      <c r="U1581" s="6" t="str">
        <f>IFERROR(__xludf.DUMMYFUNCTION("""COMPUTED_VALUE"""),"Театр драмы и фонтан")</f>
        <v>Театр драмы и фонтан</v>
      </c>
      <c r="V1581" s="6" t="str">
        <f>IFERROR(__xludf.DUMMYFUNCTION("""COMPUTED_VALUE"""),"В городе всегда было чисто")</f>
        <v>В городе всегда было чисто</v>
      </c>
      <c r="W1581" s="6" t="str">
        <f>IFERROR(__xludf.DUMMYFUNCTION("""COMPUTED_VALUE"""),"Дружелюбны но очень грустные ")</f>
        <v>Дружелюбны но очень грустные </v>
      </c>
      <c r="X1581" s="6" t="str">
        <f>IFERROR(__xludf.DUMMYFUNCTION("""COMPUTED_VALUE"""),"По центру ")</f>
        <v>По центру </v>
      </c>
      <c r="Y1581" s="6" t="str">
        <f>IFERROR(__xludf.DUMMYFUNCTION("""COMPUTED_VALUE"""),"Не знаю (")</f>
        <v>Не знаю (</v>
      </c>
      <c r="Z1581" s="6" t="str">
        <f>IFERROR(__xludf.DUMMYFUNCTION("""COMPUTED_VALUE"""),"Одобрили чемпионат мира по волейболу у нас в городе, началась масштабная стройка")</f>
        <v>Одобрили чемпионат мира по волейболу у нас в городе, началась масштабная стройка</v>
      </c>
      <c r="AA1581" s="6" t="str">
        <f>IFERROR(__xludf.DUMMYFUNCTION("""COMPUTED_VALUE"""),"Зимняя вишня ")</f>
        <v>Зимняя вишня </v>
      </c>
      <c r="AB1581" s="6" t="str">
        <f>IFERROR(__xludf.DUMMYFUNCTION("""COMPUTED_VALUE"""),"Не хватает сообществ которые будут мотивировать молодежь, направлять их на верный путь, учиться, заниматься спортом. Какие то масштабные акции. ")</f>
        <v>Не хватает сообществ которые будут мотивировать молодежь, направлять их на верный путь, учиться, заниматься спортом. Какие то масштабные акции. </v>
      </c>
      <c r="AC1581" s="6" t="str">
        <f>IFERROR(__xludf.DUMMYFUNCTION("""COMPUTED_VALUE"""),"Нужно сделать граждан более дружными и приветливыми")</f>
        <v>Нужно сделать граждан более дружными и приветливыми</v>
      </c>
      <c r="AD158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581" s="6" t="str">
        <f>IFERROR(__xludf.DUMMYFUNCTION("""COMPUTED_VALUE"""),"Мужской")</f>
        <v>Мужской</v>
      </c>
      <c r="AF1581" s="6" t="str">
        <f>IFERROR(__xludf.DUMMYFUNCTION("""COMPUTED_VALUE"""),"18-29")</f>
        <v>18-29</v>
      </c>
      <c r="AG1581" s="6"/>
      <c r="AH1581" s="6"/>
      <c r="AI1581" s="6"/>
      <c r="AJ1581" s="6"/>
      <c r="AK1581" s="6"/>
      <c r="AL1581" s="6"/>
      <c r="AM1581" s="6"/>
    </row>
    <row r="1582">
      <c r="A1582" s="6">
        <v>1581.0</v>
      </c>
      <c r="B1582" s="6" t="str">
        <f>IFERROR(__xludf.DUMMYFUNCTION("""COMPUTED_VALUE"""),"Госслужба ")</f>
        <v>Госслужба </v>
      </c>
      <c r="C1582" s="6" t="str">
        <f>IFERROR(__xludf.DUMMYFUNCTION("""COMPUTED_VALUE"""),"Спорт, дача")</f>
        <v>Спорт, дача</v>
      </c>
      <c r="D1582" s="6" t="str">
        <f>IFERROR(__xludf.DUMMYFUNCTION("""COMPUTED_VALUE"""),"Центральный ")</f>
        <v>Центральный </v>
      </c>
      <c r="E1582" s="6" t="str">
        <f>IFERROR(__xludf.DUMMYFUNCTION("""COMPUTED_VALUE"""),"Затрудняюсь ответить ")</f>
        <v>Затрудняюсь ответить </v>
      </c>
      <c r="F1582" s="6" t="str">
        <f>IFERROR(__xludf.DUMMYFUNCTION("""COMPUTED_VALUE"""),"Переехал сюда из другого места (откуда? укажите в графе другое), Топки ")</f>
        <v>Переехал сюда из другого места (откуда? укажите в графе другое), Топки </v>
      </c>
      <c r="G1582" s="6" t="str">
        <f>IFERROR(__xludf.DUMMYFUNCTION("""COMPUTED_VALUE"""),"Дача Берёзово,  прогулки у кадетского училища")</f>
        <v>Дача Берёзово,  прогулки у кадетского училища</v>
      </c>
      <c r="H1582" s="6" t="str">
        <f>IFERROR(__xludf.DUMMYFUNCTION("""COMPUTED_VALUE"""),"Трубы, дым, Томь,  Азот, Химпром")</f>
        <v>Трубы, дым, Томь,  Азот, Химпром</v>
      </c>
      <c r="I1582" s="6" t="str">
        <f>IFERROR(__xludf.DUMMYFUNCTION("""COMPUTED_VALUE"""),"Тулеев")</f>
        <v>Тулеев</v>
      </c>
      <c r="J1582" s="6" t="str">
        <f>IFERROR(__xludf.DUMMYFUNCTION("""COMPUTED_VALUE"""),"Середюк")</f>
        <v>Середюк</v>
      </c>
      <c r="K1582" s="6" t="str">
        <f>IFERROR(__xludf.DUMMYFUNCTION("""COMPUTED_VALUE"""),"Нет")</f>
        <v>Нет</v>
      </c>
      <c r="L1582" s="6" t="str">
        <f>IFERROR(__xludf.DUMMYFUNCTION("""COMPUTED_VALUE"""),"Не знаю ")</f>
        <v>Не знаю </v>
      </c>
      <c r="M1582" s="6" t="str">
        <f>IFERROR(__xludf.DUMMYFUNCTION("""COMPUTED_VALUE"""),"Я не знаю ")</f>
        <v>Я не знаю </v>
      </c>
      <c r="N1582" s="6" t="str">
        <f>IFERROR(__xludf.DUMMYFUNCTION("""COMPUTED_VALUE"""),"Чистота, экология, зелень, широкие улицы, спортивные сооружения ")</f>
        <v>Чистота, экология, зелень, широкие улицы, спортивные сооружения </v>
      </c>
      <c r="O1582" s="6" t="str">
        <f>IFERROR(__xludf.DUMMYFUNCTION("""COMPUTED_VALUE"""),"Экология ")</f>
        <v>Экология </v>
      </c>
      <c r="P1582" s="6" t="str">
        <f>IFERROR(__xludf.DUMMYFUNCTION("""COMPUTED_VALUE"""),"Соцсети")</f>
        <v>Соцсети</v>
      </c>
      <c r="Q1582"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582" s="6" t="str">
        <f>IFERROR(__xludf.DUMMYFUNCTION("""COMPUTED_VALUE"""),"Нет таких ")</f>
        <v>Нет таких </v>
      </c>
      <c r="S1582" s="6" t="str">
        <f>IFERROR(__xludf.DUMMYFUNCTION("""COMPUTED_VALUE"""),"Нет, не приходилось")</f>
        <v>Нет, не приходилось</v>
      </c>
      <c r="T1582" s="6" t="str">
        <f>IFERROR(__xludf.DUMMYFUNCTION("""COMPUTED_VALUE"""),"Зимняя вишня ")</f>
        <v>Зимняя вишня </v>
      </c>
      <c r="U1582" s="6" t="str">
        <f>IFERROR(__xludf.DUMMYFUNCTION("""COMPUTED_VALUE"""),"Надпись Кузбасс ")</f>
        <v>Надпись Кузбасс </v>
      </c>
      <c r="V1582" s="6" t="str">
        <f>IFERROR(__xludf.DUMMYFUNCTION("""COMPUTED_VALUE"""),"Ничего")</f>
        <v>Ничего</v>
      </c>
      <c r="W1582" s="6" t="str">
        <f>IFERROR(__xludf.DUMMYFUNCTION("""COMPUTED_VALUE"""),"Равнодушие")</f>
        <v>Равнодушие</v>
      </c>
      <c r="X1582" s="6" t="str">
        <f>IFERROR(__xludf.DUMMYFUNCTION("""COMPUTED_VALUE"""),"Крутого нет, мне нравится у кадетского училища ")</f>
        <v>Крутого нет, мне нравится у кадетского училища </v>
      </c>
      <c r="Y1582" s="6" t="str">
        <f>IFERROR(__xludf.DUMMYFUNCTION("""COMPUTED_VALUE"""),"Освоение угля")</f>
        <v>Освоение угля</v>
      </c>
      <c r="Z1582" s="6" t="str">
        <f>IFERROR(__xludf.DUMMYFUNCTION("""COMPUTED_VALUE"""),"Затрудняюсь ответить ")</f>
        <v>Затрудняюсь ответить </v>
      </c>
      <c r="AA1582" s="6" t="str">
        <f>IFERROR(__xludf.DUMMYFUNCTION("""COMPUTED_VALUE"""),"Зимняя вишня ")</f>
        <v>Зимняя вишня </v>
      </c>
      <c r="AB1582" s="6" t="str">
        <f>IFERROR(__xludf.DUMMYFUNCTION("""COMPUTED_VALUE"""),"Мне не хватает лишь хорошего бассейна ")</f>
        <v>Мне не хватает лишь хорошего бассейна </v>
      </c>
      <c r="AC1582" s="6" t="str">
        <f>IFERROR(__xludf.DUMMYFUNCTION("""COMPUTED_VALUE"""),"Концерты ")</f>
        <v>Концерты </v>
      </c>
      <c r="AD158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82" s="6" t="str">
        <f>IFERROR(__xludf.DUMMYFUNCTION("""COMPUTED_VALUE"""),"Женский")</f>
        <v>Женский</v>
      </c>
      <c r="AF1582" s="6" t="str">
        <f>IFERROR(__xludf.DUMMYFUNCTION("""COMPUTED_VALUE"""),"30-44")</f>
        <v>30-44</v>
      </c>
      <c r="AG1582" s="6"/>
      <c r="AH1582" s="6"/>
      <c r="AI1582" s="6"/>
      <c r="AJ1582" s="6"/>
      <c r="AK1582" s="6"/>
      <c r="AL1582" s="6"/>
      <c r="AM1582" s="6"/>
    </row>
    <row r="1583">
      <c r="A1583" s="6">
        <v>1582.0</v>
      </c>
      <c r="B1583" s="6" t="str">
        <f>IFERROR(__xludf.DUMMYFUNCTION("""COMPUTED_VALUE"""),"Работа")</f>
        <v>Работа</v>
      </c>
      <c r="C1583" s="6" t="str">
        <f>IFERROR(__xludf.DUMMYFUNCTION("""COMPUTED_VALUE"""),"Пазл, фотография")</f>
        <v>Пазл, фотография</v>
      </c>
      <c r="D1583" s="6" t="str">
        <f>IFERROR(__xludf.DUMMYFUNCTION("""COMPUTED_VALUE"""),"Южный")</f>
        <v>Южный</v>
      </c>
      <c r="E1583" s="6" t="str">
        <f>IFERROR(__xludf.DUMMYFUNCTION("""COMPUTED_VALUE"""),"Мой убитый двор")</f>
        <v>Мой убитый двор</v>
      </c>
      <c r="F1583" s="6" t="str">
        <f>IFERROR(__xludf.DUMMYFUNCTION("""COMPUTED_VALUE"""),"Живу здесь с рождения")</f>
        <v>Живу здесь с рождения</v>
      </c>
      <c r="G1583" s="6" t="str">
        <f>IFERROR(__xludf.DUMMYFUNCTION("""COMPUTED_VALUE"""),"Центр, парк ангелов")</f>
        <v>Центр, парк ангелов</v>
      </c>
      <c r="H1583" s="6" t="str">
        <f>IFERROR(__xludf.DUMMYFUNCTION("""COMPUTED_VALUE"""),"Деревня, азот, дом, серость, бор")</f>
        <v>Деревня, азот, дом, серость, бор</v>
      </c>
      <c r="I1583" s="6" t="str">
        <f>IFERROR(__xludf.DUMMYFUNCTION("""COMPUTED_VALUE"""),"Такие есть? Хм...")</f>
        <v>Такие есть? Хм...</v>
      </c>
      <c r="J1583" s="6" t="str">
        <f>IFERROR(__xludf.DUMMYFUNCTION("""COMPUTED_VALUE"""),"Мне тоже интересно узнать")</f>
        <v>Мне тоже интересно узнать</v>
      </c>
      <c r="K1583" s="6" t="str">
        <f>IFERROR(__xludf.DUMMYFUNCTION("""COMPUTED_VALUE"""),"Бор, дворы центра")</f>
        <v>Бор, дворы центра</v>
      </c>
      <c r="L1583" s="6" t="str">
        <f>IFERROR(__xludf.DUMMYFUNCTION("""COMPUTED_VALUE"""),"Иисус терпел и нам велел")</f>
        <v>Иисус терпел и нам велел</v>
      </c>
      <c r="M1583" s="6" t="str">
        <f>IFERROR(__xludf.DUMMYFUNCTION("""COMPUTED_VALUE"""),"Нет")</f>
        <v>Нет</v>
      </c>
      <c r="N1583" s="6" t="str">
        <f>IFERROR(__xludf.DUMMYFUNCTION("""COMPUTED_VALUE"""),"Транспортная инфраструктура, большое количество живописных парков, ухоженные улицы, образовательные учреждения высокого уровня, много вариантов досуга")</f>
        <v>Транспортная инфраструктура, большое количество живописных парков, ухоженные улицы, образовательные учреждения высокого уровня, много вариантов досуга</v>
      </c>
      <c r="O1583" s="6" t="str">
        <f>IFERROR(__xludf.DUMMYFUNCTION("""COMPUTED_VALUE"""),"Повысить количество рабочих мест для молодых специалистов")</f>
        <v>Повысить количество рабочих мест для молодых специалистов</v>
      </c>
      <c r="P1583" s="6" t="str">
        <f>IFERROR(__xludf.DUMMYFUNCTION("""COMPUTED_VALUE"""),"ВКонтакте, Инстаграм")</f>
        <v>ВКонтакте, Инстаграм</v>
      </c>
      <c r="Q1583" s="6" t="str">
        <f>IFERROR(__xludf.DUMMYFUNCTION("""COMPUTED_VALUE"""),"куда пойти в свободное время, криминальные новости (происшествия/преступления), бизнес-новости (средний чек/рекламные акции/запуск новых предприятий)")</f>
        <v>куда пойти в свободное время, криминальные новости (происшествия/преступления), бизнес-новости (средний чек/рекламные акции/запуск новых предприятий)</v>
      </c>
      <c r="R1583" s="6" t="str">
        <f>IFERROR(__xludf.DUMMYFUNCTION("""COMPUTED_VALUE"""),"День победы, день города")</f>
        <v>День победы, день города</v>
      </c>
      <c r="S1583" s="6" t="str">
        <f>IFERROR(__xludf.DUMMYFUNCTION("""COMPUTED_VALUE"""),"Писал и расклеивал объявления/афиши")</f>
        <v>Писал и расклеивал объявления/афиши</v>
      </c>
      <c r="T1583" s="6" t="str">
        <f>IFERROR(__xludf.DUMMYFUNCTION("""COMPUTED_VALUE"""),"Песней ""человек из Кемерово"" знаменит")</f>
        <v>Песней "человек из Кемерово" знаменит</v>
      </c>
      <c r="U1583" s="6" t="str">
        <f>IFERROR(__xludf.DUMMYFUNCTION("""COMPUTED_VALUE"""),"Улицу весеннюю")</f>
        <v>Улицу весеннюю</v>
      </c>
      <c r="V1583" s="6" t="str">
        <f>IFERROR(__xludf.DUMMYFUNCTION("""COMPUTED_VALUE"""),"Вели себя как люди, а не как свиньи")</f>
        <v>Вели себя как люди, а не как свиньи</v>
      </c>
      <c r="W1583" s="6" t="str">
        <f>IFERROR(__xludf.DUMMYFUNCTION("""COMPUTED_VALUE"""),"Отзывчивый, терпеливый, стойкий")</f>
        <v>Отзывчивый, терпеливый, стойкий</v>
      </c>
      <c r="X1583" s="6" t="str">
        <f>IFERROR(__xludf.DUMMYFUNCTION("""COMPUTED_VALUE"""),"На лыжи и в бор")</f>
        <v>На лыжи и в бор</v>
      </c>
      <c r="Y1583" s="6" t="str">
        <f>IFERROR(__xludf.DUMMYFUNCTION("""COMPUTED_VALUE"""),"Мое рождение")</f>
        <v>Мое рождение</v>
      </c>
      <c r="Z1583" s="6" t="str">
        <f>IFERROR(__xludf.DUMMYFUNCTION("""COMPUTED_VALUE"""),"Открыли пару хороших заведений")</f>
        <v>Открыли пару хороших заведений</v>
      </c>
      <c r="AA1583" s="6" t="str">
        <f>IFERROR(__xludf.DUMMYFUNCTION("""COMPUTED_VALUE"""),"Митинги и бездействие городских служб")</f>
        <v>Митинги и бездействие городских служб</v>
      </c>
      <c r="AB1583" s="6" t="str">
        <f>IFERROR(__xludf.DUMMYFUNCTION("""COMPUTED_VALUE"""),"Чистый город!")</f>
        <v>Чистый город!</v>
      </c>
      <c r="AC1583" s="6" t="str">
        <f>IFERROR(__xludf.DUMMYFUNCTION("""COMPUTED_VALUE"""),"Развивающие население")</f>
        <v>Развивающие население</v>
      </c>
      <c r="AD158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83" s="6" t="str">
        <f>IFERROR(__xludf.DUMMYFUNCTION("""COMPUTED_VALUE"""),"Женский")</f>
        <v>Женский</v>
      </c>
      <c r="AF1583" s="6" t="str">
        <f>IFERROR(__xludf.DUMMYFUNCTION("""COMPUTED_VALUE"""),"18-29")</f>
        <v>18-29</v>
      </c>
      <c r="AG1583" s="6"/>
      <c r="AH1583" s="6"/>
      <c r="AI1583" s="6"/>
      <c r="AJ1583" s="6"/>
      <c r="AK1583" s="6"/>
      <c r="AL1583" s="6"/>
      <c r="AM1583" s="6"/>
    </row>
    <row r="1584">
      <c r="A1584" s="6">
        <v>1583.0</v>
      </c>
      <c r="B1584" s="6" t="str">
        <f>IFERROR(__xludf.DUMMYFUNCTION("""COMPUTED_VALUE"""),"Работаю в банке с юр. лицами")</f>
        <v>Работаю в банке с юр. лицами</v>
      </c>
      <c r="C1584" s="6" t="str">
        <f>IFERROR(__xludf.DUMMYFUNCTION("""COMPUTED_VALUE"""),"Чтение")</f>
        <v>Чтение</v>
      </c>
      <c r="D1584" s="6" t="str">
        <f>IFERROR(__xludf.DUMMYFUNCTION("""COMPUTED_VALUE"""),"Кировский")</f>
        <v>Кировский</v>
      </c>
      <c r="E1584" s="6" t="str">
        <f>IFERROR(__xludf.DUMMYFUNCTION("""COMPUTED_VALUE"""),"Набережная и берёзовая роща")</f>
        <v>Набережная и берёзовая роща</v>
      </c>
      <c r="F1584" s="6" t="str">
        <f>IFERROR(__xludf.DUMMYFUNCTION("""COMPUTED_VALUE"""),"Живу здесь с рождения")</f>
        <v>Живу здесь с рождения</v>
      </c>
      <c r="G1584" s="6" t="str">
        <f>IFERROR(__xludf.DUMMYFUNCTION("""COMPUTED_VALUE"""),"Центр города, набережная Кировского района, сосновый бор на ""радуге"" ")</f>
        <v>Центр города, набережная Кировского района, сосновый бор на "радуге" </v>
      </c>
      <c r="H1584" s="6" t="str">
        <f>IFERROR(__xludf.DUMMYFUNCTION("""COMPUTED_VALUE"""),"Кузбасс, площадь, уголь, Томь, набережная")</f>
        <v>Кузбасс, площадь, уголь, Томь, набережная</v>
      </c>
      <c r="I1584" s="6" t="str">
        <f>IFERROR(__xludf.DUMMYFUNCTION("""COMPUTED_VALUE"""),"М. Волков, В. Мартемьянов, А. Леонов, Волошина")</f>
        <v>М. Волков, В. Мартемьянов, А. Леонов, Волошина</v>
      </c>
      <c r="J1584" s="6" t="str">
        <f>IFERROR(__xludf.DUMMYFUNCTION("""COMPUTED_VALUE"""),"Ё. Гришковец, Е. Малышева, Арбачаков, Бессмертный, Кемеровский, Евдокимов, Панин, Логинов, Распутина, Тиньков")</f>
        <v>Ё. Гришковец, Е. Малышева, Арбачаков, Бессмертный, Кемеровский, Евдокимов, Панин, Логинов, Распутина, Тиньков</v>
      </c>
      <c r="K1584" s="6" t="str">
        <f>IFERROR(__xludf.DUMMYFUNCTION("""COMPUTED_VALUE"""),"Набережная Кировского района, берёзовая роща Кировского района")</f>
        <v>Набережная Кировского района, берёзовая роща Кировского района</v>
      </c>
      <c r="L1584" s="6" t="str">
        <f>IFERROR(__xludf.DUMMYFUNCTION("""COMPUTED_VALUE"""),"Не знаю")</f>
        <v>Не знаю</v>
      </c>
      <c r="M1584" s="6" t="str">
        <f>IFERROR(__xludf.DUMMYFUNCTION("""COMPUTED_VALUE"""),"Мультифора(файл) , с кировского(что то криминальное). ")</f>
        <v>Мультифора(файл) , с кировского(что то криминальное). </v>
      </c>
      <c r="N1584" s="6" t="str">
        <f>IFERROR(__xludf.DUMMYFUNCTION("""COMPUTED_VALUE"""),"Зелень, безопасные площадки для детей, парк с фонтаном, кинозал под открытым небом, вело дорожки, скамейки, урны, парковка для велосипеда")</f>
        <v>Зелень, безопасные площадки для детей, парк с фонтаном, кинозал под открытым небом, вело дорожки, скамейки, урны, парковка для велосипеда</v>
      </c>
      <c r="O1584" s="6" t="str">
        <f>IFERROR(__xludf.DUMMYFUNCTION("""COMPUTED_VALUE"""),"Убрать старые площадки для детей, тротуар с ровным асфальтом и вело дорожки, частный сектор привести в порядок, чистые места отдыха у воды")</f>
        <v>Убрать старые площадки для детей, тротуар с ровным асфальтом и вело дорожки, частный сектор привести в порядок, чистые места отдыха у воды</v>
      </c>
      <c r="P1584" s="6" t="str">
        <f>IFERROR(__xludf.DUMMYFUNCTION("""COMPUTED_VALUE"""),"Любые источники, Все 42,сибдепо")</f>
        <v>Любые источники, Все 42,сибдепо</v>
      </c>
      <c r="Q1584" s="6" t="str">
        <f>IFERROR(__xludf.DUMMYFUNCTION("""COMPUTED_VALUE"""),"куда пойти в свободное время,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"&amp;"(рейтинги/аналитика/тенденции)")</f>
        <v>куда пойти в свободное время,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584" s="6" t="str">
        <f>IFERROR(__xludf.DUMMYFUNCTION("""COMPUTED_VALUE"""),"9 мая, день города, день шахтера")</f>
        <v>9 мая, день города, день шахтера</v>
      </c>
      <c r="S1584" s="6" t="str">
        <f>IFERROR(__xludf.DUMMYFUNCTION("""COMPUTED_VALUE"""),"Нет, не приходилось")</f>
        <v>Нет, не приходилось</v>
      </c>
      <c r="T1584" s="6" t="str">
        <f>IFERROR(__xludf.DUMMYFUNCTION("""COMPUTED_VALUE"""),"Столица Кузбасса, угольный бассейн")</f>
        <v>Столица Кузбасса, угольный бассейн</v>
      </c>
      <c r="U1584" s="6" t="str">
        <f>IFERROR(__xludf.DUMMYFUNCTION("""COMPUTED_VALUE"""),"Драм театр, площадь Советов")</f>
        <v>Драм театр, площадь Советов</v>
      </c>
      <c r="V1584" s="6" t="str">
        <f>IFERROR(__xludf.DUMMYFUNCTION("""COMPUTED_VALUE"""),"Успехи в профессии ")</f>
        <v>Успехи в профессии </v>
      </c>
      <c r="W1584" s="6" t="str">
        <f>IFERROR(__xludf.DUMMYFUNCTION("""COMPUTED_VALUE"""),"Суровые, мало улыбаются, закрытые, не любят тех, кто чем то отличается-мысли, одежда.. ")</f>
        <v>Суровые, мало улыбаются, закрытые, не любят тех, кто чем то отличается-мысли, одежда.. </v>
      </c>
      <c r="X1584" s="6" t="str">
        <f>IFERROR(__xludf.DUMMYFUNCTION("""COMPUTED_VALUE"""),"Весенняя, площадь советов, драма, набережная, на трамвае на красную горку, набережная Кировского, кедровый бор, Лесная поляна, по притомскому на бульвар и в комсомольский парк")</f>
        <v>Весенняя, площадь советов, драма, набережная, на трамвае на красную горку, набережная Кировского, кедровый бор, Лесная поляна, по притомскому на бульвар и в комсомольский парк</v>
      </c>
      <c r="Y1584" s="6" t="str">
        <f>IFERROR(__xludf.DUMMYFUNCTION("""COMPUTED_VALUE"""),"Открытие залежей угля")</f>
        <v>Открытие залежей угля</v>
      </c>
      <c r="Z1584" s="6" t="str">
        <f>IFERROR(__xludf.DUMMYFUNCTION("""COMPUTED_VALUE"""),"Реконструкция набережной Кировского района")</f>
        <v>Реконструкция набережной Кировского района</v>
      </c>
      <c r="AA1584" s="6" t="str">
        <f>IFERROR(__xludf.DUMMYFUNCTION("""COMPUTED_VALUE"""),"Пожар в зимней вишне")</f>
        <v>Пожар в зимней вишне</v>
      </c>
      <c r="AB1584" s="6" t="str">
        <f>IFERROR(__xludf.DUMMYFUNCTION("""COMPUTED_VALUE"""),"Клуба, доя тех, кто без пары, кому за 35")</f>
        <v>Клуба, доя тех, кто без пары, кому за 35</v>
      </c>
      <c r="AC1584" s="6" t="str">
        <f>IFERROR(__xludf.DUMMYFUNCTION("""COMPUTED_VALUE"""),"Доступные спортивные секции, наличие педагогов в школе 11, бесплатные занятия для детей для, типа клубов по интересам")</f>
        <v>Доступные спортивные секции, наличие педагогов в школе 11, бесплатные занятия для детей для, типа клубов по интересам</v>
      </c>
      <c r="AD158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v>
      </c>
      <c r="AE1584" s="6" t="str">
        <f>IFERROR(__xludf.DUMMYFUNCTION("""COMPUTED_VALUE"""),"Женский")</f>
        <v>Женский</v>
      </c>
      <c r="AF1584" s="6" t="str">
        <f>IFERROR(__xludf.DUMMYFUNCTION("""COMPUTED_VALUE"""),"30-44")</f>
        <v>30-44</v>
      </c>
      <c r="AG1584" s="6"/>
      <c r="AH1584" s="6"/>
      <c r="AI1584" s="6"/>
      <c r="AJ1584" s="6"/>
      <c r="AK1584" s="6"/>
      <c r="AL1584" s="6"/>
      <c r="AM1584" s="6"/>
    </row>
    <row r="1585">
      <c r="A1585" s="6">
        <v>1584.0</v>
      </c>
      <c r="B1585" s="6" t="str">
        <f>IFERROR(__xludf.DUMMYFUNCTION("""COMPUTED_VALUE"""),"Инженер проектировщик ")</f>
        <v>Инженер проектировщик </v>
      </c>
      <c r="C1585" s="6" t="str">
        <f>IFERROR(__xludf.DUMMYFUNCTION("""COMPUTED_VALUE"""),"Гулять с собакой")</f>
        <v>Гулять с собакой</v>
      </c>
      <c r="D1585" s="6" t="str">
        <f>IFERROR(__xludf.DUMMYFUNCTION("""COMPUTED_VALUE"""),"Южный")</f>
        <v>Южный</v>
      </c>
      <c r="E1585" s="6" t="str">
        <f>IFERROR(__xludf.DUMMYFUNCTION("""COMPUTED_VALUE"""),"Бульвар Патриотов")</f>
        <v>Бульвар Патриотов</v>
      </c>
      <c r="F1585" s="6" t="str">
        <f>IFERROR(__xludf.DUMMYFUNCTION("""COMPUTED_VALUE"""),"Переехал сюда из другого места (откуда? укажите в графе другое), Переехала из Беловского района, после окончания Политеха")</f>
        <v>Переехал сюда из другого места (откуда? укажите в графе другое), Переехала из Беловского района, после окончания Политеха</v>
      </c>
      <c r="G1585" s="6" t="str">
        <f>IFERROR(__xludf.DUMMYFUNCTION("""COMPUTED_VALUE"""),"На Лесную Поляну")</f>
        <v>На Лесную Поляну</v>
      </c>
      <c r="H1585" s="6" t="str">
        <f>IFERROR(__xludf.DUMMYFUNCTION("""COMPUTED_VALUE"""),"Кузбасс, столица области, Политех, Азот, Красная горка, Лесная Поляна, Зимняя вишня😢")</f>
        <v>Кузбасс, столица области, Политех, Азот, Красная горка, Лесная Поляна, Зимняя вишня😢</v>
      </c>
      <c r="I1585" s="6" t="str">
        <f>IFERROR(__xludf.DUMMYFUNCTION("""COMPUTED_VALUE"""),"Михайло Волков, Тулеев, Леонов")</f>
        <v>Михайло Волков, Тулеев, Леонов</v>
      </c>
      <c r="J1585" s="6" t="str">
        <f>IFERROR(__xludf.DUMMYFUNCTION("""COMPUTED_VALUE"""),"Машков, семья Цивилевых, Малышева")</f>
        <v>Машков, семья Цивилевых, Малышева</v>
      </c>
      <c r="K1585" s="6" t="str">
        <f>IFERROR(__xludf.DUMMYFUNCTION("""COMPUTED_VALUE"""),"Памятник Шахтёрам на Красной горке, парк Ангелов, кадетское училище, Лесная Поляна, Сосновый Бор и Крест")</f>
        <v>Памятник Шахтёрам на Красной горке, парк Ангелов, кадетское училище, Лесная Поляна, Сосновый Бор и Крест</v>
      </c>
      <c r="L1585" s="6" t="str">
        <f>IFERROR(__xludf.DUMMYFUNCTION("""COMPUTED_VALUE"""),"«Я не знала что у вас в Кемерово такие горячие мужчины». Так сказала полицейским жертва маньяка, которая осталась в живых. Она была ревизор из Москвы.")</f>
        <v>«Я не знала что у вас в Кемерово такие горячие мужчины». Так сказала полицейским жертва маньяка, которая осталась в живых. Она была ревизор из Москвы.</v>
      </c>
      <c r="M1585" s="6" t="str">
        <f>IFERROR(__xludf.DUMMYFUNCTION("""COMPUTED_VALUE"""),"Не знаю")</f>
        <v>Не знаю</v>
      </c>
      <c r="N1585" s="6" t="str">
        <f>IFERROR(__xludf.DUMMYFUNCTION("""COMPUTED_VALUE"""),"Хорошие дороги, транспортная доступность (время на дорогу от дома на работу не более 25мин) зелёные насаждения, места где можно гулять с собакой и без (на Южном нет ни одного парка и места выгула собак), чистый воздух без смога, чистые улицы без грязи и м"&amp;"усора, архитектура подстать месту где строят дома, не лепить стеклянные коробки в исторической части города, где дома с вензелями и лепниной.")</f>
        <v>Хорошие дороги, транспортная доступность (время на дорогу от дома на работу не более 25мин) зелёные насаждения, места где можно гулять с собакой и без (на Южном нет ни одного парка и места выгула собак), чистый воздух без смога, чистые улицы без грязи и мусора, архитектура подстать месту где строят дома, не лепить стеклянные коробки в исторической части города, где дома с вензелями и лепниной.</v>
      </c>
      <c r="O1585" s="6" t="str">
        <f>IFERROR(__xludf.DUMMYFUNCTION("""COMPUTED_VALUE"""),"Сделать воздух чище: перевести общественный транспорт на газ или электричество, перевести пром. объекты которые топятся углём на газ, поставить фильтры, сделать трубы выше, контролировать рекультивацию после того как разрезы закончили отработку участка.
У"&amp;"брать пивные и курильные заведения из каждого дома!!! Постить здоровое поколение.
Внедрять разумное потребление и раздельный сбор мусора! Сортировать отходы.")</f>
        <v>Сделать воздух чище: перевести общественный транспорт на газ или электричество, перевести пром. объекты которые топятся углём на газ, поставить фильтры, сделать трубы выше, контролировать рекультивацию после того как разрезы закончили отработку участка.
Убрать пивные и курильные заведения из каждого дома!!! Постить здоровое поколение.
Внедрять разумное потребление и раздельный сбор мусора! Сортировать отходы.</v>
      </c>
      <c r="P1585" s="6" t="str">
        <f>IFERROR(__xludf.DUMMYFUNCTION("""COMPUTED_VALUE"""),"Россия 2 (утренние новости Кузбасса), Инстаграм ")</f>
        <v>Россия 2 (утренние новости Кузбасса), Инстаграм </v>
      </c>
      <c r="Q158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585" s="6" t="str">
        <f>IFERROR(__xludf.DUMMYFUNCTION("""COMPUTED_VALUE"""),"День победы когда весь город выходит на улицы и чувствуется единый дух. День города и России, день шахтёра")</f>
        <v>День победы когда весь город выходит на улицы и чувствуется единый дух. День города и России, день шахтёра</v>
      </c>
      <c r="S1585" s="6" t="str">
        <f>IFERROR(__xludf.DUMMYFUNCTION("""COMPUTED_VALUE"""),"Через социальные сети (Какие? Укажите в графе другое), Мне задавали вопросы на открытии памятника на камеру. Новостями делюсь в Инстаграм ")</f>
        <v>Через социальные сети (Какие? Укажите в графе другое), Мне задавали вопросы на открытии памятника на камеру. Новостями делюсь в Инстаграм </v>
      </c>
      <c r="T1585" s="6" t="str">
        <f>IFERROR(__xludf.DUMMYFUNCTION("""COMPUTED_VALUE"""),"Зимней Вишней 😢 
Шахтерами и химиками. 
Уникальность сложно выявить, возможно попробовать что-то из еды чего нет в других областях (Подорожник, чёрное мороженное, Крошка-картошка)")</f>
        <v>Зимней Вишней 😢 
Шахтерами и химиками. 
Уникальность сложно выявить, возможно попробовать что-то из еды чего нет в других областях (Подорожник, чёрное мороженное, Крошка-картошка)</v>
      </c>
      <c r="U1585" s="6" t="str">
        <f>IFERROR(__xludf.DUMMYFUNCTION("""COMPUTED_VALUE"""),"Площадь Советов")</f>
        <v>Площадь Советов</v>
      </c>
      <c r="V1585" s="6" t="str">
        <f>IFERROR(__xludf.DUMMYFUNCTION("""COMPUTED_VALUE"""),"Много трудились и ставили рекорды")</f>
        <v>Много трудились и ставили рекорды</v>
      </c>
      <c r="W1585" s="6" t="str">
        <f>IFERROR(__xludf.DUMMYFUNCTION("""COMPUTED_VALUE"""),"Свободные в общении, в одежде, горды тем что живут в столице, многие подшофе")</f>
        <v>Свободные в общении, в одежде, горды тем что живут в столице, многие подшофе</v>
      </c>
      <c r="X1585" s="6" t="str">
        <f>IFERROR(__xludf.DUMMYFUNCTION("""COMPUTED_VALUE"""),"На крест через Бор, оттуда открывается город. Также подойдёт памятник шахтёрам на КГ")</f>
        <v>На крест через Бор, оттуда открывается город. Также подойдёт памятник шахтёрам на КГ</v>
      </c>
      <c r="Y1585" s="6" t="str">
        <f>IFERROR(__xludf.DUMMYFUNCTION("""COMPUTED_VALUE"""),"Открытие парка Ангелов (это нужно было чтобы хоть как-то снизить боль от пожара), строительство спортивных центров  Арены и Кузбасса, строительство кадетского корпуса, чемпионат мира по бэнди, смена губернатора.")</f>
        <v>Открытие парка Ангелов (это нужно было чтобы хоть как-то снизить боль от пожара), строительство спортивных центров  Арены и Кузбасса, строительство кадетского корпуса, чемпионат мира по бэнди, смена губернатора.</v>
      </c>
      <c r="Z1585" s="6" t="str">
        <f>IFERROR(__xludf.DUMMYFUNCTION("""COMPUTED_VALUE"""),"Выше перечислила")</f>
        <v>Выше перечислила</v>
      </c>
      <c r="AA1585" s="6" t="str">
        <f>IFERROR(__xludf.DUMMYFUNCTION("""COMPUTED_VALUE"""),"Зимняя вишня")</f>
        <v>Зимняя вишня</v>
      </c>
      <c r="AB1585" s="6" t="str">
        <f>IFERROR(__xludf.DUMMYFUNCTION("""COMPUTED_VALUE"""),"Людей которые бы следили за экологией в городе и транслировали открыто все результаты, чтобы это было все мощно и каждый житель знал какая обстановка сегодня")</f>
        <v>Людей которые бы следили за экологией в городе и транслировали открыто все результаты, чтобы это было все мощно и каждый житель знал какая обстановка сегодня</v>
      </c>
      <c r="AC1585" s="6" t="str">
        <f>IFERROR(__xludf.DUMMYFUNCTION("""COMPUTED_VALUE"""),"Мне всего достаточно")</f>
        <v>Мне всего достаточно</v>
      </c>
      <c r="AD1585"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85" s="6" t="str">
        <f>IFERROR(__xludf.DUMMYFUNCTION("""COMPUTED_VALUE"""),"Женский")</f>
        <v>Женский</v>
      </c>
      <c r="AF1585" s="6" t="str">
        <f>IFERROR(__xludf.DUMMYFUNCTION("""COMPUTED_VALUE"""),"30-44")</f>
        <v>30-44</v>
      </c>
      <c r="AG1585" s="6"/>
      <c r="AH1585" s="6"/>
      <c r="AI1585" s="6"/>
      <c r="AJ1585" s="6"/>
      <c r="AK1585" s="6"/>
      <c r="AL1585" s="6"/>
      <c r="AM1585" s="6"/>
    </row>
    <row r="1586">
      <c r="A1586" s="6">
        <v>1585.0</v>
      </c>
      <c r="B1586" s="6" t="str">
        <f>IFERROR(__xludf.DUMMYFUNCTION("""COMPUTED_VALUE"""),"Бухгалтер ")</f>
        <v>Бухгалтер </v>
      </c>
      <c r="C1586" s="6" t="str">
        <f>IFERROR(__xludf.DUMMYFUNCTION("""COMPUTED_VALUE"""),"Рукоделие ")</f>
        <v>Рукоделие </v>
      </c>
      <c r="D1586" s="6" t="str">
        <f>IFERROR(__xludf.DUMMYFUNCTION("""COMPUTED_VALUE"""),"Центральный ")</f>
        <v>Центральный </v>
      </c>
      <c r="E1586" s="6" t="str">
        <f>IFERROR(__xludf.DUMMYFUNCTION("""COMPUTED_VALUE"""),"Набережная ")</f>
        <v>Набережная </v>
      </c>
      <c r="F1586" s="6" t="str">
        <f>IFERROR(__xludf.DUMMYFUNCTION("""COMPUTED_VALUE"""),"Переехал сюда из другого места (откуда? укажите в графе другое), Бишкек ")</f>
        <v>Переехал сюда из другого места (откуда? укажите в графе другое), Бишкек </v>
      </c>
      <c r="G1586" s="6" t="str">
        <f>IFERROR(__xludf.DUMMYFUNCTION("""COMPUTED_VALUE"""),"Парк")</f>
        <v>Парк</v>
      </c>
      <c r="H1586" s="6" t="str">
        <f>IFERROR(__xludf.DUMMYFUNCTION("""COMPUTED_VALUE"""),"Грязный, Вонючий, Серый, Лысый, Больной ")</f>
        <v>Грязный, Вонючий, Серый, Лысый, Больной </v>
      </c>
      <c r="I1586" s="6" t="str">
        <f>IFERROR(__xludf.DUMMYFUNCTION("""COMPUTED_VALUE"""),"Леонов, Логинов, Панин, Гришковец")</f>
        <v>Леонов, Логинов, Панин, Гришковец</v>
      </c>
      <c r="J1586" s="6" t="str">
        <f>IFERROR(__xludf.DUMMYFUNCTION("""COMPUTED_VALUE"""),"Нет")</f>
        <v>Нет</v>
      </c>
      <c r="K1586" s="6" t="str">
        <f>IFERROR(__xludf.DUMMYFUNCTION("""COMPUTED_VALUE"""),"Площадь Пушкина, Комсомольский парк")</f>
        <v>Площадь Пушкина, Комсомольский парк</v>
      </c>
      <c r="L1586" s="6" t="str">
        <f>IFERROR(__xludf.DUMMYFUNCTION("""COMPUTED_VALUE"""),"Человек из Кемерова")</f>
        <v>Человек из Кемерова</v>
      </c>
      <c r="M1586" s="6" t="str">
        <f>IFERROR(__xludf.DUMMYFUNCTION("""COMPUTED_VALUE"""),"Нет")</f>
        <v>Нет</v>
      </c>
      <c r="N1586" s="6" t="str">
        <f>IFERROR(__xludf.DUMMYFUNCTION("""COMPUTED_VALUE"""),"Чистый воздух, много деревьев, ровные дороги во дворах, клумбы вместо асфальта")</f>
        <v>Чистый воздух, много деревьев, ровные дороги во дворах, клумбы вместо асфальта</v>
      </c>
      <c r="O1586" s="6" t="str">
        <f>IFERROR(__xludf.DUMMYFUNCTION("""COMPUTED_VALUE"""),"Построить новый онкологический цент с новым деректором, разбирающимся в онкологии, посадить большое количество деревьев для очистки воздуха, поставить на всех заводах новейшие фильтры, чтобы сократить выбросы в атмосферы, повысить стоимость услуг за снос "&amp;"зеленых насаждений, обязать предприятия высаживать новые деревья взамен вырубленных")</f>
        <v>Построить новый онкологический цент с новым деректором, разбирающимся в онкологии, посадить большое количество деревьев для очистки воздуха, поставить на всех заводах новейшие фильтры, чтобы сократить выбросы в атмосферы, повысить стоимость услуг за снос зеленых насаждений, обязать предприятия высаживать новые деревья взамен вырубленных</v>
      </c>
      <c r="P1586" s="6" t="str">
        <f>IFERROR(__xludf.DUMMYFUNCTION("""COMPUTED_VALUE"""),"Нет")</f>
        <v>Нет</v>
      </c>
      <c r="Q1586" s="6" t="str">
        <f>IFERROR(__xludf.DUMMYFUNCTION("""COMPUTED_VALUE"""),"куда пойти в свободное время, городская афиша (кино/театр/концерты), культурные новинки (что почитать/что послушать), Творческие студии")</f>
        <v>куда пойти в свободное время, городская афиша (кино/театр/концерты), культурные новинки (что почитать/что послушать), Творческие студии</v>
      </c>
      <c r="R1586" s="6" t="str">
        <f>IFERROR(__xludf.DUMMYFUNCTION("""COMPUTED_VALUE"""),"День города, день победы")</f>
        <v>День города, день победы</v>
      </c>
      <c r="S1586" s="6" t="str">
        <f>IFERROR(__xludf.DUMMYFUNCTION("""COMPUTED_VALUE"""),"Нет, не приходилось")</f>
        <v>Нет, не приходилось</v>
      </c>
      <c r="T1586" s="6" t="str">
        <f>IFERROR(__xludf.DUMMYFUNCTION("""COMPUTED_VALUE"""),"Столица Кузбасса, где родился космонавт Леонов-гордость города. ")</f>
        <v>Столица Кузбасса, где родился космонавт Леонов-гордость города. </v>
      </c>
      <c r="U1586" s="6" t="str">
        <f>IFERROR(__xludf.DUMMYFUNCTION("""COMPUTED_VALUE"""),"Набережная")</f>
        <v>Набережная</v>
      </c>
      <c r="V1586" s="6" t="str">
        <f>IFERROR(__xludf.DUMMYFUNCTION("""COMPUTED_VALUE"""),"Ничего")</f>
        <v>Ничего</v>
      </c>
      <c r="W1586" s="6" t="str">
        <f>IFERROR(__xludf.DUMMYFUNCTION("""COMPUTED_VALUE"""),"Хмурые, уставшие, серые")</f>
        <v>Хмурые, уставшие, серые</v>
      </c>
      <c r="X1586" s="6" t="str">
        <f>IFERROR(__xludf.DUMMYFUNCTION("""COMPUTED_VALUE"""),"Старый центр")</f>
        <v>Старый центр</v>
      </c>
      <c r="Y1586" s="6" t="str">
        <f>IFERROR(__xludf.DUMMYFUNCTION("""COMPUTED_VALUE"""),"Нет ")</f>
        <v>Нет </v>
      </c>
      <c r="Z1586" s="6" t="str">
        <f>IFERROR(__xludf.DUMMYFUNCTION("""COMPUTED_VALUE"""),"Нет")</f>
        <v>Нет</v>
      </c>
      <c r="AA1586" s="6" t="str">
        <f>IFERROR(__xludf.DUMMYFUNCTION("""COMPUTED_VALUE"""),"Закрытие единственного бассейна с дорожками на 50 метров-Лазурного и это при огромном количестве легочных заболеваний и проблем с костями из-за плохой экологии")</f>
        <v>Закрытие единственного бассейна с дорожками на 50 метров-Лазурного и это при огромном количестве легочных заболеваний и проблем с костями из-за плохой экологии</v>
      </c>
      <c r="AB1586" s="6" t="str">
        <f>IFERROR(__xludf.DUMMYFUNCTION("""COMPUTED_VALUE"""),"Экологии ")</f>
        <v>Экологии </v>
      </c>
      <c r="AC1586" s="6" t="str">
        <f>IFERROR(__xludf.DUMMYFUNCTION("""COMPUTED_VALUE"""),"Хватает текущих ")</f>
        <v>Хватает текущих </v>
      </c>
      <c r="AD158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86" s="6" t="str">
        <f>IFERROR(__xludf.DUMMYFUNCTION("""COMPUTED_VALUE"""),"Женский")</f>
        <v>Женский</v>
      </c>
      <c r="AF1586" s="6" t="str">
        <f>IFERROR(__xludf.DUMMYFUNCTION("""COMPUTED_VALUE"""),"30-44")</f>
        <v>30-44</v>
      </c>
      <c r="AG1586" s="6"/>
      <c r="AH1586" s="6"/>
      <c r="AI1586" s="6"/>
      <c r="AJ1586" s="6"/>
      <c r="AK1586" s="6"/>
      <c r="AL1586" s="6"/>
      <c r="AM1586" s="6"/>
    </row>
    <row r="1587">
      <c r="A1587" s="6">
        <v>1586.0</v>
      </c>
      <c r="B1587" s="6" t="str">
        <f>IFERROR(__xludf.DUMMYFUNCTION("""COMPUTED_VALUE"""),"Врач")</f>
        <v>Врач</v>
      </c>
      <c r="C1587" s="6" t="str">
        <f>IFERROR(__xludf.DUMMYFUNCTION("""COMPUTED_VALUE"""),"Прогулки на свежем воздухе ")</f>
        <v>Прогулки на свежем воздухе </v>
      </c>
      <c r="D1587" s="6" t="str">
        <f>IFERROR(__xludf.DUMMYFUNCTION("""COMPUTED_VALUE"""),"Южный")</f>
        <v>Южный</v>
      </c>
      <c r="E1587" s="6" t="str">
        <f>IFERROR(__xludf.DUMMYFUNCTION("""COMPUTED_VALUE"""),"Бульвар на патриотов, церковь ""Утоли мои печали"", аллея с оленями, район и игровые площадки Меры")</f>
        <v>Бульвар на патриотов, церковь "Утоли мои печали", аллея с оленями, район и игровые площадки Меры</v>
      </c>
      <c r="F1587" s="6" t="str">
        <f>IFERROR(__xludf.DUMMYFUNCTION("""COMPUTED_VALUE"""),"Живу здесь с рождения")</f>
        <v>Живу здесь с рождения</v>
      </c>
      <c r="G1587" s="6" t="str">
        <f>IFERROR(__xludf.DUMMYFUNCTION("""COMPUTED_VALUE"""),"Сосновый бор, центр, парк Антошка ")</f>
        <v>Сосновый бор, центр, парк Антошка </v>
      </c>
      <c r="H1587" s="6" t="str">
        <f>IFERROR(__xludf.DUMMYFUNCTION("""COMPUTED_VALUE"""),"Серый, в смоге, грязный, каменные джунгли, город на реке, ")</f>
        <v>Серый, в смоге, грязный, каменные джунгли, город на реке, </v>
      </c>
      <c r="I1587" s="6" t="str">
        <f>IFERROR(__xludf.DUMMYFUNCTION("""COMPUTED_VALUE"""),"Леонов, Вера Волошина, Чкалов, Двужильный, Беляев")</f>
        <v>Леонов, Вера Волошина, Чкалов, Двужильный, Беляев</v>
      </c>
      <c r="J1587" s="6" t="str">
        <f>IFERROR(__xludf.DUMMYFUNCTION("""COMPUTED_VALUE""")," Михайлов, ")</f>
        <v> Михайлов, </v>
      </c>
      <c r="K1587" s="6" t="str">
        <f>IFERROR(__xludf.DUMMYFUNCTION("""COMPUTED_VALUE"""),"Памятник шахтёрам, красная горка, ботанический сад, горсад")</f>
        <v>Памятник шахтёрам, красная горка, ботанический сад, горсад</v>
      </c>
      <c r="L1587" s="6" t="str">
        <f>IFERROR(__xludf.DUMMYFUNCTION("""COMPUTED_VALUE"""),"Ничего не приходит на ум")</f>
        <v>Ничего не приходит на ум</v>
      </c>
      <c r="M1587" s="6" t="str">
        <f>IFERROR(__xludf.DUMMYFUNCTION("""COMPUTED_VALUE"""),"Нет")</f>
        <v>Нет</v>
      </c>
      <c r="N1587" s="6" t="str">
        <f>IFERROR(__xludf.DUMMYFUNCTION("""COMPUTED_VALUE"""),"Много зелени, чистый воздух, отсутствие пробок, наличие парковочных мест, интересные детские площадки ")</f>
        <v>Много зелени, чистый воздух, отсутствие пробок, наличие парковочных мест, интересные детские площадки </v>
      </c>
      <c r="O1587" s="6" t="str">
        <f>IFERROR(__xludf.DUMMYFUNCTION("""COMPUTED_VALUE"""),"Очистить воздух, больше зелени")</f>
        <v>Очистить воздух, больше зелени</v>
      </c>
      <c r="P1587" s="6" t="str">
        <f>IFERROR(__xludf.DUMMYFUNCTION("""COMPUTED_VALUE"""),"Инстаграмм")</f>
        <v>Инстаграмм</v>
      </c>
      <c r="Q1587"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1587" s="6" t="str">
        <f>IFERROR(__xludf.DUMMYFUNCTION("""COMPUTED_VALUE"""),"Парад в честь 9го мая")</f>
        <v>Парад в честь 9го мая</v>
      </c>
      <c r="S1587" s="6" t="str">
        <f>IFERROR(__xludf.DUMMYFUNCTION("""COMPUTED_VALUE"""),"Нет, не приходилось")</f>
        <v>Нет, не приходилось</v>
      </c>
      <c r="T1587" s="6" t="str">
        <f>IFERROR(__xludf.DUMMYFUNCTION("""COMPUTED_VALUE"""),"Высокими трубами")</f>
        <v>Высокими трубами</v>
      </c>
      <c r="U1587" s="6" t="str">
        <f>IFERROR(__xludf.DUMMYFUNCTION("""COMPUTED_VALUE"""),"Горсад")</f>
        <v>Горсад</v>
      </c>
      <c r="V1587" s="6" t="str">
        <f>IFERROR(__xludf.DUMMYFUNCTION("""COMPUTED_VALUE"""),"Облагородили город, ")</f>
        <v>Облагородили город, </v>
      </c>
      <c r="W1587" s="6" t="str">
        <f>IFERROR(__xludf.DUMMYFUNCTION("""COMPUTED_VALUE"""),"Открытые, суровые, отзывчивые ")</f>
        <v>Открытые, суровые, отзывчивые </v>
      </c>
      <c r="X1587" s="6" t="str">
        <f>IFERROR(__xludf.DUMMYFUNCTION("""COMPUTED_VALUE"""),"По центру города  через мосты на другой берег ")</f>
        <v>По центру города  через мосты на другой берег </v>
      </c>
      <c r="Y1587" s="6" t="str">
        <f>IFERROR(__xludf.DUMMYFUNCTION("""COMPUTED_VALUE"""),"Чемпионат мира по хоккею с мячом")</f>
        <v>Чемпионат мира по хоккею с мячом</v>
      </c>
      <c r="Z1587" s="6" t="str">
        <f>IFERROR(__xludf.DUMMYFUNCTION("""COMPUTED_VALUE"""),"Строительство новых объектов на набережной")</f>
        <v>Строительство новых объектов на набережной</v>
      </c>
      <c r="AA1587" s="6" t="str">
        <f>IFERROR(__xludf.DUMMYFUNCTION("""COMPUTED_VALUE"""),"Смог не проходящий несколько дней ")</f>
        <v>Смог не проходящий несколько дней </v>
      </c>
      <c r="AB1587" s="6" t="str">
        <f>IFERROR(__xludf.DUMMYFUNCTION("""COMPUTED_VALUE"""),"Всех достаточно")</f>
        <v>Всех достаточно</v>
      </c>
      <c r="AC1587" s="6" t="str">
        <f>IFERROR(__xludf.DUMMYFUNCTION("""COMPUTED_VALUE"""),"Творческие события")</f>
        <v>Творческие события</v>
      </c>
      <c r="AD1587" s="6" t="str">
        <f>IFERROR(__xludf.DUMMYFUNCTION("""COMPUTED_VALUE"""),"Партнера. Скинуться (деньгами, материалами, инструментом) с другими жителями на благоустройство двора, микрорайона, Коммуникатора: Готов задействовать свои знакомства для приглашения потенциально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Коммуникатора: Готов задействовать свои знакомства для приглашения потенциально заинтересованных участников</v>
      </c>
      <c r="AE1587" s="6" t="str">
        <f>IFERROR(__xludf.DUMMYFUNCTION("""COMPUTED_VALUE"""),"Женский")</f>
        <v>Женский</v>
      </c>
      <c r="AF1587" s="6" t="str">
        <f>IFERROR(__xludf.DUMMYFUNCTION("""COMPUTED_VALUE"""),"30-44")</f>
        <v>30-44</v>
      </c>
      <c r="AG1587" s="6"/>
      <c r="AH1587" s="6"/>
      <c r="AI1587" s="6"/>
      <c r="AJ1587" s="6"/>
      <c r="AK1587" s="6"/>
      <c r="AL1587" s="6"/>
      <c r="AM1587" s="6"/>
    </row>
    <row r="1588">
      <c r="A1588" s="6">
        <v>1587.0</v>
      </c>
      <c r="B1588" s="6" t="str">
        <f>IFERROR(__xludf.DUMMYFUNCTION("""COMPUTED_VALUE"""),"предпенсионер")</f>
        <v>предпенсионер</v>
      </c>
      <c r="C1588" s="6" t="str">
        <f>IFERROR(__xludf.DUMMYFUNCTION("""COMPUTED_VALUE"""),"искусство,  философия, дизайн, творчество")</f>
        <v>искусство,  философия, дизайн, творчество</v>
      </c>
      <c r="D1588" s="6" t="str">
        <f>IFERROR(__xludf.DUMMYFUNCTION("""COMPUTED_VALUE"""),"Ленинский")</f>
        <v>Ленинский</v>
      </c>
      <c r="E1588" s="6" t="str">
        <f>IFERROR(__xludf.DUMMYFUNCTION("""COMPUTED_VALUE"""),"б-р Строителей, парк ""Кузбасский"", храм Святой Троицы со звонницей (хочется чаще слышать колокольный перезвон)")</f>
        <v>б-р Строителей, парк "Кузбасский", храм Святой Троицы со звонницей (хочется чаще слышать колокольный перезвон)</v>
      </c>
      <c r="F1588" s="6" t="str">
        <f>IFERROR(__xludf.DUMMYFUNCTION("""COMPUTED_VALUE"""),"Переехал сюда из другого места (откуда? укажите в графе другое), из Норильска, живу 36 лет")</f>
        <v>Переехал сюда из другого места (откуда? укажите в графе другое), из Норильска, живу 36 лет</v>
      </c>
      <c r="G1588" s="6" t="str">
        <f>IFERROR(__xludf.DUMMYFUNCTION("""COMPUTED_VALUE"""),"парки, сосновый бор, б-р Строителей, небольшие кафешки, смотровая площадка Жеровлево над снт ""Нагорное-нижнее""")</f>
        <v>парки, сосновый бор, б-р Строителей, небольшие кафешки, смотровая площадка Жеровлево над снт "Нагорное-нижнее"</v>
      </c>
      <c r="H1588" s="6" t="str">
        <f>IFERROR(__xludf.DUMMYFUNCTION("""COMPUTED_VALUE"""),"химия, тополя, зеленстрой, снегири и свиристели , снег, сибирь")</f>
        <v>химия, тополя, зеленстрой, снегири и свиристели , снег, сибирь</v>
      </c>
      <c r="I1588" s="6" t="str">
        <f>IFERROR(__xludf.DUMMYFUNCTION("""COMPUTED_VALUE"""),"Ф. И. Соймонов, Е.Гришковец, Инна Макарова, А. Бабенко")</f>
        <v>Ф. И. Соймонов, Е.Гришковец, Инна Макарова, А. Бабенко</v>
      </c>
      <c r="J1588" s="6" t="str">
        <f>IFERROR(__xludf.DUMMYFUNCTION("""COMPUTED_VALUE"""),"не чиновники и не деятели культуры, а обычные работники суровых тяжелых профессий на которых и держится город")</f>
        <v>не чиновники и не деятели культуры, а обычные работники суровых тяжелых профессий на которых и держится город</v>
      </c>
      <c r="K1588" s="6" t="str">
        <f>IFERROR(__xludf.DUMMYFUNCTION("""COMPUTED_VALUE"""),"музей Красная горка, вид с набережной от д. Солонечная вдоль шашлычных по ул. Ноябрьская")</f>
        <v>музей Красная горка, вид с набережной от д. Солонечная вдоль шашлычных по ул. Ноябрьская</v>
      </c>
      <c r="L1588" s="6" t="str">
        <f>IFERROR(__xludf.DUMMYFUNCTION("""COMPUTED_VALUE"""),"Не знаю")</f>
        <v>Не знаю</v>
      </c>
      <c r="M1588" s="6" t="str">
        <f>IFERROR(__xludf.DUMMYFUNCTION("""COMPUTED_VALUE"""),"""газ выпустили"", ""на улице газ""")</f>
        <v>"газ выпустили", "на улице газ"</v>
      </c>
      <c r="N1588" s="6" t="str">
        <f>IFERROR(__xludf.DUMMYFUNCTION("""COMPUTED_VALUE"""),"1. Трудоустройство как наемным так и самозанятым.
2. Единый архитектурный план застройки (не хаотичный, кусками как сейчас). На вопрос гостей города:""Где у вас центр?"" я не знаю что ответить. Сейчас стыдно перед приезжими...
3. Разгрузка пр. Кузнецкого "&amp;"и ул. Терешковой от транзитного транспорта и дополнительный мост для р-на ""Радуга""
4. Озеленение  (разнообразие деревьев и кустов, клумбы, облагороженные сосновый бор и парки, спасибо Зеленстрою, они стараются как могут, но деревьев и кустов не хватает)"&amp;". 
5. Зон отдыха тела и духа. Современные игровые площадки   (как на б-ре Строителей) с добавлением настольных игр для взрослых. Не хватает выездных столичных выставок  (подлинники), гастролей нашумевших спектаклей (призеров фестивалей). Местные фестивали"&amp;" и соревнования для обычных обывателей. Очень скудный и не актуальный перечень культпоходов в городе. 
")</f>
        <v>1. Трудоустройство как наемным так и самозанятым.
2. Единый архитектурный план застройки (не хаотичный, кусками как сейчас). На вопрос гостей города:"Где у вас центр?" я не знаю что ответить. Сейчас стыдно перед приезжими...
3. Разгрузка пр. Кузнецкого и ул. Терешковой от транзитного транспорта и дополнительный мост для р-на "Радуга"
4. Озеленение  (разнообразие деревьев и кустов, клумбы, облагороженные сосновый бор и парки, спасибо Зеленстрою, они стараются как могут, но деревьев и кустов не хватает). 
5. Зон отдыха тела и духа. Современные игровые площадки   (как на б-ре Строителей) с добавлением настольных игр для взрослых. Не хватает выездных столичных выставок  (подлинники), гастролей нашумевших спектаклей (призеров фестивалей). Местные фестивали и соревнования для обычных обывателей. Очень скудный и не актуальный перечень культпоходов в городе. 
</v>
      </c>
      <c r="O1588" s="6" t="str">
        <f>IFERROR(__xludf.DUMMYFUNCTION("""COMPUTED_VALUE"""),"Политику трудоустройства местного населения, не прибегая к услугам вахтавиков и гастарбайтеров")</f>
        <v>Политику трудоустройства местного населения, не прибегая к услугам вахтавиков и гастарбайтеров</v>
      </c>
      <c r="P1588" s="6" t="str">
        <f>IFERROR(__xludf.DUMMYFUNCTION("""COMPUTED_VALUE"""),"Сарафанное радио")</f>
        <v>Сарафанное радио</v>
      </c>
      <c r="Q1588" s="6" t="str">
        <f>IFERROR(__xludf.DUMMYFUNCTION("""COMPUTED_VALUE"""),"куда пойти в свободное время, культурные новинки (что почитать/что послушать),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предложени"&amp;"я), интервью с профессионалами лучшими в своей области (кроме  деятелей СМИ). Это должны быть независимые от работодателя личности.")</f>
        <v>куда пойти в свободное время, культурные новинки (что почитать/что послушать),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предложения), интервью с профессионалами лучшими в своей области (кроме  деятелей СМИ). Это должны быть независимые от работодателя личности.</v>
      </c>
      <c r="R1588" s="6" t="str">
        <f>IFERROR(__xludf.DUMMYFUNCTION("""COMPUTED_VALUE"""),"Масленница, 9 мая, День города")</f>
        <v>Масленница, 9 мая, День города</v>
      </c>
      <c r="S1588" s="6" t="str">
        <f>IFERROR(__xludf.DUMMYFUNCTION("""COMPUTED_VALUE"""),"Нет, не приходилось")</f>
        <v>Нет, не приходилось</v>
      </c>
      <c r="T1588" s="6" t="str">
        <f>IFERROR(__xludf.DUMMYFUNCTION("""COMPUTED_VALUE"""),"Знаменит бастующими шахтерами. 
Уникален как небольшой (именно город в 500-550 тыс. населения  комфортный для проживания) сибирский город, находящийся рядом с центром Евразии, по соседству с Алтаем и Тибетом ( где-то рядом та самая Шамбала). Уникален сиби"&amp;"рской тайгой (зеленое море тайги) и людьми с сибирским характером.")</f>
        <v>Знаменит бастующими шахтерами. 
Уникален как небольшой (именно город в 500-550 тыс. населения  комфортный для проживания) сибирский город, находящийся рядом с центром Евразии, по соседству с Алтаем и Тибетом ( где-то рядом та самая Шамбала). Уникален сибирской тайгой (зеленое море тайги) и людьми с сибирским характером.</v>
      </c>
      <c r="U1588" s="6" t="str">
        <f>IFERROR(__xludf.DUMMYFUNCTION("""COMPUTED_VALUE"""),"К сожалению, я не нахожу в городе центра, его уже нет.")</f>
        <v>К сожалению, я не нахожу в городе центра, его уже нет.</v>
      </c>
      <c r="V1588" s="6" t="str">
        <f>IFERROR(__xludf.DUMMYFUNCTION("""COMPUTED_VALUE"""),"Строили промышленный город, трудились на тяжелых производствах ( химия, уголь). Колоссальные усилия вложили для фронта  в ВОВ (мехзавод, госпитали, эвакуированные, лыжи для военных, сформировали девизии стрелковые, вязали носки-варежки и с продуктами с по"&amp;"дворья отправляли посылки на фронт). 
На сломе социальных и экономических устоев достойно строят повседневную жизнь,   сохраняя родную культуру. ")</f>
        <v>Строили промышленный город, трудились на тяжелых производствах ( химия, уголь). Колоссальные усилия вложили для фронта  в ВОВ (мехзавод, госпитали, эвакуированные, лыжи для военных, сформировали девизии стрелковые, вязали носки-варежки и с продуктами с подворья отправляли посылки на фронт). 
На сломе социальных и экономических устоев достойно строят повседневную жизнь,   сохраняя родную культуру. </v>
      </c>
      <c r="W1588" s="6" t="str">
        <f>IFERROR(__xludf.DUMMYFUNCTION("""COMPUTED_VALUE"""),"Открытие, а значит, без камня за пазухой. ")</f>
        <v>Открытие, а значит, без камня за пазухой. </v>
      </c>
      <c r="X1588" s="6" t="str">
        <f>IFERROR(__xludf.DUMMYFUNCTION("""COMPUTED_VALUE"""),"Красная горка, кафе Прованс, б-р Строителей")</f>
        <v>Красная горка, кафе Прованс, б-р Строителей</v>
      </c>
      <c r="Y1588" s="6" t="str">
        <f>IFERROR(__xludf.DUMMYFUNCTION("""COMPUTED_VALUE"""),"протест шахтеров")</f>
        <v>протест шахтеров</v>
      </c>
      <c r="Z1588" s="6" t="str">
        <f>IFERROR(__xludf.DUMMYFUNCTION("""COMPUTED_VALUE"""),"В 2020 после зимы достаточно быстро привели дороги в порядок, благоустроили немало дворов. Доработали и усовершенствовали проезд нескольких перекрестков, установили светофоры. Зеленстрой порадовал клумбами и цветочными вазонами на ограждениях.")</f>
        <v>В 2020 после зимы достаточно быстро привели дороги в порядок, благоустроили немало дворов. Доработали и усовершенствовали проезд нескольких перекрестков, установили светофоры. Зеленстрой порадовал клумбами и цветочными вазонами на ограждениях.</v>
      </c>
      <c r="AA1588" s="6" t="str">
        <f>IFERROR(__xludf.DUMMYFUNCTION("""COMPUTED_VALUE"""),"Нехватка общественных туалетов, которые и в зимнее время должны быть теплыми, чистыми (это сибирь). Возможно, они могли быть в зданиях (жилих или административных)")</f>
        <v>Нехватка общественных туалетов, которые и в зимнее время должны быть теплыми, чистыми (это сибирь). Возможно, они могли быть в зданиях (жилих или административных)</v>
      </c>
      <c r="AB1588" s="6" t="str">
        <f>IFERROR(__xludf.DUMMYFUNCTION("""COMPUTED_VALUE"""),"Сообщества по солюдению санитарных норм в городе. Это работа по воспитанию культуры собаководов (уборка испражнений за собакой, намордник). 
Работа с УК  или СЭС по устранению голубятников на чердаках жилых домов (чистка от помета, трупиков и перьев) 
Сте"&amp;"рилизация бродячих собак и кошек")</f>
        <v>Сообщества по солюдению санитарных норм в городе. Это работа по воспитанию культуры собаководов (уборка испражнений за собакой, намордник). 
Работа с УК  или СЭС по устранению голубятников на чердаках жилых домов (чистка от помета, трупиков и перьев) 
Стерилизация бродячих собак и кошек</v>
      </c>
      <c r="AC1588" s="6" t="str">
        <f>IFERROR(__xludf.DUMMYFUNCTION("""COMPUTED_VALUE"""),"Болше  мероприятий для детей, подростков и кому за 65 лет. Эти категории наиболее нуждаются в общении и активности. ")</f>
        <v>Болше  мероприятий для детей, подростков и кому за 65 лет. Эти категории наиболее нуждаются в общении и активности. </v>
      </c>
      <c r="AD1588"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588" s="6" t="str">
        <f>IFERROR(__xludf.DUMMYFUNCTION("""COMPUTED_VALUE"""),"Женский")</f>
        <v>Женский</v>
      </c>
      <c r="AF1588" s="6" t="str">
        <f>IFERROR(__xludf.DUMMYFUNCTION("""COMPUTED_VALUE"""),"45-55")</f>
        <v>45-55</v>
      </c>
      <c r="AG1588" s="6"/>
      <c r="AH1588" s="6"/>
      <c r="AI1588" s="6"/>
      <c r="AJ1588" s="6"/>
      <c r="AK1588" s="6"/>
      <c r="AL1588" s="6"/>
      <c r="AM1588" s="6"/>
    </row>
    <row r="1589">
      <c r="A1589" s="6">
        <v>1588.0</v>
      </c>
      <c r="B1589" s="6" t="str">
        <f>IFERROR(__xludf.DUMMYFUNCTION("""COMPUTED_VALUE"""),"Работаю в найма ")</f>
        <v>Работаю в найма </v>
      </c>
      <c r="C1589" s="6" t="str">
        <f>IFERROR(__xludf.DUMMYFUNCTION("""COMPUTED_VALUE"""),"Рыбалка, спорт ")</f>
        <v>Рыбалка, спорт </v>
      </c>
      <c r="D1589" s="6" t="str">
        <f>IFERROR(__xludf.DUMMYFUNCTION("""COMPUTED_VALUE"""),"Кировский, так и называю ")</f>
        <v>Кировский, так и называю </v>
      </c>
      <c r="E1589" s="6" t="str">
        <f>IFERROR(__xludf.DUMMYFUNCTION("""COMPUTED_VALUE"""),"Скорее всего набережная ")</f>
        <v>Скорее всего набережная </v>
      </c>
      <c r="F1589" s="6" t="str">
        <f>IFERROR(__xludf.DUMMYFUNCTION("""COMPUTED_VALUE"""),"Жила ранее в Топкинском районе, переехала на учёбу тут и осталась ")</f>
        <v>Жила ранее в Топкинском районе, переехала на учёбу тут и осталась </v>
      </c>
      <c r="G1589" s="6" t="str">
        <f>IFERROR(__xludf.DUMMYFUNCTION("""COMPUTED_VALUE"""),"Притомская набережная, в парк на бульвар Строителей, в кафе, в Тц ")</f>
        <v>Притомская набережная, в парк на бульвар Строителей, в кафе, в Тц </v>
      </c>
      <c r="H1589" s="6" t="str">
        <f>IFERROR(__xludf.DUMMYFUNCTION("""COMPUTED_VALUE"""),"-")</f>
        <v>-</v>
      </c>
      <c r="I1589" s="6" t="str">
        <f>IFERROR(__xludf.DUMMYFUNCTION("""COMPUTED_VALUE"""),"Чернов, Волошина В. Д, Волков Михайло, Двужильный Юрий, Леонов")</f>
        <v>Чернов, Волошина В. Д, Волков Михайло, Двужильный Юрий, Леонов</v>
      </c>
      <c r="J1589" s="6" t="str">
        <f>IFERROR(__xludf.DUMMYFUNCTION("""COMPUTED_VALUE"""),"Незнаю ")</f>
        <v>Незнаю </v>
      </c>
      <c r="K1589" s="6" t="str">
        <f>IFERROR(__xludf.DUMMYFUNCTION("""COMPUTED_VALUE"""),"Незнаю ")</f>
        <v>Незнаю </v>
      </c>
      <c r="L1589" s="6" t="str">
        <f>IFERROR(__xludf.DUMMYFUNCTION("""COMPUTED_VALUE"""),"-")</f>
        <v>-</v>
      </c>
      <c r="M1589" s="6" t="str">
        <f>IFERROR(__xludf.DUMMYFUNCTION("""COMPUTED_VALUE"""),"-")</f>
        <v>-</v>
      </c>
      <c r="N1589" s="6" t="str">
        <f>IFERROR(__xludf.DUMMYFUNCTION("""COMPUTED_VALUE"""),"Есть выбор куда сходить
Есть паровые зоны 
Более мнение доступный общ транспорт
")</f>
        <v>Есть выбор куда сходить
Есть паровые зоны 
Более мнение доступный общ транспорт
</v>
      </c>
      <c r="O1589" s="6" t="str">
        <f>IFERROR(__xludf.DUMMYFUNCTION("""COMPUTED_VALUE"""),"Думаю заняться благоустройством таких районов как Кировский, Заводский, убрать все частные дома в городе, поставить на их месте многоэтажки ")</f>
        <v>Думаю заняться благоустройством таких районов как Кировский, Заводский, убрать все частные дома в городе, поставить на их месте многоэтажки </v>
      </c>
      <c r="P1589" s="6" t="str">
        <f>IFERROR(__xludf.DUMMYFUNCTION("""COMPUTED_VALUE"""),"Инстаграм ")</f>
        <v>Инстаграм </v>
      </c>
      <c r="Q1589" s="6" t="str">
        <f>IFERROR(__xludf.DUMMYFUNCTION("""COMPUTED_VALUE"""),"куда пойти в свободное время, где вкусно поесть/открытие новых кафе/ресторанов")</f>
        <v>куда пойти в свободное время, где вкусно поесть/открытие новых кафе/ресторанов</v>
      </c>
      <c r="R1589" s="6" t="str">
        <f>IFERROR(__xludf.DUMMYFUNCTION("""COMPUTED_VALUE"""),"Для меня не какие ")</f>
        <v>Для меня не какие </v>
      </c>
      <c r="S1589" s="6" t="str">
        <f>IFERROR(__xludf.DUMMYFUNCTION("""COMPUTED_VALUE"""),"Нет, не приходилось")</f>
        <v>Нет, не приходилось</v>
      </c>
      <c r="T1589" s="6" t="str">
        <f>IFERROR(__xludf.DUMMYFUNCTION("""COMPUTED_VALUE"""),"-")</f>
        <v>-</v>
      </c>
      <c r="U1589" s="6" t="str">
        <f>IFERROR(__xludf.DUMMYFUNCTION("""COMPUTED_VALUE"""),"Площадь Волкова, бульвар строителей ")</f>
        <v>Площадь Волкова, бульвар строителей </v>
      </c>
      <c r="V1589" s="6" t="str">
        <f>IFERROR(__xludf.DUMMYFUNCTION("""COMPUTED_VALUE"""),"-")</f>
        <v>-</v>
      </c>
      <c r="W1589" s="6" t="str">
        <f>IFERROR(__xludf.DUMMYFUNCTION("""COMPUTED_VALUE"""),"Злые
Не воспитанные
")</f>
        <v>Злые
Не воспитанные
</v>
      </c>
      <c r="X1589" s="6" t="str">
        <f>IFERROR(__xludf.DUMMYFUNCTION("""COMPUTED_VALUE"""),"Притомская набережная, гора Кузбасс, бульвар строителей, парк Антошка ")</f>
        <v>Притомская набережная, гора Кузбасс, бульвар строителей, парк Антошка </v>
      </c>
      <c r="Y1589" s="6" t="str">
        <f>IFERROR(__xludf.DUMMYFUNCTION("""COMPUTED_VALUE"""),"-")</f>
        <v>-</v>
      </c>
      <c r="Z1589" s="6" t="str">
        <f>IFERROR(__xludf.DUMMYFUNCTION("""COMPUTED_VALUE"""),"-")</f>
        <v>-</v>
      </c>
      <c r="AA1589" s="6" t="str">
        <f>IFERROR(__xludf.DUMMYFUNCTION("""COMPUTED_VALUE"""),"Ношения масок! ")</f>
        <v>Ношения масок! </v>
      </c>
      <c r="AB1589" s="6" t="str">
        <f>IFERROR(__xludf.DUMMYFUNCTION("""COMPUTED_VALUE"""),"-")</f>
        <v>-</v>
      </c>
      <c r="AC1589" s="6" t="str">
        <f>IFERROR(__xludf.DUMMYFUNCTION("""COMPUTED_VALUE"""),"Благоустройства районов ")</f>
        <v>Благоустройства районов </v>
      </c>
      <c r="AD1589"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589" s="6" t="str">
        <f>IFERROR(__xludf.DUMMYFUNCTION("""COMPUTED_VALUE"""),"Мужской")</f>
        <v>Мужской</v>
      </c>
      <c r="AF1589" s="6" t="str">
        <f>IFERROR(__xludf.DUMMYFUNCTION("""COMPUTED_VALUE"""),"18-29")</f>
        <v>18-29</v>
      </c>
      <c r="AG1589" s="6"/>
      <c r="AH1589" s="6"/>
      <c r="AI1589" s="6"/>
      <c r="AJ1589" s="6"/>
      <c r="AK1589" s="6"/>
      <c r="AL1589" s="6"/>
      <c r="AM1589" s="6"/>
    </row>
    <row r="1590">
      <c r="A1590" s="6">
        <v>1589.0</v>
      </c>
      <c r="B1590" s="6" t="str">
        <f>IFERROR(__xludf.DUMMYFUNCTION("""COMPUTED_VALUE"""),"Работаю")</f>
        <v>Работаю</v>
      </c>
      <c r="C1590" s="6" t="str">
        <f>IFERROR(__xludf.DUMMYFUNCTION("""COMPUTED_VALUE"""),"Рисую картины")</f>
        <v>Рисую картины</v>
      </c>
      <c r="D1590" s="6" t="str">
        <f>IFERROR(__xludf.DUMMYFUNCTION("""COMPUTED_VALUE"""),"Заводский. Южный")</f>
        <v>Заводский. Южный</v>
      </c>
      <c r="E1590" s="6" t="str">
        <f>IFERROR(__xludf.DUMMYFUNCTION("""COMPUTED_VALUE"""),"Никаких")</f>
        <v>Никаких</v>
      </c>
      <c r="F1590" s="6" t="str">
        <f>IFERROR(__xludf.DUMMYFUNCTION("""COMPUTED_VALUE"""),"Живу здесь с рождения")</f>
        <v>Живу здесь с рождения</v>
      </c>
      <c r="G1590" s="6" t="str">
        <f>IFERROR(__xludf.DUMMYFUNCTION("""COMPUTED_VALUE"""),"Кинотеатр «Космос»")</f>
        <v>Кинотеатр «Космос»</v>
      </c>
      <c r="H1590" s="6" t="str">
        <f>IFERROR(__xludf.DUMMYFUNCTION("""COMPUTED_VALUE"""),"Сайлент-хилл ")</f>
        <v>Сайлент-хилл </v>
      </c>
      <c r="I1590" s="6" t="str">
        <f>IFERROR(__xludf.DUMMYFUNCTION("""COMPUTED_VALUE"""),"Гагарин,Мартемьянов")</f>
        <v>Гагарин,Мартемьянов</v>
      </c>
      <c r="J1590" s="6" t="str">
        <f>IFERROR(__xludf.DUMMYFUNCTION("""COMPUTED_VALUE"""),"Тулеев ")</f>
        <v>Тулеев </v>
      </c>
      <c r="K1590" s="6" t="str">
        <f>IFERROR(__xludf.DUMMYFUNCTION("""COMPUTED_VALUE"""),"Нету")</f>
        <v>Нету</v>
      </c>
      <c r="L1590" s="6" t="str">
        <f>IFERROR(__xludf.DUMMYFUNCTION("""COMPUTED_VALUE"""),"-")</f>
        <v>-</v>
      </c>
      <c r="M1590" s="6" t="str">
        <f>IFERROR(__xludf.DUMMYFUNCTION("""COMPUTED_VALUE"""),"-")</f>
        <v>-</v>
      </c>
      <c r="N1590" s="6" t="str">
        <f>IFERROR(__xludf.DUMMYFUNCTION("""COMPUTED_VALUE"""),"Их нет.")</f>
        <v>Их нет.</v>
      </c>
      <c r="O1590" s="6" t="str">
        <f>IFERROR(__xludf.DUMMYFUNCTION("""COMPUTED_VALUE"""),"Экологию.")</f>
        <v>Экологию.</v>
      </c>
      <c r="P1590" s="6" t="str">
        <f>IFERROR(__xludf.DUMMYFUNCTION("""COMPUTED_VALUE"""),"Слушай.сети. Инстаграмм")</f>
        <v>Слушай.сети. Инстаграмм</v>
      </c>
      <c r="Q1590" s="6" t="str">
        <f>IFERROR(__xludf.DUMMYFUNCTION("""COMPUTED_VALUE"""),"куда пойти в свободное время, где вкусно поесть/открытие новых кафе/ресторанов")</f>
        <v>куда пойти в свободное время, где вкусно поесть/открытие новых кафе/ресторанов</v>
      </c>
      <c r="R1590" s="6" t="str">
        <f>IFERROR(__xludf.DUMMYFUNCTION("""COMPUTED_VALUE"""),"-")</f>
        <v>-</v>
      </c>
      <c r="S1590" s="6" t="str">
        <f>IFERROR(__xludf.DUMMYFUNCTION("""COMPUTED_VALUE"""),"Писал и расклеивал объявления/афиши")</f>
        <v>Писал и расклеивал объявления/афиши</v>
      </c>
      <c r="T1590" s="6" t="str">
        <f>IFERROR(__xludf.DUMMYFUNCTION("""COMPUTED_VALUE"""),"Пожар в зимней вишни")</f>
        <v>Пожар в зимней вишни</v>
      </c>
      <c r="U1590" s="6" t="str">
        <f>IFERROR(__xludf.DUMMYFUNCTION("""COMPUTED_VALUE"""),"Площадь советов")</f>
        <v>Площадь советов</v>
      </c>
      <c r="V1590" s="6" t="str">
        <f>IFERROR(__xludf.DUMMYFUNCTION("""COMPUTED_VALUE"""),"-")</f>
        <v>-</v>
      </c>
      <c r="W1590" s="6" t="str">
        <f>IFERROR(__xludf.DUMMYFUNCTION("""COMPUTED_VALUE"""),"Они здесь злые , из-за бедности ")</f>
        <v>Они здесь злые , из-за бедности </v>
      </c>
      <c r="X1590" s="6" t="str">
        <f>IFERROR(__xludf.DUMMYFUNCTION("""COMPUTED_VALUE"""),"-")</f>
        <v>-</v>
      </c>
      <c r="Y1590" s="6" t="str">
        <f>IFERROR(__xludf.DUMMYFUNCTION("""COMPUTED_VALUE"""),"-")</f>
        <v>-</v>
      </c>
      <c r="Z1590" s="6" t="str">
        <f>IFERROR(__xludf.DUMMYFUNCTION("""COMPUTED_VALUE"""),"Никаких.")</f>
        <v>Никаких.</v>
      </c>
      <c r="AA1590" s="6" t="str">
        <f>IFERROR(__xludf.DUMMYFUNCTION("""COMPUTED_VALUE"""),"Зимняя вишня")</f>
        <v>Зимняя вишня</v>
      </c>
      <c r="AB1590" s="6" t="str">
        <f>IFERROR(__xludf.DUMMYFUNCTION("""COMPUTED_VALUE"""),"-")</f>
        <v>-</v>
      </c>
      <c r="AC1590" s="6" t="str">
        <f>IFERROR(__xludf.DUMMYFUNCTION("""COMPUTED_VALUE"""),"-")</f>
        <v>-</v>
      </c>
      <c r="AD1590"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590" s="6" t="str">
        <f>IFERROR(__xludf.DUMMYFUNCTION("""COMPUTED_VALUE"""),"Женский")</f>
        <v>Женский</v>
      </c>
      <c r="AF1590" s="6" t="str">
        <f>IFERROR(__xludf.DUMMYFUNCTION("""COMPUTED_VALUE"""),"18-29")</f>
        <v>18-29</v>
      </c>
      <c r="AG1590" s="6"/>
      <c r="AH1590" s="6"/>
      <c r="AI1590" s="6"/>
      <c r="AJ1590" s="6"/>
      <c r="AK1590" s="6"/>
      <c r="AL1590" s="6"/>
      <c r="AM1590" s="6"/>
    </row>
    <row r="1591">
      <c r="A1591" s="6">
        <v>1590.0</v>
      </c>
      <c r="B1591" s="6" t="str">
        <f>IFERROR(__xludf.DUMMYFUNCTION("""COMPUTED_VALUE"""),"Воспитатель")</f>
        <v>Воспитатель</v>
      </c>
      <c r="C1591" s="6" t="str">
        <f>IFERROR(__xludf.DUMMYFUNCTION("""COMPUTED_VALUE"""),"Чтение")</f>
        <v>Чтение</v>
      </c>
      <c r="D1591" s="6" t="str">
        <f>IFERROR(__xludf.DUMMYFUNCTION("""COMPUTED_VALUE"""),"Кировский")</f>
        <v>Кировский</v>
      </c>
      <c r="E1591" s="6" t="str">
        <f>IFERROR(__xludf.DUMMYFUNCTION("""COMPUTED_VALUE"""),"Березовая роща")</f>
        <v>Березовая роща</v>
      </c>
      <c r="F1591" s="6" t="str">
        <f>IFERROR(__xludf.DUMMYFUNCTION("""COMPUTED_VALUE"""),"Живу здесь с рождения")</f>
        <v>Живу здесь с рождения</v>
      </c>
      <c r="G1591" s="6" t="str">
        <f>IFERROR(__xludf.DUMMYFUNCTION("""COMPUTED_VALUE"""),"В парки")</f>
        <v>В парки</v>
      </c>
      <c r="H1591" s="6" t="str">
        <f>IFERROR(__xludf.DUMMYFUNCTION("""COMPUTED_VALUE"""),"Молодой, уголь, парк Ангелов, бор, развивающийся ")</f>
        <v>Молодой, уголь, парк Ангелов, бор, развивающийся </v>
      </c>
      <c r="I1591" s="6" t="str">
        <f>IFERROR(__xludf.DUMMYFUNCTION("""COMPUTED_VALUE"""),"Алексей Леонов, Михаил  Подгорбунский")</f>
        <v>Алексей Леонов, Михаил  Подгорбунский</v>
      </c>
      <c r="J1591" s="6" t="str">
        <f>IFERROR(__xludf.DUMMYFUNCTION("""COMPUTED_VALUE"""),"Затрудняюсь ответить ")</f>
        <v>Затрудняюсь ответить </v>
      </c>
      <c r="K1591" s="6" t="str">
        <f>IFERROR(__xludf.DUMMYFUNCTION("""COMPUTED_VALUE"""),"Парк Ангелов, Красная горка, Томская писаница")</f>
        <v>Парк Ангелов, Красная горка, Томская писаница</v>
      </c>
      <c r="L1591" s="6" t="str">
        <f>IFERROR(__xludf.DUMMYFUNCTION("""COMPUTED_VALUE"""),"Не место красит человека, а человек место")</f>
        <v>Не место красит человека, а человек место</v>
      </c>
      <c r="M1591" s="6" t="str">
        <f>IFERROR(__xludf.DUMMYFUNCTION("""COMPUTED_VALUE"""),"Мультифора ")</f>
        <v>Мультифора </v>
      </c>
      <c r="N1591" s="6" t="str">
        <f>IFERROR(__xludf.DUMMYFUNCTION("""COMPUTED_VALUE"""),"Наличие торговых и детских центров, кафе, развитой транспортной инфраструктуры, хорошие дороги, отсутствие пробок")</f>
        <v>Наличие торговых и детских центров, кафе, развитой транспортной инфраструктуры, хорошие дороги, отсутствие пробок</v>
      </c>
      <c r="O1591" s="6" t="str">
        <f>IFERROR(__xludf.DUMMYFUNCTION("""COMPUTED_VALUE"""),"Объездную дорогу проложить,»")</f>
        <v>Объездную дорогу проложить,»</v>
      </c>
      <c r="P1591" s="6" t="str">
        <f>IFERROR(__xludf.DUMMYFUNCTION("""COMPUTED_VALUE"""),"Инстаграм, яндекс-новости")</f>
        <v>Инстаграм, яндекс-новости</v>
      </c>
      <c r="Q1591"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591" s="6" t="str">
        <f>IFERROR(__xludf.DUMMYFUNCTION("""COMPUTED_VALUE"""),"Все важны, на многих присутствую")</f>
        <v>Все важны, на многих присутствую</v>
      </c>
      <c r="S1591" s="6" t="str">
        <f>IFERROR(__xludf.DUMMYFUNCTION("""COMPUTED_VALUE"""),"Нет, не приходилось")</f>
        <v>Нет, не приходилось</v>
      </c>
      <c r="T1591" s="6" t="str">
        <f>IFERROR(__xludf.DUMMYFUNCTION("""COMPUTED_VALUE"""),"Знаменит, как столица Кузбасса (в т.ч углем)")</f>
        <v>Знаменит, как столица Кузбасса (в т.ч углем)</v>
      </c>
      <c r="U1591" s="6" t="str">
        <f>IFERROR(__xludf.DUMMYFUNCTION("""COMPUTED_VALUE"""),"Площадь Советов")</f>
        <v>Площадь Советов</v>
      </c>
      <c r="V1591" s="6" t="str">
        <f>IFERROR(__xludf.DUMMYFUNCTION("""COMPUTED_VALUE"""),"Построили дома")</f>
        <v>Построили дома</v>
      </c>
      <c r="W1591" s="6" t="str">
        <f>IFERROR(__xludf.DUMMYFUNCTION("""COMPUTED_VALUE"""),"Отзывчивые, находчивые, трудолюбивые")</f>
        <v>Отзывчивые, находчивые, трудолюбивые</v>
      </c>
      <c r="X1591" s="6" t="str">
        <f>IFERROR(__xludf.DUMMYFUNCTION("""COMPUTED_VALUE"""),"Центр города ")</f>
        <v>Центр города </v>
      </c>
      <c r="Y1591" s="6" t="str">
        <f>IFERROR(__xludf.DUMMYFUNCTION("""COMPUTED_VALUE"""),"Пожар в тц Зимняя вишня и постройка на его месте Парка Ангелов ")</f>
        <v>Пожар в тц Зимняя вишня и постройка на его месте Парка Ангелов </v>
      </c>
      <c r="Z1591" s="6" t="str">
        <f>IFERROR(__xludf.DUMMYFUNCTION("""COMPUTED_VALUE"""),"Масленница в 2021г, в парке чудес")</f>
        <v>Масленница в 2021г, в парке чудес</v>
      </c>
      <c r="AA1591" s="6" t="str">
        <f>IFERROR(__xludf.DUMMYFUNCTION("""COMPUTED_VALUE"""),"Нет ")</f>
        <v>Нет </v>
      </c>
      <c r="AB1591" s="6" t="str">
        <f>IFERROR(__xludf.DUMMYFUNCTION("""COMPUTED_VALUE"""),"Все хватает ")</f>
        <v>Все хватает </v>
      </c>
      <c r="AC1591" s="6" t="str">
        <f>IFERROR(__xludf.DUMMYFUNCTION("""COMPUTED_VALUE"""),"Постройка безопасного аквапарка")</f>
        <v>Постройка безопасного аквапарка</v>
      </c>
      <c r="AD1591"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1591" s="6" t="str">
        <f>IFERROR(__xludf.DUMMYFUNCTION("""COMPUTED_VALUE"""),"Женский")</f>
        <v>Женский</v>
      </c>
      <c r="AF1591" s="6" t="str">
        <f>IFERROR(__xludf.DUMMYFUNCTION("""COMPUTED_VALUE"""),"30-44")</f>
        <v>30-44</v>
      </c>
      <c r="AG1591" s="6"/>
      <c r="AH1591" s="6"/>
      <c r="AI1591" s="6"/>
      <c r="AJ1591" s="6"/>
      <c r="AK1591" s="6"/>
      <c r="AL1591" s="6"/>
      <c r="AM1591" s="6"/>
    </row>
    <row r="1592">
      <c r="A1592" s="6">
        <v>1591.0</v>
      </c>
      <c r="B1592" s="6" t="str">
        <f>IFERROR(__xludf.DUMMYFUNCTION("""COMPUTED_VALUE"""),"Преподаватель")</f>
        <v>Преподаватель</v>
      </c>
      <c r="C1592" s="6" t="str">
        <f>IFERROR(__xludf.DUMMYFUNCTION("""COMPUTED_VALUE"""),"Чтение книг")</f>
        <v>Чтение книг</v>
      </c>
      <c r="D1592" s="6" t="str">
        <f>IFERROR(__xludf.DUMMYFUNCTION("""COMPUTED_VALUE"""),"Кировский")</f>
        <v>Кировский</v>
      </c>
      <c r="E1592" s="6" t="str">
        <f>IFERROR(__xludf.DUMMYFUNCTION("""COMPUTED_VALUE"""),"Набережная Томи")</f>
        <v>Набережная Томи</v>
      </c>
      <c r="F1592" s="6" t="str">
        <f>IFERROR(__xludf.DUMMYFUNCTION("""COMPUTED_VALUE"""),"Переехал сюда из другого места (откуда? укажите в графе другое), Белово")</f>
        <v>Переехал сюда из другого места (откуда? укажите в графе другое), Белово</v>
      </c>
      <c r="G1592" s="6" t="str">
        <f>IFERROR(__xludf.DUMMYFUNCTION("""COMPUTED_VALUE"""),"Советский пр-т")</f>
        <v>Советский пр-т</v>
      </c>
      <c r="H1592" s="6" t="str">
        <f>IFERROR(__xludf.DUMMYFUNCTION("""COMPUTED_VALUE"""),"ВОЛКОВ, Леонов, Подгорбунский, Бобров, Михайлов")</f>
        <v>ВОЛКОВ, Леонов, Подгорбунский, Бобров, Михайлов</v>
      </c>
      <c r="I1592" s="6" t="str">
        <f>IFERROR(__xludf.DUMMYFUNCTION("""COMPUTED_VALUE"""),"Михайло Волков")</f>
        <v>Михайло Волков</v>
      </c>
      <c r="J1592" s="6" t="str">
        <f>IFERROR(__xludf.DUMMYFUNCTION("""COMPUTED_VALUE"""),"Мэр города Михайлов")</f>
        <v>Мэр города Михайлов</v>
      </c>
      <c r="K1592" s="6" t="str">
        <f>IFERROR(__xludf.DUMMYFUNCTION("""COMPUTED_VALUE"""),"Площадь Волкова")</f>
        <v>Площадь Волкова</v>
      </c>
      <c r="L1592" s="6" t="str">
        <f>IFERROR(__xludf.DUMMYFUNCTION("""COMPUTED_VALUE"""),"Щегловск")</f>
        <v>Щегловск</v>
      </c>
      <c r="M1592" s="6" t="str">
        <f>IFERROR(__xludf.DUMMYFUNCTION("""COMPUTED_VALUE"""),"Весенька")</f>
        <v>Весенька</v>
      </c>
      <c r="N1592" s="6" t="str">
        <f>IFERROR(__xludf.DUMMYFUNCTION("""COMPUTED_VALUE"""),"экология., доступность, транспорт, медобслуживание, образование")</f>
        <v>экология., доступность, транспорт, медобслуживание, образование</v>
      </c>
      <c r="O1592" s="6" t="str">
        <f>IFERROR(__xludf.DUMMYFUNCTION("""COMPUTED_VALUE"""),"Дороги и тротуары обновить или построить
")</f>
        <v>Дороги и тротуары обновить или построить
</v>
      </c>
      <c r="P1592" s="6" t="str">
        <f>IFERROR(__xludf.DUMMYFUNCTION("""COMPUTED_VALUE"""),"Инстограм")</f>
        <v>Инстограм</v>
      </c>
      <c r="Q1592"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592" s="6" t="str">
        <f>IFERROR(__xludf.DUMMYFUNCTION("""COMPUTED_VALUE"""),"День города")</f>
        <v>День города</v>
      </c>
      <c r="S1592" s="6" t="str">
        <f>IFERROR(__xludf.DUMMYFUNCTION("""COMPUTED_VALUE"""),"не приходилось")</f>
        <v>не приходилось</v>
      </c>
      <c r="T1592" s="6" t="str">
        <f>IFERROR(__xludf.DUMMYFUNCTION("""COMPUTED_VALUE"""),"ТЕАТРАМИ, Филармонией, гостиницей Томь и Кузбасс")</f>
        <v>ТЕАТРАМИ, Филармонией, гостиницей Томь и Кузбасс</v>
      </c>
      <c r="U1592" s="6" t="str">
        <f>IFERROR(__xludf.DUMMYFUNCTION("""COMPUTED_VALUE"""),"Площадь Кирова")</f>
        <v>Площадь Кирова</v>
      </c>
      <c r="V1592" s="6" t="str">
        <f>IFERROR(__xludf.DUMMYFUNCTION("""COMPUTED_VALUE"""),"Сохраняли старые архитектурные здания и памятники")</f>
        <v>Сохраняли старые архитектурные здания и памятники</v>
      </c>
      <c r="W1592" s="6" t="str">
        <f>IFERROR(__xludf.DUMMYFUNCTION("""COMPUTED_VALUE"""),"Искренние и доброжелательные")</f>
        <v>Искренние и доброжелательные</v>
      </c>
      <c r="X1592" s="6" t="str">
        <f>IFERROR(__xludf.DUMMYFUNCTION("""COMPUTED_VALUE"""),"Трамвай номер 3")</f>
        <v>Трамвай номер 3</v>
      </c>
      <c r="Y1592" s="6" t="str">
        <f>IFERROR(__xludf.DUMMYFUNCTION("""COMPUTED_VALUE"""),"Рок фестивали")</f>
        <v>Рок фестивали</v>
      </c>
      <c r="Z1592" s="6" t="str">
        <f>IFERROR(__xludf.DUMMYFUNCTION("""COMPUTED_VALUE"""),"Бессмертный полк")</f>
        <v>Бессмертный полк</v>
      </c>
      <c r="AA1592" s="6" t="str">
        <f>IFERROR(__xludf.DUMMYFUNCTION("""COMPUTED_VALUE"""),"Таких нет")</f>
        <v>Таких нет</v>
      </c>
      <c r="AB1592" s="6" t="str">
        <f>IFERROR(__xludf.DUMMYFUNCTION("""COMPUTED_VALUE"""),"их достаточно")</f>
        <v>их достаточно</v>
      </c>
      <c r="AC1592" s="6" t="str">
        <f>IFERROR(__xludf.DUMMYFUNCTION("""COMPUTED_VALUE"""),"Спортивые...")</f>
        <v>Спортивые...</v>
      </c>
      <c r="AD1592" s="6" t="str">
        <f>IFERROR(__xludf.DUMMYFUNCTION("""COMPUTED_VALUE"""),"в роли наблюдателя")</f>
        <v>в роли наблюдателя</v>
      </c>
      <c r="AE1592" s="6" t="str">
        <f>IFERROR(__xludf.DUMMYFUNCTION("""COMPUTED_VALUE"""),"Мужской")</f>
        <v>Мужской</v>
      </c>
      <c r="AF1592" s="6" t="str">
        <f>IFERROR(__xludf.DUMMYFUNCTION("""COMPUTED_VALUE"""),"старше 55")</f>
        <v>старше 55</v>
      </c>
      <c r="AG1592" s="6"/>
      <c r="AH1592" s="6"/>
      <c r="AI1592" s="6"/>
      <c r="AJ1592" s="6"/>
      <c r="AK1592" s="6"/>
      <c r="AL1592" s="6"/>
      <c r="AM1592" s="6"/>
    </row>
    <row r="1593">
      <c r="A1593" s="6">
        <v>1592.0</v>
      </c>
      <c r="B1593" s="6" t="str">
        <f>IFERROR(__xludf.DUMMYFUNCTION("""COMPUTED_VALUE"""),"Работаю")</f>
        <v>Работаю</v>
      </c>
      <c r="C1593" s="6" t="str">
        <f>IFERROR(__xludf.DUMMYFUNCTION("""COMPUTED_VALUE"""),"Тренажерный зал")</f>
        <v>Тренажерный зал</v>
      </c>
      <c r="D1593" s="6" t="str">
        <f>IFERROR(__xludf.DUMMYFUNCTION("""COMPUTED_VALUE"""),"Кировский")</f>
        <v>Кировский</v>
      </c>
      <c r="E1593" s="6" t="str">
        <f>IFERROR(__xludf.DUMMYFUNCTION("""COMPUTED_VALUE"""),"Набережная реки, берёзовая роща")</f>
        <v>Набережная реки, берёзовая роща</v>
      </c>
      <c r="F1593" s="6" t="str">
        <f>IFERROR(__xludf.DUMMYFUNCTION("""COMPUTED_VALUE"""),"Живу здесь с рождения")</f>
        <v>Живу здесь с рождения</v>
      </c>
      <c r="G1593" s="6" t="str">
        <f>IFERROR(__xludf.DUMMYFUNCTION("""COMPUTED_VALUE"""),"Арена, парк Жукова")</f>
        <v>Арена, парк Жукова</v>
      </c>
      <c r="H1593" s="6" t="str">
        <f>IFERROR(__xludf.DUMMYFUNCTION("""COMPUTED_VALUE"""),"Провинциальный, рабочий,холодный, спортивный, родной")</f>
        <v>Провинциальный, рабочий,холодный, спортивный, родной</v>
      </c>
      <c r="I1593" s="6" t="str">
        <f>IFERROR(__xludf.DUMMYFUNCTION("""COMPUTED_VALUE"""),"Леонов, Рудгерц, Подгорбунский")</f>
        <v>Леонов, Рудгерц, Подгорбунский</v>
      </c>
      <c r="J1593" s="6" t="str">
        <f>IFERROR(__xludf.DUMMYFUNCTION("""COMPUTED_VALUE"""),"Таковых нет")</f>
        <v>Таковых нет</v>
      </c>
      <c r="K1593" s="6" t="str">
        <f>IFERROR(__xludf.DUMMYFUNCTION("""COMPUTED_VALUE"""),"Набережная, центр города")</f>
        <v>Набережная, центр города</v>
      </c>
      <c r="L1593" s="6" t="str">
        <f>IFERROR(__xludf.DUMMYFUNCTION("""COMPUTED_VALUE"""),"Не знаю")</f>
        <v>Не знаю</v>
      </c>
      <c r="M1593" s="6" t="str">
        <f>IFERROR(__xludf.DUMMYFUNCTION("""COMPUTED_VALUE"""),"Исть, добыча(угля), тормазок ")</f>
        <v>Исть, добыча(угля), тормазок </v>
      </c>
      <c r="N1593" s="6" t="str">
        <f>IFERROR(__xludf.DUMMYFUNCTION("""COMPUTED_VALUE"""),"инфраструктура, заработок, чистота, благополучност, возможности")</f>
        <v>инфраструктура, заработок, чистота, благополучност, возможности</v>
      </c>
      <c r="O1593" s="6" t="str">
        <f>IFERROR(__xludf.DUMMYFUNCTION("""COMPUTED_VALUE"""),"Медицина")</f>
        <v>Медицина</v>
      </c>
      <c r="P1593" s="6" t="str">
        <f>IFERROR(__xludf.DUMMYFUNCTION("""COMPUTED_VALUE"""),"Инстаграм")</f>
        <v>Инстаграм</v>
      </c>
      <c r="Q1593" s="6" t="str">
        <f>IFERROR(__xludf.DUMMYFUNCTION("""COMPUTED_VALUE"""),"куда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f>
        <v>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v>
      </c>
      <c r="R1593" s="6" t="str">
        <f>IFERROR(__xludf.DUMMYFUNCTION("""COMPUTED_VALUE"""),"День города, 9 мая")</f>
        <v>День города, 9 мая</v>
      </c>
      <c r="S1593" s="6" t="str">
        <f>IFERROR(__xludf.DUMMYFUNCTION("""COMPUTED_VALUE"""),"Нет, не приходилось")</f>
        <v>Нет, не приходилось</v>
      </c>
      <c r="T1593" s="6" t="str">
        <f>IFERROR(__xludf.DUMMYFUNCTION("""COMPUTED_VALUE"""),"Угольная столица")</f>
        <v>Угольная столица</v>
      </c>
      <c r="U1593" s="6" t="str">
        <f>IFERROR(__xludf.DUMMYFUNCTION("""COMPUTED_VALUE"""),"Красная горка")</f>
        <v>Красная горка</v>
      </c>
      <c r="V1593" s="6" t="str">
        <f>IFERROR(__xludf.DUMMYFUNCTION("""COMPUTED_VALUE"""),"Трудились")</f>
        <v>Трудились</v>
      </c>
      <c r="W1593" s="6" t="str">
        <f>IFERROR(__xludf.DUMMYFUNCTION("""COMPUTED_VALUE"""),"Добрые и ленивые ")</f>
        <v>Добрые и ленивые </v>
      </c>
      <c r="X1593" s="6" t="str">
        <f>IFERROR(__xludf.DUMMYFUNCTION("""COMPUTED_VALUE"""),"Набережная реки Томи и Искитимки ")</f>
        <v>Набережная реки Томи и Искитимки </v>
      </c>
      <c r="Y1593" s="6" t="str">
        <f>IFERROR(__xludf.DUMMYFUNCTION("""COMPUTED_VALUE"""),"Затрудняюсь ответить")</f>
        <v>Затрудняюсь ответить</v>
      </c>
      <c r="Z1593" s="6" t="str">
        <f>IFERROR(__xludf.DUMMYFUNCTION("""COMPUTED_VALUE"""),"Не было таких событий")</f>
        <v>Не было таких событий</v>
      </c>
      <c r="AA1593" s="6" t="str">
        <f>IFERROR(__xludf.DUMMYFUNCTION("""COMPUTED_VALUE"""),"Нецелесообразно потрачен бюджет города")</f>
        <v>Нецелесообразно потрачен бюджет города</v>
      </c>
      <c r="AB1593" s="6" t="str">
        <f>IFERROR(__xludf.DUMMYFUNCTION("""COMPUTED_VALUE"""),"Спортивных")</f>
        <v>Спортивных</v>
      </c>
      <c r="AC1593" s="6" t="str">
        <f>IFERROR(__xludf.DUMMYFUNCTION("""COMPUTED_VALUE"""),"Всех событий не хватает")</f>
        <v>Всех событий не хватает</v>
      </c>
      <c r="AD1593"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593" s="6" t="str">
        <f>IFERROR(__xludf.DUMMYFUNCTION("""COMPUTED_VALUE"""),"Мужской")</f>
        <v>Мужской</v>
      </c>
      <c r="AF1593" s="6" t="str">
        <f>IFERROR(__xludf.DUMMYFUNCTION("""COMPUTED_VALUE"""),"30-44")</f>
        <v>30-44</v>
      </c>
      <c r="AG1593" s="6"/>
      <c r="AH1593" s="6"/>
      <c r="AI1593" s="6"/>
      <c r="AJ1593" s="6"/>
      <c r="AK1593" s="6"/>
      <c r="AL1593" s="6"/>
      <c r="AM1593" s="6"/>
    </row>
    <row r="1594">
      <c r="A1594" s="6">
        <v>1593.0</v>
      </c>
      <c r="B1594" s="6" t="str">
        <f>IFERROR(__xludf.DUMMYFUNCTION("""COMPUTED_VALUE"""),"В декретном отпуске ")</f>
        <v>В декретном отпуске </v>
      </c>
      <c r="C1594" s="6" t="str">
        <f>IFERROR(__xludf.DUMMYFUNCTION("""COMPUTED_VALUE"""),"Кулинария, спорт, туризм, плавание ")</f>
        <v>Кулинария, спорт, туризм, плавание </v>
      </c>
      <c r="D1594" s="6" t="str">
        <f>IFERROR(__xludf.DUMMYFUNCTION("""COMPUTED_VALUE"""),"Рудничный, Радуга ")</f>
        <v>Рудничный, Радуга </v>
      </c>
      <c r="E1594" s="6" t="str">
        <f>IFERROR(__xludf.DUMMYFUNCTION("""COMPUTED_VALUE"""),"бор и он действительно серебряный, наш любимый, прекрасный. Ещё КРАСНАЯ ГОРКА очень нравится ")</f>
        <v>бор и он действительно серебряный, наш любимый, прекрасный. Ещё КРАСНАЯ ГОРКА очень нравится </v>
      </c>
      <c r="F1594" s="6" t="str">
        <f>IFERROR(__xludf.DUMMYFUNCTION("""COMPUTED_VALUE"""),"Переехал сюда из другого места (откуда? укажите в графе другое), В 2018 году мы переехали из города Осинники, тк старшему сыну здесь больше возможностей для поступления в Вуз. ")</f>
        <v>Переехал сюда из другого места (откуда? укажите в графе другое), В 2018 году мы переехали из города Осинники, тк старшему сыну здесь больше возможностей для поступления в Вуз. </v>
      </c>
      <c r="G1594" s="6" t="str">
        <f>IFERROR(__xludf.DUMMYFUNCTION("""COMPUTED_VALUE"""),"Красная горка и бор, парк отдыха в центральном районе и набережная Томи ")</f>
        <v>Красная горка и бор, парк отдыха в центральном районе и набережная Томи </v>
      </c>
      <c r="H1594" s="6" t="str">
        <f>IFERROR(__xludf.DUMMYFUNCTION("""COMPUTED_VALUE"""),"Мощный, горняцкий, суровый, хвойный, перспективный")</f>
        <v>Мощный, горняцкий, суровый, хвойный, перспективный</v>
      </c>
      <c r="I1594" s="6" t="str">
        <f>IFERROR(__xludf.DUMMYFUNCTION("""COMPUTED_VALUE"""),"Волков, Тулеев, Леонов, Малышева, Панин")</f>
        <v>Волков, Тулеев, Леонов, Малышева, Панин</v>
      </c>
      <c r="J1594" s="6" t="str">
        <f>IFERROR(__xludf.DUMMYFUNCTION("""COMPUTED_VALUE"""),"Сергей Цивилёв, Валерия Акулова , Марина Евса, Аман Тулеев, Владимир Машков ")</f>
        <v>Сергей Цивилёв, Валерия Акулова , Марина Евса, Аман Тулеев, Владимир Машков </v>
      </c>
      <c r="K1594" s="6" t="str">
        <f>IFERROR(__xludf.DUMMYFUNCTION("""COMPUTED_VALUE"""),"Красная горка, бор рудничного района, парк Ангелов, набережная Томи ")</f>
        <v>Красная горка, бор рудничного района, парк Ангелов, набережная Томи </v>
      </c>
      <c r="L1594" s="6" t="str">
        <f>IFERROR(__xludf.DUMMYFUNCTION("""COMPUTED_VALUE"""),"Нет, к сожалению не могу вспомнить ")</f>
        <v>Нет, к сожалению не могу вспомнить </v>
      </c>
      <c r="M1594" s="6" t="str">
        <f>IFERROR(__xludf.DUMMYFUNCTION("""COMPUTED_VALUE"""),"Нет")</f>
        <v>Нет</v>
      </c>
      <c r="N1594" s="6" t="str">
        <f>IFERROR(__xludf.DUMMYFUNCTION("""COMPUTED_VALUE"""),"Экологичность, чистота, уют, много зелени и водных объектов (обязательно нужен аквапарк) ")</f>
        <v>Экологичность, чистота, уют, много зелени и водных объектов (обязательно нужен аквапарк) </v>
      </c>
      <c r="O1594" s="6" t="str">
        <f>IFERROR(__xludf.DUMMYFUNCTION("""COMPUTED_VALUE"""),"Побольше водных объектов, бассейнов под открытым небом, теннисных кортов, мест отдыха, спортивных объектов, парков и площадок для танцев ")</f>
        <v>Побольше водных объектов, бассейнов под открытым небом, теннисных кортов, мест отдыха, спортивных объектов, парков и площадок для танцев </v>
      </c>
      <c r="P1594" s="6" t="str">
        <f>IFERROR(__xludf.DUMMYFUNCTION("""COMPUTED_VALUE"""),"Инстаграм и ВК")</f>
        <v>Инстаграм и ВК</v>
      </c>
      <c r="Q1594"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v>
      </c>
      <c r="R1594" s="6" t="str">
        <f>IFERROR(__xludf.DUMMYFUNCTION("""COMPUTED_VALUE"""),"День шахтёра, день полиции, день молодёжи, день защиты детей ")</f>
        <v>День шахтёра, день полиции, день молодёжи, день защиты детей </v>
      </c>
      <c r="S1594" s="6" t="str">
        <f>IFERROR(__xludf.DUMMYFUNCTION("""COMPUTED_VALUE"""),"Нет, не приходилось")</f>
        <v>Нет, не приходилось</v>
      </c>
      <c r="T1594" s="6" t="str">
        <f>IFERROR(__xludf.DUMMYFUNCTION("""COMPUTED_VALUE"""),"Столица Кузбасса, главный город Сибири ")</f>
        <v>Столица Кузбасса, главный город Сибири </v>
      </c>
      <c r="U1594" s="6" t="str">
        <f>IFERROR(__xludf.DUMMYFUNCTION("""COMPUTED_VALUE"""),"Набережная Томи ")</f>
        <v>Набережная Томи </v>
      </c>
      <c r="V1594" s="6" t="str">
        <f>IFERROR(__xludf.DUMMYFUNCTION("""COMPUTED_VALUE"""),"Расширяли свой город, производство, парки отдыха ")</f>
        <v>Расширяли свой город, производство, парки отдыха </v>
      </c>
      <c r="W1594" s="6" t="str">
        <f>IFERROR(__xludf.DUMMYFUNCTION("""COMPUTED_VALUE"""),"Дружелюбные, открытые, приветливые, честные, надёжные ")</f>
        <v>Дружелюбные, открытые, приветливые, честные, надёжные </v>
      </c>
      <c r="X1594" s="6" t="str">
        <f>IFERROR(__xludf.DUMMYFUNCTION("""COMPUTED_VALUE"""),"Набережная Томи ")</f>
        <v>Набережная Томи </v>
      </c>
      <c r="Y1594" s="6" t="str">
        <f>IFERROR(__xludf.DUMMYFUNCTION("""COMPUTED_VALUE"""),"Строительство кадетского корпуса")</f>
        <v>Строительство кадетского корпуса</v>
      </c>
      <c r="Z1594" s="6" t="str">
        <f>IFERROR(__xludf.DUMMYFUNCTION("""COMPUTED_VALUE"""),"Строительство новых спортивных объектов ")</f>
        <v>Строительство новых спортивных объектов </v>
      </c>
      <c r="AA1594" s="6" t="str">
        <f>IFERROR(__xludf.DUMMYFUNCTION("""COMPUTED_VALUE"""),"Короновирус, частые поломки трамваев в зимнее и осеннее время ")</f>
        <v>Короновирус, частые поломки трамваев в зимнее и осеннее время </v>
      </c>
      <c r="AB1594" s="6" t="str">
        <f>IFERROR(__xludf.DUMMYFUNCTION("""COMPUTED_VALUE"""),"Культурных и спортивных ")</f>
        <v>Культурных и спортивных </v>
      </c>
      <c r="AC1594" s="6" t="str">
        <f>IFERROR(__xludf.DUMMYFUNCTION("""COMPUTED_VALUE"""),"Спортивных и культурных ")</f>
        <v>Спортивных и культурных </v>
      </c>
      <c r="AD159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594" s="6" t="str">
        <f>IFERROR(__xludf.DUMMYFUNCTION("""COMPUTED_VALUE"""),"Женский")</f>
        <v>Женский</v>
      </c>
      <c r="AF1594" s="6" t="str">
        <f>IFERROR(__xludf.DUMMYFUNCTION("""COMPUTED_VALUE"""),"30-44")</f>
        <v>30-44</v>
      </c>
      <c r="AG1594" s="6"/>
      <c r="AH1594" s="6"/>
      <c r="AI1594" s="6"/>
      <c r="AJ1594" s="6"/>
      <c r="AK1594" s="6"/>
      <c r="AL1594" s="6"/>
      <c r="AM1594" s="6"/>
    </row>
    <row r="1595">
      <c r="A1595" s="6">
        <v>1594.0</v>
      </c>
      <c r="B1595" s="6" t="str">
        <f>IFERROR(__xludf.DUMMYFUNCTION("""COMPUTED_VALUE"""),"Менеджер ")</f>
        <v>Менеджер </v>
      </c>
      <c r="C1595" s="6" t="str">
        <f>IFERROR(__xludf.DUMMYFUNCTION("""COMPUTED_VALUE"""),"Фехтование ")</f>
        <v>Фехтование </v>
      </c>
      <c r="D1595" s="6" t="str">
        <f>IFERROR(__xludf.DUMMYFUNCTION("""COMPUTED_VALUE"""),"Кировский")</f>
        <v>Кировский</v>
      </c>
      <c r="E1595" s="6" t="str">
        <f>IFERROR(__xludf.DUMMYFUNCTION("""COMPUTED_VALUE"""),"Набережная, парк 21 микрорайона ")</f>
        <v>Набережная, парк 21 микрорайона </v>
      </c>
      <c r="F1595" s="6" t="str">
        <f>IFERROR(__xludf.DUMMYFUNCTION("""COMPUTED_VALUE"""),"Живу здесь с рождения")</f>
        <v>Живу здесь с рождения</v>
      </c>
      <c r="G1595" s="6" t="str">
        <f>IFERROR(__xludf.DUMMYFUNCTION("""COMPUTED_VALUE"""),"На Набережную ")</f>
        <v>На Набережную </v>
      </c>
      <c r="H1595" s="6" t="str">
        <f>IFERROR(__xludf.DUMMYFUNCTION("""COMPUTED_VALUE"""),"Родной город, семья, трепет, смог, отсутсвие работы")</f>
        <v>Родной город, семья, трепет, смог, отсутсвие работы</v>
      </c>
      <c r="I1595" s="6" t="str">
        <f>IFERROR(__xludf.DUMMYFUNCTION("""COMPUTED_VALUE"""),"Леонов")</f>
        <v>Леонов</v>
      </c>
      <c r="J1595" s="6" t="str">
        <f>IFERROR(__xludf.DUMMYFUNCTION("""COMPUTED_VALUE"""),"Михайлов-бывший мэр города ")</f>
        <v>Михайлов-бывший мэр города </v>
      </c>
      <c r="K1595" s="6" t="str">
        <f>IFERROR(__xludf.DUMMYFUNCTION("""COMPUTED_VALUE"""),"Памятник шахтерам, Набережная ")</f>
        <v>Памятник шахтерам, Набережная </v>
      </c>
      <c r="L1595" s="6" t="str">
        <f>IFERROR(__xludf.DUMMYFUNCTION("""COMPUTED_VALUE"""),"История трагедии Зимней Вишни")</f>
        <v>История трагедии Зимней Вишни</v>
      </c>
      <c r="M1595" s="6" t="str">
        <f>IFERROR(__xludf.DUMMYFUNCTION("""COMPUTED_VALUE"""),"Нет")</f>
        <v>Нет</v>
      </c>
      <c r="N1595" s="6" t="str">
        <f>IFERROR(__xludf.DUMMYFUNCTION("""COMPUTED_VALUE"""),"Новый мост, Объездная дорога, Развитие Кировского района- построить мини каток, мини кинотеатр, пиццерию или бургерную. Обеспечить досуг для подростков и молодежи в Кировском")</f>
        <v>Новый мост, Объездная дорога, Развитие Кировского района- построить мини каток, мини кинотеатр, пиццерию или бургерную. Обеспечить досуг для подростков и молодежи в Кировском</v>
      </c>
      <c r="O1595" s="6" t="str">
        <f>IFERROR(__xludf.DUMMYFUNCTION("""COMPUTED_VALUE"""),"Медицину")</f>
        <v>Медицину</v>
      </c>
      <c r="P1595" s="6" t="str">
        <f>IFERROR(__xludf.DUMMYFUNCTION("""COMPUTED_VALUE"""),"Яндекс Новости")</f>
        <v>Яндекс Новости</v>
      </c>
      <c r="Q1595"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595" s="6" t="str">
        <f>IFERROR(__xludf.DUMMYFUNCTION("""COMPUTED_VALUE"""),"Проводы зимы, день города, день Шахтера")</f>
        <v>Проводы зимы, день города, день Шахтера</v>
      </c>
      <c r="S1595" s="6" t="str">
        <f>IFERROR(__xludf.DUMMYFUNCTION("""COMPUTED_VALUE"""),"Нет, не приходилось")</f>
        <v>Нет, не приходилось</v>
      </c>
      <c r="T1595" s="6" t="str">
        <f>IFERROR(__xludf.DUMMYFUNCTION("""COMPUTED_VALUE"""),"Ничем ")</f>
        <v>Ничем </v>
      </c>
      <c r="U1595" s="6" t="str">
        <f>IFERROR(__xludf.DUMMYFUNCTION("""COMPUTED_VALUE"""),"Улицу Весеннюю")</f>
        <v>Улицу Весеннюю</v>
      </c>
      <c r="V1595" s="6" t="str">
        <f>IFERROR(__xludf.DUMMYFUNCTION("""COMPUTED_VALUE"""),"Ничего")</f>
        <v>Ничего</v>
      </c>
      <c r="W1595" s="6" t="str">
        <f>IFERROR(__xludf.DUMMYFUNCTION("""COMPUTED_VALUE"""),"Добрые, отзывчивые, терпеливые")</f>
        <v>Добрые, отзывчивые, терпеливые</v>
      </c>
      <c r="X1595" s="6" t="str">
        <f>IFERROR(__xludf.DUMMYFUNCTION("""COMPUTED_VALUE"""),"Сосновый бор")</f>
        <v>Сосновый бор</v>
      </c>
      <c r="Y1595" s="6" t="str">
        <f>IFERROR(__xludf.DUMMYFUNCTION("""COMPUTED_VALUE"""),"Рок фестиваль")</f>
        <v>Рок фестиваль</v>
      </c>
      <c r="Z1595" s="6" t="str">
        <f>IFERROR(__xludf.DUMMYFUNCTION("""COMPUTED_VALUE"""),"Рок фестиваль от Стройсервиса, выступление звёзд на 9 мая")</f>
        <v>Рок фестиваль от Стройсервиса, выступление звёзд на 9 мая</v>
      </c>
      <c r="AA1595" s="6" t="str">
        <f>IFERROR(__xludf.DUMMYFUNCTION("""COMPUTED_VALUE"""),"Не знаю")</f>
        <v>Не знаю</v>
      </c>
      <c r="AB1595" s="6" t="str">
        <f>IFERROR(__xludf.DUMMYFUNCTION("""COMPUTED_VALUE"""),"Психологов")</f>
        <v>Психологов</v>
      </c>
      <c r="AC1595" s="6" t="str">
        <f>IFERROR(__xludf.DUMMYFUNCTION("""COMPUTED_VALUE"""),"Концерты, аншлаги")</f>
        <v>Концерты, аншлаги</v>
      </c>
      <c r="AD159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595" s="6" t="str">
        <f>IFERROR(__xludf.DUMMYFUNCTION("""COMPUTED_VALUE"""),"Женский")</f>
        <v>Женский</v>
      </c>
      <c r="AF1595" s="6" t="str">
        <f>IFERROR(__xludf.DUMMYFUNCTION("""COMPUTED_VALUE"""),"30-44")</f>
        <v>30-44</v>
      </c>
      <c r="AG1595" s="6"/>
      <c r="AH1595" s="6"/>
      <c r="AI1595" s="6"/>
      <c r="AJ1595" s="6"/>
      <c r="AK1595" s="6"/>
      <c r="AL1595" s="6"/>
      <c r="AM1595" s="6"/>
    </row>
    <row r="1596">
      <c r="A1596" s="6">
        <v>1595.0</v>
      </c>
      <c r="B1596" s="6" t="str">
        <f>IFERROR(__xludf.DUMMYFUNCTION("""COMPUTED_VALUE"""),"Работаю в детском саду")</f>
        <v>Работаю в детском саду</v>
      </c>
      <c r="C1596" s="6" t="str">
        <f>IFERROR(__xludf.DUMMYFUNCTION("""COMPUTED_VALUE"""),"Рисую")</f>
        <v>Рисую</v>
      </c>
      <c r="D1596" s="6" t="str">
        <f>IFERROR(__xludf.DUMMYFUNCTION("""COMPUTED_VALUE"""),"Рудничный")</f>
        <v>Рудничный</v>
      </c>
      <c r="E1596" s="6" t="str">
        <f>IFERROR(__xludf.DUMMYFUNCTION("""COMPUTED_VALUE"""),"Музей ""Красная Горка"", бор, небольшие парки.")</f>
        <v>Музей "Красная Горка", бор, небольшие парки.</v>
      </c>
      <c r="F1596" s="6" t="str">
        <f>IFERROR(__xludf.DUMMYFUNCTION("""COMPUTED_VALUE"""),"Живу здесь с рождения")</f>
        <v>Живу здесь с рождения</v>
      </c>
      <c r="G1596" s="6" t="str">
        <f>IFERROR(__xludf.DUMMYFUNCTION("""COMPUTED_VALUE"""),"Везде гуляем.")</f>
        <v>Везде гуляем.</v>
      </c>
      <c r="H1596" s="6" t="str">
        <f>IFERROR(__xludf.DUMMYFUNCTION("""COMPUTED_VALUE"""),"Уголь, памятники, площадь Советов, мусор, грязь.")</f>
        <v>Уголь, памятники, площадь Советов, мусор, грязь.</v>
      </c>
      <c r="I1596" s="6" t="str">
        <f>IFERROR(__xludf.DUMMYFUNCTION("""COMPUTED_VALUE"""),"Рутгерс, Волков, Леонов, Двужильный, Волошина")</f>
        <v>Рутгерс, Волков, Леонов, Двужильный, Волошина</v>
      </c>
      <c r="J1596" s="6" t="str">
        <f>IFERROR(__xludf.DUMMYFUNCTION("""COMPUTED_VALUE"""),"Тулеев, наверно... И всё.")</f>
        <v>Тулеев, наверно... И всё.</v>
      </c>
      <c r="K1596" s="6" t="str">
        <f>IFERROR(__xludf.DUMMYFUNCTION("""COMPUTED_VALUE"""),"Набережную.")</f>
        <v>Набережную.</v>
      </c>
      <c r="L1596" s="6" t="str">
        <f>IFERROR(__xludf.DUMMYFUNCTION("""COMPUTED_VALUE"""),"Не знаю.")</f>
        <v>Не знаю.</v>
      </c>
      <c r="M1596" s="6" t="str">
        <f>IFERROR(__xludf.DUMMYFUNCTION("""COMPUTED_VALUE"""),"Нет")</f>
        <v>Нет</v>
      </c>
      <c r="N1596" s="6" t="str">
        <f>IFERROR(__xludf.DUMMYFUNCTION("""COMPUTED_VALUE"""),"Хорошие дороги, зоны отдыха, возможность уехать в позднее время на общественном транспорте, безопасность. Всё.")</f>
        <v>Хорошие дороги, зоны отдыха, возможность уехать в позднее время на общественном транспорте, безопасность. Всё.</v>
      </c>
      <c r="O1596" s="6" t="str">
        <f>IFERROR(__xludf.DUMMYFUNCTION("""COMPUTED_VALUE"""),"Транспорт, т.к. невозможно уехать иногда в другой район даже после семи часов вечера! Пешеходные дороги вдоль дороги в частных секторах. Дороги на улицах в частных секторах, т.к. это ужас. ")</f>
        <v>Транспорт, т.к. невозможно уехать иногда в другой район даже после семи часов вечера! Пешеходные дороги вдоль дороги в частных секторах. Дороги на улицах в частных секторах, т.к. это ужас. </v>
      </c>
      <c r="P1596" s="6" t="str">
        <f>IFERROR(__xludf.DUMMYFUNCTION("""COMPUTED_VALUE"""),"Инстаграм, городские новости.")</f>
        <v>Инстаграм, городские новости.</v>
      </c>
      <c r="Q1596" s="6" t="str">
        <f>IFERROR(__xludf.DUMMYFUNCTION("""COMPUTED_VALUE"""),"куда пойти в свободное время, бизнес-новости (средний чек/рекламные акции/запуск новых предприятий), интервью с экспертами на разные темы (напишите в разделе Другое свои предложения)")</f>
        <v>куда пойти в свободное время,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596" s="6" t="str">
        <f>IFERROR(__xludf.DUMMYFUNCTION("""COMPUTED_VALUE"""),"Все.")</f>
        <v>Все.</v>
      </c>
      <c r="S1596" s="6" t="str">
        <f>IFERROR(__xludf.DUMMYFUNCTION("""COMPUTED_VALUE"""),"Нет, не приходилось")</f>
        <v>Нет, не приходилось</v>
      </c>
      <c r="T1596" s="6" t="str">
        <f>IFERROR(__xludf.DUMMYFUNCTION("""COMPUTED_VALUE"""),"Чиновниками, которые мало что делают для жителей. Речь не обо всех.")</f>
        <v>Чиновниками, которые мало что делают для жителей. Речь не обо всех.</v>
      </c>
      <c r="U1596" s="6" t="str">
        <f>IFERROR(__xludf.DUMMYFUNCTION("""COMPUTED_VALUE"""),"Парк Чудес, площадь Советов.")</f>
        <v>Парк Чудес, площадь Советов.</v>
      </c>
      <c r="V1596" s="6" t="str">
        <f>IFERROR(__xludf.DUMMYFUNCTION("""COMPUTED_VALUE"""),"Полетели в космос.")</f>
        <v>Полетели в космос.</v>
      </c>
      <c r="W1596" s="6" t="str">
        <f>IFERROR(__xludf.DUMMYFUNCTION("""COMPUTED_VALUE"""),"Мне встречались только хорошие и отзывчивые люди. За редким исключением.")</f>
        <v>Мне встречались только хорошие и отзывчивые люди. За редким исключением.</v>
      </c>
      <c r="X1596" s="6" t="str">
        <f>IFERROR(__xludf.DUMMYFUNCTION("""COMPUTED_VALUE"""),"Весенняя улица.")</f>
        <v>Весенняя улица.</v>
      </c>
      <c r="Y1596" s="6" t="str">
        <f>IFERROR(__xludf.DUMMYFUNCTION("""COMPUTED_VALUE"""),"Не знаю")</f>
        <v>Не знаю</v>
      </c>
      <c r="Z1596" s="6" t="str">
        <f>IFERROR(__xludf.DUMMYFUNCTION("""COMPUTED_VALUE"""),"Не знаю")</f>
        <v>Не знаю</v>
      </c>
      <c r="AA1596" s="6" t="str">
        <f>IFERROR(__xludf.DUMMYFUNCTION("""COMPUTED_VALUE"""),"Не знаю")</f>
        <v>Не знаю</v>
      </c>
      <c r="AB1596" s="6" t="str">
        <f>IFERROR(__xludf.DUMMYFUNCTION("""COMPUTED_VALUE"""),"Всего хватает")</f>
        <v>Всего хватает</v>
      </c>
      <c r="AC1596" s="6" t="str">
        <f>IFERROR(__xludf.DUMMYFUNCTION("""COMPUTED_VALUE"""),"Уличные концерты и представления. Открытые выставки.")</f>
        <v>Уличные концерты и представления. Открытые выставки.</v>
      </c>
      <c r="AD1596" s="6" t="str">
        <f>IFERROR(__xludf.DUMMYFUNCTION("""COMPUTED_VALUE"""),"Не готов принимать личное участие (укажите, пожалуйста, причину в поле «Другое»), Я мизантроп.")</f>
        <v>Не готов принимать личное участие (укажите, пожалуйста, причину в поле «Другое»), Я мизантроп.</v>
      </c>
      <c r="AE1596" s="6" t="str">
        <f>IFERROR(__xludf.DUMMYFUNCTION("""COMPUTED_VALUE"""),"Женский")</f>
        <v>Женский</v>
      </c>
      <c r="AF1596" s="6" t="str">
        <f>IFERROR(__xludf.DUMMYFUNCTION("""COMPUTED_VALUE"""),"45-55")</f>
        <v>45-55</v>
      </c>
      <c r="AG1596" s="6"/>
      <c r="AH1596" s="6"/>
      <c r="AI1596" s="6"/>
      <c r="AJ1596" s="6"/>
      <c r="AK1596" s="6"/>
      <c r="AL1596" s="6"/>
      <c r="AM1596" s="6"/>
    </row>
    <row r="1597">
      <c r="A1597" s="6">
        <v>1596.0</v>
      </c>
      <c r="B1597" s="6" t="str">
        <f>IFERROR(__xludf.DUMMYFUNCTION("""COMPUTED_VALUE"""),"Пенсионер")</f>
        <v>Пенсионер</v>
      </c>
      <c r="C1597" s="6" t="str">
        <f>IFERROR(__xludf.DUMMYFUNCTION("""COMPUTED_VALUE"""),"поделки из винных пробок, камней и стекол с моря")</f>
        <v>поделки из винных пробок, камней и стекол с моря</v>
      </c>
      <c r="D1597" s="6" t="str">
        <f>IFERROR(__xludf.DUMMYFUNCTION("""COMPUTED_VALUE"""),"Южный, новый Южный")</f>
        <v>Южный, новый Южный</v>
      </c>
      <c r="E1597" s="6" t="str">
        <f>IFERROR(__xludf.DUMMYFUNCTION("""COMPUTED_VALUE"""),"Церковь ""Утоли мои печали""")</f>
        <v>Церковь "Утоли мои печали"</v>
      </c>
      <c r="F1597" s="6" t="str">
        <f>IFERROR(__xludf.DUMMYFUNCTION("""COMPUTED_VALUE"""),"Переехал сюда из другого места (откуда? укажите в графе другое), из Джанкоя, Крым в 1966 г.")</f>
        <v>Переехал сюда из другого места (откуда? укажите в графе другое), из Джанкоя, Крым в 1966 г.</v>
      </c>
      <c r="G1597" s="6" t="str">
        <f>IFERROR(__xludf.DUMMYFUNCTION("""COMPUTED_VALUE"""),"Филармония, Музей изобразительных искусств, набережная реки Томь")</f>
        <v>Филармония, Музей изобразительных искусств, набережная реки Томь</v>
      </c>
      <c r="H1597" s="6" t="str">
        <f>IFERROR(__xludf.DUMMYFUNCTION("""COMPUTED_VALUE"""),"Столица шахтерского труда, чистый, зеленый, культурный центр, любимый город")</f>
        <v>Столица шахтерского труда, чистый, зеленый, культурный центр, любимый город</v>
      </c>
      <c r="I1597" s="6" t="str">
        <f>IFERROR(__xludf.DUMMYFUNCTION("""COMPUTED_VALUE"""),"Алексей Леонов, Вера Волошина, Евгений Гришковец  ")</f>
        <v>Алексей Леонов, Вера Волошина, Евгений Гришковец  </v>
      </c>
      <c r="J1597" s="6" t="str">
        <f>IFERROR(__xludf.DUMMYFUNCTION("""COMPUTED_VALUE"""),"Бобров Александр Константинович, Васильев Илларион Романович, Михайло Волков")</f>
        <v>Бобров Александр Константинович, Васильев Илларион Романович, Михайло Волков</v>
      </c>
      <c r="K1597" s="6" t="str">
        <f>IFERROR(__xludf.DUMMYFUNCTION("""COMPUTED_VALUE"""),"Музей ""Красная Горка"", Томская писаница")</f>
        <v>Музей "Красная Горка", Томская писаница</v>
      </c>
      <c r="L1597" s="6" t="str">
        <f>IFERROR(__xludf.DUMMYFUNCTION("""COMPUTED_VALUE"""),"К сожалению не знаю")</f>
        <v>К сожалению не знаю</v>
      </c>
      <c r="M1597" s="6" t="str">
        <f>IFERROR(__xludf.DUMMYFUNCTION("""COMPUTED_VALUE"""),"Не знаю")</f>
        <v>Не знаю</v>
      </c>
      <c r="N1597" s="6" t="str">
        <f>IFERROR(__xludf.DUMMYFUNCTION("""COMPUTED_VALUE"""),"Удобство передвижения на общественном транспорте, чистота, озеленение улиц, наличие мест для отдыха, наличие культурных заведений")</f>
        <v>Удобство передвижения на общественном транспорте, чистота, озеленение улиц, наличие мест для отдыха, наличие культурных заведений</v>
      </c>
      <c r="O1597" s="6" t="str">
        <f>IFERROR(__xludf.DUMMYFUNCTION("""COMPUTED_VALUE"""),"Затрудняюсь ответить")</f>
        <v>Затрудняюсь ответить</v>
      </c>
      <c r="P1597" s="6" t="str">
        <f>IFERROR(__xludf.DUMMYFUNCTION("""COMPUTED_VALUE"""),"Интернет, Фейсбук")</f>
        <v>Интернет, Фейсбук</v>
      </c>
      <c r="Q1597"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597" s="6" t="str">
        <f>IFERROR(__xludf.DUMMYFUNCTION("""COMPUTED_VALUE"""),"День Победы, День города")</f>
        <v>День Победы, День города</v>
      </c>
      <c r="S1597" s="6" t="str">
        <f>IFERROR(__xludf.DUMMYFUNCTION("""COMPUTED_VALUE"""),"Нет, не приходилось")</f>
        <v>Нет, не приходилось</v>
      </c>
      <c r="T1597" s="6" t="str">
        <f>IFERROR(__xludf.DUMMYFUNCTION("""COMPUTED_VALUE"""),"Индустриальный центр, столица угольной промышленности ")</f>
        <v>Индустриальный центр, столица угольной промышленности </v>
      </c>
      <c r="U1597" s="6" t="str">
        <f>IFERROR(__xludf.DUMMYFUNCTION("""COMPUTED_VALUE"""),"Площадь Советов, Площадь Пушкина")</f>
        <v>Площадь Советов, Площадь Пушкина</v>
      </c>
      <c r="V1597" s="6" t="str">
        <f>IFERROR(__xludf.DUMMYFUNCTION("""COMPUTED_VALUE"""),"Создали современный индустриальный центр")</f>
        <v>Создали современный индустриальный центр</v>
      </c>
      <c r="W1597" s="6" t="str">
        <f>IFERROR(__xludf.DUMMYFUNCTION("""COMPUTED_VALUE"""),"Доброжелательные, гостеприимные, отзывчивые, красивые, порядочные")</f>
        <v>Доброжелательные, гостеприимные, отзывчивые, красивые, порядочные</v>
      </c>
      <c r="X1597" s="6" t="str">
        <f>IFERROR(__xludf.DUMMYFUNCTION("""COMPUTED_VALUE"""),"По центру, к памятнику героям-кузассовцам, Томская Писаница, Красная Горка")</f>
        <v>По центру, к памятнику героям-кузассовцам, Томская Писаница, Красная Горка</v>
      </c>
      <c r="Y1597" s="6" t="str">
        <f>IFERROR(__xludf.DUMMYFUNCTION("""COMPUTED_VALUE"""),"Открытие Михайлом Волковым месторождений каменного угля")</f>
        <v>Открытие Михайлом Волковым месторождений каменного угля</v>
      </c>
      <c r="Z1597" s="6" t="str">
        <f>IFERROR(__xludf.DUMMYFUNCTION("""COMPUTED_VALUE"""),"Походы в Филармонию на концерты Кемеровского симфонического оркестра, струнного квартета ""Элегия"" и органа")</f>
        <v>Походы в Филармонию на концерты Кемеровского симфонического оркестра, струнного квартета "Элегия" и органа</v>
      </c>
      <c r="AA1597" s="6" t="str">
        <f>IFERROR(__xludf.DUMMYFUNCTION("""COMPUTED_VALUE"""),"Пожар в ТРЦ ""Зимняя Вишня""")</f>
        <v>Пожар в ТРЦ "Зимняя Вишня"</v>
      </c>
      <c r="AB1597" s="6" t="str">
        <f>IFERROR(__xludf.DUMMYFUNCTION("""COMPUTED_VALUE"""),"Я считаю, что достаточно")</f>
        <v>Я считаю, что достаточно</v>
      </c>
      <c r="AC1597" s="6" t="str">
        <f>IFERROR(__xludf.DUMMYFUNCTION("""COMPUTED_VALUE"""),"На мой взгляд, мероприятий достаточно")</f>
        <v>На мой взгляд, мероприятий достаточно</v>
      </c>
      <c r="AD159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97" s="6" t="str">
        <f>IFERROR(__xludf.DUMMYFUNCTION("""COMPUTED_VALUE"""),"Женский")</f>
        <v>Женский</v>
      </c>
      <c r="AF1597" s="6" t="str">
        <f>IFERROR(__xludf.DUMMYFUNCTION("""COMPUTED_VALUE"""),"старше 55")</f>
        <v>старше 55</v>
      </c>
      <c r="AG1597" s="6"/>
      <c r="AH1597" s="6"/>
      <c r="AI1597" s="6"/>
      <c r="AJ1597" s="6"/>
      <c r="AK1597" s="6"/>
      <c r="AL1597" s="6"/>
      <c r="AM1597" s="6"/>
    </row>
    <row r="1598">
      <c r="A1598" s="6">
        <v>1597.0</v>
      </c>
      <c r="B1598" s="6" t="str">
        <f>IFERROR(__xludf.DUMMYFUNCTION("""COMPUTED_VALUE"""),"Учусь")</f>
        <v>Учусь</v>
      </c>
      <c r="C1598" s="6" t="str">
        <f>IFERROR(__xludf.DUMMYFUNCTION("""COMPUTED_VALUE"""),"Музыка")</f>
        <v>Музыка</v>
      </c>
      <c r="D1598" s="6" t="str">
        <f>IFERROR(__xludf.DUMMYFUNCTION("""COMPUTED_VALUE"""),"Ленинский ")</f>
        <v>Ленинский </v>
      </c>
      <c r="E1598" s="6" t="str">
        <f>IFERROR(__xludf.DUMMYFUNCTION("""COMPUTED_VALUE"""),"Лента 24 (большая)")</f>
        <v>Лента 24 (большая)</v>
      </c>
      <c r="F1598" s="6" t="str">
        <f>IFERROR(__xludf.DUMMYFUNCTION("""COMPUTED_VALUE"""),"Переехал сюда из другого места (откуда? укажите в графе другое), Г. Белово, пгт. Бачатский ")</f>
        <v>Переехал сюда из другого места (откуда? укажите в графе другое), Г. Белово, пгт. Бачатский </v>
      </c>
      <c r="G1598" s="6" t="str">
        <f>IFERROR(__xludf.DUMMYFUNCTION("""COMPUTED_VALUE"""),"Набережная, тц ""я"" , тц лапландия, доски, зефир, хука, кафе и ресторанв")</f>
        <v>Набережная, тц "я" , тц лапландия, доски, зефир, хука, кафе и ресторанв</v>
      </c>
      <c r="H1598" s="6" t="str">
        <f>IFERROR(__xludf.DUMMYFUNCTION("""COMPUTED_VALUE"""),"Образование, деньги, работа, отдых, друзья ")</f>
        <v>Образование, деньги, работа, отдых, друзья </v>
      </c>
      <c r="I1598" s="6" t="str">
        <f>IFERROR(__xludf.DUMMYFUNCTION("""COMPUTED_VALUE"""),"Волошина Вера")</f>
        <v>Волошина Вера</v>
      </c>
      <c r="J1598" s="6" t="str">
        <f>IFERROR(__xludf.DUMMYFUNCTION("""COMPUTED_VALUE"""),"Не знаю")</f>
        <v>Не знаю</v>
      </c>
      <c r="K1598" s="6" t="str">
        <f>IFERROR(__xludf.DUMMYFUNCTION("""COMPUTED_VALUE"""),"Бульвар Строителей, парк ангелов, набережная, цирк")</f>
        <v>Бульвар Строителей, парк ангелов, набережная, цирк</v>
      </c>
      <c r="L1598" s="6" t="str">
        <f>IFERROR(__xludf.DUMMYFUNCTION("""COMPUTED_VALUE"""),"В Кемерово круто, в Кемерово снег, в Кемерово круто даже в минус сорокет")</f>
        <v>В Кемерово круто, в Кемерово снег, в Кемерово круто даже в минус сорокет</v>
      </c>
      <c r="M1598" s="6" t="str">
        <f>IFERROR(__xludf.DUMMYFUNCTION("""COMPUTED_VALUE"""),"Нет")</f>
        <v>Нет</v>
      </c>
      <c r="N1598" s="6" t="str">
        <f>IFERROR(__xludf.DUMMYFUNCTION("""COMPUTED_VALUE"""),"Инфраструктура, чистота, интуитивная понятность, удобство (в плане расположения мусорок, пепельниц, лавочек, остоновок, банкоматов и тд), приятная визуалищация")</f>
        <v>Инфраструктура, чистота, интуитивная понятность, удобство (в плане расположения мусорок, пепельниц, лавочек, остоновок, банкоматов и тд), приятная визуалищация</v>
      </c>
      <c r="O1598" s="6" t="str">
        <f>IFERROR(__xludf.DUMMYFUNCTION("""COMPUTED_VALUE"""),"Удобство и интуитивную понятность")</f>
        <v>Удобство и интуитивную понятность</v>
      </c>
      <c r="P1598" s="6" t="str">
        <f>IFERROR(__xludf.DUMMYFUNCTION("""COMPUTED_VALUE"""),"Вк: группа кулб зефир, доски, подслушано Кемерово и тд")</f>
        <v>Вк: группа кулб зефир, доски, подслушано Кемерово и тд</v>
      </c>
      <c r="Q159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598" s="6" t="str">
        <f>IFERROR(__xludf.DUMMYFUNCTION("""COMPUTED_VALUE"""),"День шахтера")</f>
        <v>День шахтера</v>
      </c>
      <c r="S1598" s="6" t="str">
        <f>IFERROR(__xludf.DUMMYFUNCTION("""COMPUTED_VALUE"""),"Нет, не приходилось, Писал и расклеивал объявления/афиши")</f>
        <v>Нет, не приходилось, Писал и расклеивал объявления/афиши</v>
      </c>
      <c r="T1598" s="6" t="str">
        <f>IFERROR(__xludf.DUMMYFUNCTION("""COMPUTED_VALUE"""),"Трагедия, новый культурный город")</f>
        <v>Трагедия, новый культурный город</v>
      </c>
      <c r="U1598" s="6" t="str">
        <f>IFERROR(__xludf.DUMMYFUNCTION("""COMPUTED_VALUE"""),"Вокзал")</f>
        <v>Вокзал</v>
      </c>
      <c r="V1598" s="6" t="str">
        <f>IFERROR(__xludf.DUMMYFUNCTION("""COMPUTED_VALUE"""),"Пожарные много раз его спасали")</f>
        <v>Пожарные много раз его спасали</v>
      </c>
      <c r="W1598" s="6" t="str">
        <f>IFERROR(__xludf.DUMMYFUNCTION("""COMPUTED_VALUE"""),"Просточеловечность, наивность, хитрость, отзывчивость")</f>
        <v>Просточеловечность, наивность, хитрость, отзывчивость</v>
      </c>
      <c r="X1598" s="6" t="str">
        <f>IFERROR(__xludf.DUMMYFUNCTION("""COMPUTED_VALUE"""),"Вера волошина, кузнецкий, Ленина, притомский, бульвар")</f>
        <v>Вера волошина, кузнецкий, Ленина, притомский, бульвар</v>
      </c>
      <c r="Y1598" s="6" t="str">
        <f>IFERROR(__xludf.DUMMYFUNCTION("""COMPUTED_VALUE"""),"Кластер")</f>
        <v>Кластер</v>
      </c>
      <c r="Z1598" s="6" t="str">
        <f>IFERROR(__xludf.DUMMYFUNCTION("""COMPUTED_VALUE"""),"Ночная прогулка по центру")</f>
        <v>Ночная прогулка по центру</v>
      </c>
      <c r="AA1598" s="6" t="str">
        <f>IFERROR(__xludf.DUMMYFUNCTION("""COMPUTED_VALUE"""),"Моего друга избили")</f>
        <v>Моего друга избили</v>
      </c>
      <c r="AB1598" s="6" t="str">
        <f>IFERROR(__xludf.DUMMYFUNCTION("""COMPUTED_VALUE"""),"Даже не знаю ")</f>
        <v>Даже не знаю </v>
      </c>
      <c r="AC1598" s="6" t="str">
        <f>IFERROR(__xludf.DUMMYFUNCTION("""COMPUTED_VALUE"""),"Уличных рок-концертов")</f>
        <v>Уличных рок-концертов</v>
      </c>
      <c r="AD159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98" s="6" t="str">
        <f>IFERROR(__xludf.DUMMYFUNCTION("""COMPUTED_VALUE"""),"Мужской")</f>
        <v>Мужской</v>
      </c>
      <c r="AF1598" s="6" t="str">
        <f>IFERROR(__xludf.DUMMYFUNCTION("""COMPUTED_VALUE"""),"18-29")</f>
        <v>18-29</v>
      </c>
      <c r="AG1598" s="6"/>
      <c r="AH1598" s="6"/>
      <c r="AI1598" s="6"/>
      <c r="AJ1598" s="6"/>
      <c r="AK1598" s="6"/>
      <c r="AL1598" s="6"/>
      <c r="AM1598" s="6"/>
    </row>
    <row r="1599">
      <c r="A1599" s="6">
        <v>1598.0</v>
      </c>
      <c r="B1599" s="6" t="str">
        <f>IFERROR(__xludf.DUMMYFUNCTION("""COMPUTED_VALUE"""),"Монтажник инженерных сетей ")</f>
        <v>Монтажник инженерных сетей </v>
      </c>
      <c r="C1599" s="6" t="str">
        <f>IFERROR(__xludf.DUMMYFUNCTION("""COMPUTED_VALUE"""),"Автозвук ")</f>
        <v>Автозвук </v>
      </c>
      <c r="D1599" s="6" t="str">
        <f>IFERROR(__xludf.DUMMYFUNCTION("""COMPUTED_VALUE"""),"Кировский райчик. ")</f>
        <v>Кировский райчик. </v>
      </c>
      <c r="E1599" s="6" t="str">
        <f>IFERROR(__xludf.DUMMYFUNCTION("""COMPUTED_VALUE"""),"Есть только набережная ")</f>
        <v>Есть только набережная </v>
      </c>
      <c r="F1599" s="6" t="str">
        <f>IFERROR(__xludf.DUMMYFUNCTION("""COMPUTED_VALUE"""),"Переехал сюда из другого места (откуда? укажите в графе другое), Из Яшкинского района с. Колмогорово ")</f>
        <v>Переехал сюда из другого места (откуда? укажите в графе другое), Из Яшкинского района с. Колмогорово </v>
      </c>
      <c r="G1599" s="6" t="str">
        <f>IFERROR(__xludf.DUMMYFUNCTION("""COMPUTED_VALUE"""),"Никуда ")</f>
        <v>Никуда </v>
      </c>
      <c r="H1599" s="6" t="str">
        <f>IFERROR(__xludf.DUMMYFUNCTION("""COMPUTED_VALUE"""),"Томь, дым, грязь, серость, уныние. ")</f>
        <v>Томь, дым, грязь, серость, уныние. </v>
      </c>
      <c r="I1599" s="6" t="str">
        <f>IFERROR(__xludf.DUMMYFUNCTION("""COMPUTED_VALUE"""),"Рутгерс ")</f>
        <v>Рутгерс </v>
      </c>
      <c r="J1599" s="6" t="str">
        <f>IFERROR(__xludf.DUMMYFUNCTION("""COMPUTED_VALUE"""),"Михайлов, Тулеев. ")</f>
        <v>Михайлов, Тулеев. </v>
      </c>
      <c r="K1599" s="6" t="str">
        <f>IFERROR(__xludf.DUMMYFUNCTION("""COMPUTED_VALUE"""),"Нет таких. ")</f>
        <v>Нет таких. </v>
      </c>
      <c r="L1599" s="6" t="str">
        <f>IFERROR(__xludf.DUMMYFUNCTION("""COMPUTED_VALUE"""),"Нету таких ")</f>
        <v>Нету таких </v>
      </c>
      <c r="M1599" s="6" t="str">
        <f>IFERROR(__xludf.DUMMYFUNCTION("""COMPUTED_VALUE"""),"Не знаю ")</f>
        <v>Не знаю </v>
      </c>
      <c r="N1599" s="6" t="str">
        <f>IFERROR(__xludf.DUMMYFUNCTION("""COMPUTED_VALUE"""),"Экология! Работа. Экология! Экология! Экология!! ")</f>
        <v>Экология! Работа. Экология! Экология! Экология!! </v>
      </c>
      <c r="O1599" s="6" t="str">
        <f>IFERROR(__xludf.DUMMYFUNCTION("""COMPUTED_VALUE"""),"Всю систему управления ")</f>
        <v>Всю систему управления </v>
      </c>
      <c r="P1599" s="6" t="str">
        <f>IFERROR(__xludf.DUMMYFUNCTION("""COMPUTED_VALUE"""),"Местные паблики инстаграм, местные интернет ресурсы, vse 42 например. ")</f>
        <v>Местные паблики инстаграм, местные интернет ресурсы, vse 42 например. </v>
      </c>
      <c r="Q1599" s="6" t="str">
        <f>IFERROR(__xludf.DUMMYFUNCTION("""COMPUTED_VALUE"""),"криминальные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f>
        <v>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1599" s="6" t="str">
        <f>IFERROR(__xludf.DUMMYFUNCTION("""COMPUTED_VALUE"""),"Нет таких. ")</f>
        <v>Нет таких. </v>
      </c>
      <c r="S1599" s="6" t="str">
        <f>IFERROR(__xludf.DUMMYFUNCTION("""COMPUTED_VALUE"""),"Нет, не приходилось")</f>
        <v>Нет, не приходилось</v>
      </c>
      <c r="T1599" s="6" t="str">
        <f>IFERROR(__xludf.DUMMYFUNCTION("""COMPUTED_VALUE"""),"Ничем не уникален, средний химически загрязнений городок. ")</f>
        <v>Ничем не уникален, средний химически загрязнений городок. </v>
      </c>
      <c r="U1599" s="6" t="str">
        <f>IFERROR(__xludf.DUMMYFUNCTION("""COMPUTED_VALUE"""),"Набережная центрального района ")</f>
        <v>Набережная центрального района </v>
      </c>
      <c r="V1599" s="6" t="str">
        <f>IFERROR(__xludf.DUMMYFUNCTION("""COMPUTED_VALUE"""),"Не знаю ")</f>
        <v>Не знаю </v>
      </c>
      <c r="W1599" s="6" t="str">
        <f>IFERROR(__xludf.DUMMYFUNCTION("""COMPUTED_VALUE"""),"Сильные в большинстве своём люди. ")</f>
        <v>Сильные в большинстве своём люди. </v>
      </c>
      <c r="X1599" s="6" t="str">
        <f>IFERROR(__xludf.DUMMYFUNCTION("""COMPUTED_VALUE"""),"Ну по Кировскому можно прогуляться. ")</f>
        <v>Ну по Кировскому можно прогуляться. </v>
      </c>
      <c r="Y1599" s="6" t="str">
        <f>IFERROR(__xludf.DUMMYFUNCTION("""COMPUTED_VALUE"""),"Пожар в Зимней вишне ")</f>
        <v>Пожар в Зимней вишне </v>
      </c>
      <c r="Z1599" s="6" t="str">
        <f>IFERROR(__xludf.DUMMYFUNCTION("""COMPUTED_VALUE"""),"Ремонт набережной Кировского района. ")</f>
        <v>Ремонт набережной Кировского района. </v>
      </c>
      <c r="AA1599" s="6" t="str">
        <f>IFERROR(__xludf.DUMMYFUNCTION("""COMPUTED_VALUE"""),"Много ")</f>
        <v>Много </v>
      </c>
      <c r="AB1599" s="6" t="str">
        <f>IFERROR(__xludf.DUMMYFUNCTION("""COMPUTED_VALUE"""),"Не знаю ")</f>
        <v>Не знаю </v>
      </c>
      <c r="AC1599" s="6" t="str">
        <f>IFERROR(__xludf.DUMMYFUNCTION("""COMPUTED_VALUE"""),"Улучшение экологии ")</f>
        <v>Улучшение экологии </v>
      </c>
      <c r="AD159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599" s="6" t="str">
        <f>IFERROR(__xludf.DUMMYFUNCTION("""COMPUTED_VALUE"""),"Мужской")</f>
        <v>Мужской</v>
      </c>
      <c r="AF1599" s="6" t="str">
        <f>IFERROR(__xludf.DUMMYFUNCTION("""COMPUTED_VALUE"""),"30-44")</f>
        <v>30-44</v>
      </c>
      <c r="AG1599" s="6"/>
      <c r="AH1599" s="6"/>
      <c r="AI1599" s="6"/>
      <c r="AJ1599" s="6"/>
      <c r="AK1599" s="6"/>
      <c r="AL1599" s="6"/>
      <c r="AM1599" s="6"/>
    </row>
    <row r="1600">
      <c r="A1600" s="6">
        <v>1599.0</v>
      </c>
      <c r="B1600" s="6" t="str">
        <f>IFERROR(__xludf.DUMMYFUNCTION("""COMPUTED_VALUE"""),"Медицина")</f>
        <v>Медицина</v>
      </c>
      <c r="C1600" s="6" t="str">
        <f>IFERROR(__xludf.DUMMYFUNCTION("""COMPUTED_VALUE"""),"Танцы")</f>
        <v>Танцы</v>
      </c>
      <c r="D1600" s="6" t="str">
        <f>IFERROR(__xludf.DUMMYFUNCTION("""COMPUTED_VALUE"""),"Южный ")</f>
        <v>Южный </v>
      </c>
      <c r="E1600" s="6" t="str">
        <f>IFERROR(__xludf.DUMMYFUNCTION("""COMPUTED_VALUE"""),"Церковь")</f>
        <v>Церковь</v>
      </c>
      <c r="F1600" s="6" t="str">
        <f>IFERROR(__xludf.DUMMYFUNCTION("""COMPUTED_VALUE"""),"Живу здесь с рождения")</f>
        <v>Живу здесь с рождения</v>
      </c>
      <c r="G1600" s="6" t="str">
        <f>IFERROR(__xludf.DUMMYFUNCTION("""COMPUTED_VALUE"""),"Некуда сходить")</f>
        <v>Некуда сходить</v>
      </c>
      <c r="H1600" s="6" t="str">
        <f>IFERROR(__xludf.DUMMYFUNCTION("""COMPUTED_VALUE"""),"Грязно, скучно, разруха, наркоманы, нет развития")</f>
        <v>Грязно, скучно, разруха, наркоманы, нет развития</v>
      </c>
      <c r="I1600" s="6" t="str">
        <f>IFERROR(__xludf.DUMMYFUNCTION("""COMPUTED_VALUE"""),"Раздаев")</f>
        <v>Раздаев</v>
      </c>
      <c r="J1600" s="6" t="str">
        <f>IFERROR(__xludf.DUMMYFUNCTION("""COMPUTED_VALUE"""),"Нет таких")</f>
        <v>Нет таких</v>
      </c>
      <c r="K1600" s="6" t="str">
        <f>IFERROR(__xludf.DUMMYFUNCTION("""COMPUTED_VALUE"""),"Парк победы")</f>
        <v>Парк победы</v>
      </c>
      <c r="L1600" s="6" t="str">
        <f>IFERROR(__xludf.DUMMYFUNCTION("""COMPUTED_VALUE"""),"Кемерово воняет")</f>
        <v>Кемерово воняет</v>
      </c>
      <c r="M1600" s="6" t="str">
        <f>IFERROR(__xludf.DUMMYFUNCTION("""COMPUTED_VALUE"""),"Южный никому не нужный")</f>
        <v>Южный никому не нужный</v>
      </c>
      <c r="N1600" s="6" t="str">
        <f>IFERROR(__xludf.DUMMYFUNCTION("""COMPUTED_VALUE"""),"Яркий город, оздоровительные комплексы, красивые улицы, современный подход ")</f>
        <v>Яркий город, оздоровительные комплексы, красивые улицы, современный подход </v>
      </c>
      <c r="O1600" s="6" t="str">
        <f>IFERROR(__xludf.DUMMYFUNCTION("""COMPUTED_VALUE"""),"Дороги ")</f>
        <v>Дороги </v>
      </c>
      <c r="P1600" s="6" t="str">
        <f>IFERROR(__xludf.DUMMYFUNCTION("""COMPUTED_VALUE"""),"Интернет ")</f>
        <v>Интернет </v>
      </c>
      <c r="Q1600" s="6" t="str">
        <f>IFERROR(__xludf.DUMMYFUNCTION("""COMPUTED_VALUE"""),"куда пойти в свободное время, 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пред"&amp;"ложения), Танцы")</f>
        <v>куда пойти в свободное время, 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 Танцы</v>
      </c>
      <c r="R1600" s="6" t="str">
        <f>IFERROR(__xludf.DUMMYFUNCTION("""COMPUTED_VALUE"""),"Новый год ")</f>
        <v>Новый год </v>
      </c>
      <c r="S1600" s="6" t="str">
        <f>IFERROR(__xludf.DUMMYFUNCTION("""COMPUTED_VALUE"""),"Нет, не приходилось, Через социальные сети (Какие? Укажите в графе другое)")</f>
        <v>Нет, не приходилось, Через социальные сети (Какие? Укажите в графе другое)</v>
      </c>
      <c r="T1600" s="6" t="str">
        <f>IFERROR(__xludf.DUMMYFUNCTION("""COMPUTED_VALUE"""),"Уголь ")</f>
        <v>Уголь </v>
      </c>
      <c r="U1600" s="6" t="str">
        <f>IFERROR(__xludf.DUMMYFUNCTION("""COMPUTED_VALUE"""),"Надпись Кемерово ")</f>
        <v>Надпись Кемерово </v>
      </c>
      <c r="V1600" s="6" t="str">
        <f>IFERROR(__xludf.DUMMYFUNCTION("""COMPUTED_VALUE"""),"Ничего")</f>
        <v>Ничего</v>
      </c>
      <c r="W1600" s="6" t="str">
        <f>IFERROR(__xludf.DUMMYFUNCTION("""COMPUTED_VALUE"""),"Злые, мрачные")</f>
        <v>Злые, мрачные</v>
      </c>
      <c r="X1600" s="6" t="str">
        <f>IFERROR(__xludf.DUMMYFUNCTION("""COMPUTED_VALUE"""),"Цертр")</f>
        <v>Цертр</v>
      </c>
      <c r="Y1600" s="6" t="str">
        <f>IFERROR(__xludf.DUMMYFUNCTION("""COMPUTED_VALUE"""),"Бэнди")</f>
        <v>Бэнди</v>
      </c>
      <c r="Z1600" s="6" t="str">
        <f>IFERROR(__xludf.DUMMYFUNCTION("""COMPUTED_VALUE"""),"Рок концерт")</f>
        <v>Рок концерт</v>
      </c>
      <c r="AA1600" s="6" t="str">
        <f>IFERROR(__xludf.DUMMYFUNCTION("""COMPUTED_VALUE"""),"зимняя вишня")</f>
        <v>зимняя вишня</v>
      </c>
      <c r="AB1600" s="6" t="str">
        <f>IFERROR(__xludf.DUMMYFUNCTION("""COMPUTED_VALUE"""),"Спортивный комплекс  организация мероприятий ")</f>
        <v>Спортивный комплекс  организация мероприятий </v>
      </c>
      <c r="AC1600" s="6" t="str">
        <f>IFERROR(__xludf.DUMMYFUNCTION("""COMPUTED_VALUE"""),"Доступная Культурно- развлекательной программы для населения, танцы")</f>
        <v>Доступная Культурно- развлекательной программы для населения, танцы</v>
      </c>
      <c r="AD1600"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600" s="6" t="str">
        <f>IFERROR(__xludf.DUMMYFUNCTION("""COMPUTED_VALUE"""),"Женский")</f>
        <v>Женский</v>
      </c>
      <c r="AF1600" s="6" t="str">
        <f>IFERROR(__xludf.DUMMYFUNCTION("""COMPUTED_VALUE"""),"30-44")</f>
        <v>30-44</v>
      </c>
      <c r="AG1600" s="6"/>
      <c r="AH1600" s="6"/>
      <c r="AI1600" s="6"/>
      <c r="AJ1600" s="6"/>
      <c r="AK1600" s="6"/>
      <c r="AL1600" s="6"/>
      <c r="AM1600" s="6"/>
    </row>
    <row r="1601">
      <c r="A1601" s="6">
        <v>1600.0</v>
      </c>
      <c r="B1601" s="6" t="str">
        <f>IFERROR(__xludf.DUMMYFUNCTION("""COMPUTED_VALUE"""),"ЖКХ, КемВод, работа на благо нашего замечательного города")</f>
        <v>ЖКХ, КемВод, работа на благо нашего замечательного города</v>
      </c>
      <c r="C1601" s="6" t="str">
        <f>IFERROR(__xludf.DUMMYFUNCTION("""COMPUTED_VALUE"""),"Катание на велосипедах дружной семьей, рыбалка")</f>
        <v>Катание на велосипедах дружной семьей, рыбалка</v>
      </c>
      <c r="D1601" s="6" t="str">
        <f>IFERROR(__xludf.DUMMYFUNCTION("""COMPUTED_VALUE"""),"Рудничный! Раньше называли Радуга")</f>
        <v>Рудничный! Раньше называли Радуга</v>
      </c>
      <c r="E1601" s="6" t="str">
        <f>IFERROR(__xludf.DUMMYFUNCTION("""COMPUTED_VALUE"""),"Нет таких")</f>
        <v>Нет таких</v>
      </c>
      <c r="F1601" s="6" t="str">
        <f>IFERROR(__xludf.DUMMYFUNCTION("""COMPUTED_VALUE"""),"Живу здесь с рождения")</f>
        <v>Живу здесь с рождения</v>
      </c>
      <c r="G1601" s="6" t="str">
        <f>IFERROR(__xludf.DUMMYFUNCTION("""COMPUTED_VALUE"""),"Набережная Кировского и Центрального районов")</f>
        <v>Набережная Кировского и Центрального районов</v>
      </c>
      <c r="H1601" s="6" t="str">
        <f>IFERROR(__xludf.DUMMYFUNCTION("""COMPUTED_VALUE"""),"Шахты, азот, Тулеев, Михайлов, старый мост")</f>
        <v>Шахты, азот, Тулеев, Михайлов, старый мост</v>
      </c>
      <c r="I1601" s="6" t="str">
        <f>IFERROR(__xludf.DUMMYFUNCTION("""COMPUTED_VALUE"""),"Михайло Волков, Алексей Леонов")</f>
        <v>Михайло Волков, Алексей Леонов</v>
      </c>
      <c r="J1601" s="6" t="str">
        <f>IFERROR(__xludf.DUMMYFUNCTION("""COMPUTED_VALUE"""),"Опять же Михайлов, держал под контролем чистоту, порядок, благоустройство города...")</f>
        <v>Опять же Михайлов, держал под контролем чистоту, порядок, благоустройство города...</v>
      </c>
      <c r="K1601" s="6" t="str">
        <f>IFERROR(__xludf.DUMMYFUNCTION("""COMPUTED_VALUE"""),"Музей Красная горка")</f>
        <v>Музей Красная горка</v>
      </c>
      <c r="L1601" s="6" t="str">
        <f>IFERROR(__xludf.DUMMYFUNCTION("""COMPUTED_VALUE"""),"Не знаком")</f>
        <v>Не знаком</v>
      </c>
      <c r="M1601" s="6" t="str">
        <f>IFERROR(__xludf.DUMMYFUNCTION("""COMPUTED_VALUE"""),"Нет не знаю")</f>
        <v>Нет не знаю</v>
      </c>
      <c r="N1601" s="6" t="str">
        <f>IFERROR(__xludf.DUMMYFUNCTION("""COMPUTED_VALUE"""),"Транспорт, дороги, чистота и города и атмосферы, ")</f>
        <v>Транспорт, дороги, чистота и города и атмосферы, </v>
      </c>
      <c r="O1601" s="6" t="str">
        <f>IFERROR(__xludf.DUMMYFUNCTION("""COMPUTED_VALUE"""),"Руководителя... Избрать народом. ")</f>
        <v>Руководителя... Избрать народом. </v>
      </c>
      <c r="P1601" s="6" t="str">
        <f>IFERROR(__xludf.DUMMYFUNCTION("""COMPUTED_VALUE"""),"Соц сети, Инстаграм")</f>
        <v>Соц сети, Инстаграм</v>
      </c>
      <c r="Q1601" s="6" t="str">
        <f>IFERROR(__xludf.DUMMYFUNCTION("""COMPUTED_VALUE"""),"интервью с местными политиками, криминальные новости (происшествия/преступления)")</f>
        <v>интервью с местными политиками, криминальные новости (происшествия/преступления)</v>
      </c>
      <c r="R1601" s="6" t="str">
        <f>IFERROR(__xludf.DUMMYFUNCTION("""COMPUTED_VALUE"""),"День шахтера")</f>
        <v>День шахтера</v>
      </c>
      <c r="S1601" s="6" t="str">
        <f>IFERROR(__xludf.DUMMYFUNCTION("""COMPUTED_VALUE"""),"Нет, не приходилось")</f>
        <v>Нет, не приходилось</v>
      </c>
      <c r="T1601" s="6" t="str">
        <f>IFERROR(__xludf.DUMMYFUNCTION("""COMPUTED_VALUE"""),"Известен отсутствием работы")</f>
        <v>Известен отсутствием работы</v>
      </c>
      <c r="U1601" s="6" t="str">
        <f>IFERROR(__xludf.DUMMYFUNCTION("""COMPUTED_VALUE"""),"Нету у нас таких мест")</f>
        <v>Нету у нас таких мест</v>
      </c>
      <c r="V1601" s="6" t="str">
        <f>IFERROR(__xludf.DUMMYFUNCTION("""COMPUTED_VALUE"""),"В советские годы народ творил и создавал, современные люди используют это и разрушают")</f>
        <v>В советские годы народ творил и создавал, современные люди используют это и разрушают</v>
      </c>
      <c r="W1601" s="6" t="str">
        <f>IFERROR(__xludf.DUMMYFUNCTION("""COMPUTED_VALUE"""),"Уставшие, серые")</f>
        <v>Уставшие, серые</v>
      </c>
      <c r="X1601" s="6" t="str">
        <f>IFERROR(__xludf.DUMMYFUNCTION("""COMPUTED_VALUE"""),"Вечный огонь, собор ")</f>
        <v>Вечный огонь, собор </v>
      </c>
      <c r="Y1601" s="6" t="str">
        <f>IFERROR(__xludf.DUMMYFUNCTION("""COMPUTED_VALUE"""),"Рок концерт, организованный ЗАО Стройсервис")</f>
        <v>Рок концерт, организованный ЗАО Стройсервис</v>
      </c>
      <c r="Z1601" s="6" t="str">
        <f>IFERROR(__xludf.DUMMYFUNCTION("""COMPUTED_VALUE"""),"А они были?")</f>
        <v>А они были?</v>
      </c>
      <c r="AA1601" s="6" t="str">
        <f>IFERROR(__xludf.DUMMYFUNCTION("""COMPUTED_VALUE"""),"Зимняя Вишня")</f>
        <v>Зимняя Вишня</v>
      </c>
      <c r="AB1601" s="6" t="str">
        <f>IFERROR(__xludf.DUMMYFUNCTION("""COMPUTED_VALUE"""),"Я надеюсь только на себя, сообщества мне не нужны")</f>
        <v>Я надеюсь только на себя, сообщества мне не нужны</v>
      </c>
      <c r="AC1601" s="6" t="str">
        <f>IFERROR(__xludf.DUMMYFUNCTION("""COMPUTED_VALUE"""),"Адекватный ценник на культурно массовые мероприятия и только. ")</f>
        <v>Адекватный ценник на культурно массовые мероприятия и только. </v>
      </c>
      <c r="AD160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непосредств"&amp;"енно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601" s="6" t="str">
        <f>IFERROR(__xludf.DUMMYFUNCTION("""COMPUTED_VALUE"""),"Мужской")</f>
        <v>Мужской</v>
      </c>
      <c r="AF1601" s="6" t="str">
        <f>IFERROR(__xludf.DUMMYFUNCTION("""COMPUTED_VALUE"""),"30-44")</f>
        <v>30-44</v>
      </c>
      <c r="AG1601" s="6"/>
      <c r="AH1601" s="6"/>
      <c r="AI1601" s="6"/>
      <c r="AJ1601" s="6"/>
      <c r="AK1601" s="6"/>
      <c r="AL1601" s="6"/>
      <c r="AM1601" s="6"/>
    </row>
    <row r="1602">
      <c r="A1602" s="6">
        <v>1601.0</v>
      </c>
      <c r="B1602" s="6" t="str">
        <f>IFERROR(__xludf.DUMMYFUNCTION("""COMPUTED_VALUE"""),"Бухгалтер")</f>
        <v>Бухгалтер</v>
      </c>
      <c r="C1602" s="6" t="str">
        <f>IFERROR(__xludf.DUMMYFUNCTION("""COMPUTED_VALUE"""),"Работать до поздна")</f>
        <v>Работать до поздна</v>
      </c>
      <c r="D1602" s="6" t="str">
        <f>IFERROR(__xludf.DUMMYFUNCTION("""COMPUTED_VALUE"""),"Кировский")</f>
        <v>Кировский</v>
      </c>
      <c r="E1602" s="6" t="str">
        <f>IFERROR(__xludf.DUMMYFUNCTION("""COMPUTED_VALUE"""),"Набережная,ДК Кировский")</f>
        <v>Набережная,ДК Кировский</v>
      </c>
      <c r="F1602" s="6" t="str">
        <f>IFERROR(__xludf.DUMMYFUNCTION("""COMPUTED_VALUE"""),"Переехал сюда из другого места (откуда? укажите в графе другое), Анжеро-Судженска")</f>
        <v>Переехал сюда из другого места (откуда? укажите в графе другое), Анжеро-Судженска</v>
      </c>
      <c r="G1602" s="6" t="str">
        <f>IFERROR(__xludf.DUMMYFUNCTION("""COMPUTED_VALUE"""),"Центр Кемерово ул Советская,Центральная набережная,Красная горка")</f>
        <v>Центр Кемерово ул Советская,Центральная набережная,Красная горка</v>
      </c>
      <c r="H1602" s="6" t="str">
        <f>IFERROR(__xludf.DUMMYFUNCTION("""COMPUTED_VALUE"""),"Затрудняюсь ответить")</f>
        <v>Затрудняюсь ответить</v>
      </c>
      <c r="I1602" s="6" t="str">
        <f>IFERROR(__xludf.DUMMYFUNCTION("""COMPUTED_VALUE"""),"Леонов,Вера Волошина,Елена Малышева,Панин")</f>
        <v>Леонов,Вера Волошина,Елена Малышева,Панин</v>
      </c>
      <c r="J1602" s="6" t="str">
        <f>IFERROR(__xludf.DUMMYFUNCTION("""COMPUTED_VALUE"""),"Евгений Сергеевич Цивилев")</f>
        <v>Евгений Сергеевич Цивилев</v>
      </c>
      <c r="K1602" s="6" t="str">
        <f>IFERROR(__xludf.DUMMYFUNCTION("""COMPUTED_VALUE"""),"Сосновый бор,Красная горка")</f>
        <v>Сосновый бор,Красная горка</v>
      </c>
      <c r="L1602" s="6" t="str">
        <f>IFERROR(__xludf.DUMMYFUNCTION("""COMPUTED_VALUE"""),"-")</f>
        <v>-</v>
      </c>
      <c r="M1602" s="6" t="str">
        <f>IFERROR(__xludf.DUMMYFUNCTION("""COMPUTED_VALUE"""),"в Кемерово а не в Кемерове")</f>
        <v>в Кемерово а не в Кемерове</v>
      </c>
      <c r="N1602" s="6" t="str">
        <f>IFERROR(__xludf.DUMMYFUNCTION("""COMPUTED_VALUE"""),"транспорт,дороги,ремонт фасодов кировского района и центральных районов,зарплата")</f>
        <v>транспорт,дороги,ремонт фасодов кировского района и центральных районов,зарплата</v>
      </c>
      <c r="O1602" s="6" t="str">
        <f>IFERROR(__xludf.DUMMYFUNCTION("""COMPUTED_VALUE"""),"Обновить трамваи")</f>
        <v>Обновить трамваи</v>
      </c>
      <c r="P1602" s="6" t="str">
        <f>IFERROR(__xludf.DUMMYFUNCTION("""COMPUTED_VALUE"""),"Инстаграмм ,подписана на Цивилева,Сердюка")</f>
        <v>Инстаграмм ,подписана на Цивилева,Сердюка</v>
      </c>
      <c r="Q1602"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602" s="6" t="str">
        <f>IFERROR(__xludf.DUMMYFUNCTION("""COMPUTED_VALUE"""),"12 июня, день шахтеров")</f>
        <v>12 июня, день шахтеров</v>
      </c>
      <c r="S1602" s="6" t="str">
        <f>IFERROR(__xludf.DUMMYFUNCTION("""COMPUTED_VALUE"""),"Нет, не приходилось")</f>
        <v>Нет, не приходилось</v>
      </c>
      <c r="T1602" s="6" t="str">
        <f>IFERROR(__xludf.DUMMYFUNCTION("""COMPUTED_VALUE"""),"Обычный город")</f>
        <v>Обычный город</v>
      </c>
      <c r="U1602" s="6" t="str">
        <f>IFERROR(__xludf.DUMMYFUNCTION("""COMPUTED_VALUE"""),"Набережная")</f>
        <v>Набережная</v>
      </c>
      <c r="V1602" s="6" t="str">
        <f>IFERROR(__xludf.DUMMYFUNCTION("""COMPUTED_VALUE"""),"-")</f>
        <v>-</v>
      </c>
      <c r="W1602" s="6" t="str">
        <f>IFERROR(__xludf.DUMMYFUNCTION("""COMPUTED_VALUE"""),"-")</f>
        <v>-</v>
      </c>
      <c r="X1602" s="6" t="str">
        <f>IFERROR(__xludf.DUMMYFUNCTION("""COMPUTED_VALUE"""),"улица Советская,Набережная")</f>
        <v>улица Советская,Набережная</v>
      </c>
      <c r="Y1602" s="6" t="str">
        <f>IFERROR(__xludf.DUMMYFUNCTION("""COMPUTED_VALUE"""),"Концерты на день шахтера")</f>
        <v>Концерты на день шахтера</v>
      </c>
      <c r="Z1602" s="6" t="str">
        <f>IFERROR(__xludf.DUMMYFUNCTION("""COMPUTED_VALUE"""),"Город стал обновлятьсям")</f>
        <v>Город стал обновлятьсям</v>
      </c>
      <c r="AA1602" s="6" t="str">
        <f>IFERROR(__xludf.DUMMYFUNCTION("""COMPUTED_VALUE"""),"-")</f>
        <v>-</v>
      </c>
      <c r="AB1602" s="6" t="str">
        <f>IFERROR(__xludf.DUMMYFUNCTION("""COMPUTED_VALUE"""),"-")</f>
        <v>-</v>
      </c>
      <c r="AC1602" s="6" t="str">
        <f>IFERROR(__xludf.DUMMYFUNCTION("""COMPUTED_VALUE"""),"Концертов бесплатных ")</f>
        <v>Концертов бесплатных </v>
      </c>
      <c r="AD160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02" s="6" t="str">
        <f>IFERROR(__xludf.DUMMYFUNCTION("""COMPUTED_VALUE"""),"Женский")</f>
        <v>Женский</v>
      </c>
      <c r="AF1602" s="6" t="str">
        <f>IFERROR(__xludf.DUMMYFUNCTION("""COMPUTED_VALUE"""),"30-44")</f>
        <v>30-44</v>
      </c>
      <c r="AG1602" s="6"/>
      <c r="AH1602" s="6"/>
      <c r="AI1602" s="6"/>
      <c r="AJ1602" s="6"/>
      <c r="AK1602" s="6"/>
      <c r="AL1602" s="6"/>
      <c r="AM1602" s="6"/>
    </row>
    <row r="1603">
      <c r="A1603" s="6">
        <v>1602.0</v>
      </c>
      <c r="B1603" s="6" t="str">
        <f>IFERROR(__xludf.DUMMYFUNCTION("""COMPUTED_VALUE"""),"Экономика")</f>
        <v>Экономика</v>
      </c>
      <c r="C1603" s="6" t="str">
        <f>IFERROR(__xludf.DUMMYFUNCTION("""COMPUTED_VALUE"""),"Нет ")</f>
        <v>Нет </v>
      </c>
      <c r="D1603" s="6" t="str">
        <f>IFERROR(__xludf.DUMMYFUNCTION("""COMPUTED_VALUE"""),"Южный")</f>
        <v>Южный</v>
      </c>
      <c r="E1603" s="6" t="str">
        <f>IFERROR(__xludf.DUMMYFUNCTION("""COMPUTED_VALUE"""),"Не каких")</f>
        <v>Не каких</v>
      </c>
      <c r="F1603" s="6" t="str">
        <f>IFERROR(__xludf.DUMMYFUNCTION("""COMPUTED_VALUE"""),"Переехал сюда из другого места (откуда? укажите в графе другое), Приехала из деревни на учёбу так и осталась злесь жить ть")</f>
        <v>Переехал сюда из другого места (откуда? укажите в графе другое), Приехала из деревни на учёбу так и осталась злесь жить ть</v>
      </c>
      <c r="G1603" s="6" t="str">
        <f>IFERROR(__xludf.DUMMYFUNCTION("""COMPUTED_VALUE"""),"В центре города")</f>
        <v>В центре города</v>
      </c>
      <c r="H1603" s="6" t="str">
        <f>IFERROR(__xludf.DUMMYFUNCTION("""COMPUTED_VALUE"""),"Нет слов")</f>
        <v>Нет слов</v>
      </c>
      <c r="I1603" s="6" t="str">
        <f>IFERROR(__xludf.DUMMYFUNCTION("""COMPUTED_VALUE"""),"Не знаю")</f>
        <v>Не знаю</v>
      </c>
      <c r="J1603" s="6" t="str">
        <f>IFERROR(__xludf.DUMMYFUNCTION("""COMPUTED_VALUE"""),"Наши горожане не на кого не равняются")</f>
        <v>Наши горожане не на кого не равняются</v>
      </c>
      <c r="K1603" s="6" t="str">
        <f>IFERROR(__xludf.DUMMYFUNCTION("""COMPUTED_VALUE"""),"Не какие")</f>
        <v>Не какие</v>
      </c>
      <c r="L1603" s="6" t="str">
        <f>IFERROR(__xludf.DUMMYFUNCTION("""COMPUTED_VALUE"""),"Не знаю")</f>
        <v>Не знаю</v>
      </c>
      <c r="M1603" s="6" t="str">
        <f>IFERROR(__xludf.DUMMYFUNCTION("""COMPUTED_VALUE"""),"Нет")</f>
        <v>Нет</v>
      </c>
      <c r="N1603" s="6" t="str">
        <f>IFERROR(__xludf.DUMMYFUNCTION("""COMPUTED_VALUE"""),"Чистый двор, и между дворами, хорошие дороги без ям, ")</f>
        <v>Чистый двор, и между дворами, хорошие дороги без ям, </v>
      </c>
      <c r="O1603" s="6" t="str">
        <f>IFERROR(__xludf.DUMMYFUNCTION("""COMPUTED_VALUE"""),"Незнаю")</f>
        <v>Незнаю</v>
      </c>
      <c r="P1603" s="6" t="str">
        <f>IFERROR(__xludf.DUMMYFUNCTION("""COMPUTED_VALUE"""),"Интернет")</f>
        <v>Интернет</v>
      </c>
      <c r="Q1603"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603" s="6" t="str">
        <f>IFERROR(__xludf.DUMMYFUNCTION("""COMPUTED_VALUE"""),"Не каких")</f>
        <v>Не каких</v>
      </c>
      <c r="S1603" s="6" t="str">
        <f>IFERROR(__xludf.DUMMYFUNCTION("""COMPUTED_VALUE"""),"Нет, не приходилось")</f>
        <v>Нет, не приходилось</v>
      </c>
      <c r="T1603" s="6" t="str">
        <f>IFERROR(__xludf.DUMMYFUNCTION("""COMPUTED_VALUE"""),"Не знаю ")</f>
        <v>Не знаю </v>
      </c>
      <c r="U1603" s="6" t="str">
        <f>IFERROR(__xludf.DUMMYFUNCTION("""COMPUTED_VALUE"""),"Развлекательные центры")</f>
        <v>Развлекательные центры</v>
      </c>
      <c r="V1603" s="6" t="str">
        <f>IFERROR(__xludf.DUMMYFUNCTION("""COMPUTED_VALUE"""),"Наверное да")</f>
        <v>Наверное да</v>
      </c>
      <c r="W1603" s="6" t="str">
        <f>IFERROR(__xludf.DUMMYFUNCTION("""COMPUTED_VALUE"""),"Как и в других городах каждый сам за себя")</f>
        <v>Как и в других городах каждый сам за себя</v>
      </c>
      <c r="X1603" s="6" t="str">
        <f>IFERROR(__xludf.DUMMYFUNCTION("""COMPUTED_VALUE"""),"На писаницу ")</f>
        <v>На писаницу </v>
      </c>
      <c r="Y1603" s="6" t="str">
        <f>IFERROR(__xludf.DUMMYFUNCTION("""COMPUTED_VALUE"""),"Не знаю")</f>
        <v>Не знаю</v>
      </c>
      <c r="Z1603" s="6" t="str">
        <f>IFERROR(__xludf.DUMMYFUNCTION("""COMPUTED_VALUE"""),"Не какие")</f>
        <v>Не какие</v>
      </c>
      <c r="AA1603" s="6" t="str">
        <f>IFERROR(__xludf.DUMMYFUNCTION("""COMPUTED_VALUE"""),"Пандемия")</f>
        <v>Пандемия</v>
      </c>
      <c r="AB1603" s="6" t="str">
        <f>IFERROR(__xludf.DUMMYFUNCTION("""COMPUTED_VALUE"""),"Не какие")</f>
        <v>Не какие</v>
      </c>
      <c r="AC1603" s="6" t="str">
        <f>IFERROR(__xludf.DUMMYFUNCTION("""COMPUTED_VALUE"""),"Не знаю")</f>
        <v>Не знаю</v>
      </c>
      <c r="AD160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03" s="6" t="str">
        <f>IFERROR(__xludf.DUMMYFUNCTION("""COMPUTED_VALUE"""),"Женский")</f>
        <v>Женский</v>
      </c>
      <c r="AF1603" s="6" t="str">
        <f>IFERROR(__xludf.DUMMYFUNCTION("""COMPUTED_VALUE"""),"45-55")</f>
        <v>45-55</v>
      </c>
      <c r="AG1603" s="6"/>
      <c r="AH1603" s="6"/>
      <c r="AI1603" s="6"/>
      <c r="AJ1603" s="6"/>
      <c r="AK1603" s="6"/>
      <c r="AL1603" s="6"/>
      <c r="AM1603" s="6"/>
    </row>
    <row r="1604">
      <c r="A1604" s="6">
        <v>1603.0</v>
      </c>
      <c r="B1604" s="6" t="str">
        <f>IFERROR(__xludf.DUMMYFUNCTION("""COMPUTED_VALUE"""),"Учитель средней школы")</f>
        <v>Учитель средней школы</v>
      </c>
      <c r="C1604" s="6" t="str">
        <f>IFERROR(__xludf.DUMMYFUNCTION("""COMPUTED_VALUE"""),"Фото и ИЗО")</f>
        <v>Фото и ИЗО</v>
      </c>
      <c r="D1604" s="6" t="str">
        <f>IFERROR(__xludf.DUMMYFUNCTION("""COMPUTED_VALUE"""),"Южный район")</f>
        <v>Южный район</v>
      </c>
      <c r="E1604" s="6" t="str">
        <f>IFERROR(__xludf.DUMMYFUNCTION("""COMPUTED_VALUE"""),"Б-р Патриотов, к-р Прогресс.")</f>
        <v>Б-р Патриотов, к-р Прогресс.</v>
      </c>
      <c r="F1604" s="6" t="str">
        <f>IFERROR(__xludf.DUMMYFUNCTION("""COMPUTED_VALUE"""),"Переехал сюда из другого места (откуда? укажите в графе другое), Из Новосибирской области еще ребенком с родителями")</f>
        <v>Переехал сюда из другого места (откуда? укажите в графе другое), Из Новосибирской области еще ребенком с родителями</v>
      </c>
      <c r="G1604" s="6" t="str">
        <f>IFERROR(__xludf.DUMMYFUNCTION("""COMPUTED_VALUE"""),"Центр города (театры, музеи, набережные, парки и скверы)")</f>
        <v>Центр города (театры, музеи, набережные, парки и скверы)</v>
      </c>
      <c r="H1604" s="6" t="str">
        <f>IFERROR(__xludf.DUMMYFUNCTION("""COMPUTED_VALUE"""),"Любимый, но усталый, грязный, холодный,  спокойный.")</f>
        <v>Любимый, но усталый, грязный, холодный,  спокойный.</v>
      </c>
      <c r="I1604" s="6" t="str">
        <f>IFERROR(__xludf.DUMMYFUNCTION("""COMPUTED_VALUE"""),"Волошина, Двужильный")</f>
        <v>Волошина, Двужильный</v>
      </c>
      <c r="J1604" s="6" t="str">
        <f>IFERROR(__xludf.DUMMYFUNCTION("""COMPUTED_VALUE"""),"Михайлов, Тулеев")</f>
        <v>Михайлов, Тулеев</v>
      </c>
      <c r="K1604" s="6" t="str">
        <f>IFERROR(__xludf.DUMMYFUNCTION("""COMPUTED_VALUE"""),"Центр города, старые дома в Кировском районе, жилой массив на Предзаводском, церковь в Кировском, сосновый бор, Красную горку.")</f>
        <v>Центр города, старые дома в Кировском районе, жилой массив на Предзаводском, церковь в Кировском, сосновый бор, Красную горку.</v>
      </c>
      <c r="L1604" s="6" t="str">
        <f>IFERROR(__xludf.DUMMYFUNCTION("""COMPUTED_VALUE"""),"Дышать нечем! -   Так это частники печи затопили.")</f>
        <v>Дышать нечем! -   Так это частники печи затопили.</v>
      </c>
      <c r="M1604" s="6" t="str">
        <f>IFERROR(__xludf.DUMMYFUNCTION("""COMPUTED_VALUE"""),"Встретить по-кемеровски.")</f>
        <v>Встретить по-кемеровски.</v>
      </c>
      <c r="N1604" s="6" t="str">
        <f>IFERROR(__xludf.DUMMYFUNCTION("""COMPUTED_VALUE"""),"1. Хорошие дороги, 2. Чистый воздух, 3. Чётко работающий транспорт (с утра о до вечера в любом направлении). 4. Развитая инфраструктура, 5. Быстрая реакция местных властей на просьбы жителей (не только на словах, но и на деле)")</f>
        <v>1. Хорошие дороги, 2. Чистый воздух, 3. Чётко работающий транспорт (с утра о до вечера в любом направлении). 4. Развитая инфраструктура, 5. Быстрая реакция местных властей на просьбы жителей (не только на словах, но и на деле)</v>
      </c>
      <c r="O1604" s="6" t="str">
        <f>IFERROR(__xludf.DUMMYFUNCTION("""COMPUTED_VALUE"""),"Дорожную ситуацию и ситуацию с воздухом.")</f>
        <v>Дорожную ситуацию и ситуацию с воздухом.</v>
      </c>
      <c r="P1604" s="6" t="str">
        <f>IFERROR(__xludf.DUMMYFUNCTION("""COMPUTED_VALUE"""),"Новости ВГТРК, Инстаграм")</f>
        <v>Новости ВГТРК, Инстаграм</v>
      </c>
      <c r="Q1604"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604" s="6" t="str">
        <f>IFERROR(__xludf.DUMMYFUNCTION("""COMPUTED_VALUE"""),"День Победы, День города")</f>
        <v>День Победы, День города</v>
      </c>
      <c r="S1604" s="6" t="str">
        <f>IFERROR(__xludf.DUMMYFUNCTION("""COMPUTED_VALUE"""),"Нет, не приходилось")</f>
        <v>Нет, не приходилось</v>
      </c>
      <c r="T1604" s="6" t="str">
        <f>IFERROR(__xludf.DUMMYFUNCTION("""COMPUTED_VALUE"""),"Увы...Зимней вишней...")</f>
        <v>Увы...Зимней вишней...</v>
      </c>
      <c r="U1604" s="6" t="str">
        <f>IFERROR(__xludf.DUMMYFUNCTION("""COMPUTED_VALUE"""),"Весенняя улица - Вечный огонь - Набережная")</f>
        <v>Весенняя улица - Вечный огонь - Набережная</v>
      </c>
      <c r="V1604" s="6" t="str">
        <f>IFERROR(__xludf.DUMMYFUNCTION("""COMPUTED_VALUE"""),"Создали образ города химической промышленности")</f>
        <v>Создали образ города химической промышленности</v>
      </c>
      <c r="W1604" s="6" t="str">
        <f>IFERROR(__xludf.DUMMYFUNCTION("""COMPUTED_VALUE"""),"Открытые для общения, свободные и весёлые")</f>
        <v>Открытые для общения, свободные и весёлые</v>
      </c>
      <c r="X1604" s="6" t="str">
        <f>IFERROR(__xludf.DUMMYFUNCTION("""COMPUTED_VALUE"""),"Площадь Советов - проспект Советский - Весенняя - Набережная - Парк чудес - Красная горка")</f>
        <v>Площадь Советов - проспект Советский - Весенняя - Набережная - Парк чудес - Красная горка</v>
      </c>
      <c r="Y1604" s="6" t="str">
        <f>IFERROR(__xludf.DUMMYFUNCTION("""COMPUTED_VALUE"""),"Чемпионат мира по хоккею с мячом")</f>
        <v>Чемпионат мира по хоккею с мячом</v>
      </c>
      <c r="Z1604" s="6" t="str">
        <f>IFERROR(__xludf.DUMMYFUNCTION("""COMPUTED_VALUE"""),".....")</f>
        <v>.....</v>
      </c>
      <c r="AA1604" s="6" t="str">
        <f>IFERROR(__xludf.DUMMYFUNCTION("""COMPUTED_VALUE"""),"Смог над городом в безветренные дни")</f>
        <v>Смог над городом в безветренные дни</v>
      </c>
      <c r="AB1604" s="6" t="str">
        <f>IFERROR(__xludf.DUMMYFUNCTION("""COMPUTED_VALUE"""),"Любителей животных")</f>
        <v>Любителей животных</v>
      </c>
      <c r="AC1604" s="6" t="str">
        <f>IFERROR(__xludf.DUMMYFUNCTION("""COMPUTED_VALUE"""),"Семейных праздников")</f>
        <v>Семейных праздников</v>
      </c>
      <c r="AD160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04" s="6" t="str">
        <f>IFERROR(__xludf.DUMMYFUNCTION("""COMPUTED_VALUE"""),"Женский")</f>
        <v>Женский</v>
      </c>
      <c r="AF1604" s="6" t="str">
        <f>IFERROR(__xludf.DUMMYFUNCTION("""COMPUTED_VALUE"""),"старше 55")</f>
        <v>старше 55</v>
      </c>
      <c r="AG1604" s="6"/>
      <c r="AH1604" s="6"/>
      <c r="AI1604" s="6"/>
      <c r="AJ1604" s="6"/>
      <c r="AK1604" s="6"/>
      <c r="AL1604" s="6"/>
      <c r="AM1604" s="6"/>
    </row>
    <row r="1605">
      <c r="A1605" s="6">
        <v>1604.0</v>
      </c>
      <c r="B1605" s="6" t="str">
        <f>IFERROR(__xludf.DUMMYFUNCTION("""COMPUTED_VALUE"""),"Наемный работник в сфере спутникового мониторинга транспорта")</f>
        <v>Наемный работник в сфере спутникового мониторинга транспорта</v>
      </c>
      <c r="C1605" s="6" t="str">
        <f>IFERROR(__xludf.DUMMYFUNCTION("""COMPUTED_VALUE"""),"Да, велопрогулки, теннис, плавание, путешествия")</f>
        <v>Да, велопрогулки, теннис, плавание, путешествия</v>
      </c>
      <c r="D1605" s="6" t="str">
        <f>IFERROR(__xludf.DUMMYFUNCTION("""COMPUTED_VALUE"""),"Южный")</f>
        <v>Южный</v>
      </c>
      <c r="E1605" s="6" t="str">
        <f>IFERROR(__xludf.DUMMYFUNCTION("""COMPUTED_VALUE"""),"В моем районе нет хороших мест")</f>
        <v>В моем районе нет хороших мест</v>
      </c>
      <c r="F1605" s="6" t="str">
        <f>IFERROR(__xludf.DUMMYFUNCTION("""COMPUTED_VALUE"""),"Переехал сюда из другого места (откуда? укажите в графе другое), Крым")</f>
        <v>Переехал сюда из другого места (откуда? укажите в графе другое), Крым</v>
      </c>
      <c r="G1605" s="6" t="str">
        <f>IFERROR(__xludf.DUMMYFUNCTION("""COMPUTED_VALUE"""),"катаюсь на велосипеде по всему городу")</f>
        <v>катаюсь на велосипеде по всему городу</v>
      </c>
      <c r="H1605" s="6" t="str">
        <f>IFERROR(__xludf.DUMMYFUNCTION("""COMPUTED_VALUE"""),"Площадь Советов, Кузбасс, Зимняя вишня, Лазурный")</f>
        <v>Площадь Советов, Кузбасс, Зимняя вишня, Лазурный</v>
      </c>
      <c r="I1605" s="6" t="str">
        <f>IFERROR(__xludf.DUMMYFUNCTION("""COMPUTED_VALUE"""),"Леонов, Волков")</f>
        <v>Леонов, Волков</v>
      </c>
      <c r="J1605" s="6" t="str">
        <f>IFERROR(__xludf.DUMMYFUNCTION("""COMPUTED_VALUE"""),"не знаю")</f>
        <v>не знаю</v>
      </c>
      <c r="K1605" s="6" t="str">
        <f>IFERROR(__xludf.DUMMYFUNCTION("""COMPUTED_VALUE"""),"пункт 7")</f>
        <v>пункт 7</v>
      </c>
      <c r="L1605" s="6" t="str">
        <f>IFERROR(__xludf.DUMMYFUNCTION("""COMPUTED_VALUE"""),"не знаю")</f>
        <v>не знаю</v>
      </c>
      <c r="M1605" s="6" t="str">
        <f>IFERROR(__xludf.DUMMYFUNCTION("""COMPUTED_VALUE"""),"нет")</f>
        <v>нет</v>
      </c>
      <c r="N1605" s="6" t="str">
        <f>IFERROR(__xludf.DUMMYFUNCTION("""COMPUTED_VALUE"""),"Парки, тротуары, спорт")</f>
        <v>Парки, тротуары, спорт</v>
      </c>
      <c r="O1605" s="6" t="str">
        <f>IFERROR(__xludf.DUMMYFUNCTION("""COMPUTED_VALUE"""),"соединить весь город, особенно, Южный, велодорожками")</f>
        <v>соединить весь город, особенно, Южный, велодорожками</v>
      </c>
      <c r="P1605" s="6" t="str">
        <f>IFERROR(__xludf.DUMMYFUNCTION("""COMPUTED_VALUE"""),"соц сети")</f>
        <v>соц сети</v>
      </c>
      <c r="Q160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v>
      </c>
      <c r="R1605" s="6" t="str">
        <f>IFERROR(__xludf.DUMMYFUNCTION("""COMPUTED_VALUE""")," Новый год")</f>
        <v> Новый год</v>
      </c>
      <c r="S1605" s="6" t="str">
        <f>IFERROR(__xludf.DUMMYFUNCTION("""COMPUTED_VALUE"""),"Нет, не приходилось")</f>
        <v>Нет, не приходилось</v>
      </c>
      <c r="T1605" s="6" t="str">
        <f>IFERROR(__xludf.DUMMYFUNCTION("""COMPUTED_VALUE"""),"Известен г. Кемерово, к сожалению, печальными событиями")</f>
        <v>Известен г. Кемерово, к сожалению, печальными событиями</v>
      </c>
      <c r="U1605" s="6" t="str">
        <f>IFERROR(__xludf.DUMMYFUNCTION("""COMPUTED_VALUE"""),"Площадь")</f>
        <v>Площадь</v>
      </c>
      <c r="V1605" s="6" t="str">
        <f>IFERROR(__xludf.DUMMYFUNCTION("""COMPUTED_VALUE"""),"платят налоги")</f>
        <v>платят налоги</v>
      </c>
      <c r="W1605" s="6" t="str">
        <f>IFERROR(__xludf.DUMMYFUNCTION("""COMPUTED_VALUE"""),"Замкнуты и сердиты")</f>
        <v>Замкнуты и сердиты</v>
      </c>
      <c r="X1605" s="6" t="str">
        <f>IFERROR(__xludf.DUMMYFUNCTION("""COMPUTED_VALUE"""),"Лесная поляна")</f>
        <v>Лесная поляна</v>
      </c>
      <c r="Y1605" s="6" t="str">
        <f>IFERROR(__xludf.DUMMYFUNCTION("""COMPUTED_VALUE"""),"не знаю")</f>
        <v>не знаю</v>
      </c>
      <c r="Z1605" s="6" t="str">
        <f>IFERROR(__xludf.DUMMYFUNCTION("""COMPUTED_VALUE"""),"спортивные мероприятия")</f>
        <v>спортивные мероприятия</v>
      </c>
      <c r="AA1605" s="6" t="str">
        <f>IFERROR(__xludf.DUMMYFUNCTION("""COMPUTED_VALUE"""),"Закрытие Лазурного, Зимняя вишня, митинги на площади")</f>
        <v>Закрытие Лазурного, Зимняя вишня, митинги на площади</v>
      </c>
      <c r="AB1605" s="6" t="str">
        <f>IFERROR(__xludf.DUMMYFUNCTION("""COMPUTED_VALUE"""),"хватает")</f>
        <v>хватает</v>
      </c>
      <c r="AC1605" s="6" t="str">
        <f>IFERROR(__xludf.DUMMYFUNCTION("""COMPUTED_VALUE"""),"спортивные и детские")</f>
        <v>спортивные и детские</v>
      </c>
      <c r="AD160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05" s="6" t="str">
        <f>IFERROR(__xludf.DUMMYFUNCTION("""COMPUTED_VALUE"""),"Женский")</f>
        <v>Женский</v>
      </c>
      <c r="AF1605" s="6" t="str">
        <f>IFERROR(__xludf.DUMMYFUNCTION("""COMPUTED_VALUE"""),"30-44")</f>
        <v>30-44</v>
      </c>
      <c r="AG1605" s="6"/>
      <c r="AH1605" s="6"/>
      <c r="AI1605" s="6"/>
      <c r="AJ1605" s="6"/>
      <c r="AK1605" s="6"/>
      <c r="AL1605" s="6"/>
      <c r="AM1605" s="6"/>
    </row>
    <row r="1606">
      <c r="A1606" s="6">
        <v>1605.0</v>
      </c>
      <c r="B1606" s="6" t="str">
        <f>IFERROR(__xludf.DUMMYFUNCTION("""COMPUTED_VALUE"""),"Студентка")</f>
        <v>Студентка</v>
      </c>
      <c r="C1606" s="6" t="str">
        <f>IFERROR(__xludf.DUMMYFUNCTION("""COMPUTED_VALUE"""),"Музыка")</f>
        <v>Музыка</v>
      </c>
      <c r="D1606" s="6" t="str">
        <f>IFERROR(__xludf.DUMMYFUNCTION("""COMPUTED_VALUE"""),"Южный")</f>
        <v>Южный</v>
      </c>
      <c r="E1606" s="6" t="str">
        <f>IFERROR(__xludf.DUMMYFUNCTION("""COMPUTED_VALUE"""),"Аллея")</f>
        <v>Аллея</v>
      </c>
      <c r="F1606" s="6" t="str">
        <f>IFERROR(__xludf.DUMMYFUNCTION("""COMPUTED_VALUE"""),"Живу здесь с рождения, Родился здесь,но сейчас живу в другом городе")</f>
        <v>Живу здесь с рождения, Родился здесь,но сейчас живу в другом городе</v>
      </c>
      <c r="G1606" s="6" t="str">
        <f>IFERROR(__xludf.DUMMYFUNCTION("""COMPUTED_VALUE"""),"В центр города")</f>
        <v>В центр города</v>
      </c>
      <c r="H1606" s="6" t="str">
        <f>IFERROR(__xludf.DUMMYFUNCTION("""COMPUTED_VALUE"""),"Плохой воздух, друзья, набережная, любимый человек, семья")</f>
        <v>Плохой воздух, друзья, набережная, любимый человек, семья</v>
      </c>
      <c r="I1606" s="6" t="str">
        <f>IFERROR(__xludf.DUMMYFUNCTION("""COMPUTED_VALUE"""),"Леонов, Малышева, Гришковец")</f>
        <v>Леонов, Малышева, Гришковец</v>
      </c>
      <c r="J1606" s="6" t="str">
        <f>IFERROR(__xludf.DUMMYFUNCTION("""COMPUTED_VALUE"""),"Волотеры")</f>
        <v>Волотеры</v>
      </c>
      <c r="K1606" s="6" t="str">
        <f>IFERROR(__xludf.DUMMYFUNCTION("""COMPUTED_VALUE"""),"Центр города, красная Горка, памятник шахтерам")</f>
        <v>Центр города, красная Горка, памятник шахтерам</v>
      </c>
      <c r="L1606" s="6" t="str">
        <f>IFERROR(__xludf.DUMMYFUNCTION("""COMPUTED_VALUE"""),"Денег нет, но вы деожи")</f>
        <v>Денег нет, но вы деожи</v>
      </c>
      <c r="M1606" s="6" t="str">
        <f>IFERROR(__xludf.DUMMYFUNCTION("""COMPUTED_VALUE"""),"Мультифора")</f>
        <v>Мультифора</v>
      </c>
      <c r="N1606" s="6" t="str">
        <f>IFERROR(__xludf.DUMMYFUNCTION("""COMPUTED_VALUE"""),"Ухоженный город, дорога, инфраструктура, образование, власть")</f>
        <v>Ухоженный город, дорога, инфраструктура, образование, власть</v>
      </c>
      <c r="O1606" s="6" t="str">
        <f>IFERROR(__xludf.DUMMYFUNCTION("""COMPUTED_VALUE"""),"Отношения власти")</f>
        <v>Отношения власти</v>
      </c>
      <c r="P1606" s="6" t="str">
        <f>IFERROR(__xludf.DUMMYFUNCTION("""COMPUTED_VALUE"""),"Vse42, инцидент")</f>
        <v>Vse42, инцидент</v>
      </c>
      <c r="Q1606"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606" s="6" t="str">
        <f>IFERROR(__xludf.DUMMYFUNCTION("""COMPUTED_VALUE"""),"День города, 9 мая, новый год")</f>
        <v>День города, 9 мая, новый год</v>
      </c>
      <c r="S1606" s="6" t="str">
        <f>IFERROR(__xludf.DUMMYFUNCTION("""COMPUTED_VALUE"""),"Нет, не приходилось")</f>
        <v>Нет, не приходилось</v>
      </c>
      <c r="T1606" s="6" t="str">
        <f>IFERROR(__xludf.DUMMYFUNCTION("""COMPUTED_VALUE"""),"Ни чем ")</f>
        <v>Ни чем </v>
      </c>
      <c r="U1606" s="6" t="str">
        <f>IFERROR(__xludf.DUMMYFUNCTION("""COMPUTED_VALUE"""),"Набережная")</f>
        <v>Набережная</v>
      </c>
      <c r="V1606" s="6" t="str">
        <f>IFERROR(__xludf.DUMMYFUNCTION("""COMPUTED_VALUE"""),"Много работали")</f>
        <v>Много работали</v>
      </c>
      <c r="W1606" s="6" t="str">
        <f>IFERROR(__xludf.DUMMYFUNCTION("""COMPUTED_VALUE"""),"Много терпения и труда")</f>
        <v>Много терпения и труда</v>
      </c>
      <c r="X1606" s="6" t="str">
        <f>IFERROR(__xludf.DUMMYFUNCTION("""COMPUTED_VALUE"""),"Весь центр города")</f>
        <v>Весь центр города</v>
      </c>
      <c r="Y1606" s="6" t="str">
        <f>IFERROR(__xludf.DUMMYFUNCTION("""COMPUTED_VALUE"""),"День города после зимней вишни")</f>
        <v>День города после зимней вишни</v>
      </c>
      <c r="Z1606" s="6" t="str">
        <f>IFERROR(__xludf.DUMMYFUNCTION("""COMPUTED_VALUE"""),"Никаких")</f>
        <v>Никаких</v>
      </c>
      <c r="AA1606" s="6" t="str">
        <f>IFERROR(__xludf.DUMMYFUNCTION("""COMPUTED_VALUE"""),"Смерть девушки")</f>
        <v>Смерть девушки</v>
      </c>
      <c r="AB1606" s="6" t="str">
        <f>IFERROR(__xludf.DUMMYFUNCTION("""COMPUTED_VALUE"""),". ")</f>
        <v>. </v>
      </c>
      <c r="AC1606" s="6" t="str">
        <f>IFERROR(__xludf.DUMMYFUNCTION("""COMPUTED_VALUE"""),"Больше культуры ")</f>
        <v>Больше культуры </v>
      </c>
      <c r="AD1606"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606" s="6" t="str">
        <f>IFERROR(__xludf.DUMMYFUNCTION("""COMPUTED_VALUE"""),"Женский")</f>
        <v>Женский</v>
      </c>
      <c r="AF1606" s="6" t="str">
        <f>IFERROR(__xludf.DUMMYFUNCTION("""COMPUTED_VALUE"""),"18-29")</f>
        <v>18-29</v>
      </c>
      <c r="AG1606" s="6"/>
      <c r="AH1606" s="6"/>
      <c r="AI1606" s="6"/>
      <c r="AJ1606" s="6"/>
      <c r="AK1606" s="6"/>
      <c r="AL1606" s="6"/>
      <c r="AM1606" s="6"/>
    </row>
    <row r="1607">
      <c r="A1607" s="6">
        <v>1606.0</v>
      </c>
      <c r="B1607" s="6" t="str">
        <f>IFERROR(__xludf.DUMMYFUNCTION("""COMPUTED_VALUE"""),"Автомеханик")</f>
        <v>Автомеханик</v>
      </c>
      <c r="C1607" s="6" t="str">
        <f>IFERROR(__xludf.DUMMYFUNCTION("""COMPUTED_VALUE"""),"Хоккей")</f>
        <v>Хоккей</v>
      </c>
      <c r="D1607" s="6" t="str">
        <f>IFERROR(__xludf.DUMMYFUNCTION("""COMPUTED_VALUE"""),"Радуга")</f>
        <v>Радуга</v>
      </c>
      <c r="E1607" s="6" t="str">
        <f>IFERROR(__xludf.DUMMYFUNCTION("""COMPUTED_VALUE""")," Макдональдс")</f>
        <v> Макдональдс</v>
      </c>
      <c r="F1607" s="6" t="str">
        <f>IFERROR(__xludf.DUMMYFUNCTION("""COMPUTED_VALUE"""),"Переехал сюда из другого места (откуда? укажите в графе другое), Салаир")</f>
        <v>Переехал сюда из другого места (откуда? укажите в графе другое), Салаир</v>
      </c>
      <c r="G1607" s="6" t="str">
        <f>IFERROR(__xludf.DUMMYFUNCTION("""COMPUTED_VALUE"""),"Ни куда")</f>
        <v>Ни куда</v>
      </c>
      <c r="H1607" s="6" t="str">
        <f>IFERROR(__xludf.DUMMYFUNCTION("""COMPUTED_VALUE"""),"Пробки, фуры, дым, грязь, мэр тупой")</f>
        <v>Пробки, фуры, дым, грязь, мэр тупой</v>
      </c>
      <c r="I1607" s="6" t="str">
        <f>IFERROR(__xludf.DUMMYFUNCTION("""COMPUTED_VALUE"""),"Михайлов")</f>
        <v>Михайлов</v>
      </c>
      <c r="J1607" s="6" t="str">
        <f>IFERROR(__xludf.DUMMYFUNCTION("""COMPUTED_VALUE"""),"Это я")</f>
        <v>Это я</v>
      </c>
      <c r="K1607" s="6" t="str">
        <f>IFERROR(__xludf.DUMMYFUNCTION("""COMPUTED_VALUE"""),"Лесная поляна")</f>
        <v>Лесная поляна</v>
      </c>
      <c r="L1607" s="6" t="str">
        <f>IFERROR(__xludf.DUMMYFUNCTION("""COMPUTED_VALUE"""),"Илья-колея")</f>
        <v>Илья-колея</v>
      </c>
      <c r="M1607" s="6" t="str">
        <f>IFERROR(__xludf.DUMMYFUNCTION("""COMPUTED_VALUE"""),"Долбоебизм")</f>
        <v>Долбоебизм</v>
      </c>
      <c r="N1607" s="6" t="str">
        <f>IFERROR(__xludf.DUMMYFUNCTION("""COMPUTED_VALUE"""),"Дороги, нормальные магазины, чистота, транспорт нормальный, нормальные власти")</f>
        <v>Дороги, нормальные магазины, чистота, транспорт нормальный, нормальные власти</v>
      </c>
      <c r="O1607" s="6" t="str">
        <f>IFERROR(__xludf.DUMMYFUNCTION("""COMPUTED_VALUE"""),"Построить третий мост")</f>
        <v>Построить третий мост</v>
      </c>
      <c r="P1607" s="6" t="str">
        <f>IFERROR(__xludf.DUMMYFUNCTION("""COMPUTED_VALUE"""),"Инстаграм, телеграмм")</f>
        <v>Инстаграм, телеграмм</v>
      </c>
      <c r="Q1607" s="6" t="str">
        <f>IFERROR(__xludf.DUMMYFUNCTION("""COMPUTED_VALUE"""),"криминальные новости (происшествия/преступления), интервью с экспертами на разные темы (напишите в разделе Другое свои предложения)")</f>
        <v>криминальные новости (происшествия/преступления), интервью с экспертами на разные темы (напишите в разделе Другое свои предложения)</v>
      </c>
      <c r="R1607" s="6" t="str">
        <f>IFERROR(__xludf.DUMMYFUNCTION("""COMPUTED_VALUE"""),"Нет таких")</f>
        <v>Нет таких</v>
      </c>
      <c r="S1607" s="6" t="str">
        <f>IFERROR(__xludf.DUMMYFUNCTION("""COMPUTED_VALUE"""),"Через социальные сети (Какие? Укажите в графе другое), Инстаграмм")</f>
        <v>Через социальные сети (Какие? Укажите в графе другое), Инстаграмм</v>
      </c>
      <c r="T1607" s="6" t="str">
        <f>IFERROR(__xludf.DUMMYFUNCTION("""COMPUTED_VALUE"""),"Зимняя вишня, коррупция")</f>
        <v>Зимняя вишня, коррупция</v>
      </c>
      <c r="U1607" s="6" t="str">
        <f>IFERROR(__xludf.DUMMYFUNCTION("""COMPUTED_VALUE"""),"Весенняя")</f>
        <v>Весенняя</v>
      </c>
      <c r="V1607" s="6" t="str">
        <f>IFERROR(__xludf.DUMMYFUNCTION("""COMPUTED_VALUE"""),"Ничего")</f>
        <v>Ничего</v>
      </c>
      <c r="W1607" s="6" t="str">
        <f>IFERROR(__xludf.DUMMYFUNCTION("""COMPUTED_VALUE"""),"Злые, малообразованные, с ватой вместо мозгов")</f>
        <v>Злые, малообразованные, с ватой вместо мозгов</v>
      </c>
      <c r="X1607" s="6" t="str">
        <f>IFERROR(__xludf.DUMMYFUNCTION("""COMPUTED_VALUE"""),"Улица Ногинская")</f>
        <v>Улица Ногинская</v>
      </c>
      <c r="Y1607" s="6" t="str">
        <f>IFERROR(__xludf.DUMMYFUNCTION("""COMPUTED_VALUE"""),"Пожар в Зимней вишне")</f>
        <v>Пожар в Зимней вишне</v>
      </c>
      <c r="Z1607" s="6" t="str">
        <f>IFERROR(__xludf.DUMMYFUNCTION("""COMPUTED_VALUE"""),"Таких нет")</f>
        <v>Таких нет</v>
      </c>
      <c r="AA1607" s="6" t="str">
        <f>IFERROR(__xludf.DUMMYFUNCTION("""COMPUTED_VALUE"""),"Коррупция, реакция властей на мирные митинги")</f>
        <v>Коррупция, реакция властей на мирные митинги</v>
      </c>
      <c r="AB1607" s="6" t="str">
        <f>IFERROR(__xludf.DUMMYFUNCTION("""COMPUTED_VALUE"""),"Оппозиции")</f>
        <v>Оппозиции</v>
      </c>
      <c r="AC1607" s="6" t="str">
        <f>IFERROR(__xludf.DUMMYFUNCTION("""COMPUTED_VALUE"""),"Мне не надо")</f>
        <v>Мне не надо</v>
      </c>
      <c r="AD160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607" s="6" t="str">
        <f>IFERROR(__xludf.DUMMYFUNCTION("""COMPUTED_VALUE"""),"Мужской")</f>
        <v>Мужской</v>
      </c>
      <c r="AF1607" s="6" t="str">
        <f>IFERROR(__xludf.DUMMYFUNCTION("""COMPUTED_VALUE"""),"45-55")</f>
        <v>45-55</v>
      </c>
      <c r="AG1607" s="6"/>
      <c r="AH1607" s="6"/>
      <c r="AI1607" s="6"/>
      <c r="AJ1607" s="6"/>
      <c r="AK1607" s="6"/>
      <c r="AL1607" s="6"/>
      <c r="AM1607" s="6"/>
    </row>
    <row r="1608">
      <c r="A1608" s="6">
        <v>1607.0</v>
      </c>
      <c r="B1608" s="6" t="str">
        <f>IFERROR(__xludf.DUMMYFUNCTION("""COMPUTED_VALUE"""),"Преподаватель")</f>
        <v>Преподаватель</v>
      </c>
      <c r="C1608" s="6" t="str">
        <f>IFERROR(__xludf.DUMMYFUNCTION("""COMPUTED_VALUE"""),"Рукоделие")</f>
        <v>Рукоделие</v>
      </c>
      <c r="D1608" s="6" t="str">
        <f>IFERROR(__xludf.DUMMYFUNCTION("""COMPUTED_VALUE"""),"Кировский. Так и называю")</f>
        <v>Кировский. Так и называю</v>
      </c>
      <c r="E1608" s="6" t="str">
        <f>IFERROR(__xludf.DUMMYFUNCTION("""COMPUTED_VALUE"""),"Набережная и Берёзовая роща")</f>
        <v>Набережная и Берёзовая роща</v>
      </c>
      <c r="F1608" s="6" t="str">
        <f>IFERROR(__xludf.DUMMYFUNCTION("""COMPUTED_VALUE"""),"Переехал сюда из другого места (откуда? укажите в графе другое), Переехали из Казахстана")</f>
        <v>Переехал сюда из другого места (откуда? укажите в графе другое), Переехали из Казахстана</v>
      </c>
      <c r="G1608" s="6" t="str">
        <f>IFERROR(__xludf.DUMMYFUNCTION("""COMPUTED_VALUE"""),"На набережную района, аллею вдоль улицы 40 лет Октября(любимые места!) ")</f>
        <v>На набережную района, аллею вдоль улицы 40 лет Октября(любимые места!) </v>
      </c>
      <c r="H1608" s="6" t="str">
        <f>IFERROR(__xludf.DUMMYFUNCTION("""COMPUTED_VALUE"""),"Чисто, зелено, комфортно, уютно, красиво")</f>
        <v>Чисто, зелено, комфортно, уютно, красиво</v>
      </c>
      <c r="I1608" s="6" t="str">
        <f>IFERROR(__xludf.DUMMYFUNCTION("""COMPUTED_VALUE"""),"Панин")</f>
        <v>Панин</v>
      </c>
      <c r="J1608" s="6" t="str">
        <f>IFERROR(__xludf.DUMMYFUNCTION("""COMPUTED_VALUE"""),"Тулеев")</f>
        <v>Тулеев</v>
      </c>
      <c r="K1608" s="6" t="str">
        <f>IFERROR(__xludf.DUMMYFUNCTION("""COMPUTED_VALUE"""),"Обе Набережные, фонтан возле драмтеатра, памятников в центре много, поэтому любые, которые бы по пути попались. Очень нравится композиция танца после победы(не знаю, как правильно называется). В городе много на самом деле достойных композиций! ")</f>
        <v>Обе Набережные, фонтан возле драмтеатра, памятников в центре много, поэтому любые, которые бы по пути попались. Очень нравится композиция танца после победы(не знаю, как правильно называется). В городе много на самом деле достойных композиций! </v>
      </c>
      <c r="L1608" s="6" t="str">
        <f>IFERROR(__xludf.DUMMYFUNCTION("""COMPUTED_VALUE"""),"Затрудняюсь... ")</f>
        <v>Затрудняюсь... </v>
      </c>
      <c r="M1608" s="6" t="str">
        <f>IFERROR(__xludf.DUMMYFUNCTION("""COMPUTED_VALUE"""),"""Кабинка"" вместо шкафчика, дурацкое слово ""мультифора"" вместо ""файл"" (но это во многих российских городах), ""еслив"" вместо ""если""")</f>
        <v>"Кабинка" вместо шкафчика, дурацкое слово "мультифора" вместо "файл" (но это во многих российских городах), "еслив" вместо "если"</v>
      </c>
      <c r="N1608" s="6" t="str">
        <f>IFERROR(__xludf.DUMMYFUNCTION("""COMPUTED_VALUE"""),"Огромное количество зелени и дерьев;чистые и ухоженные газоны и тротуары; чистые дворы и наличие качественных детских площадок; развитый общественный транспорт; чистый воздух")</f>
        <v>Огромное количество зелени и дерьев;чистые и ухоженные газоны и тротуары; чистые дворы и наличие качественных детских площадок; развитый общественный транспорт; чистый воздух</v>
      </c>
      <c r="O1608" s="6" t="str">
        <f>IFERROR(__xludf.DUMMYFUNCTION("""COMPUTED_VALUE"""),"Отношение к трамваям. Они для многих основной транспорт, а находятся в жутком состоянии")</f>
        <v>Отношение к трамваям. Они для многих основной транспорт, а находятся в жутком состоянии</v>
      </c>
      <c r="P1608" s="6" t="str">
        <f>IFERROR(__xludf.DUMMYFUNCTION("""COMPUTED_VALUE"""),"В ВК подисана на городские сообщества, по теленовостям иногда")</f>
        <v>В ВК подисана на городские сообщества, по теленовостям иногда</v>
      </c>
      <c r="Q1608" s="6" t="str">
        <f>IFERROR(__xludf.DUMMYFUNCTION("""COMPUTED_VALUE"""),"Достижения(реальные!) города и региона, развитие его")</f>
        <v>Достижения(реальные!) города и региона, развитие его</v>
      </c>
      <c r="R1608" s="6" t="str">
        <f>IFERROR(__xludf.DUMMYFUNCTION("""COMPUTED_VALUE"""),"День Победы")</f>
        <v>День Победы</v>
      </c>
      <c r="S1608" s="6" t="str">
        <f>IFERROR(__xludf.DUMMYFUNCTION("""COMPUTED_VALUE"""),"Нет, не приходилось")</f>
        <v>Нет, не приходилось</v>
      </c>
      <c r="T1608" s="6" t="str">
        <f>IFERROR(__xludf.DUMMYFUNCTION("""COMPUTED_VALUE"""),"Знаменит как угольная столица, конечно. Уникального не назову, но вот памятник ""Сердце шахтера"", бор, надпись "" КУЗБАСС""-это визитка города, я думаю")</f>
        <v>Знаменит как угольная столица, конечно. Уникального не назову, но вот памятник "Сердце шахтера", бор, надпись " КУЗБАСС"-это визитка города, я думаю</v>
      </c>
      <c r="U1608" s="6" t="str">
        <f>IFERROR(__xludf.DUMMYFUNCTION("""COMPUTED_VALUE"""),"Драмтеатр")</f>
        <v>Драмтеатр</v>
      </c>
      <c r="V1608" s="6" t="str">
        <f>IFERROR(__xludf.DUMMYFUNCTION("""COMPUTED_VALUE"""),"Трудно сказатт")</f>
        <v>Трудно сказатт</v>
      </c>
      <c r="W1608" s="6" t="str">
        <f>IFERROR(__xludf.DUMMYFUNCTION("""COMPUTED_VALUE"""),"Как переехавший человек говорю:""ХОРОШИЕ! "" Нормальные, отзывчивые люди. Не идеальные, но НОРМАЛЬНЫЕ! ")</f>
        <v>Как переехавший человек говорю:"ХОРОШИЕ! " Нормальные, отзывчивые люди. Не идеальные, но НОРМАЛЬНЫЕ! </v>
      </c>
      <c r="X1608" s="6" t="str">
        <f>IFERROR(__xludf.DUMMYFUNCTION("""COMPUTED_VALUE"""),"Набережная и там уже куда глаза посмотрят. Везде интересно")</f>
        <v>Набережная и там уже куда глаза посмотрят. Везде интересно</v>
      </c>
      <c r="Y1608" s="6" t="str">
        <f>IFERROR(__xludf.DUMMYFUNCTION("""COMPUTED_VALUE"""),"Трудно сказать")</f>
        <v>Трудно сказать</v>
      </c>
      <c r="Z1608" s="6" t="str">
        <f>IFERROR(__xludf.DUMMYFUNCTION("""COMPUTED_VALUE"""),"Ремонт набережной Кировского и Берёзовой рощи")</f>
        <v>Ремонт набережной Кировского и Берёзовой рощи</v>
      </c>
      <c r="AA1608" s="6" t="str">
        <f>IFERROR(__xludf.DUMMYFUNCTION("""COMPUTED_VALUE"""),"*Зимняя вишня"" безусловно")</f>
        <v>*Зимняя вишня" безусловно</v>
      </c>
      <c r="AB1608" s="6" t="str">
        <f>IFERROR(__xludf.DUMMYFUNCTION("""COMPUTED_VALUE"""),"Кинологических клубов достойных")</f>
        <v>Кинологических клубов достойных</v>
      </c>
      <c r="AC1608" s="6" t="str">
        <f>IFERROR(__xludf.DUMMYFUNCTION("""COMPUTED_VALUE"""),"Мне и так интересно")</f>
        <v>Мне и так интересно</v>
      </c>
      <c r="AD1608" s="6" t="str">
        <f>IFERROR(__xludf.DUMMYFUNCTION("""COMPUTED_VALUE"""),"Профессионала. Обучать, проводить занятия, мастер-классы, лекции, тренинги, оказать консультацию (укажите тему в поле ""Другое""), Образовательная деятельность")</f>
        <v>Профессионала. Обучать, проводить занятия, мастер-классы, лекции, тренинги, оказать консультацию (укажите тему в поле "Другое"), Образовательная деятельность</v>
      </c>
      <c r="AE1608" s="6" t="str">
        <f>IFERROR(__xludf.DUMMYFUNCTION("""COMPUTED_VALUE"""),"Женский")</f>
        <v>Женский</v>
      </c>
      <c r="AF1608" s="6" t="str">
        <f>IFERROR(__xludf.DUMMYFUNCTION("""COMPUTED_VALUE"""),"30-44")</f>
        <v>30-44</v>
      </c>
      <c r="AG1608" s="6"/>
      <c r="AH1608" s="6"/>
      <c r="AI1608" s="6"/>
      <c r="AJ1608" s="6"/>
      <c r="AK1608" s="6"/>
      <c r="AL1608" s="6"/>
      <c r="AM1608" s="6"/>
    </row>
    <row r="1609">
      <c r="A1609" s="6">
        <v>1608.0</v>
      </c>
      <c r="B1609" s="6" t="str">
        <f>IFERROR(__xludf.DUMMYFUNCTION("""COMPUTED_VALUE"""),"Психолог")</f>
        <v>Психолог</v>
      </c>
      <c r="C1609" s="6" t="str">
        <f>IFERROR(__xludf.DUMMYFUNCTION("""COMPUTED_VALUE"""),"Спорт")</f>
        <v>Спорт</v>
      </c>
      <c r="D1609" s="6" t="str">
        <f>IFERROR(__xludf.DUMMYFUNCTION("""COMPUTED_VALUE"""),"Шалготарьян")</f>
        <v>Шалготарьян</v>
      </c>
      <c r="E1609" s="6" t="str">
        <f>IFERROR(__xludf.DUMMYFUNCTION("""COMPUTED_VALUE"""),"Парк Матери, бульвар Строителей")</f>
        <v>Парк Матери, бульвар Строителей</v>
      </c>
      <c r="F160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609" s="6" t="str">
        <f>IFERROR(__xludf.DUMMYFUNCTION("""COMPUTED_VALUE"""),"Рудничный Бор")</f>
        <v>Рудничный Бор</v>
      </c>
      <c r="H1609" s="6" t="str">
        <f>IFERROR(__xludf.DUMMYFUNCTION("""COMPUTED_VALUE"""),"Плохая экология, неухоженность, бедность, не куда пойти с ребенком, добрые люди")</f>
        <v>Плохая экология, неухоженность, бедность, не куда пойти с ребенком, добрые люди</v>
      </c>
      <c r="I1609" s="6" t="str">
        <f>IFERROR(__xludf.DUMMYFUNCTION("""COMPUTED_VALUE"""),"Выдающихся в чем?")</f>
        <v>Выдающихся в чем?</v>
      </c>
      <c r="J1609" s="6" t="str">
        <f>IFERROR(__xludf.DUMMYFUNCTION("""COMPUTED_VALUE"""),"Жители, которые в нем живут, работают, надеются на лучшее.")</f>
        <v>Жители, которые в нем живут, работают, надеются на лучшее.</v>
      </c>
      <c r="K1609" s="6" t="str">
        <f>IFERROR(__xludf.DUMMYFUNCTION("""COMPUTED_VALUE"""),"Рудничный Бор, Томская писаница")</f>
        <v>Рудничный Бор, Томская писаница</v>
      </c>
      <c r="L1609" s="6" t="str">
        <f>IFERROR(__xludf.DUMMYFUNCTION("""COMPUTED_VALUE"""),"Примета: прежде чем пойти погулять в центре, посмотри куда ветер дует...")</f>
        <v>Примета: прежде чем пойти погулять в центре, посмотри куда ветер дует...</v>
      </c>
      <c r="M1609" s="6" t="str">
        <f>IFERROR(__xludf.DUMMYFUNCTION("""COMPUTED_VALUE"""),"Нет")</f>
        <v>Нет</v>
      </c>
      <c r="N1609" s="6" t="str">
        <f>IFERROR(__xludf.DUMMYFUNCTION("""COMPUTED_VALUE"""),"Небольшой город.")</f>
        <v>Небольшой город.</v>
      </c>
      <c r="O1609" s="6" t="str">
        <f>IFERROR(__xludf.DUMMYFUNCTION("""COMPUTED_VALUE"""),"Экологию. Новые фильтр системы на заводы.")</f>
        <v>Экологию. Новые фильтр системы на заводы.</v>
      </c>
      <c r="P1609" s="6" t="str">
        <f>IFERROR(__xludf.DUMMYFUNCTION("""COMPUTED_VALUE"""),"Инстаграм, Афиша Кемерово")</f>
        <v>Инстаграм, Афиша Кемерово</v>
      </c>
      <c r="Q1609" s="6" t="str">
        <f>IFERROR(__xludf.DUMMYFUNCTION("""COMPUTED_VALUE"""),"куда пойти в свободное время, интервью с местными предпринимателями, бизнес-новости (средний чек/рекламные акции/запуск новых предприятий)")</f>
        <v>куда пойти в свободное время, интервью с местными предпринимателями, бизнес-новости (средний чек/рекламные акции/запуск новых предприятий)</v>
      </c>
      <c r="R1609" s="6" t="str">
        <f>IFERROR(__xludf.DUMMYFUNCTION("""COMPUTED_VALUE"""),"День Победы, Новый год, День детей.")</f>
        <v>День Победы, Новый год, День детей.</v>
      </c>
      <c r="S1609" s="6" t="str">
        <f>IFERROR(__xludf.DUMMYFUNCTION("""COMPUTED_VALUE"""),"Через социальные сети (Какие? Укажите в графе другое), ВК, ИГ, ФБ")</f>
        <v>Через социальные сети (Какие? Укажите в графе другое), ВК, ИГ, ФБ</v>
      </c>
      <c r="T1609" s="6" t="str">
        <f>IFERROR(__xludf.DUMMYFUNCTION("""COMPUTED_VALUE"""),"Зимняя вишня, черный снег, человек из Кемерова")</f>
        <v>Зимняя вишня, черный снег, человек из Кемерова</v>
      </c>
      <c r="U1609" s="6" t="str">
        <f>IFERROR(__xludf.DUMMYFUNCTION("""COMPUTED_VALUE"""),"Центральный район")</f>
        <v>Центральный район</v>
      </c>
      <c r="V1609" s="6" t="str">
        <f>IFERROR(__xludf.DUMMYFUNCTION("""COMPUTED_VALUE"""),"Жили в этом городе.")</f>
        <v>Жили в этом городе.</v>
      </c>
      <c r="W1609" s="6" t="str">
        <f>IFERROR(__xludf.DUMMYFUNCTION("""COMPUTED_VALUE"""),"Люди. Добрые. Наши. Отдельная категория - поросята. Большая часть в ней - собачники.")</f>
        <v>Люди. Добрые. Наши. Отдельная категория - поросята. Большая часть в ней - собачники.</v>
      </c>
      <c r="X1609" s="6" t="str">
        <f>IFERROR(__xludf.DUMMYFUNCTION("""COMPUTED_VALUE"""),"Пр.Срветский")</f>
        <v>Пр.Срветский</v>
      </c>
      <c r="Y1609" s="6" t="str">
        <f>IFERROR(__xludf.DUMMYFUNCTION("""COMPUTED_VALUE"""),"Забастовка шахтеров, Зимняя вишня.")</f>
        <v>Забастовка шахтеров, Зимняя вишня.</v>
      </c>
      <c r="Z1609" s="6" t="str">
        <f>IFERROR(__xludf.DUMMYFUNCTION("""COMPUTED_VALUE"""),"Нет")</f>
        <v>Нет</v>
      </c>
      <c r="AA1609" s="6" t="str">
        <f>IFERROR(__xludf.DUMMYFUNCTION("""COMPUTED_VALUE"""),"Попытки реконструировать Бор")</f>
        <v>Попытки реконструировать Бор</v>
      </c>
      <c r="AB1609" s="6" t="str">
        <f>IFERROR(__xludf.DUMMYFUNCTION("""COMPUTED_VALUE"""),"Независимые наблюдатели за экологией. Народные советы.")</f>
        <v>Независимые наблюдатели за экологией. Народные советы.</v>
      </c>
      <c r="AC1609" s="6" t="str">
        <f>IFERROR(__xludf.DUMMYFUNCTION("""COMPUTED_VALUE"""),"Навести в городе порядок, благодаря которому жители начнут чувствовать себя людьми: уличные туалеты (в зимнее время должны быть открыты к свободному доступу, с указателями, туалеты во всех городских организациях. Штрафы собачникам, не убирающим за своими "&amp;"собаками. Детские праздники (карнавалы, сказочные парады и т.д.)")</f>
        <v>Навести в городе порядок, благодаря которому жители начнут чувствовать себя людьми: уличные туалеты (в зимнее время должны быть открыты к свободному доступу, с указателями, туалеты во всех городских организациях. Штрафы собачникам, не убирающим за своими собаками. Детские праздники (карнавалы, сказочные парады и т.д.)</v>
      </c>
      <c r="AD1609"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609" s="6" t="str">
        <f>IFERROR(__xludf.DUMMYFUNCTION("""COMPUTED_VALUE"""),"Женский")</f>
        <v>Женский</v>
      </c>
      <c r="AF1609" s="6" t="str">
        <f>IFERROR(__xludf.DUMMYFUNCTION("""COMPUTED_VALUE"""),"45-55")</f>
        <v>45-55</v>
      </c>
      <c r="AG1609" s="6"/>
      <c r="AH1609" s="6"/>
      <c r="AI1609" s="6"/>
      <c r="AJ1609" s="6"/>
      <c r="AK1609" s="6"/>
      <c r="AL1609" s="6"/>
      <c r="AM1609" s="6"/>
    </row>
    <row r="1610">
      <c r="A1610" s="6">
        <v>1609.0</v>
      </c>
      <c r="B1610" s="6" t="str">
        <f>IFERROR(__xludf.DUMMYFUNCTION("""COMPUTED_VALUE"""),"Работаю бухгалтером")</f>
        <v>Работаю бухгалтером</v>
      </c>
      <c r="C1610" s="6" t="str">
        <f>IFERROR(__xludf.DUMMYFUNCTION("""COMPUTED_VALUE"""),"Люблю шить")</f>
        <v>Люблю шить</v>
      </c>
      <c r="D1610" s="6" t="str">
        <f>IFERROR(__xludf.DUMMYFUNCTION("""COMPUTED_VALUE"""),"Южный")</f>
        <v>Южный</v>
      </c>
      <c r="E1610" s="6" t="str">
        <f>IFERROR(__xludf.DUMMYFUNCTION("""COMPUTED_VALUE"""),"Церковь и сквер рядом, улица Патриотов с прогулочной аллеей. Памятник Гагарину. ")</f>
        <v>Церковь и сквер рядом, улица Патриотов с прогулочной аллеей. Памятник Гагарину. </v>
      </c>
      <c r="F1610" s="6" t="str">
        <f>IFERROR(__xludf.DUMMYFUNCTION("""COMPUTED_VALUE"""),"Переехал сюда из другого места (откуда? укажите в графе другое), 20 лет живу в Кемерово, родилась в г.Березовский ")</f>
        <v>Переехал сюда из другого места (откуда? укажите в графе другое), 20 лет живу в Кемерово, родилась в г.Березовский </v>
      </c>
      <c r="G1610" s="6" t="str">
        <f>IFERROR(__xludf.DUMMYFUNCTION("""COMPUTED_VALUE"""),"Кинотеатр, набережная в центре города, горсад")</f>
        <v>Кинотеатр, набережная в центре города, горсад</v>
      </c>
      <c r="H1610" s="6" t="str">
        <f>IFERROR(__xludf.DUMMYFUNCTION("""COMPUTED_VALUE"""),"Родина, семья, чистота, развитие, туман")</f>
        <v>Родина, семья, чистота, развитие, туман</v>
      </c>
      <c r="I1610" s="6" t="str">
        <f>IFERROR(__xludf.DUMMYFUNCTION("""COMPUTED_VALUE"""),"Леонов, Волошина")</f>
        <v>Леонов, Волошина</v>
      </c>
      <c r="J1610" s="6" t="str">
        <f>IFERROR(__xludf.DUMMYFUNCTION("""COMPUTED_VALUE"""),"Я не знаю таких, наверно те, кто помогает людям - врачи, работники медицины ")</f>
        <v>Я не знаю таких, наверно те, кто помогает людям - врачи, работники медицины </v>
      </c>
      <c r="K1610" s="6" t="str">
        <f>IFERROR(__xludf.DUMMYFUNCTION("""COMPUTED_VALUE"""),"У нас красивая природа, река, озера. С Южного открывается красивый вид на весь город. На Радуге есть бор за новостройками, интересно гостям посмотреть Лесную Поляну и новые построенные объекты по всему городу - сами иногда любим прокатится и полюбоваться "&amp;"на новые дороги, новые жилые районы.")</f>
        <v>У нас красивая природа, река, озера. С Южного открывается красивый вид на весь город. На Радуге есть бор за новостройками, интересно гостям посмотреть Лесную Поляну и новые построенные объекты по всему городу - сами иногда любим прокатится и полюбоваться на новые дороги, новые жилые районы.</v>
      </c>
      <c r="L1610" s="6" t="str">
        <f>IFERROR(__xludf.DUMMYFUNCTION("""COMPUTED_VALUE"""),"Такая примета, что в городе часто дождь и непогода. Как ни едешь по трассе домой, то всю дорогу может быть солнце, а подъезжаем дождь и туман. Мы уже не удивляемся - Кемерово, приехали ")</f>
        <v>Такая примета, что в городе часто дождь и непогода. Как ни едешь по трассе домой, то всю дорогу может быть солнце, а подъезжаем дождь и туман. Мы уже не удивляемся - Кемерово, приехали </v>
      </c>
      <c r="M1610" s="6" t="str">
        <f>IFERROR(__xludf.DUMMYFUNCTION("""COMPUTED_VALUE"""),"Бесит фраза Южный, никому не нужный. А мы свой район очень любим, только очень жалко, что его очень плохо развивают. Во всех районах есть и ТЦ с кинотеатрами, и парки, и места отдыха, дороги.")</f>
        <v>Бесит фраза Южный, никому не нужный. А мы свой район очень любим, только очень жалко, что его очень плохо развивают. Во всех районах есть и ТЦ с кинотеатрами, и парки, и места отдыха, дороги.</v>
      </c>
      <c r="N1610" s="6" t="str">
        <f>IFERROR(__xludf.DUMMYFUNCTION("""COMPUTED_VALUE"""),"Наличие хороших дорог (есть места, где пора дорогу построить), наличие мест отдыха, наличие магазинов и торговых центров, удобство обращения за медицинской помощью, развитый и безопасный транспорт ")</f>
        <v>Наличие хороших дорог (есть места, где пора дорогу построить), наличие мест отдыха, наличие магазинов и торговых центров, удобство обращения за медицинской помощью, развитый и безопасный транспорт </v>
      </c>
      <c r="O1610" s="6" t="str">
        <f>IFERROR(__xludf.DUMMYFUNCTION("""COMPUTED_VALUE"""),"Улучшить экологию!!! ")</f>
        <v>Улучшить экологию!!! </v>
      </c>
      <c r="P1610" s="6" t="str">
        <f>IFERROR(__xludf.DUMMYFUNCTION("""COMPUTED_VALUE"""),"Инстаграмм, новостные каналы города")</f>
        <v>Инстаграмм, новостные каналы города</v>
      </c>
      <c r="Q1610"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610" s="6" t="str">
        <f>IFERROR(__xludf.DUMMYFUNCTION("""COMPUTED_VALUE"""),"Конечно День Шахтёра. Но самый любимый праздник все-таки Новый год.")</f>
        <v>Конечно День Шахтёра. Но самый любимый праздник все-таки Новый год.</v>
      </c>
      <c r="S1610" s="6" t="str">
        <f>IFERROR(__xludf.DUMMYFUNCTION("""COMPUTED_VALUE"""),"Нет, не приходилось")</f>
        <v>Нет, не приходилось</v>
      </c>
      <c r="T1610" s="6" t="str">
        <f>IFERROR(__xludf.DUMMYFUNCTION("""COMPUTED_VALUE"""),"Мы знамениты своим углем. У нас красивая природа и душевные люди.")</f>
        <v>Мы знамениты своим углем. У нас красивая природа и душевные люди.</v>
      </c>
      <c r="U1610" s="6" t="str">
        <f>IFERROR(__xludf.DUMMYFUNCTION("""COMPUTED_VALUE"""),"Набережная в центре, бульвар Строителей, Парк Комсомольский, Вокзал, площадь Советов")</f>
        <v>Набережная в центре, бульвар Строителей, Парк Комсомольский, Вокзал, площадь Советов</v>
      </c>
      <c r="V1610" s="6" t="str">
        <f>IFERROR(__xludf.DUMMYFUNCTION("""COMPUTED_VALUE"""),"Строили объекты культуры, спорта, жилые районы, широкие дороги, мосты.")</f>
        <v>Строили объекты культуры, спорта, жилые районы, широкие дороги, мосты.</v>
      </c>
      <c r="W1610" s="6" t="str">
        <f>IFERROR(__xludf.DUMMYFUNCTION("""COMPUTED_VALUE"""),"Разные конечно. Но мне все-таки видятся добрыми людьми. В Кемерово не страшно идти по улице поздно вечером. В трудный час люди могут сплотиться, поддержать друг друга. ")</f>
        <v>Разные конечно. Но мне все-таки видятся добрыми людьми. В Кемерово не страшно идти по улице поздно вечером. В трудный час люди могут сплотиться, поддержать друг друга. </v>
      </c>
      <c r="X1610" s="6" t="str">
        <f>IFERROR(__xludf.DUMMYFUNCTION("""COMPUTED_VALUE"""),"Думаю, что скоро будет новая Московская площадь. А пока самое первое это проспект Советский и набережная реки Томь.")</f>
        <v>Думаю, что скоро будет новая Московская площадь. А пока самое первое это проспект Советский и набережная реки Томь.</v>
      </c>
      <c r="Y1610" s="6" t="str">
        <f>IFERROR(__xludf.DUMMYFUNCTION("""COMPUTED_VALUE"""),"Помню Чемпионат Мира по хоккею с мячем")</f>
        <v>Помню Чемпионат Мира по хоккею с мячем</v>
      </c>
      <c r="Z1610" s="6" t="str">
        <f>IFERROR(__xludf.DUMMYFUNCTION("""COMPUTED_VALUE"""),"Строительство новых объектов очень радует. Кемерово преображается")</f>
        <v>Строительство новых объектов очень радует. Кемерово преображается</v>
      </c>
      <c r="AA1610" s="6" t="str">
        <f>IFERROR(__xludf.DUMMYFUNCTION("""COMPUTED_VALUE"""),"Зимняя вишня")</f>
        <v>Зимняя вишня</v>
      </c>
      <c r="AB1610" s="6" t="str">
        <f>IFERROR(__xludf.DUMMYFUNCTION("""COMPUTED_VALUE"""),"Бассейнов")</f>
        <v>Бассейнов</v>
      </c>
      <c r="AC1610" s="6" t="str">
        <f>IFERROR(__xludf.DUMMYFUNCTION("""COMPUTED_VALUE"""),"Очень мало артистов приезжают в Кемерово")</f>
        <v>Очень мало артистов приезжают в Кемерово</v>
      </c>
      <c r="AD1610" s="6" t="str">
        <f>IFERROR(__xludf.DUMMYFUNCTION("""COMPUTED_VALUE"""),"Не готов принимать личное участие (укажите, пожалуйста, причину в поле «Другое»), Потому что нет времени из-за работы и семейных дел")</f>
        <v>Не готов принимать личное участие (укажите, пожалуйста, причину в поле «Другое»), Потому что нет времени из-за работы и семейных дел</v>
      </c>
      <c r="AE1610" s="6" t="str">
        <f>IFERROR(__xludf.DUMMYFUNCTION("""COMPUTED_VALUE"""),"Женский")</f>
        <v>Женский</v>
      </c>
      <c r="AF1610" s="6" t="str">
        <f>IFERROR(__xludf.DUMMYFUNCTION("""COMPUTED_VALUE"""),"30-44")</f>
        <v>30-44</v>
      </c>
      <c r="AG1610" s="6"/>
      <c r="AH1610" s="6"/>
      <c r="AI1610" s="6"/>
      <c r="AJ1610" s="6"/>
      <c r="AK1610" s="6"/>
      <c r="AL1610" s="6"/>
      <c r="AM1610" s="6"/>
    </row>
    <row r="1611">
      <c r="A1611" s="6">
        <v>1610.0</v>
      </c>
      <c r="B1611" s="6" t="str">
        <f>IFERROR(__xludf.DUMMYFUNCTION("""COMPUTED_VALUE"""),"Студент")</f>
        <v>Студент</v>
      </c>
      <c r="C1611" s="6" t="str">
        <f>IFERROR(__xludf.DUMMYFUNCTION("""COMPUTED_VALUE"""),"Рисование")</f>
        <v>Рисование</v>
      </c>
      <c r="D1611" s="6" t="str">
        <f>IFERROR(__xludf.DUMMYFUNCTION("""COMPUTED_VALUE"""),"Ленинский")</f>
        <v>Ленинский</v>
      </c>
      <c r="E1611" s="6" t="str">
        <f>IFERROR(__xludf.DUMMYFUNCTION("""COMPUTED_VALUE"""),"Бульвар")</f>
        <v>Бульвар</v>
      </c>
      <c r="F1611" s="6" t="str">
        <f>IFERROR(__xludf.DUMMYFUNCTION("""COMPUTED_VALUE"""),"Живу здесь с рождения")</f>
        <v>Живу здесь с рождения</v>
      </c>
      <c r="G1611" s="6" t="str">
        <f>IFERROR(__xludf.DUMMYFUNCTION("""COMPUTED_VALUE"""),"Набережная, берег реки возле красного озера")</f>
        <v>Набережная, берег реки возле красного озера</v>
      </c>
      <c r="H1611" s="6" t="str">
        <f>IFERROR(__xludf.DUMMYFUNCTION("""COMPUTED_VALUE"""),"Серый, маленький, развивающийся")</f>
        <v>Серый, маленький, развивающийся</v>
      </c>
      <c r="I1611" s="6" t="str">
        <f>IFERROR(__xludf.DUMMYFUNCTION("""COMPUTED_VALUE"""),"Не знаю")</f>
        <v>Не знаю</v>
      </c>
      <c r="J1611" s="6" t="str">
        <f>IFERROR(__xludf.DUMMYFUNCTION("""COMPUTED_VALUE"""),"Нет таких")</f>
        <v>Нет таких</v>
      </c>
      <c r="K1611" s="6" t="str">
        <f>IFERROR(__xludf.DUMMYFUNCTION("""COMPUTED_VALUE"""),"Вид с горы в сосновом бору")</f>
        <v>Вид с горы в сосновом бору</v>
      </c>
      <c r="L1611" s="6" t="str">
        <f>IFERROR(__xludf.DUMMYFUNCTION("""COMPUTED_VALUE"""),"Хз")</f>
        <v>Хз</v>
      </c>
      <c r="M1611" s="6" t="str">
        <f>IFERROR(__xludf.DUMMYFUNCTION("""COMPUTED_VALUE"""),"Мультифора")</f>
        <v>Мультифора</v>
      </c>
      <c r="N1611" s="6" t="str">
        <f>IFERROR(__xludf.DUMMYFUNCTION("""COMPUTED_VALUE"""),"Все комфортно")</f>
        <v>Все комфортно</v>
      </c>
      <c r="O1611" s="6" t="str">
        <f>IFERROR(__xludf.DUMMYFUNCTION("""COMPUTED_VALUE"""),"Дороги")</f>
        <v>Дороги</v>
      </c>
      <c r="P1611" s="6" t="str">
        <f>IFERROR(__xludf.DUMMYFUNCTION("""COMPUTED_VALUE"""),"Инстаграм группы")</f>
        <v>Инстаграм группы</v>
      </c>
      <c r="Q1611"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611" s="6" t="str">
        <f>IFERROR(__xludf.DUMMYFUNCTION("""COMPUTED_VALUE"""),"Никакие")</f>
        <v>Никакие</v>
      </c>
      <c r="S1611" s="6" t="str">
        <f>IFERROR(__xludf.DUMMYFUNCTION("""COMPUTED_VALUE"""),"Нет, не приходилось")</f>
        <v>Нет, не приходилось</v>
      </c>
      <c r="T1611" s="6" t="str">
        <f>IFERROR(__xludf.DUMMYFUNCTION("""COMPUTED_VALUE"""),"Зимняя вишня")</f>
        <v>Зимняя вишня</v>
      </c>
      <c r="U1611" s="6" t="str">
        <f>IFERROR(__xludf.DUMMYFUNCTION("""COMPUTED_VALUE"""),"Ну центр")</f>
        <v>Ну центр</v>
      </c>
      <c r="V1611" s="6" t="str">
        <f>IFERROR(__xludf.DUMMYFUNCTION("""COMPUTED_VALUE"""),"Ничего")</f>
        <v>Ничего</v>
      </c>
      <c r="W1611" s="6" t="str">
        <f>IFERROR(__xludf.DUMMYFUNCTION("""COMPUTED_VALUE"""),"Плохие")</f>
        <v>Плохие</v>
      </c>
      <c r="X1611" s="6" t="str">
        <f>IFERROR(__xludf.DUMMYFUNCTION("""COMPUTED_VALUE"""),"По центру")</f>
        <v>По центру</v>
      </c>
      <c r="Y1611" s="6" t="str">
        <f>IFERROR(__xludf.DUMMYFUNCTION("""COMPUTED_VALUE"""),"Никакое")</f>
        <v>Никакое</v>
      </c>
      <c r="Z1611" s="6" t="str">
        <f>IFERROR(__xludf.DUMMYFUNCTION("""COMPUTED_VALUE"""),"Процветание ленинского района")</f>
        <v>Процветание ленинского района</v>
      </c>
      <c r="AA1611" s="6" t="str">
        <f>IFERROR(__xludf.DUMMYFUNCTION("""COMPUTED_VALUE"""),"Дырки в дорогах, отсутствие работы")</f>
        <v>Дырки в дорогах, отсутствие работы</v>
      </c>
      <c r="AB1611" s="6" t="str">
        <f>IFERROR(__xludf.DUMMYFUNCTION("""COMPUTED_VALUE"""),"Мне они не нужны")</f>
        <v>Мне они не нужны</v>
      </c>
      <c r="AC1611" s="6" t="str">
        <f>IFERROR(__xludf.DUMMYFUNCTION("""COMPUTED_VALUE"""),"хз")</f>
        <v>хз</v>
      </c>
      <c r="AD161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11" s="6" t="str">
        <f>IFERROR(__xludf.DUMMYFUNCTION("""COMPUTED_VALUE"""),"Мужской")</f>
        <v>Мужской</v>
      </c>
      <c r="AF1611" s="6" t="str">
        <f>IFERROR(__xludf.DUMMYFUNCTION("""COMPUTED_VALUE"""),"18-29")</f>
        <v>18-29</v>
      </c>
      <c r="AG1611" s="6"/>
      <c r="AH1611" s="6"/>
      <c r="AI1611" s="6"/>
      <c r="AJ1611" s="6"/>
      <c r="AK1611" s="6"/>
      <c r="AL1611" s="6"/>
      <c r="AM1611" s="6"/>
    </row>
    <row r="1612">
      <c r="A1612" s="6">
        <v>1611.0</v>
      </c>
      <c r="B1612" s="6" t="str">
        <f>IFERROR(__xludf.DUMMYFUNCTION("""COMPUTED_VALUE"""),"Дворник")</f>
        <v>Дворник</v>
      </c>
      <c r="C1612" s="6" t="str">
        <f>IFERROR(__xludf.DUMMYFUNCTION("""COMPUTED_VALUE"""),"Смотрю телик")</f>
        <v>Смотрю телик</v>
      </c>
      <c r="D1612" s="6" t="str">
        <f>IFERROR(__xludf.DUMMYFUNCTION("""COMPUTED_VALUE"""),"Ленинский")</f>
        <v>Ленинский</v>
      </c>
      <c r="E1612" s="6" t="str">
        <f>IFERROR(__xludf.DUMMYFUNCTION("""COMPUTED_VALUE"""),"Бульвар строителей")</f>
        <v>Бульвар строителей</v>
      </c>
      <c r="F1612" s="6" t="str">
        <f>IFERROR(__xludf.DUMMYFUNCTION("""COMPUTED_VALUE"""),"Живу здесь с рождения")</f>
        <v>Живу здесь с рождения</v>
      </c>
      <c r="G1612" s="6" t="str">
        <f>IFERROR(__xludf.DUMMYFUNCTION("""COMPUTED_VALUE"""),"Магазин")</f>
        <v>Магазин</v>
      </c>
      <c r="H1612" s="6" t="str">
        <f>IFERROR(__xludf.DUMMYFUNCTION("""COMPUTED_VALUE"""),"Тц, экология, уголь, химия, наркоманы.")</f>
        <v>Тц, экология, уголь, химия, наркоманы.</v>
      </c>
      <c r="I1612" s="6" t="str">
        <f>IFERROR(__xludf.DUMMYFUNCTION("""COMPUTED_VALUE"""),"Алексей Леонов")</f>
        <v>Алексей Леонов</v>
      </c>
      <c r="J1612" s="6" t="str">
        <f>IFERROR(__xludf.DUMMYFUNCTION("""COMPUTED_VALUE"""),"Не знаю...")</f>
        <v>Не знаю...</v>
      </c>
      <c r="K1612" s="6" t="str">
        <f>IFERROR(__xludf.DUMMYFUNCTION("""COMPUTED_VALUE"""),"Только центр города.")</f>
        <v>Только центр города.</v>
      </c>
      <c r="L1612" s="6" t="str">
        <f>IFERROR(__xludf.DUMMYFUNCTION("""COMPUTED_VALUE"""),"Не знаю ")</f>
        <v>Не знаю </v>
      </c>
      <c r="M1612" s="6" t="str">
        <f>IFERROR(__xludf.DUMMYFUNCTION("""COMPUTED_VALUE"""),"По-кемеровски нет, а по-русски знаю.")</f>
        <v>По-кемеровски нет, а по-русски знаю.</v>
      </c>
      <c r="N1612" s="6" t="str">
        <f>IFERROR(__xludf.DUMMYFUNCTION("""COMPUTED_VALUE"""),"Транспорт, дороги, магазины, больницы ")</f>
        <v>Транспорт, дороги, магазины, больницы </v>
      </c>
      <c r="O1612" s="6" t="str">
        <f>IFERROR(__xludf.DUMMYFUNCTION("""COMPUTED_VALUE"""),"Уровень зп у работодателей, и не на бумаге. ")</f>
        <v>Уровень зп у работодателей, и не на бумаге. </v>
      </c>
      <c r="P1612" s="6" t="str">
        <f>IFERROR(__xludf.DUMMYFUNCTION("""COMPUTED_VALUE"""),"Яндекс")</f>
        <v>Яндекс</v>
      </c>
      <c r="Q1612" s="6" t="str">
        <f>IFERROR(__xludf.DUMMYFUNCTION("""COMPUTED_VALUE"""),"Ничего из предложенного.")</f>
        <v>Ничего из предложенного.</v>
      </c>
      <c r="R1612" s="6" t="str">
        <f>IFERROR(__xludf.DUMMYFUNCTION("""COMPUTED_VALUE"""),"Нет таких.")</f>
        <v>Нет таких.</v>
      </c>
      <c r="S1612" s="6" t="str">
        <f>IFERROR(__xludf.DUMMYFUNCTION("""COMPUTED_VALUE"""),"Нет, не приходилось")</f>
        <v>Нет, не приходилось</v>
      </c>
      <c r="T1612" s="6" t="str">
        <f>IFERROR(__xludf.DUMMYFUNCTION("""COMPUTED_VALUE"""),"Зимняя вишня, плохая экология, уголь.")</f>
        <v>Зимняя вишня, плохая экология, уголь.</v>
      </c>
      <c r="U1612" s="6" t="str">
        <f>IFERROR(__xludf.DUMMYFUNCTION("""COMPUTED_VALUE"""),"Набережная реки Томь.")</f>
        <v>Набережная реки Томь.</v>
      </c>
      <c r="V1612" s="6" t="str">
        <f>IFERROR(__xludf.DUMMYFUNCTION("""COMPUTED_VALUE"""),"Ничего.")</f>
        <v>Ничего.</v>
      </c>
      <c r="W1612" s="6" t="str">
        <f>IFERROR(__xludf.DUMMYFUNCTION("""COMPUTED_VALUE"""),"Равнодушные.")</f>
        <v>Равнодушные.</v>
      </c>
      <c r="X1612" s="6" t="str">
        <f>IFERROR(__xludf.DUMMYFUNCTION("""COMPUTED_VALUE"""),"Театры Кемерово, набережная, красная горка.")</f>
        <v>Театры Кемерово, набережная, красная горка.</v>
      </c>
      <c r="Y1612" s="6" t="str">
        <f>IFERROR(__xludf.DUMMYFUNCTION("""COMPUTED_VALUE"""),"Нет таких")</f>
        <v>Нет таких</v>
      </c>
      <c r="Z1612" s="6" t="str">
        <f>IFERROR(__xludf.DUMMYFUNCTION("""COMPUTED_VALUE"""),"Всё как всегда.")</f>
        <v>Всё как всегда.</v>
      </c>
      <c r="AA1612" s="6" t="str">
        <f>IFERROR(__xludf.DUMMYFUNCTION("""COMPUTED_VALUE"""),"Нет таких")</f>
        <v>Нет таких</v>
      </c>
      <c r="AB1612" s="6" t="str">
        <f>IFERROR(__xludf.DUMMYFUNCTION("""COMPUTED_VALUE"""),"Достаточно всяких")</f>
        <v>Достаточно всяких</v>
      </c>
      <c r="AC1612" s="6" t="str">
        <f>IFERROR(__xludf.DUMMYFUNCTION("""COMPUTED_VALUE"""),"Зарплаты выше, цены ниже и жить станет интереснее.")</f>
        <v>Зарплаты выше, цены ниже и жить станет интереснее.</v>
      </c>
      <c r="AD1612" s="6" t="str">
        <f>IFERROR(__xludf.DUMMYFUNCTION("""COMPUTED_VALUE"""),"Наблюдателя.")</f>
        <v>Наблюдателя.</v>
      </c>
      <c r="AE1612" s="6" t="str">
        <f>IFERROR(__xludf.DUMMYFUNCTION("""COMPUTED_VALUE"""),"Мужской")</f>
        <v>Мужской</v>
      </c>
      <c r="AF1612" s="6" t="str">
        <f>IFERROR(__xludf.DUMMYFUNCTION("""COMPUTED_VALUE"""),"30-44")</f>
        <v>30-44</v>
      </c>
      <c r="AG1612" s="6"/>
      <c r="AH1612" s="6"/>
      <c r="AI1612" s="6"/>
      <c r="AJ1612" s="6"/>
      <c r="AK1612" s="6"/>
      <c r="AL1612" s="6"/>
      <c r="AM1612" s="6"/>
    </row>
    <row r="1613">
      <c r="A1613" s="6">
        <v>1612.0</v>
      </c>
      <c r="B1613" s="6" t="str">
        <f>IFERROR(__xludf.DUMMYFUNCTION("""COMPUTED_VALUE"""),"Учусь в колледже")</f>
        <v>Учусь в колледже</v>
      </c>
      <c r="C1613" s="6" t="str">
        <f>IFERROR(__xludf.DUMMYFUNCTION("""COMPUTED_VALUE"""),"Спорт (пауэрлифтинг, воркаут, бег)")</f>
        <v>Спорт (пауэрлифтинг, воркаут, бег)</v>
      </c>
      <c r="D1613" s="6" t="str">
        <f>IFERROR(__xludf.DUMMYFUNCTION("""COMPUTED_VALUE"""),"Южный - никому не нужный")</f>
        <v>Южный - никому не нужный</v>
      </c>
      <c r="E1613" s="6" t="str">
        <f>IFERROR(__xludf.DUMMYFUNCTION("""COMPUTED_VALUE"""),"Аллея ")</f>
        <v>Аллея </v>
      </c>
      <c r="F1613" s="6" t="str">
        <f>IFERROR(__xludf.DUMMYFUNCTION("""COMPUTED_VALUE"""),"Живу здесь с рождения")</f>
        <v>Живу здесь с рождения</v>
      </c>
      <c r="G1613" s="6" t="str">
        <f>IFERROR(__xludf.DUMMYFUNCTION("""COMPUTED_VALUE"""),"Парк чудес, парк ангелов, ул. Весенняя, ТЦ Я, ТЦ СитиПарк")</f>
        <v>Парк чудес, парк ангелов, ул. Весенняя, ТЦ Я, ТЦ СитиПарк</v>
      </c>
      <c r="H1613" s="6" t="str">
        <f>IFERROR(__xludf.DUMMYFUNCTION("""COMPUTED_VALUE"""),"Уголь, пыль, асфальт, заводы, бараки ")</f>
        <v>Уголь, пыль, асфальт, заводы, бараки </v>
      </c>
      <c r="I1613" s="6" t="str">
        <f>IFERROR(__xludf.DUMMYFUNCTION("""COMPUTED_VALUE"""),"Михайло Волков, Гена Букин, Алексей Леонов")</f>
        <v>Михайло Волков, Гена Букин, Алексей Леонов</v>
      </c>
      <c r="J1613" s="6" t="str">
        <f>IFERROR(__xludf.DUMMYFUNCTION("""COMPUTED_VALUE"""),"Хз")</f>
        <v>Хз</v>
      </c>
      <c r="K1613" s="6" t="str">
        <f>IFERROR(__xludf.DUMMYFUNCTION("""COMPUTED_VALUE"""),"Сосновый бор (гора Кузбасс)")</f>
        <v>Сосновый бор (гора Кузбасс)</v>
      </c>
      <c r="L1613" s="6" t="str">
        <f>IFERROR(__xludf.DUMMYFUNCTION("""COMPUTED_VALUE"""),"-")</f>
        <v>-</v>
      </c>
      <c r="M1613" s="6" t="str">
        <f>IFERROR(__xludf.DUMMYFUNCTION("""COMPUTED_VALUE"""),"-")</f>
        <v>-</v>
      </c>
      <c r="N1613" s="6" t="str">
        <f>IFERROR(__xludf.DUMMYFUNCTION("""COMPUTED_VALUE"""),"Чистота, свежий воздух, много зелени, хорошие дороги, дороги для велосипедистов, места для прогулок и активного отдыха")</f>
        <v>Чистота, свежий воздух, много зелени, хорошие дороги, дороги для велосипедистов, места для прогулок и активного отдыха</v>
      </c>
      <c r="O1613" s="6" t="str">
        <f>IFERROR(__xludf.DUMMYFUNCTION("""COMPUTED_VALUE"""),"Решить проблему экологии")</f>
        <v>Решить проблему экологии</v>
      </c>
      <c r="P1613" s="6" t="str">
        <f>IFERROR(__xludf.DUMMYFUNCTION("""COMPUTED_VALUE"""),"Инстаграм, новости по тв")</f>
        <v>Инстаграм, новости по тв</v>
      </c>
      <c r="Q1613"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v>
      </c>
      <c r="R1613" s="6" t="str">
        <f>IFERROR(__xludf.DUMMYFUNCTION("""COMPUTED_VALUE"""),"День города, 9 мая, новый год, день защиты детей, день студента")</f>
        <v>День города, 9 мая, новый год, день защиты детей, день студента</v>
      </c>
      <c r="S1613" s="6" t="str">
        <f>IFERROR(__xludf.DUMMYFUNCTION("""COMPUTED_VALUE"""),"Нет, не приходилось")</f>
        <v>Нет, не приходилось</v>
      </c>
      <c r="T1613" s="6" t="str">
        <f>IFERROR(__xludf.DUMMYFUNCTION("""COMPUTED_VALUE"""),"Лес (сосновый бор) внутри города")</f>
        <v>Лес (сосновый бор) внутри города</v>
      </c>
      <c r="U1613" s="6" t="str">
        <f>IFERROR(__xludf.DUMMYFUNCTION("""COMPUTED_VALUE"""),"Красная горка, парк ангелов")</f>
        <v>Красная горка, парк ангелов</v>
      </c>
      <c r="V1613" s="6" t="str">
        <f>IFERROR(__xludf.DUMMYFUNCTION("""COMPUTED_VALUE"""),"-")</f>
        <v>-</v>
      </c>
      <c r="W1613" s="6" t="str">
        <f>IFERROR(__xludf.DUMMYFUNCTION("""COMPUTED_VALUE"""),"Доброта, отзывчивость, позитивный настрой")</f>
        <v>Доброта, отзывчивость, позитивный настрой</v>
      </c>
      <c r="X1613" s="6" t="str">
        <f>IFERROR(__xludf.DUMMYFUNCTION("""COMPUTED_VALUE"""),"-")</f>
        <v>-</v>
      </c>
      <c r="Y1613" s="6" t="str">
        <f>IFERROR(__xludf.DUMMYFUNCTION("""COMPUTED_VALUE"""),"-")</f>
        <v>-</v>
      </c>
      <c r="Z1613" s="6" t="str">
        <f>IFERROR(__xludf.DUMMYFUNCTION("""COMPUTED_VALUE"""),"-")</f>
        <v>-</v>
      </c>
      <c r="AA1613" s="6" t="str">
        <f>IFERROR(__xludf.DUMMYFUNCTION("""COMPUTED_VALUE"""),"-")</f>
        <v>-</v>
      </c>
      <c r="AB1613" s="6" t="str">
        <f>IFERROR(__xludf.DUMMYFUNCTION("""COMPUTED_VALUE"""),"-")</f>
        <v>-</v>
      </c>
      <c r="AC1613" s="6" t="str">
        <f>IFERROR(__xludf.DUMMYFUNCTION("""COMPUTED_VALUE"""),"Марафоны, флешмобы, в которых может принять участие каждый желающий")</f>
        <v>Марафоны, флешмобы, в которых может принять участие каждый желающий</v>
      </c>
      <c r="AD1613"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613" s="6" t="str">
        <f>IFERROR(__xludf.DUMMYFUNCTION("""COMPUTED_VALUE"""),"Женский")</f>
        <v>Женский</v>
      </c>
      <c r="AF1613" s="6" t="str">
        <f>IFERROR(__xludf.DUMMYFUNCTION("""COMPUTED_VALUE"""),"18-29")</f>
        <v>18-29</v>
      </c>
      <c r="AG1613" s="6"/>
      <c r="AH1613" s="6"/>
      <c r="AI1613" s="6"/>
      <c r="AJ1613" s="6"/>
      <c r="AK1613" s="6"/>
      <c r="AL1613" s="6"/>
      <c r="AM1613" s="6"/>
    </row>
    <row r="1614">
      <c r="A1614" s="6">
        <v>1613.0</v>
      </c>
      <c r="B1614" s="6" t="str">
        <f>IFERROR(__xludf.DUMMYFUNCTION("""COMPUTED_VALUE"""),"Преподаватель")</f>
        <v>Преподаватель</v>
      </c>
      <c r="C1614" s="6" t="str">
        <f>IFERROR(__xludf.DUMMYFUNCTION("""COMPUTED_VALUE"""),"Чтение, орхидеи")</f>
        <v>Чтение, орхидеи</v>
      </c>
      <c r="D1614" s="6" t="str">
        <f>IFERROR(__xludf.DUMMYFUNCTION("""COMPUTED_VALUE"""),"Рудничный, МЖК")</f>
        <v>Рудничный, МЖК</v>
      </c>
      <c r="E1614" s="6" t="str">
        <f>IFERROR(__xludf.DUMMYFUNCTION("""COMPUTED_VALUE"""),"Бор")</f>
        <v>Бор</v>
      </c>
      <c r="F1614" s="6" t="str">
        <f>IFERROR(__xludf.DUMMYFUNCTION("""COMPUTED_VALUE"""),"Живу здесь с рождения")</f>
        <v>Живу здесь с рождения</v>
      </c>
      <c r="G1614" s="6" t="str">
        <f>IFERROR(__xludf.DUMMYFUNCTION("""COMPUTED_VALUE"""),"Набережная, парк победы, бор")</f>
        <v>Набережная, парк победы, бор</v>
      </c>
      <c r="H1614" s="6" t="str">
        <f>IFERROR(__xludf.DUMMYFUNCTION("""COMPUTED_VALUE"""),"Провинция, грязь, шахты, Томь")</f>
        <v>Провинция, грязь, шахты, Томь</v>
      </c>
      <c r="I1614" s="6" t="str">
        <f>IFERROR(__xludf.DUMMYFUNCTION("""COMPUTED_VALUE"""),"Леонов")</f>
        <v>Леонов</v>
      </c>
      <c r="J1614" s="6" t="str">
        <f>IFERROR(__xludf.DUMMYFUNCTION("""COMPUTED_VALUE"""),"Гришковец")</f>
        <v>Гришковец</v>
      </c>
      <c r="K1614" s="6" t="str">
        <f>IFERROR(__xludf.DUMMYFUNCTION("""COMPUTED_VALUE"""),"Томская писаница")</f>
        <v>Томская писаница</v>
      </c>
      <c r="L1614" s="6" t="str">
        <f>IFERROR(__xludf.DUMMYFUNCTION("""COMPUTED_VALUE"""),"Не знаю")</f>
        <v>Не знаю</v>
      </c>
      <c r="M1614" s="6" t="str">
        <f>IFERROR(__xludf.DUMMYFUNCTION("""COMPUTED_VALUE"""),"Мультифора")</f>
        <v>Мультифора</v>
      </c>
      <c r="N1614" s="6" t="str">
        <f>IFERROR(__xludf.DUMMYFUNCTION("""COMPUTED_VALUE"""),"Чистота, качественные дороги, доступное жилье, Достойная зарплата, возможность найти работу")</f>
        <v>Чистота, качественные дороги, доступное жилье, Достойная зарплата, возможность найти работу</v>
      </c>
      <c r="O1614" s="6" t="str">
        <f>IFERROR(__xludf.DUMMYFUNCTION("""COMPUTED_VALUE"""),"Убрать грязь с обочин и газоны, с которых течёт земля")</f>
        <v>Убрать грязь с обочин и газоны, с которых течёт земля</v>
      </c>
      <c r="P1614" s="6" t="str">
        <f>IFERROR(__xludf.DUMMYFUNCTION("""COMPUTED_VALUE"""),"Радио")</f>
        <v>Радио</v>
      </c>
      <c r="Q1614" s="6" t="str">
        <f>IFERROR(__xludf.DUMMYFUNCTION("""COMPUTED_VALUE"""),"куда пойти в свободное время, новости про новые профессии/куда поступать/вакансии, результаты местных исследований (рейтинги/аналитика/тенденции)")</f>
        <v>куда пойти в свободное время, новости про новые профессии/куда поступать/вакансии, результаты местных исследований (рейтинги/аналитика/тенденции)</v>
      </c>
      <c r="R1614" s="6" t="str">
        <f>IFERROR(__xludf.DUMMYFUNCTION("""COMPUTED_VALUE"""),"День города и день шахтеров")</f>
        <v>День города и день шахтеров</v>
      </c>
      <c r="S1614" s="6" t="str">
        <f>IFERROR(__xludf.DUMMYFUNCTION("""COMPUTED_VALUE"""),"Нет, не приходилось")</f>
        <v>Нет, не приходилось</v>
      </c>
      <c r="T1614" s="6" t="str">
        <f>IFERROR(__xludf.DUMMYFUNCTION("""COMPUTED_VALUE"""),"Зимняя вишня")</f>
        <v>Зимняя вишня</v>
      </c>
      <c r="U1614" s="6" t="str">
        <f>IFERROR(__xludf.DUMMYFUNCTION("""COMPUTED_VALUE"""),"Фонтан")</f>
        <v>Фонтан</v>
      </c>
      <c r="V1614" s="6" t="str">
        <f>IFERROR(__xludf.DUMMYFUNCTION("""COMPUTED_VALUE"""),"Не знаю")</f>
        <v>Не знаю</v>
      </c>
      <c r="W1614" s="6" t="str">
        <f>IFERROR(__xludf.DUMMYFUNCTION("""COMPUTED_VALUE"""),"Доброжелательные")</f>
        <v>Доброжелательные</v>
      </c>
      <c r="X1614" s="6" t="str">
        <f>IFERROR(__xludf.DUMMYFUNCTION("""COMPUTED_VALUE"""),"По центру города")</f>
        <v>По центру города</v>
      </c>
      <c r="Y1614" s="6" t="str">
        <f>IFERROR(__xludf.DUMMYFUNCTION("""COMPUTED_VALUE"""),"Не знаю")</f>
        <v>Не знаю</v>
      </c>
      <c r="Z1614" s="6" t="str">
        <f>IFERROR(__xludf.DUMMYFUNCTION("""COMPUTED_VALUE"""),"Концерт Гергиева")</f>
        <v>Концерт Гергиева</v>
      </c>
      <c r="AA1614" s="6" t="str">
        <f>IFERROR(__xludf.DUMMYFUNCTION("""COMPUTED_VALUE"""),"Пожар в Зимней вишне")</f>
        <v>Пожар в Зимней вишне</v>
      </c>
      <c r="AB1614" s="6" t="str">
        <f>IFERROR(__xludf.DUMMYFUNCTION("""COMPUTED_VALUE"""),"Профессиональных")</f>
        <v>Профессиональных</v>
      </c>
      <c r="AC1614" s="6" t="str">
        <f>IFERROR(__xludf.DUMMYFUNCTION("""COMPUTED_VALUE"""),"Общегородские")</f>
        <v>Общегородские</v>
      </c>
      <c r="AD1614"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614" s="6" t="str">
        <f>IFERROR(__xludf.DUMMYFUNCTION("""COMPUTED_VALUE"""),"Женский")</f>
        <v>Женский</v>
      </c>
      <c r="AF1614" s="6" t="str">
        <f>IFERROR(__xludf.DUMMYFUNCTION("""COMPUTED_VALUE"""),"45-55")</f>
        <v>45-55</v>
      </c>
      <c r="AG1614" s="6"/>
      <c r="AH1614" s="6"/>
      <c r="AI1614" s="6"/>
      <c r="AJ1614" s="6"/>
      <c r="AK1614" s="6"/>
      <c r="AL1614" s="6"/>
      <c r="AM1614" s="6"/>
    </row>
    <row r="1615">
      <c r="A1615" s="6">
        <v>1614.0</v>
      </c>
      <c r="B1615" s="6" t="str">
        <f>IFERROR(__xludf.DUMMYFUNCTION("""COMPUTED_VALUE"""),"Врач")</f>
        <v>Врач</v>
      </c>
      <c r="C1615" s="6" t="str">
        <f>IFERROR(__xludf.DUMMYFUNCTION("""COMPUTED_VALUE"""),"Нет")</f>
        <v>Нет</v>
      </c>
      <c r="D1615" s="6" t="str">
        <f>IFERROR(__xludf.DUMMYFUNCTION("""COMPUTED_VALUE"""),"Кедровка")</f>
        <v>Кедровка</v>
      </c>
      <c r="E1615" s="6" t="str">
        <f>IFERROR(__xludf.DUMMYFUNCTION("""COMPUTED_VALUE"""),"Греческая деревня")</f>
        <v>Греческая деревня</v>
      </c>
      <c r="F1615" s="6" t="str">
        <f>IFERROR(__xludf.DUMMYFUNCTION("""COMPUTED_VALUE"""),"Промышленновский район, учеба, работа")</f>
        <v>Промышленновский район, учеба, работа</v>
      </c>
      <c r="G1615" s="6" t="str">
        <f>IFERROR(__xludf.DUMMYFUNCTION("""COMPUTED_VALUE"""),"Лесная поляна, МЖК")</f>
        <v>Лесная поляна, МЖК</v>
      </c>
      <c r="H1615" s="6" t="str">
        <f>IFERROR(__xludf.DUMMYFUNCTION("""COMPUTED_VALUE"""),"Уголь, Писаница, Вишня, Елка, Леонов ")</f>
        <v>Уголь, Писаница, Вишня, Елка, Леонов </v>
      </c>
      <c r="I1615" s="6" t="str">
        <f>IFERROR(__xludf.DUMMYFUNCTION("""COMPUTED_VALUE"""),"Леонов, ")</f>
        <v>Леонов, </v>
      </c>
      <c r="J1615" s="6" t="str">
        <f>IFERROR(__xludf.DUMMYFUNCTION("""COMPUTED_VALUE"""),"Тулеев")</f>
        <v>Тулеев</v>
      </c>
      <c r="K1615" s="6" t="str">
        <f>IFERROR(__xludf.DUMMYFUNCTION("""COMPUTED_VALUE"""),"Парк ангелов")</f>
        <v>Парк ангелов</v>
      </c>
      <c r="L1615" s="6" t="str">
        <f>IFERROR(__xludf.DUMMYFUNCTION("""COMPUTED_VALUE"""),"Тише едешь, дальше будешь")</f>
        <v>Тише едешь, дальше будешь</v>
      </c>
      <c r="M1615" s="6" t="str">
        <f>IFERROR(__xludf.DUMMYFUNCTION("""COMPUTED_VALUE"""),"Нет")</f>
        <v>Нет</v>
      </c>
      <c r="N1615" s="6" t="str">
        <f>IFERROR(__xludf.DUMMYFUNCTION("""COMPUTED_VALUE"""),"Климат, зарплата, инфраструктура, ")</f>
        <v>Климат, зарплата, инфраструктура, </v>
      </c>
      <c r="O1615" s="6" t="str">
        <f>IFERROR(__xludf.DUMMYFUNCTION("""COMPUTED_VALUE"""),"Школы, школьные площадки, игровые зоны,   контролировать собаководов убирать за собаками, справляющими нужду на улицах города")</f>
        <v>Школы, школьные площадки, игровые зоны,   контролировать собаководов убирать за собаками, справляющими нужду на улицах города</v>
      </c>
      <c r="P1615" s="6" t="str">
        <f>IFERROR(__xludf.DUMMYFUNCTION("""COMPUTED_VALUE"""),"Инстаграм")</f>
        <v>Инстаграм</v>
      </c>
      <c r="Q1615"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615" s="6" t="str">
        <f>IFERROR(__xludf.DUMMYFUNCTION("""COMPUTED_VALUE"""),"Никакие")</f>
        <v>Никакие</v>
      </c>
      <c r="S1615" s="6" t="str">
        <f>IFERROR(__xludf.DUMMYFUNCTION("""COMPUTED_VALUE"""),"Нет, не приходилось")</f>
        <v>Нет, не приходилось</v>
      </c>
      <c r="T1615" s="6" t="str">
        <f>IFERROR(__xludf.DUMMYFUNCTION("""COMPUTED_VALUE"""),"Угольной отраслью")</f>
        <v>Угольной отраслью</v>
      </c>
      <c r="U1615" s="6" t="str">
        <f>IFERROR(__xludf.DUMMYFUNCTION("""COMPUTED_VALUE"""),"Красная Горка, парк Ангелов")</f>
        <v>Красная Горка, парк Ангелов</v>
      </c>
      <c r="V1615" s="6" t="str">
        <f>IFERROR(__xludf.DUMMYFUNCTION("""COMPUTED_VALUE"""),"... ")</f>
        <v>... </v>
      </c>
      <c r="W1615" s="6" t="str">
        <f>IFERROR(__xludf.DUMMYFUNCTION("""COMPUTED_VALUE"""),"Нетерпимые, озлобленные")</f>
        <v>Нетерпимые, озлобленные</v>
      </c>
      <c r="X1615" s="6" t="str">
        <f>IFERROR(__xludf.DUMMYFUNCTION("""COMPUTED_VALUE"""),".... ")</f>
        <v>.... </v>
      </c>
      <c r="Y1615" s="6" t="str">
        <f>IFERROR(__xludf.DUMMYFUNCTION("""COMPUTED_VALUE"""),"... ")</f>
        <v>... </v>
      </c>
      <c r="Z1615" s="6" t="str">
        <f>IFERROR(__xludf.DUMMYFUNCTION("""COMPUTED_VALUE"""),"... ")</f>
        <v>... </v>
      </c>
      <c r="AA1615" s="6" t="str">
        <f>IFERROR(__xludf.DUMMYFUNCTION("""COMPUTED_VALUE"""),"Зимняя вишня")</f>
        <v>Зимняя вишня</v>
      </c>
      <c r="AB1615" s="6" t="str">
        <f>IFERROR(__xludf.DUMMYFUNCTION("""COMPUTED_VALUE"""),"НКО")</f>
        <v>НКО</v>
      </c>
      <c r="AC1615" s="6" t="str">
        <f>IFERROR(__xludf.DUMMYFUNCTION("""COMPUTED_VALUE"""),"Спортивные")</f>
        <v>Спортивные</v>
      </c>
      <c r="AD1615"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Волонтер"&amp;"а: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1615" s="6" t="str">
        <f>IFERROR(__xludf.DUMMYFUNCTION("""COMPUTED_VALUE"""),"Женский")</f>
        <v>Женский</v>
      </c>
      <c r="AF1615" s="6" t="str">
        <f>IFERROR(__xludf.DUMMYFUNCTION("""COMPUTED_VALUE"""),"30-44")</f>
        <v>30-44</v>
      </c>
      <c r="AG1615" s="6"/>
      <c r="AH1615" s="6"/>
      <c r="AI1615" s="6"/>
      <c r="AJ1615" s="6"/>
      <c r="AK1615" s="6"/>
      <c r="AL1615" s="6"/>
      <c r="AM1615" s="6"/>
    </row>
    <row r="1616">
      <c r="A1616" s="6">
        <v>1615.0</v>
      </c>
      <c r="B1616" s="6" t="str">
        <f>IFERROR(__xludf.DUMMYFUNCTION("""COMPUTED_VALUE"""),"Услуги населению")</f>
        <v>Услуги населению</v>
      </c>
      <c r="C1616" s="6" t="str">
        <f>IFERROR(__xludf.DUMMYFUNCTION("""COMPUTED_VALUE"""),"Рисование ")</f>
        <v>Рисование </v>
      </c>
      <c r="D1616" s="6" t="str">
        <f>IFERROR(__xludf.DUMMYFUNCTION("""COMPUTED_VALUE"""),"Заводский, Швейка")</f>
        <v>Заводский, Швейка</v>
      </c>
      <c r="E1616" s="6" t="str">
        <f>IFERROR(__xludf.DUMMYFUNCTION("""COMPUTED_VALUE"""),"Наш двор, живем в 18веке")</f>
        <v>Наш двор, живем в 18веке</v>
      </c>
      <c r="F1616" s="6" t="str">
        <f>IFERROR(__xludf.DUMMYFUNCTION("""COMPUTED_VALUE"""),"Живу здесь с рождения")</f>
        <v>Живу здесь с рождения</v>
      </c>
      <c r="G1616" s="6" t="str">
        <f>IFERROR(__xludf.DUMMYFUNCTION("""COMPUTED_VALUE"""),"Набережная, Весенняя")</f>
        <v>Набережная, Весенняя</v>
      </c>
      <c r="H1616" s="6" t="str">
        <f>IFERROR(__xludf.DUMMYFUNCTION("""COMPUTED_VALUE"""),"Центр-чисто, красиво, чуть дальше-печаль")</f>
        <v>Центр-чисто, красиво, чуть дальше-печаль</v>
      </c>
      <c r="I1616" s="6" t="str">
        <f>IFERROR(__xludf.DUMMYFUNCTION("""COMPUTED_VALUE"""),"Волков, Рутгерс")</f>
        <v>Волков, Рутгерс</v>
      </c>
      <c r="J1616" s="6" t="str">
        <f>IFERROR(__xludf.DUMMYFUNCTION("""COMPUTED_VALUE"""),"Михайлов В. В. ")</f>
        <v>Михайлов В. В. </v>
      </c>
      <c r="K1616" s="6" t="str">
        <f>IFERROR(__xludf.DUMMYFUNCTION("""COMPUTED_VALUE"""),"Двор по ул. Пролетарская 11А-машина времени, попадаешь в 18 век, месиво из грязи и остатков асфальта🤦‍♀️")</f>
        <v>Двор по ул. Пролетарская 11А-машина времени, попадаешь в 18 век, месиво из грязи и остатков асфальта🤦‍♀️</v>
      </c>
      <c r="L1616" s="6" t="str">
        <f>IFERROR(__xludf.DUMMYFUNCTION("""COMPUTED_VALUE"""),"У нас, как в Париже, только дома пониже и асфальт пожиже")</f>
        <v>У нас, как в Париже, только дома пониже и асфальт пожиже</v>
      </c>
      <c r="M1616" s="6" t="str">
        <f>IFERROR(__xludf.DUMMYFUNCTION("""COMPUTED_VALUE"""),"Не знаю")</f>
        <v>Не знаю</v>
      </c>
      <c r="N1616" s="6" t="str">
        <f>IFERROR(__xludf.DUMMYFUNCTION("""COMPUTED_VALUE"""),"Чистый комфортный двор хочу по адресу Пролетарская 11А")</f>
        <v>Чистый комфортный двор хочу по адресу Пролетарская 11А</v>
      </c>
      <c r="O1616" s="6" t="str">
        <f>IFERROR(__xludf.DUMMYFUNCTION("""COMPUTED_VALUE"""),"Навести порядок в нашем дворе, живем с дорогой, как после бомбёжки ")</f>
        <v>Навести порядок в нашем дворе, живем с дорогой, как после бомбёжки </v>
      </c>
      <c r="P1616" s="6" t="str">
        <f>IFERROR(__xludf.DUMMYFUNCTION("""COMPUTED_VALUE"""),"Регион 42")</f>
        <v>Регион 42</v>
      </c>
      <c r="Q1616"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f>
        <v>где вкусно поесть/открытие новых кафе/ресторанов, городская афиша (кино/театр/концерты), культурные новинки (что почитать/что послушать)</v>
      </c>
      <c r="R1616" s="6" t="str">
        <f>IFERROR(__xludf.DUMMYFUNCTION("""COMPUTED_VALUE"""),"9 мая, День города ")</f>
        <v>9 мая, День города </v>
      </c>
      <c r="S1616" s="6" t="str">
        <f>IFERROR(__xludf.DUMMYFUNCTION("""COMPUTED_VALUE"""),"Через социальные сети (Какие? Укажите в графе другое)")</f>
        <v>Через социальные сети (Какие? Укажите в графе другое)</v>
      </c>
      <c r="T1616" s="6" t="str">
        <f>IFERROR(__xludf.DUMMYFUNCTION("""COMPUTED_VALUE"""),"Заводы, ВУЗы")</f>
        <v>Заводы, ВУЗы</v>
      </c>
      <c r="U1616" s="6" t="str">
        <f>IFERROR(__xludf.DUMMYFUNCTION("""COMPUTED_VALUE"""),"Весенняя, Набережная")</f>
        <v>Весенняя, Набережная</v>
      </c>
      <c r="V1616" s="6" t="str">
        <f>IFERROR(__xludf.DUMMYFUNCTION("""COMPUTED_VALUE"""),"Затрудняюсь ответить")</f>
        <v>Затрудняюсь ответить</v>
      </c>
      <c r="W1616" s="6" t="str">
        <f>IFERROR(__xludf.DUMMYFUNCTION("""COMPUTED_VALUE"""),"Разные ")</f>
        <v>Разные </v>
      </c>
      <c r="X1616" s="6" t="str">
        <f>IFERROR(__xludf.DUMMYFUNCTION("""COMPUTED_VALUE"""),"Набережная")</f>
        <v>Набережная</v>
      </c>
      <c r="Y1616" s="6" t="str">
        <f>IFERROR(__xludf.DUMMYFUNCTION("""COMPUTED_VALUE"""),"Концерт Хворостовского")</f>
        <v>Концерт Хворостовского</v>
      </c>
      <c r="Z1616" s="6" t="str">
        <f>IFERROR(__xludf.DUMMYFUNCTION("""COMPUTED_VALUE"""),"Городские праздники ")</f>
        <v>Городские праздники </v>
      </c>
      <c r="AA1616" s="6" t="str">
        <f>IFERROR(__xludf.DUMMYFUNCTION("""COMPUTED_VALUE"""),"Затрудняюсь ответить")</f>
        <v>Затрудняюсь ответить</v>
      </c>
      <c r="AB1616" s="6" t="str">
        <f>IFERROR(__xludf.DUMMYFUNCTION("""COMPUTED_VALUE"""),"Затрудняюсь ответить")</f>
        <v>Затрудняюсь ответить</v>
      </c>
      <c r="AC1616" s="6" t="str">
        <f>IFERROR(__xludf.DUMMYFUNCTION("""COMPUTED_VALUE"""),"Ремонт во дворе Пролетарская 11А
Это не шутка ")</f>
        <v>Ремонт во дворе Пролетарская 11А
Это не шутка </v>
      </c>
      <c r="AD161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16" s="6" t="str">
        <f>IFERROR(__xludf.DUMMYFUNCTION("""COMPUTED_VALUE"""),"Женский")</f>
        <v>Женский</v>
      </c>
      <c r="AF1616" s="6" t="str">
        <f>IFERROR(__xludf.DUMMYFUNCTION("""COMPUTED_VALUE"""),"45-55")</f>
        <v>45-55</v>
      </c>
      <c r="AG1616" s="6"/>
      <c r="AH1616" s="6"/>
      <c r="AI1616" s="6"/>
      <c r="AJ1616" s="6"/>
      <c r="AK1616" s="6"/>
      <c r="AL1616" s="6"/>
      <c r="AM1616" s="6"/>
    </row>
    <row r="1617">
      <c r="A1617" s="6">
        <v>1616.0</v>
      </c>
      <c r="B1617" s="6" t="str">
        <f>IFERROR(__xludf.DUMMYFUNCTION("""COMPUTED_VALUE"""),"Наемный работник ")</f>
        <v>Наемный работник </v>
      </c>
      <c r="C1617" s="6" t="str">
        <f>IFERROR(__xludf.DUMMYFUNCTION("""COMPUTED_VALUE"""),"Спорт, музыка")</f>
        <v>Спорт, музыка</v>
      </c>
      <c r="D1617" s="6" t="str">
        <f>IFERROR(__xludf.DUMMYFUNCTION("""COMPUTED_VALUE"""),"Кемерово сити")</f>
        <v>Кемерово сити</v>
      </c>
      <c r="E1617" s="6" t="str">
        <f>IFERROR(__xludf.DUMMYFUNCTION("""COMPUTED_VALUE"""),"Парк Резникова")</f>
        <v>Парк Резникова</v>
      </c>
      <c r="F1617" s="6" t="str">
        <f>IFERROR(__xludf.DUMMYFUNCTION("""COMPUTED_VALUE"""),"Живу здесь с рождения")</f>
        <v>Живу здесь с рождения</v>
      </c>
      <c r="G1617" s="6" t="str">
        <f>IFERROR(__xludf.DUMMYFUNCTION("""COMPUTED_VALUE"""),"Сосновый бор, весенняя, набережная, сухово, журавли")</f>
        <v>Сосновый бор, весенняя, набережная, сухово, журавли</v>
      </c>
      <c r="H1617" s="6" t="str">
        <f>IFERROR(__xludf.DUMMYFUNCTION("""COMPUTED_VALUE"""),"Химия, дороги, шахтеры , стройка парки")</f>
        <v>Химия, дороги, шахтеры , стройка парки</v>
      </c>
      <c r="I1617" s="6" t="str">
        <f>IFERROR(__xludf.DUMMYFUNCTION("""COMPUTED_VALUE"""),"Раздаев, Михайлов")</f>
        <v>Раздаев, Михайлов</v>
      </c>
      <c r="J1617" s="6" t="str">
        <f>IFERROR(__xludf.DUMMYFUNCTION("""COMPUTED_VALUE"""),"Не ровняюсь")</f>
        <v>Не ровняюсь</v>
      </c>
      <c r="K1617" s="6" t="str">
        <f>IFERROR(__xludf.DUMMYFUNCTION("""COMPUTED_VALUE"""),"Сердце Шахтеоа")</f>
        <v>Сердце Шахтеоа</v>
      </c>
      <c r="L1617" s="6" t="str">
        <f>IFERROR(__xludf.DUMMYFUNCTION("""COMPUTED_VALUE"""),"Это вам не х.р в стакане, это мы-кемеровчане")</f>
        <v>Это вам не х.р в стакане, это мы-кемеровчане</v>
      </c>
      <c r="M1617" s="6" t="str">
        <f>IFERROR(__xludf.DUMMYFUNCTION("""COMPUTED_VALUE"""),"Ехать через Топки")</f>
        <v>Ехать через Топки</v>
      </c>
      <c r="N1617" s="6" t="str">
        <f>IFERROR(__xludf.DUMMYFUNCTION("""COMPUTED_VALUE"""),"Транспорт, чистота ")</f>
        <v>Транспорт, чистота </v>
      </c>
      <c r="O1617" s="6" t="str">
        <f>IFERROR(__xludf.DUMMYFUNCTION("""COMPUTED_VALUE"""),"Разгрузить центр от транспорта, сделать транспортный обход для грузового транспорта")</f>
        <v>Разгрузить центр от транспорта, сделать транспортный обход для грузового транспорта</v>
      </c>
      <c r="P1617" s="6" t="str">
        <f>IFERROR(__xludf.DUMMYFUNCTION("""COMPUTED_VALUE"""),"Вк ")</f>
        <v>Вк </v>
      </c>
      <c r="Q1617"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результаты местных исследований (рейтинги/аналитика/тенденции), интервью с экспертами на раз"&amp;"ные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617" s="6" t="str">
        <f>IFERROR(__xludf.DUMMYFUNCTION("""COMPUTED_VALUE"""),"День города, 9 мая, Новый год, день шахтёра ")</f>
        <v>День города, 9 мая, Новый год, день шахтёра </v>
      </c>
      <c r="S1617" s="6" t="str">
        <f>IFERROR(__xludf.DUMMYFUNCTION("""COMPUTED_VALUE"""),"Нет, не приходилось")</f>
        <v>Нет, не приходилось</v>
      </c>
      <c r="T1617" s="6" t="str">
        <f>IFERROR(__xludf.DUMMYFUNCTION("""COMPUTED_VALUE"""),"Известен пожаром в Зимней вишнеул")</f>
        <v>Известен пожаром в Зимней вишнеул</v>
      </c>
      <c r="U1617" s="6" t="str">
        <f>IFERROR(__xludf.DUMMYFUNCTION("""COMPUTED_VALUE"""),"Улица Весенняя")</f>
        <v>Улица Весенняя</v>
      </c>
      <c r="V1617" s="6" t="str">
        <f>IFERROR(__xludf.DUMMYFUNCTION("""COMPUTED_VALUE"""),"Строили и работали в суровых условиях")</f>
        <v>Строили и работали в суровых условиях</v>
      </c>
      <c r="W1617" s="6" t="str">
        <f>IFERROR(__xludf.DUMMYFUNCTION("""COMPUTED_VALUE"""),"Как и все сибиряки ")</f>
        <v>Как и все сибиряки </v>
      </c>
      <c r="X1617" s="6" t="str">
        <f>IFERROR(__xludf.DUMMYFUNCTION("""COMPUTED_VALUE"""),"Весенняя, сосновый бор")</f>
        <v>Весенняя, сосновый бор</v>
      </c>
      <c r="Y1617" s="6" t="str">
        <f>IFERROR(__xludf.DUMMYFUNCTION("""COMPUTED_VALUE"""),"Пожар в Зимней вишне, забастовки шахтеров в 1989 г")</f>
        <v>Пожар в Зимней вишне, забастовки шахтеров в 1989 г</v>
      </c>
      <c r="Z1617" s="6" t="str">
        <f>IFERROR(__xludf.DUMMYFUNCTION("""COMPUTED_VALUE"""),"Никаких")</f>
        <v>Никаких</v>
      </c>
      <c r="AA1617" s="6" t="str">
        <f>IFERROR(__xludf.DUMMYFUNCTION("""COMPUTED_VALUE"""),"Пожар в Зимней вишне ")</f>
        <v>Пожар в Зимней вишне </v>
      </c>
      <c r="AB1617" s="6" t="str">
        <f>IFERROR(__xludf.DUMMYFUNCTION("""COMPUTED_VALUE"""),"Хватает")</f>
        <v>Хватает</v>
      </c>
      <c r="AC1617" s="6" t="str">
        <f>IFERROR(__xludf.DUMMYFUNCTION("""COMPUTED_VALUE"""),"Не знаю, я в этом не специалист")</f>
        <v>Не знаю, я в этом не специалист</v>
      </c>
      <c r="AD161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17" s="6" t="str">
        <f>IFERROR(__xludf.DUMMYFUNCTION("""COMPUTED_VALUE"""),"Мужской")</f>
        <v>Мужской</v>
      </c>
      <c r="AF1617" s="6" t="str">
        <f>IFERROR(__xludf.DUMMYFUNCTION("""COMPUTED_VALUE"""),"30-44")</f>
        <v>30-44</v>
      </c>
      <c r="AG1617" s="6"/>
      <c r="AH1617" s="6"/>
      <c r="AI1617" s="6"/>
      <c r="AJ1617" s="6"/>
      <c r="AK1617" s="6"/>
      <c r="AL1617" s="6"/>
      <c r="AM1617" s="6"/>
    </row>
    <row r="1618">
      <c r="A1618" s="6">
        <v>1617.0</v>
      </c>
      <c r="B1618" s="6" t="str">
        <f>IFERROR(__xludf.DUMMYFUNCTION("""COMPUTED_VALUE"""),"Врач")</f>
        <v>Врач</v>
      </c>
      <c r="C1618" s="6" t="str">
        <f>IFERROR(__xludf.DUMMYFUNCTION("""COMPUTED_VALUE"""),"Танцы. Вязание")</f>
        <v>Танцы. Вязание</v>
      </c>
      <c r="D1618" s="6" t="str">
        <f>IFERROR(__xludf.DUMMYFUNCTION("""COMPUTED_VALUE"""),"Рудничный")</f>
        <v>Рудничный</v>
      </c>
      <c r="E1618" s="6" t="str">
        <f>IFERROR(__xludf.DUMMYFUNCTION("""COMPUTED_VALUE"""),"Красная Горка")</f>
        <v>Красная Горка</v>
      </c>
      <c r="F1618" s="6" t="str">
        <f>IFERROR(__xludf.DUMMYFUNCTION("""COMPUTED_VALUE"""),"Живу здесь с рождения")</f>
        <v>Живу здесь с рождения</v>
      </c>
      <c r="G1618" s="6" t="str">
        <f>IFERROR(__xludf.DUMMYFUNCTION("""COMPUTED_VALUE"""),"Кировская набережная и Сосновый бор самое любимое место. Парки")</f>
        <v>Кировская набережная и Сосновый бор самое любимое место. Парки</v>
      </c>
      <c r="H1618" s="6" t="str">
        <f>IFERROR(__xludf.DUMMYFUNCTION("""COMPUTED_VALUE"""),"Грязь, смог, пыль, мало деревьев, грязная Томь и Искитимка")</f>
        <v>Грязь, смог, пыль, мало деревьев, грязная Томь и Искитимка</v>
      </c>
      <c r="I1618" s="6" t="str">
        <f>IFERROR(__xludf.DUMMYFUNCTION("""COMPUTED_VALUE"""),"А. ЛЕОНОВ. АМАН ТУЛЕЕВ.. Т.И. ШРАЕР. . . ЕВТУШЕНКО А.Я. БУРАГО Ю.И ..  МЭР МИХАЙЛОВ. Н.П. КОКОРИНА.  А.А.КОРНИЛОВ.")</f>
        <v>А. ЛЕОНОВ. АМАН ТУЛЕЕВ.. Т.И. ШРАЕР. . . ЕВТУШЕНКО А.Я. БУРАГО Ю.И ..  МЭР МИХАЙЛОВ. Н.П. КОКОРИНА.  А.А.КОРНИЛОВ.</v>
      </c>
      <c r="J1618" s="6" t="str">
        <f>IFERROR(__xludf.DUMMYFUNCTION("""COMPUTED_VALUE"""),"Л.С. БАРБАРАШ. О.Л. БАРБАРАШ. А.А. ЛОПАТИН. М.И.ЛИКСТАНОВ. ")</f>
        <v>Л.С. БАРБАРАШ. О.Л. БАРБАРАШ. А.А. ЛОПАТИН. М.И.ЛИКСТАНОВ. </v>
      </c>
      <c r="K1618" s="6" t="str">
        <f>IFERROR(__xludf.DUMMYFUNCTION("""COMPUTED_VALUE"""),"Сосновый бор. Красная горка. Томская писаница. Кировская набережная. Краеведческий музей биологический и исторический отдел. Ботанический сад.  Парк Ангелов. Парк Жукова.  Парк Матери.")</f>
        <v>Сосновый бор. Красная горка. Томская писаница. Кировская набережная. Краеведческий музей биологический и исторический отдел. Ботанический сад.  Парк Ангелов. Парк Жукова.  Парк Матери.</v>
      </c>
      <c r="L1618" s="6" t="str">
        <f>IFERROR(__xludf.DUMMYFUNCTION("""COMPUTED_VALUE"""),"Денег нет, но вы держитесь")</f>
        <v>Денег нет, но вы держитесь</v>
      </c>
      <c r="M1618" s="6" t="str">
        <f>IFERROR(__xludf.DUMMYFUNCTION("""COMPUTED_VALUE"""),"Нет")</f>
        <v>Нет</v>
      </c>
      <c r="N1618" s="6" t="str">
        <f>IFERROR(__xludf.DUMMYFUNCTION("""COMPUTED_VALUE"""),"Чистый воздух и водоёмы. Наличие работы. Много зелени. Газификация частного сектора. Доступные авиабилеты")</f>
        <v>Чистый воздух и водоёмы. Наличие работы. Много зелени. Газификация частного сектора. Доступные авиабилеты</v>
      </c>
      <c r="O1618" s="6" t="str">
        <f>IFERROR(__xludf.DUMMYFUNCTION("""COMPUTED_VALUE"""),"Заняться экологией")</f>
        <v>Заняться экологией</v>
      </c>
      <c r="P1618" s="6" t="str">
        <f>IFERROR(__xludf.DUMMYFUNCTION("""COMPUTED_VALUE"""),"Интернет(в ВКонтакте, инстаграм)")</f>
        <v>Интернет(в ВКонтакте, инстаграм)</v>
      </c>
      <c r="Q1618" s="6" t="str">
        <f>IFERROR(__xludf.DUMMYFUNCTION("""COMPUTED_VALUE"""),"городская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 Медицина. Балет. Музыка.")</f>
        <v>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 Медицина. Балет. Музыка.</v>
      </c>
      <c r="R1618" s="6" t="str">
        <f>IFERROR(__xludf.DUMMYFUNCTION("""COMPUTED_VALUE"""),"9 мая")</f>
        <v>9 мая</v>
      </c>
      <c r="S1618" s="6" t="str">
        <f>IFERROR(__xludf.DUMMYFUNCTION("""COMPUTED_VALUE"""),"Нет, не приходилось")</f>
        <v>Нет, не приходилось</v>
      </c>
      <c r="T1618" s="6" t="str">
        <f>IFERROR(__xludf.DUMMYFUNCTION("""COMPUTED_VALUE"""),"Наш город известен   и знаменит тем что мы лидеры по онкологии, туберкулёза, ВИЧ инфекции. Отвратительная экология.  Сырьевой придаток.")</f>
        <v>Наш город известен   и знаменит тем что мы лидеры по онкологии, туберкулёза, ВИЧ инфекции. Отвратительная экология.  Сырьевой придаток.</v>
      </c>
      <c r="U1618" s="6" t="str">
        <f>IFERROR(__xludf.DUMMYFUNCTION("""COMPUTED_VALUE"""),"Красная горка")</f>
        <v>Красная горка</v>
      </c>
      <c r="V1618" s="6" t="str">
        <f>IFERROR(__xludf.DUMMYFUNCTION("""COMPUTED_VALUE"""),"В советское время много делали(строили, озеленяли, медицина) и не ныли.  Сейчас много ноют, делать ничего не хотят")</f>
        <v>В советское время много делали(строили, озеленяли, медицина) и не ныли.  Сейчас много ноют, делать ничего не хотят</v>
      </c>
      <c r="W1618" s="6" t="str">
        <f>IFERROR(__xludf.DUMMYFUNCTION("""COMPUTED_VALUE"""),"Злость,  недоверие к власти.")</f>
        <v>Злость,  недоверие к власти.</v>
      </c>
      <c r="X1618" s="6" t="str">
        <f>IFERROR(__xludf.DUMMYFUNCTION("""COMPUTED_VALUE"""),"Красная горка ")</f>
        <v>Красная горка </v>
      </c>
      <c r="Y1618" s="6" t="str">
        <f>IFERROR(__xludf.DUMMYFUNCTION("""COMPUTED_VALUE"""),"Чемпионат мира по хоккею с мячом и выступление Scorpions.")</f>
        <v>Чемпионат мира по хоккею с мячом и выступление Scorpions.</v>
      </c>
      <c r="Z1618" s="6" t="str">
        <f>IFERROR(__xludf.DUMMYFUNCTION("""COMPUTED_VALUE"""),"Герои мирового рока 2019 ")</f>
        <v>Герои мирового рока 2019 </v>
      </c>
      <c r="AA1618" s="6" t="str">
        <f>IFERROR(__xludf.DUMMYFUNCTION("""COMPUTED_VALUE"""),"Лидерство по ВИЧ инфекции, онкологии , туберкулёза. Врут про зарплату")</f>
        <v>Лидерство по ВИЧ инфекции, онкологии , туберкулёза. Врут про зарплату</v>
      </c>
      <c r="AB1618" s="6" t="str">
        <f>IFERROR(__xludf.DUMMYFUNCTION("""COMPUTED_VALUE"""),"Бесплатные спортивные секции")</f>
        <v>Бесплатные спортивные секции</v>
      </c>
      <c r="AC1618" s="6" t="str">
        <f>IFERROR(__xludf.DUMMYFUNCTION("""COMPUTED_VALUE"""),"Проведение рок фестивалей.  Обучение подростков  или мастер классы кататься на скейтах и прочих спортивных снарядах. Организация встреч детей с известными спортсменами и представителями искусств.")</f>
        <v>Проведение рок фестивалей.  Обучение подростков  или мастер классы кататься на скейтах и прочих спортивных снарядах. Организация встреч детей с известными спортсменами и представителями искусств.</v>
      </c>
      <c r="AD161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18" s="6" t="str">
        <f>IFERROR(__xludf.DUMMYFUNCTION("""COMPUTED_VALUE"""),"Женский")</f>
        <v>Женский</v>
      </c>
      <c r="AF1618" s="6" t="str">
        <f>IFERROR(__xludf.DUMMYFUNCTION("""COMPUTED_VALUE"""),"30-44")</f>
        <v>30-44</v>
      </c>
      <c r="AG1618" s="6"/>
      <c r="AH1618" s="6"/>
      <c r="AI1618" s="6"/>
      <c r="AJ1618" s="6"/>
      <c r="AK1618" s="6"/>
      <c r="AL1618" s="6"/>
      <c r="AM1618" s="6"/>
    </row>
    <row r="1619">
      <c r="A1619" s="6">
        <v>1618.0</v>
      </c>
      <c r="B1619" s="6" t="str">
        <f>IFERROR(__xludf.DUMMYFUNCTION("""COMPUTED_VALUE"""),"Преподаватель")</f>
        <v>Преподаватель</v>
      </c>
      <c r="C1619" s="6" t="str">
        <f>IFERROR(__xludf.DUMMYFUNCTION("""COMPUTED_VALUE"""),"Путешествия")</f>
        <v>Путешествия</v>
      </c>
      <c r="D1619" s="6" t="str">
        <f>IFERROR(__xludf.DUMMYFUNCTION("""COMPUTED_VALUE"""),"Ленинский. Так и называю")</f>
        <v>Ленинский. Так и называю</v>
      </c>
      <c r="E1619" s="6" t="str">
        <f>IFERROR(__xludf.DUMMYFUNCTION("""COMPUTED_VALUE"""),"Бр Строителей")</f>
        <v>Бр Строителей</v>
      </c>
      <c r="F1619" s="6" t="str">
        <f>IFERROR(__xludf.DUMMYFUNCTION("""COMPUTED_VALUE"""),"Живу здесь с рождения")</f>
        <v>Живу здесь с рождения</v>
      </c>
      <c r="G1619" s="6" t="str">
        <f>IFERROR(__xludf.DUMMYFUNCTION("""COMPUTED_VALUE"""),"Уезжаю из города")</f>
        <v>Уезжаю из города</v>
      </c>
      <c r="H1619" s="6" t="str">
        <f>IFERROR(__xludf.DUMMYFUNCTION("""COMPUTED_VALUE"""),"Промышленный, рабочий, химия, уголь, придаток")</f>
        <v>Промышленный, рабочий, химия, уголь, придаток</v>
      </c>
      <c r="I1619" s="6" t="str">
        <f>IFERROR(__xludf.DUMMYFUNCTION("""COMPUTED_VALUE"""),"Иштокин, Ермаков (1секретарь, а не мэр) , Бобров, Бедин, Михайлов, Курочкин, Барсов, Самойлов. Много могу назвать")</f>
        <v>Иштокин, Ермаков (1секретарь, а не мэр) , Бобров, Бедин, Михайлов, Курочкин, Барсов, Самойлов. Много могу назвать</v>
      </c>
      <c r="J1619" s="6" t="str">
        <f>IFERROR(__xludf.DUMMYFUNCTION("""COMPUTED_VALUE"""),"Фёдорова Ирина Федорова")</f>
        <v>Фёдорова Ирина Федорова</v>
      </c>
      <c r="K1619" s="6" t="str">
        <f>IFERROR(__xludf.DUMMYFUNCTION("""COMPUTED_VALUE"""),"Красную горку, Знаменский собор, филармонию")</f>
        <v>Красную горку, Знаменский собор, филармонию</v>
      </c>
      <c r="L1619" s="6" t="str">
        <f>IFERROR(__xludf.DUMMYFUNCTION("""COMPUTED_VALUE"""),"Не знаю. Разве что, расхожее мнение, что здесь нет работы, промышленность не развивается, надо уезжать. Кузбасс голосует ногами")</f>
        <v>Не знаю. Разве что, расхожее мнение, что здесь нет работы, промышленность не развивается, надо уезжать. Кузбасс голосует ногами</v>
      </c>
      <c r="M1619" s="6" t="str">
        <f>IFERROR(__xludf.DUMMYFUNCTION("""COMPUTED_VALUE"""),"Нет")</f>
        <v>Нет</v>
      </c>
      <c r="N1619" s="6" t="str">
        <f>IFERROR(__xludf.DUMMYFUNCTION("""COMPUTED_VALUE"""),"Безопасность, уровень культуры населения, уровень достатка, экологическая безопастность, транспортные связи со страной и миром. ")</f>
        <v>Безопасность, уровень культуры населения, уровень достатка, экологическая безопастность, транспортные связи со страной и миром. </v>
      </c>
      <c r="O1619" s="6" t="str">
        <f>IFERROR(__xludf.DUMMYFUNCTION("""COMPUTED_VALUE"""),"Ментальность. Представление, что отсюда надо уезжать. ")</f>
        <v>Ментальность. Представление, что отсюда надо уезжать. </v>
      </c>
      <c r="P1619" s="6" t="str">
        <f>IFERROR(__xludf.DUMMYFUNCTION("""COMPUTED_VALUE"""),"От коллег")</f>
        <v>От коллег</v>
      </c>
      <c r="Q1619"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1619" s="6" t="str">
        <f>IFERROR(__xludf.DUMMYFUNCTION("""COMPUTED_VALUE"""),"Никакие. Это, как правило, громкие шоу ")</f>
        <v>Никакие. Это, как правило, громкие шоу </v>
      </c>
      <c r="S1619" s="6" t="str">
        <f>IFERROR(__xludf.DUMMYFUNCTION("""COMPUTED_VALUE"""),"Нет, не приходилось")</f>
        <v>Нет, не приходилось</v>
      </c>
      <c r="T1619" s="6" t="str">
        <f>IFERROR(__xludf.DUMMYFUNCTION("""COMPUTED_VALUE"""),"Уголь, Зимняя вишня ")</f>
        <v>Уголь, Зимняя вишня </v>
      </c>
      <c r="U1619" s="6" t="str">
        <f>IFERROR(__xludf.DUMMYFUNCTION("""COMPUTED_VALUE"""),"Филармония, бр Строителей")</f>
        <v>Филармония, бр Строителей</v>
      </c>
      <c r="V1619" s="6" t="str">
        <f>IFERROR(__xludf.DUMMYFUNCTION("""COMPUTED_VALUE"""),"Работали")</f>
        <v>Работали</v>
      </c>
      <c r="W1619" s="6" t="str">
        <f>IFERROR(__xludf.DUMMYFUNCTION("""COMPUTED_VALUE"""),"Спокойные, критикующие, малоинициативные в целом, ждущие, что кто-то сделает. ")</f>
        <v>Спокойные, критикующие, малоинициативные в целом, ждущие, что кто-то сделает. </v>
      </c>
      <c r="X1619" s="6" t="str">
        <f>IFERROR(__xludf.DUMMYFUNCTION("""COMPUTED_VALUE"""),"Крутой? Это сильно")</f>
        <v>Крутой? Это сильно</v>
      </c>
      <c r="Y1619" s="6" t="str">
        <f>IFERROR(__xludf.DUMMYFUNCTION("""COMPUTED_VALUE"""),"Приезд  нового губернатора С Е Цвилева")</f>
        <v>Приезд  нового губернатора С Е Цвилева</v>
      </c>
      <c r="Z1619" s="6" t="str">
        <f>IFERROR(__xludf.DUMMYFUNCTION("""COMPUTED_VALUE"""),"Строительство культурного кластеоа")</f>
        <v>Строительство культурного кластеоа</v>
      </c>
      <c r="AA1619" s="6" t="str">
        <f>IFERROR(__xludf.DUMMYFUNCTION("""COMPUTED_VALUE"""),"Не знаю")</f>
        <v>Не знаю</v>
      </c>
      <c r="AB1619" s="6" t="str">
        <f>IFERROR(__xludf.DUMMYFUNCTION("""COMPUTED_VALUE"""),"Культурной общественности. ")</f>
        <v>Культурной общественности. </v>
      </c>
      <c r="AC1619" s="6" t="str">
        <f>IFERROR(__xludf.DUMMYFUNCTION("""COMPUTED_VALUE"""),"Какому слою? ")</f>
        <v>Какому слою? </v>
      </c>
      <c r="AD1619"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619" s="6" t="str">
        <f>IFERROR(__xludf.DUMMYFUNCTION("""COMPUTED_VALUE"""),"Женский")</f>
        <v>Женский</v>
      </c>
      <c r="AF1619" s="6" t="str">
        <f>IFERROR(__xludf.DUMMYFUNCTION("""COMPUTED_VALUE"""),"45-55")</f>
        <v>45-55</v>
      </c>
      <c r="AG1619" s="6"/>
      <c r="AH1619" s="6"/>
      <c r="AI1619" s="6"/>
      <c r="AJ1619" s="6"/>
      <c r="AK1619" s="6"/>
      <c r="AL1619" s="6"/>
      <c r="AM1619" s="6"/>
    </row>
    <row r="1620">
      <c r="A1620" s="6">
        <v>1619.0</v>
      </c>
      <c r="B1620" s="6" t="str">
        <f>IFERROR(__xludf.DUMMYFUNCTION("""COMPUTED_VALUE"""),"Я флорист ")</f>
        <v>Я флорист </v>
      </c>
      <c r="C1620" s="6" t="str">
        <f>IFERROR(__xludf.DUMMYFUNCTION("""COMPUTED_VALUE"""),"Конечно, я еще и психолог ")</f>
        <v>Конечно, я еще и психолог </v>
      </c>
      <c r="D1620" s="6" t="str">
        <f>IFERROR(__xludf.DUMMYFUNCTION("""COMPUTED_VALUE"""),"Шалготарьян, шалго")</f>
        <v>Шалготарьян, шалго</v>
      </c>
      <c r="E1620" s="6" t="str">
        <f>IFERROR(__xludf.DUMMYFUNCTION("""COMPUTED_VALUE"""),"Не далеко бульвар и кодетский корпус")</f>
        <v>Не далеко бульвар и кодетский корпус</v>
      </c>
      <c r="F1620" s="6" t="str">
        <f>IFERROR(__xludf.DUMMYFUNCTION("""COMPUTED_VALUE"""),"Живу здесь с рождения")</f>
        <v>Живу здесь с рождения</v>
      </c>
      <c r="G1620" s="6" t="str">
        <f>IFERROR(__xludf.DUMMYFUNCTION("""COMPUTED_VALUE"""),"Люблю набережную, хоть она и убитая)) и сосновый бор")</f>
        <v>Люблю набережную, хоть она и убитая)) и сосновый бор</v>
      </c>
      <c r="H1620" s="6" t="str">
        <f>IFERROR(__xludf.DUMMYFUNCTION("""COMPUTED_VALUE"""),"Пыльный, усталый, серый, тяжёлый, как диназавр")</f>
        <v>Пыльный, усталый, серый, тяжёлый, как диназавр</v>
      </c>
      <c r="I1620" s="6" t="str">
        <f>IFERROR(__xludf.DUMMYFUNCTION("""COMPUTED_VALUE"""),"А.Г Тулеев, А.Леонов")</f>
        <v>А.Г Тулеев, А.Леонов</v>
      </c>
      <c r="J1620" s="6" t="str">
        <f>IFERROR(__xludf.DUMMYFUNCTION("""COMPUTED_VALUE"""),"Я его уже писала и ещё напишу Тулеев")</f>
        <v>Я его уже писала и ещё напишу Тулеев</v>
      </c>
      <c r="K1620" s="6" t="str">
        <f>IFERROR(__xludf.DUMMYFUNCTION("""COMPUTED_VALUE"""),"Места драм театра, парк ангелов")</f>
        <v>Места драм театра, парк ангелов</v>
      </c>
      <c r="L1620" s="6" t="str">
        <f>IFERROR(__xludf.DUMMYFUNCTION("""COMPUTED_VALUE"""),"Тяжело как  из болота тащить бегемота, как собака на сене,  летать охота, да крылья связаны")</f>
        <v>Тяжело как  из болота тащить бегемота, как собака на сене,  летать охота, да крылья связаны</v>
      </c>
      <c r="M1620" s="6" t="str">
        <f>IFERROR(__xludf.DUMMYFUNCTION("""COMPUTED_VALUE"""),"Наверное нет")</f>
        <v>Наверное нет</v>
      </c>
      <c r="N1620" s="6" t="str">
        <f>IFERROR(__xludf.DUMMYFUNCTION("""COMPUTED_VALUE"""),"Чистота, красота,обновление, забота, что было не пофиг,")</f>
        <v>Чистота, красота,обновление, забота, что было не пофиг,</v>
      </c>
      <c r="O1620" s="6" t="str">
        <f>IFERROR(__xludf.DUMMYFUNCTION("""COMPUTED_VALUE"""),"Да много все надо делать...  научиться заботиться о людях")</f>
        <v>Да много все надо делать...  научиться заботиться о людях</v>
      </c>
      <c r="P1620" s="6" t="str">
        <f>IFERROR(__xludf.DUMMYFUNCTION("""COMPUTED_VALUE"""),"Соц сети")</f>
        <v>Соц сети</v>
      </c>
      <c r="Q1620"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(происшествия/преступл"&amp;"ения), 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620" s="6" t="str">
        <f>IFERROR(__xludf.DUMMYFUNCTION("""COMPUTED_VALUE"""),"9 мая, день Шахтёров, день города и тд")</f>
        <v>9 мая, день Шахтёров, день города и тд</v>
      </c>
      <c r="S1620" s="6" t="str">
        <f>IFERROR(__xludf.DUMMYFUNCTION("""COMPUTED_VALUE"""),"Делал рассылку по электронной почте, Обращался в редакции городских газет, телевидения, радио")</f>
        <v>Делал рассылку по электронной почте, Обращался в редакции городских газет, телевидения, радио</v>
      </c>
      <c r="T1620" s="6" t="str">
        <f>IFERROR(__xludf.DUMMYFUNCTION("""COMPUTED_VALUE"""),"Своей славой, людьми, богатсвами, которые нам не пренадлежат, ну и ладно, а вообще Сибирики самые радушные и добрые ")</f>
        <v>Своей славой, людьми, богатсвами, которые нам не пренадлежат, ну и ладно, а вообще Сибирики самые радушные и добрые </v>
      </c>
      <c r="U1620" s="6" t="str">
        <f>IFERROR(__xludf.DUMMYFUNCTION("""COMPUTED_VALUE"""),"Фонтан у драм театра, бульвар строителей, вокзал ")</f>
        <v>Фонтан у драм театра, бульвар строителей, вокзал </v>
      </c>
      <c r="V1620" s="6" t="str">
        <f>IFERROR(__xludf.DUMMYFUNCTION("""COMPUTED_VALUE"""),"Работали,заботились о городе что бы он процветал, и о своих родных людях")</f>
        <v>Работали,заботились о городе что бы он процветал, и о своих родных людях</v>
      </c>
      <c r="W1620" s="6" t="str">
        <f>IFERROR(__xludf.DUMMYFUNCTION("""COMPUTED_VALUE"""),"Крепость характера, любители веселится, и много работать, доброта  и отзывчивость!")</f>
        <v>Крепость характера, любители веселится, и много работать, доброта  и отзывчивость!</v>
      </c>
      <c r="X1620" s="6" t="str">
        <f>IFERROR(__xludf.DUMMYFUNCTION("""COMPUTED_VALUE"""),"От тц я вдоль советского проспекта по мосту до цирка и вдоль по Ленина и тд")</f>
        <v>От тц я вдоль советского проспекта по мосту до цирка и вдоль по Ленина и тд</v>
      </c>
      <c r="Y1620" s="6" t="str">
        <f>IFERROR(__xludf.DUMMYFUNCTION("""COMPUTED_VALUE"""),"Ой да их было так много, ")</f>
        <v>Ой да их было так много, </v>
      </c>
      <c r="Z1620" s="6" t="str">
        <f>IFERROR(__xludf.DUMMYFUNCTION("""COMPUTED_VALUE"""),"Построили и сделали памятью  парк ангелов")</f>
        <v>Построили и сделали памятью  парк ангелов</v>
      </c>
      <c r="AA1620" s="6" t="str">
        <f>IFERROR(__xludf.DUMMYFUNCTION("""COMPUTED_VALUE"""),"Пожар в зимней вишне, кошмар..")</f>
        <v>Пожар в зимней вишне, кошмар..</v>
      </c>
      <c r="AB1620" s="6" t="str">
        <f>IFERROR(__xludf.DUMMYFUNCTION("""COMPUTED_VALUE"""),"Не хватает лично  мне хорошего бассейна ")</f>
        <v>Не хватает лично  мне хорошего бассейна </v>
      </c>
      <c r="AC1620" s="6" t="str">
        <f>IFERROR(__xludf.DUMMYFUNCTION("""COMPUTED_VALUE"""),"Движа здесь не хватает, прям сильно. Акций незнаю субботник типа")</f>
        <v>Движа здесь не хватает, прям сильно. Акций незнаю субботник типа</v>
      </c>
      <c r="AD1620"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20" s="6" t="str">
        <f>IFERROR(__xludf.DUMMYFUNCTION("""COMPUTED_VALUE"""),"Женский")</f>
        <v>Женский</v>
      </c>
      <c r="AF1620" s="6" t="str">
        <f>IFERROR(__xludf.DUMMYFUNCTION("""COMPUTED_VALUE"""),"18-29")</f>
        <v>18-29</v>
      </c>
      <c r="AG1620" s="6"/>
      <c r="AH1620" s="6"/>
      <c r="AI1620" s="6"/>
      <c r="AJ1620" s="6"/>
      <c r="AK1620" s="6"/>
      <c r="AL1620" s="6"/>
      <c r="AM1620" s="6"/>
    </row>
    <row r="1621">
      <c r="A1621" s="6">
        <v>1620.0</v>
      </c>
      <c r="B1621" s="6" t="str">
        <f>IFERROR(__xludf.DUMMYFUNCTION("""COMPUTED_VALUE"""),"Финансами")</f>
        <v>Финансами</v>
      </c>
      <c r="C1621" s="6" t="str">
        <f>IFERROR(__xludf.DUMMYFUNCTION("""COMPUTED_VALUE"""),"Вышиваю")</f>
        <v>Вышиваю</v>
      </c>
      <c r="D1621" s="6" t="str">
        <f>IFERROR(__xludf.DUMMYFUNCTION("""COMPUTED_VALUE"""),"Южный")</f>
        <v>Южный</v>
      </c>
      <c r="E1621" s="6" t="str">
        <f>IFERROR(__xludf.DUMMYFUNCTION("""COMPUTED_VALUE"""),"Большой магазин Лента")</f>
        <v>Большой магазин Лента</v>
      </c>
      <c r="F1621" s="6" t="str">
        <f>IFERROR(__xludf.DUMMYFUNCTION("""COMPUTED_VALUE"""),"Переехал сюда из другого места (откуда? укажите в графе другое), Магадана")</f>
        <v>Переехал сюда из другого места (откуда? укажите в графе другое), Магадана</v>
      </c>
      <c r="G1621" s="6" t="str">
        <f>IFERROR(__xludf.DUMMYFUNCTION("""COMPUTED_VALUE"""),"Патриотов ")</f>
        <v>Патриотов </v>
      </c>
      <c r="H1621" s="6" t="str">
        <f>IFERROR(__xludf.DUMMYFUNCTION("""COMPUTED_VALUE"""),"Смог, кислый ядовитый запах, грязный, разбитые трамваи и автобусы")</f>
        <v>Смог, кислый ядовитый запах, грязный, разбитые трамваи и автобусы</v>
      </c>
      <c r="I1621" s="6" t="str">
        <f>IFERROR(__xludf.DUMMYFUNCTION("""COMPUTED_VALUE"""),"Тулеев")</f>
        <v>Тулеев</v>
      </c>
      <c r="J1621" s="6" t="str">
        <f>IFERROR(__xludf.DUMMYFUNCTION("""COMPUTED_VALUE"""),"Тулеев")</f>
        <v>Тулеев</v>
      </c>
      <c r="K1621" s="6" t="str">
        <f>IFERROR(__xludf.DUMMYFUNCTION("""COMPUTED_VALUE"""),"Памятник шахтеру")</f>
        <v>Памятник шахтеру</v>
      </c>
      <c r="L1621" s="6" t="str">
        <f>IFERROR(__xludf.DUMMYFUNCTION("""COMPUTED_VALUE"""),"Не знаю")</f>
        <v>Не знаю</v>
      </c>
      <c r="M1621" s="6" t="str">
        <f>IFERROR(__xludf.DUMMYFUNCTION("""COMPUTED_VALUE"""),"Мультифора, строгалка")</f>
        <v>Мультифора, строгалка</v>
      </c>
      <c r="N1621" s="6" t="str">
        <f>IFERROR(__xludf.DUMMYFUNCTION("""COMPUTED_VALUE"""),"Чистота, доступный транспорт, наличие больниц ( на Южном больница в барачном здании), больше парковых зелёных зон, больше пешеходных дорожек, на Южном их не достаточно, в центр пешком не дойдёшь ( частный сектор без дорог и с кидающимися собаками)")</f>
        <v>Чистота, доступный транспорт, наличие больниц ( на Южном больница в барачном здании), больше парковых зелёных зон, больше пешеходных дорожек, на Южном их не достаточно, в центр пешком не дойдёшь ( частный сектор без дорог и с кидающимися собаками)</v>
      </c>
      <c r="O1621" s="6" t="str">
        <f>IFERROR(__xludf.DUMMYFUNCTION("""COMPUTED_VALUE"""),"Разобраться с собаками как бездомными, так и с хозяевами домашних собак заглаживают все улицы и не убирают за своими зверями. Больницу на Южном постройте ")</f>
        <v>Разобраться с собаками как бездомными, так и с хозяевами домашних собак заглаживают все улицы и не убирают за своими зверями. Больницу на Южном постройте </v>
      </c>
      <c r="P1621" s="6" t="str">
        <f>IFERROR(__xludf.DUMMYFUNCTION("""COMPUTED_VALUE"""),"Инстаграм ")</f>
        <v>Инстаграм </v>
      </c>
      <c r="Q1621"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1621" s="6" t="str">
        <f>IFERROR(__xludf.DUMMYFUNCTION("""COMPUTED_VALUE"""),"Нет таких")</f>
        <v>Нет таких</v>
      </c>
      <c r="S1621" s="6" t="str">
        <f>IFERROR(__xludf.DUMMYFUNCTION("""COMPUTED_VALUE"""),"Нет, не приходилось")</f>
        <v>Нет, не приходилось</v>
      </c>
      <c r="T1621" s="6" t="str">
        <f>IFERROR(__xludf.DUMMYFUNCTION("""COMPUTED_VALUE"""),"Зимняя вишня")</f>
        <v>Зимняя вишня</v>
      </c>
      <c r="U1621" s="6" t="str">
        <f>IFERROR(__xludf.DUMMYFUNCTION("""COMPUTED_VALUE"""),"Главпочтамт ")</f>
        <v>Главпочтамт </v>
      </c>
      <c r="V1621" s="6" t="str">
        <f>IFERROR(__xludf.DUMMYFUNCTION("""COMPUTED_VALUE"""),"Добыча угля")</f>
        <v>Добыча угля</v>
      </c>
      <c r="W1621" s="6" t="str">
        <f>IFERROR(__xludf.DUMMYFUNCTION("""COMPUTED_VALUE"""),"Отсутствие культуры поведения в общественных местах")</f>
        <v>Отсутствие культуры поведения в общественных местах</v>
      </c>
      <c r="X1621" s="6" t="str">
        <f>IFERROR(__xludf.DUMMYFUNCTION("""COMPUTED_VALUE"""),"Парк чудес")</f>
        <v>Парк чудес</v>
      </c>
      <c r="Y1621" s="6" t="str">
        <f>IFERROR(__xludf.DUMMYFUNCTION("""COMPUTED_VALUE"""),"Не знаю")</f>
        <v>Не знаю</v>
      </c>
      <c r="Z1621" s="6" t="str">
        <f>IFERROR(__xludf.DUMMYFUNCTION("""COMPUTED_VALUE"""),"Нет таких")</f>
        <v>Нет таких</v>
      </c>
      <c r="AA1621" s="6" t="str">
        <f>IFERROR(__xludf.DUMMYFUNCTION("""COMPUTED_VALUE"""),"Квартал Дружбы так и не могут сдать")</f>
        <v>Квартал Дружбы так и не могут сдать</v>
      </c>
      <c r="AB1621" s="6" t="str">
        <f>IFERROR(__xludf.DUMMYFUNCTION("""COMPUTED_VALUE"""),"Нет таких")</f>
        <v>Нет таких</v>
      </c>
      <c r="AC1621" s="6" t="str">
        <f>IFERROR(__xludf.DUMMYFUNCTION("""COMPUTED_VALUE"""),"Для пенсионеров клуб по интересам по больше ")</f>
        <v>Для пенсионеров клуб по интересам по больше </v>
      </c>
      <c r="AD1621" s="6" t="str">
        <f>IFERROR(__xludf.DUMMYFUNCTION("""COMPUTED_VALUE"""),"Профессионала. Обучать, проводить занятия, мастер-классы, лекции, тренинги, оказать консультацию (укажите тему в поле ""Другое""), Финансовая грамотность")</f>
        <v>Профессионала. Обучать, проводить занятия, мастер-классы, лекции, тренинги, оказать консультацию (укажите тему в поле "Другое"), Финансовая грамотность</v>
      </c>
      <c r="AE1621" s="6" t="str">
        <f>IFERROR(__xludf.DUMMYFUNCTION("""COMPUTED_VALUE"""),"Женский")</f>
        <v>Женский</v>
      </c>
      <c r="AF1621" s="6" t="str">
        <f>IFERROR(__xludf.DUMMYFUNCTION("""COMPUTED_VALUE"""),"45-55")</f>
        <v>45-55</v>
      </c>
      <c r="AG1621" s="6"/>
      <c r="AH1621" s="6"/>
      <c r="AI1621" s="6"/>
      <c r="AJ1621" s="6"/>
      <c r="AK1621" s="6"/>
      <c r="AL1621" s="6"/>
      <c r="AM1621" s="6"/>
    </row>
    <row r="1622">
      <c r="A1622" s="6">
        <v>1621.0</v>
      </c>
      <c r="B1622" s="6" t="str">
        <f>IFERROR(__xludf.DUMMYFUNCTION("""COMPUTED_VALUE"""),"Юрист ")</f>
        <v>Юрист </v>
      </c>
      <c r="C1622" s="6" t="str">
        <f>IFERROR(__xludf.DUMMYFUNCTION("""COMPUTED_VALUE"""),"Украшать женщин")</f>
        <v>Украшать женщин</v>
      </c>
      <c r="D1622" s="6" t="str">
        <f>IFERROR(__xludf.DUMMYFUNCTION("""COMPUTED_VALUE"""),"Центральный ")</f>
        <v>Центральный </v>
      </c>
      <c r="E1622" s="6" t="str">
        <f>IFERROR(__xludf.DUMMYFUNCTION("""COMPUTED_VALUE"""),"Парк юбилейный ")</f>
        <v>Парк юбилейный </v>
      </c>
      <c r="F1622" s="6" t="str">
        <f>IFERROR(__xludf.DUMMYFUNCTION("""COMPUTED_VALUE"""),"Живу здесь с рождения")</f>
        <v>Живу здесь с рождения</v>
      </c>
      <c r="G1622" s="6" t="str">
        <f>IFERROR(__xludf.DUMMYFUNCTION("""COMPUTED_VALUE"""),"Набережная и сосновый бор")</f>
        <v>Набережная и сосновый бор</v>
      </c>
      <c r="H1622" s="6" t="str">
        <f>IFERROR(__xludf.DUMMYFUNCTION("""COMPUTED_VALUE"""),"Уютный светлый обновлённый но грязный и пыльный")</f>
        <v>Уютный светлый обновлённый но грязный и пыльный</v>
      </c>
      <c r="I1622" s="6" t="str">
        <f>IFERROR(__xludf.DUMMYFUNCTION("""COMPUTED_VALUE"""),"Леонов")</f>
        <v>Леонов</v>
      </c>
      <c r="J1622" s="6" t="str">
        <f>IFERROR(__xludf.DUMMYFUNCTION("""COMPUTED_VALUE"""),"Таковых нет")</f>
        <v>Таковых нет</v>
      </c>
      <c r="K1622" s="6" t="str">
        <f>IFERROR(__xludf.DUMMYFUNCTION("""COMPUTED_VALUE"""),"Памятник Шахтеров - набережную - сосновый Бор - Томскую писаницу ")</f>
        <v>Памятник Шахтеров - набережную - сосновый Бор - Томскую писаницу </v>
      </c>
      <c r="L1622" s="6" t="str">
        <f>IFERROR(__xludf.DUMMYFUNCTION("""COMPUTED_VALUE"""),"-")</f>
        <v>-</v>
      </c>
      <c r="M1622" s="6" t="str">
        <f>IFERROR(__xludf.DUMMYFUNCTION("""COMPUTED_VALUE"""),"Таких нет")</f>
        <v>Таких нет</v>
      </c>
      <c r="N1622" s="6" t="str">
        <f>IFERROR(__xludf.DUMMYFUNCTION("""COMPUTED_VALUE"""),"Чистота, дороги, деревья 🌲 цветы 🌺, доступность транспорта, воздух")</f>
        <v>Чистота, дороги, деревья 🌲 цветы 🌺, доступность транспорта, воздух</v>
      </c>
      <c r="O1622" s="6" t="str">
        <f>IFERROR(__xludf.DUMMYFUNCTION("""COMPUTED_VALUE"""),"Чистоту во дворах")</f>
        <v>Чистоту во дворах</v>
      </c>
      <c r="P1622" s="6" t="str">
        <f>IFERROR(__xludf.DUMMYFUNCTION("""COMPUTED_VALUE"""),"Интернет Инстаграм ")</f>
        <v>Интернет Инстаграм </v>
      </c>
      <c r="Q162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предпринимателями, криминальные новости (происшествия/преступления), результаты местных исследований (рейтинги/аналит"&amp;"ика/тенденции), интервью с экспертами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предпринимателями,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1622" s="6" t="str">
        <f>IFERROR(__xludf.DUMMYFUNCTION("""COMPUTED_VALUE"""),"9 мая-новый год")</f>
        <v>9 мая-новый год</v>
      </c>
      <c r="S1622" s="6" t="str">
        <f>IFERROR(__xludf.DUMMYFUNCTION("""COMPUTED_VALUE"""),"Нет, не приходилось")</f>
        <v>Нет, не приходилось</v>
      </c>
      <c r="T1622" s="6" t="str">
        <f>IFERROR(__xludf.DUMMYFUNCTION("""COMPUTED_VALUE"""),"Сложно сказать ")</f>
        <v>Сложно сказать </v>
      </c>
      <c r="U1622" s="6" t="str">
        <f>IFERROR(__xludf.DUMMYFUNCTION("""COMPUTED_VALUE"""),"Набережная")</f>
        <v>Набережная</v>
      </c>
      <c r="V1622" s="6" t="str">
        <f>IFERROR(__xludf.DUMMYFUNCTION("""COMPUTED_VALUE"""),"-")</f>
        <v>-</v>
      </c>
      <c r="W1622" s="6" t="str">
        <f>IFERROR(__xludf.DUMMYFUNCTION("""COMPUTED_VALUE"""),"Думаю больше добрые и отзывчивые")</f>
        <v>Думаю больше добрые и отзывчивые</v>
      </c>
      <c r="X1622" s="6" t="str">
        <f>IFERROR(__xludf.DUMMYFUNCTION("""COMPUTED_VALUE"""),"Набережная")</f>
        <v>Набережная</v>
      </c>
      <c r="Y1622" s="6" t="str">
        <f>IFERROR(__xludf.DUMMYFUNCTION("""COMPUTED_VALUE"""),"Финал хоккея с мячом")</f>
        <v>Финал хоккея с мячом</v>
      </c>
      <c r="Z1622" s="6" t="str">
        <f>IFERROR(__xludf.DUMMYFUNCTION("""COMPUTED_VALUE"""),"Такие были?")</f>
        <v>Такие были?</v>
      </c>
      <c r="AA1622" s="6" t="str">
        <f>IFERROR(__xludf.DUMMYFUNCTION("""COMPUTED_VALUE"""),"Митинги")</f>
        <v>Митинги</v>
      </c>
      <c r="AB1622" s="6" t="str">
        <f>IFERROR(__xludf.DUMMYFUNCTION("""COMPUTED_VALUE"""),"Защиты животных ")</f>
        <v>Защиты животных </v>
      </c>
      <c r="AC1622" s="6" t="str">
        <f>IFERROR(__xludf.DUMMYFUNCTION("""COMPUTED_VALUE"""),"Бассейн 🏊‍♀️ очень нахватает, масштабное гуляние праздников")</f>
        <v>Бассейн 🏊‍♀️ очень нахватает, масштабное гуляние праздников</v>
      </c>
      <c r="AD162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622" s="6" t="str">
        <f>IFERROR(__xludf.DUMMYFUNCTION("""COMPUTED_VALUE"""),"Женский")</f>
        <v>Женский</v>
      </c>
      <c r="AF1622" s="6" t="str">
        <f>IFERROR(__xludf.DUMMYFUNCTION("""COMPUTED_VALUE"""),"30-44")</f>
        <v>30-44</v>
      </c>
      <c r="AG1622" s="6"/>
      <c r="AH1622" s="6"/>
      <c r="AI1622" s="6"/>
      <c r="AJ1622" s="6"/>
      <c r="AK1622" s="6"/>
      <c r="AL1622" s="6"/>
      <c r="AM1622" s="6"/>
    </row>
    <row r="1623">
      <c r="A1623" s="6">
        <v>1622.0</v>
      </c>
      <c r="B1623" s="6" t="str">
        <f>IFERROR(__xludf.DUMMYFUNCTION("""COMPUTED_VALUE"""),"В декрете")</f>
        <v>В декрете</v>
      </c>
      <c r="C1623" s="6" t="str">
        <f>IFERROR(__xludf.DUMMYFUNCTION("""COMPUTED_VALUE"""),"Нет")</f>
        <v>Нет</v>
      </c>
      <c r="D1623" s="6" t="str">
        <f>IFERROR(__xludf.DUMMYFUNCTION("""COMPUTED_VALUE"""),"Радуга")</f>
        <v>Радуга</v>
      </c>
      <c r="E1623" s="6" t="str">
        <f>IFERROR(__xludf.DUMMYFUNCTION("""COMPUTED_VALUE"""),"Бор")</f>
        <v>Бор</v>
      </c>
      <c r="F1623" s="6" t="str">
        <f>IFERROR(__xludf.DUMMYFUNCTION("""COMPUTED_VALUE"""),"Живу здесь с рождения")</f>
        <v>Живу здесь с рождения</v>
      </c>
      <c r="G1623" s="6" t="str">
        <f>IFERROR(__xludf.DUMMYFUNCTION("""COMPUTED_VALUE"""),"Набережная, бор")</f>
        <v>Набережная, бор</v>
      </c>
      <c r="H1623" s="6" t="str">
        <f>IFERROR(__xludf.DUMMYFUNCTION("""COMPUTED_VALUE"""),"Уголь, плохие дороги, онкология, плохая медицина, ")</f>
        <v>Уголь, плохие дороги, онкология, плохая медицина, </v>
      </c>
      <c r="I1623" s="6" t="str">
        <f>IFERROR(__xludf.DUMMYFUNCTION("""COMPUTED_VALUE"""),"Волков")</f>
        <v>Волков</v>
      </c>
      <c r="J1623" s="6" t="str">
        <f>IFERROR(__xludf.DUMMYFUNCTION("""COMPUTED_VALUE"""),"Тулеев")</f>
        <v>Тулеев</v>
      </c>
      <c r="K1623" s="6" t="str">
        <f>IFERROR(__xludf.DUMMYFUNCTION("""COMPUTED_VALUE"""),"Томская писаница")</f>
        <v>Томская писаница</v>
      </c>
      <c r="L1623" s="6" t="str">
        <f>IFERROR(__xludf.DUMMYFUNCTION("""COMPUTED_VALUE"""),"Кемерово- жопа мира")</f>
        <v>Кемерово- жопа мира</v>
      </c>
      <c r="M1623" s="6" t="str">
        <f>IFERROR(__xludf.DUMMYFUNCTION("""COMPUTED_VALUE"""),"Мультифора")</f>
        <v>Мультифора</v>
      </c>
      <c r="N1623" s="6" t="str">
        <f>IFERROR(__xludf.DUMMYFUNCTION("""COMPUTED_VALUE"""),"Нет таких")</f>
        <v>Нет таких</v>
      </c>
      <c r="O1623" s="6" t="str">
        <f>IFERROR(__xludf.DUMMYFUNCTION("""COMPUTED_VALUE"""),"Медицину сделать доступной и качественной")</f>
        <v>Медицину сделать доступной и качественной</v>
      </c>
      <c r="P1623" s="6" t="str">
        <f>IFERROR(__xludf.DUMMYFUNCTION("""COMPUTED_VALUE"""),"От друзей")</f>
        <v>От друзей</v>
      </c>
      <c r="Q1623"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623" s="6" t="str">
        <f>IFERROR(__xludf.DUMMYFUNCTION("""COMPUTED_VALUE"""),"Новый год")</f>
        <v>Новый год</v>
      </c>
      <c r="S1623" s="6" t="str">
        <f>IFERROR(__xludf.DUMMYFUNCTION("""COMPUTED_VALUE"""),"Нет, не приходилось")</f>
        <v>Нет, не приходилось</v>
      </c>
      <c r="T1623" s="6" t="str">
        <f>IFERROR(__xludf.DUMMYFUNCTION("""COMPUTED_VALUE"""),"Углем и тулеевым")</f>
        <v>Углем и тулеевым</v>
      </c>
      <c r="U1623" s="6" t="str">
        <f>IFERROR(__xludf.DUMMYFUNCTION("""COMPUTED_VALUE"""),"Драм театр")</f>
        <v>Драм театр</v>
      </c>
      <c r="V1623" s="6" t="str">
        <f>IFERROR(__xludf.DUMMYFUNCTION("""COMPUTED_VALUE"""),"Построили мост ")</f>
        <v>Построили мост </v>
      </c>
      <c r="W1623" s="6" t="str">
        <f>IFERROR(__xludf.DUMMYFUNCTION("""COMPUTED_VALUE"""),"Злые и положенные проблемами отсутствия денег, работы и медецины")</f>
        <v>Злые и положенные проблемами отсутствия денег, работы и медецины</v>
      </c>
      <c r="X1623" s="6" t="str">
        <f>IFERROR(__xludf.DUMMYFUNCTION("""COMPUTED_VALUE"""),"Набережная")</f>
        <v>Набережная</v>
      </c>
      <c r="Y1623" s="6" t="str">
        <f>IFERROR(__xludf.DUMMYFUNCTION("""COMPUTED_VALUE"""),"Не могу сказать")</f>
        <v>Не могу сказать</v>
      </c>
      <c r="Z1623" s="6" t="str">
        <f>IFERROR(__xludf.DUMMYFUNCTION("""COMPUTED_VALUE"""),"Нет таких")</f>
        <v>Нет таких</v>
      </c>
      <c r="AA1623" s="6" t="str">
        <f>IFERROR(__xludf.DUMMYFUNCTION("""COMPUTED_VALUE"""),"Пожар в зимней вишне")</f>
        <v>Пожар в зимней вишне</v>
      </c>
      <c r="AB1623" s="6" t="str">
        <f>IFERROR(__xludf.DUMMYFUNCTION("""COMPUTED_VALUE"""),"Позитивных")</f>
        <v>Позитивных</v>
      </c>
      <c r="AC1623" s="6" t="str">
        <f>IFERROR(__xludf.DUMMYFUNCTION("""COMPUTED_VALUE"""),"Сделать спорт доступным для людей. Развивать культуру")</f>
        <v>Сделать спорт доступным для людей. Развивать культуру</v>
      </c>
      <c r="AD162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23" s="6" t="str">
        <f>IFERROR(__xludf.DUMMYFUNCTION("""COMPUTED_VALUE"""),"Женский")</f>
        <v>Женский</v>
      </c>
      <c r="AF1623" s="6" t="str">
        <f>IFERROR(__xludf.DUMMYFUNCTION("""COMPUTED_VALUE"""),"30-44")</f>
        <v>30-44</v>
      </c>
      <c r="AG1623" s="6"/>
      <c r="AH1623" s="6"/>
      <c r="AI1623" s="6"/>
      <c r="AJ1623" s="6"/>
      <c r="AK1623" s="6"/>
      <c r="AL1623" s="6"/>
      <c r="AM1623" s="6"/>
    </row>
    <row r="1624">
      <c r="A1624" s="6">
        <v>1623.0</v>
      </c>
      <c r="B1624" s="6" t="str">
        <f>IFERROR(__xludf.DUMMYFUNCTION("""COMPUTED_VALUE"""),"Продажа Недвижимости")</f>
        <v>Продажа Недвижимости</v>
      </c>
      <c r="C1624" s="6" t="str">
        <f>IFERROR(__xludf.DUMMYFUNCTION("""COMPUTED_VALUE"""),"Автомобильный тюнинг ")</f>
        <v>Автомобильный тюнинг </v>
      </c>
      <c r="D1624" s="6" t="str">
        <f>IFERROR(__xludf.DUMMYFUNCTION("""COMPUTED_VALUE"""),"Центральный ")</f>
        <v>Центральный </v>
      </c>
      <c r="E1624" s="6" t="str">
        <f>IFERROR(__xludf.DUMMYFUNCTION("""COMPUTED_VALUE"""),"Парк Волошиной ")</f>
        <v>Парк Волошиной </v>
      </c>
      <c r="F162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624" s="6" t="str">
        <f>IFERROR(__xludf.DUMMYFUNCTION("""COMPUTED_VALUE"""),"Набережная ")</f>
        <v>Набережная </v>
      </c>
      <c r="H1624" s="6" t="str">
        <f>IFERROR(__xludf.DUMMYFUNCTION("""COMPUTED_VALUE"""),"Пробки, суета, движение, возможности, рост")</f>
        <v>Пробки, суета, движение, возможности, рост</v>
      </c>
      <c r="I1624" s="6" t="str">
        <f>IFERROR(__xludf.DUMMYFUNCTION("""COMPUTED_VALUE"""),"Леонов")</f>
        <v>Леонов</v>
      </c>
      <c r="J1624" s="6" t="str">
        <f>IFERROR(__xludf.DUMMYFUNCTION("""COMPUTED_VALUE"""),"Михайлов")</f>
        <v>Михайлов</v>
      </c>
      <c r="K1624" s="6" t="str">
        <f>IFERROR(__xludf.DUMMYFUNCTION("""COMPUTED_VALUE"""),"Лесная поляна")</f>
        <v>Лесная поляна</v>
      </c>
      <c r="L1624" s="6" t="str">
        <f>IFERROR(__xludf.DUMMYFUNCTION("""COMPUTED_VALUE"""),"Не знаю таких")</f>
        <v>Не знаю таких</v>
      </c>
      <c r="M1624" s="6" t="str">
        <f>IFERROR(__xludf.DUMMYFUNCTION("""COMPUTED_VALUE"""),"Человек из Кемерово ")</f>
        <v>Человек из Кемерово </v>
      </c>
      <c r="N1624" s="6" t="str">
        <f>IFERROR(__xludf.DUMMYFUNCTION("""COMPUTED_VALUE"""),"Отсутствие пробок, чистота улиц, отремонтированные дороги, дома, зелёные улицы, ")</f>
        <v>Отсутствие пробок, чистота улиц, отремонтированные дороги, дома, зелёные улицы, </v>
      </c>
      <c r="O1624" s="6" t="str">
        <f>IFERROR(__xludf.DUMMYFUNCTION("""COMPUTED_VALUE"""),"Отношение друг к другу ")</f>
        <v>Отношение друг к другу </v>
      </c>
      <c r="P1624" s="6" t="str">
        <f>IFERROR(__xludf.DUMMYFUNCTION("""COMPUTED_VALUE"""),"Инстаграм ")</f>
        <v>Инстаграм </v>
      </c>
      <c r="Q1624" s="6" t="str">
        <f>IFERROR(__xludf.DUMMYFUNCTION("""COMPUTED_VALUE"""),"куда пойти в свободное время, интервью с местными предпринимателями, интервью с экспертами на разные темы (напишите в разделе Другое свои предложения)")</f>
        <v>куда пойти в свободное время, интервью с местными предпринимателями, интервью с экспертами на разные темы (напишите в разделе Другое свои предложения)</v>
      </c>
      <c r="R1624" s="6" t="str">
        <f>IFERROR(__xludf.DUMMYFUNCTION("""COMPUTED_VALUE"""),"9-е мая, день города, день шахтера")</f>
        <v>9-е мая, день города, день шахтера</v>
      </c>
      <c r="S1624" s="6" t="str">
        <f>IFERROR(__xludf.DUMMYFUNCTION("""COMPUTED_VALUE"""),"Нет, не приходилось")</f>
        <v>Нет, не приходилось</v>
      </c>
      <c r="T1624" s="6" t="str">
        <f>IFERROR(__xludf.DUMMYFUNCTION("""COMPUTED_VALUE"""),"Ни чего ")</f>
        <v>Ни чего </v>
      </c>
      <c r="U1624" s="6" t="str">
        <f>IFERROR(__xludf.DUMMYFUNCTION("""COMPUTED_VALUE"""),"Площадь ")</f>
        <v>Площадь </v>
      </c>
      <c r="V1624" s="6" t="str">
        <f>IFERROR(__xludf.DUMMYFUNCTION("""COMPUTED_VALUE"""),"Нет ответа")</f>
        <v>Нет ответа</v>
      </c>
      <c r="W1624" s="6" t="str">
        <f>IFERROR(__xludf.DUMMYFUNCTION("""COMPUTED_VALUE"""),"Тяжелые на подъем ")</f>
        <v>Тяжелые на подъем </v>
      </c>
      <c r="X1624" s="6" t="str">
        <f>IFERROR(__xludf.DUMMYFUNCTION("""COMPUTED_VALUE"""),"Набережная ")</f>
        <v>Набережная </v>
      </c>
      <c r="Y1624" s="6" t="str">
        <f>IFERROR(__xludf.DUMMYFUNCTION("""COMPUTED_VALUE"""),"Д р стройсервис")</f>
        <v>Д р стройсервис</v>
      </c>
      <c r="Z1624" s="6" t="str">
        <f>IFERROR(__xludf.DUMMYFUNCTION("""COMPUTED_VALUE"""),"Строительство спорт арены")</f>
        <v>Строительство спорт арены</v>
      </c>
      <c r="AA1624" s="6" t="str">
        <f>IFERROR(__xludf.DUMMYFUNCTION("""COMPUTED_VALUE"""),"Зимняя вишня")</f>
        <v>Зимняя вишня</v>
      </c>
      <c r="AB1624" s="6" t="str">
        <f>IFERROR(__xludf.DUMMYFUNCTION("""COMPUTED_VALUE"""),"Алмазной мудрости")</f>
        <v>Алмазной мудрости</v>
      </c>
      <c r="AC1624" s="6" t="str">
        <f>IFERROR(__xludf.DUMMYFUNCTION("""COMPUTED_VALUE"""),"Спортивные массовые мероприятия")</f>
        <v>Спортивные массовые мероприятия</v>
      </c>
      <c r="AD162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24" s="6" t="str">
        <f>IFERROR(__xludf.DUMMYFUNCTION("""COMPUTED_VALUE"""),"Мужской")</f>
        <v>Мужской</v>
      </c>
      <c r="AF1624" s="6" t="str">
        <f>IFERROR(__xludf.DUMMYFUNCTION("""COMPUTED_VALUE"""),"30-44")</f>
        <v>30-44</v>
      </c>
      <c r="AG1624" s="6"/>
      <c r="AH1624" s="6"/>
      <c r="AI1624" s="6"/>
      <c r="AJ1624" s="6"/>
      <c r="AK1624" s="6"/>
      <c r="AL1624" s="6"/>
      <c r="AM1624" s="6"/>
    </row>
    <row r="1625">
      <c r="A1625" s="6">
        <v>1624.0</v>
      </c>
      <c r="B1625" s="6" t="str">
        <f>IFERROR(__xludf.DUMMYFUNCTION("""COMPUTED_VALUE"""),"Юрист")</f>
        <v>Юрист</v>
      </c>
      <c r="C1625" s="6" t="str">
        <f>IFERROR(__xludf.DUMMYFUNCTION("""COMPUTED_VALUE"""),"Дача")</f>
        <v>Дача</v>
      </c>
      <c r="D1625" s="6" t="str">
        <f>IFERROR(__xludf.DUMMYFUNCTION("""COMPUTED_VALUE"""),"Заводский (Фпк)")</f>
        <v>Заводский (Фпк)</v>
      </c>
      <c r="E1625" s="6" t="str">
        <f>IFERROR(__xludf.DUMMYFUNCTION("""COMPUTED_VALUE"""),"Парк В. Волошиной")</f>
        <v>Парк В. Волошиной</v>
      </c>
      <c r="F1625" s="6" t="str">
        <f>IFERROR(__xludf.DUMMYFUNCTION("""COMPUTED_VALUE"""),"Живу здесь с рождения")</f>
        <v>Живу здесь с рождения</v>
      </c>
      <c r="G1625" s="6" t="str">
        <f>IFERROR(__xludf.DUMMYFUNCTION("""COMPUTED_VALUE"""),"Кинотеатр Гринвич, парк В. Волошиной")</f>
        <v>Кинотеатр Гринвич, парк В. Волошиной</v>
      </c>
      <c r="H1625" s="6" t="str">
        <f>IFERROR(__xludf.DUMMYFUNCTION("""COMPUTED_VALUE"""),"Сильный, сибиряк, прогресивный, новый, родной")</f>
        <v>Сильный, сибиряк, прогресивный, новый, родной</v>
      </c>
      <c r="I1625" s="6" t="str">
        <f>IFERROR(__xludf.DUMMYFUNCTION("""COMPUTED_VALUE"""),"Леонов, Волков, Мартемьянов, Подгорбунский")</f>
        <v>Леонов, Волков, Мартемьянов, Подгорбунский</v>
      </c>
      <c r="J1625" s="6" t="str">
        <f>IFERROR(__xludf.DUMMYFUNCTION("""COMPUTED_VALUE"""),"Тулеев, Цивилев")</f>
        <v>Тулеев, Цивилев</v>
      </c>
      <c r="K1625" s="6" t="str">
        <f>IFERROR(__xludf.DUMMYFUNCTION("""COMPUTED_VALUE"""),"Томская Писаница,шахта, завод")</f>
        <v>Томская Писаница,шахта, завод</v>
      </c>
      <c r="L1625" s="6" t="str">
        <f>IFERROR(__xludf.DUMMYFUNCTION("""COMPUTED_VALUE"""),"История: поиск руды - Михайло Волков.")</f>
        <v>История: поиск руды - Михайло Волков.</v>
      </c>
      <c r="M1625" s="6" t="str">
        <f>IFERROR(__xludf.DUMMYFUNCTION("""COMPUTED_VALUE"""),"Колба вместо черемши ")</f>
        <v>Колба вместо черемши </v>
      </c>
      <c r="N1625" s="6" t="str">
        <f>IFERROR(__xludf.DUMMYFUNCTION("""COMPUTED_VALUE"""),"Комфортные пешеходные и вело зоны, хорошие дороги, достаточное количество парковочных мест, современные детские площадки в каждом дворе, парк в каждом районе, современные места для молодежи.")</f>
        <v>Комфортные пешеходные и вело зоны, хорошие дороги, достаточное количество парковочных мест, современные детские площадки в каждом дворе, парк в каждом районе, современные места для молодежи.</v>
      </c>
      <c r="O1625" s="6" t="str">
        <f>IFERROR(__xludf.DUMMYFUNCTION("""COMPUTED_VALUE"""),"Проводить работу с населением ""чистый город там где не мусорят!"".")</f>
        <v>Проводить работу с населением "чистый город там где не мусорят!".</v>
      </c>
      <c r="P1625" s="6" t="str">
        <f>IFERROR(__xludf.DUMMYFUNCTION("""COMPUTED_VALUE""")," Instasam,  ВКонтакте, новости Кемерово по телевизору")</f>
        <v> Instasam,  ВКонтакте, новости Кемерово по телевизору</v>
      </c>
      <c r="Q1625" s="6" t="str">
        <f>IFERROR(__xludf.DUMMYFUNCTION("""COMPUTED_VALUE"""),"куда пойти в свободное время, городская афиша (кино/театр/концерты),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"&amp;"Инфо для молодежи в соцсетях")</f>
        <v>куда пойти в свободное время, городская афиша (кино/театр/концерты),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Инфо для молодежи в соцсетях</v>
      </c>
      <c r="R1625" s="6" t="str">
        <f>IFERROR(__xludf.DUMMYFUNCTION("""COMPUTED_VALUE"""),"День Победы")</f>
        <v>День Победы</v>
      </c>
      <c r="S1625" s="6" t="str">
        <f>IFERROR(__xludf.DUMMYFUNCTION("""COMPUTED_VALUE"""),"Нет, не приходилось")</f>
        <v>Нет, не приходилось</v>
      </c>
      <c r="T1625" s="6" t="str">
        <f>IFERROR(__xludf.DUMMYFUNCTION("""COMPUTED_VALUE"""),"Сибирским характером, силой духа жителей")</f>
        <v>Сибирским характером, силой духа жителей</v>
      </c>
      <c r="U1625" s="6" t="str">
        <f>IFERROR(__xludf.DUMMYFUNCTION("""COMPUTED_VALUE"""),"Вечный Огонь и аллея славы, Драмтеатр, набережная, парк В. Волошиной, аэропорт им. Леонова, парк Чудес, парк Ангелов")</f>
        <v>Вечный Огонь и аллея славы, Драмтеатр, набережная, парк В. Волошиной, аэропорт им. Леонова, парк Чудес, парк Ангелов</v>
      </c>
      <c r="V1625" s="6" t="str">
        <f>IFERROR(__xludf.DUMMYFUNCTION("""COMPUTED_VALUE"""),"Озеленение города ")</f>
        <v>Озеленение города </v>
      </c>
      <c r="W1625" s="6" t="str">
        <f>IFERROR(__xludf.DUMMYFUNCTION("""COMPUTED_VALUE"""),"Сильный и справедливый сибиряк
")</f>
        <v>Сильный и справедливый сибиряк
</v>
      </c>
      <c r="X1625" s="6" t="str">
        <f>IFERROR(__xludf.DUMMYFUNCTION("""COMPUTED_VALUE"""),"Набережная, Весенняя, Драмтеатр, парк Ангелов")</f>
        <v>Набережная, Весенняя, Драмтеатр, парк Ангелов</v>
      </c>
      <c r="Y1625" s="6" t="str">
        <f>IFERROR(__xludf.DUMMYFUNCTION("""COMPUTED_VALUE"""),"1965 г., 18 марта— впервые человек вышел в открытый космос, им был наш земляк Алексей Архипович Леонов.")</f>
        <v>1965 г., 18 марта— впервые человек вышел в открытый космос, им был наш земляк Алексей Архипович Леонов.</v>
      </c>
      <c r="Z1625" s="6" t="str">
        <f>IFERROR(__xludf.DUMMYFUNCTION("""COMPUTED_VALUE"""),"Строительство новых объектов ")</f>
        <v>Строительство новых объектов </v>
      </c>
      <c r="AA1625" s="6" t="str">
        <f>IFERROR(__xludf.DUMMYFUNCTION("""COMPUTED_VALUE"""),"Трагедия в Зимней вишне")</f>
        <v>Трагедия в Зимней вишне</v>
      </c>
      <c r="AB1625" s="6" t="str">
        <f>IFERROR(__xludf.DUMMYFUNCTION("""COMPUTED_VALUE"""),"затрудняюсь с ответом")</f>
        <v>затрудняюсь с ответом</v>
      </c>
      <c r="AC1625" s="6" t="str">
        <f>IFERROR(__xludf.DUMMYFUNCTION("""COMPUTED_VALUE"""),"Молодёжный форум")</f>
        <v>Молодёжный форум</v>
      </c>
      <c r="AD1625" s="6" t="str">
        <f>IFERROR(__xludf.DUMMYFUNCTION("""COMPUTED_VALUE"""),"Партнера. Скинуться (деньгами, материалами, инструментом) с другими жителями на благоустройство двора, микрорайона, Коммуникатора: Готов задействовать свои знакомства для приглашения потенциально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Коммуникатора: Готов задействовать свои знакомства для приглашения потенциально заинтересованных участников</v>
      </c>
      <c r="AE1625" s="6" t="str">
        <f>IFERROR(__xludf.DUMMYFUNCTION("""COMPUTED_VALUE"""),"Женский")</f>
        <v>Женский</v>
      </c>
      <c r="AF1625" s="6" t="str">
        <f>IFERROR(__xludf.DUMMYFUNCTION("""COMPUTED_VALUE"""),"30-44")</f>
        <v>30-44</v>
      </c>
      <c r="AG1625" s="6"/>
      <c r="AH1625" s="6"/>
      <c r="AI1625" s="6"/>
      <c r="AJ1625" s="6"/>
      <c r="AK1625" s="6"/>
      <c r="AL1625" s="6"/>
      <c r="AM1625" s="6"/>
    </row>
    <row r="1626">
      <c r="A1626" s="6">
        <v>1625.0</v>
      </c>
      <c r="B1626" s="6" t="str">
        <f>IFERROR(__xludf.DUMMYFUNCTION("""COMPUTED_VALUE"""),"Студень высшего учебного заведения КемГУ")</f>
        <v>Студень высшего учебного заведения КемГУ</v>
      </c>
      <c r="C1626" s="6" t="str">
        <f>IFERROR(__xludf.DUMMYFUNCTION("""COMPUTED_VALUE"""),"Заниматься спортом, много гулять")</f>
        <v>Заниматься спортом, много гулять</v>
      </c>
      <c r="D1626" s="6" t="str">
        <f>IFERROR(__xludf.DUMMYFUNCTION("""COMPUTED_VALUE"""),"Ленинский район. Любимый район.")</f>
        <v>Ленинский район. Любимый район.</v>
      </c>
      <c r="E1626" s="6" t="str">
        <f>IFERROR(__xludf.DUMMYFUNCTION("""COMPUTED_VALUE"""),"Кузбасский парк, Бульвар Строителей")</f>
        <v>Кузбасский парк, Бульвар Строителей</v>
      </c>
      <c r="F1626" s="6" t="str">
        <f>IFERROR(__xludf.DUMMYFUNCTION("""COMPUTED_VALUE"""),"Живу здесь с рождения")</f>
        <v>Живу здесь с рождения</v>
      </c>
      <c r="G1626" s="6" t="str">
        <f>IFERROR(__xludf.DUMMYFUNCTION("""COMPUTED_VALUE"""),"В парки, магазины")</f>
        <v>В парки, магазины</v>
      </c>
      <c r="H1626" s="6" t="str">
        <f>IFERROR(__xludf.DUMMYFUNCTION("""COMPUTED_VALUE"""),"Солнечный, уютный, маленький, спокойный, родной")</f>
        <v>Солнечный, уютный, маленький, спокойный, родной</v>
      </c>
      <c r="I1626" s="6" t="str">
        <f>IFERROR(__xludf.DUMMYFUNCTION("""COMPUTED_VALUE"""),"Дзержинский, Терешкова")</f>
        <v>Дзержинский, Терешкова</v>
      </c>
      <c r="J1626" s="6" t="str">
        <f>IFERROR(__xludf.DUMMYFUNCTION("""COMPUTED_VALUE"""),"Не зевю")</f>
        <v>Не зевю</v>
      </c>
      <c r="K1626" s="6" t="str">
        <f>IFERROR(__xludf.DUMMYFUNCTION("""COMPUTED_VALUE"""),"Набережная, памятник Красная Горка")</f>
        <v>Набережная, памятник Красная Горка</v>
      </c>
      <c r="L1626" s="6" t="str">
        <f>IFERROR(__xludf.DUMMYFUNCTION("""COMPUTED_VALUE"""),"Не знаю")</f>
        <v>Не знаю</v>
      </c>
      <c r="M1626" s="6" t="str">
        <f>IFERROR(__xludf.DUMMYFUNCTION("""COMPUTED_VALUE"""),"Приезжай на радугу. Встретимся на сибиряках.")</f>
        <v>Приезжай на радугу. Встретимся на сибиряках.</v>
      </c>
      <c r="N1626" s="6" t="str">
        <f>IFERROR(__xludf.DUMMYFUNCTION("""COMPUTED_VALUE"""),"Экология, развитая инфраструктура (бассейны, парки), общественный транспорт,  качественное жильё.")</f>
        <v>Экология, развитая инфраструктура (бассейны, парки), общественный транспорт,  качественное жильё.</v>
      </c>
      <c r="O1626" s="6" t="str">
        <f>IFERROR(__xludf.DUMMYFUNCTION("""COMPUTED_VALUE"""),"Качество дорог")</f>
        <v>Качество дорог</v>
      </c>
      <c r="P1626" s="6" t="str">
        <f>IFERROR(__xludf.DUMMYFUNCTION("""COMPUTED_VALUE"""),"Вконтакте")</f>
        <v>Вконтакте</v>
      </c>
      <c r="Q1626" s="6" t="str">
        <f>IFERROR(__xludf.DUMMYFUNCTION("""COMPUTED_VALUE"""),"городская афиша (кино/театр/концерты), криминальные новости (происшествия/преступления), новости про новые профессии/куда поступать/вакансии")</f>
        <v>городская афиша (кино/театр/концерты), криминальные новости (происшествия/преступления), новости про новые профессии/куда поступать/вакансии</v>
      </c>
      <c r="R1626" s="6" t="str">
        <f>IFERROR(__xludf.DUMMYFUNCTION("""COMPUTED_VALUE"""),"День Победы, День Города")</f>
        <v>День Победы, День Города</v>
      </c>
      <c r="S1626" s="6" t="str">
        <f>IFERROR(__xludf.DUMMYFUNCTION("""COMPUTED_VALUE"""),"Нет, не приходилось")</f>
        <v>Нет, не приходилось</v>
      </c>
      <c r="T1626" s="6" t="str">
        <f>IFERROR(__xludf.DUMMYFUNCTION("""COMPUTED_VALUE"""),"Пожаром в Зимней Вишне и угольными месторождениями")</f>
        <v>Пожаром в Зимней Вишне и угольными месторождениями</v>
      </c>
      <c r="U1626" s="6" t="str">
        <f>IFERROR(__xludf.DUMMYFUNCTION("""COMPUTED_VALUE"""),"Площадь Советов")</f>
        <v>Площадь Советов</v>
      </c>
      <c r="V1626" s="6" t="str">
        <f>IFERROR(__xludf.DUMMYFUNCTION("""COMPUTED_VALUE"""),"Не знаю")</f>
        <v>Не знаю</v>
      </c>
      <c r="W1626" s="6" t="str">
        <f>IFERROR(__xludf.DUMMYFUNCTION("""COMPUTED_VALUE"""),"Добрые, простые, открытые")</f>
        <v>Добрые, простые, открытые</v>
      </c>
      <c r="X1626" s="6" t="str">
        <f>IFERROR(__xludf.DUMMYFUNCTION("""COMPUTED_VALUE"""),"От Вокзала до центра")</f>
        <v>От Вокзала до центра</v>
      </c>
      <c r="Y1626" s="6" t="str">
        <f>IFERROR(__xludf.DUMMYFUNCTION("""COMPUTED_VALUE"""),"Не знаю")</f>
        <v>Не знаю</v>
      </c>
      <c r="Z1626" s="6" t="str">
        <f>IFERROR(__xludf.DUMMYFUNCTION("""COMPUTED_VALUE"""),"Их нет")</f>
        <v>Их нет</v>
      </c>
      <c r="AA1626" s="6" t="str">
        <f>IFERROR(__xludf.DUMMYFUNCTION("""COMPUTED_VALUE"""),"Пожар в Зимней Вишне")</f>
        <v>Пожар в Зимней Вишне</v>
      </c>
      <c r="AB1626" s="6" t="str">
        <f>IFERROR(__xludf.DUMMYFUNCTION("""COMPUTED_VALUE"""),"Не знаю")</f>
        <v>Не знаю</v>
      </c>
      <c r="AC1626" s="6" t="str">
        <f>IFERROR(__xludf.DUMMYFUNCTION("""COMPUTED_VALUE"""),"Не знаю")</f>
        <v>Не знаю</v>
      </c>
      <c r="AD1626"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626" s="6" t="str">
        <f>IFERROR(__xludf.DUMMYFUNCTION("""COMPUTED_VALUE"""),"Женский")</f>
        <v>Женский</v>
      </c>
      <c r="AF1626" s="6" t="str">
        <f>IFERROR(__xludf.DUMMYFUNCTION("""COMPUTED_VALUE"""),"18-29")</f>
        <v>18-29</v>
      </c>
      <c r="AG1626" s="6"/>
      <c r="AH1626" s="6"/>
      <c r="AI1626" s="6"/>
      <c r="AJ1626" s="6"/>
      <c r="AK1626" s="6"/>
      <c r="AL1626" s="6"/>
      <c r="AM1626" s="6"/>
    </row>
    <row r="1627">
      <c r="A1627" s="6">
        <v>1626.0</v>
      </c>
      <c r="B1627" s="6" t="str">
        <f>IFERROR(__xludf.DUMMYFUNCTION("""COMPUTED_VALUE"""),"Работаю в Тренажерном зале Администратором")</f>
        <v>Работаю в Тренажерном зале Администратором</v>
      </c>
      <c r="C1627" s="6" t="str">
        <f>IFERROR(__xludf.DUMMYFUNCTION("""COMPUTED_VALUE"""),"Лёгкий бег на стадионе, занятия в тренажерном зале, кальяны.")</f>
        <v>Лёгкий бег на стадионе, занятия в тренажерном зале, кальяны.</v>
      </c>
      <c r="D1627" s="6" t="str">
        <f>IFERROR(__xludf.DUMMYFUNCTION("""COMPUTED_VALUE"""),"Ленинский район")</f>
        <v>Ленинский район</v>
      </c>
      <c r="E1627" s="6" t="str">
        <f>IFERROR(__xludf.DUMMYFUNCTION("""COMPUTED_VALUE"""),"Бульвар строителей парк, переулки ")</f>
        <v>Бульвар строителей парк, переулки </v>
      </c>
      <c r="F1627" s="6" t="str">
        <f>IFERROR(__xludf.DUMMYFUNCTION("""COMPUTED_VALUE"""),"Живу здесь с рождения")</f>
        <v>Живу здесь с рождения</v>
      </c>
      <c r="G1627" s="6" t="str">
        <f>IFERROR(__xludf.DUMMYFUNCTION("""COMPUTED_VALUE"""),"В парки, кафе, ночные заведения.")</f>
        <v>В парки, кафе, ночные заведения.</v>
      </c>
      <c r="H1627" s="6" t="str">
        <f>IFERROR(__xludf.DUMMYFUNCTION("""COMPUTED_VALUE"""),"Мрачно, грязно, скучно, не цивилизованно, раритетно.")</f>
        <v>Мрачно, грязно, скучно, не цивилизованно, раритетно.</v>
      </c>
      <c r="I1627" s="6" t="str">
        <f>IFERROR(__xludf.DUMMYFUNCTION("""COMPUTED_VALUE"""),"Не знаю")</f>
        <v>Не знаю</v>
      </c>
      <c r="J1627" s="6" t="str">
        <f>IFERROR(__xludf.DUMMYFUNCTION("""COMPUTED_VALUE"""),"Не знаю")</f>
        <v>Не знаю</v>
      </c>
      <c r="K1627" s="6" t="str">
        <f>IFERROR(__xludf.DUMMYFUNCTION("""COMPUTED_VALUE"""),"Не какие, это не столь интересно ")</f>
        <v>Не какие, это не столь интересно </v>
      </c>
      <c r="L1627" s="6" t="str">
        <f>IFERROR(__xludf.DUMMYFUNCTION("""COMPUTED_VALUE"""),"Что потрудился, то и поел
Без труда нет добра")</f>
        <v>Что потрудился, то и поел
Без труда нет добра</v>
      </c>
      <c r="M1627" s="6" t="str">
        <f>IFERROR(__xludf.DUMMYFUNCTION("""COMPUTED_VALUE"""),"Нет")</f>
        <v>Нет</v>
      </c>
      <c r="N1627" s="6" t="str">
        <f>IFERROR(__xludf.DUMMYFUNCTION("""COMPUTED_VALUE"""),"Хорошие зарплаты, чистый город, низкие цены на бензин..")</f>
        <v>Хорошие зарплаты, чистый город, низкие цены на бензин..</v>
      </c>
      <c r="O1627" s="6" t="str">
        <f>IFERROR(__xludf.DUMMYFUNCTION("""COMPUTED_VALUE"""),"Повысить заработную плату")</f>
        <v>Повысить заработную плату</v>
      </c>
      <c r="P1627" s="6" t="str">
        <f>IFERROR(__xludf.DUMMYFUNCTION("""COMPUTED_VALUE"""),"Кемеровские группы")</f>
        <v>Кемеровские группы</v>
      </c>
      <c r="Q1627"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f>
        <v>куда пойти в свободное время, новости про новые профессии/куда поступать/вакансии, бизнес-новости (средний чек/рекламные акции/запуск новых предприятий)</v>
      </c>
      <c r="R1627" s="6" t="str">
        <f>IFERROR(__xludf.DUMMYFUNCTION("""COMPUTED_VALUE"""),"Не какие")</f>
        <v>Не какие</v>
      </c>
      <c r="S1627" s="6" t="str">
        <f>IFERROR(__xludf.DUMMYFUNCTION("""COMPUTED_VALUE"""),"Нет, не приходилось")</f>
        <v>Нет, не приходилось</v>
      </c>
      <c r="T1627" s="6" t="str">
        <f>IFERROR(__xludf.DUMMYFUNCTION("""COMPUTED_VALUE"""),"Углем")</f>
        <v>Углем</v>
      </c>
      <c r="U1627" s="6" t="str">
        <f>IFERROR(__xludf.DUMMYFUNCTION("""COMPUTED_VALUE"""),"Ничего")</f>
        <v>Ничего</v>
      </c>
      <c r="V1627" s="6" t="str">
        <f>IFERROR(__xludf.DUMMYFUNCTION("""COMPUTED_VALUE"""),"Ничего")</f>
        <v>Ничего</v>
      </c>
      <c r="W1627" s="6" t="str">
        <f>IFERROR(__xludf.DUMMYFUNCTION("""COMPUTED_VALUE"""),"Мрачные, злые")</f>
        <v>Мрачные, злые</v>
      </c>
      <c r="X1627" s="6" t="str">
        <f>IFERROR(__xludf.DUMMYFUNCTION("""COMPUTED_VALUE"""),"Загородный отдых")</f>
        <v>Загородный отдых</v>
      </c>
      <c r="Y1627" s="6" t="str">
        <f>IFERROR(__xludf.DUMMYFUNCTION("""COMPUTED_VALUE"""),"Не какое")</f>
        <v>Не какое</v>
      </c>
      <c r="Z1627" s="6" t="str">
        <f>IFERROR(__xludf.DUMMYFUNCTION("""COMPUTED_VALUE"""),"Новый год ")</f>
        <v>Новый год </v>
      </c>
      <c r="AA1627" s="6" t="str">
        <f>IFERROR(__xludf.DUMMYFUNCTION("""COMPUTED_VALUE"""),"Митинг ")</f>
        <v>Митинг </v>
      </c>
      <c r="AB1627" s="6" t="str">
        <f>IFERROR(__xludf.DUMMYFUNCTION("""COMPUTED_VALUE"""),"Не каких")</f>
        <v>Не каких</v>
      </c>
      <c r="AC1627" s="6" t="str">
        <f>IFERROR(__xludf.DUMMYFUNCTION("""COMPUTED_VALUE"""),"Не каких")</f>
        <v>Не каких</v>
      </c>
      <c r="AD1627" s="6" t="str">
        <f>IFERROR(__xludf.DUMMYFUNCTION("""COMPUTED_VALUE"""),"Не готов принимать личное участие (укажите, пожалуйста, причину в поле «Другое»), Не интересует развитие этого города")</f>
        <v>Не готов принимать личное участие (укажите, пожалуйста, причину в поле «Другое»), Не интересует развитие этого города</v>
      </c>
      <c r="AE1627" s="6" t="str">
        <f>IFERROR(__xludf.DUMMYFUNCTION("""COMPUTED_VALUE"""),"Женский")</f>
        <v>Женский</v>
      </c>
      <c r="AF1627" s="6" t="str">
        <f>IFERROR(__xludf.DUMMYFUNCTION("""COMPUTED_VALUE"""),"18-29")</f>
        <v>18-29</v>
      </c>
      <c r="AG1627" s="6"/>
      <c r="AH1627" s="6"/>
      <c r="AI1627" s="6"/>
      <c r="AJ1627" s="6"/>
      <c r="AK1627" s="6"/>
      <c r="AL1627" s="6"/>
      <c r="AM1627" s="6"/>
    </row>
    <row r="1628">
      <c r="A1628" s="6">
        <v>1627.0</v>
      </c>
      <c r="B1628" s="6" t="str">
        <f>IFERROR(__xludf.DUMMYFUNCTION("""COMPUTED_VALUE"""),"Работаю в Тренажерном зале Администратором")</f>
        <v>Работаю в Тренажерном зале Администратором</v>
      </c>
      <c r="C1628" s="6" t="str">
        <f>IFERROR(__xludf.DUMMYFUNCTION("""COMPUTED_VALUE"""),"Лёгкий бег на стадионе, занятия в тренажерном зале, кальяны.")</f>
        <v>Лёгкий бег на стадионе, занятия в тренажерном зале, кальяны.</v>
      </c>
      <c r="D1628" s="6" t="str">
        <f>IFERROR(__xludf.DUMMYFUNCTION("""COMPUTED_VALUE"""),"Ленинский район")</f>
        <v>Ленинский район</v>
      </c>
      <c r="E1628" s="6" t="str">
        <f>IFERROR(__xludf.DUMMYFUNCTION("""COMPUTED_VALUE"""),"Бульвар строителей парк, переулки ")</f>
        <v>Бульвар строителей парк, переулки </v>
      </c>
      <c r="F1628" s="6" t="str">
        <f>IFERROR(__xludf.DUMMYFUNCTION("""COMPUTED_VALUE"""),"Живу здесь с рождения")</f>
        <v>Живу здесь с рождения</v>
      </c>
      <c r="G1628" s="6" t="str">
        <f>IFERROR(__xludf.DUMMYFUNCTION("""COMPUTED_VALUE"""),"В парки, кафе, ночные заведения.")</f>
        <v>В парки, кафе, ночные заведения.</v>
      </c>
      <c r="H1628" s="6" t="str">
        <f>IFERROR(__xludf.DUMMYFUNCTION("""COMPUTED_VALUE"""),"Мрачно, грязно, скучно, не цивилизованно, раритетно.")</f>
        <v>Мрачно, грязно, скучно, не цивилизованно, раритетно.</v>
      </c>
      <c r="I1628" s="6" t="str">
        <f>IFERROR(__xludf.DUMMYFUNCTION("""COMPUTED_VALUE"""),"Не знаю")</f>
        <v>Не знаю</v>
      </c>
      <c r="J1628" s="6" t="str">
        <f>IFERROR(__xludf.DUMMYFUNCTION("""COMPUTED_VALUE"""),"Не знаю")</f>
        <v>Не знаю</v>
      </c>
      <c r="K1628" s="6" t="str">
        <f>IFERROR(__xludf.DUMMYFUNCTION("""COMPUTED_VALUE"""),"Не какие, это не столь интересно ")</f>
        <v>Не какие, это не столь интересно </v>
      </c>
      <c r="L1628" s="6" t="str">
        <f>IFERROR(__xludf.DUMMYFUNCTION("""COMPUTED_VALUE"""),"Что потрудился, то и поел
Без труда нет добра")</f>
        <v>Что потрудился, то и поел
Без труда нет добра</v>
      </c>
      <c r="M1628" s="6" t="str">
        <f>IFERROR(__xludf.DUMMYFUNCTION("""COMPUTED_VALUE"""),"Нет")</f>
        <v>Нет</v>
      </c>
      <c r="N1628" s="6" t="str">
        <f>IFERROR(__xludf.DUMMYFUNCTION("""COMPUTED_VALUE"""),"Хорошие зарплаты, чистый город, низкие цены на бензин..")</f>
        <v>Хорошие зарплаты, чистый город, низкие цены на бензин..</v>
      </c>
      <c r="O1628" s="6" t="str">
        <f>IFERROR(__xludf.DUMMYFUNCTION("""COMPUTED_VALUE"""),"Повысить заработную плату")</f>
        <v>Повысить заработную плату</v>
      </c>
      <c r="P1628" s="6" t="str">
        <f>IFERROR(__xludf.DUMMYFUNCTION("""COMPUTED_VALUE"""),"Кемеровские группы")</f>
        <v>Кемеровские группы</v>
      </c>
      <c r="Q1628"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f>
        <v>куда пойти в свободное время, новости про новые профессии/куда поступать/вакансии, бизнес-новости (средний чек/рекламные акции/запуск новых предприятий)</v>
      </c>
      <c r="R1628" s="6" t="str">
        <f>IFERROR(__xludf.DUMMYFUNCTION("""COMPUTED_VALUE"""),"Не какие")</f>
        <v>Не какие</v>
      </c>
      <c r="S1628" s="6" t="str">
        <f>IFERROR(__xludf.DUMMYFUNCTION("""COMPUTED_VALUE"""),"Нет, не приходилось")</f>
        <v>Нет, не приходилось</v>
      </c>
      <c r="T1628" s="6" t="str">
        <f>IFERROR(__xludf.DUMMYFUNCTION("""COMPUTED_VALUE"""),"Углем")</f>
        <v>Углем</v>
      </c>
      <c r="U1628" s="6" t="str">
        <f>IFERROR(__xludf.DUMMYFUNCTION("""COMPUTED_VALUE"""),"Ничего")</f>
        <v>Ничего</v>
      </c>
      <c r="V1628" s="6" t="str">
        <f>IFERROR(__xludf.DUMMYFUNCTION("""COMPUTED_VALUE"""),"Ничего")</f>
        <v>Ничего</v>
      </c>
      <c r="W1628" s="6" t="str">
        <f>IFERROR(__xludf.DUMMYFUNCTION("""COMPUTED_VALUE"""),"Мрачные, злые")</f>
        <v>Мрачные, злые</v>
      </c>
      <c r="X1628" s="6" t="str">
        <f>IFERROR(__xludf.DUMMYFUNCTION("""COMPUTED_VALUE"""),"Загородный отдых")</f>
        <v>Загородный отдых</v>
      </c>
      <c r="Y1628" s="6" t="str">
        <f>IFERROR(__xludf.DUMMYFUNCTION("""COMPUTED_VALUE"""),"Не какое")</f>
        <v>Не какое</v>
      </c>
      <c r="Z1628" s="6" t="str">
        <f>IFERROR(__xludf.DUMMYFUNCTION("""COMPUTED_VALUE"""),"Новый год ")</f>
        <v>Новый год </v>
      </c>
      <c r="AA1628" s="6" t="str">
        <f>IFERROR(__xludf.DUMMYFUNCTION("""COMPUTED_VALUE"""),"Митинг ")</f>
        <v>Митинг </v>
      </c>
      <c r="AB1628" s="6" t="str">
        <f>IFERROR(__xludf.DUMMYFUNCTION("""COMPUTED_VALUE"""),"Не каких")</f>
        <v>Не каких</v>
      </c>
      <c r="AC1628" s="6" t="str">
        <f>IFERROR(__xludf.DUMMYFUNCTION("""COMPUTED_VALUE"""),"Не каких")</f>
        <v>Не каких</v>
      </c>
      <c r="AD1628" s="6" t="str">
        <f>IFERROR(__xludf.DUMMYFUNCTION("""COMPUTED_VALUE"""),"Не готов принимать личное участие (укажите, пожалуйста, причину в поле «Другое»), Не интересует развитие этого города")</f>
        <v>Не готов принимать личное участие (укажите, пожалуйста, причину в поле «Другое»), Не интересует развитие этого города</v>
      </c>
      <c r="AE1628" s="6" t="str">
        <f>IFERROR(__xludf.DUMMYFUNCTION("""COMPUTED_VALUE"""),"Женский")</f>
        <v>Женский</v>
      </c>
      <c r="AF1628" s="6" t="str">
        <f>IFERROR(__xludf.DUMMYFUNCTION("""COMPUTED_VALUE"""),"18-29")</f>
        <v>18-29</v>
      </c>
      <c r="AG1628" s="6"/>
      <c r="AH1628" s="6"/>
      <c r="AI1628" s="6"/>
      <c r="AJ1628" s="6"/>
      <c r="AK1628" s="6"/>
      <c r="AL1628" s="6"/>
      <c r="AM1628" s="6"/>
    </row>
    <row r="1629">
      <c r="A1629" s="6">
        <v>1628.0</v>
      </c>
      <c r="B1629" s="6" t="str">
        <f>IFERROR(__xludf.DUMMYFUNCTION("""COMPUTED_VALUE"""),"Работаю в Тренажерном зале Администратором")</f>
        <v>Работаю в Тренажерном зале Администратором</v>
      </c>
      <c r="C1629" s="6" t="str">
        <f>IFERROR(__xludf.DUMMYFUNCTION("""COMPUTED_VALUE"""),"Лёгкий бег на стадионе, занятия в тренажерном зале, кальяны.")</f>
        <v>Лёгкий бег на стадионе, занятия в тренажерном зале, кальяны.</v>
      </c>
      <c r="D1629" s="6" t="str">
        <f>IFERROR(__xludf.DUMMYFUNCTION("""COMPUTED_VALUE"""),"Ленинский район")</f>
        <v>Ленинский район</v>
      </c>
      <c r="E1629" s="6" t="str">
        <f>IFERROR(__xludf.DUMMYFUNCTION("""COMPUTED_VALUE"""),"Бульвар строителей парк, переулки ")</f>
        <v>Бульвар строителей парк, переулки </v>
      </c>
      <c r="F1629" s="6" t="str">
        <f>IFERROR(__xludf.DUMMYFUNCTION("""COMPUTED_VALUE"""),"Живу здесь с рождения")</f>
        <v>Живу здесь с рождения</v>
      </c>
      <c r="G1629" s="6" t="str">
        <f>IFERROR(__xludf.DUMMYFUNCTION("""COMPUTED_VALUE"""),"В парки, кафе, ночные заведения.")</f>
        <v>В парки, кафе, ночные заведения.</v>
      </c>
      <c r="H1629" s="6" t="str">
        <f>IFERROR(__xludf.DUMMYFUNCTION("""COMPUTED_VALUE"""),"Мрачно, грязно, скучно, не цивилизованно, раритетно.")</f>
        <v>Мрачно, грязно, скучно, не цивилизованно, раритетно.</v>
      </c>
      <c r="I1629" s="6" t="str">
        <f>IFERROR(__xludf.DUMMYFUNCTION("""COMPUTED_VALUE"""),"Не знаю")</f>
        <v>Не знаю</v>
      </c>
      <c r="J1629" s="6" t="str">
        <f>IFERROR(__xludf.DUMMYFUNCTION("""COMPUTED_VALUE"""),"Не знаю")</f>
        <v>Не знаю</v>
      </c>
      <c r="K1629" s="6" t="str">
        <f>IFERROR(__xludf.DUMMYFUNCTION("""COMPUTED_VALUE"""),"Не какие, это не столь интересно ")</f>
        <v>Не какие, это не столь интересно </v>
      </c>
      <c r="L1629" s="6" t="str">
        <f>IFERROR(__xludf.DUMMYFUNCTION("""COMPUTED_VALUE"""),"Что потрудился, то и поел
Без труда нет добра")</f>
        <v>Что потрудился, то и поел
Без труда нет добра</v>
      </c>
      <c r="M1629" s="6" t="str">
        <f>IFERROR(__xludf.DUMMYFUNCTION("""COMPUTED_VALUE"""),"Нет")</f>
        <v>Нет</v>
      </c>
      <c r="N1629" s="6" t="str">
        <f>IFERROR(__xludf.DUMMYFUNCTION("""COMPUTED_VALUE"""),"Хорошие зарплаты, чистый город, низкие цены на бензин..")</f>
        <v>Хорошие зарплаты, чистый город, низкие цены на бензин..</v>
      </c>
      <c r="O1629" s="6" t="str">
        <f>IFERROR(__xludf.DUMMYFUNCTION("""COMPUTED_VALUE"""),"Повысить заработную плату")</f>
        <v>Повысить заработную плату</v>
      </c>
      <c r="P1629" s="6" t="str">
        <f>IFERROR(__xludf.DUMMYFUNCTION("""COMPUTED_VALUE"""),"Кемеровские группы")</f>
        <v>Кемеровские группы</v>
      </c>
      <c r="Q1629"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f>
        <v>куда пойти в свободное время, новости про новые профессии/куда поступать/вакансии, бизнес-новости (средний чек/рекламные акции/запуск новых предприятий)</v>
      </c>
      <c r="R1629" s="6" t="str">
        <f>IFERROR(__xludf.DUMMYFUNCTION("""COMPUTED_VALUE"""),"Не какие")</f>
        <v>Не какие</v>
      </c>
      <c r="S1629" s="6" t="str">
        <f>IFERROR(__xludf.DUMMYFUNCTION("""COMPUTED_VALUE"""),"Нет, не приходилось")</f>
        <v>Нет, не приходилось</v>
      </c>
      <c r="T1629" s="6" t="str">
        <f>IFERROR(__xludf.DUMMYFUNCTION("""COMPUTED_VALUE"""),"Углем")</f>
        <v>Углем</v>
      </c>
      <c r="U1629" s="6" t="str">
        <f>IFERROR(__xludf.DUMMYFUNCTION("""COMPUTED_VALUE"""),"Ничего")</f>
        <v>Ничего</v>
      </c>
      <c r="V1629" s="6" t="str">
        <f>IFERROR(__xludf.DUMMYFUNCTION("""COMPUTED_VALUE"""),"Ничего")</f>
        <v>Ничего</v>
      </c>
      <c r="W1629" s="6" t="str">
        <f>IFERROR(__xludf.DUMMYFUNCTION("""COMPUTED_VALUE"""),"Мрачные, злые")</f>
        <v>Мрачные, злые</v>
      </c>
      <c r="X1629" s="6" t="str">
        <f>IFERROR(__xludf.DUMMYFUNCTION("""COMPUTED_VALUE"""),"Загородный отдых")</f>
        <v>Загородный отдых</v>
      </c>
      <c r="Y1629" s="6" t="str">
        <f>IFERROR(__xludf.DUMMYFUNCTION("""COMPUTED_VALUE"""),"Не какое")</f>
        <v>Не какое</v>
      </c>
      <c r="Z1629" s="6" t="str">
        <f>IFERROR(__xludf.DUMMYFUNCTION("""COMPUTED_VALUE"""),"Новый год ")</f>
        <v>Новый год </v>
      </c>
      <c r="AA1629" s="6" t="str">
        <f>IFERROR(__xludf.DUMMYFUNCTION("""COMPUTED_VALUE"""),"Митинг ")</f>
        <v>Митинг </v>
      </c>
      <c r="AB1629" s="6" t="str">
        <f>IFERROR(__xludf.DUMMYFUNCTION("""COMPUTED_VALUE"""),"Не каких")</f>
        <v>Не каких</v>
      </c>
      <c r="AC1629" s="6" t="str">
        <f>IFERROR(__xludf.DUMMYFUNCTION("""COMPUTED_VALUE"""),"Не каких")</f>
        <v>Не каких</v>
      </c>
      <c r="AD1629" s="6" t="str">
        <f>IFERROR(__xludf.DUMMYFUNCTION("""COMPUTED_VALUE"""),"Не готов принимать личное участие (укажите, пожалуйста, причину в поле «Другое»), Не интересует развитие этого города")</f>
        <v>Не готов принимать личное участие (укажите, пожалуйста, причину в поле «Другое»), Не интересует развитие этого города</v>
      </c>
      <c r="AE1629" s="6" t="str">
        <f>IFERROR(__xludf.DUMMYFUNCTION("""COMPUTED_VALUE"""),"Женский")</f>
        <v>Женский</v>
      </c>
      <c r="AF1629" s="6" t="str">
        <f>IFERROR(__xludf.DUMMYFUNCTION("""COMPUTED_VALUE"""),"18-29")</f>
        <v>18-29</v>
      </c>
      <c r="AG1629" s="6"/>
      <c r="AH1629" s="6"/>
      <c r="AI1629" s="6"/>
      <c r="AJ1629" s="6"/>
      <c r="AK1629" s="6"/>
      <c r="AL1629" s="6"/>
      <c r="AM1629" s="6"/>
    </row>
    <row r="1630">
      <c r="A1630" s="6">
        <v>1629.0</v>
      </c>
      <c r="B1630" s="6" t="str">
        <f>IFERROR(__xludf.DUMMYFUNCTION("""COMPUTED_VALUE"""),"Учеба кузгту")</f>
        <v>Учеба кузгту</v>
      </c>
      <c r="C1630" s="6" t="str">
        <f>IFERROR(__xludf.DUMMYFUNCTION("""COMPUTED_VALUE"""),"Бокс")</f>
        <v>Бокс</v>
      </c>
      <c r="D1630" s="6" t="str">
        <f>IFERROR(__xludf.DUMMYFUNCTION("""COMPUTED_VALUE"""),"Рудничный/Радуга")</f>
        <v>Рудничный/Радуга</v>
      </c>
      <c r="E1630" s="6" t="str">
        <f>IFERROR(__xludf.DUMMYFUNCTION("""COMPUTED_VALUE"""),"Бор, стадион Шахтёр,дк.Шахтеров,статуя шахтера на красной Горке")</f>
        <v>Бор, стадион Шахтёр,дк.Шахтеров,статуя шахтера на красной Горке</v>
      </c>
      <c r="F1630" s="6" t="str">
        <f>IFERROR(__xludf.DUMMYFUNCTION("""COMPUTED_VALUE"""),"Переехал сюда из другого места (откуда? укажите в графе другое), Ростов")</f>
        <v>Переехал сюда из другого места (откуда? укажите в графе другое), Ростов</v>
      </c>
      <c r="G1630" s="6" t="str">
        <f>IFERROR(__xludf.DUMMYFUNCTION("""COMPUTED_VALUE"""),"Каждый вечер")</f>
        <v>Каждый вечер</v>
      </c>
      <c r="H1630" s="6" t="str">
        <f>IFERROR(__xludf.DUMMYFUNCTION("""COMPUTED_VALUE"""),"Грязный,прогнивший,нищий,вонючий,некрасивый")</f>
        <v>Грязный,прогнивший,нищий,вонючий,некрасивый</v>
      </c>
      <c r="I1630" s="6" t="str">
        <f>IFERROR(__xludf.DUMMYFUNCTION("""COMPUTED_VALUE"""),"Даже не знаю")</f>
        <v>Даже не знаю</v>
      </c>
      <c r="J1630" s="6" t="str">
        <f>IFERROR(__xludf.DUMMYFUNCTION("""COMPUTED_VALUE"""),"Тем более,таких нет")</f>
        <v>Тем более,таких нет</v>
      </c>
      <c r="K1630" s="6" t="str">
        <f>IFERROR(__xludf.DUMMYFUNCTION("""COMPUTED_VALUE"""),"Бор,там очень красиво")</f>
        <v>Бор,там очень красиво</v>
      </c>
      <c r="L1630" s="6" t="str">
        <f>IFERROR(__xludf.DUMMYFUNCTION("""COMPUTED_VALUE"""),"Не знаю")</f>
        <v>Не знаю</v>
      </c>
      <c r="M1630" s="6" t="str">
        <f>IFERROR(__xludf.DUMMYFUNCTION("""COMPUTED_VALUE"""),"?")</f>
        <v>?</v>
      </c>
      <c r="N1630" s="6" t="str">
        <f>IFERROR(__xludf.DUMMYFUNCTION("""COMPUTED_VALUE"""),"Чистота,порядок,благосостояние населения")</f>
        <v>Чистота,порядок,благосостояние населения</v>
      </c>
      <c r="O1630" s="6" t="str">
        <f>IFERROR(__xludf.DUMMYFUNCTION("""COMPUTED_VALUE"""),"Рабочие места...
 Поменять партию")</f>
        <v>Рабочие места...
 Поменять партию</v>
      </c>
      <c r="P1630" s="6" t="str">
        <f>IFERROR(__xludf.DUMMYFUNCTION("""COMPUTED_VALUE"""),"От людей")</f>
        <v>От людей</v>
      </c>
      <c r="Q1630" s="6" t="str">
        <f>IFERROR(__xludf.DUMMYFUNCTION("""COMPUTED_VALUE"""),"криминальные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630" s="6" t="str">
        <f>IFERROR(__xludf.DUMMYFUNCTION("""COMPUTED_VALUE"""),"Что это за праздники такие")</f>
        <v>Что это за праздники такие</v>
      </c>
      <c r="S1630" s="6" t="str">
        <f>IFERROR(__xludf.DUMMYFUNCTION("""COMPUTED_VALUE"""),"Писал и расклеивал объявления/афиши")</f>
        <v>Писал и расклеивал объявления/афиши</v>
      </c>
      <c r="T1630" s="6" t="str">
        <f>IFERROR(__xludf.DUMMYFUNCTION("""COMPUTED_VALUE"""),"-")</f>
        <v>-</v>
      </c>
      <c r="U1630" s="6" t="str">
        <f>IFERROR(__xludf.DUMMYFUNCTION("""COMPUTED_VALUE"""),"Мак,кфс")</f>
        <v>Мак,кфс</v>
      </c>
      <c r="V1630" s="6" t="str">
        <f>IFERROR(__xludf.DUMMYFUNCTION("""COMPUTED_VALUE"""),"-")</f>
        <v>-</v>
      </c>
      <c r="W1630" s="6" t="str">
        <f>IFERROR(__xludf.DUMMYFUNCTION("""COMPUTED_VALUE"""),"-")</f>
        <v>-</v>
      </c>
      <c r="X1630" s="6" t="str">
        <f>IFERROR(__xludf.DUMMYFUNCTION("""COMPUTED_VALUE"""),"-")</f>
        <v>-</v>
      </c>
      <c r="Y1630" s="6" t="str">
        <f>IFERROR(__xludf.DUMMYFUNCTION("""COMPUTED_VALUE"""),"-")</f>
        <v>-</v>
      </c>
      <c r="Z1630" s="6" t="str">
        <f>IFERROR(__xludf.DUMMYFUNCTION("""COMPUTED_VALUE"""),"-")</f>
        <v>-</v>
      </c>
      <c r="AA1630" s="6" t="str">
        <f>IFERROR(__xludf.DUMMYFUNCTION("""COMPUTED_VALUE"""),"Закрытие лазурного")</f>
        <v>Закрытие лазурного</v>
      </c>
      <c r="AB1630" s="6" t="str">
        <f>IFERROR(__xludf.DUMMYFUNCTION("""COMPUTED_VALUE"""),"Мало мусульманских мечетей и служителей,не хватает неподкупленной полиции")</f>
        <v>Мало мусульманских мечетей и служителей,не хватает неподкупленной полиции</v>
      </c>
      <c r="AC1630" s="6" t="str">
        <f>IFERROR(__xludf.DUMMYFUNCTION("""COMPUTED_VALUE"""),"-")</f>
        <v>-</v>
      </c>
      <c r="AD1630"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630" s="6" t="str">
        <f>IFERROR(__xludf.DUMMYFUNCTION("""COMPUTED_VALUE"""),"Мужской")</f>
        <v>Мужской</v>
      </c>
      <c r="AF1630" s="6" t="str">
        <f>IFERROR(__xludf.DUMMYFUNCTION("""COMPUTED_VALUE"""),"18-29")</f>
        <v>18-29</v>
      </c>
      <c r="AG1630" s="6"/>
      <c r="AH1630" s="6"/>
      <c r="AI1630" s="6"/>
      <c r="AJ1630" s="6"/>
      <c r="AK1630" s="6"/>
      <c r="AL1630" s="6"/>
      <c r="AM1630" s="6"/>
    </row>
    <row r="1631">
      <c r="A1631" s="6">
        <v>1630.0</v>
      </c>
      <c r="B1631" s="6" t="str">
        <f>IFERROR(__xludf.DUMMYFUNCTION("""COMPUTED_VALUE"""),"Работаю в гидрометцентре ")</f>
        <v>Работаю в гидрометцентре </v>
      </c>
      <c r="C1631" s="6" t="str">
        <f>IFERROR(__xludf.DUMMYFUNCTION("""COMPUTED_VALUE"""),"Автомобили ")</f>
        <v>Автомобили </v>
      </c>
      <c r="D1631" s="6" t="str">
        <f>IFERROR(__xludf.DUMMYFUNCTION("""COMPUTED_VALUE"""),"Радуга")</f>
        <v>Радуга</v>
      </c>
      <c r="E1631" s="6" t="str">
        <f>IFERROR(__xludf.DUMMYFUNCTION("""COMPUTED_VALUE"""),"Красная горка ")</f>
        <v>Красная горка </v>
      </c>
      <c r="F1631" s="6" t="str">
        <f>IFERROR(__xludf.DUMMYFUNCTION("""COMPUTED_VALUE"""),"Живу здесь с рождения")</f>
        <v>Живу здесь с рождения</v>
      </c>
      <c r="G1631" s="6" t="str">
        <f>IFERROR(__xludf.DUMMYFUNCTION("""COMPUTED_VALUE"""),"Набережная, берег реки ")</f>
        <v>Набережная, берег реки </v>
      </c>
      <c r="H1631" s="6" t="str">
        <f>IFERROR(__xludf.DUMMYFUNCTION("""COMPUTED_VALUE"""),"Загрязнение, уголь, заводы")</f>
        <v>Загрязнение, уголь, заводы</v>
      </c>
      <c r="I1631" s="6" t="str">
        <f>IFERROR(__xludf.DUMMYFUNCTION("""COMPUTED_VALUE"""),"Леонов Алексей Архипович ")</f>
        <v>Леонов Алексей Архипович </v>
      </c>
      <c r="J1631" s="6" t="str">
        <f>IFERROR(__xludf.DUMMYFUNCTION("""COMPUTED_VALUE"""),"Цивелев Сергей Евгеньевич ")</f>
        <v>Цивелев Сергей Евгеньевич </v>
      </c>
      <c r="K1631" s="6" t="str">
        <f>IFERROR(__xludf.DUMMYFUNCTION("""COMPUTED_VALUE"""),"Набережная ")</f>
        <v>Набережная </v>
      </c>
      <c r="L1631" s="6" t="str">
        <f>IFERROR(__xludf.DUMMYFUNCTION("""COMPUTED_VALUE"""),"Знаете почему не меняют фильтра на заводах, потому что штраф дешевле заплатить, чем покупать и менять фильтра ")</f>
        <v>Знаете почему не меняют фильтра на заводах, потому что штраф дешевле заплатить, чем покупать и менять фильтра </v>
      </c>
      <c r="M1631" s="6" t="str">
        <f>IFERROR(__xludf.DUMMYFUNCTION("""COMPUTED_VALUE"""),"Тормозок ")</f>
        <v>Тормозок </v>
      </c>
      <c r="N1631" s="6" t="str">
        <f>IFERROR(__xludf.DUMMYFUNCTION("""COMPUTED_VALUE"""),"Чистота , красота.")</f>
        <v>Чистота , красота.</v>
      </c>
      <c r="O1631" s="6" t="str">
        <f>IFERROR(__xludf.DUMMYFUNCTION("""COMPUTED_VALUE"""),"Провести газ частным секторам , и сделать наконец-то город чище ")</f>
        <v>Провести газ частным секторам , и сделать наконец-то город чище </v>
      </c>
      <c r="P1631" s="6" t="str">
        <f>IFERROR(__xludf.DUMMYFUNCTION("""COMPUTED_VALUE"""),"Родственники , люди города ")</f>
        <v>Родственники , люди города </v>
      </c>
      <c r="Q1631" s="6" t="str">
        <f>IFERROR(__xludf.DUMMYFUNCTION("""COMPUTED_VALUE"""),"куда пойти в свободное время, где вкусно поесть/открытие новых кафе/ресторанов, результаты местных исследований (рейтинги/аналитика/тенденции)")</f>
        <v>куда пойти в свободное время, где вкусно поесть/открытие новых кафе/ресторанов, результаты местных исследований (рейтинги/аналитика/тенденции)</v>
      </c>
      <c r="R1631" s="6" t="str">
        <f>IFERROR(__xludf.DUMMYFUNCTION("""COMPUTED_VALUE"""),"День города , день шахтера ")</f>
        <v>День города , день шахтера </v>
      </c>
      <c r="S1631" s="6" t="str">
        <f>IFERROR(__xludf.DUMMYFUNCTION("""COMPUTED_VALUE"""),"Нет, не приходилось")</f>
        <v>Нет, не приходилось</v>
      </c>
      <c r="T1631" s="6" t="str">
        <f>IFERROR(__xludf.DUMMYFUNCTION("""COMPUTED_VALUE"""),"Уголь, первая шахта ")</f>
        <v>Уголь, первая шахта </v>
      </c>
      <c r="U1631" s="6" t="str">
        <f>IFERROR(__xludf.DUMMYFUNCTION("""COMPUTED_VALUE"""),"Красная горка ")</f>
        <v>Красная горка </v>
      </c>
      <c r="V1631" s="6" t="str">
        <f>IFERROR(__xludf.DUMMYFUNCTION("""COMPUTED_VALUE"""),"Нашли уголь")</f>
        <v>Нашли уголь</v>
      </c>
      <c r="W1631" s="6" t="str">
        <f>IFERROR(__xludf.DUMMYFUNCTION("""COMPUTED_VALUE"""),"Усталость ")</f>
        <v>Усталость </v>
      </c>
      <c r="X1631" s="6" t="str">
        <f>IFERROR(__xludf.DUMMYFUNCTION("""COMPUTED_VALUE"""),"Набережная, мост, красная горка, сосновый Бор  ")</f>
        <v>Набережная, мост, красная горка, сосновый Бор  </v>
      </c>
      <c r="Y1631" s="6" t="str">
        <f>IFERROR(__xludf.DUMMYFUNCTION("""COMPUTED_VALUE"""),"Нашли уголь на берегу реки ")</f>
        <v>Нашли уголь на берегу реки </v>
      </c>
      <c r="Z1631" s="6" t="str">
        <f>IFERROR(__xludf.DUMMYFUNCTION("""COMPUTED_VALUE"""),"Обустройство города ")</f>
        <v>Обустройство города </v>
      </c>
      <c r="AA1631" s="6" t="str">
        <f>IFERROR(__xludf.DUMMYFUNCTION("""COMPUTED_VALUE"""),"Загрязнение воздуха ")</f>
        <v>Загрязнение воздуха </v>
      </c>
      <c r="AB1631" s="6" t="str">
        <f>IFERROR(__xludf.DUMMYFUNCTION("""COMPUTED_VALUE"""),"Радостных ")</f>
        <v>Радостных </v>
      </c>
      <c r="AC1631" s="6" t="str">
        <f>IFERROR(__xludf.DUMMYFUNCTION("""COMPUTED_VALUE"""),"Концерты музыкантов ")</f>
        <v>Концерты музыкантов </v>
      </c>
      <c r="AD163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631" s="6" t="str">
        <f>IFERROR(__xludf.DUMMYFUNCTION("""COMPUTED_VALUE"""),"Мужской")</f>
        <v>Мужской</v>
      </c>
      <c r="AF1631" s="6" t="str">
        <f>IFERROR(__xludf.DUMMYFUNCTION("""COMPUTED_VALUE"""),"18-29")</f>
        <v>18-29</v>
      </c>
      <c r="AG1631" s="6"/>
      <c r="AH1631" s="6"/>
      <c r="AI1631" s="6"/>
      <c r="AJ1631" s="6"/>
      <c r="AK1631" s="6"/>
      <c r="AL1631" s="6"/>
      <c r="AM1631" s="6"/>
    </row>
    <row r="1632">
      <c r="A1632" s="6">
        <v>1631.0</v>
      </c>
      <c r="B1632" s="6" t="str">
        <f>IFERROR(__xludf.DUMMYFUNCTION("""COMPUTED_VALUE"""),"Бухгалтер, студент")</f>
        <v>Бухгалтер, студент</v>
      </c>
      <c r="C1632" s="6" t="str">
        <f>IFERROR(__xludf.DUMMYFUNCTION("""COMPUTED_VALUE"""),"Чтение и кино")</f>
        <v>Чтение и кино</v>
      </c>
      <c r="D1632" s="6" t="str">
        <f>IFERROR(__xludf.DUMMYFUNCTION("""COMPUTED_VALUE"""),"Ленинский")</f>
        <v>Ленинский</v>
      </c>
      <c r="E1632" s="6" t="str">
        <f>IFERROR(__xludf.DUMMYFUNCTION("""COMPUTED_VALUE"""),"Бульвар строителей, кадетский корпус, кузбасский парк")</f>
        <v>Бульвар строителей, кадетский корпус, кузбасский парк</v>
      </c>
      <c r="F1632" s="6" t="str">
        <f>IFERROR(__xludf.DUMMYFUNCTION("""COMPUTED_VALUE"""),"Переехал сюда из другого места (откуда? укажите в графе другое), Переехала по учебе")</f>
        <v>Переехал сюда из другого места (откуда? укажите в графе другое), Переехала по учебе</v>
      </c>
      <c r="G1632" s="6" t="str">
        <f>IFERROR(__xludf.DUMMYFUNCTION("""COMPUTED_VALUE"""),"Кафе, кальянные, прогулки по улицам в центре и на бульваре")</f>
        <v>Кафе, кальянные, прогулки по улицам в центре и на бульваре</v>
      </c>
      <c r="H1632" s="6" t="str">
        <f>IFERROR(__xludf.DUMMYFUNCTION("""COMPUTED_VALUE"""),"Грязный воздух, мало пробок, хорошие дороги, уголь, скукота")</f>
        <v>Грязный воздух, мало пробок, хорошие дороги, уголь, скукота</v>
      </c>
      <c r="I1632" s="6" t="str">
        <f>IFERROR(__xludf.DUMMYFUNCTION("""COMPUTED_VALUE"""),"Михайло Волков")</f>
        <v>Михайло Волков</v>
      </c>
      <c r="J1632" s="6" t="str">
        <f>IFERROR(__xludf.DUMMYFUNCTION("""COMPUTED_VALUE"""),"Евгений Гришковец")</f>
        <v>Евгений Гришковец</v>
      </c>
      <c r="K1632" s="6" t="str">
        <f>IFERROR(__xludf.DUMMYFUNCTION("""COMPUTED_VALUE"""),"Граффити на старых домах на Ленина")</f>
        <v>Граффити на старых домах на Ленина</v>
      </c>
      <c r="L1632" s="6" t="str">
        <f>IFERROR(__xludf.DUMMYFUNCTION("""COMPUTED_VALUE"""),"-")</f>
        <v>-</v>
      </c>
      <c r="M1632" s="6" t="str">
        <f>IFERROR(__xludf.DUMMYFUNCTION("""COMPUTED_VALUE"""),"-")</f>
        <v>-</v>
      </c>
      <c r="N1632" s="6" t="str">
        <f>IFERROR(__xludf.DUMMYFUNCTION("""COMPUTED_VALUE"""),"Хорошая экология, хорошие дороги, парковки, места для развлечений, хорошие магазины с одеждой")</f>
        <v>Хорошая экология, хорошие дороги, парковки, места для развлечений, хорошие магазины с одеждой</v>
      </c>
      <c r="O1632" s="6" t="str">
        <f>IFERROR(__xludf.DUMMYFUNCTION("""COMPUTED_VALUE"""),"Экология, больше парковых зон")</f>
        <v>Экология, больше парковых зон</v>
      </c>
      <c r="P1632" s="6" t="str">
        <f>IFERROR(__xludf.DUMMYFUNCTION("""COMPUTED_VALUE"""),"Инстаграм, порталы Кузбасс ньюс, инцидент Кемерово, все42")</f>
        <v>Инстаграм, порталы Кузбасс ньюс, инцидент Кемерово, все42</v>
      </c>
      <c r="Q1632"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632" s="6" t="str">
        <f>IFERROR(__xludf.DUMMYFUNCTION("""COMPUTED_VALUE"""),"День города")</f>
        <v>День города</v>
      </c>
      <c r="S1632" s="6" t="str">
        <f>IFERROR(__xludf.DUMMYFUNCTION("""COMPUTED_VALUE"""),"Нет, не приходилось")</f>
        <v>Нет, не приходилось</v>
      </c>
      <c r="T1632" s="6" t="str">
        <f>IFERROR(__xludf.DUMMYFUNCTION("""COMPUTED_VALUE"""),"Застройка в старом центре")</f>
        <v>Застройка в старом центре</v>
      </c>
      <c r="U1632" s="6" t="str">
        <f>IFERROR(__xludf.DUMMYFUNCTION("""COMPUTED_VALUE"""),"Проспект Советский, улица весенняя")</f>
        <v>Проспект Советский, улица весенняя</v>
      </c>
      <c r="V1632" s="6" t="str">
        <f>IFERROR(__xludf.DUMMYFUNCTION("""COMPUTED_VALUE"""),"Развили угольную промышленность и отстроили красивые улицы")</f>
        <v>Развили угольную промышленность и отстроили красивые улицы</v>
      </c>
      <c r="W1632" s="6" t="str">
        <f>IFERROR(__xludf.DUMMYFUNCTION("""COMPUTED_VALUE"""),"Смирение")</f>
        <v>Смирение</v>
      </c>
      <c r="X1632" s="6" t="str">
        <f>IFERROR(__xludf.DUMMYFUNCTION("""COMPUTED_VALUE"""),"Советский, весенняя до площади Волкова")</f>
        <v>Советский, весенняя до площади Волкова</v>
      </c>
      <c r="Y1632" s="6" t="str">
        <f>IFERROR(__xludf.DUMMYFUNCTION("""COMPUTED_VALUE"""),"Открытие угля, пожар в торговом центре")</f>
        <v>Открытие угля, пожар в торговом центре</v>
      </c>
      <c r="Z1632" s="6" t="str">
        <f>IFERROR(__xludf.DUMMYFUNCTION("""COMPUTED_VALUE"""),"Концерт от строй сервиса, концерт российских звёзд на площади советов на день города")</f>
        <v>Концерт от строй сервиса, концерт российских звёзд на площади советов на день города</v>
      </c>
      <c r="AA1632" s="6" t="str">
        <f>IFERROR(__xludf.DUMMYFUNCTION("""COMPUTED_VALUE"""),"Пожар в торговом центре, задержание митингующих в поддержку оппозиции")</f>
        <v>Пожар в торговом центре, задержание митингующих в поддержку оппозиции</v>
      </c>
      <c r="AB1632" s="6" t="str">
        <f>IFERROR(__xludf.DUMMYFUNCTION("""COMPUTED_VALUE"""),"-")</f>
        <v>-</v>
      </c>
      <c r="AC1632" s="6" t="str">
        <f>IFERROR(__xludf.DUMMYFUNCTION("""COMPUTED_VALUE"""),"Скорее, мест - больше прогулочных и парковых зон")</f>
        <v>Скорее, мест - больше прогулочных и парковых зон</v>
      </c>
      <c r="AD163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32" s="6" t="str">
        <f>IFERROR(__xludf.DUMMYFUNCTION("""COMPUTED_VALUE"""),"Женский")</f>
        <v>Женский</v>
      </c>
      <c r="AF1632" s="6" t="str">
        <f>IFERROR(__xludf.DUMMYFUNCTION("""COMPUTED_VALUE"""),"18-29")</f>
        <v>18-29</v>
      </c>
      <c r="AG1632" s="6"/>
      <c r="AH1632" s="6"/>
      <c r="AI1632" s="6"/>
      <c r="AJ1632" s="6"/>
      <c r="AK1632" s="6"/>
      <c r="AL1632" s="6"/>
      <c r="AM1632" s="6"/>
    </row>
    <row r="1633">
      <c r="A1633" s="6">
        <v>1632.0</v>
      </c>
      <c r="B1633" s="6" t="str">
        <f>IFERROR(__xludf.DUMMYFUNCTION("""COMPUTED_VALUE"""),"Работаю в транспортной компании")</f>
        <v>Работаю в транспортной компании</v>
      </c>
      <c r="C1633" s="6" t="str">
        <f>IFERROR(__xludf.DUMMYFUNCTION("""COMPUTED_VALUE"""),"Нету")</f>
        <v>Нету</v>
      </c>
      <c r="D1633" s="6" t="str">
        <f>IFERROR(__xludf.DUMMYFUNCTION("""COMPUTED_VALUE"""),"Заводские, Пзп))")</f>
        <v>Заводские, Пзп))</v>
      </c>
      <c r="E1633" s="6" t="str">
        <f>IFERROR(__xludf.DUMMYFUNCTION("""COMPUTED_VALUE"""),"Бывшее Дк) ")</f>
        <v>Бывшее Дк) </v>
      </c>
      <c r="F1633" s="6" t="str">
        <f>IFERROR(__xludf.DUMMYFUNCTION("""COMPUTED_VALUE"""),"Живу здесь с рождения")</f>
        <v>Живу здесь с рождения</v>
      </c>
      <c r="G1633" s="6" t="str">
        <f>IFERROR(__xludf.DUMMYFUNCTION("""COMPUTED_VALUE"""),"Набережная,Парк Чудес, парк Антошка")</f>
        <v>Набережная,Парк Чудес, парк Антошка</v>
      </c>
      <c r="H1633" s="6" t="str">
        <f>IFERROR(__xludf.DUMMYFUNCTION("""COMPUTED_VALUE"""),"Кемерово мой родной город")</f>
        <v>Кемерово мой родной город</v>
      </c>
      <c r="I1633" s="6" t="str">
        <f>IFERROR(__xludf.DUMMYFUNCTION("""COMPUTED_VALUE"""),"Елена Малышева")</f>
        <v>Елена Малышева</v>
      </c>
      <c r="J1633" s="6" t="str">
        <f>IFERROR(__xludf.DUMMYFUNCTION("""COMPUTED_VALUE"""),"Аман Гумирович Тулеев")</f>
        <v>Аман Гумирович Тулеев</v>
      </c>
      <c r="K1633" s="6" t="str">
        <f>IFERROR(__xludf.DUMMYFUNCTION("""COMPUTED_VALUE"""),"Памятник шахтерам")</f>
        <v>Памятник шахтерам</v>
      </c>
      <c r="L1633" s="6" t="str">
        <f>IFERROR(__xludf.DUMMYFUNCTION("""COMPUTED_VALUE"""),"Не знаю ")</f>
        <v>Не знаю </v>
      </c>
      <c r="M1633" s="6" t="str">
        <f>IFERROR(__xludf.DUMMYFUNCTION("""COMPUTED_VALUE"""),"Нет ")</f>
        <v>Нет </v>
      </c>
      <c r="N1633" s="6" t="str">
        <f>IFERROR(__xludf.DUMMYFUNCTION("""COMPUTED_VALUE"""),"... ")</f>
        <v>... </v>
      </c>
      <c r="O1633" s="6" t="str">
        <f>IFERROR(__xludf.DUMMYFUNCTION("""COMPUTED_VALUE"""),"Экологию")</f>
        <v>Экологию</v>
      </c>
      <c r="P1633" s="6" t="str">
        <f>IFERROR(__xludf.DUMMYFUNCTION("""COMPUTED_VALUE"""),"Инстаграм ")</f>
        <v>Инстаграм </v>
      </c>
      <c r="Q1633"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633" s="6" t="str">
        <f>IFERROR(__xludf.DUMMYFUNCTION("""COMPUTED_VALUE"""),"День города ")</f>
        <v>День города </v>
      </c>
      <c r="S1633" s="6" t="str">
        <f>IFERROR(__xludf.DUMMYFUNCTION("""COMPUTED_VALUE"""),"Нет, не приходилось")</f>
        <v>Нет, не приходилось</v>
      </c>
      <c r="T1633" s="6" t="str">
        <f>IFERROR(__xludf.DUMMYFUNCTION("""COMPUTED_VALUE"""),"Не знаю ")</f>
        <v>Не знаю </v>
      </c>
      <c r="U1633" s="6" t="str">
        <f>IFERROR(__xludf.DUMMYFUNCTION("""COMPUTED_VALUE"""),"Площадь Советов ")</f>
        <v>Площадь Советов </v>
      </c>
      <c r="V1633" s="6" t="str">
        <f>IFERROR(__xludf.DUMMYFUNCTION("""COMPUTED_VALUE"""),"Не знаю ")</f>
        <v>Не знаю </v>
      </c>
      <c r="W1633" s="6" t="str">
        <f>IFERROR(__xludf.DUMMYFUNCTION("""COMPUTED_VALUE"""),"Дружелюбные ")</f>
        <v>Дружелюбные </v>
      </c>
      <c r="X1633" s="6" t="str">
        <f>IFERROR(__xludf.DUMMYFUNCTION("""COMPUTED_VALUE"""),"Не знаю ")</f>
        <v>Не знаю </v>
      </c>
      <c r="Y1633" s="6" t="str">
        <f>IFERROR(__xludf.DUMMYFUNCTION("""COMPUTED_VALUE"""),"... ")</f>
        <v>... </v>
      </c>
      <c r="Z1633" s="6" t="str">
        <f>IFERROR(__xludf.DUMMYFUNCTION("""COMPUTED_VALUE"""),"... ")</f>
        <v>... </v>
      </c>
      <c r="AA1633" s="6" t="str">
        <f>IFERROR(__xludf.DUMMYFUNCTION("""COMPUTED_VALUE"""),"Зимняя вишня")</f>
        <v>Зимняя вишня</v>
      </c>
      <c r="AB1633" s="6" t="str">
        <f>IFERROR(__xludf.DUMMYFUNCTION("""COMPUTED_VALUE"""),"... ")</f>
        <v>... </v>
      </c>
      <c r="AC1633" s="6" t="str">
        <f>IFERROR(__xludf.DUMMYFUNCTION("""COMPUTED_VALUE"""),"... ")</f>
        <v>... </v>
      </c>
      <c r="AD163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33" s="6" t="str">
        <f>IFERROR(__xludf.DUMMYFUNCTION("""COMPUTED_VALUE"""),"Женский")</f>
        <v>Женский</v>
      </c>
      <c r="AF1633" s="6" t="str">
        <f>IFERROR(__xludf.DUMMYFUNCTION("""COMPUTED_VALUE"""),"18-29")</f>
        <v>18-29</v>
      </c>
      <c r="AG1633" s="6"/>
      <c r="AH1633" s="6"/>
      <c r="AI1633" s="6"/>
      <c r="AJ1633" s="6"/>
      <c r="AK1633" s="6"/>
      <c r="AL1633" s="6"/>
      <c r="AM1633" s="6"/>
    </row>
    <row r="1634">
      <c r="A1634" s="6">
        <v>1633.0</v>
      </c>
      <c r="B1634" s="6" t="str">
        <f>IFERROR(__xludf.DUMMYFUNCTION("""COMPUTED_VALUE"""),"Врач")</f>
        <v>Врач</v>
      </c>
      <c r="C1634" s="6" t="str">
        <f>IFERROR(__xludf.DUMMYFUNCTION("""COMPUTED_VALUE"""),"Учусь и повышаю свои знания ")</f>
        <v>Учусь и повышаю свои знания </v>
      </c>
      <c r="D1634" s="6" t="str">
        <f>IFERROR(__xludf.DUMMYFUNCTION("""COMPUTED_VALUE"""),"Южный")</f>
        <v>Южный</v>
      </c>
      <c r="E1634" s="6" t="str">
        <f>IFERROR(__xludf.DUMMYFUNCTION("""COMPUTED_VALUE"""),"Аллея, памятник Юрию Гагарина ")</f>
        <v>Аллея, памятник Юрию Гагарина </v>
      </c>
      <c r="F1634" s="6" t="str">
        <f>IFERROR(__xludf.DUMMYFUNCTION("""COMPUTED_VALUE"""),"Живу здесь с рождения")</f>
        <v>Живу здесь с рождения</v>
      </c>
      <c r="G1634" s="6" t="str">
        <f>IFERROR(__xludf.DUMMYFUNCTION("""COMPUTED_VALUE"""),"Центр, набережная ")</f>
        <v>Центр, набережная </v>
      </c>
      <c r="H1634" s="6" t="str">
        <f>IFERROR(__xludf.DUMMYFUNCTION("""COMPUTED_VALUE"""),"Заводы, грязь, дым, Томь, мрак")</f>
        <v>Заводы, грязь, дым, Томь, мрак</v>
      </c>
      <c r="I1634" s="6" t="str">
        <f>IFERROR(__xludf.DUMMYFUNCTION("""COMPUTED_VALUE"""),"Леонов, Волков, Тулеев")</f>
        <v>Леонов, Волков, Тулеев</v>
      </c>
      <c r="J1634" s="6" t="str">
        <f>IFERROR(__xludf.DUMMYFUNCTION("""COMPUTED_VALUE"""),"Таких я не знаю ")</f>
        <v>Таких я не знаю </v>
      </c>
      <c r="K1634" s="6" t="str">
        <f>IFERROR(__xludf.DUMMYFUNCTION("""COMPUTED_VALUE"""),"Свозила ла бы за город в лес. ")</f>
        <v>Свозила ла бы за город в лес. </v>
      </c>
      <c r="L1634" s="6" t="str">
        <f>IFERROR(__xludf.DUMMYFUNCTION("""COMPUTED_VALUE"""),"Южный никому не нужный. ")</f>
        <v>Южный никому не нужный. </v>
      </c>
      <c r="M1634" s="6" t="str">
        <f>IFERROR(__xludf.DUMMYFUNCTION("""COMPUTED_VALUE"""),"Нет")</f>
        <v>Нет</v>
      </c>
      <c r="N1634" s="6" t="str">
        <f>IFERROR(__xludf.DUMMYFUNCTION("""COMPUTED_VALUE"""),"Чистота, транспортная развязка, места для прогулок, безопасная среда для детей, места отдыха ")</f>
        <v>Чистота, транспортная развязка, места для прогулок, безопасная среда для детей, места отдыха </v>
      </c>
      <c r="O1634" s="6" t="str">
        <f>IFERROR(__xludf.DUMMYFUNCTION("""COMPUTED_VALUE"""),"Навести чистоту и отремонтировать некотые памятники, а так же сделать скверики и парки где бы можно было погулять. ")</f>
        <v>Навести чистоту и отремонтировать некотые памятники, а так же сделать скверики и парки где бы можно было погулять. </v>
      </c>
      <c r="P1634" s="6" t="str">
        <f>IFERROR(__xludf.DUMMYFUNCTION("""COMPUTED_VALUE"""),"С афиш")</f>
        <v>С афиш</v>
      </c>
      <c r="Q1634" s="6" t="str">
        <f>IFERROR(__xludf.DUMMYFUNCTION("""COMPUTED_VALUE"""),"куда пойти в свободное время, где вкусно поесть/открытие новых кафе/ресторанов")</f>
        <v>куда пойти в свободное время, где вкусно поесть/открытие новых кафе/ресторанов</v>
      </c>
      <c r="R1634" s="6" t="str">
        <f>IFERROR(__xludf.DUMMYFUNCTION("""COMPUTED_VALUE"""),"День победы")</f>
        <v>День победы</v>
      </c>
      <c r="S1634" s="6" t="str">
        <f>IFERROR(__xludf.DUMMYFUNCTION("""COMPUTED_VALUE"""),"Нет, не приходилось")</f>
        <v>Нет, не приходилось</v>
      </c>
      <c r="T1634" s="6" t="str">
        <f>IFERROR(__xludf.DUMMYFUNCTION("""COMPUTED_VALUE"""),"Углем")</f>
        <v>Углем</v>
      </c>
      <c r="U1634" s="6" t="str">
        <f>IFERROR(__xludf.DUMMYFUNCTION("""COMPUTED_VALUE"""),"Драм театр")</f>
        <v>Драм театр</v>
      </c>
      <c r="V1634" s="6" t="str">
        <f>IFERROR(__xludf.DUMMYFUNCTION("""COMPUTED_VALUE"""),"Нечего")</f>
        <v>Нечего</v>
      </c>
      <c r="W1634" s="6" t="str">
        <f>IFERROR(__xludf.DUMMYFUNCTION("""COMPUTED_VALUE"""),"Угрюмые")</f>
        <v>Угрюмые</v>
      </c>
      <c r="X1634" s="6" t="str">
        <f>IFERROR(__xludf.DUMMYFUNCTION("""COMPUTED_VALUE"""),"От Соснового бора до центра ")</f>
        <v>От Соснового бора до центра </v>
      </c>
      <c r="Y1634" s="6" t="str">
        <f>IFERROR(__xludf.DUMMYFUNCTION("""COMPUTED_VALUE"""),"Поменяли главу города")</f>
        <v>Поменяли главу города</v>
      </c>
      <c r="Z1634" s="6" t="str">
        <f>IFERROR(__xludf.DUMMYFUNCTION("""COMPUTED_VALUE"""),"Таких нет")</f>
        <v>Таких нет</v>
      </c>
      <c r="AA1634" s="6" t="str">
        <f>IFERROR(__xludf.DUMMYFUNCTION("""COMPUTED_VALUE"""),"Трагедия в Зимней вишне, закрытие бассейна, реорганизация учебных заведений")</f>
        <v>Трагедия в Зимней вишне, закрытие бассейна, реорганизация учебных заведений</v>
      </c>
      <c r="AB1634" s="6" t="str">
        <f>IFERROR(__xludf.DUMMYFUNCTION("""COMPUTED_VALUE"""),"Не нужны сообщества")</f>
        <v>Не нужны сообщества</v>
      </c>
      <c r="AC1634" s="6" t="str">
        <f>IFERROR(__xludf.DUMMYFUNCTION("""COMPUTED_VALUE"""),"Не знаю")</f>
        <v>Не знаю</v>
      </c>
      <c r="AD163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34" s="6" t="str">
        <f>IFERROR(__xludf.DUMMYFUNCTION("""COMPUTED_VALUE"""),"Женский")</f>
        <v>Женский</v>
      </c>
      <c r="AF1634" s="6" t="str">
        <f>IFERROR(__xludf.DUMMYFUNCTION("""COMPUTED_VALUE"""),"30-44")</f>
        <v>30-44</v>
      </c>
      <c r="AG1634" s="6"/>
      <c r="AH1634" s="6"/>
      <c r="AI1634" s="6"/>
      <c r="AJ1634" s="6"/>
      <c r="AK1634" s="6"/>
      <c r="AL1634" s="6"/>
      <c r="AM1634" s="6"/>
    </row>
    <row r="1635">
      <c r="A1635" s="6">
        <v>1634.0</v>
      </c>
      <c r="B1635" s="6" t="str">
        <f>IFERROR(__xludf.DUMMYFUNCTION("""COMPUTED_VALUE"""),"Ипотечный брокер")</f>
        <v>Ипотечный брокер</v>
      </c>
      <c r="C1635" s="6" t="str">
        <f>IFERROR(__xludf.DUMMYFUNCTION("""COMPUTED_VALUE"""),"Йога, чтение, кулинария")</f>
        <v>Йога, чтение, кулинария</v>
      </c>
      <c r="D1635" s="6" t="str">
        <f>IFERROR(__xludf.DUMMYFUNCTION("""COMPUTED_VALUE"""),"Центр")</f>
        <v>Центр</v>
      </c>
      <c r="E1635" s="6" t="str">
        <f>IFERROR(__xludf.DUMMYFUNCTION("""COMPUTED_VALUE"""),"Частник посреди города, парки")</f>
        <v>Частник посреди города, парки</v>
      </c>
      <c r="F1635" s="6" t="str">
        <f>IFERROR(__xludf.DUMMYFUNCTION("""COMPUTED_VALUE"""),"Переехал сюда из другого места (откуда? укажите в графе другое), Из Киселевска")</f>
        <v>Переехал сюда из другого места (откуда? укажите в графе другое), Из Киселевска</v>
      </c>
      <c r="G1635" s="6" t="str">
        <f>IFERROR(__xludf.DUMMYFUNCTION("""COMPUTED_VALUE"""),"Гулять, кафе в центре, кино")</f>
        <v>Гулять, кафе в центре, кино</v>
      </c>
      <c r="H1635" s="6" t="str">
        <f>IFERROR(__xludf.DUMMYFUNCTION("""COMPUTED_VALUE"""),"Уголь, грязь, городские праздники, поездки в Кемерово из детства, местное население")</f>
        <v>Уголь, грязь, городские праздники, поездки в Кемерово из детства, местное население</v>
      </c>
      <c r="I1635" s="6" t="str">
        <f>IFERROR(__xludf.DUMMYFUNCTION("""COMPUTED_VALUE"""),"Волков")</f>
        <v>Волков</v>
      </c>
      <c r="J1635" s="6" t="str">
        <f>IFERROR(__xludf.DUMMYFUNCTION("""COMPUTED_VALUE"""),"Не вспомню")</f>
        <v>Не вспомню</v>
      </c>
      <c r="K1635" s="6" t="str">
        <f>IFERROR(__xludf.DUMMYFUNCTION("""COMPUTED_VALUE"""),"Однажды мы сводили парня из Воронежа в подорожник 😆 На днях были с ребятами из Нск в парке ангелов. Но вообще им стоит провести экскурсию-прогулку по центру и бульвару")</f>
        <v>Однажды мы сводили парня из Воронежа в подорожник 😆 На днях были с ребятами из Нск в парке ангелов. Но вообще им стоит провести экскурсию-прогулку по центру и бульвару</v>
      </c>
      <c r="L1635" s="6" t="str">
        <f>IFERROR(__xludf.DUMMYFUNCTION("""COMPUTED_VALUE"""),"Не знаю")</f>
        <v>Не знаю</v>
      </c>
      <c r="M1635" s="6" t="str">
        <f>IFERROR(__xludf.DUMMYFUNCTION("""COMPUTED_VALUE"""),"Только связанные с местами в городе")</f>
        <v>Только связанные с местами в городе</v>
      </c>
      <c r="N1635" s="6" t="str">
        <f>IFERROR(__xludf.DUMMYFUNCTION("""COMPUTED_VALUE"""),"Чистота, возможности  для работы, транспорт, уровень жизни и настроение жителей, живописные места")</f>
        <v>Чистота, возможности  для работы, транспорт, уровень жизни и настроение жителей, живописные места</v>
      </c>
      <c r="O1635" s="6" t="str">
        <f>IFERROR(__xludf.DUMMYFUNCTION("""COMPUTED_VALUE"""),"Экологию")</f>
        <v>Экологию</v>
      </c>
      <c r="P1635" s="6" t="str">
        <f>IFERROR(__xludf.DUMMYFUNCTION("""COMPUTED_VALUE"""),"Знакомые")</f>
        <v>Знакомые</v>
      </c>
      <c r="Q1635" s="6" t="str">
        <f>IFERROR(__xludf.DUMMYFUNCTION("""COMPUTED_VALUE"""),"городская афиша (кино/театр/концерты), интервью с местными творческими личностями, интервью с местными предпринимателями")</f>
        <v>городская афиша (кино/театр/концерты), интервью с местными творческими личностями, интервью с местными предпринимателями</v>
      </c>
      <c r="R1635" s="6" t="str">
        <f>IFERROR(__xludf.DUMMYFUNCTION("""COMPUTED_VALUE"""),"Обхожу такие мероприятия стороной")</f>
        <v>Обхожу такие мероприятия стороной</v>
      </c>
      <c r="S1635" s="6" t="str">
        <f>IFERROR(__xludf.DUMMYFUNCTION("""COMPUTED_VALUE"""),"Нет, не приходилось")</f>
        <v>Нет, не приходилось</v>
      </c>
      <c r="T1635" s="6" t="str">
        <f>IFERROR(__xludf.DUMMYFUNCTION("""COMPUTED_VALUE"""),"Угольная промышленность и пожар в ""Зимней вишне"" - даже в штатах знают об этом. И ещё ёлка за 18 млн")</f>
        <v>Угольная промышленность и пожар в "Зимней вишне" - даже в штатах знают об этом. И ещё ёлка за 18 млн</v>
      </c>
      <c r="U1635" s="6" t="str">
        <f>IFERROR(__xludf.DUMMYFUNCTION("""COMPUTED_VALUE"""),"Драмтеатр")</f>
        <v>Драмтеатр</v>
      </c>
      <c r="V1635" s="6" t="str">
        <f>IFERROR(__xludf.DUMMYFUNCTION("""COMPUTED_VALUE"""),"-")</f>
        <v>-</v>
      </c>
      <c r="W1635" s="6" t="str">
        <f>IFERROR(__xludf.DUMMYFUNCTION("""COMPUTED_VALUE"""),"Приехавшие с региона, либо желающие переехать в лучшее место и вполне обычные люди")</f>
        <v>Приехавшие с региона, либо желающие переехать в лучшее место и вполне обычные люди</v>
      </c>
      <c r="X1635" s="6" t="str">
        <f>IFERROR(__xludf.DUMMYFUNCTION("""COMPUTED_VALUE"""),"По пути с маршруткой 8т😄")</f>
        <v>По пути с маршруткой 8т😄</v>
      </c>
      <c r="Y1635" s="6" t="str">
        <f>IFERROR(__xludf.DUMMYFUNCTION("""COMPUTED_VALUE"""),"Концерт летом 2019 на юбилее строительной компании")</f>
        <v>Концерт летом 2019 на юбилее строительной компании</v>
      </c>
      <c r="Z1635" s="6" t="str">
        <f>IFERROR(__xludf.DUMMYFUNCTION("""COMPUTED_VALUE"""),"Рост строительства")</f>
        <v>Рост строительства</v>
      </c>
      <c r="AA1635" s="6" t="str">
        <f>IFERROR(__xludf.DUMMYFUNCTION("""COMPUTED_VALUE"""),"Ничего не зацепило")</f>
        <v>Ничего не зацепило</v>
      </c>
      <c r="AB1635" s="6" t="str">
        <f>IFERROR(__xludf.DUMMYFUNCTION("""COMPUTED_VALUE"""),"Творческих и проф. Йогов")</f>
        <v>Творческих и проф. Йогов</v>
      </c>
      <c r="AC1635" s="6" t="str">
        <f>IFERROR(__xludf.DUMMYFUNCTION("""COMPUTED_VALUE"""),"Качественная работа коммунальных служб и политическая активности молодежи")</f>
        <v>Качественная работа коммунальных служб и политическая активности молодежи</v>
      </c>
      <c r="AD1635" s="6" t="str">
        <f>IFERROR(__xludf.DUMMYFUNCTION("""COMPUTED_VALUE"""),"Не готов принимать личное участие (укажите, пожалуйста, причину в поле «Другое»), Запустить свой предпринимательский проект, организовать компанию.")</f>
        <v>Не готов принимать личное участие (укажите, пожалуйста, причину в поле «Другое»), Запустить свой предпринимательский проект, организовать компанию.</v>
      </c>
      <c r="AE1635" s="6" t="str">
        <f>IFERROR(__xludf.DUMMYFUNCTION("""COMPUTED_VALUE"""),"Женский")</f>
        <v>Женский</v>
      </c>
      <c r="AF1635" s="6" t="str">
        <f>IFERROR(__xludf.DUMMYFUNCTION("""COMPUTED_VALUE"""),"18-29")</f>
        <v>18-29</v>
      </c>
      <c r="AG1635" s="6"/>
      <c r="AH1635" s="6"/>
      <c r="AI1635" s="6"/>
      <c r="AJ1635" s="6"/>
      <c r="AK1635" s="6"/>
      <c r="AL1635" s="6"/>
      <c r="AM1635" s="6"/>
    </row>
    <row r="1636">
      <c r="A1636" s="6">
        <v>1635.0</v>
      </c>
      <c r="B1636" s="6" t="str">
        <f>IFERROR(__xludf.DUMMYFUNCTION("""COMPUTED_VALUE"""),"Домохозяйка")</f>
        <v>Домохозяйка</v>
      </c>
      <c r="C1636" s="6" t="str">
        <f>IFERROR(__xludf.DUMMYFUNCTION("""COMPUTED_VALUE"""),"Да занимаюсь полденсом")</f>
        <v>Да занимаюсь полденсом</v>
      </c>
      <c r="D1636" s="6" t="str">
        <f>IFERROR(__xludf.DUMMYFUNCTION("""COMPUTED_VALUE"""),"Радуга")</f>
        <v>Радуга</v>
      </c>
      <c r="E1636" s="6" t="str">
        <f>IFERROR(__xludf.DUMMYFUNCTION("""COMPUTED_VALUE"""),"Торговые центры")</f>
        <v>Торговые центры</v>
      </c>
      <c r="F1636" s="6" t="str">
        <f>IFERROR(__xludf.DUMMYFUNCTION("""COMPUTED_VALUE"""),"Живу здесь с рождения")</f>
        <v>Живу здесь с рождения</v>
      </c>
      <c r="G1636" s="6" t="str">
        <f>IFERROR(__xludf.DUMMYFUNCTION("""COMPUTED_VALUE"""),"За город выезжаю")</f>
        <v>За город выезжаю</v>
      </c>
      <c r="H1636" s="6" t="str">
        <f>IFERROR(__xludf.DUMMYFUNCTION("""COMPUTED_VALUE"""),"Уголь лес шахтёр зимняя вишня тайга")</f>
        <v>Уголь лес шахтёр зимняя вишня тайга</v>
      </c>
      <c r="I1636" s="6" t="str">
        <f>IFERROR(__xludf.DUMMYFUNCTION("""COMPUTED_VALUE"""),"Леонов . Михайло Волков")</f>
        <v>Леонов . Михайло Волков</v>
      </c>
      <c r="J1636" s="6" t="str">
        <f>IFERROR(__xludf.DUMMYFUNCTION("""COMPUTED_VALUE"""),"Тулеев")</f>
        <v>Тулеев</v>
      </c>
      <c r="K1636" s="6" t="str">
        <f>IFERROR(__xludf.DUMMYFUNCTION("""COMPUTED_VALUE"""),"Томская писаница")</f>
        <v>Томская писаница</v>
      </c>
      <c r="L1636" s="6" t="str">
        <f>IFERROR(__xludf.DUMMYFUNCTION("""COMPUTED_VALUE"""),"Незнаю")</f>
        <v>Незнаю</v>
      </c>
      <c r="M1636" s="6" t="str">
        <f>IFERROR(__xludf.DUMMYFUNCTION("""COMPUTED_VALUE"""),"Незнаю")</f>
        <v>Незнаю</v>
      </c>
      <c r="N1636" s="6" t="str">
        <f>IFERROR(__xludf.DUMMYFUNCTION("""COMPUTED_VALUE"""),"Дороги хорошие. Парковка у дома. ")</f>
        <v>Дороги хорошие. Парковка у дома. </v>
      </c>
      <c r="O1636" s="6" t="str">
        <f>IFERROR(__xludf.DUMMYFUNCTION("""COMPUTED_VALUE"""),"Построить мост")</f>
        <v>Построить мост</v>
      </c>
      <c r="P1636" s="6" t="str">
        <f>IFERROR(__xludf.DUMMYFUNCTION("""COMPUTED_VALUE"""),"Интернет и телевидение и радио")</f>
        <v>Интернет и телевидение и радио</v>
      </c>
      <c r="Q1636"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636" s="6" t="str">
        <f>IFERROR(__xludf.DUMMYFUNCTION("""COMPUTED_VALUE"""),"9 мая")</f>
        <v>9 мая</v>
      </c>
      <c r="S1636" s="6" t="str">
        <f>IFERROR(__xludf.DUMMYFUNCTION("""COMPUTED_VALUE"""),"Нет, не приходилось")</f>
        <v>Нет, не приходилось</v>
      </c>
      <c r="T1636" s="6" t="str">
        <f>IFERROR(__xludf.DUMMYFUNCTION("""COMPUTED_VALUE"""),"Шахтами")</f>
        <v>Шахтами</v>
      </c>
      <c r="U1636" s="6" t="str">
        <f>IFERROR(__xludf.DUMMYFUNCTION("""COMPUTED_VALUE"""),"Драмтеатр ")</f>
        <v>Драмтеатр </v>
      </c>
      <c r="V1636" s="6" t="str">
        <f>IFERROR(__xludf.DUMMYFUNCTION("""COMPUTED_VALUE"""),"Незнаю")</f>
        <v>Незнаю</v>
      </c>
      <c r="W1636" s="6" t="str">
        <f>IFERROR(__xludf.DUMMYFUNCTION("""COMPUTED_VALUE"""),"Разные")</f>
        <v>Разные</v>
      </c>
      <c r="X1636" s="6" t="str">
        <f>IFERROR(__xludf.DUMMYFUNCTION("""COMPUTED_VALUE"""),"Погулять  по набережной ")</f>
        <v>Погулять  по набережной </v>
      </c>
      <c r="Y1636" s="6" t="str">
        <f>IFERROR(__xludf.DUMMYFUNCTION("""COMPUTED_VALUE"""),"Незнаю")</f>
        <v>Незнаю</v>
      </c>
      <c r="Z1636" s="6" t="str">
        <f>IFERROR(__xludf.DUMMYFUNCTION("""COMPUTED_VALUE"""),"Открыли новую школу")</f>
        <v>Открыли новую школу</v>
      </c>
      <c r="AA1636" s="6" t="str">
        <f>IFERROR(__xludf.DUMMYFUNCTION("""COMPUTED_VALUE"""),"Нет таких")</f>
        <v>Нет таких</v>
      </c>
      <c r="AB1636" s="6" t="str">
        <f>IFERROR(__xludf.DUMMYFUNCTION("""COMPUTED_VALUE"""),"Всего хватает")</f>
        <v>Всего хватает</v>
      </c>
      <c r="AC1636" s="6" t="str">
        <f>IFERROR(__xludf.DUMMYFUNCTION("""COMPUTED_VALUE"""),"Больше проектов . В которых могут участвовать обычные люди")</f>
        <v>Больше проектов . В которых могут участвовать обычные люди</v>
      </c>
      <c r="AD163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36" s="6" t="str">
        <f>IFERROR(__xludf.DUMMYFUNCTION("""COMPUTED_VALUE"""),"Женский")</f>
        <v>Женский</v>
      </c>
      <c r="AF1636" s="6" t="str">
        <f>IFERROR(__xludf.DUMMYFUNCTION("""COMPUTED_VALUE"""),"30-44")</f>
        <v>30-44</v>
      </c>
      <c r="AG1636" s="6"/>
      <c r="AH1636" s="6"/>
      <c r="AI1636" s="6"/>
      <c r="AJ1636" s="6"/>
      <c r="AK1636" s="6"/>
      <c r="AL1636" s="6"/>
      <c r="AM1636" s="6"/>
    </row>
    <row r="1637">
      <c r="A1637" s="6">
        <v>1636.0</v>
      </c>
      <c r="B1637" s="6" t="str">
        <f>IFERROR(__xludf.DUMMYFUNCTION("""COMPUTED_VALUE"""),"Штукатур-моляр")</f>
        <v>Штукатур-моляр</v>
      </c>
      <c r="C1637" s="6" t="str">
        <f>IFERROR(__xludf.DUMMYFUNCTION("""COMPUTED_VALUE"""),"Шитье, вязание")</f>
        <v>Шитье, вязание</v>
      </c>
      <c r="D1637" s="6" t="str">
        <f>IFERROR(__xludf.DUMMYFUNCTION("""COMPUTED_VALUE"""),"Кировский")</f>
        <v>Кировский</v>
      </c>
      <c r="E1637" s="6" t="str">
        <f>IFERROR(__xludf.DUMMYFUNCTION("""COMPUTED_VALUE"""),"Набережная, парк на Леонова")</f>
        <v>Набережная, парк на Леонова</v>
      </c>
      <c r="F1637" s="6" t="str">
        <f>IFERROR(__xludf.DUMMYFUNCTION("""COMPUTED_VALUE"""),"Живу здесь с рождения")</f>
        <v>Живу здесь с рождения</v>
      </c>
      <c r="G1637" s="6" t="str">
        <f>IFERROR(__xludf.DUMMYFUNCTION("""COMPUTED_VALUE"""),"Везде")</f>
        <v>Везде</v>
      </c>
      <c r="H1637" s="6" t="str">
        <f>IFERROR(__xludf.DUMMYFUNCTION("""COMPUTED_VALUE"""),"Обшарпаные фасады,мало торговых комплексов, ужасные дороги в переулках, итд")</f>
        <v>Обшарпаные фасады,мало торговых комплексов, ужасные дороги в переулках, итд</v>
      </c>
      <c r="I1637" s="6" t="str">
        <f>IFERROR(__xludf.DUMMYFUNCTION("""COMPUTED_VALUE"""),"Тулеев")</f>
        <v>Тулеев</v>
      </c>
      <c r="J1637" s="6" t="str">
        <f>IFERROR(__xludf.DUMMYFUNCTION("""COMPUTED_VALUE"""),"Тулеев А Г")</f>
        <v>Тулеев А Г</v>
      </c>
      <c r="K1637" s="6" t="str">
        <f>IFERROR(__xludf.DUMMYFUNCTION("""COMPUTED_VALUE"""),"Набережная")</f>
        <v>Набережная</v>
      </c>
      <c r="L1637" s="6" t="str">
        <f>IFERROR(__xludf.DUMMYFUNCTION("""COMPUTED_VALUE"""),"Сто бед, один ответ. Ничего")</f>
        <v>Сто бед, один ответ. Ничего</v>
      </c>
      <c r="M1637" s="6" t="str">
        <f>IFERROR(__xludf.DUMMYFUNCTION("""COMPUTED_VALUE"""),"Затрудняюсь ответить")</f>
        <v>Затрудняюсь ответить</v>
      </c>
      <c r="N1637" s="6" t="str">
        <f>IFERROR(__xludf.DUMMYFUNCTION("""COMPUTED_VALUE"""),"Чистота, красивые дома, места отдыха, лесные массивы, в шаговой доступности индустрия.")</f>
        <v>Чистота, красивые дома, места отдыха, лесные массивы, в шаговой доступности индустрия.</v>
      </c>
      <c r="O1637" s="6" t="str">
        <f>IFERROR(__xludf.DUMMYFUNCTION("""COMPUTED_VALUE"""),"Отремонтировать фасады домов.")</f>
        <v>Отремонтировать фасады домов.</v>
      </c>
      <c r="P1637" s="6" t="str">
        <f>IFERROR(__xludf.DUMMYFUNCTION("""COMPUTED_VALUE"""),"Инстаграм, одноклассники")</f>
        <v>Инстаграм, одноклассники</v>
      </c>
      <c r="Q1637"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поступать/"&amp;"вакансии,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637" s="6" t="str">
        <f>IFERROR(__xludf.DUMMYFUNCTION("""COMPUTED_VALUE"""),"9 мая, день города")</f>
        <v>9 мая, день города</v>
      </c>
      <c r="S1637" s="6" t="str">
        <f>IFERROR(__xludf.DUMMYFUNCTION("""COMPUTED_VALUE"""),"Нет, не приходилось")</f>
        <v>Нет, не приходилось</v>
      </c>
      <c r="T1637" s="6" t="str">
        <f>IFERROR(__xludf.DUMMYFUNCTION("""COMPUTED_VALUE"""),"Шахтерская столица")</f>
        <v>Шахтерская столица</v>
      </c>
      <c r="U1637" s="6" t="str">
        <f>IFERROR(__xludf.DUMMYFUNCTION("""COMPUTED_VALUE"""),"Фонтан у драм театра, набережные города...")</f>
        <v>Фонтан у драм театра, набережные города...</v>
      </c>
      <c r="V1637" s="6" t="str">
        <f>IFERROR(__xludf.DUMMYFUNCTION("""COMPUTED_VALUE"""),"Затрудняюсь ответить")</f>
        <v>Затрудняюсь ответить</v>
      </c>
      <c r="W1637" s="6" t="str">
        <f>IFERROR(__xludf.DUMMYFUNCTION("""COMPUTED_VALUE"""),"Общительные, гостеприимные...")</f>
        <v>Общительные, гостеприимные...</v>
      </c>
      <c r="X1637" s="6" t="str">
        <f>IFERROR(__xludf.DUMMYFUNCTION("""COMPUTED_VALUE"""),"Пр. Ленина")</f>
        <v>Пр. Ленина</v>
      </c>
      <c r="Y1637" s="6" t="str">
        <f>IFERROR(__xludf.DUMMYFUNCTION("""COMPUTED_VALUE"""),"???")</f>
        <v>???</v>
      </c>
      <c r="Z1637" s="6" t="str">
        <f>IFERROR(__xludf.DUMMYFUNCTION("""COMPUTED_VALUE"""),"Ничего")</f>
        <v>Ничего</v>
      </c>
      <c r="AA1637" s="6" t="str">
        <f>IFERROR(__xludf.DUMMYFUNCTION("""COMPUTED_VALUE"""),"Пандемия")</f>
        <v>Пандемия</v>
      </c>
      <c r="AB1637" s="6" t="str">
        <f>IFERROR(__xludf.DUMMYFUNCTION("""COMPUTED_VALUE"""),"Места где можно отдыхать всей семьей")</f>
        <v>Места где можно отдыхать всей семьей</v>
      </c>
      <c r="AC1637" s="6" t="str">
        <f>IFERROR(__xludf.DUMMYFUNCTION("""COMPUTED_VALUE"""),"Концерты, больше публичных мероприятий")</f>
        <v>Концерты, больше публичных мероприятий</v>
      </c>
      <c r="AD163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37" s="6" t="str">
        <f>IFERROR(__xludf.DUMMYFUNCTION("""COMPUTED_VALUE"""),"Женский")</f>
        <v>Женский</v>
      </c>
      <c r="AF1637" s="6" t="str">
        <f>IFERROR(__xludf.DUMMYFUNCTION("""COMPUTED_VALUE"""),"30-44")</f>
        <v>30-44</v>
      </c>
      <c r="AG1637" s="6"/>
      <c r="AH1637" s="6"/>
      <c r="AI1637" s="6"/>
      <c r="AJ1637" s="6"/>
      <c r="AK1637" s="6"/>
      <c r="AL1637" s="6"/>
      <c r="AM1637" s="6"/>
    </row>
    <row r="1638">
      <c r="A1638" s="6">
        <v>1637.0</v>
      </c>
      <c r="B1638" s="6" t="str">
        <f>IFERROR(__xludf.DUMMYFUNCTION("""COMPUTED_VALUE"""),"Херней")</f>
        <v>Херней</v>
      </c>
      <c r="C1638" s="6" t="str">
        <f>IFERROR(__xludf.DUMMYFUNCTION("""COMPUTED_VALUE"""),"Пинать балду")</f>
        <v>Пинать балду</v>
      </c>
      <c r="D1638" s="6" t="str">
        <f>IFERROR(__xludf.DUMMYFUNCTION("""COMPUTED_VALUE"""),"Предзаводской")</f>
        <v>Предзаводской</v>
      </c>
      <c r="E1638" s="6" t="str">
        <f>IFERROR(__xludf.DUMMYFUNCTION("""COMPUTED_VALUE"""),"ДК
Завод ")</f>
        <v>ДК
Завод </v>
      </c>
      <c r="F1638" s="6" t="str">
        <f>IFERROR(__xludf.DUMMYFUNCTION("""COMPUTED_VALUE"""),"Живу здесь с рождения")</f>
        <v>Живу здесь с рождения</v>
      </c>
      <c r="G1638" s="6" t="str">
        <f>IFERROR(__xludf.DUMMYFUNCTION("""COMPUTED_VALUE"""),"К холодильнику")</f>
        <v>К холодильнику</v>
      </c>
      <c r="H1638" s="6" t="str">
        <f>IFERROR(__xludf.DUMMYFUNCTION("""COMPUTED_VALUE"""),"Дорохо. Бохато. Барокко. Рококо. Задница.")</f>
        <v>Дорохо. Бохато. Барокко. Рококо. Задница.</v>
      </c>
      <c r="I1638" s="6" t="str">
        <f>IFERROR(__xludf.DUMMYFUNCTION("""COMPUTED_VALUE"""),"Леонов")</f>
        <v>Леонов</v>
      </c>
      <c r="J1638" s="6" t="str">
        <f>IFERROR(__xludf.DUMMYFUNCTION("""COMPUTED_VALUE"""),"Путин")</f>
        <v>Путин</v>
      </c>
      <c r="K1638" s="6" t="str">
        <f>IFERROR(__xludf.DUMMYFUNCTION("""COMPUTED_VALUE"""),"Шашлычки в красной")</f>
        <v>Шашлычки в красной</v>
      </c>
      <c r="L1638" s="6" t="str">
        <f>IFERROR(__xludf.DUMMYFUNCTION("""COMPUTED_VALUE"""),"Надо валить, ибо нехрен делать ")</f>
        <v>Надо валить, ибо нехрен делать </v>
      </c>
      <c r="M1638" s="6" t="str">
        <f>IFERROR(__xludf.DUMMYFUNCTION("""COMPUTED_VALUE"""),"Надо валить ")</f>
        <v>Надо валить </v>
      </c>
      <c r="N1638" s="6" t="str">
        <f>IFERROR(__xludf.DUMMYFUNCTION("""COMPUTED_VALUE"""),"Пить, курить, торчать, не работать, получать пособия ")</f>
        <v>Пить, курить, торчать, не работать, получать пособия </v>
      </c>
      <c r="O1638" s="6" t="str">
        <f>IFERROR(__xludf.DUMMYFUNCTION("""COMPUTED_VALUE"""),"Сам город ")</f>
        <v>Сам город </v>
      </c>
      <c r="P1638" s="6" t="str">
        <f>IFERROR(__xludf.DUMMYFUNCTION("""COMPUTED_VALUE"""),"По радиоточке")</f>
        <v>По радиоточке</v>
      </c>
      <c r="Q1638" s="6" t="str">
        <f>IFERROR(__xludf.DUMMYFUNCTION("""COMPUTED_VALUE"""),"криминальные новости (происшествия/преступления)")</f>
        <v>криминальные новости (происшествия/преступления)</v>
      </c>
      <c r="R1638" s="6" t="str">
        <f>IFERROR(__xludf.DUMMYFUNCTION("""COMPUTED_VALUE"""),"Протесты Навального ")</f>
        <v>Протесты Навального </v>
      </c>
      <c r="S1638" s="6" t="str">
        <f>IFERROR(__xludf.DUMMYFUNCTION("""COMPUTED_VALUE"""),"Писал и расклеивал объявления/афиши")</f>
        <v>Писал и расклеивал объявления/афиши</v>
      </c>
      <c r="T1638" s="6" t="str">
        <f>IFERROR(__xludf.DUMMYFUNCTION("""COMPUTED_VALUE"""),"Песней БГ")</f>
        <v>Песней БГ</v>
      </c>
      <c r="U1638" s="6" t="str">
        <f>IFERROR(__xludf.DUMMYFUNCTION("""COMPUTED_VALUE"""),"Бар белочка ")</f>
        <v>Бар белочка </v>
      </c>
      <c r="V1638" s="6" t="str">
        <f>IFERROR(__xludf.DUMMYFUNCTION("""COMPUTED_VALUE"""),"Свалили ")</f>
        <v>Свалили </v>
      </c>
      <c r="W1638" s="6" t="str">
        <f>IFERROR(__xludf.DUMMYFUNCTION("""COMPUTED_VALUE"""),"Жесткие")</f>
        <v>Жесткие</v>
      </c>
      <c r="X1638" s="6" t="str">
        <f>IFERROR(__xludf.DUMMYFUNCTION("""COMPUTED_VALUE"""),"Кемерово - Тайланд ")</f>
        <v>Кемерово - Тайланд </v>
      </c>
      <c r="Y1638" s="6" t="str">
        <f>IFERROR(__xludf.DUMMYFUNCTION("""COMPUTED_VALUE"""),"Мировой рок концерт в 2019")</f>
        <v>Мировой рок концерт в 2019</v>
      </c>
      <c r="Z1638" s="6" t="str">
        <f>IFERROR(__xludf.DUMMYFUNCTION("""COMPUTED_VALUE"""),"Получил аванс ")</f>
        <v>Получил аванс </v>
      </c>
      <c r="AA1638" s="6" t="str">
        <f>IFERROR(__xludf.DUMMYFUNCTION("""COMPUTED_VALUE"""),"Аванс тут же закончился ")</f>
        <v>Аванс тут же закончился </v>
      </c>
      <c r="AB1638" s="6" t="str">
        <f>IFERROR(__xludf.DUMMYFUNCTION("""COMPUTED_VALUE"""),"Аквапарк ")</f>
        <v>Аквапарк </v>
      </c>
      <c r="AC1638" s="6" t="str">
        <f>IFERROR(__xludf.DUMMYFUNCTION("""COMPUTED_VALUE"""),"Лета круглый год ")</f>
        <v>Лета круглый год </v>
      </c>
      <c r="AD1638" s="6" t="str">
        <f>IFERROR(__xludf.DUMMYFUNCTION("""COMPUTED_VALUE"""),"Не готов принимать личное участие (укажите, пожалуйста, причину в поле «Другое»), Напиться за чужой счёт ")</f>
        <v>Не готов принимать личное участие (укажите, пожалуйста, причину в поле «Другое»), Напиться за чужой счёт </v>
      </c>
      <c r="AE1638" s="6" t="str">
        <f>IFERROR(__xludf.DUMMYFUNCTION("""COMPUTED_VALUE"""),"Мужской")</f>
        <v>Мужской</v>
      </c>
      <c r="AF1638" s="6" t="str">
        <f>IFERROR(__xludf.DUMMYFUNCTION("""COMPUTED_VALUE"""),"30-44")</f>
        <v>30-44</v>
      </c>
      <c r="AG1638" s="6"/>
      <c r="AH1638" s="6"/>
      <c r="AI1638" s="6"/>
      <c r="AJ1638" s="6"/>
      <c r="AK1638" s="6"/>
      <c r="AL1638" s="6"/>
      <c r="AM1638" s="6"/>
    </row>
    <row r="1639">
      <c r="A1639" s="6">
        <v>1638.0</v>
      </c>
      <c r="B1639" s="6" t="str">
        <f>IFERROR(__xludf.DUMMYFUNCTION("""COMPUTED_VALUE"""),"Охрана труда")</f>
        <v>Охрана труда</v>
      </c>
      <c r="C1639" s="6" t="str">
        <f>IFERROR(__xludf.DUMMYFUNCTION("""COMPUTED_VALUE"""),"Футбол")</f>
        <v>Футбол</v>
      </c>
      <c r="D1639" s="6" t="str">
        <f>IFERROR(__xludf.DUMMYFUNCTION("""COMPUTED_VALUE"""),"Южный")</f>
        <v>Южный</v>
      </c>
      <c r="E1639" s="6" t="str">
        <f>IFERROR(__xludf.DUMMYFUNCTION("""COMPUTED_VALUE"""),"Храм на улице Юрия Двужильного")</f>
        <v>Храм на улице Юрия Двужильного</v>
      </c>
      <c r="F1639" s="6" t="str">
        <f>IFERROR(__xludf.DUMMYFUNCTION("""COMPUTED_VALUE"""),"Переехал сюда из другого места (откуда? укажите в графе другое), Киселёвск")</f>
        <v>Переехал сюда из другого места (откуда? укажите в графе другое), Киселёвск</v>
      </c>
      <c r="G1639" s="6" t="str">
        <f>IFERROR(__xludf.DUMMYFUNCTION("""COMPUTED_VALUE"""),"Парк Ангелов")</f>
        <v>Парк Ангелов</v>
      </c>
      <c r="H1639" s="6" t="str">
        <f>IFERROR(__xludf.DUMMYFUNCTION("""COMPUTED_VALUE"""),"Химия, геометрия, ")</f>
        <v>Химия, геометрия, </v>
      </c>
      <c r="I1639" s="6" t="str">
        <f>IFERROR(__xludf.DUMMYFUNCTION("""COMPUTED_VALUE"""),"Рутгерс")</f>
        <v>Рутгерс</v>
      </c>
      <c r="J1639" s="6" t="str">
        <f>IFERROR(__xludf.DUMMYFUNCTION("""COMPUTED_VALUE"""),"Тулеев")</f>
        <v>Тулеев</v>
      </c>
      <c r="K1639" s="6" t="str">
        <f>IFERROR(__xludf.DUMMYFUNCTION("""COMPUTED_VALUE"""),"Памятник шахтеру и музей на красной горке")</f>
        <v>Памятник шахтеру и музей на красной горке</v>
      </c>
      <c r="L1639" s="6" t="str">
        <f>IFERROR(__xludf.DUMMYFUNCTION("""COMPUTED_VALUE"""),"Не знаю")</f>
        <v>Не знаю</v>
      </c>
      <c r="M1639" s="6" t="str">
        <f>IFERROR(__xludf.DUMMYFUNCTION("""COMPUTED_VALUE"""),"Нет")</f>
        <v>Нет</v>
      </c>
      <c r="N1639" s="6" t="str">
        <f>IFERROR(__xludf.DUMMYFUNCTION("""COMPUTED_VALUE"""),"Транспорт, экология, работа, отдых, чистота")</f>
        <v>Транспорт, экология, работа, отдых, чистота</v>
      </c>
      <c r="O1639" s="6" t="str">
        <f>IFERROR(__xludf.DUMMYFUNCTION("""COMPUTED_VALUE"""),"Экологию")</f>
        <v>Экологию</v>
      </c>
      <c r="P1639" s="6" t="str">
        <f>IFERROR(__xludf.DUMMYFUNCTION("""COMPUTED_VALUE"""),"Инстаграмм")</f>
        <v>Инстаграмм</v>
      </c>
      <c r="Q1639"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f>
        <v>городская афиша (кино/театр/концерты), культурные новинки (что почитать/что послушать), новости про новые профессии/куда поступать/вакансии</v>
      </c>
      <c r="R1639" s="6" t="str">
        <f>IFERROR(__xludf.DUMMYFUNCTION("""COMPUTED_VALUE"""),"День шахтера")</f>
        <v>День шахтера</v>
      </c>
      <c r="S1639" s="6" t="str">
        <f>IFERROR(__xludf.DUMMYFUNCTION("""COMPUTED_VALUE"""),"Обращался в редакции городских газет, телевидения, радио")</f>
        <v>Обращался в редакции городских газет, телевидения, радио</v>
      </c>
      <c r="T1639" s="6" t="str">
        <f>IFERROR(__xludf.DUMMYFUNCTION("""COMPUTED_VALUE"""),"Химической промышленностью")</f>
        <v>Химической промышленностью</v>
      </c>
      <c r="U1639" s="6" t="str">
        <f>IFERROR(__xludf.DUMMYFUNCTION("""COMPUTED_VALUE"""),"Цирк")</f>
        <v>Цирк</v>
      </c>
      <c r="V1639" s="6" t="str">
        <f>IFERROR(__xludf.DUMMYFUNCTION("""COMPUTED_VALUE"""),"Работтали")</f>
        <v>Работтали</v>
      </c>
      <c r="W1639" s="6" t="str">
        <f>IFERROR(__xludf.DUMMYFUNCTION("""COMPUTED_VALUE"""),"Нормальные")</f>
        <v>Нормальные</v>
      </c>
      <c r="X1639" s="6" t="str">
        <f>IFERROR(__xludf.DUMMYFUNCTION("""COMPUTED_VALUE"""),"Набережная")</f>
        <v>Набережная</v>
      </c>
      <c r="Y1639" s="6" t="str">
        <f>IFERROR(__xludf.DUMMYFUNCTION("""COMPUTED_VALUE"""),"Создание")</f>
        <v>Создание</v>
      </c>
      <c r="Z1639" s="6" t="str">
        <f>IFERROR(__xludf.DUMMYFUNCTION("""COMPUTED_VALUE"""),"Волейбольное чемпионство")</f>
        <v>Волейбольное чемпионство</v>
      </c>
      <c r="AA1639" s="6" t="str">
        <f>IFERROR(__xludf.DUMMYFUNCTION("""COMPUTED_VALUE"""),"Банкротства")</f>
        <v>Банкротства</v>
      </c>
      <c r="AB1639" s="6" t="str">
        <f>IFERROR(__xludf.DUMMYFUNCTION("""COMPUTED_VALUE"""),"Друзей")</f>
        <v>Друзей</v>
      </c>
      <c r="AC1639" s="6" t="str">
        <f>IFERROR(__xludf.DUMMYFUNCTION("""COMPUTED_VALUE"""),"Културные")</f>
        <v>Културные</v>
      </c>
      <c r="AD1639"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639" s="6" t="str">
        <f>IFERROR(__xludf.DUMMYFUNCTION("""COMPUTED_VALUE"""),"Мужской")</f>
        <v>Мужской</v>
      </c>
      <c r="AF1639" s="6" t="str">
        <f>IFERROR(__xludf.DUMMYFUNCTION("""COMPUTED_VALUE"""),"30-44")</f>
        <v>30-44</v>
      </c>
      <c r="AG1639" s="6"/>
      <c r="AH1639" s="6"/>
      <c r="AI1639" s="6"/>
      <c r="AJ1639" s="6"/>
      <c r="AK1639" s="6"/>
      <c r="AL1639" s="6"/>
      <c r="AM1639" s="6"/>
    </row>
    <row r="1640">
      <c r="A1640" s="6">
        <v>1639.0</v>
      </c>
      <c r="B1640" s="6" t="str">
        <f>IFERROR(__xludf.DUMMYFUNCTION("""COMPUTED_VALUE"""),"Предприниматель")</f>
        <v>Предприниматель</v>
      </c>
      <c r="C1640" s="6" t="str">
        <f>IFERROR(__xludf.DUMMYFUNCTION("""COMPUTED_VALUE"""),"Спорт, танцы")</f>
        <v>Спорт, танцы</v>
      </c>
      <c r="D1640" s="6" t="str">
        <f>IFERROR(__xludf.DUMMYFUNCTION("""COMPUTED_VALUE"""),"Лесная поляна. ""Поляна"".")</f>
        <v>Лесная поляна. "Поляна".</v>
      </c>
      <c r="E1640" s="6" t="str">
        <f>IFERROR(__xludf.DUMMYFUNCTION("""COMPUTED_VALUE"""),"Парк ""лесная сказка"", смотровая площадка, проспект Весенний")</f>
        <v>Парк "лесная сказка", смотровая площадка, проспект Весенний</v>
      </c>
      <c r="F1640" s="6" t="str">
        <f>IFERROR(__xludf.DUMMYFUNCTION("""COMPUTED_VALUE"""),"Переехал сюда из другого места (откуда? укажите в графе другое), Приехала учиться 9 лет назад и осталась жить.")</f>
        <v>Переехал сюда из другого места (откуда? укажите в графе другое), Приехала учиться 9 лет назад и осталась жить.</v>
      </c>
      <c r="G1640" s="6" t="str">
        <f>IFERROR(__xludf.DUMMYFUNCTION("""COMPUTED_VALUE"""),"Набережная, кафе и кино в центре города, прогулки по лесной поляне, парк ангелов.")</f>
        <v>Набережная, кафе и кино в центре города, прогулки по лесной поляне, парк ангелов.</v>
      </c>
      <c r="H1640" s="6" t="str">
        <f>IFERROR(__xludf.DUMMYFUNCTION("""COMPUTED_VALUE"""),"Дым, уют, перемены, перспективы, развитие.")</f>
        <v>Дым, уют, перемены, перспективы, развитие.</v>
      </c>
      <c r="I1640" s="6" t="str">
        <f>IFERROR(__xludf.DUMMYFUNCTION("""COMPUTED_VALUE"""),"Ничего не приходит на ум.")</f>
        <v>Ничего не приходит на ум.</v>
      </c>
      <c r="J1640" s="6" t="str">
        <f>IFERROR(__xludf.DUMMYFUNCTION("""COMPUTED_VALUE"""),"Лучшие - те, кто не мусорит и уважительно относиться другим людям.")</f>
        <v>Лучшие - те, кто не мусорит и уважительно относиться другим людям.</v>
      </c>
      <c r="K1640" s="6" t="str">
        <f>IFERROR(__xludf.DUMMYFUNCTION("""COMPUTED_VALUE"""),"В городе слишком много зданий, на которые грустно смотреть из-за их состояния и внешнего вида. Но если гулять по городу, то парк ангелов и, возможно, набережная. Привезла бы в лесную поляну. ")</f>
        <v>В городе слишком много зданий, на которые грустно смотреть из-за их состояния и внешнего вида. Но если гулять по городу, то парк ангелов и, возможно, набережная. Привезла бы в лесную поляну. </v>
      </c>
      <c r="L1640" s="6" t="str">
        <f>IFERROR(__xludf.DUMMYFUNCTION("""COMPUTED_VALUE"""),"Дословно не знаю. Часто шутят над дымом от заводов в черте города. ")</f>
        <v>Дословно не знаю. Часто шутят над дымом от заводов в черте города. </v>
      </c>
      <c r="M1640" s="6" t="str">
        <f>IFERROR(__xludf.DUMMYFUNCTION("""COMPUTED_VALUE"""),"Нет")</f>
        <v>Нет</v>
      </c>
      <c r="N1640" s="6" t="str">
        <f>IFERROR(__xludf.DUMMYFUNCTION("""COMPUTED_VALUE"""),"Чистый воздух, красивая архитектура и ландшафт, качественные дороги с удобными развязками, продуманные торговые центры, интересные достопримечательности.")</f>
        <v>Чистый воздух, красивая архитектура и ландшафт, качественные дороги с удобными развязками, продуманные торговые центры, интересные достопримечательности.</v>
      </c>
      <c r="O1640" s="6" t="str">
        <f>IFERROR(__xludf.DUMMYFUNCTION("""COMPUTED_VALUE"""),"Я бы сказала про заводы в черте города, но понимаю, что это невозможно. По-этому, отреставрировать старые дома, увеличить количество парковочных мест во дворах.")</f>
        <v>Я бы сказала про заводы в черте города, но понимаю, что это невозможно. По-этому, отреставрировать старые дома, увеличить количество парковочных мест во дворах.</v>
      </c>
      <c r="P1640" s="6" t="str">
        <f>IFERROR(__xludf.DUMMYFUNCTION("""COMPUTED_VALUE"""),"В основном от друзей, иногда из инстаграм ""все42"" и подобных групп.")</f>
        <v>В основном от друзей, иногда из инстаграм "все42" и подобных групп.</v>
      </c>
      <c r="Q1640" s="6" t="str">
        <f>IFERROR(__xludf.DUMMYFUNCTION("""COMPUTED_VALUE"""),"куда пойти в свободное время,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"&amp;"(рейтинги/аналитика/тенденции)")</f>
        <v>куда пойти в свободное время, городская афиша (кино/театр/концерты),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640" s="6" t="str">
        <f>IFERROR(__xludf.DUMMYFUNCTION("""COMPUTED_VALUE"""),"День города, день шахтера, 9 мая")</f>
        <v>День города, день шахтера, 9 мая</v>
      </c>
      <c r="S1640" s="6" t="str">
        <f>IFERROR(__xludf.DUMMYFUNCTION("""COMPUTED_VALUE"""),"Нет, не приходилось")</f>
        <v>Нет, не приходилось</v>
      </c>
      <c r="T1640" s="6" t="str">
        <f>IFERROR(__xludf.DUMMYFUNCTION("""COMPUTED_VALUE"""),"История города, качество дорог, хорошая кухня в последние годы, природа и красота лесной поляны.")</f>
        <v>История города, качество дорог, хорошая кухня в последние годы, природа и красота лесной поляны.</v>
      </c>
      <c r="U1640" s="6" t="str">
        <f>IFERROR(__xludf.DUMMYFUNCTION("""COMPUTED_VALUE"""),"Набережная, площадь советов, филармония")</f>
        <v>Набережная, площадь советов, филармония</v>
      </c>
      <c r="V1640" s="6" t="str">
        <f>IFERROR(__xludf.DUMMYFUNCTION("""COMPUTED_VALUE"""),"Развитие предпринимательской деятельности разных сфер, с целью улучшения доступности многих товаров и услуг.")</f>
        <v>Развитие предпринимательской деятельности разных сфер, с целью улучшения доступности многих товаров и услуг.</v>
      </c>
      <c r="W1640" s="6" t="str">
        <f>IFERROR(__xludf.DUMMYFUNCTION("""COMPUTED_VALUE"""),"Активные, часто хмурые, целеустремленные, хотят жить лучшей жизнью, но не знают, как этого достичь.")</f>
        <v>Активные, часто хмурые, целеустремленные, хотят жить лучшей жизнью, но не знают, как этого достичь.</v>
      </c>
      <c r="X1640" s="6" t="str">
        <f>IFERROR(__xludf.DUMMYFUNCTION("""COMPUTED_VALUE"""),"От филармонии по набережной до парка чудес. ")</f>
        <v>От филармонии по набережной до парка чудес. </v>
      </c>
      <c r="Y1640" s="6" t="str">
        <f>IFERROR(__xludf.DUMMYFUNCTION("""COMPUTED_VALUE"""),"Не могу сказать.")</f>
        <v>Не могу сказать.</v>
      </c>
      <c r="Z1640" s="6" t="str">
        <f>IFERROR(__xludf.DUMMYFUNCTION("""COMPUTED_VALUE"""),"Строительство новых объектов в городе.")</f>
        <v>Строительство новых объектов в городе.</v>
      </c>
      <c r="AA1640" s="6" t="str">
        <f>IFERROR(__xludf.DUMMYFUNCTION("""COMPUTED_VALUE"""),"Катострофически быстрый рост цен. Ухудшение экологии, отсутствие разнообразия для пляжного отдыха.")</f>
        <v>Катострофически быстрый рост цен. Ухудшение экологии, отсутствие разнообразия для пляжного отдыха.</v>
      </c>
      <c r="AB1640" s="6" t="str">
        <f>IFERROR(__xludf.DUMMYFUNCTION("""COMPUTED_VALUE"""),"Для молодых предпринимателей")</f>
        <v>Для молодых предпринимателей</v>
      </c>
      <c r="AC1640" s="6" t="str">
        <f>IFERROR(__xludf.DUMMYFUNCTION("""COMPUTED_VALUE"""),"Летних вечеринок у воды, зимних массовых развлечений, частые концерты знаменитостей, мастер-классы по интересным направлениям творчества и спорта")</f>
        <v>Летних вечеринок у воды, зимних массовых развлечений, частые концерты знаменитостей, мастер-классы по интересным направлениям творчества и спорта</v>
      </c>
      <c r="AD1640"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"&amp;"приглашения потенциально заинтересованных участников, Запустить свой предпринимательский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640" s="6" t="str">
        <f>IFERROR(__xludf.DUMMYFUNCTION("""COMPUTED_VALUE"""),"Женский")</f>
        <v>Женский</v>
      </c>
      <c r="AF1640" s="6" t="str">
        <f>IFERROR(__xludf.DUMMYFUNCTION("""COMPUTED_VALUE"""),"18-29")</f>
        <v>18-29</v>
      </c>
      <c r="AG1640" s="6"/>
      <c r="AH1640" s="6"/>
      <c r="AI1640" s="6"/>
      <c r="AJ1640" s="6"/>
      <c r="AK1640" s="6"/>
      <c r="AL1640" s="6"/>
      <c r="AM1640" s="6"/>
    </row>
    <row r="1641">
      <c r="A1641" s="6">
        <v>1640.0</v>
      </c>
      <c r="B1641" s="6" t="str">
        <f>IFERROR(__xludf.DUMMYFUNCTION("""COMPUTED_VALUE"""),"Бармен")</f>
        <v>Бармен</v>
      </c>
      <c r="C1641" s="6" t="str">
        <f>IFERROR(__xludf.DUMMYFUNCTION("""COMPUTED_VALUE"""),"Игры и квизы ")</f>
        <v>Игры и квизы </v>
      </c>
      <c r="D1641" s="6" t="str">
        <f>IFERROR(__xludf.DUMMYFUNCTION("""COMPUTED_VALUE"""),"Ленинский")</f>
        <v>Ленинский</v>
      </c>
      <c r="E1641" s="6" t="str">
        <f>IFERROR(__xludf.DUMMYFUNCTION("""COMPUTED_VALUE"""),"Парк возле променада, бульвар строителей")</f>
        <v>Парк возле променада, бульвар строителей</v>
      </c>
      <c r="F1641" s="6" t="str">
        <f>IFERROR(__xludf.DUMMYFUNCTION("""COMPUTED_VALUE"""),"Живу здесь с рождения")</f>
        <v>Живу здесь с рождения</v>
      </c>
      <c r="G1641" s="6" t="str">
        <f>IFERROR(__xludf.DUMMYFUNCTION("""COMPUTED_VALUE"""),"Никуда")</f>
        <v>Никуда</v>
      </c>
      <c r="H1641" s="6" t="str">
        <f>IFERROR(__xludf.DUMMYFUNCTION("""COMPUTED_VALUE"""),"Уголь, азот, кокс, воздух, кузбасс")</f>
        <v>Уголь, азот, кокс, воздух, кузбасс</v>
      </c>
      <c r="I1641" s="6" t="str">
        <f>IFERROR(__xludf.DUMMYFUNCTION("""COMPUTED_VALUE"""),"Леонов")</f>
        <v>Леонов</v>
      </c>
      <c r="J1641" s="6" t="str">
        <f>IFERROR(__xludf.DUMMYFUNCTION("""COMPUTED_VALUE"""),"Гришковец")</f>
        <v>Гришковец</v>
      </c>
      <c r="K1641" s="6" t="str">
        <f>IFERROR(__xludf.DUMMYFUNCTION("""COMPUTED_VALUE"""),"Площадь советов, драмтеатр, кинотеатр Москва, парк Ангелов")</f>
        <v>Площадь советов, драмтеатр, кинотеатр Москва, парк Ангелов</v>
      </c>
      <c r="L1641" s="6" t="str">
        <f>IFERROR(__xludf.DUMMYFUNCTION("""COMPUTED_VALUE"""),"Нет идей")</f>
        <v>Нет идей</v>
      </c>
      <c r="M1641" s="6" t="str">
        <f>IFERROR(__xludf.DUMMYFUNCTION("""COMPUTED_VALUE"""),"Нет")</f>
        <v>Нет</v>
      </c>
      <c r="N1641" s="6" t="str">
        <f>IFERROR(__xludf.DUMMYFUNCTION("""COMPUTED_VALUE"""),"Нагруженность, доступность, инфраструктура, транспорт, Развлечения.")</f>
        <v>Нагруженность, доступность, инфраструктура, транспорт, Развлечения.</v>
      </c>
      <c r="O1641" s="6" t="str">
        <f>IFERROR(__xludf.DUMMYFUNCTION("""COMPUTED_VALUE"""),"Увеличить количество развлечений, привлечь каршеринг ")</f>
        <v>Увеличить количество развлечений, привлечь каршеринг </v>
      </c>
      <c r="P1641" s="6" t="str">
        <f>IFERROR(__xludf.DUMMYFUNCTION("""COMPUTED_VALUE"""),"ВКонтакте, яндекс")</f>
        <v>ВКонтакте, яндекс</v>
      </c>
      <c r="Q1641"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641" s="6" t="str">
        <f>IFERROR(__xludf.DUMMYFUNCTION("""COMPUTED_VALUE"""),"9 мая, день города, Новый гол")</f>
        <v>9 мая, день города, Новый гол</v>
      </c>
      <c r="S1641" s="6" t="str">
        <f>IFERROR(__xludf.DUMMYFUNCTION("""COMPUTED_VALUE"""),"Нет, не приходилось")</f>
        <v>Нет, не приходилось</v>
      </c>
      <c r="T1641" s="6" t="str">
        <f>IFERROR(__xludf.DUMMYFUNCTION("""COMPUTED_VALUE"""),"Музей красная горка, история углевой промышленности.")</f>
        <v>Музей красная горка, история углевой промышленности.</v>
      </c>
      <c r="U1641" s="6" t="str">
        <f>IFERROR(__xludf.DUMMYFUNCTION("""COMPUTED_VALUE"""),"Гоавпочтамт, драмтеатр.")</f>
        <v>Гоавпочтамт, драмтеатр.</v>
      </c>
      <c r="V1641" s="6" t="str">
        <f>IFERROR(__xludf.DUMMYFUNCTION("""COMPUTED_VALUE"""),"Нет ответа")</f>
        <v>Нет ответа</v>
      </c>
      <c r="W1641" s="6" t="str">
        <f>IFERROR(__xludf.DUMMYFUNCTION("""COMPUTED_VALUE"""),"Нет ответа")</f>
        <v>Нет ответа</v>
      </c>
      <c r="X1641" s="6" t="str">
        <f>IFERROR(__xludf.DUMMYFUNCTION("""COMPUTED_VALUE"""),"От парка ангелов через площадь советов до тц я. ")</f>
        <v>От парка ангелов через площадь советов до тц я. </v>
      </c>
      <c r="Y1641" s="6" t="str">
        <f>IFERROR(__xludf.DUMMYFUNCTION("""COMPUTED_VALUE"""),"Чемпионат мира по хоккею с мячом ")</f>
        <v>Чемпионат мира по хоккею с мячом </v>
      </c>
      <c r="Z1641" s="6" t="str">
        <f>IFERROR(__xludf.DUMMYFUNCTION("""COMPUTED_VALUE"""),"Рок концерт возле гостиницы кристалл")</f>
        <v>Рок концерт возле гостиницы кристалл</v>
      </c>
      <c r="AA1641" s="6" t="str">
        <f>IFERROR(__xludf.DUMMYFUNCTION("""COMPUTED_VALUE"""),"Убийства и преступления")</f>
        <v>Убийства и преступления</v>
      </c>
      <c r="AB1641" s="6" t="str">
        <f>IFERROR(__xludf.DUMMYFUNCTION("""COMPUTED_VALUE"""),"Каршеринг")</f>
        <v>Каршеринг</v>
      </c>
      <c r="AC1641" s="6" t="str">
        <f>IFERROR(__xludf.DUMMYFUNCTION("""COMPUTED_VALUE"""),"Нет ответа")</f>
        <v>Нет ответа</v>
      </c>
      <c r="AD164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41" s="6" t="str">
        <f>IFERROR(__xludf.DUMMYFUNCTION("""COMPUTED_VALUE"""),"Мужской")</f>
        <v>Мужской</v>
      </c>
      <c r="AF1641" s="6" t="str">
        <f>IFERROR(__xludf.DUMMYFUNCTION("""COMPUTED_VALUE"""),"18-29")</f>
        <v>18-29</v>
      </c>
      <c r="AG1641" s="6"/>
      <c r="AH1641" s="6"/>
      <c r="AI1641" s="6"/>
      <c r="AJ1641" s="6"/>
      <c r="AK1641" s="6"/>
      <c r="AL1641" s="6"/>
      <c r="AM1641" s="6"/>
    </row>
    <row r="1642">
      <c r="A1642" s="6">
        <v>1641.0</v>
      </c>
      <c r="B1642" s="6" t="str">
        <f>IFERROR(__xludf.DUMMYFUNCTION("""COMPUTED_VALUE"""),"Работаю медицинской сестрой в больнице")</f>
        <v>Работаю медицинской сестрой в больнице</v>
      </c>
      <c r="C1642" s="6" t="str">
        <f>IFERROR(__xludf.DUMMYFUNCTION("""COMPUTED_VALUE"""),"Если хобби можно считать чтение книг")</f>
        <v>Если хобби можно считать чтение книг</v>
      </c>
      <c r="D1642" s="6" t="str">
        <f>IFERROR(__xludf.DUMMYFUNCTION("""COMPUTED_VALUE"""),"Живу в сельской местности, но недалеко от Кировского, поэтому можно сказать, что в Кировском, там же и работаю. ")</f>
        <v>Живу в сельской местности, но недалеко от Кировского, поэтому можно сказать, что в Кировском, там же и работаю. </v>
      </c>
      <c r="E1642" s="6" t="str">
        <f>IFERROR(__xludf.DUMMYFUNCTION("""COMPUTED_VALUE"""),"Берёзовая роща, набережная, сквер на Дк. ")</f>
        <v>Берёзовая роща, набережная, сквер на Дк. </v>
      </c>
      <c r="F1642" s="6" t="str">
        <f>IFERROR(__xludf.DUMMYFUNCTION("""COMPUTED_VALUE"""),"Живу здесь с рождения")</f>
        <v>Живу здесь с рождения</v>
      </c>
      <c r="G1642" s="6" t="str">
        <f>IFERROR(__xludf.DUMMYFUNCTION("""COMPUTED_VALUE"""),"В разные кафе, клубы, кино")</f>
        <v>В разные кафе, клубы, кино</v>
      </c>
      <c r="H1642" s="6" t="str">
        <f>IFERROR(__xludf.DUMMYFUNCTION("""COMPUTED_VALUE"""),"Смог, пыль, шум, серость, грязь")</f>
        <v>Смог, пыль, шум, серость, грязь</v>
      </c>
      <c r="I1642" s="6" t="str">
        <f>IFERROR(__xludf.DUMMYFUNCTION("""COMPUTED_VALUE"""),"Не знаю")</f>
        <v>Не знаю</v>
      </c>
      <c r="J1642" s="6" t="str">
        <f>IFERROR(__xludf.DUMMYFUNCTION("""COMPUTED_VALUE"""),"Тулеев")</f>
        <v>Тулеев</v>
      </c>
      <c r="K1642" s="6" t="str">
        <f>IFERROR(__xludf.DUMMYFUNCTION("""COMPUTED_VALUE"""),"Набережная в Кировском, набережная в Центре города, парк чудес, клуб Доски. ")</f>
        <v>Набережная в Кировском, набережная в Центре города, парк чудес, клуб Доски. </v>
      </c>
      <c r="L1642" s="6" t="str">
        <f>IFERROR(__xludf.DUMMYFUNCTION("""COMPUTED_VALUE"""),"Не знаю")</f>
        <v>Не знаю</v>
      </c>
      <c r="M1642" s="6" t="str">
        <f>IFERROR(__xludf.DUMMYFUNCTION("""COMPUTED_VALUE"""),"Мультифора, Кем")</f>
        <v>Мультифора, Кем</v>
      </c>
      <c r="N1642" s="6" t="str">
        <f>IFERROR(__xludf.DUMMYFUNCTION("""COMPUTED_VALUE"""),"1. Исправный, современный общественный транспорт, чтоб зимой в нём тепло, а летом не жарко, чтоб было чисто, чтоб он не ломался постоянно, и ждать приходилось недолго. 
2. Чтоб было в городе много мест для развлечения отдыха на любой кошелёк, кафе, рестор"&amp;"аны, клубы, бары, парки аттракционов и тд. 
3. Хотелось бы, чтоб в городе было больше мест, где посидеть, летом больше лавочек, зимой какие-то может быть уголки в магазинах или теплые остановки, что-то подобное, бывает очень холодно зимой стоять ждать тра"&amp;"нспорт на улице. 
4. В городе нужно больше мусорных урн, в Кемерово никогда их не могу найти, а были бы они повсюду установлены, мусора стало б меньше. 
5. И, конечно, хотелось бы повысить уровень медицины, чтоб мед работники качественно выполняли свою ра"&amp;"боту, для этого, думаю, стоит сделать им достойную зарплату, чтобы все необходимые анализы и врачей можно было проходить в одном месте, а не бегать из здания в здание, или вообще по всему городу. И чтобы обследования по полису ОМС стали действительно каче"&amp;"ственными, как в платных клиниках. Но это уже мечтыыы. 
")</f>
        <v>1. Исправный, современный общественный транспорт, чтоб зимой в нём тепло, а летом не жарко, чтоб было чисто, чтоб он не ломался постоянно, и ждать приходилось недолго. 
2. Чтоб было в городе много мест для развлечения отдыха на любой кошелёк, кафе, рестораны, клубы, бары, парки аттракционов и тд. 
3. Хотелось бы, чтоб в городе было больше мест, где посидеть, летом больше лавочек, зимой какие-то может быть уголки в магазинах или теплые остановки, что-то подобное, бывает очень холодно зимой стоять ждать транспорт на улице. 
4. В городе нужно больше мусорных урн, в Кемерово никогда их не могу найти, а были бы они повсюду установлены, мусора стало б меньше. 
5. И, конечно, хотелось бы повысить уровень медицины, чтоб мед работники качественно выполняли свою работу, для этого, думаю, стоит сделать им достойную зарплату, чтобы все необходимые анализы и врачей можно было проходить в одном месте, а не бегать из здания в здание, или вообще по всему городу. И чтобы обследования по полису ОМС стали действительно качественными, как в платных клиниках. Но это уже мечтыыы. 
</v>
      </c>
      <c r="O1642" s="6" t="str">
        <f>IFERROR(__xludf.DUMMYFUNCTION("""COMPUTED_VALUE"""),"Убрать всю грязь, мусор, очистить воздух, прекратить вырубать деревья. ")</f>
        <v>Убрать всю грязь, мусор, очистить воздух, прекратить вырубать деревья. </v>
      </c>
      <c r="P1642" s="6" t="str">
        <f>IFERROR(__xludf.DUMMYFUNCTION("""COMPUTED_VALUE"""),"Инцидент Кемерово - группа в вконтакте. Также из инстаграмма, подписана на многие группы по Кузбасса. ")</f>
        <v>Инцидент Кемерово - группа в вконтакте. Также из инстаграмма, подписана на многие группы по Кузбасса. </v>
      </c>
      <c r="Q1642"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1642" s="6" t="str">
        <f>IFERROR(__xludf.DUMMYFUNCTION("""COMPUTED_VALUE"""),"День города, День победы. ")</f>
        <v>День города, День победы. </v>
      </c>
      <c r="S1642" s="6" t="str">
        <f>IFERROR(__xludf.DUMMYFUNCTION("""COMPUTED_VALUE"""),"Нет, не приходилось")</f>
        <v>Нет, не приходилось</v>
      </c>
      <c r="T1642" s="6" t="str">
        <f>IFERROR(__xludf.DUMMYFUNCTION("""COMPUTED_VALUE"""),"Угольный край. Уникальная Томская писаница, музей Красная Горка. В прошлом Острог. Интересная и насыщенная история. ")</f>
        <v>Угольный край. Уникальная Томская писаница, музей Красная Горка. В прошлом Острог. Интересная и насыщенная история. </v>
      </c>
      <c r="U1642" s="6" t="str">
        <f>IFERROR(__xludf.DUMMYFUNCTION("""COMPUTED_VALUE"""),"Не знаю")</f>
        <v>Не знаю</v>
      </c>
      <c r="V1642" s="6" t="str">
        <f>IFERROR(__xludf.DUMMYFUNCTION("""COMPUTED_VALUE"""),"Очень мало что")</f>
        <v>Очень мало что</v>
      </c>
      <c r="W1642" s="6" t="str">
        <f>IFERROR(__xludf.DUMMYFUNCTION("""COMPUTED_VALUE"""),"Озлобленные, недовольные, медлительные. ")</f>
        <v>Озлобленные, недовольные, медлительные. </v>
      </c>
      <c r="X1642" s="6" t="str">
        <f>IFERROR(__xludf.DUMMYFUNCTION("""COMPUTED_VALUE"""),"Парк чудес, набережная, старый мост, набережная в Кировском районе. ")</f>
        <v>Парк чудес, набережная, старый мост, набережная в Кировском районе. </v>
      </c>
      <c r="Y1642" s="6" t="str">
        <f>IFERROR(__xludf.DUMMYFUNCTION("""COMPUTED_VALUE"""),"Без понятия")</f>
        <v>Без понятия</v>
      </c>
      <c r="Z1642" s="6" t="str">
        <f>IFERROR(__xludf.DUMMYFUNCTION("""COMPUTED_VALUE"""),"Их не было")</f>
        <v>Их не было</v>
      </c>
      <c r="AA1642" s="6" t="str">
        <f>IFERROR(__xludf.DUMMYFUNCTION("""COMPUTED_VALUE"""),"Конечно, прошло уже больше двух лет, но это пожар в Зимней войне, запомнился просто на много-много лет. А недавно митинги в поддержку Навального, работа полиции вызвала ужасное негодование. ")</f>
        <v>Конечно, прошло уже больше двух лет, но это пожар в Зимней войне, запомнился просто на много-много лет. А недавно митинги в поддержку Навального, работа полиции вызвала ужасное негодование. </v>
      </c>
      <c r="AB1642" s="6" t="str">
        <f>IFERROR(__xludf.DUMMYFUNCTION("""COMPUTED_VALUE"""),"Не знаю")</f>
        <v>Не знаю</v>
      </c>
      <c r="AC1642" s="6" t="str">
        <f>IFERROR(__xludf.DUMMYFUNCTION("""COMPUTED_VALUE"""),"Масштабные аирпати, какие-то веселые музыкальные тусовки на улице для разных возрастов. Концерты самых разных музыкантов по доступным ценам. Какие-нибудь фестивали красок или мыльных пузырей. Световые шоу. Танцевальные выступления в музыкальных театрах, А"&amp;" также на улице. Ещё что-нибудь яркое и масштабное. ")</f>
        <v>Масштабные аирпати, какие-то веселые музыкальные тусовки на улице для разных возрастов. Концерты самых разных музыкантов по доступным ценам. Какие-нибудь фестивали красок или мыльных пузырей. Световые шоу. Танцевальные выступления в музыкальных театрах, А также на улице. Ещё что-нибудь яркое и масштабное. </v>
      </c>
      <c r="AD164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42" s="6" t="str">
        <f>IFERROR(__xludf.DUMMYFUNCTION("""COMPUTED_VALUE"""),"Женский")</f>
        <v>Женский</v>
      </c>
      <c r="AF1642" s="6" t="str">
        <f>IFERROR(__xludf.DUMMYFUNCTION("""COMPUTED_VALUE"""),"18-29")</f>
        <v>18-29</v>
      </c>
      <c r="AG1642" s="6"/>
      <c r="AH1642" s="6"/>
      <c r="AI1642" s="6"/>
      <c r="AJ1642" s="6"/>
      <c r="AK1642" s="6"/>
      <c r="AL1642" s="6"/>
      <c r="AM1642" s="6"/>
    </row>
    <row r="1643">
      <c r="A1643" s="6">
        <v>1642.0</v>
      </c>
      <c r="B1643" s="6" t="str">
        <f>IFERROR(__xludf.DUMMYFUNCTION("""COMPUTED_VALUE"""),"Менеджер по сервису")</f>
        <v>Менеджер по сервису</v>
      </c>
      <c r="C1643" s="6" t="str">
        <f>IFERROR(__xludf.DUMMYFUNCTION("""COMPUTED_VALUE"""),"Реставрация мебели")</f>
        <v>Реставрация мебели</v>
      </c>
      <c r="D1643" s="6" t="str">
        <f>IFERROR(__xludf.DUMMYFUNCTION("""COMPUTED_VALUE"""),"В суровом кировском")</f>
        <v>В суровом кировском</v>
      </c>
      <c r="E1643" s="6" t="str">
        <f>IFERROR(__xludf.DUMMYFUNCTION("""COMPUTED_VALUE"""),"Набережная, берёзовая роща, бассейн, 3 особый")</f>
        <v>Набережная, берёзовая роща, бассейн, 3 особый</v>
      </c>
      <c r="F1643" s="6" t="str">
        <f>IFERROR(__xludf.DUMMYFUNCTION("""COMPUTED_VALUE"""),"Живу здесь с рождения")</f>
        <v>Живу здесь с рождения</v>
      </c>
      <c r="G1643" s="6" t="str">
        <f>IFERROR(__xludf.DUMMYFUNCTION("""COMPUTED_VALUE"""),"Хожу по набережной и 40 лет октября, смотрю на шикарные обшарпанные дома и представляю, как они будут выглядеть после восстановления фасадов и укладки нормального асфальта")</f>
        <v>Хожу по набережной и 40 лет октября, смотрю на шикарные обшарпанные дома и представляю, как они будут выглядеть после восстановления фасадов и укладки нормального асфальта</v>
      </c>
      <c r="H1643" s="6" t="str">
        <f>IFERROR(__xludf.DUMMYFUNCTION("""COMPUTED_VALUE"""),"2 часа пробок до центра утром
Дома сталинской постройки
Оху.... В край обнаглевшие управляющие компании
Единственный район города, где меня не грабили это кировский
В целом бесперспективный город
")</f>
        <v>2 часа пробок до центра утром
Дома сталинской постройки
Оху.... В край обнаглевшие управляющие компании
Единственный район города, где меня не грабили это кировский
В целом бесперспективный город
</v>
      </c>
      <c r="I1643" s="6" t="str">
        <f>IFERROR(__xludf.DUMMYFUNCTION("""COMPUTED_VALUE"""),"Леонов
")</f>
        <v>Леонов
</v>
      </c>
      <c r="J1643" s="6" t="str">
        <f>IFERROR(__xludf.DUMMYFUNCTION("""COMPUTED_VALUE"""),"Дмитрий Альков. Он помогает детям сиротам и тд")</f>
        <v>Дмитрий Альков. Он помогает детям сиротам и тд</v>
      </c>
      <c r="K1643" s="6" t="str">
        <f>IFERROR(__xludf.DUMMYFUNCTION("""COMPUTED_VALUE"""),"На правом берегу около логового шоссе есть красивая пешая лестница. Погуляла бы на кировской набережной, лесную поляну показала бы но не пешком")</f>
        <v>На правом берегу около логового шоссе есть красивая пешая лестница. Погуляла бы на кировской набережной, лесную поляну показала бы но не пешком</v>
      </c>
      <c r="L1643" s="6" t="str">
        <f>IFERROR(__xludf.DUMMYFUNCTION("""COMPUTED_VALUE"""),"Кировский и Южный-никому не нужный")</f>
        <v>Кировский и Южный-никому не нужный</v>
      </c>
      <c r="M1643" s="6" t="str">
        <f>IFERROR(__xludf.DUMMYFUNCTION("""COMPUTED_VALUE"""),"В ресторане Вечный зов есть блюда по-кемеровски")</f>
        <v>В ресторане Вечный зов есть блюда по-кемеровски</v>
      </c>
      <c r="N1643" s="6" t="str">
        <f>IFERROR(__xludf.DUMMYFUNCTION("""COMPUTED_VALUE"""),"Хорошие дороги не только в центре
Возможность реализовывать творческий потенциал и заработать на этом, а не бумажки из стопки в стопку перекладывать, чтоб концы свести
Доступность жилья
Инфраструктура (доступная медицина, образование, возможность занимать"&amp;"ся спортом или искусством не отдавая последние гроши) места отдыха
Мягкий климат(это не про нас) ")</f>
        <v>Хорошие дороги не только в центре
Возможность реализовывать творческий потенциал и заработать на этом, а не бумажки из стопки в стопку перекладывать, чтоб концы свести
Доступность жилья
Инфраструктура (доступная медицина, образование, возможность заниматься спортом или искусством не отдавая последние гроши) места отдыха
Мягкий климат(это не про нас) </v>
      </c>
      <c r="O1643" s="6" t="str">
        <f>IFERROR(__xludf.DUMMYFUNCTION("""COMPUTED_VALUE"""),"1) мост от Прогресса через Томь позволит закольцевать город, облегчит нагрузки в час пик
2)Вместо ёлки за 18 лямов можно было сделать массу полезных вещей ")</f>
        <v>1) мост от Прогресса через Томь позволит закольцевать город, облегчит нагрузки в час пик
2)Вместо ёлки за 18 лямов можно было сделать массу полезных вещей </v>
      </c>
      <c r="P1643" s="6" t="str">
        <f>IFERROR(__xludf.DUMMYFUNCTION("""COMPUTED_VALUE"""),"Инстаграмм
Реже в контакте ")</f>
        <v>Инстаграмм
Реже в контакте </v>
      </c>
      <c r="Q1643"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f>
        <v>городская афиша (кино/театр/концерты), культурные новинки (что почитать/что послушать), новости про новые профессии/куда поступать/вакансии, результаты местных исследований (рейтинги/аналитика/тенденции)</v>
      </c>
      <c r="R1643" s="6" t="str">
        <f>IFERROR(__xludf.DUMMYFUNCTION("""COMPUTED_VALUE"""),"НИКАКИЕ
пару лет назад был хороший рок концерт, но это не от городских властей")</f>
        <v>НИКАКИЕ
пару лет назад был хороший рок концерт, но это не от городских властей</v>
      </c>
      <c r="S1643" s="6" t="str">
        <f>IFERROR(__xludf.DUMMYFUNCTION("""COMPUTED_VALUE"""),"Участвовала в студвесне, и прошла этап конкурса Волнение, но мне не сообщили, о том что я прошла ")</f>
        <v>Участвовала в студвесне, и прошла этап конкурса Волнение, но мне не сообщили, о том что я прошла </v>
      </c>
      <c r="T1643" s="6" t="str">
        <f>IFERROR(__xludf.DUMMYFUNCTION("""COMPUTED_VALUE"""),"У нас добывают уголь. Каждую зиму выбросы нипойми каких веществ, что на вытянутую руку ничего не видно. Но власти говорят, что промышленность ни при чем, это все печки частного сектора")</f>
        <v>У нас добывают уголь. Каждую зиму выбросы нипойми каких веществ, что на вытянутую руку ничего не видно. Но власти говорят, что промышленность ни при чем, это все печки частного сектора</v>
      </c>
      <c r="U1643" s="6" t="str">
        <f>IFERROR(__xludf.DUMMYFUNCTION("""COMPUTED_VALUE"""),"Площадь советов")</f>
        <v>Площадь советов</v>
      </c>
      <c r="V1643" s="6" t="str">
        <f>IFERROR(__xludf.DUMMYFUNCTION("""COMPUTED_VALUE"""),"Уехали от сюда и прославились")</f>
        <v>Уехали от сюда и прославились</v>
      </c>
      <c r="W1643" s="6" t="str">
        <f>IFERROR(__xludf.DUMMYFUNCTION("""COMPUTED_VALUE"""),"Бессердечные, злые, уставшие люди")</f>
        <v>Бессердечные, злые, уставшие люди</v>
      </c>
      <c r="X1643" s="6" t="str">
        <f>IFERROR(__xludf.DUMMYFUNCTION("""COMPUTED_VALUE"""),"Если от вокзала, то в пробке стоять будете. Я покажу улицу Арочную, потом красную горку, потом на кироскую набережную")</f>
        <v>Если от вокзала, то в пробке стоять будете. Я покажу улицу Арочную, потом красную горку, потом на кироскую набережную</v>
      </c>
      <c r="Y1643" s="6" t="str">
        <f>IFERROR(__xludf.DUMMYFUNCTION("""COMPUTED_VALUE"""),"Сгорела Зимняя вишня и сменилась власть, но жизнь горожан лучше не стала")</f>
        <v>Сгорела Зимняя вишня и сменилась власть, но жизнь горожан лучше не стала</v>
      </c>
      <c r="Z1643" s="6" t="str">
        <f>IFERROR(__xludf.DUMMYFUNCTION("""COMPUTED_VALUE"""),"Нас насильно заставляют сидеть дома без зарплаты под угрозой ковида, а теперь ещё прививать я заставляют под угрозой увольнения, что нарушает права Человека, и противоречит Конституции ")</f>
        <v>Нас насильно заставляют сидеть дома без зарплаты под угрозой ковида, а теперь ещё прививать я заставляют под угрозой увольнения, что нарушает права Человека, и противоречит Конституции </v>
      </c>
      <c r="AA1643" s="6" t="str">
        <f>IFERROR(__xludf.DUMMYFUNCTION("""COMPUTED_VALUE"""),"Смотри выше")</f>
        <v>Смотри выше</v>
      </c>
      <c r="AB1643" s="6" t="str">
        <f>IFERROR(__xludf.DUMMYFUNCTION("""COMPUTED_VALUE"""),"Правозащитных")</f>
        <v>Правозащитных</v>
      </c>
      <c r="AC1643" s="6" t="str">
        <f>IFERROR(__xludf.DUMMYFUNCTION("""COMPUTED_VALUE"""),"Аквапарк")</f>
        <v>Аквапарк</v>
      </c>
      <c r="AD1643" s="6" t="str">
        <f>IFERROR(__xludf.DUMMYFUNCTION("""COMPUTED_VALUE"""),"У меня нет возможности жить нормально, а вы предлагаете деньгами скинуться? Я могу убрать грязь в своём дворе, хоть её не я оставила. Могу оплатить укрепление балконной плиты, хоть это дело УК, но до них достучаться не могу. По закону можно потребовать че"&amp;"рез суд, после оплаты из своих средств, но это опять время, деньги и мои нервы")</f>
        <v>У меня нет возможности жить нормально, а вы предлагаете деньгами скинуться? Я могу убрать грязь в своём дворе, хоть её не я оставила. Могу оплатить укрепление балконной плиты, хоть это дело УК, но до них достучаться не могу. По закону можно потребовать через суд, после оплаты из своих средств, но это опять время, деньги и мои нервы</v>
      </c>
      <c r="AE1643" s="6" t="str">
        <f>IFERROR(__xludf.DUMMYFUNCTION("""COMPUTED_VALUE"""),"Женский")</f>
        <v>Женский</v>
      </c>
      <c r="AF1643" s="6" t="str">
        <f>IFERROR(__xludf.DUMMYFUNCTION("""COMPUTED_VALUE"""),"30-44")</f>
        <v>30-44</v>
      </c>
      <c r="AG1643" s="6"/>
      <c r="AH1643" s="6"/>
      <c r="AI1643" s="6"/>
      <c r="AJ1643" s="6"/>
      <c r="AK1643" s="6"/>
      <c r="AL1643" s="6"/>
      <c r="AM1643" s="6"/>
    </row>
    <row r="1644">
      <c r="A1644" s="6">
        <v>1643.0</v>
      </c>
      <c r="B1644" s="6" t="str">
        <f>IFERROR(__xludf.DUMMYFUNCTION("""COMPUTED_VALUE"""),"Студент")</f>
        <v>Студент</v>
      </c>
      <c r="C1644" s="6" t="str">
        <f>IFERROR(__xludf.DUMMYFUNCTION("""COMPUTED_VALUE"""),"Рисование, фотография")</f>
        <v>Рисование, фотография</v>
      </c>
      <c r="D1644" s="6" t="str">
        <f>IFERROR(__xludf.DUMMYFUNCTION("""COMPUTED_VALUE"""),"Ленинский")</f>
        <v>Ленинский</v>
      </c>
      <c r="E1644" s="6" t="str">
        <f>IFERROR(__xludf.DUMMYFUNCTION("""COMPUTED_VALUE"""),"Красное озеро, бульвар Строителей ")</f>
        <v>Красное озеро, бульвар Строителей </v>
      </c>
      <c r="F1644" s="6" t="str">
        <f>IFERROR(__xludf.DUMMYFUNCTION("""COMPUTED_VALUE"""),"Переехал сюда из другого места (откуда? укажите в графе другое), Тяжинский район")</f>
        <v>Переехал сюда из другого места (откуда? укажите в графе другое), Тяжинский район</v>
      </c>
      <c r="G1644" s="6" t="str">
        <f>IFERROR(__xludf.DUMMYFUNCTION("""COMPUTED_VALUE"""),"Лапландия, ТЦ Я, Кофемолка на б. Строителей, парки, сверы")</f>
        <v>Лапландия, ТЦ Я, Кофемолка на б. Строителей, парки, сверы</v>
      </c>
      <c r="H1644" s="6" t="str">
        <f>IFERROR(__xludf.DUMMYFUNCTION("""COMPUTED_VALUE"""),"Томь, набережная, заводы, Драмтеатр, пыль на улицах")</f>
        <v>Томь, набережная, заводы, Драмтеатр, пыль на улицах</v>
      </c>
      <c r="I1644" s="6" t="str">
        <f>IFERROR(__xludf.DUMMYFUNCTION("""COMPUTED_VALUE"""),"-")</f>
        <v>-</v>
      </c>
      <c r="J1644" s="6" t="str">
        <f>IFERROR(__xludf.DUMMYFUNCTION("""COMPUTED_VALUE"""),"Тулеев, Цивилев")</f>
        <v>Тулеев, Цивилев</v>
      </c>
      <c r="K1644" s="6" t="str">
        <f>IFERROR(__xludf.DUMMYFUNCTION("""COMPUTED_VALUE"""),"Набережная, парк чудес, б. Строителей (аллея), парк Ангелов")</f>
        <v>Набережная, парк чудес, б. Строителей (аллея), парк Ангелов</v>
      </c>
      <c r="L1644" s="6" t="str">
        <f>IFERROR(__xludf.DUMMYFUNCTION("""COMPUTED_VALUE"""),"-")</f>
        <v>-</v>
      </c>
      <c r="M1644" s="6" t="str">
        <f>IFERROR(__xludf.DUMMYFUNCTION("""COMPUTED_VALUE"""),"Мультифора")</f>
        <v>Мультифора</v>
      </c>
      <c r="N1644" s="6" t="str">
        <f>IFERROR(__xludf.DUMMYFUNCTION("""COMPUTED_VALUE"""),"Много парков, зелени,  хорошие дороги, чистый общественный транспорт, кондукторы в маршрутках, удобно расположенные ТЦ")</f>
        <v>Много парков, зелени,  хорошие дороги, чистый общественный транспорт, кондукторы в маршрутках, удобно расположенные ТЦ</v>
      </c>
      <c r="O1644" s="6" t="str">
        <f>IFERROR(__xludf.DUMMYFUNCTION("""COMPUTED_VALUE"""),"Заменить старые общаги на новые дома")</f>
        <v>Заменить старые общаги на новые дома</v>
      </c>
      <c r="P1644" s="6" t="str">
        <f>IFERROR(__xludf.DUMMYFUNCTION("""COMPUTED_VALUE"""),"Инстаграм ")</f>
        <v>Инстаграм </v>
      </c>
      <c r="Q1644" s="6" t="str">
        <f>IFERROR(__xludf.DUMMYFUNCTION("""COMPUTED_VALUE"""),"куда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f>
        <v>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v>
      </c>
      <c r="R1644" s="6" t="str">
        <f>IFERROR(__xludf.DUMMYFUNCTION("""COMPUTED_VALUE"""),"Новый год")</f>
        <v>Новый год</v>
      </c>
      <c r="S1644" s="6" t="str">
        <f>IFERROR(__xludf.DUMMYFUNCTION("""COMPUTED_VALUE"""),"Нет, не приходилось")</f>
        <v>Нет, не приходилось</v>
      </c>
      <c r="T1644" s="6" t="str">
        <f>IFERROR(__xludf.DUMMYFUNCTION("""COMPUTED_VALUE"""),"Плохая экология")</f>
        <v>Плохая экология</v>
      </c>
      <c r="U1644" s="6" t="str">
        <f>IFERROR(__xludf.DUMMYFUNCTION("""COMPUTED_VALUE"""),"Площадь Советов")</f>
        <v>Площадь Советов</v>
      </c>
      <c r="V1644" s="6" t="str">
        <f>IFERROR(__xludf.DUMMYFUNCTION("""COMPUTED_VALUE"""),"-")</f>
        <v>-</v>
      </c>
      <c r="W1644" s="6" t="str">
        <f>IFERROR(__xludf.DUMMYFUNCTION("""COMPUTED_VALUE"""),"Самостоятельные")</f>
        <v>Самостоятельные</v>
      </c>
      <c r="X1644" s="6" t="str">
        <f>IFERROR(__xludf.DUMMYFUNCTION("""COMPUTED_VALUE"""),"Проспект Советский, Весенняя, притомская набережная, Парк чудес, Кирова")</f>
        <v>Проспект Советский, Весенняя, притомская набережная, Парк чудес, Кирова</v>
      </c>
      <c r="Y1644" s="6" t="str">
        <f>IFERROR(__xludf.DUMMYFUNCTION("""COMPUTED_VALUE"""),"Открытие Драмтеатра")</f>
        <v>Открытие Драмтеатра</v>
      </c>
      <c r="Z1644" s="6" t="str">
        <f>IFERROR(__xludf.DUMMYFUNCTION("""COMPUTED_VALUE"""),"Начало стройки культурного кластера")</f>
        <v>Начало стройки культурного кластера</v>
      </c>
      <c r="AA1644" s="6" t="str">
        <f>IFERROR(__xludf.DUMMYFUNCTION("""COMPUTED_VALUE"""),"Сокращение кол-ва маршруток, невежливые водители (проезжают мимо остановок)")</f>
        <v>Сокращение кол-ва маршруток, невежливые водители (проезжают мимо остановок)</v>
      </c>
      <c r="AB1644" s="6" t="str">
        <f>IFERROR(__xludf.DUMMYFUNCTION("""COMPUTED_VALUE"""),"Фотографов")</f>
        <v>Фотографов</v>
      </c>
      <c r="AC1644" s="6" t="str">
        <f>IFERROR(__xludf.DUMMYFUNCTION("""COMPUTED_VALUE"""),"Концерт импровизации ")</f>
        <v>Концерт импровизации </v>
      </c>
      <c r="AD1644"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644" s="6" t="str">
        <f>IFERROR(__xludf.DUMMYFUNCTION("""COMPUTED_VALUE"""),"Женский")</f>
        <v>Женский</v>
      </c>
      <c r="AF1644" s="6" t="str">
        <f>IFERROR(__xludf.DUMMYFUNCTION("""COMPUTED_VALUE"""),"18-29")</f>
        <v>18-29</v>
      </c>
      <c r="AG1644" s="6"/>
      <c r="AH1644" s="6"/>
      <c r="AI1644" s="6"/>
      <c r="AJ1644" s="6"/>
      <c r="AK1644" s="6"/>
      <c r="AL1644" s="6"/>
      <c r="AM1644" s="6"/>
    </row>
    <row r="1645">
      <c r="A1645" s="6">
        <v>1644.0</v>
      </c>
      <c r="B1645" s="6" t="str">
        <f>IFERROR(__xludf.DUMMYFUNCTION("""COMPUTED_VALUE"""),"Фрилансер")</f>
        <v>Фрилансер</v>
      </c>
      <c r="C1645" s="6" t="str">
        <f>IFERROR(__xludf.DUMMYFUNCTION("""COMPUTED_VALUE"""),"Танцы, сноубординг ")</f>
        <v>Танцы, сноубординг </v>
      </c>
      <c r="D1645" s="6" t="str">
        <f>IFERROR(__xludf.DUMMYFUNCTION("""COMPUTED_VALUE"""),"Центральный ")</f>
        <v>Центральный </v>
      </c>
      <c r="E1645" s="6" t="str">
        <f>IFERROR(__xludf.DUMMYFUNCTION("""COMPUTED_VALUE"""),"Сквер им. Резникова")</f>
        <v>Сквер им. Резникова</v>
      </c>
      <c r="F1645"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645" s="6" t="str">
        <f>IFERROR(__xludf.DUMMYFUNCTION("""COMPUTED_VALUE"""),"На набережную ")</f>
        <v>На набережную </v>
      </c>
      <c r="H1645" s="6" t="str">
        <f>IFERROR(__xludf.DUMMYFUNCTION("""COMPUTED_VALUE"""),"Маленький, местами неухоженный, развивающимися, загрязнённым")</f>
        <v>Маленький, местами неухоженный, развивающимися, загрязнённым</v>
      </c>
      <c r="I1645" s="6" t="str">
        <f>IFERROR(__xludf.DUMMYFUNCTION("""COMPUTED_VALUE"""),"Волков ")</f>
        <v>Волков </v>
      </c>
      <c r="J1645" s="6" t="str">
        <f>IFERROR(__xludf.DUMMYFUNCTION("""COMPUTED_VALUE"""),"Не знаю ")</f>
        <v>Не знаю </v>
      </c>
      <c r="K1645" s="6" t="str">
        <f>IFERROR(__xludf.DUMMYFUNCTION("""COMPUTED_VALUE"""),"Парк Ангелов")</f>
        <v>Парк Ангелов</v>
      </c>
      <c r="L1645" s="6" t="str">
        <f>IFERROR(__xludf.DUMMYFUNCTION("""COMPUTED_VALUE"""),"Кемерово- смог, а ты не смог")</f>
        <v>Кемерово- смог, а ты не смог</v>
      </c>
      <c r="M1645" s="6" t="str">
        <f>IFERROR(__xludf.DUMMYFUNCTION("""COMPUTED_VALUE"""),"Нет ")</f>
        <v>Нет </v>
      </c>
      <c r="N1645" s="6" t="str">
        <f>IFERROR(__xludf.DUMMYFUNCTION("""COMPUTED_VALUE"""),"Чисты воздух, красивая архитектура в одном стиле, интересные места для молодёжи")</f>
        <v>Чисты воздух, красивая архитектура в одном стиле, интересные места для молодёжи</v>
      </c>
      <c r="O1645" s="6" t="str">
        <f>IFERROR(__xludf.DUMMYFUNCTION("""COMPUTED_VALUE"""),"Дороги, общественный транспорт, архитектура ")</f>
        <v>Дороги, общественный транспорт, архитектура </v>
      </c>
      <c r="P1645" s="6" t="str">
        <f>IFERROR(__xludf.DUMMYFUNCTION("""COMPUTED_VALUE"""),"Вк, Инстаграм ")</f>
        <v>Вк, Инстаграм </v>
      </c>
      <c r="Q1645" s="6" t="str">
        <f>IFERROR(__xludf.DUMMYFUNCTION("""COMPUTED_VALUE"""),"городская афиша (кино/театр/концерты), бизнес-новости (средний чек/рекламные акции/запуск новых предприятий)")</f>
        <v>городская афиша (кино/театр/концерты), бизнес-новости (средний чек/рекламные акции/запуск новых предприятий)</v>
      </c>
      <c r="R1645" s="6" t="str">
        <f>IFERROR(__xludf.DUMMYFUNCTION("""COMPUTED_VALUE"""),"День города ")</f>
        <v>День города </v>
      </c>
      <c r="S1645" s="6" t="str">
        <f>IFERROR(__xludf.DUMMYFUNCTION("""COMPUTED_VALUE"""),"Нет, не приходилось")</f>
        <v>Нет, не приходилось</v>
      </c>
      <c r="T1645" s="6" t="str">
        <f>IFERROR(__xludf.DUMMYFUNCTION("""COMPUTED_VALUE"""),"Уголь ")</f>
        <v>Уголь </v>
      </c>
      <c r="U1645" s="6" t="str">
        <f>IFERROR(__xludf.DUMMYFUNCTION("""COMPUTED_VALUE"""),"Драм театр ")</f>
        <v>Драм театр </v>
      </c>
      <c r="V1645" s="6" t="str">
        <f>IFERROR(__xludf.DUMMYFUNCTION("""COMPUTED_VALUE"""),"Каждый по-своему развивал город")</f>
        <v>Каждый по-своему развивал город</v>
      </c>
      <c r="W1645" s="6" t="str">
        <f>IFERROR(__xludf.DUMMYFUNCTION("""COMPUTED_VALUE"""),"Добрые, иногда суровые, как и все люди, разные ")</f>
        <v>Добрые, иногда суровые, как и все люди, разные </v>
      </c>
      <c r="X1645" s="6" t="str">
        <f>IFERROR(__xludf.DUMMYFUNCTION("""COMPUTED_VALUE"""),"Весенняя улица, площадь советов, набережная ")</f>
        <v>Весенняя улица, площадь советов, набережная </v>
      </c>
      <c r="Y1645" s="6" t="str">
        <f>IFERROR(__xludf.DUMMYFUNCTION("""COMPUTED_VALUE"""),"Не помню ")</f>
        <v>Не помню </v>
      </c>
      <c r="Z1645" s="6" t="str">
        <f>IFERROR(__xludf.DUMMYFUNCTION("""COMPUTED_VALUE"""),"-")</f>
        <v>-</v>
      </c>
      <c r="AA1645" s="6" t="str">
        <f>IFERROR(__xludf.DUMMYFUNCTION("""COMPUTED_VALUE"""),"Пожар Зимней вишни ")</f>
        <v>Пожар Зимней вишни </v>
      </c>
      <c r="AB1645" s="6" t="str">
        <f>IFERROR(__xludf.DUMMYFUNCTION("""COMPUTED_VALUE"""),"Меня всё устраивает ")</f>
        <v>Меня всё устраивает </v>
      </c>
      <c r="AC1645" s="6" t="str">
        <f>IFERROR(__xludf.DUMMYFUNCTION("""COMPUTED_VALUE"""),"Музыкальные, современные фестивали с современными исполнителями ")</f>
        <v>Музыкальные, современные фестивали с современными исполнителями </v>
      </c>
      <c r="AD164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45" s="6" t="str">
        <f>IFERROR(__xludf.DUMMYFUNCTION("""COMPUTED_VALUE"""),"Женский")</f>
        <v>Женский</v>
      </c>
      <c r="AF1645" s="6" t="str">
        <f>IFERROR(__xludf.DUMMYFUNCTION("""COMPUTED_VALUE"""),"18-29")</f>
        <v>18-29</v>
      </c>
      <c r="AG1645" s="6"/>
      <c r="AH1645" s="6"/>
      <c r="AI1645" s="6"/>
      <c r="AJ1645" s="6"/>
      <c r="AK1645" s="6"/>
      <c r="AL1645" s="6"/>
      <c r="AM1645" s="6"/>
    </row>
    <row r="1646">
      <c r="A1646" s="6">
        <v>1645.0</v>
      </c>
      <c r="B1646" s="6" t="str">
        <f>IFERROR(__xludf.DUMMYFUNCTION("""COMPUTED_VALUE"""),"Пенсионерка ")</f>
        <v>Пенсионерка </v>
      </c>
      <c r="C1646" s="6" t="str">
        <f>IFERROR(__xludf.DUMMYFUNCTION("""COMPUTED_VALUE"""),"Вязание")</f>
        <v>Вязание</v>
      </c>
      <c r="D1646" s="6" t="str">
        <f>IFERROR(__xludf.DUMMYFUNCTION("""COMPUTED_VALUE"""),"Заводский")</f>
        <v>Заводский</v>
      </c>
      <c r="E1646" s="6" t="str">
        <f>IFERROR(__xludf.DUMMYFUNCTION("""COMPUTED_VALUE"""),"Детский дом N2. ")</f>
        <v>Детский дом N2. </v>
      </c>
      <c r="F1646" s="6" t="str">
        <f>IFERROR(__xludf.DUMMYFUNCTION("""COMPUTED_VALUE"""),"Ленинск-Кузнецкий ")</f>
        <v>Ленинск-Кузнецкий </v>
      </c>
      <c r="G1646" s="6" t="str">
        <f>IFERROR(__xludf.DUMMYFUNCTION("""COMPUTED_VALUE"""),"Набережная Томи")</f>
        <v>Набережная Томи</v>
      </c>
      <c r="H1646" s="6" t="str">
        <f>IFERROR(__xludf.DUMMYFUNCTION("""COMPUTED_VALUE"""),"Родной, рабочий, загазованный, растущий, неопрятный. ")</f>
        <v>Родной, рабочий, загазованный, растущий, неопрятный. </v>
      </c>
      <c r="I1646" s="6" t="str">
        <f>IFERROR(__xludf.DUMMYFUNCTION("""COMPUTED_VALUE"""),"Вера Волошина")</f>
        <v>Вера Волошина</v>
      </c>
      <c r="J1646" s="6" t="str">
        <f>IFERROR(__xludf.DUMMYFUNCTION("""COMPUTED_VALUE"""),"Тулеев Аман Гумирович")</f>
        <v>Тулеев Аман Гумирович</v>
      </c>
      <c r="K1646" s="6" t="str">
        <f>IFERROR(__xludf.DUMMYFUNCTION("""COMPUTED_VALUE"""),"Набережная Томи ")</f>
        <v>Набережная Томи </v>
      </c>
      <c r="L1646" s="6" t="str">
        <f>IFERROR(__xludf.DUMMYFUNCTION("""COMPUTED_VALUE"""),"Южный, никому не нужный. ")</f>
        <v>Южный, никому не нужный. </v>
      </c>
      <c r="M1646" s="6" t="str">
        <f>IFERROR(__xludf.DUMMYFUNCTION("""COMPUTED_VALUE"""),"Человек из Кемерово. ")</f>
        <v>Человек из Кемерово. </v>
      </c>
      <c r="N1646" s="6" t="str">
        <f>IFERROR(__xludf.DUMMYFUNCTION("""COMPUTED_VALUE"""),"Удобные тротуары, чистые улицы, благоустроенные дворы домов, чтоб не проваливался асфальт, регулярно ходил транспорт. ")</f>
        <v>Удобные тротуары, чистые улицы, благоустроенные дворы домов, чтоб не проваливался асфальт, регулярно ходил транспорт. </v>
      </c>
      <c r="O1646" s="6" t="str">
        <f>IFERROR(__xludf.DUMMYFUNCTION("""COMPUTED_VALUE"""),"Убрать трубы наземной теплотрассы, вырезать поросль деревьев и кустарников. ")</f>
        <v>Убрать трубы наземной теплотрассы, вырезать поросль деревьев и кустарников. </v>
      </c>
      <c r="P1646" s="6" t="str">
        <f>IFERROR(__xludf.DUMMYFUNCTION("""COMPUTED_VALUE"""),"Яндекс, Инстаграмм ")</f>
        <v>Яндекс, Инстаграмм </v>
      </c>
      <c r="Q1646" s="6" t="str">
        <f>IFERROR(__xludf.DUMMYFUNCTION("""COMPUTED_VALUE"""),"куда пойти в свободное время, интервью с местными творческими личностями, криминальные новости (происшествия/преступления)")</f>
        <v>куда пойти в свободное время, интервью с местными творческими личностями, криминальные новости (происшествия/преступления)</v>
      </c>
      <c r="R1646" s="6" t="str">
        <f>IFERROR(__xludf.DUMMYFUNCTION("""COMPUTED_VALUE"""),"Новогодняя елка ")</f>
        <v>Новогодняя елка </v>
      </c>
      <c r="S1646" s="6" t="str">
        <f>IFERROR(__xludf.DUMMYFUNCTION("""COMPUTED_VALUE"""),"Нет, не приходилось")</f>
        <v>Нет, не приходилось</v>
      </c>
      <c r="T1646" s="6" t="str">
        <f>IFERROR(__xludf.DUMMYFUNCTION("""COMPUTED_VALUE"""),"Печное отопление каменным углем")</f>
        <v>Печное отопление каменным углем</v>
      </c>
      <c r="U1646" s="6" t="str">
        <f>IFERROR(__xludf.DUMMYFUNCTION("""COMPUTED_VALUE"""),"Площадь Советов")</f>
        <v>Площадь Советов</v>
      </c>
      <c r="V1646" s="6" t="str">
        <f>IFERROR(__xludf.DUMMYFUNCTION("""COMPUTED_VALUE"""),"Загадили город, гордиться нечем. ")</f>
        <v>Загадили город, гордиться нечем. </v>
      </c>
      <c r="W1646" s="6" t="str">
        <f>IFERROR(__xludf.DUMMYFUNCTION("""COMPUTED_VALUE"""),"Нищие, злые. ")</f>
        <v>Нищие, злые. </v>
      </c>
      <c r="X1646" s="6" t="str">
        <f>IFERROR(__xludf.DUMMYFUNCTION("""COMPUTED_VALUE"""),"Нет такого. ")</f>
        <v>Нет такого. </v>
      </c>
      <c r="Y1646" s="6" t="str">
        <f>IFERROR(__xludf.DUMMYFUNCTION("""COMPUTED_VALUE"""),"Подготовка к празднованию 300 лет Кузбасс. ")</f>
        <v>Подготовка к празднованию 300 лет Кузбасс. </v>
      </c>
      <c r="Z1646" s="6" t="str">
        <f>IFERROR(__xludf.DUMMYFUNCTION("""COMPUTED_VALUE"""),"Открытие парка Ангелов. ")</f>
        <v>Открытие парка Ангелов. </v>
      </c>
      <c r="AA1646" s="6" t="str">
        <f>IFERROR(__xludf.DUMMYFUNCTION("""COMPUTED_VALUE"""),"Пожар в Зимней Вишне. ")</f>
        <v>Пожар в Зимней Вишне. </v>
      </c>
      <c r="AB1646" s="6" t="str">
        <f>IFERROR(__xludf.DUMMYFUNCTION("""COMPUTED_VALUE"""),"Не интересует. ")</f>
        <v>Не интересует. </v>
      </c>
      <c r="AC1646" s="6" t="str">
        <f>IFERROR(__xludf.DUMMYFUNCTION("""COMPUTED_VALUE"""),"Проект Доступная Среда настоящий, а не насмешка. ")</f>
        <v>Проект Доступная Среда настоящий, а не насмешка. </v>
      </c>
      <c r="AD1646" s="6" t="str">
        <f>IFERROR(__xludf.DUMMYFUNCTION("""COMPUTED_VALUE"""),"Не готов принимать личное участие (укажите, пожалуйста, причину в поле «Другое»), Инвалид. ")</f>
        <v>Не готов принимать личное участие (укажите, пожалуйста, причину в поле «Другое»), Инвалид. </v>
      </c>
      <c r="AE1646" s="6" t="str">
        <f>IFERROR(__xludf.DUMMYFUNCTION("""COMPUTED_VALUE"""),"Женский")</f>
        <v>Женский</v>
      </c>
      <c r="AF1646" s="6" t="str">
        <f>IFERROR(__xludf.DUMMYFUNCTION("""COMPUTED_VALUE"""),"старше 55")</f>
        <v>старше 55</v>
      </c>
      <c r="AG1646" s="6"/>
      <c r="AH1646" s="6"/>
      <c r="AI1646" s="6"/>
      <c r="AJ1646" s="6"/>
      <c r="AK1646" s="6"/>
      <c r="AL1646" s="6"/>
      <c r="AM1646" s="6"/>
    </row>
    <row r="1647">
      <c r="A1647" s="6">
        <v>1646.0</v>
      </c>
      <c r="B1647" s="6" t="str">
        <f>IFERROR(__xludf.DUMMYFUNCTION("""COMPUTED_VALUE"""),"Работаю")</f>
        <v>Работаю</v>
      </c>
      <c r="C1647" s="6" t="str">
        <f>IFERROR(__xludf.DUMMYFUNCTION("""COMPUTED_VALUE"""),"Дети")</f>
        <v>Дети</v>
      </c>
      <c r="D1647" s="6" t="str">
        <f>IFERROR(__xludf.DUMMYFUNCTION("""COMPUTED_VALUE"""),"Центральный")</f>
        <v>Центральный</v>
      </c>
      <c r="E1647" s="6" t="str">
        <f>IFERROR(__xludf.DUMMYFUNCTION("""COMPUTED_VALUE"""),"Комсомольский парк")</f>
        <v>Комсомольский парк</v>
      </c>
      <c r="F1647" s="6" t="str">
        <f>IFERROR(__xludf.DUMMYFUNCTION("""COMPUTED_VALUE"""),"Живу здесь с рождения")</f>
        <v>Живу здесь с рождения</v>
      </c>
      <c r="G1647" s="6" t="str">
        <f>IFERROR(__xludf.DUMMYFUNCTION("""COMPUTED_VALUE"""),"Набережная Кировского района")</f>
        <v>Набережная Кировского района</v>
      </c>
      <c r="H1647" s="6" t="str">
        <f>IFERROR(__xludf.DUMMYFUNCTION("""COMPUTED_VALUE"""),"Родной , чистый, уютный, молодой, процветающей ")</f>
        <v>Родной , чистый, уютный, молодой, процветающей </v>
      </c>
      <c r="I1647" s="6" t="str">
        <f>IFERROR(__xludf.DUMMYFUNCTION("""COMPUTED_VALUE"""),"Островский , Клара Цеткин, Пушкин, Шорников")</f>
        <v>Островский , Клара Цеткин, Пушкин, Шорников</v>
      </c>
      <c r="J1647" s="6" t="str">
        <f>IFERROR(__xludf.DUMMYFUNCTION("""COMPUTED_VALUE"""),"Тулеев")</f>
        <v>Тулеев</v>
      </c>
      <c r="K1647" s="6" t="str">
        <f>IFERROR(__xludf.DUMMYFUNCTION("""COMPUTED_VALUE"""),"Томская писаница, красное озеро")</f>
        <v>Томская писаница, красное озеро</v>
      </c>
      <c r="L1647" s="6" t="str">
        <f>IFERROR(__xludf.DUMMYFUNCTION("""COMPUTED_VALUE"""),"Где родился там и пригодился ")</f>
        <v>Где родился там и пригодился </v>
      </c>
      <c r="M1647" s="6" t="str">
        <f>IFERROR(__xludf.DUMMYFUNCTION("""COMPUTED_VALUE"""),"Кемерово")</f>
        <v>Кемерово</v>
      </c>
      <c r="N1647" s="6" t="str">
        <f>IFERROR(__xludf.DUMMYFUNCTION("""COMPUTED_VALUE"""),"Дороги , парки , набережная , благоустройство, детские сады")</f>
        <v>Дороги , парки , набережная , благоустройство, детские сады</v>
      </c>
      <c r="O1647" s="6" t="str">
        <f>IFERROR(__xludf.DUMMYFUNCTION("""COMPUTED_VALUE"""),"Ни чего")</f>
        <v>Ни чего</v>
      </c>
      <c r="P1647" s="6" t="str">
        <f>IFERROR(__xludf.DUMMYFUNCTION("""COMPUTED_VALUE"""),"Инстограм")</f>
        <v>Инстограм</v>
      </c>
      <c r="Q1647"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647" s="6" t="str">
        <f>IFERROR(__xludf.DUMMYFUNCTION("""COMPUTED_VALUE"""),"9 мая, день города , день шахтера")</f>
        <v>9 мая, день города , день шахтера</v>
      </c>
      <c r="S1647" s="6" t="str">
        <f>IFERROR(__xludf.DUMMYFUNCTION("""COMPUTED_VALUE"""),"Нет, не приходилось")</f>
        <v>Нет, не приходилось</v>
      </c>
      <c r="T1647" s="6" t="str">
        <f>IFERROR(__xludf.DUMMYFUNCTION("""COMPUTED_VALUE"""),"Уголь, химия")</f>
        <v>Уголь, химия</v>
      </c>
      <c r="U1647" s="6" t="str">
        <f>IFERROR(__xludf.DUMMYFUNCTION("""COMPUTED_VALUE"""),"Площадь Пушкина ")</f>
        <v>Площадь Пушкина </v>
      </c>
      <c r="V1647" s="6" t="str">
        <f>IFERROR(__xludf.DUMMYFUNCTION("""COMPUTED_VALUE"""),"Занимались спортом ")</f>
        <v>Занимались спортом </v>
      </c>
      <c r="W1647" s="6" t="str">
        <f>IFERROR(__xludf.DUMMYFUNCTION("""COMPUTED_VALUE"""),"Добродушные , гостеприимные , активные")</f>
        <v>Добродушные , гостеприимные , активные</v>
      </c>
      <c r="X1647" s="6" t="str">
        <f>IFERROR(__xludf.DUMMYFUNCTION("""COMPUTED_VALUE"""),"Проспект Ленина , кадетский корпус , Московский ")</f>
        <v>Проспект Ленина , кадетский корпус , Московский </v>
      </c>
      <c r="Y1647" s="6" t="str">
        <f>IFERROR(__xludf.DUMMYFUNCTION("""COMPUTED_VALUE"""),"Нашли кости мамонта ")</f>
        <v>Нашли кости мамонта </v>
      </c>
      <c r="Z1647" s="6" t="str">
        <f>IFERROR(__xludf.DUMMYFUNCTION("""COMPUTED_VALUE"""),"Реконструкция музыкального театра ")</f>
        <v>Реконструкция музыкального театра </v>
      </c>
      <c r="AA1647" s="6" t="str">
        <f>IFERROR(__xludf.DUMMYFUNCTION("""COMPUTED_VALUE"""),"Пожар зимняя вишня ")</f>
        <v>Пожар зимняя вишня </v>
      </c>
      <c r="AB1647" s="6" t="str">
        <f>IFERROR(__xludf.DUMMYFUNCTION("""COMPUTED_VALUE"""),"Всего в норме")</f>
        <v>Всего в норме</v>
      </c>
      <c r="AC1647" s="6" t="str">
        <f>IFERROR(__xludf.DUMMYFUNCTION("""COMPUTED_VALUE"""),"Детских праздников , флешмоба ")</f>
        <v>Детских праздников , флешмоба </v>
      </c>
      <c r="AD164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47" s="6" t="str">
        <f>IFERROR(__xludf.DUMMYFUNCTION("""COMPUTED_VALUE"""),"Женский")</f>
        <v>Женский</v>
      </c>
      <c r="AF1647" s="6" t="str">
        <f>IFERROR(__xludf.DUMMYFUNCTION("""COMPUTED_VALUE"""),"30-44")</f>
        <v>30-44</v>
      </c>
      <c r="AG1647" s="6"/>
      <c r="AH1647" s="6"/>
      <c r="AI1647" s="6"/>
      <c r="AJ1647" s="6"/>
      <c r="AK1647" s="6"/>
      <c r="AL1647" s="6"/>
      <c r="AM1647" s="6"/>
    </row>
    <row r="1648">
      <c r="A1648" s="6">
        <v>1647.0</v>
      </c>
      <c r="B1648" s="6" t="str">
        <f>IFERROR(__xludf.DUMMYFUNCTION("""COMPUTED_VALUE"""),"ИТ")</f>
        <v>ИТ</v>
      </c>
      <c r="C1648" s="6" t="str">
        <f>IFERROR(__xludf.DUMMYFUNCTION("""COMPUTED_VALUE"""),"Работа ")</f>
        <v>Работа </v>
      </c>
      <c r="D1648" s="6" t="str">
        <f>IFERROR(__xludf.DUMMYFUNCTION("""COMPUTED_VALUE"""),"Центральный")</f>
        <v>Центральный</v>
      </c>
      <c r="E1648" s="6" t="str">
        <f>IFERROR(__xludf.DUMMYFUNCTION("""COMPUTED_VALUE"""),"Набережная, парк Орбиты, старые дворы возле Орбиты ")</f>
        <v>Набережная, парк Орбиты, старые дворы возле Орбиты </v>
      </c>
      <c r="F1648" s="6" t="str">
        <f>IFERROR(__xludf.DUMMYFUNCTION("""COMPUTED_VALUE"""),"Живу здесь с рождения")</f>
        <v>Живу здесь с рождения</v>
      </c>
      <c r="G1648" s="6" t="str">
        <f>IFERROR(__xludf.DUMMYFUNCTION("""COMPUTED_VALUE"""),"Весенняя, Набережная, Островского, советский. ")</f>
        <v>Весенняя, Набережная, Островского, советский. </v>
      </c>
      <c r="H1648" s="6" t="str">
        <f>IFERROR(__xludf.DUMMYFUNCTION("""COMPUTED_VALUE"""),"Горсад, парк, Бор, уголь, грязь ")</f>
        <v>Горсад, парк, Бор, уголь, грязь </v>
      </c>
      <c r="I1648" s="6" t="str">
        <f>IFERROR(__xludf.DUMMYFUNCTION("""COMPUTED_VALUE"""),"Михайлов, Волков")</f>
        <v>Михайлов, Волков</v>
      </c>
      <c r="J1648" s="6" t="str">
        <f>IFERROR(__xludf.DUMMYFUNCTION("""COMPUTED_VALUE"""),"Сейчас их нет")</f>
        <v>Сейчас их нет</v>
      </c>
      <c r="K1648" s="6" t="str">
        <f>IFERROR(__xludf.DUMMYFUNCTION("""COMPUTED_VALUE"""),"Красная горка (музей и старая пристань), ресторан Забой, набережная, бульвар строителей ")</f>
        <v>Красная горка (музей и старая пристань), ресторан Забой, набережная, бульвар строителей </v>
      </c>
      <c r="L1648" s="6" t="str">
        <f>IFERROR(__xludf.DUMMYFUNCTION("""COMPUTED_VALUE"""),"Не знаю (")</f>
        <v>Не знаю (</v>
      </c>
      <c r="M1648" s="6" t="str">
        <f>IFERROR(__xludf.DUMMYFUNCTION("""COMPUTED_VALUE"""),"Не могу сообразить ")</f>
        <v>Не могу сообразить </v>
      </c>
      <c r="N1648" s="6" t="str">
        <f>IFERROR(__xludf.DUMMYFUNCTION("""COMPUTED_VALUE"""),"Чистота улиц, много зелени, хорошие дороги, ночное освещение улиц, наличие пешеходных прогулочных зон")</f>
        <v>Чистота улиц, много зелени, хорошие дороги, ночное освещение улиц, наличие пешеходных прогулочных зон</v>
      </c>
      <c r="O1648" s="6" t="str">
        <f>IFERROR(__xludf.DUMMYFUNCTION("""COMPUTED_VALUE"""),"Цветовой дизайн домов. Запретить разноцветную аляповатую гамму цветов на фасадах от СДС и подобное. Использовать классические тёплые мягкие цвета. Белые, бежевые, коричневые. ")</f>
        <v>Цветовой дизайн домов. Запретить разноцветную аляповатую гамму цветов на фасадах от СДС и подобное. Использовать классические тёплые мягкие цвета. Белые, бежевые, коричневые. </v>
      </c>
      <c r="P1648" s="6" t="str">
        <f>IFERROR(__xludf.DUMMYFUNCTION("""COMPUTED_VALUE"""),"Радио Кузбасс ФМ")</f>
        <v>Радио Кузбасс ФМ</v>
      </c>
      <c r="Q1648"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648" s="6" t="str">
        <f>IFERROR(__xludf.DUMMYFUNCTION("""COMPUTED_VALUE"""),"Никакие")</f>
        <v>Никакие</v>
      </c>
      <c r="S1648" s="6" t="str">
        <f>IFERROR(__xludf.DUMMYFUNCTION("""COMPUTED_VALUE"""),"Нет, не приходилось")</f>
        <v>Нет, не приходилось</v>
      </c>
      <c r="T1648" s="6" t="str">
        <f>IFERROR(__xludf.DUMMYFUNCTION("""COMPUTED_VALUE"""),"Только как угольная столица. Никакой уникальности или привлекательности. Ресурсный регион.")</f>
        <v>Только как угольная столица. Никакой уникальности или привлекательности. Ресурсный регион.</v>
      </c>
      <c r="U1648" s="6" t="str">
        <f>IFERROR(__xludf.DUMMYFUNCTION("""COMPUTED_VALUE"""),"Набережная, советский проспект, площадь Пушкина, Орбита, Весенняя ")</f>
        <v>Набережная, советский проспект, площадь Пушкина, Орбита, Весенняя </v>
      </c>
      <c r="V1648" s="6" t="str">
        <f>IFERROR(__xludf.DUMMYFUNCTION("""COMPUTED_VALUE"""),"Ничего. Кроме пары человек, обеспечивших городу и региону хорошие дороги .")</f>
        <v>Ничего. Кроме пары человек, обеспечивших городу и региону хорошие дороги .</v>
      </c>
      <c r="W1648" s="6" t="str">
        <f>IFERROR(__xludf.DUMMYFUNCTION("""COMPUTED_VALUE"""),"Хмурые, чёрные, грусные.")</f>
        <v>Хмурые, чёрные, грусные.</v>
      </c>
      <c r="X1648" s="6" t="str">
        <f>IFERROR(__xludf.DUMMYFUNCTION("""COMPUTED_VALUE"""),"Набережная, весенняя, советский, площадь Советов")</f>
        <v>Набережная, весенняя, советский, площадь Советов</v>
      </c>
      <c r="Y1648" s="6" t="str">
        <f>IFERROR(__xludf.DUMMYFUNCTION("""COMPUTED_VALUE"""),"Никакого. Все обычное.")</f>
        <v>Никакого. Все обычное.</v>
      </c>
      <c r="Z1648" s="6" t="str">
        <f>IFERROR(__xludf.DUMMYFUNCTION("""COMPUTED_VALUE"""),"Бульвар строителей привели в порядок, набережную Искитимки тоже")</f>
        <v>Бульвар строителей привели в порядок, набережную Искитимки тоже</v>
      </c>
      <c r="AA1648" s="6" t="str">
        <f>IFERROR(__xludf.DUMMYFUNCTION("""COMPUTED_VALUE"""),"Культурный кластер - бесполезная трата денег в угольном, сырьевом городе/регионе. ")</f>
        <v>Культурный кластер - бесполезная трата денег в угольном, сырьевом городе/регионе. </v>
      </c>
      <c r="AB1648" s="6" t="str">
        <f>IFERROR(__xludf.DUMMYFUNCTION("""COMPUTED_VALUE"""),"Никаких. Не люблю сообщества ))")</f>
        <v>Никаких. Не люблю сообщества ))</v>
      </c>
      <c r="AC1648" s="6" t="str">
        <f>IFERROR(__xludf.DUMMYFUNCTION("""COMPUTED_VALUE"""),"Любые мероприятия, которые позволят зарабатывать жителям. Без денег никакие события не наладят жизнь в городе.")</f>
        <v>Любые мероприятия, которые позволят зарабатывать жителям. Без денег никакие события не наладят жизнь в городе.</v>
      </c>
      <c r="AD164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48" s="6" t="str">
        <f>IFERROR(__xludf.DUMMYFUNCTION("""COMPUTED_VALUE"""),"Мужской")</f>
        <v>Мужской</v>
      </c>
      <c r="AF1648" s="6" t="str">
        <f>IFERROR(__xludf.DUMMYFUNCTION("""COMPUTED_VALUE"""),"30-44")</f>
        <v>30-44</v>
      </c>
      <c r="AG1648" s="6"/>
      <c r="AH1648" s="6"/>
      <c r="AI1648" s="6"/>
      <c r="AJ1648" s="6"/>
      <c r="AK1648" s="6"/>
      <c r="AL1648" s="6"/>
      <c r="AM1648" s="6"/>
    </row>
    <row r="1649">
      <c r="A1649" s="6">
        <v>1648.0</v>
      </c>
      <c r="B1649" s="6" t="str">
        <f>IFERROR(__xludf.DUMMYFUNCTION("""COMPUTED_VALUE"""),"Руководитель среднего звена")</f>
        <v>Руководитель среднего звена</v>
      </c>
      <c r="C1649" s="6" t="str">
        <f>IFERROR(__xludf.DUMMYFUNCTION("""COMPUTED_VALUE"""),"Да, шитье")</f>
        <v>Да, шитье</v>
      </c>
      <c r="D1649" s="6" t="str">
        <f>IFERROR(__xludf.DUMMYFUNCTION("""COMPUTED_VALUE"""),"Лесная Поляна, Лесная поляна ")</f>
        <v>Лесная Поляна, Лесная поляна </v>
      </c>
      <c r="E1649" s="6" t="str">
        <f>IFERROR(__xludf.DUMMYFUNCTION("""COMPUTED_VALUE"""),"Парк, бульвар Осенний, спортплощадка на бульваре Осеннем")</f>
        <v>Парк, бульвар Осенний, спортплощадка на бульваре Осеннем</v>
      </c>
      <c r="F1649" s="6" t="str">
        <f>IFERROR(__xludf.DUMMYFUNCTION("""COMPUTED_VALUE"""),"Переехал сюда из другого места (откуда? укажите в графе другое), Прокопьевск ")</f>
        <v>Переехал сюда из другого места (откуда? укажите в графе другое), Прокопьевск </v>
      </c>
      <c r="G1649" s="6" t="str">
        <f>IFERROR(__xludf.DUMMYFUNCTION("""COMPUTED_VALUE"""),"Набережная, Комсомольский парк, парк Жукова")</f>
        <v>Набережная, Комсомольский парк, парк Жукова</v>
      </c>
      <c r="H1649" s="6" t="str">
        <f>IFERROR(__xludf.DUMMYFUNCTION("""COMPUTED_VALUE"""),"Увядающий, несмотря на новостной, не перспективный, т. к. нет производства, стареющий, не смотря на рождаемость, многие молодые уезжают... ")</f>
        <v>Увядающий, несмотря на новостной, не перспективный, т. к. нет производства, стареющий, не смотря на рождаемость, многие молодые уезжают... </v>
      </c>
      <c r="I1649" s="6" t="str">
        <f>IFERROR(__xludf.DUMMYFUNCTION("""COMPUTED_VALUE"""),"Тулеев, Мазикин, Борисов. ")</f>
        <v>Тулеев, Мазикин, Борисов. </v>
      </c>
      <c r="J1649" s="6" t="str">
        <f>IFERROR(__xludf.DUMMYFUNCTION("""COMPUTED_VALUE"""),"Они конечно есть, но мало о них известно ")</f>
        <v>Они конечно есть, но мало о них известно </v>
      </c>
      <c r="K1649" s="6" t="str">
        <f>IFERROR(__xludf.DUMMYFUNCTION("""COMPUTED_VALUE"""),"Красная горка, Томская писанница, набережная, Лесная поляна ")</f>
        <v>Красная горка, Томская писанница, набережная, Лесная поляна </v>
      </c>
      <c r="L1649" s="6" t="str">
        <f>IFERROR(__xludf.DUMMYFUNCTION("""COMPUTED_VALUE"""),"Не знаю ")</f>
        <v>Не знаю </v>
      </c>
      <c r="M1649" s="6" t="str">
        <f>IFERROR(__xludf.DUMMYFUNCTION("""COMPUTED_VALUE"""),"Нет")</f>
        <v>Нет</v>
      </c>
      <c r="N1649" s="6" t="str">
        <f>IFERROR(__xludf.DUMMYFUNCTION("""COMPUTED_VALUE"""),"Чистота, ремонт зданий и сооружений, хорошие дороги, озеленение, игровые и спорт площадки, скверы со скамьями, парки, аквапарк ")</f>
        <v>Чистота, ремонт зданий и сооружений, хорошие дороги, озеленение, игровые и спорт площадки, скверы со скамьями, парки, аквапарк </v>
      </c>
      <c r="O1649" s="6" t="str">
        <f>IFERROR(__xludf.DUMMYFUNCTION("""COMPUTED_VALUE"""),"Отремонтировать дороги по всем улицам, сделать пешеходные тротуары (деревня Красная особенно), велосипедные дорожки везде!!!, построить наконец то аквапарк, открыть Лазурный... ")</f>
        <v>Отремонтировать дороги по всем улицам, сделать пешеходные тротуары (деревня Красная особенно), велосипедные дорожки везде!!!, построить наконец то аквапарк, открыть Лазурный... </v>
      </c>
      <c r="P1649" s="6" t="str">
        <f>IFERROR(__xludf.DUMMYFUNCTION("""COMPUTED_VALUE"""),"Инстаграмм")</f>
        <v>Инстаграмм</v>
      </c>
      <c r="Q1649"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649" s="6" t="str">
        <f>IFERROR(__xludf.DUMMYFUNCTION("""COMPUTED_VALUE"""),"День города, шахтеров, победы ")</f>
        <v>День города, шахтеров, победы </v>
      </c>
      <c r="S1649" s="6" t="str">
        <f>IFERROR(__xludf.DUMMYFUNCTION("""COMPUTED_VALUE"""),"Нет, не приходилось")</f>
        <v>Нет, не приходилось</v>
      </c>
      <c r="T1649" s="6" t="str">
        <f>IFERROR(__xludf.DUMMYFUNCTION("""COMPUTED_VALUE"""),"Центр угольной державы, ")</f>
        <v>Центр угольной державы, </v>
      </c>
      <c r="U1649" s="6" t="str">
        <f>IFERROR(__xludf.DUMMYFUNCTION("""COMPUTED_VALUE"""),"Площадь Советов, вечный огонь, парк Жукова")</f>
        <v>Площадь Советов, вечный огонь, парк Жукова</v>
      </c>
      <c r="V1649" s="6" t="str">
        <f>IFERROR(__xludf.DUMMYFUNCTION("""COMPUTED_VALUE"""),"Строили шахты и заводы, открывали производства, привлекали узких специалистов")</f>
        <v>Строили шахты и заводы, открывали производства, привлекали узких специалистов</v>
      </c>
      <c r="W1649" s="6" t="str">
        <f>IFERROR(__xludf.DUMMYFUNCTION("""COMPUTED_VALUE"""),"Каждый сам по себе ")</f>
        <v>Каждый сам по себе </v>
      </c>
      <c r="X1649" s="6" t="str">
        <f>IFERROR(__xludf.DUMMYFUNCTION("""COMPUTED_VALUE"""),"Бульвар Строителей,  проспект Ленина, проспект Советский, дорога в Лесную поляну")</f>
        <v>Бульвар Строителей,  проспект Ленина, проспект Советский, дорога в Лесную поляну</v>
      </c>
      <c r="Y1649" s="6" t="str">
        <f>IFERROR(__xludf.DUMMYFUNCTION("""COMPUTED_VALUE"""),"Основание города Кемерово ")</f>
        <v>Основание города Кемерово </v>
      </c>
      <c r="Z1649" s="6" t="str">
        <f>IFERROR(__xludf.DUMMYFUNCTION("""COMPUTED_VALUE"""),"Не знаю ")</f>
        <v>Не знаю </v>
      </c>
      <c r="AA1649" s="6" t="str">
        <f>IFERROR(__xludf.DUMMYFUNCTION("""COMPUTED_VALUE"""),"Пожар в Зимней вишне, долгое разбирательство")</f>
        <v>Пожар в Зимней вишне, долгое разбирательство</v>
      </c>
      <c r="AB1649" s="6" t="str">
        <f>IFERROR(__xludf.DUMMYFUNCTION("""COMPUTED_VALUE"""),"Доброты и милосердия")</f>
        <v>Доброты и милосердия</v>
      </c>
      <c r="AC1649" s="6" t="str">
        <f>IFERROR(__xludf.DUMMYFUNCTION("""COMPUTED_VALUE"""),"Общественные мероприятия, концерты, выставки")</f>
        <v>Общественные мероприятия, концерты, выставки</v>
      </c>
      <c r="AD164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Запустить свой предпринимательский проект, ор"&amp;"ганизовать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Запустить свой предпринимательский проект, организовать компанию.</v>
      </c>
      <c r="AE1649" s="6" t="str">
        <f>IFERROR(__xludf.DUMMYFUNCTION("""COMPUTED_VALUE"""),"Женский")</f>
        <v>Женский</v>
      </c>
      <c r="AF1649" s="6" t="str">
        <f>IFERROR(__xludf.DUMMYFUNCTION("""COMPUTED_VALUE"""),"45-55")</f>
        <v>45-55</v>
      </c>
      <c r="AG1649" s="6"/>
      <c r="AH1649" s="6"/>
      <c r="AI1649" s="6"/>
      <c r="AJ1649" s="6"/>
      <c r="AK1649" s="6"/>
      <c r="AL1649" s="6"/>
      <c r="AM1649" s="6"/>
    </row>
    <row r="1650">
      <c r="A1650" s="6">
        <v>1649.0</v>
      </c>
      <c r="B1650" s="6" t="str">
        <f>IFERROR(__xludf.DUMMYFUNCTION("""COMPUTED_VALUE"""),"Экономика")</f>
        <v>Экономика</v>
      </c>
      <c r="C1650" s="6" t="str">
        <f>IFERROR(__xludf.DUMMYFUNCTION("""COMPUTED_VALUE"""),"Канабис ")</f>
        <v>Канабис </v>
      </c>
      <c r="D1650" s="6" t="str">
        <f>IFERROR(__xludf.DUMMYFUNCTION("""COMPUTED_VALUE"""),"Заводский ")</f>
        <v>Заводский </v>
      </c>
      <c r="E1650" s="6" t="str">
        <f>IFERROR(__xludf.DUMMYFUNCTION("""COMPUTED_VALUE"""),"Завод")</f>
        <v>Завод</v>
      </c>
      <c r="F1650" s="6" t="str">
        <f>IFERROR(__xludf.DUMMYFUNCTION("""COMPUTED_VALUE"""),"Живу здесь с рождения")</f>
        <v>Живу здесь с рождения</v>
      </c>
      <c r="G1650" s="6" t="str">
        <f>IFERROR(__xludf.DUMMYFUNCTION("""COMPUTED_VALUE"""),"Лес")</f>
        <v>Лес</v>
      </c>
      <c r="H1650" s="6" t="str">
        <f>IFERROR(__xludf.DUMMYFUNCTION("""COMPUTED_VALUE"""),"Азот,карьер, Пионерка, Нефтебаза, Дом")</f>
        <v>Азот,карьер, Пионерка, Нефтебаза, Дом</v>
      </c>
      <c r="I1650" s="6" t="str">
        <f>IFERROR(__xludf.DUMMYFUNCTION("""COMPUTED_VALUE"""),"Максим")</f>
        <v>Максим</v>
      </c>
      <c r="J1650" s="6" t="str">
        <f>IFERROR(__xludf.DUMMYFUNCTION("""COMPUTED_VALUE"""),"Владимир Михайлов")</f>
        <v>Владимир Михайлов</v>
      </c>
      <c r="K1650" s="6" t="str">
        <f>IFERROR(__xludf.DUMMYFUNCTION("""COMPUTED_VALUE"""),"Немецкое кладбище ")</f>
        <v>Немецкое кладбище </v>
      </c>
      <c r="L1650" s="6" t="str">
        <f>IFERROR(__xludf.DUMMYFUNCTION("""COMPUTED_VALUE"""),"Газа нет, топи углём . ")</f>
        <v>Газа нет, топи углём . </v>
      </c>
      <c r="M1650" s="6" t="str">
        <f>IFERROR(__xludf.DUMMYFUNCTION("""COMPUTED_VALUE"""),"Жить по-кемеровски")</f>
        <v>Жить по-кемеровски</v>
      </c>
      <c r="N1650" s="6" t="str">
        <f>IFERROR(__xludf.DUMMYFUNCTION("""COMPUTED_VALUE"""),"Мама, вода, лес, дороги, газ")</f>
        <v>Мама, вода, лес, дороги, газ</v>
      </c>
      <c r="O1650" s="6" t="str">
        <f>IFERROR(__xludf.DUMMYFUNCTION("""COMPUTED_VALUE"""),"Людей ")</f>
        <v>Людей </v>
      </c>
      <c r="P1650" s="6" t="str">
        <f>IFERROR(__xludf.DUMMYFUNCTION("""COMPUTED_VALUE"""),"Газета Кемерово ")</f>
        <v>Газета Кемерово </v>
      </c>
      <c r="Q1650" s="6" t="str">
        <f>IFERROR(__xludf.DUMMYFUNCTION("""COMPUTED_VALUE"""),"интервью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f>
        <v>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v>
      </c>
      <c r="R1650" s="6" t="str">
        <f>IFERROR(__xludf.DUMMYFUNCTION("""COMPUTED_VALUE"""),"День Победы ")</f>
        <v>День Победы </v>
      </c>
      <c r="S1650" s="6" t="str">
        <f>IFERROR(__xludf.DUMMYFUNCTION("""COMPUTED_VALUE"""),"Писал и расклеивал объявления/афиши, Делал рассылку по электронной почте, Обращался в редакции городских газет, телевидения, радио")</f>
        <v>Писал и расклеивал объявления/афиши, Делал рассылку по электронной почте, Обращался в редакции городских газет, телевидения, радио</v>
      </c>
      <c r="T1650" s="6" t="str">
        <f>IFERROR(__xludf.DUMMYFUNCTION("""COMPUTED_VALUE"""),"Наркотики ")</f>
        <v>Наркотики </v>
      </c>
      <c r="U1650" s="6" t="str">
        <f>IFERROR(__xludf.DUMMYFUNCTION("""COMPUTED_VALUE"""),"Драмтеатр")</f>
        <v>Драмтеатр</v>
      </c>
      <c r="V1650" s="6" t="str">
        <f>IFERROR(__xludf.DUMMYFUNCTION("""COMPUTED_VALUE"""),"Ни чего ")</f>
        <v>Ни чего </v>
      </c>
      <c r="W1650" s="6" t="str">
        <f>IFERROR(__xludf.DUMMYFUNCTION("""COMPUTED_VALUE"""),"Гомосексуализм, наркоманы, черти ")</f>
        <v>Гомосексуализм, наркоманы, черти </v>
      </c>
      <c r="X1650" s="6" t="str">
        <f>IFERROR(__xludf.DUMMYFUNCTION("""COMPUTED_VALUE"""),"Предзаводской район")</f>
        <v>Предзаводской район</v>
      </c>
      <c r="Y1650" s="6" t="str">
        <f>IFERROR(__xludf.DUMMYFUNCTION("""COMPUTED_VALUE"""),"Отставка губернатора")</f>
        <v>Отставка губернатора</v>
      </c>
      <c r="Z1650" s="6" t="str">
        <f>IFERROR(__xludf.DUMMYFUNCTION("""COMPUTED_VALUE"""),"Ремонт дорог")</f>
        <v>Ремонт дорог</v>
      </c>
      <c r="AA1650" s="6" t="str">
        <f>IFERROR(__xludf.DUMMYFUNCTION("""COMPUTED_VALUE"""),"Нищета ")</f>
        <v>Нищета </v>
      </c>
      <c r="AB1650" s="6" t="str">
        <f>IFERROR(__xludf.DUMMYFUNCTION("""COMPUTED_VALUE"""),"Добрых")</f>
        <v>Добрых</v>
      </c>
      <c r="AC1650" s="6" t="str">
        <f>IFERROR(__xludf.DUMMYFUNCTION("""COMPUTED_VALUE"""),"Открытие Объездной дороги ")</f>
        <v>Открытие Объездной дороги </v>
      </c>
      <c r="AD1650"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1650" s="6" t="str">
        <f>IFERROR(__xludf.DUMMYFUNCTION("""COMPUTED_VALUE"""),"Мужской")</f>
        <v>Мужской</v>
      </c>
      <c r="AF1650" s="6" t="str">
        <f>IFERROR(__xludf.DUMMYFUNCTION("""COMPUTED_VALUE"""),"30-44")</f>
        <v>30-44</v>
      </c>
      <c r="AG1650" s="6"/>
      <c r="AH1650" s="6"/>
      <c r="AI1650" s="6"/>
      <c r="AJ1650" s="6"/>
      <c r="AK1650" s="6"/>
      <c r="AL1650" s="6"/>
      <c r="AM1650" s="6"/>
    </row>
    <row r="1651">
      <c r="A1651" s="6">
        <v>1650.0</v>
      </c>
      <c r="B1651" s="6" t="str">
        <f>IFERROR(__xludf.DUMMYFUNCTION("""COMPUTED_VALUE"""),"Декрете")</f>
        <v>Декрете</v>
      </c>
      <c r="C1651" s="6" t="str">
        <f>IFERROR(__xludf.DUMMYFUNCTION("""COMPUTED_VALUE""")," Занимаюсь маникюром")</f>
        <v> Занимаюсь маникюром</v>
      </c>
      <c r="D1651" s="6" t="str">
        <f>IFERROR(__xludf.DUMMYFUNCTION("""COMPUTED_VALUE"""),"Лесная поляна")</f>
        <v>Лесная поляна</v>
      </c>
      <c r="E1651" s="6" t="str">
        <f>IFERROR(__xludf.DUMMYFUNCTION("""COMPUTED_VALUE""")," Ещё незнаю только переехали")</f>
        <v> Ещё незнаю только переехали</v>
      </c>
      <c r="F1651" s="6" t="str">
        <f>IFERROR(__xludf.DUMMYFUNCTION("""COMPUTED_VALUE"""),"Переехал сюда из другого места (откуда? укажите в графе другое), Из деревни")</f>
        <v>Переехал сюда из другого места (откуда? укажите в графе другое), Из деревни</v>
      </c>
      <c r="G1651" s="6" t="str">
        <f>IFERROR(__xludf.DUMMYFUNCTION("""COMPUTED_VALUE"""),"В бор")</f>
        <v>В бор</v>
      </c>
      <c r="H1651" s="6" t="str">
        <f>IFERROR(__xludf.DUMMYFUNCTION("""COMPUTED_VALUE""")," Смог плохой воздух нет работы")</f>
        <v> Смог плохой воздух нет работы</v>
      </c>
      <c r="I1651" s="6" t="str">
        <f>IFERROR(__xludf.DUMMYFUNCTION("""COMPUTED_VALUE"""),"Леонов")</f>
        <v>Леонов</v>
      </c>
      <c r="J1651" s="6" t="str">
        <f>IFERROR(__xludf.DUMMYFUNCTION("""COMPUTED_VALUE"""),"Хз")</f>
        <v>Хз</v>
      </c>
      <c r="K1651" s="6" t="str">
        <f>IFERROR(__xludf.DUMMYFUNCTION("""COMPUTED_VALUE"""),"Незнаю")</f>
        <v>Незнаю</v>
      </c>
      <c r="L1651" s="6" t="str">
        <f>IFERROR(__xludf.DUMMYFUNCTION("""COMPUTED_VALUE"""),"Незнаю")</f>
        <v>Незнаю</v>
      </c>
      <c r="M1651" s="6" t="str">
        <f>IFERROR(__xludf.DUMMYFUNCTION("""COMPUTED_VALUE""")," Нет")</f>
        <v> Нет</v>
      </c>
      <c r="N1651" s="6" t="str">
        <f>IFERROR(__xludf.DUMMYFUNCTION("""COMPUTED_VALUE"""),"Хороший воздух работа ")</f>
        <v>Хороший воздух работа </v>
      </c>
      <c r="O1651" s="6" t="str">
        <f>IFERROR(__xludf.DUMMYFUNCTION("""COMPUTED_VALUE""")," Выбросы газов и чрабочии места")</f>
        <v> Выбросы газов и чрабочии места</v>
      </c>
      <c r="P1651" s="6" t="str">
        <f>IFERROR(__xludf.DUMMYFUNCTION("""COMPUTED_VALUE"""),"Вк")</f>
        <v>Вк</v>
      </c>
      <c r="Q1651"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651" s="6" t="str">
        <f>IFERROR(__xludf.DUMMYFUNCTION("""COMPUTED_VALUE"""),"9мая день города")</f>
        <v>9мая день города</v>
      </c>
      <c r="S1651" s="6" t="str">
        <f>IFERROR(__xludf.DUMMYFUNCTION("""COMPUTED_VALUE"""),"Нет, не приходилось")</f>
        <v>Нет, не приходилось</v>
      </c>
      <c r="T1651" s="6" t="str">
        <f>IFERROR(__xludf.DUMMYFUNCTION("""COMPUTED_VALUE""")," Углем и бывшем губернатором Тулеевым ")</f>
        <v> Углем и бывшем губернатором Тулеевым </v>
      </c>
      <c r="U1651" s="6" t="str">
        <f>IFERROR(__xludf.DUMMYFUNCTION("""COMPUTED_VALUE"""),"Ничего")</f>
        <v>Ничего</v>
      </c>
      <c r="V1651" s="6" t="str">
        <f>IFERROR(__xludf.DUMMYFUNCTION("""COMPUTED_VALUE"""),"Ничего")</f>
        <v>Ничего</v>
      </c>
      <c r="W1651" s="6" t="str">
        <f>IFERROR(__xludf.DUMMYFUNCTION("""COMPUTED_VALUE""")," Люди из 90х")</f>
        <v> Люди из 90х</v>
      </c>
      <c r="X1651" s="6" t="str">
        <f>IFERROR(__xludf.DUMMYFUNCTION("""COMPUTED_VALUE"""),"Бор")</f>
        <v>Бор</v>
      </c>
      <c r="Y1651" s="6" t="str">
        <f>IFERROR(__xludf.DUMMYFUNCTION("""COMPUTED_VALUE"""),"Хз")</f>
        <v>Хз</v>
      </c>
      <c r="Z1651" s="6" t="str">
        <f>IFERROR(__xludf.DUMMYFUNCTION("""COMPUTED_VALUE"""),"Из нет")</f>
        <v>Из нет</v>
      </c>
      <c r="AA1651" s="6" t="str">
        <f>IFERROR(__xludf.DUMMYFUNCTION("""COMPUTED_VALUE"""),"Отсутствия работы")</f>
        <v>Отсутствия работы</v>
      </c>
      <c r="AB1651" s="6" t="str">
        <f>IFERROR(__xludf.DUMMYFUNCTION("""COMPUTED_VALUE"""),"Все ")</f>
        <v>Все </v>
      </c>
      <c r="AC1651" s="6" t="str">
        <f>IFERROR(__xludf.DUMMYFUNCTION("""COMPUTED_VALUE""")," Доступные кружки для детей")</f>
        <v> Доступные кружки для детей</v>
      </c>
      <c r="AD1651" s="6" t="str">
        <f>IFERROR(__xludf.DUMMYFUNCTION("""COMPUTED_VALUE"""),"Не готов принимать личное участие (укажите, пожалуйста, причину в поле «Другое»), Ничего")</f>
        <v>Не готов принимать личное участие (укажите, пожалуйста, причину в поле «Другое»), Ничего</v>
      </c>
      <c r="AE1651" s="6" t="str">
        <f>IFERROR(__xludf.DUMMYFUNCTION("""COMPUTED_VALUE"""),"Женский")</f>
        <v>Женский</v>
      </c>
      <c r="AF1651" s="6" t="str">
        <f>IFERROR(__xludf.DUMMYFUNCTION("""COMPUTED_VALUE"""),"18-29")</f>
        <v>18-29</v>
      </c>
      <c r="AG1651" s="6"/>
      <c r="AH1651" s="6"/>
      <c r="AI1651" s="6"/>
      <c r="AJ1651" s="6"/>
      <c r="AK1651" s="6"/>
      <c r="AL1651" s="6"/>
      <c r="AM1651" s="6"/>
    </row>
    <row r="1652">
      <c r="A1652" s="6">
        <v>1651.0</v>
      </c>
      <c r="B1652" s="6" t="str">
        <f>IFERROR(__xludf.DUMMYFUNCTION("""COMPUTED_VALUE"""),"Работа в мчс")</f>
        <v>Работа в мчс</v>
      </c>
      <c r="C1652" s="6" t="str">
        <f>IFERROR(__xludf.DUMMYFUNCTION("""COMPUTED_VALUE"""),"Посещение православных Богослужениц, физкультура ")</f>
        <v>Посещение православных Богослужениц, физкультура </v>
      </c>
      <c r="D1652" s="6" t="str">
        <f>IFERROR(__xludf.DUMMYFUNCTION("""COMPUTED_VALUE"""),"Кировский ")</f>
        <v>Кировский </v>
      </c>
      <c r="E1652" s="6" t="str">
        <f>IFERROR(__xludf.DUMMYFUNCTION("""COMPUTED_VALUE"""),"Набережная")</f>
        <v>Набережная</v>
      </c>
      <c r="F165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652" s="6" t="str">
        <f>IFERROR(__xludf.DUMMYFUNCTION("""COMPUTED_VALUE"""),"Кинотеатр, бассейн.,набережная")</f>
        <v>Кинотеатр, бассейн.,набережная</v>
      </c>
      <c r="H1652" s="6" t="str">
        <f>IFERROR(__xludf.DUMMYFUNCTION("""COMPUTED_VALUE"""),"Столица, ")</f>
        <v>Столица, </v>
      </c>
      <c r="I1652" s="6" t="str">
        <f>IFERROR(__xludf.DUMMYFUNCTION("""COMPUTED_VALUE"""),"Леонов, Щеглов, ")</f>
        <v>Леонов, Щеглов, </v>
      </c>
      <c r="J1652" s="6" t="str">
        <f>IFERROR(__xludf.DUMMYFUNCTION("""COMPUTED_VALUE"""),"Аристарх")</f>
        <v>Аристарх</v>
      </c>
      <c r="K1652" s="6" t="str">
        <f>IFERROR(__xludf.DUMMYFUNCTION("""COMPUTED_VALUE"""),"Сосновый бор, красная горка, Знаменский собор, вечный огонь ")</f>
        <v>Сосновый бор, красная горка, Знаменский собор, вечный огонь </v>
      </c>
      <c r="L1652" s="6" t="str">
        <f>IFERROR(__xludf.DUMMYFUNCTION("""COMPUTED_VALUE"""),"Кккккк")</f>
        <v>Кккккк</v>
      </c>
      <c r="M1652" s="6" t="str">
        <f>IFERROR(__xludf.DUMMYFUNCTION("""COMPUTED_VALUE"""),"Нет ")</f>
        <v>Нет </v>
      </c>
      <c r="N1652" s="6" t="str">
        <f>IFERROR(__xludf.DUMMYFUNCTION("""COMPUTED_VALUE"""),"Доступность детям в бассейн, музеи, простые но качественные турники и брусья во дворах, газоны без машин, чистый воздух ")</f>
        <v>Доступность детям в бассейн, музеи, простые но качественные турники и брусья во дворах, газоны без машин, чистый воздух </v>
      </c>
      <c r="O1652" s="6" t="str">
        <f>IFERROR(__xludf.DUMMYFUNCTION("""COMPUTED_VALUE"""),"Убрать трамвайные дороги")</f>
        <v>Убрать трамвайные дороги</v>
      </c>
      <c r="P1652" s="6" t="str">
        <f>IFERROR(__xludf.DUMMYFUNCTION("""COMPUTED_VALUE"""),"Яндекс, инстаграм ")</f>
        <v>Яндекс, инстаграм </v>
      </c>
      <c r="Q1652"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652" s="6" t="str">
        <f>IFERROR(__xludf.DUMMYFUNCTION("""COMPUTED_VALUE"""),"9 мая, Пасха, Рождество Христово")</f>
        <v>9 мая, Пасха, Рождество Христово</v>
      </c>
      <c r="S1652" s="6" t="str">
        <f>IFERROR(__xludf.DUMMYFUNCTION("""COMPUTED_VALUE"""),"Нет, не приходилось")</f>
        <v>Нет, не приходилось</v>
      </c>
      <c r="T1652" s="6" t="str">
        <f>IFERROR(__xludf.DUMMYFUNCTION("""COMPUTED_VALUE"""),"Угольное сердце страны, шахтеры")</f>
        <v>Угольное сердце страны, шахтеры</v>
      </c>
      <c r="U1652" s="6" t="str">
        <f>IFERROR(__xludf.DUMMYFUNCTION("""COMPUTED_VALUE"""),"Набережная")</f>
        <v>Набережная</v>
      </c>
      <c r="V1652" s="6" t="str">
        <f>IFERROR(__xludf.DUMMYFUNCTION("""COMPUTED_VALUE"""),"Заводы")</f>
        <v>Заводы</v>
      </c>
      <c r="W1652" s="6" t="str">
        <f>IFERROR(__xludf.DUMMYFUNCTION("""COMPUTED_VALUE"""),"Дружелюбные, гостеприимные, открытые, трудолюбивые")</f>
        <v>Дружелюбные, гостеприимные, открытые, трудолюбивые</v>
      </c>
      <c r="X1652" s="6" t="str">
        <f>IFERROR(__xludf.DUMMYFUNCTION("""COMPUTED_VALUE"""),"Весенняя, набережная ")</f>
        <v>Весенняя, набережная </v>
      </c>
      <c r="Y1652" s="6" t="str">
        <f>IFERROR(__xludf.DUMMYFUNCTION("""COMPUTED_VALUE"""),"Статус областного центра")</f>
        <v>Статус областного центра</v>
      </c>
      <c r="Z1652" s="6" t="str">
        <f>IFERROR(__xludf.DUMMYFUNCTION("""COMPUTED_VALUE"""),"Качество дорог и дворов, чистота в городе, ")</f>
        <v>Качество дорог и дворов, чистота в городе, </v>
      </c>
      <c r="AA1652" s="6" t="str">
        <f>IFERROR(__xludf.DUMMYFUNCTION("""COMPUTED_VALUE"""),"Смог в безветрие. С каждым годом выбросов становится больше ")</f>
        <v>Смог в безветрие. С каждым годом выбросов становится больше </v>
      </c>
      <c r="AB1652" s="6" t="str">
        <f>IFERROR(__xludf.DUMMYFUNCTION("""COMPUTED_VALUE"""),"Ррррр")</f>
        <v>Ррррр</v>
      </c>
      <c r="AC1652" s="6" t="str">
        <f>IFERROR(__xludf.DUMMYFUNCTION("""COMPUTED_VALUE"""),"Для семей с детьми в парках, бору, бесплатно проводили в спортивных организациях отых для семей")</f>
        <v>Для семей с детьми в парках, бору, бесплатно проводили в спортивных организациях отых для семей</v>
      </c>
      <c r="AD165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52" s="6" t="str">
        <f>IFERROR(__xludf.DUMMYFUNCTION("""COMPUTED_VALUE"""),"Мужской")</f>
        <v>Мужской</v>
      </c>
      <c r="AF1652" s="6" t="str">
        <f>IFERROR(__xludf.DUMMYFUNCTION("""COMPUTED_VALUE"""),"30-44")</f>
        <v>30-44</v>
      </c>
      <c r="AG1652" s="6"/>
      <c r="AH1652" s="6"/>
      <c r="AI1652" s="6"/>
      <c r="AJ1652" s="6"/>
      <c r="AK1652" s="6"/>
      <c r="AL1652" s="6"/>
      <c r="AM1652" s="6"/>
    </row>
    <row r="1653">
      <c r="A1653" s="6">
        <v>1652.0</v>
      </c>
      <c r="B1653" s="6" t="str">
        <f>IFERROR(__xludf.DUMMYFUNCTION("""COMPUTED_VALUE"""),"Бухгалтер")</f>
        <v>Бухгалтер</v>
      </c>
      <c r="C1653" s="6" t="str">
        <f>IFERROR(__xludf.DUMMYFUNCTION("""COMPUTED_VALUE"""),"Горные лыжи")</f>
        <v>Горные лыжи</v>
      </c>
      <c r="D1653" s="6" t="str">
        <f>IFERROR(__xludf.DUMMYFUNCTION("""COMPUTED_VALUE"""),"Ленинский")</f>
        <v>Ленинский</v>
      </c>
      <c r="E1653" s="6" t="str">
        <f>IFERROR(__xludf.DUMMYFUNCTION("""COMPUTED_VALUE"""),"Красная горка")</f>
        <v>Красная горка</v>
      </c>
      <c r="F1653" s="6" t="str">
        <f>IFERROR(__xludf.DUMMYFUNCTION("""COMPUTED_VALUE"""),"Живу здесь с рождения")</f>
        <v>Живу здесь с рождения</v>
      </c>
      <c r="G1653" s="6" t="str">
        <f>IFERROR(__xludf.DUMMYFUNCTION("""COMPUTED_VALUE"""),"Бульвар Строителей")</f>
        <v>Бульвар Строителей</v>
      </c>
      <c r="H1653" s="6" t="str">
        <f>IFERROR(__xludf.DUMMYFUNCTION("""COMPUTED_VALUE"""),"Промышленный город")</f>
        <v>Промышленный город</v>
      </c>
      <c r="I1653" s="6" t="str">
        <f>IFERROR(__xludf.DUMMYFUNCTION("""COMPUTED_VALUE"""),"Мартемьянов")</f>
        <v>Мартемьянов</v>
      </c>
      <c r="J1653" s="6" t="str">
        <f>IFERROR(__xludf.DUMMYFUNCTION("""COMPUTED_VALUE"""),"Михайлов, Тулеев, Цивелев")</f>
        <v>Михайлов, Тулеев, Цивелев</v>
      </c>
      <c r="K1653" s="6" t="str">
        <f>IFERROR(__xludf.DUMMYFUNCTION("""COMPUTED_VALUE"""),"Затрудняюсь")</f>
        <v>Затрудняюсь</v>
      </c>
      <c r="L1653" s="6" t="str">
        <f>IFERROR(__xludf.DUMMYFUNCTION("""COMPUTED_VALUE"""),"1")</f>
        <v>1</v>
      </c>
      <c r="M1653" s="6" t="str">
        <f>IFERROR(__xludf.DUMMYFUNCTION("""COMPUTED_VALUE"""),"Нет")</f>
        <v>Нет</v>
      </c>
      <c r="N1653" s="6" t="str">
        <f>IFERROR(__xludf.DUMMYFUNCTION("""COMPUTED_VALUE"""),"Развитая промышленность, достойная зарплата, комфортная городская среда.")</f>
        <v>Развитая промышленность, достойная зарплата, комфортная городская среда.</v>
      </c>
      <c r="O1653" s="6" t="str">
        <f>IFERROR(__xludf.DUMMYFUNCTION("""COMPUTED_VALUE"""),"Развивать промышленность ")</f>
        <v>Развивать промышленность </v>
      </c>
      <c r="P1653" s="6" t="str">
        <f>IFERROR(__xludf.DUMMYFUNCTION("""COMPUTED_VALUE"""),"Инстаграм")</f>
        <v>Инстаграм</v>
      </c>
      <c r="Q1653" s="6" t="str">
        <f>IFERROR(__xludf.DUMMYFUNCTION("""COMPUTED_VALUE"""),"интервью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f>
        <v>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v>
      </c>
      <c r="R1653" s="6" t="str">
        <f>IFERROR(__xludf.DUMMYFUNCTION("""COMPUTED_VALUE"""),"Затрудняюсь")</f>
        <v>Затрудняюсь</v>
      </c>
      <c r="S1653" s="6" t="str">
        <f>IFERROR(__xludf.DUMMYFUNCTION("""COMPUTED_VALUE"""),"Нет, не приходилось")</f>
        <v>Нет, не приходилось</v>
      </c>
      <c r="T1653" s="6" t="str">
        <f>IFERROR(__xludf.DUMMYFUNCTION("""COMPUTED_VALUE"""),"Уголь, а хотелось бы еще чем-то")</f>
        <v>Уголь, а хотелось бы еще чем-то</v>
      </c>
      <c r="U1653" s="6" t="str">
        <f>IFERROR(__xludf.DUMMYFUNCTION("""COMPUTED_VALUE"""),"Парк Чудес.")</f>
        <v>Парк Чудес.</v>
      </c>
      <c r="V1653" s="6" t="str">
        <f>IFERROR(__xludf.DUMMYFUNCTION("""COMPUTED_VALUE"""),"Много чего")</f>
        <v>Много чего</v>
      </c>
      <c r="W1653" s="6" t="str">
        <f>IFERROR(__xludf.DUMMYFUNCTION("""COMPUTED_VALUE"""),"Затрудняюсь")</f>
        <v>Затрудняюсь</v>
      </c>
      <c r="X1653" s="6" t="str">
        <f>IFERROR(__xludf.DUMMYFUNCTION("""COMPUTED_VALUE"""),"Центральная часть города")</f>
        <v>Центральная часть города</v>
      </c>
      <c r="Y1653" s="6" t="str">
        <f>IFERROR(__xludf.DUMMYFUNCTION("""COMPUTED_VALUE"""),"Затрудняюсь")</f>
        <v>Затрудняюсь</v>
      </c>
      <c r="Z1653" s="6" t="str">
        <f>IFERROR(__xludf.DUMMYFUNCTION("""COMPUTED_VALUE"""),"Много строящихся объектов")</f>
        <v>Много строящихся объектов</v>
      </c>
      <c r="AA1653" s="6" t="str">
        <f>IFERROR(__xludf.DUMMYFUNCTION("""COMPUTED_VALUE"""),"В городе не хватает 50 метрового бассейна ")</f>
        <v>В городе не хватает 50 метрового бассейна </v>
      </c>
      <c r="AB1653" s="6" t="str">
        <f>IFERROR(__xludf.DUMMYFUNCTION("""COMPUTED_VALUE"""),"Затрудняюсь")</f>
        <v>Затрудняюсь</v>
      </c>
      <c r="AC1653" s="6" t="str">
        <f>IFERROR(__xludf.DUMMYFUNCTION("""COMPUTED_VALUE"""),"Концерты, спектакли , выставки")</f>
        <v>Концерты, спектакли , выставки</v>
      </c>
      <c r="AD165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653" s="6" t="str">
        <f>IFERROR(__xludf.DUMMYFUNCTION("""COMPUTED_VALUE"""),"Женский")</f>
        <v>Женский</v>
      </c>
      <c r="AF1653" s="6" t="str">
        <f>IFERROR(__xludf.DUMMYFUNCTION("""COMPUTED_VALUE"""),"45-55")</f>
        <v>45-55</v>
      </c>
      <c r="AG1653" s="6"/>
      <c r="AH1653" s="6"/>
      <c r="AI1653" s="6"/>
      <c r="AJ1653" s="6"/>
      <c r="AK1653" s="6"/>
      <c r="AL1653" s="6"/>
      <c r="AM1653" s="6"/>
    </row>
    <row r="1654">
      <c r="A1654" s="6">
        <v>1653.0</v>
      </c>
      <c r="B1654" s="6" t="str">
        <f>IFERROR(__xludf.DUMMYFUNCTION("""COMPUTED_VALUE"""),"Пенсионер")</f>
        <v>Пенсионер</v>
      </c>
      <c r="C1654" s="6" t="str">
        <f>IFERROR(__xludf.DUMMYFUNCTION("""COMPUTED_VALUE"""),"Цветы")</f>
        <v>Цветы</v>
      </c>
      <c r="D1654" s="6" t="str">
        <f>IFERROR(__xludf.DUMMYFUNCTION("""COMPUTED_VALUE"""),"Фпк")</f>
        <v>Фпк</v>
      </c>
      <c r="E1654" s="6" t="str">
        <f>IFERROR(__xludf.DUMMYFUNCTION("""COMPUTED_VALUE"""),"Арена")</f>
        <v>Арена</v>
      </c>
      <c r="F1654" s="6" t="str">
        <f>IFERROR(__xludf.DUMMYFUNCTION("""COMPUTED_VALUE"""),"Живу здесь с рождения")</f>
        <v>Живу здесь с рождения</v>
      </c>
      <c r="G1654" s="6" t="str">
        <f>IFERROR(__xludf.DUMMYFUNCTION("""COMPUTED_VALUE"""),"Набережная")</f>
        <v>Набережная</v>
      </c>
      <c r="H1654" s="6" t="str">
        <f>IFERROR(__xludf.DUMMYFUNCTION("""COMPUTED_VALUE"""),"Смог, грязь, уголь, торговые центры.")</f>
        <v>Смог, грязь, уголь, торговые центры.</v>
      </c>
      <c r="I1654" s="6" t="str">
        <f>IFERROR(__xludf.DUMMYFUNCTION("""COMPUTED_VALUE"""),"Леонов, Волков")</f>
        <v>Леонов, Волков</v>
      </c>
      <c r="J1654" s="6" t="str">
        <f>IFERROR(__xludf.DUMMYFUNCTION("""COMPUTED_VALUE"""),"Не знаю")</f>
        <v>Не знаю</v>
      </c>
      <c r="K1654" s="6" t="str">
        <f>IFERROR(__xludf.DUMMYFUNCTION("""COMPUTED_VALUE"""),"Набережная, красная поляна")</f>
        <v>Набережная, красная поляна</v>
      </c>
      <c r="L1654" s="6" t="str">
        <f>IFERROR(__xludf.DUMMYFUNCTION("""COMPUTED_VALUE"""),"-")</f>
        <v>-</v>
      </c>
      <c r="M1654" s="6" t="str">
        <f>IFERROR(__xludf.DUMMYFUNCTION("""COMPUTED_VALUE"""),"-")</f>
        <v>-</v>
      </c>
      <c r="N1654" s="6" t="str">
        <f>IFERROR(__xludf.DUMMYFUNCTION("""COMPUTED_VALUE"""),"Озеленение, работа общественного транспорта.")</f>
        <v>Озеленение, работа общественного транспорта.</v>
      </c>
      <c r="O1654" s="6" t="str">
        <f>IFERROR(__xludf.DUMMYFUNCTION("""COMPUTED_VALUE"""),"Очистные сооружения на заводах.")</f>
        <v>Очистные сооружения на заводах.</v>
      </c>
      <c r="P1654" s="6" t="str">
        <f>IFERROR(__xludf.DUMMYFUNCTION("""COMPUTED_VALUE"""),"Инстаграм")</f>
        <v>Инстаграм</v>
      </c>
      <c r="Q1654" s="6" t="str">
        <f>IFERROR(__xludf.DUMMYFUNCTION("""COMPUTED_VALUE"""),"бизнес-новости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654" s="6" t="str">
        <f>IFERROR(__xludf.DUMMYFUNCTION("""COMPUTED_VALUE"""),"День города")</f>
        <v>День города</v>
      </c>
      <c r="S1654" s="6" t="str">
        <f>IFERROR(__xludf.DUMMYFUNCTION("""COMPUTED_VALUE"""),"Нет, не приходилось")</f>
        <v>Нет, не приходилось</v>
      </c>
      <c r="T1654" s="6" t="str">
        <f>IFERROR(__xludf.DUMMYFUNCTION("""COMPUTED_VALUE"""),"Углём и чёрным небом")</f>
        <v>Углём и чёрным небом</v>
      </c>
      <c r="U1654" s="6" t="str">
        <f>IFERROR(__xludf.DUMMYFUNCTION("""COMPUTED_VALUE"""),"Набережная")</f>
        <v>Набережная</v>
      </c>
      <c r="V1654" s="6" t="str">
        <f>IFERROR(__xludf.DUMMYFUNCTION("""COMPUTED_VALUE"""),"Добывали уголь")</f>
        <v>Добывали уголь</v>
      </c>
      <c r="W1654" s="6" t="str">
        <f>IFERROR(__xludf.DUMMYFUNCTION("""COMPUTED_VALUE"""),"-")</f>
        <v>-</v>
      </c>
      <c r="X1654" s="6" t="str">
        <f>IFERROR(__xludf.DUMMYFUNCTION("""COMPUTED_VALUE"""),"-")</f>
        <v>-</v>
      </c>
      <c r="Y1654" s="6" t="str">
        <f>IFERROR(__xludf.DUMMYFUNCTION("""COMPUTED_VALUE"""),"-")</f>
        <v>-</v>
      </c>
      <c r="Z1654" s="6" t="str">
        <f>IFERROR(__xludf.DUMMYFUNCTION("""COMPUTED_VALUE"""),"Один негатив")</f>
        <v>Один негатив</v>
      </c>
      <c r="AA1654" s="6" t="str">
        <f>IFERROR(__xludf.DUMMYFUNCTION("""COMPUTED_VALUE"""),"Зимняя вишня")</f>
        <v>Зимняя вишня</v>
      </c>
      <c r="AB1654" s="6" t="str">
        <f>IFERROR(__xludf.DUMMYFUNCTION("""COMPUTED_VALUE"""),"Культурных")</f>
        <v>Культурных</v>
      </c>
      <c r="AC1654" s="6" t="str">
        <f>IFERROR(__xludf.DUMMYFUNCTION("""COMPUTED_VALUE"""),"Больше праздников, гуляний, с привлечением местных коллективов, бесплатная раздача детям призов и т.д.")</f>
        <v>Больше праздников, гуляний, с привлечением местных коллективов, бесплатная раздача детям призов и т.д.</v>
      </c>
      <c r="AD165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54" s="6" t="str">
        <f>IFERROR(__xludf.DUMMYFUNCTION("""COMPUTED_VALUE"""),"Женский")</f>
        <v>Женский</v>
      </c>
      <c r="AF1654" s="6" t="str">
        <f>IFERROR(__xludf.DUMMYFUNCTION("""COMPUTED_VALUE"""),"45-55")</f>
        <v>45-55</v>
      </c>
      <c r="AG1654" s="6"/>
      <c r="AH1654" s="6"/>
      <c r="AI1654" s="6"/>
      <c r="AJ1654" s="6"/>
      <c r="AK1654" s="6"/>
      <c r="AL1654" s="6"/>
      <c r="AM1654" s="6"/>
    </row>
    <row r="1655">
      <c r="A1655" s="6">
        <v>1654.0</v>
      </c>
      <c r="B1655" s="6" t="str">
        <f>IFERROR(__xludf.DUMMYFUNCTION("""COMPUTED_VALUE"""),"Работаю и учусь заочно")</f>
        <v>Работаю и учусь заочно</v>
      </c>
      <c r="C1655" s="6" t="str">
        <f>IFERROR(__xludf.DUMMYFUNCTION("""COMPUTED_VALUE"""),"Да, фотограф ")</f>
        <v>Да, фотограф </v>
      </c>
      <c r="D1655" s="6" t="str">
        <f>IFERROR(__xludf.DUMMYFUNCTION("""COMPUTED_VALUE"""),"За вокзалом частный сектор, частник")</f>
        <v>За вокзалом частный сектор, частник</v>
      </c>
      <c r="E1655" s="6" t="str">
        <f>IFERROR(__xludf.DUMMYFUNCTION("""COMPUTED_VALUE"""),"Частный сектор, ничего нет")</f>
        <v>Частный сектор, ничего нет</v>
      </c>
      <c r="F1655" s="6" t="str">
        <f>IFERROR(__xludf.DUMMYFUNCTION("""COMPUTED_VALUE"""),"Живу здесь с рождения")</f>
        <v>Живу здесь с рождения</v>
      </c>
      <c r="G1655" s="6" t="str">
        <f>IFERROR(__xludf.DUMMYFUNCTION("""COMPUTED_VALUE"""),"Скверы, тц")</f>
        <v>Скверы, тц</v>
      </c>
      <c r="H1655" s="6" t="str">
        <f>IFERROR(__xludf.DUMMYFUNCTION("""COMPUTED_VALUE"""),"1.Нет разнообразия работы, 2.мало мест где можно отдохнуть ( подобные заведения океанариум, дельфинарии) 3.Грязно 4.Много многоквартирных домов строится. 5. Нет как такого морального развития города ")</f>
        <v>1.Нет разнообразия работы, 2.мало мест где можно отдохнуть ( подобные заведения океанариум, дельфинарии) 3.Грязно 4.Много многоквартирных домов строится. 5. Нет как такого морального развития города </v>
      </c>
      <c r="I1655" s="6" t="str">
        <f>IFERROR(__xludf.DUMMYFUNCTION("""COMPUTED_VALUE"""),"Не знаю ")</f>
        <v>Не знаю </v>
      </c>
      <c r="J1655" s="6" t="str">
        <f>IFERROR(__xludf.DUMMYFUNCTION("""COMPUTED_VALUE"""),"Не знаю ")</f>
        <v>Не знаю </v>
      </c>
      <c r="K1655" s="6" t="str">
        <f>IFERROR(__xludf.DUMMYFUNCTION("""COMPUTED_VALUE"""),"Красная горка, Томская писаница, Весенняя улица")</f>
        <v>Красная горка, Томская писаница, Весенняя улица</v>
      </c>
      <c r="L1655" s="6" t="str">
        <f>IFERROR(__xludf.DUMMYFUNCTION("""COMPUTED_VALUE"""),"Не знаю ")</f>
        <v>Не знаю </v>
      </c>
      <c r="M1655" s="6" t="str">
        <f>IFERROR(__xludf.DUMMYFUNCTION("""COMPUTED_VALUE"""),"Нет")</f>
        <v>Нет</v>
      </c>
      <c r="N1655" s="6" t="str">
        <f>IFERROR(__xludf.DUMMYFUNCTION("""COMPUTED_VALUE"""),"Уютно, перспективы карьеры, доступная среда для проживания молодежи, развитие города (не только застройка многоквартирными домами) ")</f>
        <v>Уютно, перспективы карьеры, доступная среда для проживания молодежи, развитие города (не только застройка многоквартирными домами) </v>
      </c>
      <c r="O1655" s="6" t="str">
        <f>IFERROR(__xludf.DUMMYFUNCTION("""COMPUTED_VALUE"""),"Навести порядок не только в центре, но ив частном секторе")</f>
        <v>Навести порядок не только в центре, но ив частном секторе</v>
      </c>
      <c r="P1655" s="6" t="str">
        <f>IFERROR(__xludf.DUMMYFUNCTION("""COMPUTED_VALUE"""),"инстаграм, вк")</f>
        <v>инстаграм, вк</v>
      </c>
      <c r="Q1655" s="6" t="str">
        <f>IFERROR(__xludf.DUMMYFUNCTION("""COMPUTED_VALUE"""),"куда пойти в свободное время, новости про новые профессии/куда поступать/вакансии, результаты местных исследований (рейтинги/аналитика/тенденции)")</f>
        <v>куда пойти в свободное время, новости про новые профессии/куда поступать/вакансии, результаты местных исследований (рейтинги/аналитика/тенденции)</v>
      </c>
      <c r="R1655" s="6" t="str">
        <f>IFERROR(__xludf.DUMMYFUNCTION("""COMPUTED_VALUE"""),"9 мая, день шахтёра, день учителя")</f>
        <v>9 мая, день шахтёра, день учителя</v>
      </c>
      <c r="S1655" s="6" t="str">
        <f>IFERROR(__xludf.DUMMYFUNCTION("""COMPUTED_VALUE"""),"Нет ")</f>
        <v>Нет </v>
      </c>
      <c r="T1655" s="6" t="str">
        <f>IFERROR(__xludf.DUMMYFUNCTION("""COMPUTED_VALUE"""),"Нет ничего супер крутого ")</f>
        <v>Нет ничего супер крутого </v>
      </c>
      <c r="U1655" s="6" t="str">
        <f>IFERROR(__xludf.DUMMYFUNCTION("""COMPUTED_VALUE"""),"Площадь советов, вокзал ")</f>
        <v>Площадь советов, вокзал </v>
      </c>
      <c r="V1655" s="6" t="str">
        <f>IFERROR(__xludf.DUMMYFUNCTION("""COMPUTED_VALUE"""),"Навели порядок, развитие города не только угольное и строительство, но и какие то развлекательные центра (не магазины) ")</f>
        <v>Навели порядок, развитие города не только угольное и строительство, но и какие то развлекательные центра (не магазины) </v>
      </c>
      <c r="W1655" s="6" t="str">
        <f>IFERROR(__xludf.DUMMYFUNCTION("""COMPUTED_VALUE"""),"Недовольные, угрюмые")</f>
        <v>Недовольные, угрюмые</v>
      </c>
      <c r="X1655" s="6" t="str">
        <f>IFERROR(__xludf.DUMMYFUNCTION("""COMPUTED_VALUE"""),"Не знаю ")</f>
        <v>Не знаю </v>
      </c>
      <c r="Y1655" s="6" t="str">
        <f>IFERROR(__xludf.DUMMYFUNCTION("""COMPUTED_VALUE"""),"Пока ничего такого сказать не могу, все стандартно")</f>
        <v>Пока ничего такого сказать не могу, все стандартно</v>
      </c>
      <c r="Z1655" s="6" t="str">
        <f>IFERROR(__xludf.DUMMYFUNCTION("""COMPUTED_VALUE"""),". ")</f>
        <v>. </v>
      </c>
      <c r="AA1655" s="6" t="str">
        <f>IFERROR(__xludf.DUMMYFUNCTION("""COMPUTED_VALUE"""),". ")</f>
        <v>. </v>
      </c>
      <c r="AB1655" s="6" t="str">
        <f>IFERROR(__xludf.DUMMYFUNCTION("""COMPUTED_VALUE"""),". ")</f>
        <v>. </v>
      </c>
      <c r="AC1655" s="6" t="str">
        <f>IFERROR(__xludf.DUMMYFUNCTION("""COMPUTED_VALUE"""),". ")</f>
        <v>. </v>
      </c>
      <c r="AD165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Коммуникатора: Готов задействовать свои знако"&amp;"мства для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655" s="6" t="str">
        <f>IFERROR(__xludf.DUMMYFUNCTION("""COMPUTED_VALUE"""),"Женский")</f>
        <v>Женский</v>
      </c>
      <c r="AF1655" s="6" t="str">
        <f>IFERROR(__xludf.DUMMYFUNCTION("""COMPUTED_VALUE"""),"18-29")</f>
        <v>18-29</v>
      </c>
      <c r="AG1655" s="6"/>
      <c r="AH1655" s="6"/>
      <c r="AI1655" s="6"/>
      <c r="AJ1655" s="6"/>
      <c r="AK1655" s="6"/>
      <c r="AL1655" s="6"/>
      <c r="AM1655" s="6"/>
    </row>
    <row r="1656">
      <c r="A1656" s="6">
        <v>1655.0</v>
      </c>
      <c r="B1656" s="6" t="str">
        <f>IFERROR(__xludf.DUMMYFUNCTION("""COMPUTED_VALUE"""),"Флорист")</f>
        <v>Флорист</v>
      </c>
      <c r="C1656" s="6" t="str">
        <f>IFERROR(__xludf.DUMMYFUNCTION("""COMPUTED_VALUE"""),"Рисование ")</f>
        <v>Рисование </v>
      </c>
      <c r="D1656" s="6" t="str">
        <f>IFERROR(__xludf.DUMMYFUNCTION("""COMPUTED_VALUE"""),"Заводский (мебельный)")</f>
        <v>Заводский (мебельный)</v>
      </c>
      <c r="E1656" s="6" t="str">
        <f>IFERROR(__xludf.DUMMYFUNCTION("""COMPUTED_VALUE"""),"Солдатское озеро")</f>
        <v>Солдатское озеро</v>
      </c>
      <c r="F1656" s="6" t="str">
        <f>IFERROR(__xludf.DUMMYFUNCTION("""COMPUTED_VALUE"""),"Живу здесь с рождения")</f>
        <v>Живу здесь с рождения</v>
      </c>
      <c r="G1656" s="6" t="str">
        <f>IFERROR(__xludf.DUMMYFUNCTION("""COMPUTED_VALUE"""),"В центр")</f>
        <v>В центр</v>
      </c>
      <c r="H1656" s="6" t="str">
        <f>IFERROR(__xludf.DUMMYFUNCTION("""COMPUTED_VALUE"""),"Пыль, скука, тишина...больше нет")</f>
        <v>Пыль, скука, тишина...больше нет</v>
      </c>
      <c r="I1656" s="6" t="str">
        <f>IFERROR(__xludf.DUMMYFUNCTION("""COMPUTED_VALUE"""),"Некорректный вопрос, все называть? А.Леонов")</f>
        <v>Некорректный вопрос, все называть? А.Леонов</v>
      </c>
      <c r="J1656" s="6" t="str">
        <f>IFERROR(__xludf.DUMMYFUNCTION("""COMPUTED_VALUE"""),"никто")</f>
        <v>никто</v>
      </c>
      <c r="K1656" s="6" t="str">
        <f>IFERROR(__xludf.DUMMYFUNCTION("""COMPUTED_VALUE"""),"В городе нечего показывать, кроме парка ангелов")</f>
        <v>В городе нечего показывать, кроме парка ангелов</v>
      </c>
      <c r="L1656" s="6" t="str">
        <f>IFERROR(__xludf.DUMMYFUNCTION("""COMPUTED_VALUE"""),".")</f>
        <v>.</v>
      </c>
      <c r="M1656" s="6" t="str">
        <f>IFERROR(__xludf.DUMMYFUNCTION("""COMPUTED_VALUE"""),".")</f>
        <v>.</v>
      </c>
      <c r="N1656" s="6" t="str">
        <f>IFERROR(__xludf.DUMMYFUNCTION("""COMPUTED_VALUE"""),"Маленькое расстояние из 1 части города в другую, все")</f>
        <v>Маленькое расстояние из 1 части города в другую, все</v>
      </c>
      <c r="O1656" s="6" t="str">
        <f>IFERROR(__xludf.DUMMYFUNCTION("""COMPUTED_VALUE"""),"людей ")</f>
        <v>людей </v>
      </c>
      <c r="P1656" s="6" t="str">
        <f>IFERROR(__xludf.DUMMYFUNCTION("""COMPUTED_VALUE"""),"инцидент кемерово")</f>
        <v>инцидент кемерово</v>
      </c>
      <c r="Q1656" s="6" t="str">
        <f>IFERROR(__xludf.DUMMYFUNCTION("""COMPUTED_VALUE"""),"где вкусно поесть/открытие новых кафе/ресторанов, криминальные новости (происшествия/преступления), .")</f>
        <v>где вкусно поесть/открытие новых кафе/ресторанов, криминальные новости (происшествия/преступления), .</v>
      </c>
      <c r="R1656" s="6" t="str">
        <f>IFERROR(__xludf.DUMMYFUNCTION("""COMPUTED_VALUE"""),"никакие")</f>
        <v>никакие</v>
      </c>
      <c r="S1656" s="6" t="str">
        <f>IFERROR(__xludf.DUMMYFUNCTION("""COMPUTED_VALUE"""),"Нет, не приходилось")</f>
        <v>Нет, не приходилось</v>
      </c>
      <c r="T1656" s="6" t="str">
        <f>IFERROR(__xludf.DUMMYFUNCTION("""COMPUTED_VALUE"""),"Зимняя вишня, ничего")</f>
        <v>Зимняя вишня, ничего</v>
      </c>
      <c r="U1656" s="6" t="str">
        <f>IFERROR(__xludf.DUMMYFUNCTION("""COMPUTED_VALUE"""),".")</f>
        <v>.</v>
      </c>
      <c r="V1656" s="6" t="str">
        <f>IFERROR(__xludf.DUMMYFUNCTION("""COMPUTED_VALUE"""),".")</f>
        <v>.</v>
      </c>
      <c r="W1656" s="6" t="str">
        <f>IFERROR(__xludf.DUMMYFUNCTION("""COMPUTED_VALUE"""),"злые ")</f>
        <v>злые </v>
      </c>
      <c r="X1656" s="6" t="str">
        <f>IFERROR(__xludf.DUMMYFUNCTION("""COMPUTED_VALUE"""),"парк ангелов))")</f>
        <v>парк ангелов))</v>
      </c>
      <c r="Y1656" s="6" t="str">
        <f>IFERROR(__xludf.DUMMYFUNCTION("""COMPUTED_VALUE"""),".")</f>
        <v>.</v>
      </c>
      <c r="Z1656" s="6" t="str">
        <f>IFERROR(__xludf.DUMMYFUNCTION("""COMPUTED_VALUE"""),"никакие")</f>
        <v>никакие</v>
      </c>
      <c r="AA1656" s="6" t="str">
        <f>IFERROR(__xludf.DUMMYFUNCTION("""COMPUTED_VALUE"""),"никакие")</f>
        <v>никакие</v>
      </c>
      <c r="AB1656" s="6" t="str">
        <f>IFERROR(__xludf.DUMMYFUNCTION("""COMPUTED_VALUE"""),"никаких")</f>
        <v>никаких</v>
      </c>
      <c r="AC1656" s="6" t="str">
        <f>IFERROR(__xludf.DUMMYFUNCTION("""COMPUTED_VALUE"""),"посмотрите на другие города с большей численностью")</f>
        <v>посмотрите на другие города с большей численностью</v>
      </c>
      <c r="AD165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56" s="6" t="str">
        <f>IFERROR(__xludf.DUMMYFUNCTION("""COMPUTED_VALUE"""),"Женский")</f>
        <v>Женский</v>
      </c>
      <c r="AF1656" s="6" t="str">
        <f>IFERROR(__xludf.DUMMYFUNCTION("""COMPUTED_VALUE"""),"18-29")</f>
        <v>18-29</v>
      </c>
      <c r="AG1656" s="6"/>
      <c r="AH1656" s="6"/>
      <c r="AI1656" s="6"/>
      <c r="AJ1656" s="6"/>
      <c r="AK1656" s="6"/>
      <c r="AL1656" s="6"/>
      <c r="AM1656" s="6"/>
    </row>
    <row r="1657">
      <c r="A1657" s="6">
        <v>1656.0</v>
      </c>
      <c r="B1657" s="6" t="str">
        <f>IFERROR(__xludf.DUMMYFUNCTION("""COMPUTED_VALUE"""),"Охранник ")</f>
        <v>Охранник </v>
      </c>
      <c r="C1657" s="6" t="str">
        <f>IFERROR(__xludf.DUMMYFUNCTION("""COMPUTED_VALUE"""),"Спорт")</f>
        <v>Спорт</v>
      </c>
      <c r="D1657" s="6" t="str">
        <f>IFERROR(__xludf.DUMMYFUNCTION("""COMPUTED_VALUE"""),"Кировский")</f>
        <v>Кировский</v>
      </c>
      <c r="E1657" s="6" t="str">
        <f>IFERROR(__xludf.DUMMYFUNCTION("""COMPUTED_VALUE"""),"Набережная")</f>
        <v>Набережная</v>
      </c>
      <c r="F1657"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657" s="6" t="str">
        <f>IFERROR(__xludf.DUMMYFUNCTION("""COMPUTED_VALUE"""),"На набережную")</f>
        <v>На набережную</v>
      </c>
      <c r="H1657" s="6" t="str">
        <f>IFERROR(__xludf.DUMMYFUNCTION("""COMPUTED_VALUE"""),"Россия, родина, дом, поле, страна")</f>
        <v>Россия, родина, дом, поле, страна</v>
      </c>
      <c r="I1657" s="6" t="str">
        <f>IFERROR(__xludf.DUMMYFUNCTION("""COMPUTED_VALUE"""),"Леонова, арбачаков, тиньков, ")</f>
        <v>Леонова, арбачаков, тиньков, </v>
      </c>
      <c r="J1657" s="6" t="str">
        <f>IFERROR(__xludf.DUMMYFUNCTION("""COMPUTED_VALUE"""),"Тулеев, валуёв, карелин")</f>
        <v>Тулеев, валуёв, карелин</v>
      </c>
      <c r="K1657" s="6" t="str">
        <f>IFERROR(__xludf.DUMMYFUNCTION("""COMPUTED_VALUE"""),"Памятник слава солдатам")</f>
        <v>Памятник слава солдатам</v>
      </c>
      <c r="L1657" s="6" t="str">
        <f>IFERROR(__xludf.DUMMYFUNCTION("""COMPUTED_VALUE"""),"Век живи и век учись")</f>
        <v>Век живи и век учись</v>
      </c>
      <c r="M1657" s="6" t="str">
        <f>IFERROR(__xludf.DUMMYFUNCTION("""COMPUTED_VALUE"""),"Лучше жить по кемеровский")</f>
        <v>Лучше жить по кемеровский</v>
      </c>
      <c r="N1657" s="6" t="str">
        <f>IFERROR(__xludf.DUMMYFUNCTION("""COMPUTED_VALUE"""),"Сосновый бор, красная горка, дк шахтёров, парк")</f>
        <v>Сосновый бор, красная горка, дк шахтёров, парк</v>
      </c>
      <c r="O1657" s="6" t="str">
        <f>IFERROR(__xludf.DUMMYFUNCTION("""COMPUTED_VALUE"""),"Больше строить для молодёжи комплексов развития")</f>
        <v>Больше строить для молодёжи комплексов развития</v>
      </c>
      <c r="P1657" s="6" t="str">
        <f>IFERROR(__xludf.DUMMYFUNCTION("""COMPUTED_VALUE"""),"Инстограмм")</f>
        <v>Инстограмм</v>
      </c>
      <c r="Q1657" s="6" t="str">
        <f>IFERROR(__xludf.DUMMYFUNCTION("""COMPUTED_VALUE"""),"криминальные новости (происшествия/преступления)")</f>
        <v>криминальные новости (происшествия/преступления)</v>
      </c>
      <c r="R1657" s="6" t="str">
        <f>IFERROR(__xludf.DUMMYFUNCTION("""COMPUTED_VALUE"""),"Больше развлекательных программ")</f>
        <v>Больше развлекательных программ</v>
      </c>
      <c r="S1657" s="6" t="str">
        <f>IFERROR(__xludf.DUMMYFUNCTION("""COMPUTED_VALUE"""),"Нет, не приходилось")</f>
        <v>Нет, не приходилось</v>
      </c>
      <c r="T1657" s="6" t="str">
        <f>IFERROR(__xludf.DUMMYFUNCTION("""COMPUTED_VALUE"""),"Всё ")</f>
        <v>Всё </v>
      </c>
      <c r="U1657" s="6" t="str">
        <f>IFERROR(__xludf.DUMMYFUNCTION("""COMPUTED_VALUE"""),"Памятник шахтерам")</f>
        <v>Памятник шахтерам</v>
      </c>
      <c r="V1657" s="6" t="str">
        <f>IFERROR(__xludf.DUMMYFUNCTION("""COMPUTED_VALUE"""),"Всё ")</f>
        <v>Всё </v>
      </c>
      <c r="W1657" s="6" t="str">
        <f>IFERROR(__xludf.DUMMYFUNCTION("""COMPUTED_VALUE"""),"Трудолюбивые")</f>
        <v>Трудолюбивые</v>
      </c>
      <c r="X1657" s="6" t="str">
        <f>IFERROR(__xludf.DUMMYFUNCTION("""COMPUTED_VALUE"""),"Парк")</f>
        <v>Парк</v>
      </c>
      <c r="Y1657" s="6" t="str">
        <f>IFERROR(__xludf.DUMMYFUNCTION("""COMPUTED_VALUE"""),"Экскурсии")</f>
        <v>Экскурсии</v>
      </c>
      <c r="Z1657" s="6" t="str">
        <f>IFERROR(__xludf.DUMMYFUNCTION("""COMPUTED_VALUE"""),"Все праздники")</f>
        <v>Все праздники</v>
      </c>
      <c r="AA1657" s="6" t="str">
        <f>IFERROR(__xludf.DUMMYFUNCTION("""COMPUTED_VALUE"""),"Никаких")</f>
        <v>Никаких</v>
      </c>
      <c r="AB1657" s="6" t="str">
        <f>IFERROR(__xludf.DUMMYFUNCTION("""COMPUTED_VALUE"""),"Все в норме")</f>
        <v>Все в норме</v>
      </c>
      <c r="AC1657" s="6" t="str">
        <f>IFERROR(__xludf.DUMMYFUNCTION("""COMPUTED_VALUE"""),"Больше общения с народом")</f>
        <v>Больше общения с народом</v>
      </c>
      <c r="AD165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57" s="6" t="str">
        <f>IFERROR(__xludf.DUMMYFUNCTION("""COMPUTED_VALUE"""),"Мужской")</f>
        <v>Мужской</v>
      </c>
      <c r="AF1657" s="6" t="str">
        <f>IFERROR(__xludf.DUMMYFUNCTION("""COMPUTED_VALUE"""),"45-55")</f>
        <v>45-55</v>
      </c>
      <c r="AG1657" s="6"/>
      <c r="AH1657" s="6"/>
      <c r="AI1657" s="6"/>
      <c r="AJ1657" s="6"/>
      <c r="AK1657" s="6"/>
      <c r="AL1657" s="6"/>
      <c r="AM1657" s="6"/>
    </row>
    <row r="1658">
      <c r="A1658" s="6">
        <v>1657.0</v>
      </c>
      <c r="B1658" s="6" t="str">
        <f>IFERROR(__xludf.DUMMYFUNCTION("""COMPUTED_VALUE"""),"Воспитатель детского сада")</f>
        <v>Воспитатель детского сада</v>
      </c>
      <c r="C1658" s="6" t="str">
        <f>IFERROR(__xludf.DUMMYFUNCTION("""COMPUTED_VALUE"""),"Садоводство")</f>
        <v>Садоводство</v>
      </c>
      <c r="D1658" s="6" t="str">
        <f>IFERROR(__xludf.DUMMYFUNCTION("""COMPUTED_VALUE"""),"Южный")</f>
        <v>Южный</v>
      </c>
      <c r="E1658" s="6" t="str">
        <f>IFERROR(__xludf.DUMMYFUNCTION("""COMPUTED_VALUE"""),"Площадь Пушкина, парк Ангелов")</f>
        <v>Площадь Пушкина, парк Ангелов</v>
      </c>
      <c r="F1658" s="6" t="str">
        <f>IFERROR(__xludf.DUMMYFUNCTION("""COMPUTED_VALUE"""),"Живу здесь с рождения")</f>
        <v>Живу здесь с рождения</v>
      </c>
      <c r="G1658" s="6" t="str">
        <f>IFERROR(__xludf.DUMMYFUNCTION("""COMPUTED_VALUE"""),"Парк Чудес, на набережную ")</f>
        <v>Парк Чудес, на набережную </v>
      </c>
      <c r="H1658" s="6" t="str">
        <f>IFERROR(__xludf.DUMMYFUNCTION("""COMPUTED_VALUE"""),"Молодой, ")</f>
        <v>Молодой, </v>
      </c>
      <c r="I1658" s="6" t="str">
        <f>IFERROR(__xludf.DUMMYFUNCTION("""COMPUTED_VALUE"""),"Вера Волошина, Алексей Леонов, актёр А. Панин")</f>
        <v>Вера Волошина, Алексей Леонов, актёр А. Панин</v>
      </c>
      <c r="J1658" s="6" t="str">
        <f>IFERROR(__xludf.DUMMYFUNCTION("""COMPUTED_VALUE"""),"А. Г. Тулеев")</f>
        <v>А. Г. Тулеев</v>
      </c>
      <c r="K1658" s="6" t="str">
        <f>IFERROR(__xludf.DUMMYFUNCTION("""COMPUTED_VALUE"""),"Музей Красная горка, памятник Волкову")</f>
        <v>Музей Красная горка, памятник Волкову</v>
      </c>
      <c r="L1658" s="6" t="str">
        <f>IFERROR(__xludf.DUMMYFUNCTION("""COMPUTED_VALUE"""),"Не скажу")</f>
        <v>Не скажу</v>
      </c>
      <c r="M1658" s="6" t="str">
        <f>IFERROR(__xludf.DUMMYFUNCTION("""COMPUTED_VALUE"""),"Нет")</f>
        <v>Нет</v>
      </c>
      <c r="N1658" s="6" t="str">
        <f>IFERROR(__xludf.DUMMYFUNCTION("""COMPUTED_VALUE"""),"Чистый, тихий, безопасный, уютный")</f>
        <v>Чистый, тихий, безопасный, уютный</v>
      </c>
      <c r="O1658" s="6" t="str">
        <f>IFERROR(__xludf.DUMMYFUNCTION("""COMPUTED_VALUE"""),"Сделать больше парков и зон для отдыха")</f>
        <v>Сделать больше парков и зон для отдыха</v>
      </c>
      <c r="P1658" s="6" t="str">
        <f>IFERROR(__xludf.DUMMYFUNCTION("""COMPUTED_VALUE"""),"Истограмм ")</f>
        <v>Истограмм </v>
      </c>
      <c r="Q1658"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f>
        <v>городская афиша (кино/театр/концерты), культурные новинки (что почитать/что послушать), интервью с местными творческими личностями</v>
      </c>
      <c r="R1658" s="6" t="str">
        <f>IFERROR(__xludf.DUMMYFUNCTION("""COMPUTED_VALUE"""),"День города, день Победы")</f>
        <v>День города, день Победы</v>
      </c>
      <c r="S1658" s="6" t="str">
        <f>IFERROR(__xludf.DUMMYFUNCTION("""COMPUTED_VALUE"""),"Через социальные сети (Какие? Укажите в графе другое), Экологические акции")</f>
        <v>Через социальные сети (Какие? Укажите в графе другое), Экологические акции</v>
      </c>
      <c r="T1658" s="6" t="str">
        <f>IFERROR(__xludf.DUMMYFUNCTION("""COMPUTED_VALUE"""),"Трагедией в Зимней вишне ")</f>
        <v>Трагедией в Зимней вишне </v>
      </c>
      <c r="U1658" s="6" t="str">
        <f>IFERROR(__xludf.DUMMYFUNCTION("""COMPUTED_VALUE"""),"Набережную у вечного огня")</f>
        <v>Набережную у вечного огня</v>
      </c>
      <c r="V1658" s="6" t="str">
        <f>IFERROR(__xludf.DUMMYFUNCTION("""COMPUTED_VALUE"""),"Честно трудились")</f>
        <v>Честно трудились</v>
      </c>
      <c r="W1658" s="6" t="str">
        <f>IFERROR(__xludf.DUMMYFUNCTION("""COMPUTED_VALUE"""),"Открытые, доброжелательные")</f>
        <v>Открытые, доброжелательные</v>
      </c>
      <c r="X1658" s="6" t="str">
        <f>IFERROR(__xludf.DUMMYFUNCTION("""COMPUTED_VALUE"""),"Набережная-площадь Пушкина ")</f>
        <v>Набережная-площадь Пушкина </v>
      </c>
      <c r="Y1658" s="6" t="str">
        <f>IFERROR(__xludf.DUMMYFUNCTION("""COMPUTED_VALUE"""),"Подготовка к 300 летию")</f>
        <v>Подготовка к 300 летию</v>
      </c>
      <c r="Z1658" s="6" t="str">
        <f>IFERROR(__xludf.DUMMYFUNCTION("""COMPUTED_VALUE"""),"Открытие Кадетского корпуса")</f>
        <v>Открытие Кадетского корпуса</v>
      </c>
      <c r="AA1658" s="6" t="str">
        <f>IFERROR(__xludf.DUMMYFUNCTION("""COMPUTED_VALUE"""),"Покупка новогодней елки")</f>
        <v>Покупка новогодней елки</v>
      </c>
      <c r="AB1658" s="6" t="str">
        <f>IFERROR(__xludf.DUMMYFUNCTION("""COMPUTED_VALUE"""),"Исторических")</f>
        <v>Исторических</v>
      </c>
      <c r="AC1658" s="6" t="str">
        <f>IFERROR(__xludf.DUMMYFUNCTION("""COMPUTED_VALUE"""),"Концертов на открытых площадках ")</f>
        <v>Концертов на открытых площадках </v>
      </c>
      <c r="AD165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58" s="6" t="str">
        <f>IFERROR(__xludf.DUMMYFUNCTION("""COMPUTED_VALUE"""),"Женский")</f>
        <v>Женский</v>
      </c>
      <c r="AF1658" s="6" t="str">
        <f>IFERROR(__xludf.DUMMYFUNCTION("""COMPUTED_VALUE"""),"старше 55")</f>
        <v>старше 55</v>
      </c>
      <c r="AG1658" s="6"/>
      <c r="AH1658" s="6"/>
      <c r="AI1658" s="6"/>
      <c r="AJ1658" s="6"/>
      <c r="AK1658" s="6"/>
      <c r="AL1658" s="6"/>
      <c r="AM1658" s="6"/>
    </row>
    <row r="1659">
      <c r="A1659" s="6">
        <v>1658.0</v>
      </c>
      <c r="B1659" s="6" t="str">
        <f>IFERROR(__xludf.DUMMYFUNCTION("""COMPUTED_VALUE"""),"Художник")</f>
        <v>Художник</v>
      </c>
      <c r="C1659" s="6" t="str">
        <f>IFERROR(__xludf.DUMMYFUNCTION("""COMPUTED_VALUE"""),"Спорт")</f>
        <v>Спорт</v>
      </c>
      <c r="D1659" s="6" t="str">
        <f>IFERROR(__xludf.DUMMYFUNCTION("""COMPUTED_VALUE"""),"Центр")</f>
        <v>Центр</v>
      </c>
      <c r="E1659" s="6" t="str">
        <f>IFERROR(__xludf.DUMMYFUNCTION("""COMPUTED_VALUE"""),"Фонтан на Драме")</f>
        <v>Фонтан на Драме</v>
      </c>
      <c r="F1659" s="6" t="str">
        <f>IFERROR(__xludf.DUMMYFUNCTION("""COMPUTED_VALUE"""),"Живу здесь с рождения")</f>
        <v>Живу здесь с рождения</v>
      </c>
      <c r="G1659" s="6" t="str">
        <f>IFERROR(__xludf.DUMMYFUNCTION("""COMPUTED_VALUE"""),"Пешие прогулки по районам Левого берега. Кафе, кино, театры, музеи")</f>
        <v>Пешие прогулки по районам Левого берега. Кафе, кино, театры, музеи</v>
      </c>
      <c r="H1659" s="6" t="str">
        <f>IFERROR(__xludf.DUMMYFUNCTION("""COMPUTED_VALUE"""),"Швейка, фонтан, бульвар, трубы, набережная")</f>
        <v>Швейка, фонтан, бульвар, трубы, набережная</v>
      </c>
      <c r="I1659" s="6" t="str">
        <f>IFERROR(__xludf.DUMMYFUNCTION("""COMPUTED_VALUE"""),"Рутгерс. ")</f>
        <v>Рутгерс. </v>
      </c>
      <c r="J1659" s="6" t="str">
        <f>IFERROR(__xludf.DUMMYFUNCTION("""COMPUTED_VALUE"""),"Гришковец Е., Митрофанова Е. ")</f>
        <v>Гришковец Е., Митрофанова Е. </v>
      </c>
      <c r="K1659" s="6" t="str">
        <f>IFERROR(__xludf.DUMMYFUNCTION("""COMPUTED_VALUE"""),"Щегловский пер. 10,8,6.")</f>
        <v>Щегловский пер. 10,8,6.</v>
      </c>
      <c r="L1659" s="6" t="str">
        <f>IFERROR(__xludf.DUMMYFUNCTION("""COMPUTED_VALUE"""),"Не знаю")</f>
        <v>Не знаю</v>
      </c>
      <c r="M1659" s="6" t="str">
        <f>IFERROR(__xludf.DUMMYFUNCTION("""COMPUTED_VALUE"""),"Мультифора, колбá (растение) ")</f>
        <v>Мультифора, колбá (растение) </v>
      </c>
      <c r="N1659" s="6" t="str">
        <f>IFERROR(__xludf.DUMMYFUNCTION("""COMPUTED_VALUE"""),"1тратуары без барьеров и с пандусами (не формальнымм, для галочки, а которыми  действительно можно было бы безопасно пользоваться). 2. Развитый общественный транспорт ( на данный момент уехать с Ленинградского или ФПК в центр сложнее чем на ""радугу"", а "&amp;"после 20.00 почти не реально). 3. Эстетичный вид, не выбивающийся из общего пейзажа для торговых киосков, павильонов фастфуд иполиции, церковных лавоки. 4. Эстетичные и удобные для всех категорий граждан общественные туалеты. 5. Больше озеленения, мест от"&amp;"дых, с современными парковыми диванами и не пластиковыми детскими площадками. ")</f>
        <v>1тратуары без барьеров и с пандусами (не формальнымм, для галочки, а которыми  действительно можно было бы безопасно пользоваться). 2. Развитый общественный транспорт ( на данный момент уехать с Ленинградского или ФПК в центр сложнее чем на "радугу", а после 20.00 почти не реально). 3. Эстетичный вид, не выбивающийся из общего пейзажа для торговых киосков, павильонов фастфуд иполиции, церковных лавоки. 4. Эстетичные и удобные для всех категорий граждан общественные туалеты. 5. Больше озеленения, мест отдых, с современными парковыми диванами и не пластиковыми детскими площадками. </v>
      </c>
      <c r="O1659" s="6" t="str">
        <f>IFERROR(__xludf.DUMMYFUNCTION("""COMPUTED_VALUE"""),"Доступная и безопасная среда для пешеходов, велосипедистов и маломобильных граждан. ")</f>
        <v>Доступная и безопасная среда для пешеходов, велосипедистов и маломобильных граждан. </v>
      </c>
      <c r="P1659" s="6" t="str">
        <f>IFERROR(__xludf.DUMMYFUNCTION("""COMPUTED_VALUE"""),"Инстаграм")</f>
        <v>Инстаграм</v>
      </c>
      <c r="Q165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Социальноэ-кономические и политические новости")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Социальноэ-кономические и политические новости</v>
      </c>
      <c r="R1659" s="6" t="str">
        <f>IFERROR(__xludf.DUMMYFUNCTION("""COMPUTED_VALUE"""),"Последние лет 10 не посещаю")</f>
        <v>Последние лет 10 не посещаю</v>
      </c>
      <c r="S1659" s="6" t="str">
        <f>IFERROR(__xludf.DUMMYFUNCTION("""COMPUTED_VALUE"""),"Нет, не приходилось")</f>
        <v>Нет, не приходилось</v>
      </c>
      <c r="T1659" s="6" t="str">
        <f>IFERROR(__xludf.DUMMYFUNCTION("""COMPUTED_VALUE"""),"Уникален отсутствием очень большим списком товаров, относительно нашей южной столицы. ")</f>
        <v>Уникален отсутствием очень большим списком товаров, относительно нашей южной столицы. </v>
      </c>
      <c r="U1659" s="6" t="str">
        <f>IFERROR(__xludf.DUMMYFUNCTION("""COMPUTED_VALUE"""),"Фонтан на Драме")</f>
        <v>Фонтан на Драме</v>
      </c>
      <c r="V1659" s="6" t="str">
        <f>IFERROR(__xludf.DUMMYFUNCTION("""COMPUTED_VALUE"""),"Открывали новые предприятия, места, заведения. ")</f>
        <v>Открывали новые предприятия, места, заведения. </v>
      </c>
      <c r="W1659" s="6" t="str">
        <f>IFERROR(__xludf.DUMMYFUNCTION("""COMPUTED_VALUE"""),"Интровертны")</f>
        <v>Интровертны</v>
      </c>
      <c r="X1659" s="6" t="str">
        <f>IFERROR(__xludf.DUMMYFUNCTION("""COMPUTED_VALUE"""),"От пл. Волкова до Арочной. По Арочной через площадь Пушкина на набережную. По набережной через Орбиту к Филармонии, там закрываем глаза на скульптуры Шахтëрам и идëм на пл. Советов. Там закрываем глаза на детскую площадку и по 50 лет Октября идëм до Парка"&amp;" Ангелов. Конец. ")</f>
        <v>От пл. Волкова до Арочной. По Арочной через площадь Пушкина на набережную. По набережной через Орбиту к Филармонии, там закрываем глаза на скульптуры Шахтëрам и идëм на пл. Советов. Там закрываем глаза на детскую площадку и по 50 лет Октября идëм до Парка Ангелов. Конец. </v>
      </c>
      <c r="Y1659" s="6" t="str">
        <f>IFERROR(__xludf.DUMMYFUNCTION("""COMPUTED_VALUE"""),"Историческое: основание города. Культурное: открытие скульптуры ""Выгул Белки и Стрелки в открытом космосе"".")</f>
        <v>Историческое: основание города. Культурное: открытие скульптуры "Выгул Белки и Стрелки в открытом космосе".</v>
      </c>
      <c r="Z1659" s="6" t="str">
        <f>IFERROR(__xludf.DUMMYFUNCTION("""COMPUTED_VALUE"""),"Многие переболели ковидом в лëгкой форме. ")</f>
        <v>Многие переболели ковидом в лëгкой форме. </v>
      </c>
      <c r="AA1659" s="6" t="str">
        <f>IFERROR(__xludf.DUMMYFUNCTION("""COMPUTED_VALUE"""),"Много смертей из-за ковида. Политические преследования. ")</f>
        <v>Много смертей из-за ковида. Политические преследования. </v>
      </c>
      <c r="AB1659" s="6" t="str">
        <f>IFERROR(__xludf.DUMMYFUNCTION("""COMPUTED_VALUE"""),"Настоящих не пропутинских партий. ")</f>
        <v>Настоящих не пропутинских партий. </v>
      </c>
      <c r="AC1659" s="6" t="str">
        <f>IFERROR(__xludf.DUMMYFUNCTION("""COMPUTED_VALUE"""),"Открытые фестивали театра, кино, музыки, цирковых, уличных искусств. ")</f>
        <v>Открытые фестивали театра, кино, музыки, цирковых, уличных искусств. </v>
      </c>
      <c r="AD1659"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59" s="6" t="str">
        <f>IFERROR(__xludf.DUMMYFUNCTION("""COMPUTED_VALUE"""),"Мужской")</f>
        <v>Мужской</v>
      </c>
      <c r="AF1659" s="6" t="str">
        <f>IFERROR(__xludf.DUMMYFUNCTION("""COMPUTED_VALUE"""),"30-44")</f>
        <v>30-44</v>
      </c>
      <c r="AG1659" s="6"/>
      <c r="AH1659" s="6"/>
      <c r="AI1659" s="6"/>
      <c r="AJ1659" s="6"/>
      <c r="AK1659" s="6"/>
      <c r="AL1659" s="6"/>
      <c r="AM1659" s="6"/>
    </row>
    <row r="1660">
      <c r="A1660" s="6">
        <v>1659.0</v>
      </c>
      <c r="B1660" s="6" t="str">
        <f>IFERROR(__xludf.DUMMYFUNCTION("""COMPUTED_VALUE"""),"Линейный руководитель в страховой компании ")</f>
        <v>Линейный руководитель в страховой компании </v>
      </c>
      <c r="C1660" s="6" t="str">
        <f>IFERROR(__xludf.DUMMYFUNCTION("""COMPUTED_VALUE"""),"Танцы, стрельба, настольные игры, театр, велосипедные прогулки, тусовки")</f>
        <v>Танцы, стрельба, настольные игры, театр, велосипедные прогулки, тусовки</v>
      </c>
      <c r="D1660" s="6" t="str">
        <f>IFERROR(__xludf.DUMMYFUNCTION("""COMPUTED_VALUE"""),"ЖК Родные просторы ")</f>
        <v>ЖК Родные просторы </v>
      </c>
      <c r="E1660" s="6" t="str">
        <f>IFERROR(__xludf.DUMMYFUNCTION("""COMPUTED_VALUE"""),"Прекрасные дворы ")</f>
        <v>Прекрасные дворы </v>
      </c>
      <c r="F1660" s="6" t="str">
        <f>IFERROR(__xludf.DUMMYFUNCTION("""COMPUTED_VALUE"""),"Переехал сюда из другого места (откуда? укажите в графе другое), Переехала из города Рубцовска")</f>
        <v>Переехал сюда из другого места (откуда? укажите в графе другое), Переехала из города Рубцовска</v>
      </c>
      <c r="G1660" s="6" t="str">
        <f>IFERROR(__xludf.DUMMYFUNCTION("""COMPUTED_VALUE"""),"Парки, скверы, музеи, театры, набережная и т.п ")</f>
        <v>Парки, скверы, музеи, театры, набережная и т.п </v>
      </c>
      <c r="H1660" s="6" t="str">
        <f>IFERROR(__xludf.DUMMYFUNCTION("""COMPUTED_VALUE"""),"Новый, красивый, удобный, комфортный")</f>
        <v>Новый, красивый, удобный, комфортный</v>
      </c>
      <c r="I1660" s="6" t="str">
        <f>IFERROR(__xludf.DUMMYFUNCTION("""COMPUTED_VALUE"""),"🤷🏼‍♀️")</f>
        <v>🤷🏼‍♀️</v>
      </c>
      <c r="J1660" s="6" t="str">
        <f>IFERROR(__xludf.DUMMYFUNCTION("""COMPUTED_VALUE"""),"🤷🏼‍♀️")</f>
        <v>🤷🏼‍♀️</v>
      </c>
      <c r="K1660" s="6" t="str">
        <f>IFERROR(__xludf.DUMMYFUNCTION("""COMPUTED_VALUE"""),"Киоски Сибирских блинов))))")</f>
        <v>Киоски Сибирских блинов))))</v>
      </c>
      <c r="L1660" s="6" t="str">
        <f>IFERROR(__xludf.DUMMYFUNCTION("""COMPUTED_VALUE"""),"-")</f>
        <v>-</v>
      </c>
      <c r="M1660" s="6" t="str">
        <f>IFERROR(__xludf.DUMMYFUNCTION("""COMPUTED_VALUE"""),"-")</f>
        <v>-</v>
      </c>
      <c r="N1660" s="6" t="str">
        <f>IFERROR(__xludf.DUMMYFUNCTION("""COMPUTED_VALUE"""),"Удобство, красота, уровень жизни, чистота")</f>
        <v>Удобство, красота, уровень жизни, чистота</v>
      </c>
      <c r="O1660" s="6" t="str">
        <f>IFERROR(__xludf.DUMMYFUNCTION("""COMPUTED_VALUE"""),"Убрать частный сектор,  построить везде новые дома, сделать больше мест для семейного отдыха, построить аквапарк и создать зоопарк ")</f>
        <v>Убрать частный сектор,  построить везде новые дома, сделать больше мест для семейного отдыха, построить аквапарк и создать зоопарк </v>
      </c>
      <c r="P1660" s="6" t="str">
        <f>IFERROR(__xludf.DUMMYFUNCTION("""COMPUTED_VALUE"""),"От коллег, друзей ")</f>
        <v>От коллег, друзей </v>
      </c>
      <c r="Q1660" s="6" t="str">
        <f>IFERROR(__xludf.DUMMYFUNCTION("""COMPUTED_VALUE"""),"где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v>
      </c>
      <c r="R1660" s="6" t="str">
        <f>IFERROR(__xludf.DUMMYFUNCTION("""COMPUTED_VALUE"""),"День молодёжи ")</f>
        <v>День молодёжи </v>
      </c>
      <c r="S1660" s="6" t="str">
        <f>IFERROR(__xludf.DUMMYFUNCTION("""COMPUTED_VALUE"""),"Нет, не приходилось")</f>
        <v>Нет, не приходилось</v>
      </c>
      <c r="T1660" s="6" t="str">
        <f>IFERROR(__xludf.DUMMYFUNCTION("""COMPUTED_VALUE"""),"Тем что мусорные баки закрываются ")</f>
        <v>Тем что мусорные баки закрываются </v>
      </c>
      <c r="U1660" s="6" t="str">
        <f>IFERROR(__xludf.DUMMYFUNCTION("""COMPUTED_VALUE"""),"Набережная")</f>
        <v>Набережная</v>
      </c>
      <c r="V1660" s="6" t="str">
        <f>IFERROR(__xludf.DUMMYFUNCTION("""COMPUTED_VALUE"""),"🤷🏼‍♀️")</f>
        <v>🤷🏼‍♀️</v>
      </c>
      <c r="W1660" s="6" t="str">
        <f>IFERROR(__xludf.DUMMYFUNCTION("""COMPUTED_VALUE"""),"Обычные люди)")</f>
        <v>Обычные люди)</v>
      </c>
      <c r="X1660" s="6" t="str">
        <f>IFERROR(__xludf.DUMMYFUNCTION("""COMPUTED_VALUE"""),"Весенняя - набережная- бульвар строителей ")</f>
        <v>Весенняя - набережная- бульвар строителей </v>
      </c>
      <c r="Y1660" s="6" t="str">
        <f>IFERROR(__xludf.DUMMYFUNCTION("""COMPUTED_VALUE"""),"-")</f>
        <v>-</v>
      </c>
      <c r="Z1660" s="6" t="str">
        <f>IFERROR(__xludf.DUMMYFUNCTION("""COMPUTED_VALUE"""),"-")</f>
        <v>-</v>
      </c>
      <c r="AA1660" s="6" t="str">
        <f>IFERROR(__xludf.DUMMYFUNCTION("""COMPUTED_VALUE"""),"-")</f>
        <v>-</v>
      </c>
      <c r="AB1660" s="6" t="str">
        <f>IFERROR(__xludf.DUMMYFUNCTION("""COMPUTED_VALUE"""),"Социальный шахматный клуб ")</f>
        <v>Социальный шахматный клуб </v>
      </c>
      <c r="AC1660" s="6" t="str">
        <f>IFERROR(__xludf.DUMMYFUNCTION("""COMPUTED_VALUE"""),"Конкурсы")</f>
        <v>Конкурсы</v>
      </c>
      <c r="AD1660" s="6" t="str">
        <f>IFERROR(__xludf.DUMMYFUNCTION("""COMPUTED_VALUE"""),"Профессионала. Обучать, проводить занятия, мастер-классы, лекции, тренинги, оказать консультацию (укажите тему в поле ""Другое""), Организацию тренинга по продажам, дисскусию на тему любви к себе")</f>
        <v>Профессионала. Обучать, проводить занятия, мастер-классы, лекции, тренинги, оказать консультацию (укажите тему в поле "Другое"), Организацию тренинга по продажам, дисскусию на тему любви к себе</v>
      </c>
      <c r="AE1660" s="6" t="str">
        <f>IFERROR(__xludf.DUMMYFUNCTION("""COMPUTED_VALUE"""),"Женский")</f>
        <v>Женский</v>
      </c>
      <c r="AF1660" s="6" t="str">
        <f>IFERROR(__xludf.DUMMYFUNCTION("""COMPUTED_VALUE"""),"18-29")</f>
        <v>18-29</v>
      </c>
      <c r="AG1660" s="6"/>
      <c r="AH1660" s="6"/>
      <c r="AI1660" s="6"/>
      <c r="AJ1660" s="6"/>
      <c r="AK1660" s="6"/>
      <c r="AL1660" s="6"/>
      <c r="AM1660" s="6"/>
    </row>
    <row r="1661">
      <c r="A1661" s="6">
        <v>1660.0</v>
      </c>
      <c r="B1661" s="6" t="str">
        <f>IFERROR(__xludf.DUMMYFUNCTION("""COMPUTED_VALUE"""),"Дизайнер")</f>
        <v>Дизайнер</v>
      </c>
      <c r="C1661" s="6" t="str">
        <f>IFERROR(__xludf.DUMMYFUNCTION("""COMPUTED_VALUE"""),"Работа")</f>
        <v>Работа</v>
      </c>
      <c r="D1661" s="6" t="str">
        <f>IFERROR(__xludf.DUMMYFUNCTION("""COMPUTED_VALUE"""),"Центр")</f>
        <v>Центр</v>
      </c>
      <c r="E1661" s="6" t="str">
        <f>IFERROR(__xludf.DUMMYFUNCTION("""COMPUTED_VALUE"""),"Набережная, Весенняя, Сосновый бор")</f>
        <v>Набережная, Весенняя, Сосновый бор</v>
      </c>
      <c r="F1661" s="6" t="str">
        <f>IFERROR(__xludf.DUMMYFUNCTION("""COMPUTED_VALUE"""),"Живу здесь с рождения")</f>
        <v>Живу здесь с рождения</v>
      </c>
      <c r="G1661" s="6" t="str">
        <f>IFERROR(__xludf.DUMMYFUNCTION("""COMPUTED_VALUE"""),"Набережная, Сосновый бор")</f>
        <v>Набережная, Сосновый бор</v>
      </c>
      <c r="H1661" s="6" t="str">
        <f>IFERROR(__xludf.DUMMYFUNCTION("""COMPUTED_VALUE"""),"Загазованность, разруха, безработица и т.д")</f>
        <v>Загазованность, разруха, безработица и т.д</v>
      </c>
      <c r="I1661" s="6" t="str">
        <f>IFERROR(__xludf.DUMMYFUNCTION("""COMPUTED_VALUE"""),"Леонов")</f>
        <v>Леонов</v>
      </c>
      <c r="J1661" s="6" t="str">
        <f>IFERROR(__xludf.DUMMYFUNCTION("""COMPUTED_VALUE"""),"Митяеев, Гришковец, Сухацкий")</f>
        <v>Митяеев, Гришковец, Сухацкий</v>
      </c>
      <c r="K1661" s="6" t="str">
        <f>IFERROR(__xludf.DUMMYFUNCTION("""COMPUTED_VALUE"""),"Набережную, Весеннюю, Сосновый бор")</f>
        <v>Набережную, Весеннюю, Сосновый бор</v>
      </c>
      <c r="L1661" s="6" t="str">
        <f>IFERROR(__xludf.DUMMYFUNCTION("""COMPUTED_VALUE"""),"В армии команда ""газы"" - кемеровским противогазы можно не одевать.")</f>
        <v>В армии команда "газы" - кемеровским противогазы можно не одевать.</v>
      </c>
      <c r="M1661" s="6" t="str">
        <f>IFERROR(__xludf.DUMMYFUNCTION("""COMPUTED_VALUE"""),"ОПГ")</f>
        <v>ОПГ</v>
      </c>
      <c r="N1661" s="6" t="str">
        <f>IFERROR(__xludf.DUMMYFUNCTION("""COMPUTED_VALUE"""),"Не могу")</f>
        <v>Не могу</v>
      </c>
      <c r="O1661" s="6" t="str">
        <f>IFERROR(__xludf.DUMMYFUNCTION("""COMPUTED_VALUE"""),"Всё.")</f>
        <v>Всё.</v>
      </c>
      <c r="P1661" s="6" t="str">
        <f>IFERROR(__xludf.DUMMYFUNCTION("""COMPUTED_VALUE"""),"ФБ, ВК, ИГ")</f>
        <v>ФБ, ВК, ИГ</v>
      </c>
      <c r="Q1661"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1661" s="6" t="str">
        <f>IFERROR(__xludf.DUMMYFUNCTION("""COMPUTED_VALUE"""),"День города")</f>
        <v>День города</v>
      </c>
      <c r="S1661"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ФБ, ВК")</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ФБ, ВК</v>
      </c>
      <c r="T1661" s="6" t="str">
        <f>IFERROR(__xludf.DUMMYFUNCTION("""COMPUTED_VALUE"""),"Только грустным.")</f>
        <v>Только грустным.</v>
      </c>
      <c r="U1661" s="6" t="str">
        <f>IFERROR(__xludf.DUMMYFUNCTION("""COMPUTED_VALUE"""),"Не понятно. Центр он и есть центр.")</f>
        <v>Не понятно. Центр он и есть центр.</v>
      </c>
      <c r="V1661" s="6" t="str">
        <f>IFERROR(__xludf.DUMMYFUNCTION("""COMPUTED_VALUE"""),"Строили и благоустраивали город. Были интересные городские мероприятия. Развивали бизнес. ")</f>
        <v>Строили и благоустраивали город. Были интересные городские мероприятия. Развивали бизнес. </v>
      </c>
      <c r="W1661" s="6" t="str">
        <f>IFERROR(__xludf.DUMMYFUNCTION("""COMPUTED_VALUE"""),"Грустные, не улыбчивые, вынужденны не жить, а выживать.")</f>
        <v>Грустные, не улыбчивые, вынужденны не жить, а выживать.</v>
      </c>
      <c r="X1661" s="6" t="str">
        <f>IFERROR(__xludf.DUMMYFUNCTION("""COMPUTED_VALUE"""),"Набережная.")</f>
        <v>Набережная.</v>
      </c>
      <c r="Y1661" s="6" t="str">
        <f>IFERROR(__xludf.DUMMYFUNCTION("""COMPUTED_VALUE"""),"Не помню")</f>
        <v>Не помню</v>
      </c>
      <c r="Z1661" s="6" t="str">
        <f>IFERROR(__xludf.DUMMYFUNCTION("""COMPUTED_VALUE"""),"Ну уж точно не связанные с губернатором.")</f>
        <v>Ну уж точно не связанные с губернатором.</v>
      </c>
      <c r="AA1661" s="6" t="str">
        <f>IFERROR(__xludf.DUMMYFUNCTION("""COMPUTED_VALUE"""),"Вырубка набережной р. Искитим, незаконная стройка на набережной Томи на против арбитры.")</f>
        <v>Вырубка набережной р. Искитим, незаконная стройка на набережной Томи на против арбитры.</v>
      </c>
      <c r="AB1661" s="6" t="str">
        <f>IFERROR(__xludf.DUMMYFUNCTION("""COMPUTED_VALUE"""),"Ни каких")</f>
        <v>Ни каких</v>
      </c>
      <c r="AC1661" s="6" t="str">
        <f>IFERROR(__xludf.DUMMYFUNCTION("""COMPUTED_VALUE"""),"Хоть какие нибудь")</f>
        <v>Хоть какие нибудь</v>
      </c>
      <c r="AD1661"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661" s="6" t="str">
        <f>IFERROR(__xludf.DUMMYFUNCTION("""COMPUTED_VALUE"""),"Женский")</f>
        <v>Женский</v>
      </c>
      <c r="AF1661" s="6" t="str">
        <f>IFERROR(__xludf.DUMMYFUNCTION("""COMPUTED_VALUE"""),"45-55")</f>
        <v>45-55</v>
      </c>
      <c r="AG1661" s="6"/>
      <c r="AH1661" s="6"/>
      <c r="AI1661" s="6"/>
      <c r="AJ1661" s="6"/>
      <c r="AK1661" s="6"/>
      <c r="AL1661" s="6"/>
      <c r="AM1661" s="6"/>
    </row>
    <row r="1662">
      <c r="A1662" s="6">
        <v>1661.0</v>
      </c>
      <c r="B1662" s="6" t="str">
        <f>IFERROR(__xludf.DUMMYFUNCTION("""COMPUTED_VALUE"""),"Работник  на химическом предприятии ")</f>
        <v>Работник  на химическом предприятии </v>
      </c>
      <c r="C1662" s="6" t="str">
        <f>IFERROR(__xludf.DUMMYFUNCTION("""COMPUTED_VALUE"""),"Рисование ")</f>
        <v>Рисование </v>
      </c>
      <c r="D1662" s="6" t="str">
        <f>IFERROR(__xludf.DUMMYFUNCTION("""COMPUTED_VALUE"""),"Кировский")</f>
        <v>Кировский</v>
      </c>
      <c r="E1662" s="6" t="str">
        <f>IFERROR(__xludf.DUMMYFUNCTION("""COMPUTED_VALUE"""),"ДК кировского района ")</f>
        <v>ДК кировского района </v>
      </c>
      <c r="F1662" s="6" t="str">
        <f>IFERROR(__xludf.DUMMYFUNCTION("""COMPUTED_VALUE"""),"Живу здесь с рождения")</f>
        <v>Живу здесь с рождения</v>
      </c>
      <c r="G1662" s="6" t="str">
        <f>IFERROR(__xludf.DUMMYFUNCTION("""COMPUTED_VALUE"""),"На набережную ")</f>
        <v>На набережную </v>
      </c>
      <c r="H1662" s="6" t="str">
        <f>IFERROR(__xludf.DUMMYFUNCTION("""COMPUTED_VALUE"""),"Уголь, Тулеев,трамвай,завод,Томь.")</f>
        <v>Уголь, Тулеев,трамвай,завод,Томь.</v>
      </c>
      <c r="I1662" s="6" t="str">
        <f>IFERROR(__xludf.DUMMYFUNCTION("""COMPUTED_VALUE"""),"Леонов,Волков,Тулеев")</f>
        <v>Леонов,Волков,Тулеев</v>
      </c>
      <c r="J1662" s="6" t="str">
        <f>IFERROR(__xludf.DUMMYFUNCTION("""COMPUTED_VALUE"""),"Тулеев!")</f>
        <v>Тулеев!</v>
      </c>
      <c r="K1662" s="6" t="str">
        <f>IFERROR(__xludf.DUMMYFUNCTION("""COMPUTED_VALUE"""),"Музей заповедник Красная горка ")</f>
        <v>Музей заповедник Красная горка </v>
      </c>
      <c r="L1662" s="6" t="str">
        <f>IFERROR(__xludf.DUMMYFUNCTION("""COMPUTED_VALUE"""),"???")</f>
        <v>???</v>
      </c>
      <c r="M1662" s="6" t="str">
        <f>IFERROR(__xludf.DUMMYFUNCTION("""COMPUTED_VALUE"""),"???")</f>
        <v>???</v>
      </c>
      <c r="N1662" s="6" t="str">
        <f>IFERROR(__xludf.DUMMYFUNCTION("""COMPUTED_VALUE"""),"Больше общесвенного транспорта,полив улиц от пыли,уборка,снос не благоустроеных домов,нормальный ремонт дорог")</f>
        <v>Больше общесвенного транспорта,полив улиц от пыли,уборка,снос не благоустроеных домов,нормальный ремонт дорог</v>
      </c>
      <c r="O1662" s="6" t="str">
        <f>IFERROR(__xludf.DUMMYFUNCTION("""COMPUTED_VALUE"""),"Не благоустроенное жильё ")</f>
        <v>Не благоустроенное жильё </v>
      </c>
      <c r="P1662" s="6" t="str">
        <f>IFERROR(__xludf.DUMMYFUNCTION("""COMPUTED_VALUE"""),"Новости по телевизору")</f>
        <v>Новости по телевизору</v>
      </c>
      <c r="Q1662" s="6" t="str">
        <f>IFERROR(__xludf.DUMMYFUNCTION("""COMPUTED_VALUE"""),"интервью с местными политиками, криминальные новости (происшествия/преступления), результаты местных исследований (рейтинги/аналитика/тенденции)")</f>
        <v>интервью с местными политиками, криминальные новости (происшествия/преступления), результаты местных исследований (рейтинги/аналитика/тенденции)</v>
      </c>
      <c r="R1662" s="6" t="str">
        <f>IFERROR(__xludf.DUMMYFUNCTION("""COMPUTED_VALUE"""),"День победы,день города,день детей,день молодёжи,день шахтёра")</f>
        <v>День победы,день города,день детей,день молодёжи,день шахтёра</v>
      </c>
      <c r="S1662" s="6" t="str">
        <f>IFERROR(__xludf.DUMMYFUNCTION("""COMPUTED_VALUE"""),"Нет, не приходилось")</f>
        <v>Нет, не приходилось</v>
      </c>
      <c r="T1662" s="6" t="str">
        <f>IFERROR(__xludf.DUMMYFUNCTION("""COMPUTED_VALUE"""),"Уголь,шахты, заводы,шахтёры и работники заводов")</f>
        <v>Уголь,шахты, заводы,шахтёры и работники заводов</v>
      </c>
      <c r="U1662" s="6" t="str">
        <f>IFERROR(__xludf.DUMMYFUNCTION("""COMPUTED_VALUE"""),"Площадь Советов и Волкова,горсад")</f>
        <v>Площадь Советов и Волкова,горсад</v>
      </c>
      <c r="V1662" s="6" t="str">
        <f>IFERROR(__xludf.DUMMYFUNCTION("""COMPUTED_VALUE"""),"Работали ")</f>
        <v>Работали </v>
      </c>
      <c r="W1662" s="6" t="str">
        <f>IFERROR(__xludf.DUMMYFUNCTION("""COMPUTED_VALUE"""),"Крепкие сибиряки")</f>
        <v>Крепкие сибиряки</v>
      </c>
      <c r="X1662" s="6" t="str">
        <f>IFERROR(__xludf.DUMMYFUNCTION("""COMPUTED_VALUE"""),"Горсад,Красная горка")</f>
        <v>Горсад,Красная горка</v>
      </c>
      <c r="Y1662" s="6" t="str">
        <f>IFERROR(__xludf.DUMMYFUNCTION("""COMPUTED_VALUE"""),"Приезд космонавт Леонов")</f>
        <v>Приезд космонавт Леонов</v>
      </c>
      <c r="Z1662" s="6" t="str">
        <f>IFERROR(__xludf.DUMMYFUNCTION("""COMPUTED_VALUE"""),"Ремонт набережной в Кировском районе ")</f>
        <v>Ремонт набережной в Кировском районе </v>
      </c>
      <c r="AA1662" s="6" t="str">
        <f>IFERROR(__xludf.DUMMYFUNCTION("""COMPUTED_VALUE"""),"Закрытие роддома в Кировском районе ")</f>
        <v>Закрытие роддома в Кировском районе </v>
      </c>
      <c r="AB1662" s="6" t="str">
        <f>IFERROR(__xludf.DUMMYFUNCTION("""COMPUTED_VALUE"""),"???")</f>
        <v>???</v>
      </c>
      <c r="AC1662" s="6" t="str">
        <f>IFERROR(__xludf.DUMMYFUNCTION("""COMPUTED_VALUE"""),"Парад 1 мая,мир труд май")</f>
        <v>Парад 1 мая,мир труд май</v>
      </c>
      <c r="AD166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62" s="6" t="str">
        <f>IFERROR(__xludf.DUMMYFUNCTION("""COMPUTED_VALUE"""),"Женский")</f>
        <v>Женский</v>
      </c>
      <c r="AF1662" s="6" t="str">
        <f>IFERROR(__xludf.DUMMYFUNCTION("""COMPUTED_VALUE"""),"30-44")</f>
        <v>30-44</v>
      </c>
      <c r="AG1662" s="6"/>
      <c r="AH1662" s="6"/>
      <c r="AI1662" s="6"/>
      <c r="AJ1662" s="6"/>
      <c r="AK1662" s="6"/>
      <c r="AL1662" s="6"/>
      <c r="AM1662" s="6"/>
    </row>
    <row r="1663">
      <c r="A1663" s="6">
        <v>1662.0</v>
      </c>
      <c r="B1663" s="6" t="str">
        <f>IFERROR(__xludf.DUMMYFUNCTION("""COMPUTED_VALUE"""),"Продавец ")</f>
        <v>Продавец </v>
      </c>
      <c r="C1663" s="6" t="str">
        <f>IFERROR(__xludf.DUMMYFUNCTION("""COMPUTED_VALUE"""),"К сожалению нету времени")</f>
        <v>К сожалению нету времени</v>
      </c>
      <c r="D1663" s="6" t="str">
        <f>IFERROR(__xludf.DUMMYFUNCTION("""COMPUTED_VALUE"""),"Центральный,у него нет названия")</f>
        <v>Центральный,у него нет названия</v>
      </c>
      <c r="E1663" s="6" t="str">
        <f>IFERROR(__xludf.DUMMYFUNCTION("""COMPUTED_VALUE"""),"Комсомольский парк,почему его переназвали в парк имени веры волошиной незнаю.")</f>
        <v>Комсомольский парк,почему его переназвали в парк имени веры волошиной незнаю.</v>
      </c>
      <c r="F1663" s="6" t="str">
        <f>IFERROR(__xludf.DUMMYFUNCTION("""COMPUTED_VALUE"""),"Живу здесь с рождения")</f>
        <v>Живу здесь с рождения</v>
      </c>
      <c r="G1663" s="6" t="str">
        <f>IFERROR(__xludf.DUMMYFUNCTION("""COMPUTED_VALUE"""),"В парк,по городу пешком всегда")</f>
        <v>В парк,по городу пешком всегда</v>
      </c>
      <c r="H1663" s="6" t="str">
        <f>IFERROR(__xludf.DUMMYFUNCTION("""COMPUTED_VALUE"""),"Пыль,грязь,азот,томь,мамин сибиряк")</f>
        <v>Пыль,грязь,азот,томь,мамин сибиряк</v>
      </c>
      <c r="I1663" s="6" t="str">
        <f>IFERROR(__xludf.DUMMYFUNCTION("""COMPUTED_VALUE"""),"Тулеев,и все ребята которых отправили в сылку в сибирь")</f>
        <v>Тулеев,и все ребята которых отправили в сылку в сибирь</v>
      </c>
      <c r="J1663" s="6" t="str">
        <f>IFERROR(__xludf.DUMMYFUNCTION("""COMPUTED_VALUE"""),"Тулеев,а Цивелев или как его,грабит и не смотрит на народ")</f>
        <v>Тулеев,а Цивелев или как его,грабит и не смотрит на народ</v>
      </c>
      <c r="K1663" s="6" t="str">
        <f>IFERROR(__xludf.DUMMYFUNCTION("""COMPUTED_VALUE"""),"За шалготарьяном есть кладбище домашних животных,облагородил,и наверное показал это место")</f>
        <v>За шалготарьяном есть кладбище домашних животных,облагородил,и наверное показал это место</v>
      </c>
      <c r="L1663" s="6" t="str">
        <f>IFERROR(__xludf.DUMMYFUNCTION("""COMPUTED_VALUE"""),"Сел и задохнулся
")</f>
        <v>Сел и задохнулся
</v>
      </c>
      <c r="M1663" s="6" t="str">
        <f>IFERROR(__xludf.DUMMYFUNCTION("""COMPUTED_VALUE"""),"В кемерово")</f>
        <v>В кемерово</v>
      </c>
      <c r="N1663" s="6" t="str">
        <f>IFERROR(__xludf.DUMMYFUNCTION("""COMPUTED_VALUE"""),"Чисты воздух,чистая земля")</f>
        <v>Чисты воздух,чистая земля</v>
      </c>
      <c r="O1663" s="6" t="str">
        <f>IFERROR(__xludf.DUMMYFUNCTION("""COMPUTED_VALUE"""),"Руководство")</f>
        <v>Руководство</v>
      </c>
      <c r="P1663" s="6" t="str">
        <f>IFERROR(__xludf.DUMMYFUNCTION("""COMPUTED_VALUE"""),"Соц.сети")</f>
        <v>Соц.сети</v>
      </c>
      <c r="Q1663" s="6" t="str">
        <f>IFERROR(__xludf.DUMMYFUNCTION("""COMPUTED_VALUE"""),"куда пойти в свободное время, где вкусно поесть/открытие новых кафе/ресторанов, культурные новинки (что почитать/что послушать), криминальные новости (происшествия/преступления)")</f>
        <v>куда пойти в свободное время, где вкусно поесть/открытие новых кафе/ресторанов, культурные новинки (что почитать/что послушать), криминальные новости (происшествия/преступления)</v>
      </c>
      <c r="R1663" s="6" t="str">
        <f>IFERROR(__xludf.DUMMYFUNCTION("""COMPUTED_VALUE"""),"День города")</f>
        <v>День города</v>
      </c>
      <c r="S1663" s="6" t="str">
        <f>IFERROR(__xludf.DUMMYFUNCTION("""COMPUTED_VALUE"""),"Нет, не приходилось")</f>
        <v>Нет, не приходилось</v>
      </c>
      <c r="T1663" s="6" t="str">
        <f>IFERROR(__xludf.DUMMYFUNCTION("""COMPUTED_VALUE"""),"Катастрофы")</f>
        <v>Катастрофы</v>
      </c>
      <c r="U1663" s="6" t="str">
        <f>IFERROR(__xludf.DUMMYFUNCTION("""COMPUTED_VALUE"""),"Пушкин памятник")</f>
        <v>Пушкин памятник</v>
      </c>
      <c r="V1663" s="6" t="str">
        <f>IFERROR(__xludf.DUMMYFUNCTION("""COMPUTED_VALUE"""),"Жили ")</f>
        <v>Жили </v>
      </c>
      <c r="W1663" s="6" t="str">
        <f>IFERROR(__xludf.DUMMYFUNCTION("""COMPUTED_VALUE"""),"Терпеливые")</f>
        <v>Терпеливые</v>
      </c>
      <c r="X1663" s="6" t="str">
        <f>IFERROR(__xludf.DUMMYFUNCTION("""COMPUTED_VALUE"""),"Пр.ленина")</f>
        <v>Пр.ленина</v>
      </c>
      <c r="Y1663" s="6" t="str">
        <f>IFERROR(__xludf.DUMMYFUNCTION("""COMPUTED_VALUE"""),"Зимняя вишня")</f>
        <v>Зимняя вишня</v>
      </c>
      <c r="Z1663" s="6" t="str">
        <f>IFERROR(__xludf.DUMMYFUNCTION("""COMPUTED_VALUE"""),"Фестиваль рока")</f>
        <v>Фестиваль рока</v>
      </c>
      <c r="AA1663" s="6" t="str">
        <f>IFERROR(__xludf.DUMMYFUNCTION("""COMPUTED_VALUE"""),"Неуплата шахтерам зп")</f>
        <v>Неуплата шахтерам зп</v>
      </c>
      <c r="AB1663" s="6" t="str">
        <f>IFERROR(__xludf.DUMMYFUNCTION("""COMPUTED_VALUE"""),"Хоровод")</f>
        <v>Хоровод</v>
      </c>
      <c r="AC1663" s="6" t="str">
        <f>IFERROR(__xludf.DUMMYFUNCTION("""COMPUTED_VALUE"""),"Хоровод")</f>
        <v>Хоровод</v>
      </c>
      <c r="AD1663"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663" s="6" t="str">
        <f>IFERROR(__xludf.DUMMYFUNCTION("""COMPUTED_VALUE"""),"Мужской")</f>
        <v>Мужской</v>
      </c>
      <c r="AF1663" s="6" t="str">
        <f>IFERROR(__xludf.DUMMYFUNCTION("""COMPUTED_VALUE"""),"18-29")</f>
        <v>18-29</v>
      </c>
      <c r="AG1663" s="6"/>
      <c r="AH1663" s="6"/>
      <c r="AI1663" s="6"/>
      <c r="AJ1663" s="6"/>
      <c r="AK1663" s="6"/>
      <c r="AL1663" s="6"/>
      <c r="AM1663" s="6"/>
    </row>
    <row r="1664">
      <c r="A1664" s="6">
        <v>1663.0</v>
      </c>
      <c r="B1664" s="6" t="str">
        <f>IFERROR(__xludf.DUMMYFUNCTION("""COMPUTED_VALUE"""),"Работаю на производстве ")</f>
        <v>Работаю на производстве </v>
      </c>
      <c r="C1664" s="6" t="str">
        <f>IFERROR(__xludf.DUMMYFUNCTION("""COMPUTED_VALUE"""),"Вязание,  рукоделие ")</f>
        <v>Вязание,  рукоделие </v>
      </c>
      <c r="D1664" s="6" t="str">
        <f>IFERROR(__xludf.DUMMYFUNCTION("""COMPUTED_VALUE"""),"Кировский")</f>
        <v>Кировский</v>
      </c>
      <c r="E1664" s="6" t="str">
        <f>IFERROR(__xludf.DUMMYFUNCTION("""COMPUTED_VALUE"""),"Берёзовая роща ")</f>
        <v>Берёзовая роща </v>
      </c>
      <c r="F1664" s="6" t="str">
        <f>IFERROR(__xludf.DUMMYFUNCTION("""COMPUTED_VALUE"""),"Живу здесь с рождения")</f>
        <v>Живу здесь с рождения</v>
      </c>
      <c r="G1664" s="6" t="str">
        <f>IFERROR(__xludf.DUMMYFUNCTION("""COMPUTED_VALUE"""),"Берёзовая роща ")</f>
        <v>Берёзовая роща </v>
      </c>
      <c r="H1664" s="6" t="str">
        <f>IFERROR(__xludf.DUMMYFUNCTION("""COMPUTED_VALUE"""),"Томь, памятник шахтёрам, Святая Варвара, набережная ")</f>
        <v>Томь, памятник шахтёрам, Святая Варвара, набережная </v>
      </c>
      <c r="I1664" s="6" t="str">
        <f>IFERROR(__xludf.DUMMYFUNCTION("""COMPUTED_VALUE"""),"Рутгерс, ")</f>
        <v>Рутгерс, </v>
      </c>
      <c r="J1664" s="6" t="str">
        <f>IFERROR(__xludf.DUMMYFUNCTION("""COMPUTED_VALUE"""),"Леонов ")</f>
        <v>Леонов </v>
      </c>
      <c r="K1664" s="6" t="str">
        <f>IFERROR(__xludf.DUMMYFUNCTION("""COMPUTED_VALUE"""),"Красная горка , памятник  шахтёрам")</f>
        <v>Красная горка , памятник  шахтёрам</v>
      </c>
      <c r="L1664" s="6" t="str">
        <f>IFERROR(__xludf.DUMMYFUNCTION("""COMPUTED_VALUE"""),"Кемерово- город возможностей.  Возможно уехать, например....")</f>
        <v>Кемерово- город возможностей.  Возможно уехать, например....</v>
      </c>
      <c r="M1664" s="6" t="str">
        <f>IFERROR(__xludf.DUMMYFUNCTION("""COMPUTED_VALUE"""),"Нет")</f>
        <v>Нет</v>
      </c>
      <c r="N1664" s="6" t="str">
        <f>IFERROR(__xludf.DUMMYFUNCTION("""COMPUTED_VALUE"""),"Чистота, транспорт, рабочие места,  образование, досуг")</f>
        <v>Чистота, транспорт, рабочие места,  образование, досуг</v>
      </c>
      <c r="O1664" s="6" t="str">
        <f>IFERROR(__xludf.DUMMYFUNCTION("""COMPUTED_VALUE"""),"Администрацию ")</f>
        <v>Администрацию </v>
      </c>
      <c r="P1664" s="6" t="str">
        <f>IFERROR(__xludf.DUMMYFUNCTION("""COMPUTED_VALUE"""),"ТВ")</f>
        <v>ТВ</v>
      </c>
      <c r="Q1664" s="6" t="str">
        <f>IFERROR(__xludf.DUMMYFUNCTION("""COMPUTED_VALUE"""),"куда пойти в свободное время, культурные новинки (что почитать/что послушать), результаты местных исследований (рейтинги/аналитика/тенденции)")</f>
        <v>куда пойти в свободное время, культурные новинки (что почитать/что послушать), результаты местных исследований (рейтинги/аналитика/тенденции)</v>
      </c>
      <c r="R1664" s="6" t="str">
        <f>IFERROR(__xludf.DUMMYFUNCTION("""COMPUTED_VALUE"""),"9 мая, день города")</f>
        <v>9 мая, день города</v>
      </c>
      <c r="S1664" s="6" t="str">
        <f>IFERROR(__xludf.DUMMYFUNCTION("""COMPUTED_VALUE"""),"Нет")</f>
        <v>Нет</v>
      </c>
      <c r="T1664" s="6" t="str">
        <f>IFERROR(__xludf.DUMMYFUNCTION("""COMPUTED_VALUE"""),"Угольная столица")</f>
        <v>Угольная столица</v>
      </c>
      <c r="U1664" s="6" t="str">
        <f>IFERROR(__xludf.DUMMYFUNCTION("""COMPUTED_VALUE"""),"ЦУМ")</f>
        <v>ЦУМ</v>
      </c>
      <c r="V1664" s="6" t="str">
        <f>IFERROR(__xludf.DUMMYFUNCTION("""COMPUTED_VALUE"""),"Работали")</f>
        <v>Работали</v>
      </c>
      <c r="W1664" s="6" t="str">
        <f>IFERROR(__xludf.DUMMYFUNCTION("""COMPUTED_VALUE"""),"Гостеприимные")</f>
        <v>Гостеприимные</v>
      </c>
      <c r="X1664" s="6" t="str">
        <f>IFERROR(__xludf.DUMMYFUNCTION("""COMPUTED_VALUE"""),"Набережная ")</f>
        <v>Набережная </v>
      </c>
      <c r="Y1664" s="6" t="str">
        <f>IFERROR(__xludf.DUMMYFUNCTION("""COMPUTED_VALUE"""),"Не знаю")</f>
        <v>Не знаю</v>
      </c>
      <c r="Z1664" s="6" t="str">
        <f>IFERROR(__xludf.DUMMYFUNCTION("""COMPUTED_VALUE"""),"Заасфальтировали пешеходную дорожку, наконец , по улице Тельмана")</f>
        <v>Заасфальтировали пешеходную дорожку, наконец , по улице Тельмана</v>
      </c>
      <c r="AA1664" s="6" t="str">
        <f>IFERROR(__xludf.DUMMYFUNCTION("""COMPUTED_VALUE"""),"Пожар в Зимней вишне")</f>
        <v>Пожар в Зимней вишне</v>
      </c>
      <c r="AB1664" s="6" t="str">
        <f>IFERROR(__xludf.DUMMYFUNCTION("""COMPUTED_VALUE"""),"Затрудняюсь ответить ")</f>
        <v>Затрудняюсь ответить </v>
      </c>
      <c r="AC1664" s="6" t="str">
        <f>IFERROR(__xludf.DUMMYFUNCTION("""COMPUTED_VALUE"""),"Культурные мероприятия ")</f>
        <v>Культурные мероприятия </v>
      </c>
      <c r="AD166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64" s="6" t="str">
        <f>IFERROR(__xludf.DUMMYFUNCTION("""COMPUTED_VALUE"""),"Женский")</f>
        <v>Женский</v>
      </c>
      <c r="AF1664" s="6" t="str">
        <f>IFERROR(__xludf.DUMMYFUNCTION("""COMPUTED_VALUE"""),"45-55")</f>
        <v>45-55</v>
      </c>
      <c r="AG1664" s="6"/>
      <c r="AH1664" s="6"/>
      <c r="AI1664" s="6"/>
      <c r="AJ1664" s="6"/>
      <c r="AK1664" s="6"/>
      <c r="AL1664" s="6"/>
      <c r="AM1664" s="6"/>
    </row>
    <row r="1665">
      <c r="A1665" s="6">
        <v>1664.0</v>
      </c>
      <c r="B1665" s="6" t="str">
        <f>IFERROR(__xludf.DUMMYFUNCTION("""COMPUTED_VALUE"""),"Дизайнер")</f>
        <v>Дизайнер</v>
      </c>
      <c r="C1665" s="6" t="str">
        <f>IFERROR(__xludf.DUMMYFUNCTION("""COMPUTED_VALUE"""),"Спорт")</f>
        <v>Спорт</v>
      </c>
      <c r="D1665" s="6" t="str">
        <f>IFERROR(__xludf.DUMMYFUNCTION("""COMPUTED_VALUE"""),"Рудничный- Радуга")</f>
        <v>Рудничный- Радуга</v>
      </c>
      <c r="E1665" s="6" t="str">
        <f>IFERROR(__xludf.DUMMYFUNCTION("""COMPUTED_VALUE"""),"Никаких")</f>
        <v>Никаких</v>
      </c>
      <c r="F1665" s="6" t="str">
        <f>IFERROR(__xludf.DUMMYFUNCTION("""COMPUTED_VALUE"""),"Переехал сюда из другого места (откуда? укажите в графе другое), Новокузнецк")</f>
        <v>Переехал сюда из другого места (откуда? укажите в графе другое), Новокузнецк</v>
      </c>
      <c r="G1665" s="6" t="str">
        <f>IFERROR(__xludf.DUMMYFUNCTION("""COMPUTED_VALUE"""),"Ходить некуда,мест красивых и интересных ,мало, на Радуге точно нет,можно сходить только в лес.Интересно и приятно гулять на Лесной поляне")</f>
        <v>Ходить некуда,мест красивых и интересных ,мало, на Радуге точно нет,можно сходить только в лес.Интересно и приятно гулять на Лесной поляне</v>
      </c>
      <c r="H1665" s="6" t="str">
        <f>IFERROR(__xludf.DUMMYFUNCTION("""COMPUTED_VALUE"""),"Промышленность,трубы,захалустье")</f>
        <v>Промышленность,трубы,захалустье</v>
      </c>
      <c r="I1665" s="6" t="str">
        <f>IFERROR(__xludf.DUMMYFUNCTION("""COMPUTED_VALUE"""),"Леонов")</f>
        <v>Леонов</v>
      </c>
      <c r="J1665" s="6" t="str">
        <f>IFERROR(__xludf.DUMMYFUNCTION("""COMPUTED_VALUE"""),"Не знаю таких")</f>
        <v>Не знаю таких</v>
      </c>
      <c r="K1665" s="6" t="str">
        <f>IFERROR(__xludf.DUMMYFUNCTION("""COMPUTED_VALUE"""),"Лесную поляну,Томскую писаницу")</f>
        <v>Лесную поляну,Томскую писаницу</v>
      </c>
      <c r="L1665" s="6" t="str">
        <f>IFERROR(__xludf.DUMMYFUNCTION("""COMPUTED_VALUE"""),"Не знаю такие")</f>
        <v>Не знаю такие</v>
      </c>
      <c r="M1665" s="6" t="str">
        <f>IFERROR(__xludf.DUMMYFUNCTION("""COMPUTED_VALUE"""),"Нет")</f>
        <v>Нет</v>
      </c>
      <c r="N1665" s="6" t="str">
        <f>IFERROR(__xludf.DUMMYFUNCTION("""COMPUTED_VALUE"""),"Не назову,,таких нет,,город не интересен")</f>
        <v>Не назову,,таких нет,,город не интересен</v>
      </c>
      <c r="O1665" s="6" t="str">
        <f>IFERROR(__xludf.DUMMYFUNCTION("""COMPUTED_VALUE"""),"Очень мало зелени,цветов,арт- объектов,освещения,стиля,эффекта статусности")</f>
        <v>Очень мало зелени,цветов,арт- объектов,освещения,стиля,эффекта статусности</v>
      </c>
      <c r="P1665" s="6" t="str">
        <f>IFERROR(__xludf.DUMMYFUNCTION("""COMPUTED_VALUE"""),"Интаграм")</f>
        <v>Интаграм</v>
      </c>
      <c r="Q1665" s="6" t="str">
        <f>IFERROR(__xludf.DUMMYFUNCTION("""COMPUTED_VALUE"""),"куда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f>
        <v>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v>
      </c>
      <c r="R1665" s="6" t="str">
        <f>IFERROR(__xludf.DUMMYFUNCTION("""COMPUTED_VALUE"""),"Если праздники и проходят,,они на уровне деревни,,а не столичного или городского")</f>
        <v>Если праздники и проходят,,они на уровне деревни,,а не столичного или городского</v>
      </c>
      <c r="S1665" s="6" t="str">
        <f>IFERROR(__xludf.DUMMYFUNCTION("""COMPUTED_VALUE"""),"Нет, не приходилось")</f>
        <v>Нет, не приходилось</v>
      </c>
      <c r="T1665" s="6" t="str">
        <f>IFERROR(__xludf.DUMMYFUNCTION("""COMPUTED_VALUE"""),"Известен только антирейтингом,,ввиде дорогой ёлки,бани на крыше,ужасной загрязнонности,трагедиями")</f>
        <v>Известен только антирейтингом,,ввиде дорогой ёлки,бани на крыше,ужасной загрязнонности,трагедиями</v>
      </c>
      <c r="U1665" s="6" t="str">
        <f>IFERROR(__xludf.DUMMYFUNCTION("""COMPUTED_VALUE"""),"Старый центр города")</f>
        <v>Старый центр города</v>
      </c>
      <c r="V1665" s="6" t="str">
        <f>IFERROR(__xludf.DUMMYFUNCTION("""COMPUTED_VALUE"""),"Не знаю примера")</f>
        <v>Не знаю примера</v>
      </c>
      <c r="W1665" s="6" t="str">
        <f>IFERROR(__xludf.DUMMYFUNCTION("""COMPUTED_VALUE"""),"Обычные,,уставшие,нестильные")</f>
        <v>Обычные,,уставшие,нестильные</v>
      </c>
      <c r="X1665" s="6" t="str">
        <f>IFERROR(__xludf.DUMMYFUNCTION("""COMPUTED_VALUE"""),"Лесная поляна.Парки и набережная устаревшие,неинтересные,потрепанные,несовременные")</f>
        <v>Лесная поляна.Парки и набережная устаревшие,неинтересные,потрепанные,несовременные</v>
      </c>
      <c r="Y1665" s="6" t="str">
        <f>IFERROR(__xludf.DUMMYFUNCTION("""COMPUTED_VALUE"""),"Не знаю такого")</f>
        <v>Не знаю такого</v>
      </c>
      <c r="Z1665" s="6" t="str">
        <f>IFERROR(__xludf.DUMMYFUNCTION("""COMPUTED_VALUE"""),"Питерская выставка оживших картин,выступление Ягудина на площади Советов")</f>
        <v>Питерская выставка оживших картин,выступление Ягудина на площади Советов</v>
      </c>
      <c r="AA1665" s="6" t="str">
        <f>IFERROR(__xludf.DUMMYFUNCTION("""COMPUTED_VALUE"""),"Зимняя вишня")</f>
        <v>Зимняя вишня</v>
      </c>
      <c r="AB1665" s="6" t="str">
        <f>IFERROR(__xludf.DUMMYFUNCTION("""COMPUTED_VALUE"""),"Заинтересованных людей для облагораживания и развития города")</f>
        <v>Заинтересованных людей для облагораживания и развития города</v>
      </c>
      <c r="AC1665" s="6" t="str">
        <f>IFERROR(__xludf.DUMMYFUNCTION("""COMPUTED_VALUE"""),"Мероприятия,отвечающие 21 веку. Стиль,интеллектуальность,развивающие личность и его культуру.")</f>
        <v>Мероприятия,отвечающие 21 веку. Стиль,интеллектуальность,развивающие личность и его культуру.</v>
      </c>
      <c r="AD1665"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1665" s="6" t="str">
        <f>IFERROR(__xludf.DUMMYFUNCTION("""COMPUTED_VALUE"""),"Женский")</f>
        <v>Женский</v>
      </c>
      <c r="AF1665" s="6" t="str">
        <f>IFERROR(__xludf.DUMMYFUNCTION("""COMPUTED_VALUE"""),"45-55")</f>
        <v>45-55</v>
      </c>
      <c r="AG1665" s="6"/>
      <c r="AH1665" s="6"/>
      <c r="AI1665" s="6"/>
      <c r="AJ1665" s="6"/>
      <c r="AK1665" s="6"/>
      <c r="AL1665" s="6"/>
      <c r="AM1665" s="6"/>
    </row>
    <row r="1666">
      <c r="A1666" s="6">
        <v>1665.0</v>
      </c>
      <c r="B1666" s="6" t="str">
        <f>IFERROR(__xludf.DUMMYFUNCTION("""COMPUTED_VALUE"""),"Медицина")</f>
        <v>Медицина</v>
      </c>
      <c r="C1666" s="6" t="str">
        <f>IFERROR(__xludf.DUMMYFUNCTION("""COMPUTED_VALUE"""),"Спорт")</f>
        <v>Спорт</v>
      </c>
      <c r="D1666" s="6" t="str">
        <f>IFERROR(__xludf.DUMMYFUNCTION("""COMPUTED_VALUE"""),"Южный")</f>
        <v>Южный</v>
      </c>
      <c r="E1666" s="6" t="str">
        <f>IFERROR(__xludf.DUMMYFUNCTION("""COMPUTED_VALUE"""),"Аллея Патриотов ")</f>
        <v>Аллея Патриотов </v>
      </c>
      <c r="F1666" s="6" t="str">
        <f>IFERROR(__xludf.DUMMYFUNCTION("""COMPUTED_VALUE"""),"Живу здесь с рождения")</f>
        <v>Живу здесь с рождения</v>
      </c>
      <c r="G1666" s="6" t="str">
        <f>IFERROR(__xludf.DUMMYFUNCTION("""COMPUTED_VALUE"""),"На набережную")</f>
        <v>На набережную</v>
      </c>
      <c r="H1666" s="6" t="str">
        <f>IFERROR(__xludf.DUMMYFUNCTION("""COMPUTED_VALUE"""),"Маленькие зарплаты, шахта, уголь  , грязный воздух, Бор")</f>
        <v>Маленькие зарплаты, шахта, уголь  , грязный воздух, Бор</v>
      </c>
      <c r="I1666" s="6" t="str">
        <f>IFERROR(__xludf.DUMMYFUNCTION("""COMPUTED_VALUE"""),"Михайло Волков, Алесей Леонов")</f>
        <v>Михайло Волков, Алесей Леонов</v>
      </c>
      <c r="J1666" s="6" t="str">
        <f>IFERROR(__xludf.DUMMYFUNCTION("""COMPUTED_VALUE"""),"Аман Тулеев, все хотят чтобы он снова стал мэром , и говорят, что при нем было лучше 
")</f>
        <v>Аман Тулеев, все хотят чтобы он снова стал мэром , и говорят, что при нем было лучше 
</v>
      </c>
      <c r="K1666" s="6" t="str">
        <f>IFERROR(__xludf.DUMMYFUNCTION("""COMPUTED_VALUE"""),"Бор, буквы КУЗБАСС, площадь Волкова")</f>
        <v>Бор, буквы КУЗБАСС, площадь Волкова</v>
      </c>
      <c r="L1666" s="6" t="str">
        <f>IFERROR(__xludf.DUMMYFUNCTION("""COMPUTED_VALUE"""),"Денег ни гроша, да слава хороша ")</f>
        <v>Денег ни гроша, да слава хороша </v>
      </c>
      <c r="M1666" s="6" t="str">
        <f>IFERROR(__xludf.DUMMYFUNCTION("""COMPUTED_VALUE"""),"Нет")</f>
        <v>Нет</v>
      </c>
      <c r="N1666" s="6" t="str">
        <f>IFERROR(__xludf.DUMMYFUNCTION("""COMPUTED_VALUE"""),"Он мне не комфортен")</f>
        <v>Он мне не комфортен</v>
      </c>
      <c r="O1666" s="6" t="str">
        <f>IFERROR(__xludf.DUMMYFUNCTION("""COMPUTED_VALUE"""),"Отношение власти к людям и экологию")</f>
        <v>Отношение власти к людям и экологию</v>
      </c>
      <c r="P1666" s="6" t="str">
        <f>IFERROR(__xludf.DUMMYFUNCTION("""COMPUTED_VALUE"""),"Инстаграм, вконтакте")</f>
        <v>Инстаграм, вконтакте</v>
      </c>
      <c r="Q1666" s="6" t="str">
        <f>IFERROR(__xludf.DUMMYFUNCTION("""COMPUTED_VALUE"""),"где вкусно поесть/открытие новых кафе/ресторанов, криминальные новости (происшествия/преступления), бизнес-новости (средний чек/рекламные акции/запуск новых предприятий)")</f>
        <v>где вкусно поесть/открытие новых кафе/ресторанов, криминальные новости (происшествия/преступления), бизнес-новости (средний чек/рекламные акции/запуск новых предприятий)</v>
      </c>
      <c r="R1666" s="6" t="str">
        <f>IFERROR(__xludf.DUMMYFUNCTION("""COMPUTED_VALUE"""),"Таких нет")</f>
        <v>Таких нет</v>
      </c>
      <c r="S1666" s="6" t="str">
        <f>IFERROR(__xludf.DUMMYFUNCTION("""COMPUTED_VALUE"""),"Нет, не приходилось")</f>
        <v>Нет, не приходилось</v>
      </c>
      <c r="T1666" s="6" t="str">
        <f>IFERROR(__xludf.DUMMYFUNCTION("""COMPUTED_VALUE"""),"Высокие цены , низкие зарплаты . Самый высокий отток населения , кстати за 2020 год 
Говорят езе что там город на угле и в смоге ")</f>
        <v>Высокие цены , низкие зарплаты . Самый высокий отток населения , кстати за 2020 год 
Говорят езе что там город на угле и в смоге </v>
      </c>
      <c r="U1666" s="6" t="str">
        <f>IFERROR(__xludf.DUMMYFUNCTION("""COMPUTED_VALUE"""),"Площадь Советов ")</f>
        <v>Площадь Советов </v>
      </c>
      <c r="V1666" s="6" t="str">
        <f>IFERROR(__xludf.DUMMYFUNCTION("""COMPUTED_VALUE"""),"Отстроили его хотя бы как то")</f>
        <v>Отстроили его хотя бы как то</v>
      </c>
      <c r="W1666" s="6" t="str">
        <f>IFERROR(__xludf.DUMMYFUNCTION("""COMPUTED_VALUE"""),"Улыбчивые несмотря ни на что. Готовы помочь
Отзывчивы , щедры ")</f>
        <v>Улыбчивые несмотря ни на что. Готовы помочь
Отзывчивы , щедры </v>
      </c>
      <c r="X1666" s="6" t="str">
        <f>IFERROR(__xludf.DUMMYFUNCTION("""COMPUTED_VALUE"""),"Афганский- весь город можно посмотреть !!!")</f>
        <v>Афганский- весь город можно посмотреть !!!</v>
      </c>
      <c r="Y1666" s="6" t="str">
        <f>IFERROR(__xludf.DUMMYFUNCTION("""COMPUTED_VALUE"""),"Не знаю")</f>
        <v>Не знаю</v>
      </c>
      <c r="Z1666" s="6" t="str">
        <f>IFERROR(__xludf.DUMMYFUNCTION("""COMPUTED_VALUE"""),"Тимати приезжал и би2")</f>
        <v>Тимати приезжал и би2</v>
      </c>
      <c r="AA1666" s="6" t="str">
        <f>IFERROR(__xludf.DUMMYFUNCTION("""COMPUTED_VALUE"""),"За последние 3 года*
25 марта 2018 года сгорела зимняя вишня ")</f>
        <v>За последние 3 года*
25 марта 2018 года сгорела зимняя вишня </v>
      </c>
      <c r="AB1666" s="6" t="str">
        <f>IFERROR(__xludf.DUMMYFUNCTION("""COMPUTED_VALUE"""),"..")</f>
        <v>..</v>
      </c>
      <c r="AC1666" s="6" t="str">
        <f>IFERROR(__xludf.DUMMYFUNCTION("""COMPUTED_VALUE"""),"Без денег неинтересно , даже если Цивилев спляшет ")</f>
        <v>Без денег неинтересно , даже если Цивилев спляшет </v>
      </c>
      <c r="AD166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66" s="6" t="str">
        <f>IFERROR(__xludf.DUMMYFUNCTION("""COMPUTED_VALUE"""),"Женский")</f>
        <v>Женский</v>
      </c>
      <c r="AF1666" s="6" t="str">
        <f>IFERROR(__xludf.DUMMYFUNCTION("""COMPUTED_VALUE"""),"18-29")</f>
        <v>18-29</v>
      </c>
      <c r="AG1666" s="6"/>
      <c r="AH1666" s="6"/>
      <c r="AI1666" s="6"/>
      <c r="AJ1666" s="6"/>
      <c r="AK1666" s="6"/>
      <c r="AL1666" s="6"/>
      <c r="AM1666" s="6"/>
    </row>
    <row r="1667">
      <c r="A1667" s="6">
        <v>1666.0</v>
      </c>
      <c r="B1667" s="6" t="str">
        <f>IFERROR(__xludf.DUMMYFUNCTION("""COMPUTED_VALUE"""),"В настоящее время на пенсии, но подрабатываю. ")</f>
        <v>В настоящее время на пенсии, но подрабатываю. </v>
      </c>
      <c r="C1667" s="6" t="str">
        <f>IFERROR(__xludf.DUMMYFUNCTION("""COMPUTED_VALUE"""),"Дача, старшая по дому. ")</f>
        <v>Дача, старшая по дому. </v>
      </c>
      <c r="D1667" s="6" t="str">
        <f>IFERROR(__xludf.DUMMYFUNCTION("""COMPUTED_VALUE"""),"В Кировском. ")</f>
        <v>В Кировском. </v>
      </c>
      <c r="E1667" s="6" t="str">
        <f>IFERROR(__xludf.DUMMYFUNCTION("""COMPUTED_VALUE"""),"Набережная, ДК, бассейн. ")</f>
        <v>Набережная, ДК, бассейн. </v>
      </c>
      <c r="F1667" s="6" t="str">
        <f>IFERROR(__xludf.DUMMYFUNCTION("""COMPUTED_VALUE"""),"Живу здесь с рождения")</f>
        <v>Живу здесь с рождения</v>
      </c>
      <c r="G1667" s="6" t="str">
        <f>IFERROR(__xludf.DUMMYFUNCTION("""COMPUTED_VALUE"""),"Набережная, Весенняя, драм.театр, музык.театр, театр для детей и молодёжи, филармония, бассейн, центр Я")</f>
        <v>Набережная, Весенняя, драм.театр, музык.театр, театр для детей и молодёжи, филармония, бассейн, центр Я</v>
      </c>
      <c r="H1667" s="6" t="str">
        <f>IFERROR(__xludf.DUMMYFUNCTION("""COMPUTED_VALUE"""),"Моя Родина, детство, запущенность, серость, отсутствие работы")</f>
        <v>Моя Родина, детство, запущенность, серость, отсутствие работы</v>
      </c>
      <c r="I1667" s="6" t="str">
        <f>IFERROR(__xludf.DUMMYFUNCTION("""COMPUTED_VALUE"""),"М. Волков, В. Володина, А. Леонов. ")</f>
        <v>М. Волков, В. Володина, А. Леонов. </v>
      </c>
      <c r="J1667" s="6" t="str">
        <f>IFERROR(__xludf.DUMMYFUNCTION("""COMPUTED_VALUE"""),"А. Тулеев")</f>
        <v>А. Тулеев</v>
      </c>
      <c r="K1667" s="6" t="str">
        <f>IFERROR(__xludf.DUMMYFUNCTION("""COMPUTED_VALUE"""),"Красная горка, Томская писаница")</f>
        <v>Красная горка, Томская писаница</v>
      </c>
      <c r="L1667" s="6" t="str">
        <f>IFERROR(__xludf.DUMMYFUNCTION("""COMPUTED_VALUE"""),"К сожалению не припомню")</f>
        <v>К сожалению не припомню</v>
      </c>
      <c r="M1667" s="6" t="str">
        <f>IFERROR(__xludf.DUMMYFUNCTION("""COMPUTED_VALUE"""),"Не могу сказать")</f>
        <v>Не могу сказать</v>
      </c>
      <c r="N1667" s="6" t="str">
        <f>IFERROR(__xludf.DUMMYFUNCTION("""COMPUTED_VALUE"""),"1.Озеленение, цветы,2.дороги,тротуары,3.парки,скверы,детские площадки, 4доступные для горожан спортивные комплексы, тетры, 5.ухоженность,безопасность. И ещё конечно общественный транспорт")</f>
        <v>1.Озеленение, цветы,2.дороги,тротуары,3.парки,скверы,детские площадки, 4доступные для горожан спортивные комплексы, тетры, 5.ухоженность,безопасность. И ещё конечно общественный транспорт</v>
      </c>
      <c r="O1667" s="6" t="str">
        <f>IFERROR(__xludf.DUMMYFUNCTION("""COMPUTED_VALUE"""),"Я сейчас говорю про свой район, сделать красивой и достойной своего имени ул. А. Леонова. привести в порядок озеленение, тротуары, фасады домов, зону отдыха - пляжную в нашем районе. ")</f>
        <v>Я сейчас говорю про свой район, сделать красивой и достойной своего имени ул. А. Леонова. привести в порядок озеленение, тротуары, фасады домов, зону отдыха - пляжную в нашем районе. </v>
      </c>
      <c r="P1667" s="6" t="str">
        <f>IFERROR(__xludf.DUMMYFUNCTION("""COMPUTED_VALUE"""),"Новости ТВ, Яндекс афиши")</f>
        <v>Новости ТВ, Яндекс афиши</v>
      </c>
      <c r="Q1667"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интервью с экспертами на разные темы (напишите в разде"&amp;"ле Другое свои предложения)")</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интервью с экспертами на разные темы (напишите в разделе Другое свои предложения)</v>
      </c>
      <c r="R1667" s="6" t="str">
        <f>IFERROR(__xludf.DUMMYFUNCTION("""COMPUTED_VALUE"""),"День Победы, день города")</f>
        <v>День Победы, день города</v>
      </c>
      <c r="S1667" s="6" t="str">
        <f>IFERROR(__xludf.DUMMYFUNCTION("""COMPUTED_VALUE"""),"Нет, не приходилось")</f>
        <v>Нет, не приходилось</v>
      </c>
      <c r="T1667" s="6" t="str">
        <f>IFERROR(__xludf.DUMMYFUNCTION("""COMPUTED_VALUE"""),"Добыча угля")</f>
        <v>Добыча угля</v>
      </c>
      <c r="U1667" s="6" t="str">
        <f>IFERROR(__xludf.DUMMYFUNCTION("""COMPUTED_VALUE"""),"Памятник шахтёру на Красной горке")</f>
        <v>Памятник шахтёру на Красной горке</v>
      </c>
      <c r="V1667" s="6" t="str">
        <f>IFERROR(__xludf.DUMMYFUNCTION("""COMPUTED_VALUE"""),"У нас много героев ВОВ, творческих людей, артистов театра и кино,  кардиохирургия")</f>
        <v>У нас много героев ВОВ, творческих людей, артистов театра и кино,  кардиохирургия</v>
      </c>
      <c r="W1667" s="6" t="str">
        <f>IFERROR(__xludf.DUMMYFUNCTION("""COMPUTED_VALUE"""),"Люди с открытой душой, добрые, но пассивные, сложно расшевелить, любят свой город, но не охотно что то делают для него, сравниваю с другими временами")</f>
        <v>Люди с открытой душой, добрые, но пассивные, сложно расшевелить, любят свой город, но не охотно что то делают для него, сравниваю с другими временами</v>
      </c>
      <c r="X1667" s="6" t="str">
        <f>IFERROR(__xludf.DUMMYFUNCTION("""COMPUTED_VALUE"""),"Летом, набережная, Весенняя люблю эти места, красиво, чисто уютно. Не стыдно показать")</f>
        <v>Летом, набережная, Весенняя люблю эти места, красиво, чисто уютно. Не стыдно показать</v>
      </c>
      <c r="Y1667" s="6" t="str">
        <f>IFERROR(__xludf.DUMMYFUNCTION("""COMPUTED_VALUE"""),"Я помню чемпионат по бенди, помоему в 2007 или 2008 году")</f>
        <v>Я помню чемпионат по бенди, помоему в 2007 или 2008 году</v>
      </c>
      <c r="Z1667" s="6" t="str">
        <f>IFERROR(__xludf.DUMMYFUNCTION("""COMPUTED_VALUE"""),"Не могу вспомнить, может быть солют на День Победы")</f>
        <v>Не могу вспомнить, может быть солют на День Победы</v>
      </c>
      <c r="AA1667" s="6" t="str">
        <f>IFERROR(__xludf.DUMMYFUNCTION("""COMPUTED_VALUE"""),"Зимняя вишня, никогда не забудем, закрытие роддома в Кировском")</f>
        <v>Зимняя вишня, никогда не забудем, закрытие роддома в Кировском</v>
      </c>
      <c r="AB1667" s="6" t="str">
        <f>IFERROR(__xludf.DUMMYFUNCTION("""COMPUTED_VALUE"""),"Про сообщества не могу сразу сказать")</f>
        <v>Про сообщества не могу сразу сказать</v>
      </c>
      <c r="AC1667" s="6" t="str">
        <f>IFERROR(__xludf.DUMMYFUNCTION("""COMPUTED_VALUE"""),"Спортивные, семейные, ")</f>
        <v>Спортивные, семейные, </v>
      </c>
      <c r="AD166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1667" s="6" t="str">
        <f>IFERROR(__xludf.DUMMYFUNCTION("""COMPUTED_VALUE"""),"Женский")</f>
        <v>Женский</v>
      </c>
      <c r="AF1667" s="6" t="str">
        <f>IFERROR(__xludf.DUMMYFUNCTION("""COMPUTED_VALUE"""),"45-55")</f>
        <v>45-55</v>
      </c>
      <c r="AG1667" s="6"/>
      <c r="AH1667" s="6"/>
      <c r="AI1667" s="6"/>
      <c r="AJ1667" s="6"/>
      <c r="AK1667" s="6"/>
      <c r="AL1667" s="6"/>
      <c r="AM1667" s="6"/>
    </row>
    <row r="1668">
      <c r="A1668" s="6">
        <v>1667.0</v>
      </c>
      <c r="B1668" s="6" t="str">
        <f>IFERROR(__xludf.DUMMYFUNCTION("""COMPUTED_VALUE"""),"Работаю ")</f>
        <v>Работаю </v>
      </c>
      <c r="C1668" s="6" t="str">
        <f>IFERROR(__xludf.DUMMYFUNCTION("""COMPUTED_VALUE"""),"Сон")</f>
        <v>Сон</v>
      </c>
      <c r="D1668" s="6" t="str">
        <f>IFERROR(__xludf.DUMMYFUNCTION("""COMPUTED_VALUE"""),"Кировский")</f>
        <v>Кировский</v>
      </c>
      <c r="E1668" s="6" t="str">
        <f>IFERROR(__xludf.DUMMYFUNCTION("""COMPUTED_VALUE"""),"Инициативная, набежерная. ")</f>
        <v>Инициативная, набежерная. </v>
      </c>
      <c r="F1668" s="6" t="str">
        <f>IFERROR(__xludf.DUMMYFUNCTION("""COMPUTED_VALUE"""),"Живу здесь с рождения")</f>
        <v>Живу здесь с рождения</v>
      </c>
      <c r="G1668" s="6" t="str">
        <f>IFERROR(__xludf.DUMMYFUNCTION("""COMPUTED_VALUE"""),"В поля погулять с собакой ")</f>
        <v>В поля погулять с собакой </v>
      </c>
      <c r="H1668" s="6" t="str">
        <f>IFERROR(__xludf.DUMMYFUNCTION("""COMPUTED_VALUE"""),"Серость, скука, страшно, грязно, сложно. ")</f>
        <v>Серость, скука, страшно, грязно, сложно. </v>
      </c>
      <c r="I1668" s="6" t="str">
        <f>IFERROR(__xludf.DUMMYFUNCTION("""COMPUTED_VALUE"""),"Не знаю ")</f>
        <v>Не знаю </v>
      </c>
      <c r="J1668" s="6" t="str">
        <f>IFERROR(__xludf.DUMMYFUNCTION("""COMPUTED_VALUE"""),"Аман Тулеев")</f>
        <v>Аман Тулеев</v>
      </c>
      <c r="K1668" s="6" t="str">
        <f>IFERROR(__xludf.DUMMYFUNCTION("""COMPUTED_VALUE"""),"Крест на горе, кинотеатр Юбилейный, парк чудес. Прогуляла бы его погоду.
")</f>
        <v>Крест на горе, кинотеатр Юбилейный, парк чудес. Прогуляла бы его погоду.
</v>
      </c>
      <c r="L1668" s="6" t="str">
        <f>IFERROR(__xludf.DUMMYFUNCTION("""COMPUTED_VALUE"""),"Не знаю ")</f>
        <v>Не знаю </v>
      </c>
      <c r="M1668" s="6" t="str">
        <f>IFERROR(__xludf.DUMMYFUNCTION("""COMPUTED_VALUE"""),"Дышать не чем ")</f>
        <v>Дышать не чем </v>
      </c>
      <c r="N1668" s="6" t="str">
        <f>IFERROR(__xludf.DUMMYFUNCTION("""COMPUTED_VALUE"""),"Отличная экология, чистота, развитая линия транспорта общественного, доступность отдыха, дороги хорошего качества. ")</f>
        <v>Отличная экология, чистота, развитая линия транспорта общественного, доступность отдыха, дороги хорошего качества. </v>
      </c>
      <c r="O1668" s="6" t="str">
        <f>IFERROR(__xludf.DUMMYFUNCTION("""COMPUTED_VALUE"""),"Экологию, добавить зелени, делать обработку от клещей. ")</f>
        <v>Экологию, добавить зелени, делать обработку от клещей. </v>
      </c>
      <c r="P1668" s="6" t="str">
        <f>IFERROR(__xludf.DUMMYFUNCTION("""COMPUTED_VALUE"""),"Инстаграмм ")</f>
        <v>Инстаграмм </v>
      </c>
      <c r="Q1668"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бизнес-новости (средний чек/рекламные акции/запуск новых предприятий), результаты мест"&amp;"ных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668" s="6" t="str">
        <f>IFERROR(__xludf.DUMMYFUNCTION("""COMPUTED_VALUE"""),"9 мая ")</f>
        <v>9 мая </v>
      </c>
      <c r="S1668" s="6" t="str">
        <f>IFERROR(__xludf.DUMMYFUNCTION("""COMPUTED_VALUE"""),"Нет, не приходилось")</f>
        <v>Нет, не приходилось</v>
      </c>
      <c r="T1668" s="6" t="str">
        <f>IFERROR(__xludf.DUMMYFUNCTION("""COMPUTED_VALUE"""),"Ничего")</f>
        <v>Ничего</v>
      </c>
      <c r="U1668" s="6" t="str">
        <f>IFERROR(__xludf.DUMMYFUNCTION("""COMPUTED_VALUE"""),"Площадь советов ")</f>
        <v>Площадь советов </v>
      </c>
      <c r="V1668" s="6" t="str">
        <f>IFERROR(__xludf.DUMMYFUNCTION("""COMPUTED_VALUE"""),"Занимались уборкой, покраской площадок. ")</f>
        <v>Занимались уборкой, покраской площадок. </v>
      </c>
      <c r="W1668" s="6" t="str">
        <f>IFERROR(__xludf.DUMMYFUNCTION("""COMPUTED_VALUE"""),"Не общительные, запуганные. ")</f>
        <v>Не общительные, запуганные. </v>
      </c>
      <c r="X1668" s="6" t="str">
        <f>IFERROR(__xludf.DUMMYFUNCTION("""COMPUTED_VALUE"""),"По проспекту Ленина")</f>
        <v>По проспекту Ленина</v>
      </c>
      <c r="Y1668" s="6" t="str">
        <f>IFERROR(__xludf.DUMMYFUNCTION("""COMPUTED_VALUE"""),"Рок концерт в 2019 году, отремонтировали набережную в Кировском районе. ")</f>
        <v>Рок концерт в 2019 году, отремонтировали набережную в Кировском районе. </v>
      </c>
      <c r="Z1668" s="6" t="str">
        <f>IFERROR(__xludf.DUMMYFUNCTION("""COMPUTED_VALUE"""),"Рок концерт в 2019 году ")</f>
        <v>Рок концерт в 2019 году </v>
      </c>
      <c r="AA1668" s="6" t="str">
        <f>IFERROR(__xludf.DUMMYFUNCTION("""COMPUTED_VALUE"""),"Измени в количестве общественного транспорта, ")</f>
        <v>Измени в количестве общественного транспорта, </v>
      </c>
      <c r="AB1668" s="6" t="str">
        <f>IFERROR(__xludf.DUMMYFUNCTION("""COMPUTED_VALUE"""),"По защите животных ")</f>
        <v>По защите животных </v>
      </c>
      <c r="AC1668" s="6" t="str">
        <f>IFERROR(__xludf.DUMMYFUNCTION("""COMPUTED_VALUE"""),"Концерты, показы, конкурсы. ")</f>
        <v>Концерты, показы, конкурсы. </v>
      </c>
      <c r="AD166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68" s="6" t="str">
        <f>IFERROR(__xludf.DUMMYFUNCTION("""COMPUTED_VALUE"""),"Женский")</f>
        <v>Женский</v>
      </c>
      <c r="AF1668" s="6" t="str">
        <f>IFERROR(__xludf.DUMMYFUNCTION("""COMPUTED_VALUE"""),"18-29")</f>
        <v>18-29</v>
      </c>
      <c r="AG1668" s="6"/>
      <c r="AH1668" s="6"/>
      <c r="AI1668" s="6"/>
      <c r="AJ1668" s="6"/>
      <c r="AK1668" s="6"/>
      <c r="AL1668" s="6"/>
      <c r="AM1668" s="6"/>
    </row>
    <row r="1669">
      <c r="A1669" s="6">
        <v>1668.0</v>
      </c>
      <c r="B1669" s="6" t="str">
        <f>IFERROR(__xludf.DUMMYFUNCTION("""COMPUTED_VALUE"""),"На заслуженном отдыхе,  пенсионерка")</f>
        <v>На заслуженном отдыхе,  пенсионерка</v>
      </c>
      <c r="C1669" s="6" t="str">
        <f>IFERROR(__xludf.DUMMYFUNCTION("""COMPUTED_VALUE"""),"Кормлю, стерилизую за свой счёт бездомных котов")</f>
        <v>Кормлю, стерилизую за свой счёт бездомных котов</v>
      </c>
      <c r="D1669" s="6" t="str">
        <f>IFERROR(__xludf.DUMMYFUNCTION("""COMPUTED_VALUE"""),"В Ленинском ")</f>
        <v>В Ленинском </v>
      </c>
      <c r="E1669" s="6" t="str">
        <f>IFERROR(__xludf.DUMMYFUNCTION("""COMPUTED_VALUE"""),"Храм Казанской богоматери ")</f>
        <v>Храм Казанской богоматери </v>
      </c>
      <c r="F1669" s="6" t="str">
        <f>IFERROR(__xludf.DUMMYFUNCTION("""COMPUTED_VALUE"""),"Живу здесь с рождения")</f>
        <v>Живу здесь с рождения</v>
      </c>
      <c r="G1669" s="6" t="str">
        <f>IFERROR(__xludf.DUMMYFUNCTION("""COMPUTED_VALUE"""),"Бульвар Строителей, ул. Весенняя, набережная,  горсад. ")</f>
        <v>Бульвар Строителей, ул. Весенняя, набережная,  горсад. </v>
      </c>
      <c r="H1669" s="6" t="str">
        <f>IFERROR(__xludf.DUMMYFUNCTION("""COMPUTED_VALUE"""),"Любимый, родной, красивый.")</f>
        <v>Любимый, родной, красивый.</v>
      </c>
      <c r="I1669" s="6" t="str">
        <f>IFERROR(__xludf.DUMMYFUNCTION("""COMPUTED_VALUE"""),"Рутгерс С.Ю., ")</f>
        <v>Рутгерс С.Ю., </v>
      </c>
      <c r="J1669" s="6" t="str">
        <f>IFERROR(__xludf.DUMMYFUNCTION("""COMPUTED_VALUE"""),"Михайлов В.В., Тулеев А.Г., Заузелков В.И., Бобров А.К. ")</f>
        <v>Михайлов В.В., Тулеев А.Г., Заузелков В.И., Бобров А.К. </v>
      </c>
      <c r="K1669" s="6" t="str">
        <f>IFERROR(__xludf.DUMMYFUNCTION("""COMPUTED_VALUE"""),"Прогулка по Центральному району.")</f>
        <v>Прогулка по Центральному району.</v>
      </c>
      <c r="L1669" s="6" t="str">
        <f>IFERROR(__xludf.DUMMYFUNCTION("""COMPUTED_VALUE"""),"Где родился,  там и пригодился ")</f>
        <v>Где родился,  там и пригодился </v>
      </c>
      <c r="M1669" s="6" t="str">
        <f>IFERROR(__xludf.DUMMYFUNCTION("""COMPUTED_VALUE"""),"Затрудняюсь ответить")</f>
        <v>Затрудняюсь ответить</v>
      </c>
      <c r="N1669" s="6" t="str">
        <f>IFERROR(__xludf.DUMMYFUNCTION("""COMPUTED_VALUE"""),"Здесь живут мои родные и друзья.  Чистые улицы,  освещение, доступный транспорт.")</f>
        <v>Здесь живут мои родные и друзья.  Чистые улицы,  освещение, доступный транспорт.</v>
      </c>
      <c r="O1669" s="6" t="str">
        <f>IFERROR(__xludf.DUMMYFUNCTION("""COMPUTED_VALUE"""),"Организовать приюты для бездомных животных.  Построить бассейны,  увеличить зелёные зоны. Главное - решить проблему парковок на придомовых территориях.")</f>
        <v>Организовать приюты для бездомных животных.  Построить бассейны,  увеличить зелёные зоны. Главное - решить проблему парковок на придомовых территориях.</v>
      </c>
      <c r="P1669" s="6" t="str">
        <f>IFERROR(__xludf.DUMMYFUNCTION("""COMPUTED_VALUE"""),"Телевидение, Instagram. ")</f>
        <v>Телевидение, Instagram. </v>
      </c>
      <c r="Q1669" s="6" t="str">
        <f>IFERROR(__xludf.DUMMYFUNCTION("""COMPUTED_VALUE"""),"куда пойти в свободное время, интервью с местными творческими личностями, интервью с экспертами на разные темы (напишите в разделе Другое свои предложения)")</f>
        <v>куда пойти в свободное время, интервью с местными творческими личностями, интервью с экспертами на разные темы (напишите в разделе Другое свои предложения)</v>
      </c>
      <c r="R1669" s="6" t="str">
        <f>IFERROR(__xludf.DUMMYFUNCTION("""COMPUTED_VALUE""")," День победы")</f>
        <v> День победы</v>
      </c>
      <c r="S1669" s="6" t="str">
        <f>IFERROR(__xludf.DUMMYFUNCTION("""COMPUTED_VALUE"""),"Нет, не приходилось")</f>
        <v>Нет, не приходилось</v>
      </c>
      <c r="T1669" s="6" t="str">
        <f>IFERROR(__xludf.DUMMYFUNCTION("""COMPUTED_VALUE"""),"В XVII веке Михало Волков открыл месторождение каменного угля.")</f>
        <v>В XVII веке Михало Волков открыл месторождение каменного угля.</v>
      </c>
      <c r="U1669" s="6" t="str">
        <f>IFERROR(__xludf.DUMMYFUNCTION("""COMPUTED_VALUE"""),"Площадь Пушкина,  набережную  р. Томь с горсадом, ул. Весеннюю ")</f>
        <v>Площадь Пушкина,  набережную  р. Томь с горсадом, ул. Весеннюю </v>
      </c>
      <c r="V1669" s="6" t="str">
        <f>IFERROR(__xludf.DUMMYFUNCTION("""COMPUTED_VALUE"""),"Строили заводы,  жилые дома, дороги. Проводили благоустройство парков и улиц. Делали всё,  чтобы город был уютным.")</f>
        <v>Строили заводы,  жилые дома, дороги. Проводили благоустройство парков и улиц. Делали всё,  чтобы город был уютным.</v>
      </c>
      <c r="W1669" s="6" t="str">
        <f>IFERROR(__xludf.DUMMYFUNCTION("""COMPUTED_VALUE"""),"В большинстве образованные, доброжелательные, отзывчивые. Но, есть и озлобленные недоумки, это издержки образования и пропаганды (((")</f>
        <v>В большинстве образованные, доброжелательные, отзывчивые. Но, есть и озлобленные недоумки, это издержки образования и пропаганды (((</v>
      </c>
      <c r="X1669" s="6" t="str">
        <f>IFERROR(__xludf.DUMMYFUNCTION("""COMPUTED_VALUE"""),"По центральной части Центрального района ")</f>
        <v>По центральной части Центрального района </v>
      </c>
      <c r="Y1669" s="6" t="str">
        <f>IFERROR(__xludf.DUMMYFUNCTION("""COMPUTED_VALUE"""),"Затрудняюсь ответить ")</f>
        <v>Затрудняюсь ответить </v>
      </c>
      <c r="Z1669" s="6" t="str">
        <f>IFERROR(__xludf.DUMMYFUNCTION("""COMPUTED_VALUE"""),"Позитивных событий не заметила, больше печальных ")</f>
        <v>Позитивных событий не заметила, больше печальных </v>
      </c>
      <c r="AA1669" s="6" t="str">
        <f>IFERROR(__xludf.DUMMYFUNCTION("""COMPUTED_VALUE"""),"Разгул пропаганды от Навального ")</f>
        <v>Разгул пропаганды от Навального </v>
      </c>
      <c r="AB1669" s="6" t="str">
        <f>IFERROR(__xludf.DUMMYFUNCTION("""COMPUTED_VALUE"""),"Нет пожеланий ")</f>
        <v>Нет пожеланий </v>
      </c>
      <c r="AC1669" s="6" t="str">
        <f>IFERROR(__xludf.DUMMYFUNCTION("""COMPUTED_VALUE"""),"Спортивные и культурные ")</f>
        <v>Спортивные и культурные </v>
      </c>
      <c r="AD166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69" s="6" t="str">
        <f>IFERROR(__xludf.DUMMYFUNCTION("""COMPUTED_VALUE"""),"Женский")</f>
        <v>Женский</v>
      </c>
      <c r="AF1669" s="6" t="str">
        <f>IFERROR(__xludf.DUMMYFUNCTION("""COMPUTED_VALUE"""),"старше 55")</f>
        <v>старше 55</v>
      </c>
      <c r="AG1669" s="6"/>
      <c r="AH1669" s="6"/>
      <c r="AI1669" s="6"/>
      <c r="AJ1669" s="6"/>
      <c r="AK1669" s="6"/>
      <c r="AL1669" s="6"/>
      <c r="AM1669" s="6"/>
    </row>
    <row r="1670">
      <c r="A1670" s="6">
        <v>1669.0</v>
      </c>
      <c r="B1670" s="6" t="str">
        <f>IFERROR(__xludf.DUMMYFUNCTION("""COMPUTED_VALUE"""),"Работаю")</f>
        <v>Работаю</v>
      </c>
      <c r="C1670" s="6" t="str">
        <f>IFERROR(__xludf.DUMMYFUNCTION("""COMPUTED_VALUE"""),"Работа")</f>
        <v>Работа</v>
      </c>
      <c r="D1670" s="6" t="str">
        <f>IFERROR(__xludf.DUMMYFUNCTION("""COMPUTED_VALUE"""),"Центральный/Центр")</f>
        <v>Центральный/Центр</v>
      </c>
      <c r="E1670" s="6" t="str">
        <f>IFERROR(__xludf.DUMMYFUNCTION("""COMPUTED_VALUE"""),"Набережная, Весенняя, Стадион, площадь Волкова, Парк Ангелов, Цирк, Парк Жукова, Парк Чудес")</f>
        <v>Набережная, Весенняя, Стадион, площадь Волкова, Парк Ангелов, Цирк, Парк Жукова, Парк Чудес</v>
      </c>
      <c r="F1670" s="6" t="str">
        <f>IFERROR(__xludf.DUMMYFUNCTION("""COMPUTED_VALUE"""),"Живу здесь с рождения")</f>
        <v>Живу здесь с рождения</v>
      </c>
      <c r="G1670" s="6" t="str">
        <f>IFERROR(__xludf.DUMMYFUNCTION("""COMPUTED_VALUE"""),"Набережная, Весенняя")</f>
        <v>Набережная, Весенняя</v>
      </c>
      <c r="H1670" s="6" t="str">
        <f>IFERROR(__xludf.DUMMYFUNCTION("""COMPUTED_VALUE"""),"Кузбасс, Кемчик, Кирыч, Тулеев, КемГУ")</f>
        <v>Кузбасс, Кемчик, Кирыч, Тулеев, КемГУ</v>
      </c>
      <c r="I1670" s="6" t="str">
        <f>IFERROR(__xludf.DUMMYFUNCTION("""COMPUTED_VALUE"""),"Волков, Волошина")</f>
        <v>Волков, Волошина</v>
      </c>
      <c r="J1670" s="6" t="str">
        <f>IFERROR(__xludf.DUMMYFUNCTION("""COMPUTED_VALUE"""),"Машков, Панин, Леонов")</f>
        <v>Машков, Панин, Леонов</v>
      </c>
      <c r="K1670" s="6" t="str">
        <f>IFERROR(__xludf.DUMMYFUNCTION("""COMPUTED_VALUE"""),"Набережная, Парк Ангелов, Фонтан, Набережная Кировского района, Парк им. Веры Волошиной, Бульвар Строителей, Мечеть, Лесная Поляна")</f>
        <v>Набережная, Парк Ангелов, Фонтан, Набережная Кировского района, Парк им. Веры Волошиной, Бульвар Строителей, Мечеть, Лесная Поляна</v>
      </c>
      <c r="L1670" s="6" t="str">
        <f>IFERROR(__xludf.DUMMYFUNCTION("""COMPUTED_VALUE"""),"«Южный - никому не нужный»")</f>
        <v>«Южный - никому не нужный»</v>
      </c>
      <c r="M1670" s="6" t="str">
        <f>IFERROR(__xludf.DUMMYFUNCTION("""COMPUTED_VALUE"""),"Главчик, кирыч, три поросёнка")</f>
        <v>Главчик, кирыч, три поросёнка</v>
      </c>
      <c r="N1670" s="6" t="str">
        <f>IFERROR(__xludf.DUMMYFUNCTION("""COMPUTED_VALUE"""),"Чистота, растительность, хорошие дороги, школы и магазины а шаговой доступности, транспорт")</f>
        <v>Чистота, растительность, хорошие дороги, школы и магазины а шаговой доступности, транспорт</v>
      </c>
      <c r="O1670" s="6" t="str">
        <f>IFERROR(__xludf.DUMMYFUNCTION("""COMPUTED_VALUE"""),"Увеличить количество школ и детских садов, медицинских учреждений. Новый общественный транспорт. Больше деревьев и зелени. ")</f>
        <v>Увеличить количество школ и детских садов, медицинских учреждений. Новый общественный транспорт. Больше деревьев и зелени. </v>
      </c>
      <c r="P1670" s="6" t="str">
        <f>IFERROR(__xludf.DUMMYFUNCTION("""COMPUTED_VALUE"""),"Инстаграм-паблики, паблики вк (Типичный Кемерово, Инцидент Кемерово), Вести Кузбасс")</f>
        <v>Инстаграм-паблики, паблики вк (Типичный Кемерово, Инцидент Кемерово), Вести Кузбасс</v>
      </c>
      <c r="Q1670" s="6" t="str">
        <f>IFERROR(__xludf.DUMMYFUNCTION("""COMPUTED_VALUE"""),"городская афиша (кино/театр/концерты), интервью с местными творческими личностями, криминальные новости (происшествия/преступления)")</f>
        <v>городская афиша (кино/театр/концерты), интервью с местными творческими личностями, криминальные новости (происшествия/преступления)</v>
      </c>
      <c r="R1670" s="6" t="str">
        <f>IFERROR(__xludf.DUMMYFUNCTION("""COMPUTED_VALUE"""),"День города")</f>
        <v>День города</v>
      </c>
      <c r="S1670" s="6" t="str">
        <f>IFERROR(__xludf.DUMMYFUNCTION("""COMPUTED_VALUE"""),"Нет, не приходилось")</f>
        <v>Нет, не приходилось</v>
      </c>
      <c r="T1670" s="6" t="str">
        <f>IFERROR(__xludf.DUMMYFUNCTION("""COMPUTED_VALUE"""),"Зимняя Вишня. ")</f>
        <v>Зимняя Вишня. </v>
      </c>
      <c r="U1670" s="6" t="str">
        <f>IFERROR(__xludf.DUMMYFUNCTION("""COMPUTED_VALUE"""),"Площадь Советов")</f>
        <v>Площадь Советов</v>
      </c>
      <c r="V1670" s="6" t="str">
        <f>IFERROR(__xludf.DUMMYFUNCTION("""COMPUTED_VALUE"""),"Облагораживали город, строили новые здания")</f>
        <v>Облагораживали город, строили новые здания</v>
      </c>
      <c r="W1670" s="6" t="str">
        <f>IFERROR(__xludf.DUMMYFUNCTION("""COMPUTED_VALUE"""),"Раздражительные, ворчливые, жадные ")</f>
        <v>Раздражительные, ворчливые, жадные </v>
      </c>
      <c r="X1670" s="6" t="str">
        <f>IFERROR(__xludf.DUMMYFUNCTION("""COMPUTED_VALUE"""),"Площадь Волкова - Весенняя - Набережная - Красная - Парк Ангелов")</f>
        <v>Площадь Волкова - Весенняя - Набережная - Красная - Парк Ангелов</v>
      </c>
      <c r="Y1670" s="6" t="str">
        <f>IFERROR(__xludf.DUMMYFUNCTION("""COMPUTED_VALUE"""),"Не знаю")</f>
        <v>Не знаю</v>
      </c>
      <c r="Z1670" s="6" t="str">
        <f>IFERROR(__xludf.DUMMYFUNCTION("""COMPUTED_VALUE"""),"Не помню ")</f>
        <v>Не помню </v>
      </c>
      <c r="AA1670" s="6" t="str">
        <f>IFERROR(__xludf.DUMMYFUNCTION("""COMPUTED_VALUE"""),"Не помню")</f>
        <v>Не помню</v>
      </c>
      <c r="AB1670" s="6" t="str">
        <f>IFERROR(__xludf.DUMMYFUNCTION("""COMPUTED_VALUE"""),"Никаких")</f>
        <v>Никаких</v>
      </c>
      <c r="AC1670" s="6" t="str">
        <f>IFERROR(__xludf.DUMMYFUNCTION("""COMPUTED_VALUE"""),"Не знаю")</f>
        <v>Не знаю</v>
      </c>
      <c r="AD167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70" s="6" t="str">
        <f>IFERROR(__xludf.DUMMYFUNCTION("""COMPUTED_VALUE"""),"Женский")</f>
        <v>Женский</v>
      </c>
      <c r="AF1670" s="6" t="str">
        <f>IFERROR(__xludf.DUMMYFUNCTION("""COMPUTED_VALUE"""),"18-29")</f>
        <v>18-29</v>
      </c>
      <c r="AG1670" s="6"/>
      <c r="AH1670" s="6"/>
      <c r="AI1670" s="6"/>
      <c r="AJ1670" s="6"/>
      <c r="AK1670" s="6"/>
      <c r="AL1670" s="6"/>
      <c r="AM1670" s="6"/>
    </row>
    <row r="1671">
      <c r="A1671" s="6">
        <v>1670.0</v>
      </c>
      <c r="B1671" s="6" t="str">
        <f>IFERROR(__xludf.DUMMYFUNCTION("""COMPUTED_VALUE"""),"Структура мвд")</f>
        <v>Структура мвд</v>
      </c>
      <c r="C1671" s="6" t="str">
        <f>IFERROR(__xludf.DUMMYFUNCTION("""COMPUTED_VALUE"""),"Есть, алмазная вышевка и крестом, рисование картин по номерам")</f>
        <v>Есть, алмазная вышевка и крестом, рисование картин по номерам</v>
      </c>
      <c r="D1671" s="6" t="str">
        <f>IFERROR(__xludf.DUMMYFUNCTION("""COMPUTED_VALUE"""),"Южный")</f>
        <v>Южный</v>
      </c>
      <c r="E1671" s="6" t="str">
        <f>IFERROR(__xludf.DUMMYFUNCTION("""COMPUTED_VALUE"""),"Бульвар на ул. Патриотов")</f>
        <v>Бульвар на ул. Патриотов</v>
      </c>
      <c r="F1671" s="6" t="str">
        <f>IFERROR(__xludf.DUMMYFUNCTION("""COMPUTED_VALUE"""),"Живу здесь с рождения")</f>
        <v>Живу здесь с рождения</v>
      </c>
      <c r="G1671" s="6" t="str">
        <f>IFERROR(__xludf.DUMMYFUNCTION("""COMPUTED_VALUE"""),"В парк чудес ")</f>
        <v>В парк чудес </v>
      </c>
      <c r="H1671" s="6" t="str">
        <f>IFERROR(__xludf.DUMMYFUNCTION("""COMPUTED_VALUE"""),"Погибает, загибается ")</f>
        <v>Погибает, загибается </v>
      </c>
      <c r="I1671" s="6" t="str">
        <f>IFERROR(__xludf.DUMMYFUNCTION("""COMPUTED_VALUE"""),"Волков леонов, ")</f>
        <v>Волков леонов, </v>
      </c>
      <c r="J1671" s="6" t="str">
        <f>IFERROR(__xludf.DUMMYFUNCTION("""COMPUTED_VALUE"""),"Тулеев в 90-е годы")</f>
        <v>Тулеев в 90-е годы</v>
      </c>
      <c r="K1671" s="6" t="str">
        <f>IFERROR(__xludf.DUMMYFUNCTION("""COMPUTED_VALUE"""),"Томская писаница, памятник шахтерам")</f>
        <v>Томская писаница, памятник шахтерам</v>
      </c>
      <c r="L1671" s="6" t="str">
        <f>IFERROR(__xludf.DUMMYFUNCTION("""COMPUTED_VALUE"""),"Не знаю ")</f>
        <v>Не знаю </v>
      </c>
      <c r="M1671" s="6" t="str">
        <f>IFERROR(__xludf.DUMMYFUNCTION("""COMPUTED_VALUE"""),"Нет")</f>
        <v>Нет</v>
      </c>
      <c r="N1671" s="6" t="str">
        <f>IFERROR(__xludf.DUMMYFUNCTION("""COMPUTED_VALUE"""),"Хорошие дороги, развитая инфраструктура ")</f>
        <v>Хорошие дороги, развитая инфраструктура </v>
      </c>
      <c r="O1671" s="6" t="str">
        <f>IFERROR(__xludf.DUMMYFUNCTION("""COMPUTED_VALUE"""),"Правительство ")</f>
        <v>Правительство </v>
      </c>
      <c r="P1671" s="6" t="str">
        <f>IFERROR(__xludf.DUMMYFUNCTION("""COMPUTED_VALUE"""),"Интернет")</f>
        <v>Интернет</v>
      </c>
      <c r="Q1671"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1671" s="6" t="str">
        <f>IFERROR(__xludf.DUMMYFUNCTION("""COMPUTED_VALUE"""),"День города день шахтера")</f>
        <v>День города день шахтера</v>
      </c>
      <c r="S1671" s="6" t="str">
        <f>IFERROR(__xludf.DUMMYFUNCTION("""COMPUTED_VALUE"""),"Нет, не приходилось")</f>
        <v>Нет, не приходилось</v>
      </c>
      <c r="T1671" s="6" t="str">
        <f>IFERROR(__xludf.DUMMYFUNCTION("""COMPUTED_VALUE"""),"Уголь")</f>
        <v>Уголь</v>
      </c>
      <c r="U1671" s="6" t="str">
        <f>IFERROR(__xludf.DUMMYFUNCTION("""COMPUTED_VALUE"""),"Площадь совета")</f>
        <v>Площадь совета</v>
      </c>
      <c r="V1671" s="6" t="str">
        <f>IFERROR(__xludf.DUMMYFUNCTION("""COMPUTED_VALUE"""),"Нечего")</f>
        <v>Нечего</v>
      </c>
      <c r="W1671" s="6" t="str">
        <f>IFERROR(__xludf.DUMMYFUNCTION("""COMPUTED_VALUE"""),"Пофигисты")</f>
        <v>Пофигисты</v>
      </c>
      <c r="X1671" s="6" t="str">
        <f>IFERROR(__xludf.DUMMYFUNCTION("""COMPUTED_VALUE"""),"Центр")</f>
        <v>Центр</v>
      </c>
      <c r="Y1671" s="6" t="str">
        <f>IFERROR(__xludf.DUMMYFUNCTION("""COMPUTED_VALUE"""),"Нечего")</f>
        <v>Нечего</v>
      </c>
      <c r="Z1671" s="6" t="str">
        <f>IFERROR(__xludf.DUMMYFUNCTION("""COMPUTED_VALUE"""),"Нечего")</f>
        <v>Нечего</v>
      </c>
      <c r="AA1671" s="6" t="str">
        <f>IFERROR(__xludf.DUMMYFUNCTION("""COMPUTED_VALUE"""),"Зимняя вишня")</f>
        <v>Зимняя вишня</v>
      </c>
      <c r="AB1671" s="6" t="str">
        <f>IFERROR(__xludf.DUMMYFUNCTION("""COMPUTED_VALUE"""),"Не знаю ")</f>
        <v>Не знаю </v>
      </c>
      <c r="AC1671" s="6" t="str">
        <f>IFERROR(__xludf.DUMMYFUNCTION("""COMPUTED_VALUE"""),"Не знаю")</f>
        <v>Не знаю</v>
      </c>
      <c r="AD167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71" s="6" t="str">
        <f>IFERROR(__xludf.DUMMYFUNCTION("""COMPUTED_VALUE"""),"Женский")</f>
        <v>Женский</v>
      </c>
      <c r="AF1671" s="6" t="str">
        <f>IFERROR(__xludf.DUMMYFUNCTION("""COMPUTED_VALUE"""),"30-44")</f>
        <v>30-44</v>
      </c>
      <c r="AG1671" s="6"/>
      <c r="AH1671" s="6"/>
      <c r="AI1671" s="6"/>
      <c r="AJ1671" s="6"/>
      <c r="AK1671" s="6"/>
      <c r="AL1671" s="6"/>
      <c r="AM1671" s="6"/>
    </row>
    <row r="1672">
      <c r="A1672" s="6">
        <v>1671.0</v>
      </c>
      <c r="B1672" s="6" t="str">
        <f>IFERROR(__xludf.DUMMYFUNCTION("""COMPUTED_VALUE"""),"Студентка")</f>
        <v>Студентка</v>
      </c>
      <c r="C1672" s="6" t="str">
        <f>IFERROR(__xludf.DUMMYFUNCTION("""COMPUTED_VALUE"""),"Рисование, плавание")</f>
        <v>Рисование, плавание</v>
      </c>
      <c r="D1672" s="6" t="str">
        <f>IFERROR(__xludf.DUMMYFUNCTION("""COMPUTED_VALUE"""),"Заводский, ФПК")</f>
        <v>Заводский, ФПК</v>
      </c>
      <c r="E1672" s="6" t="str">
        <f>IFERROR(__xludf.DUMMYFUNCTION("""COMPUTED_VALUE"""),"Гринвич, сквер новорожденных")</f>
        <v>Гринвич, сквер новорожденных</v>
      </c>
      <c r="F1672" s="6" t="str">
        <f>IFERROR(__xludf.DUMMYFUNCTION("""COMPUTED_VALUE"""),"Живу здесь с рождения")</f>
        <v>Живу здесь с рождения</v>
      </c>
      <c r="G1672" s="6" t="str">
        <f>IFERROR(__xludf.DUMMYFUNCTION("""COMPUTED_VALUE"""),"Набережная, комсомольский парк, лапландия, улица ленина")</f>
        <v>Набережная, комсомольский парк, лапландия, улица ленина</v>
      </c>
      <c r="H1672" s="6" t="str">
        <f>IFERROR(__xludf.DUMMYFUNCTION("""COMPUTED_VALUE"""),"Шахтеры, дым, деревья, дороги, панельные дома")</f>
        <v>Шахтеры, дым, деревья, дороги, панельные дома</v>
      </c>
      <c r="I1672" s="6" t="str">
        <f>IFERROR(__xludf.DUMMYFUNCTION("""COMPUTED_VALUE"""),"М. Волков, А. Тулеев")</f>
        <v>М. Волков, А. Тулеев</v>
      </c>
      <c r="J1672" s="6" t="str">
        <f>IFERROR(__xludf.DUMMYFUNCTION("""COMPUTED_VALUE"""),"А. Тулеев")</f>
        <v>А. Тулеев</v>
      </c>
      <c r="K1672" s="6" t="str">
        <f>IFERROR(__xludf.DUMMYFUNCTION("""COMPUTED_VALUE"""),"Набережная")</f>
        <v>Набережная</v>
      </c>
      <c r="L1672" s="6" t="str">
        <f>IFERROR(__xludf.DUMMYFUNCTION("""COMPUTED_VALUE"""),"Нет")</f>
        <v>Нет</v>
      </c>
      <c r="M1672" s="6" t="str">
        <f>IFERROR(__xludf.DUMMYFUNCTION("""COMPUTED_VALUE"""),"Нет")</f>
        <v>Нет</v>
      </c>
      <c r="N1672" s="6" t="str">
        <f>IFERROR(__xludf.DUMMYFUNCTION("""COMPUTED_VALUE"""),"Наличие велодорожек, новый общественный транспорт , экологичность, наличие подземных парковок в жилых домах, хорошие детские площадки")</f>
        <v>Наличие велодорожек, новый общественный транспорт , экологичность, наличие подземных парковок в жилых домах, хорошие детские площадки</v>
      </c>
      <c r="O1672" s="6" t="str">
        <f>IFERROR(__xludf.DUMMYFUNCTION("""COMPUTED_VALUE"""),"Починить спортивные и детские площадки , закрасить надписи сайтов по продаже наркотиков, сделать теплые остановки от холодов во время зимы, велодорожки по всему городу, обновить общественный транспорт.")</f>
        <v>Починить спортивные и детские площадки , закрасить надписи сайтов по продаже наркотиков, сделать теплые остановки от холодов во время зимы, велодорожки по всему городу, обновить общественный транспорт.</v>
      </c>
      <c r="P1672" s="6" t="str">
        <f>IFERROR(__xludf.DUMMYFUNCTION("""COMPUTED_VALUE"""),"Вконтакте, инстаграмм")</f>
        <v>Вконтакте, инстаграмм</v>
      </c>
      <c r="Q1672"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чек/рекла"&amp;"мные акции/запуск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672" s="6" t="str">
        <f>IFERROR(__xludf.DUMMYFUNCTION("""COMPUTED_VALUE"""),"Новый год, Рождество, 8 марта, день дурака, пасха, масленница, день молодежи, 9 мая, 1мая, иван купала, день шахтера, день города, 1 сентября")</f>
        <v>Новый год, Рождество, 8 марта, день дурака, пасха, масленница, день молодежи, 9 мая, 1мая, иван купала, день шахтера, день города, 1 сентября</v>
      </c>
      <c r="S1672" s="6" t="str">
        <f>IFERROR(__xludf.DUMMYFUNCTION("""COMPUTED_VALUE"""),"Нет, не приходилось")</f>
        <v>Нет, не приходилось</v>
      </c>
      <c r="T1672" s="6" t="str">
        <f>IFERROR(__xludf.DUMMYFUNCTION("""COMPUTED_VALUE"""),"Музей красная горка, Томская писаница")</f>
        <v>Музей красная горка, Томская писаница</v>
      </c>
      <c r="U1672" s="6" t="str">
        <f>IFERROR(__xludf.DUMMYFUNCTION("""COMPUTED_VALUE"""),"Парк чудес, главная площадь, вокзал")</f>
        <v>Парк чудес, главная площадь, вокзал</v>
      </c>
      <c r="V1672" s="6" t="str">
        <f>IFERROR(__xludf.DUMMYFUNCTION("""COMPUTED_VALUE"""),"Строили новые здания и предприятия")</f>
        <v>Строили новые здания и предприятия</v>
      </c>
      <c r="W1672" s="6" t="str">
        <f>IFERROR(__xludf.DUMMYFUNCTION("""COMPUTED_VALUE"""),"Душевные , скромные , сдержанные, угрюмые и холодные на первый взгляд, с хорошим чувством юмора")</f>
        <v>Душевные , скромные , сдержанные, угрюмые и холодные на первый взгляд, с хорошим чувством юмора</v>
      </c>
      <c r="X1672" s="6" t="str">
        <f>IFERROR(__xludf.DUMMYFUNCTION("""COMPUTED_VALUE"""),"Знаменский собор - Цирк- парк Жукова - главная площадь - парк чудес - надережная- мост -сосновый бор")</f>
        <v>Знаменский собор - Цирк- парк Жукова - главная площадь - парк чудес - надережная- мост -сосновый бор</v>
      </c>
      <c r="Y1672" s="6" t="str">
        <f>IFERROR(__xludf.DUMMYFUNCTION("""COMPUTED_VALUE"""),"Находка угля")</f>
        <v>Находка угля</v>
      </c>
      <c r="Z1672" s="6" t="str">
        <f>IFERROR(__xludf.DUMMYFUNCTION("""COMPUTED_VALUE"""),"Карантин ")</f>
        <v>Карантин </v>
      </c>
      <c r="AA1672" s="6" t="str">
        <f>IFERROR(__xludf.DUMMYFUNCTION("""COMPUTED_VALUE"""),"Карантин из-за короновируса")</f>
        <v>Карантин из-за короновируса</v>
      </c>
      <c r="AB1672" s="6" t="str">
        <f>IFERROR(__xludf.DUMMYFUNCTION("""COMPUTED_VALUE"""),"Знакомств , туристических , клуба по интересам ")</f>
        <v>Знакомств , туристических , клуба по интересам </v>
      </c>
      <c r="AC1672" s="6" t="str">
        <f>IFERROR(__xludf.DUMMYFUNCTION("""COMPUTED_VALUE"""),"Музыкальные фестивали , фестивали по благотворительности, крупные секондхенды, веломарафон , марафон по бегу, ")</f>
        <v>Музыкальные фестивали , фестивали по благотворительности, крупные секондхенды, веломарафон , марафон по бегу, </v>
      </c>
      <c r="AD167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72" s="6" t="str">
        <f>IFERROR(__xludf.DUMMYFUNCTION("""COMPUTED_VALUE"""),"Женский")</f>
        <v>Женский</v>
      </c>
      <c r="AF1672" s="6" t="str">
        <f>IFERROR(__xludf.DUMMYFUNCTION("""COMPUTED_VALUE"""),"18-29")</f>
        <v>18-29</v>
      </c>
      <c r="AG1672" s="6"/>
      <c r="AH1672" s="6"/>
      <c r="AI1672" s="6"/>
      <c r="AJ1672" s="6"/>
      <c r="AK1672" s="6"/>
      <c r="AL1672" s="6"/>
      <c r="AM1672" s="6"/>
    </row>
    <row r="1673">
      <c r="A1673" s="6">
        <v>1672.0</v>
      </c>
      <c r="B1673" s="6" t="str">
        <f>IFERROR(__xludf.DUMMYFUNCTION("""COMPUTED_VALUE"""),"Бухгалтер ")</f>
        <v>Бухгалтер </v>
      </c>
      <c r="C1673" s="6" t="str">
        <f>IFERROR(__xludf.DUMMYFUNCTION("""COMPUTED_VALUE"""),"Нет")</f>
        <v>Нет</v>
      </c>
      <c r="D1673" s="6" t="str">
        <f>IFERROR(__xludf.DUMMYFUNCTION("""COMPUTED_VALUE"""),"Центр")</f>
        <v>Центр</v>
      </c>
      <c r="E1673" s="6" t="str">
        <f>IFERROR(__xludf.DUMMYFUNCTION("""COMPUTED_VALUE"""),"Набережная Томи")</f>
        <v>Набережная Томи</v>
      </c>
      <c r="F1673" s="6" t="str">
        <f>IFERROR(__xludf.DUMMYFUNCTION("""COMPUTED_VALUE"""),"Живу здесь с рождения")</f>
        <v>Живу здесь с рождения</v>
      </c>
      <c r="G1673" s="6" t="str">
        <f>IFERROR(__xludf.DUMMYFUNCTION("""COMPUTED_VALUE"""),"Кадетское училище кольцо Химиков-Комсомольский Сухово")</f>
        <v>Кадетское училище кольцо Химиков-Комсомольский Сухово</v>
      </c>
      <c r="H1673" s="6" t="str">
        <f>IFERROR(__xludf.DUMMYFUNCTION("""COMPUTED_VALUE"""),"Бор, набережная, антошка, бульвар, газовая камера")</f>
        <v>Бор, набережная, антошка, бульвар, газовая камера</v>
      </c>
      <c r="I1673" s="6" t="str">
        <f>IFERROR(__xludf.DUMMYFUNCTION("""COMPUTED_VALUE"""),"Подгорбунский, Мартемьянов, Карпенко")</f>
        <v>Подгорбунский, Мартемьянов, Карпенко</v>
      </c>
      <c r="J1673" s="6" t="str">
        <f>IFERROR(__xludf.DUMMYFUNCTION("""COMPUTED_VALUE"""),"Шагиахметов")</f>
        <v>Шагиахметов</v>
      </c>
      <c r="K1673" s="6" t="str">
        <f>IFERROR(__xludf.DUMMYFUNCTION("""COMPUTED_VALUE"""),"Памятник Эрнста Неизвестного")</f>
        <v>Памятник Эрнста Неизвестного</v>
      </c>
      <c r="L1673" s="6" t="str">
        <f>IFERROR(__xludf.DUMMYFUNCTION("""COMPUTED_VALUE"""),"Девушки идут в мороз по Весенней и едят мороженое ")</f>
        <v>Девушки идут в мороз по Весенней и едят мороженое </v>
      </c>
      <c r="M1673" s="6" t="str">
        <f>IFERROR(__xludf.DUMMYFUNCTION("""COMPUTED_VALUE"""),"Человек из Кемерова (с)")</f>
        <v>Человек из Кемерова (с)</v>
      </c>
      <c r="N1673" s="6" t="str">
        <f>IFERROR(__xludf.DUMMYFUNCTION("""COMPUTED_VALUE"""),"Хорошая экология, обустроенные набережные всех рек, протяженность прогулочных территорий, красивые деревья, кустарники и цветники, проработка дорожных трафиков")</f>
        <v>Хорошая экология, обустроенные набережные всех рек, протяженность прогулочных территорий, красивые деревья, кустарники и цветники, проработка дорожных трафиков</v>
      </c>
      <c r="O1673" s="6" t="str">
        <f>IFERROR(__xludf.DUMMYFUNCTION("""COMPUTED_VALUE"""),"Отношение к насаждениям, обустройство газонов и тротуаров")</f>
        <v>Отношение к насаждениям, обустройство газонов и тротуаров</v>
      </c>
      <c r="P1673" s="6" t="str">
        <f>IFERROR(__xludf.DUMMYFUNCTION("""COMPUTED_VALUE"""),"Фейсбук")</f>
        <v>Фейсбук</v>
      </c>
      <c r="Q1673" s="6" t="str">
        <f>IFERROR(__xludf.DUMMYFUNCTION("""COMPUTED_VALUE"""),"городская афиша (кино/театр/концерты)")</f>
        <v>городская афиша (кино/театр/концерты)</v>
      </c>
      <c r="R1673" s="6" t="str">
        <f>IFERROR(__xludf.DUMMYFUNCTION("""COMPUTED_VALUE"""),"День города но в новом формате")</f>
        <v>День города но в новом формате</v>
      </c>
      <c r="S1673" s="6" t="str">
        <f>IFERROR(__xludf.DUMMYFUNCTION("""COMPUTED_VALUE"""),"Нет, не приходилось")</f>
        <v>Нет, не приходилось</v>
      </c>
      <c r="T1673" s="6" t="str">
        <f>IFERROR(__xludf.DUMMYFUNCTION("""COMPUTED_VALUE"""),"Загазованность")</f>
        <v>Загазованность</v>
      </c>
      <c r="U1673" s="6" t="str">
        <f>IFERROR(__xludf.DUMMYFUNCTION("""COMPUTED_VALUE"""),"Красная горка")</f>
        <v>Красная горка</v>
      </c>
      <c r="V1673" s="6" t="str">
        <f>IFERROR(__xludf.DUMMYFUNCTION("""COMPUTED_VALUE"""),"Старый центр ")</f>
        <v>Старый центр </v>
      </c>
      <c r="W1673" s="6" t="str">
        <f>IFERROR(__xludf.DUMMYFUNCTION("""COMPUTED_VALUE"""),"Нет ответа")</f>
        <v>Нет ответа</v>
      </c>
      <c r="X1673" s="6" t="str">
        <f>IFERROR(__xludf.DUMMYFUNCTION("""COMPUTED_VALUE"""),"Весенняя горсад набережная ")</f>
        <v>Весенняя горсад набережная </v>
      </c>
      <c r="Y1673" s="6" t="str">
        <f>IFERROR(__xludf.DUMMYFUNCTION("""COMPUTED_VALUE"""),"АИК")</f>
        <v>АИК</v>
      </c>
      <c r="Z1673" s="6" t="str">
        <f>IFERROR(__xludf.DUMMYFUNCTION("""COMPUTED_VALUE"""),"Концерт Гребенщикова")</f>
        <v>Концерт Гребенщикова</v>
      </c>
      <c r="AA1673" s="6" t="str">
        <f>IFERROR(__xludf.DUMMYFUNCTION("""COMPUTED_VALUE"""),"Уничтожение деревьев")</f>
        <v>Уничтожение деревьев</v>
      </c>
      <c r="AB1673" s="6" t="str">
        <f>IFERROR(__xludf.DUMMYFUNCTION("""COMPUTED_VALUE"""),"Нет ответа")</f>
        <v>Нет ответа</v>
      </c>
      <c r="AC1673" s="6" t="str">
        <f>IFERROR(__xludf.DUMMYFUNCTION("""COMPUTED_VALUE"""),"Фильтры от выбросов")</f>
        <v>Фильтры от выбросов</v>
      </c>
      <c r="AD167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73" s="6" t="str">
        <f>IFERROR(__xludf.DUMMYFUNCTION("""COMPUTED_VALUE"""),"Женский")</f>
        <v>Женский</v>
      </c>
      <c r="AF1673" s="6" t="str">
        <f>IFERROR(__xludf.DUMMYFUNCTION("""COMPUTED_VALUE"""),"старше 55")</f>
        <v>старше 55</v>
      </c>
      <c r="AG1673" s="6"/>
      <c r="AH1673" s="6"/>
      <c r="AI1673" s="6"/>
      <c r="AJ1673" s="6"/>
      <c r="AK1673" s="6"/>
      <c r="AL1673" s="6"/>
      <c r="AM1673" s="6"/>
    </row>
    <row r="1674">
      <c r="A1674" s="6">
        <v>1673.0</v>
      </c>
      <c r="B1674" s="6" t="str">
        <f>IFERROR(__xludf.DUMMYFUNCTION("""COMPUTED_VALUE"""),"Работаю и получаю высшее образование ")</f>
        <v>Работаю и получаю высшее образование </v>
      </c>
      <c r="C1674" s="6" t="str">
        <f>IFERROR(__xludf.DUMMYFUNCTION("""COMPUTED_VALUE"""),"Прогуливать я по городу и торговым центрам ")</f>
        <v>Прогуливать я по городу и торговым центрам </v>
      </c>
      <c r="D1674" s="6" t="str">
        <f>IFERROR(__xludf.DUMMYFUNCTION("""COMPUTED_VALUE"""),"Кировский ")</f>
        <v>Кировский </v>
      </c>
      <c r="E1674" s="6" t="str">
        <f>IFERROR(__xludf.DUMMYFUNCTION("""COMPUTED_VALUE"""),"Знаковых мест нет кроме набережной,гуляя по которой видны одни заводы ")</f>
        <v>Знаковых мест нет кроме набережной,гуляя по которой видны одни заводы </v>
      </c>
      <c r="F1674" s="6" t="str">
        <f>IFERROR(__xludf.DUMMYFUNCTION("""COMPUTED_VALUE"""),"Живу здесь с рождения")</f>
        <v>Живу здесь с рождения</v>
      </c>
      <c r="G1674" s="6" t="str">
        <f>IFERROR(__xludf.DUMMYFUNCTION("""COMPUTED_VALUE"""),"В кафе ")</f>
        <v>В кафе </v>
      </c>
      <c r="H1674" s="6" t="str">
        <f>IFERROR(__xludf.DUMMYFUNCTION("""COMPUTED_VALUE"""),"Грязь, плохая экология, старые больницы, дорогие продукты, низкая зарплата ")</f>
        <v>Грязь, плохая экология, старые больницы, дорогие продукты, низкая зарплата </v>
      </c>
      <c r="I1674" s="6" t="str">
        <f>IFERROR(__xludf.DUMMYFUNCTION("""COMPUTED_VALUE"""),"Елена малышева")</f>
        <v>Елена малышева</v>
      </c>
      <c r="J1674" s="6" t="str">
        <f>IFERROR(__xludf.DUMMYFUNCTION("""COMPUTED_VALUE"""),"-")</f>
        <v>-</v>
      </c>
      <c r="K1674" s="6" t="str">
        <f>IFERROR(__xludf.DUMMYFUNCTION("""COMPUTED_VALUE"""),"Новые объекты, которые строят на притомском ")</f>
        <v>Новые объекты, которые строят на притомском </v>
      </c>
      <c r="L1674" s="6" t="str">
        <f>IFERROR(__xludf.DUMMYFUNCTION("""COMPUTED_VALUE"""),"-")</f>
        <v>-</v>
      </c>
      <c r="M1674" s="6" t="str">
        <f>IFERROR(__xludf.DUMMYFUNCTION("""COMPUTED_VALUE"""),"-")</f>
        <v>-</v>
      </c>
      <c r="N1674" s="6" t="str">
        <f>IFERROR(__xludf.DUMMYFUNCTION("""COMPUTED_VALUE"""),"Хорошая экология, чистота, будущие возможности для детей, красивые парки и прогулочные зоны, детские площадки в кировском ")</f>
        <v>Хорошая экология, чистота, будущие возможности для детей, красивые парки и прогулочные зоны, детские площадки в кировском </v>
      </c>
      <c r="O1674" s="6" t="str">
        <f>IFERROR(__xludf.DUMMYFUNCTION("""COMPUTED_VALUE"""),"Экология и чистота. Город очень пыльный, необходимо мыть дороги. Наконец заменить старый общественный транспорт, который постоянно ломается. И действительно работать над городом, а не наводить чистоту на главных улицах перед приездом высокопоставленных ли"&amp;"ц. ")</f>
        <v>Экология и чистота. Город очень пыльный, необходимо мыть дороги. Наконец заменить старый общественный транспорт, который постоянно ломается. И действительно работать над городом, а не наводить чистоту на главных улицах перед приездом высокопоставленных лиц. </v>
      </c>
      <c r="P1674" s="6" t="str">
        <f>IFERROR(__xludf.DUMMYFUNCTION("""COMPUTED_VALUE"""),"Инстаграм ")</f>
        <v>Инстаграм </v>
      </c>
      <c r="Q1674"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1674" s="6" t="str">
        <f>IFERROR(__xludf.DUMMYFUNCTION("""COMPUTED_VALUE"""),"-")</f>
        <v>-</v>
      </c>
      <c r="S1674" s="6" t="str">
        <f>IFERROR(__xludf.DUMMYFUNCTION("""COMPUTED_VALUE"""),"Организация фестиваля красок холи ")</f>
        <v>Организация фестиваля красок холи </v>
      </c>
      <c r="T1674" s="6" t="str">
        <f>IFERROR(__xludf.DUMMYFUNCTION("""COMPUTED_VALUE"""),"Уникального н чего нет")</f>
        <v>Уникального н чего нет</v>
      </c>
      <c r="U1674" s="6" t="str">
        <f>IFERROR(__xludf.DUMMYFUNCTION("""COMPUTED_VALUE"""),"Ул Кирова")</f>
        <v>Ул Кирова</v>
      </c>
      <c r="V1674" s="6" t="str">
        <f>IFERROR(__xludf.DUMMYFUNCTION("""COMPUTED_VALUE"""),"-")</f>
        <v>-</v>
      </c>
      <c r="W1674" s="6" t="str">
        <f>IFERROR(__xludf.DUMMYFUNCTION("""COMPUTED_VALUE"""),"50:50. 
Серые и унылые обычные люди с средней з/п 30тр.
Люди с доходом 70тр.и более, которые могут позволить себе больше ")</f>
        <v>50:50. 
Серые и унылые обычные люди с средней з/п 30тр.
Люди с доходом 70тр.и более, которые могут позволить себе больше </v>
      </c>
      <c r="X1674" s="6" t="str">
        <f>IFERROR(__xludf.DUMMYFUNCTION("""COMPUTED_VALUE"""),"Новые объекты на притомском в том числе и новая площадь для проведения массовых мероприятий ")</f>
        <v>Новые объекты на притомском в том числе и новая площадь для проведения массовых мероприятий </v>
      </c>
      <c r="Y1674" s="6" t="str">
        <f>IFERROR(__xludf.DUMMYFUNCTION("""COMPUTED_VALUE"""),"Пожар в Зимней вишне ")</f>
        <v>Пожар в Зимней вишне </v>
      </c>
      <c r="Z1674" s="6" t="str">
        <f>IFERROR(__xludf.DUMMYFUNCTION("""COMPUTED_VALUE"""),"-")</f>
        <v>-</v>
      </c>
      <c r="AA1674" s="6" t="str">
        <f>IFERROR(__xludf.DUMMYFUNCTION("""COMPUTED_VALUE"""),"Из-за коронавируса приостановил я приём многих врачей ")</f>
        <v>Из-за коронавируса приостановил я приём многих врачей </v>
      </c>
      <c r="AB1674" s="6" t="str">
        <f>IFERROR(__xludf.DUMMYFUNCTION("""COMPUTED_VALUE"""),"Не хватает чистой экологии")</f>
        <v>Не хватает чистой экологии</v>
      </c>
      <c r="AC1674" s="6" t="str">
        <f>IFERROR(__xludf.DUMMYFUNCTION("""COMPUTED_VALUE"""),"Общественные мероприятия в центре города ")</f>
        <v>Общественные мероприятия в центре города </v>
      </c>
      <c r="AD1674"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674" s="6" t="str">
        <f>IFERROR(__xludf.DUMMYFUNCTION("""COMPUTED_VALUE"""),"Женский")</f>
        <v>Женский</v>
      </c>
      <c r="AF1674" s="6" t="str">
        <f>IFERROR(__xludf.DUMMYFUNCTION("""COMPUTED_VALUE"""),"18-29")</f>
        <v>18-29</v>
      </c>
      <c r="AG1674" s="6"/>
      <c r="AH1674" s="6"/>
      <c r="AI1674" s="6"/>
      <c r="AJ1674" s="6"/>
      <c r="AK1674" s="6"/>
      <c r="AL1674" s="6"/>
      <c r="AM1674" s="6"/>
    </row>
    <row r="1675">
      <c r="A1675" s="6">
        <v>1674.0</v>
      </c>
      <c r="B1675" s="6" t="str">
        <f>IFERROR(__xludf.DUMMYFUNCTION("""COMPUTED_VALUE"""),"Наемный работник, студент")</f>
        <v>Наемный работник, студент</v>
      </c>
      <c r="C1675" s="6" t="str">
        <f>IFERROR(__xludf.DUMMYFUNCTION("""COMPUTED_VALUE"""),"Рисование, моделирование")</f>
        <v>Рисование, моделирование</v>
      </c>
      <c r="D1675" s="6" t="str">
        <f>IFERROR(__xludf.DUMMYFUNCTION("""COMPUTED_VALUE"""),"Я называю свой город Кем")</f>
        <v>Я называю свой город Кем</v>
      </c>
      <c r="E1675" s="6" t="str">
        <f>IFERROR(__xludf.DUMMYFUNCTION("""COMPUTED_VALUE"""),"Изначально я жила в Кировском районе, там из знаковых мест неплохая набережная, пляж
На данный момент живу в Рудничном районе, не могу сказать какое место здесь знаковое, в Рудничном районе мало «душевности»")</f>
        <v>Изначально я жила в Кировском районе, там из знаковых мест неплохая набережная, пляж
На данный момент живу в Рудничном районе, не могу сказать какое место здесь знаковое, в Рудничном районе мало «душевности»</v>
      </c>
      <c r="F1675" s="6" t="str">
        <f>IFERROR(__xludf.DUMMYFUNCTION("""COMPUTED_VALUE"""),"Живу здесь с рождения")</f>
        <v>Живу здесь с рождения</v>
      </c>
      <c r="G1675" s="6" t="str">
        <f>IFERROR(__xludf.DUMMYFUNCTION("""COMPUTED_VALUE"""),"Люблю весеннюю улицу, тц лапландия, набережную кузнецкого моста, смотровая площадка с памятником шахтеру")</f>
        <v>Люблю весеннюю улицу, тц лапландия, набережную кузнецкого моста, смотровая площадка с памятником шахтеру</v>
      </c>
      <c r="H1675" s="6" t="str">
        <f>IFERROR(__xludf.DUMMYFUNCTION("""COMPUTED_VALUE"""),"Маленький, уютный, стремящийся")</f>
        <v>Маленький, уютный, стремящийся</v>
      </c>
      <c r="I1675" s="6" t="str">
        <f>IFERROR(__xludf.DUMMYFUNCTION("""COMPUTED_VALUE"""),"Я не знаю никого")</f>
        <v>Я не знаю никого</v>
      </c>
      <c r="J1675" s="6" t="str">
        <f>IFERROR(__xludf.DUMMYFUNCTION("""COMPUTED_VALUE"""),"Я не знаю выдающихся  современников, в основном уважаемые люди города  это люди связанные с бьюти-сферой, блогеры. Но для меня лично никого выделить не могу
Актер Виктор Логинов вызывает у меня уважение, так как добился достаточных высот будучи из маленьк"&amp;"ого города, и даже из дальнего района этого города")</f>
        <v>Я не знаю выдающихся  современников, в основном уважаемые люди города  это люди связанные с бьюти-сферой, блогеры. Но для меня лично никого выделить не могу
Актер Виктор Логинов вызывает у меня уважение, так как добился достаточных высот будучи из маленького города, и даже из дальнего района этого города</v>
      </c>
      <c r="K1675" s="6" t="str">
        <f>IFERROR(__xludf.DUMMYFUNCTION("""COMPUTED_VALUE"""),"Я бы точно показала набережную и весеннюю улицу, также арт-пространство «Клумба», ресторан «Port42”, смотровую площадку с памятником шахтеру")</f>
        <v>Я бы точно показала набережную и весеннюю улицу, также арт-пространство «Клумба», ресторан «Port42”, смотровую площадку с памятником шахтеру</v>
      </c>
      <c r="L1675" s="6" t="str">
        <f>IFERROR(__xludf.DUMMYFUNCTION("""COMPUTED_VALUE"""),"Не знаю таковых")</f>
        <v>Не знаю таковых</v>
      </c>
      <c r="M1675" s="6" t="str">
        <f>IFERROR(__xludf.DUMMYFUNCTION("""COMPUTED_VALUE"""),"Не знаю")</f>
        <v>Не знаю</v>
      </c>
      <c r="N1675" s="6" t="str">
        <f>IFERROR(__xludf.DUMMYFUNCTION("""COMPUTED_VALUE"""),"Комфортный общественный транспорт и его круглосуточный режим работы
чистота
удобные пешеходные переходы
грамотное озеленение 
Маленькое количество рекламы 
")</f>
        <v>Комфортный общественный транспорт и его круглосуточный режим работы
чистота
удобные пешеходные переходы
грамотное озеленение 
Маленькое количество рекламы 
</v>
      </c>
      <c r="O1675" s="6" t="str">
        <f>IFERROR(__xludf.DUMMYFUNCTION("""COMPUTED_VALUE"""),"Общественный транспорт. Это очень неразвитая система, где с некоторых районов трудно уехать с утра, либо ехать в маленькой маршрутке-пазике как в консервной банке. Также вечерние маршруты, в некоторые районы в вечернее время транспорт или не ездит или езд"&amp;"ит раз в час; в сибирских условиях при закрытых магазинах в 10 вечера стоять на холодной остановке час это буквально пытка, должны быть либо отапливаемые  остановки, либо более частые вечерние рейсы")</f>
        <v>Общественный транспорт. Это очень неразвитая система, где с некоторых районов трудно уехать с утра, либо ехать в маленькой маршрутке-пазике как в консервной банке. Также вечерние маршруты, в некоторые районы в вечернее время транспорт или не ездит или ездит раз в час; в сибирских условиях при закрытых магазинах в 10 вечера стоять на холодной остановке час это буквально пытка, должны быть либо отапливаемые  остановки, либо более частые вечерние рейсы</v>
      </c>
      <c r="P1675" s="6" t="str">
        <f>IFERROR(__xludf.DUMMYFUNCTION("""COMPUTED_VALUE"""),"Группа Типичный Кемерово, Инстаграм также часто выводит таргетированную рекламу")</f>
        <v>Группа Типичный Кемерово, Инстаграм также часто выводит таргетированную рекламу</v>
      </c>
      <c r="Q1675" s="6" t="str">
        <f>IFERROR(__xludf.DUMMYFUNCTION("""COMPUTED_VALUE"""),"где вкусно поесть/открытие новых кафе/ресторанов, криминальные новости (происшествия/преступления), новости про новые профессии/куда поступать/вакансии")</f>
        <v>где вкусно поесть/открытие новых кафе/ресторанов, криминальные новости (происшествия/преступления), новости про новые профессии/куда поступать/вакансии</v>
      </c>
      <c r="R1675" s="6" t="str">
        <f>IFERROR(__xludf.DUMMYFUNCTION("""COMPUTED_VALUE"""),"Таких нет")</f>
        <v>Таких нет</v>
      </c>
      <c r="S1675" s="6" t="str">
        <f>IFERROR(__xludf.DUMMYFUNCTION("""COMPUTED_VALUE"""),"Нет, не приходилось")</f>
        <v>Нет, не приходилось</v>
      </c>
      <c r="T1675" s="6" t="str">
        <f>IFERROR(__xludf.DUMMYFUNCTION("""COMPUTED_VALUE"""),"Кемерово на данный момент известный город, но известность эта печальная, в основном связанная с катастрофой в зимней вишне. Я на данный момент не могу выделить какой-либо ценности и уникальности, город пока среднестатистический")</f>
        <v>Кемерово на данный момент известный город, но известность эта печальная, в основном связанная с катастрофой в зимней вишне. Я на данный момент не могу выделить какой-либо ценности и уникальности, город пока среднестатистический</v>
      </c>
      <c r="U1675" s="6" t="str">
        <f>IFERROR(__xludf.DUMMYFUNCTION("""COMPUTED_VALUE"""),"Весеннюю улицу ")</f>
        <v>Весеннюю улицу </v>
      </c>
      <c r="V1675" s="6" t="str">
        <f>IFERROR(__xludf.DUMMYFUNCTION("""COMPUTED_VALUE"""),"Отстроили этот город из буквально деревни")</f>
        <v>Отстроили этот город из буквально деревни</v>
      </c>
      <c r="W1675" s="6" t="str">
        <f>IFERROR(__xludf.DUMMYFUNCTION("""COMPUTED_VALUE"""),"Жители города душевные, сильные духом, стремящие к лучшему, умеющие преодолевать трудности")</f>
        <v>Жители города душевные, сильные духом, стремящие к лучшему, умеющие преодолевать трудности</v>
      </c>
      <c r="X1675" s="6" t="str">
        <f>IFERROR(__xludf.DUMMYFUNCTION("""COMPUTED_VALUE"""),"Красная горка- Весенняя-Набережная")</f>
        <v>Красная горка- Весенняя-Набережная</v>
      </c>
      <c r="Y1675" s="6" t="str">
        <f>IFERROR(__xludf.DUMMYFUNCTION("""COMPUTED_VALUE"""),"Я не знаю")</f>
        <v>Я не знаю</v>
      </c>
      <c r="Z1675" s="6" t="str">
        <f>IFERROR(__xludf.DUMMYFUNCTION("""COMPUTED_VALUE"""),"Празднование 9 мая")</f>
        <v>Празднование 9 мая</v>
      </c>
      <c r="AA1675" s="6" t="str">
        <f>IFERROR(__xludf.DUMMYFUNCTION("""COMPUTED_VALUE"""),"Никакие. Я мало за таким слежу")</f>
        <v>Никакие. Я мало за таким слежу</v>
      </c>
      <c r="AB1675" s="6" t="str">
        <f>IFERROR(__xludf.DUMMYFUNCTION("""COMPUTED_VALUE"""),"Экологических")</f>
        <v>Экологических</v>
      </c>
      <c r="AC1675" s="6" t="str">
        <f>IFERROR(__xludf.DUMMYFUNCTION("""COMPUTED_VALUE"""),"Различных массовых городских фестивалей, экологические акции")</f>
        <v>Различных массовых городских фестивалей, экологические акции</v>
      </c>
      <c r="AD167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75" s="6" t="str">
        <f>IFERROR(__xludf.DUMMYFUNCTION("""COMPUTED_VALUE"""),"Женский")</f>
        <v>Женский</v>
      </c>
      <c r="AF1675" s="6" t="str">
        <f>IFERROR(__xludf.DUMMYFUNCTION("""COMPUTED_VALUE"""),"18-29")</f>
        <v>18-29</v>
      </c>
      <c r="AG1675" s="6"/>
      <c r="AH1675" s="6"/>
      <c r="AI1675" s="6"/>
      <c r="AJ1675" s="6"/>
      <c r="AK1675" s="6"/>
      <c r="AL1675" s="6"/>
      <c r="AM1675" s="6"/>
    </row>
    <row r="1676">
      <c r="A1676" s="6">
        <v>1675.0</v>
      </c>
      <c r="B1676" s="6" t="str">
        <f>IFERROR(__xludf.DUMMYFUNCTION("""COMPUTED_VALUE"""),"Финансовая деятельность")</f>
        <v>Финансовая деятельность</v>
      </c>
      <c r="C1676" s="6" t="str">
        <f>IFERROR(__xludf.DUMMYFUNCTION("""COMPUTED_VALUE"""),"Горные лыжи")</f>
        <v>Горные лыжи</v>
      </c>
      <c r="D1676" s="6" t="str">
        <f>IFERROR(__xludf.DUMMYFUNCTION("""COMPUTED_VALUE"""),"Ленинский район")</f>
        <v>Ленинский район</v>
      </c>
      <c r="E1676" s="6" t="str">
        <f>IFERROR(__xludf.DUMMYFUNCTION("""COMPUTED_VALUE"""),"Бульвар строителей")</f>
        <v>Бульвар строителей</v>
      </c>
      <c r="F1676" s="6" t="str">
        <f>IFERROR(__xludf.DUMMYFUNCTION("""COMPUTED_VALUE"""),"Переехал сюда из другого места (откуда? укажите в графе другое), Из Барнаула")</f>
        <v>Переехал сюда из другого места (откуда? укажите в графе другое), Из Барнаула</v>
      </c>
      <c r="G1676" s="6" t="str">
        <f>IFERROR(__xludf.DUMMYFUNCTION("""COMPUTED_VALUE"""),"Бульвар строителей")</f>
        <v>Бульвар строителей</v>
      </c>
      <c r="H1676" s="6" t="str">
        <f>IFERROR(__xludf.DUMMYFUNCTION("""COMPUTED_VALUE"""),"Чистый, комфортный, загазованный, хорошие дороги и развязки, зелёный. ")</f>
        <v>Чистый, комфортный, загазованный, хорошие дороги и развязки, зелёный. </v>
      </c>
      <c r="I1676" s="6" t="str">
        <f>IFERROR(__xludf.DUMMYFUNCTION("""COMPUTED_VALUE"""),"Волков")</f>
        <v>Волков</v>
      </c>
      <c r="J1676" s="6" t="str">
        <f>IFERROR(__xludf.DUMMYFUNCTION("""COMPUTED_VALUE"""),"Леонов")</f>
        <v>Леонов</v>
      </c>
      <c r="K1676" s="6" t="str">
        <f>IFERROR(__xludf.DUMMYFUNCTION("""COMPUTED_VALUE"""),"Памятник шахтеру")</f>
        <v>Памятник шахтеру</v>
      </c>
      <c r="L1676" s="6" t="str">
        <f>IFERROR(__xludf.DUMMYFUNCTION("""COMPUTED_VALUE"""),"Не знаю таких")</f>
        <v>Не знаю таких</v>
      </c>
      <c r="M1676" s="6" t="str">
        <f>IFERROR(__xludf.DUMMYFUNCTION("""COMPUTED_VALUE"""),"Щегловка")</f>
        <v>Щегловка</v>
      </c>
      <c r="N1676" s="6" t="str">
        <f>IFERROR(__xludf.DUMMYFUNCTION("""COMPUTED_VALUE"""),"Хорошие дорожные развязки, чистый воздух, много деревьев, наличие спортивных и культурных объектов")</f>
        <v>Хорошие дорожные развязки, чистый воздух, много деревьев, наличие спортивных и культурных объектов</v>
      </c>
      <c r="O1676" s="6" t="str">
        <f>IFERROR(__xludf.DUMMYFUNCTION("""COMPUTED_VALUE"""),"Экология ")</f>
        <v>Экология </v>
      </c>
      <c r="P1676" s="6" t="str">
        <f>IFERROR(__xludf.DUMMYFUNCTION("""COMPUTED_VALUE"""),"Фейсбук")</f>
        <v>Фейсбук</v>
      </c>
      <c r="Q1676" s="6" t="str">
        <f>IFERROR(__xludf.DUMMYFUNCTION("""COMPUTED_VALUE"""),"культурные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и"&amp;"сследований (рейтинги/аналитика/тенденции), интервью с экспертами на разные темы (напишите в разделе Другое свои предложения)")</f>
        <v>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676" s="6" t="str">
        <f>IFERROR(__xludf.DUMMYFUNCTION("""COMPUTED_VALUE"""),"Не важны")</f>
        <v>Не важны</v>
      </c>
      <c r="S1676" s="6" t="str">
        <f>IFERROR(__xludf.DUMMYFUNCTION("""COMPUTED_VALUE"""),"Обращался в редакции городских газет, телевидения, радио")</f>
        <v>Обращался в редакции городских газет, телевидения, радио</v>
      </c>
      <c r="T1676" s="6" t="str">
        <f>IFERROR(__xludf.DUMMYFUNCTION("""COMPUTED_VALUE"""),"Ничего уникального")</f>
        <v>Ничего уникального</v>
      </c>
      <c r="U1676" s="6" t="str">
        <f>IFERROR(__xludf.DUMMYFUNCTION("""COMPUTED_VALUE"""),"Площадь Советов")</f>
        <v>Площадь Советов</v>
      </c>
      <c r="V1676" s="6" t="str">
        <f>IFERROR(__xludf.DUMMYFUNCTION("""COMPUTED_VALUE"""),"Построили широкие улицы. ")</f>
        <v>Построили широкие улицы. </v>
      </c>
      <c r="W1676" s="6" t="str">
        <f>IFERROR(__xludf.DUMMYFUNCTION("""COMPUTED_VALUE"""),"Агрессивные")</f>
        <v>Агрессивные</v>
      </c>
      <c r="X1676" s="6" t="str">
        <f>IFERROR(__xludf.DUMMYFUNCTION("""COMPUTED_VALUE"""),"Старый центр")</f>
        <v>Старый центр</v>
      </c>
      <c r="Y1676" s="6" t="str">
        <f>IFERROR(__xludf.DUMMYFUNCTION("""COMPUTED_VALUE"""),"Затрудняюсь ответить")</f>
        <v>Затрудняюсь ответить</v>
      </c>
      <c r="Z1676" s="6" t="str">
        <f>IFERROR(__xludf.DUMMYFUNCTION("""COMPUTED_VALUE"""),"Затрудняюсь ответить")</f>
        <v>Затрудняюсь ответить</v>
      </c>
      <c r="AA1676" s="6" t="str">
        <f>IFERROR(__xludf.DUMMYFUNCTION("""COMPUTED_VALUE"""),"Жестокие разгоны несанкционированных  митингов. Трагедия Зимней Вишни. Запрет на выступление группы ДДТ. ")</f>
        <v>Жестокие разгоны несанкционированных  митингов. Трагедия Зимней Вишни. Запрет на выступление группы ДДТ. </v>
      </c>
      <c r="AB1676" s="6" t="str">
        <f>IFERROR(__xludf.DUMMYFUNCTION("""COMPUTED_VALUE"""),"Культурных ")</f>
        <v>Культурных </v>
      </c>
      <c r="AC1676" s="6" t="str">
        <f>IFERROR(__xludf.DUMMYFUNCTION("""COMPUTED_VALUE"""),"Гастролей известных московских театров")</f>
        <v>Гастролей известных московских театров</v>
      </c>
      <c r="AD167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76" s="6" t="str">
        <f>IFERROR(__xludf.DUMMYFUNCTION("""COMPUTED_VALUE"""),"Мужской")</f>
        <v>Мужской</v>
      </c>
      <c r="AF1676" s="6" t="str">
        <f>IFERROR(__xludf.DUMMYFUNCTION("""COMPUTED_VALUE"""),"30-44")</f>
        <v>30-44</v>
      </c>
      <c r="AG1676" s="6"/>
      <c r="AH1676" s="6"/>
      <c r="AI1676" s="6"/>
      <c r="AJ1676" s="6"/>
      <c r="AK1676" s="6"/>
      <c r="AL1676" s="6"/>
      <c r="AM1676" s="6"/>
    </row>
    <row r="1677">
      <c r="A1677" s="6">
        <v>1676.0</v>
      </c>
      <c r="B1677" s="6" t="str">
        <f>IFERROR(__xludf.DUMMYFUNCTION("""COMPUTED_VALUE"""),"Сотрудник МВД ")</f>
        <v>Сотрудник МВД </v>
      </c>
      <c r="C1677" s="6" t="str">
        <f>IFERROR(__xludf.DUMMYFUNCTION("""COMPUTED_VALUE"""),"Нет")</f>
        <v>Нет</v>
      </c>
      <c r="D1677" s="6" t="str">
        <f>IFERROR(__xludf.DUMMYFUNCTION("""COMPUTED_VALUE"""),"Кировский ")</f>
        <v>Кировский </v>
      </c>
      <c r="E1677" s="6" t="str">
        <f>IFERROR(__xludf.DUMMYFUNCTION("""COMPUTED_VALUE"""),"Берёзовая роща, набережная, сквер Леонова ")</f>
        <v>Берёзовая роща, набережная, сквер Леонова </v>
      </c>
      <c r="F1677" s="6" t="str">
        <f>IFERROR(__xludf.DUMMYFUNCTION("""COMPUTED_VALUE"""),"Живу здесь с рождения")</f>
        <v>Живу здесь с рождения</v>
      </c>
      <c r="G1677" s="6" t="str">
        <f>IFERROR(__xludf.DUMMYFUNCTION("""COMPUTED_VALUE"""),"Центральная набережная, парк чудес")</f>
        <v>Центральная набережная, парк чудес</v>
      </c>
      <c r="H1677" s="6" t="str">
        <f>IFERROR(__xludf.DUMMYFUNCTION("""COMPUTED_VALUE"""),"Грязновато, серость, любимый город")</f>
        <v>Грязновато, серость, любимый город</v>
      </c>
      <c r="I1677" s="6" t="str">
        <f>IFERROR(__xludf.DUMMYFUNCTION("""COMPUTED_VALUE"""),"Леонов")</f>
        <v>Леонов</v>
      </c>
      <c r="J1677" s="6" t="str">
        <f>IFERROR(__xludf.DUMMYFUNCTION("""COMPUTED_VALUE"""),"Не знаю")</f>
        <v>Не знаю</v>
      </c>
      <c r="K1677" s="6" t="str">
        <f>IFERROR(__xludf.DUMMYFUNCTION("""COMPUTED_VALUE"""),"Красная горка, центральная набережная")</f>
        <v>Красная горка, центральная набережная</v>
      </c>
      <c r="L1677" s="6" t="str">
        <f>IFERROR(__xludf.DUMMYFUNCTION("""COMPUTED_VALUE"""),"Не знаю")</f>
        <v>Не знаю</v>
      </c>
      <c r="M1677" s="6" t="str">
        <f>IFERROR(__xludf.DUMMYFUNCTION("""COMPUTED_VALUE"""),"Нет")</f>
        <v>Нет</v>
      </c>
      <c r="N1677" s="6" t="str">
        <f>IFERROR(__xludf.DUMMYFUNCTION("""COMPUTED_VALUE"""),"Небольшой, легко добраться в любую точку практически")</f>
        <v>Небольшой, легко добраться в любую точку практически</v>
      </c>
      <c r="O1677" s="6" t="str">
        <f>IFERROR(__xludf.DUMMYFUNCTION("""COMPUTED_VALUE"""),"Чаще убирать улицы, ремонт дорог, больше детских площадок ")</f>
        <v>Чаще убирать улицы, ремонт дорог, больше детских площадок </v>
      </c>
      <c r="P1677" s="6" t="str">
        <f>IFERROR(__xludf.DUMMYFUNCTION("""COMPUTED_VALUE"""),"В контакте, инстаграм")</f>
        <v>В контакте, инстаграм</v>
      </c>
      <c r="Q1677"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v>
      </c>
      <c r="R1677" s="6" t="str">
        <f>IFERROR(__xludf.DUMMYFUNCTION("""COMPUTED_VALUE"""),"9 мая, 12 июня")</f>
        <v>9 мая, 12 июня</v>
      </c>
      <c r="S1677" s="6" t="str">
        <f>IFERROR(__xludf.DUMMYFUNCTION("""COMPUTED_VALUE"""),"Через социальные сети (Какие? Укажите в графе другое), Вк")</f>
        <v>Через социальные сети (Какие? Укажите в графе другое), Вк</v>
      </c>
      <c r="T1677" s="6" t="str">
        <f>IFERROR(__xludf.DUMMYFUNCTION("""COMPUTED_VALUE"""),"Как столица угольного Кузбасса")</f>
        <v>Как столица угольного Кузбасса</v>
      </c>
      <c r="U1677" s="6" t="str">
        <f>IFERROR(__xludf.DUMMYFUNCTION("""COMPUTED_VALUE"""),"Парк чудес, драмтеатр")</f>
        <v>Парк чудес, драмтеатр</v>
      </c>
      <c r="V1677" s="6" t="str">
        <f>IFERROR(__xludf.DUMMYFUNCTION("""COMPUTED_VALUE"""),"Не знаю")</f>
        <v>Не знаю</v>
      </c>
      <c r="W1677" s="6" t="str">
        <f>IFERROR(__xludf.DUMMYFUNCTION("""COMPUTED_VALUE"""),"Добрые, отзывчивые")</f>
        <v>Добрые, отзывчивые</v>
      </c>
      <c r="X1677" s="6" t="str">
        <f>IFERROR(__xludf.DUMMYFUNCTION("""COMPUTED_VALUE"""),"Кирова")</f>
        <v>Кирова</v>
      </c>
      <c r="Y1677" s="6" t="str">
        <f>IFERROR(__xludf.DUMMYFUNCTION("""COMPUTED_VALUE"""),"Не знаю")</f>
        <v>Не знаю</v>
      </c>
      <c r="Z1677" s="6" t="str">
        <f>IFERROR(__xludf.DUMMYFUNCTION("""COMPUTED_VALUE"""),"Нет таких")</f>
        <v>Нет таких</v>
      </c>
      <c r="AA1677" s="6" t="str">
        <f>IFERROR(__xludf.DUMMYFUNCTION("""COMPUTED_VALUE"""),"Нет")</f>
        <v>Нет</v>
      </c>
      <c r="AB1677" s="6" t="str">
        <f>IFERROR(__xludf.DUMMYFUNCTION("""COMPUTED_VALUE"""),"Нет")</f>
        <v>Нет</v>
      </c>
      <c r="AC1677" s="6" t="str">
        <f>IFERROR(__xludf.DUMMYFUNCTION("""COMPUTED_VALUE"""),"Больше уличных мероприятий")</f>
        <v>Больше уличных мероприятий</v>
      </c>
      <c r="AD167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77" s="6" t="str">
        <f>IFERROR(__xludf.DUMMYFUNCTION("""COMPUTED_VALUE"""),"Женский")</f>
        <v>Женский</v>
      </c>
      <c r="AF1677" s="6" t="str">
        <f>IFERROR(__xludf.DUMMYFUNCTION("""COMPUTED_VALUE"""),"30-44")</f>
        <v>30-44</v>
      </c>
      <c r="AG1677" s="6"/>
      <c r="AH1677" s="6"/>
      <c r="AI1677" s="6"/>
      <c r="AJ1677" s="6"/>
      <c r="AK1677" s="6"/>
      <c r="AL1677" s="6"/>
      <c r="AM1677" s="6"/>
    </row>
    <row r="1678">
      <c r="A1678" s="6">
        <v>1677.0</v>
      </c>
      <c r="B1678" s="6" t="str">
        <f>IFERROR(__xludf.DUMMYFUNCTION("""COMPUTED_VALUE"""),"Пенсирнер")</f>
        <v>Пенсирнер</v>
      </c>
      <c r="C1678" s="6" t="str">
        <f>IFERROR(__xludf.DUMMYFUNCTION("""COMPUTED_VALUE"""),"Нет")</f>
        <v>Нет</v>
      </c>
      <c r="D1678" s="6" t="str">
        <f>IFERROR(__xludf.DUMMYFUNCTION("""COMPUTED_VALUE"""),"Ленинский.")</f>
        <v>Ленинский.</v>
      </c>
      <c r="E1678" s="6" t="str">
        <f>IFERROR(__xludf.DUMMYFUNCTION("""COMPUTED_VALUE"""),"Б-р Строителей.линейный парк.Красное озеро")</f>
        <v>Б-р Строителей.линейный парк.Красное озеро</v>
      </c>
      <c r="F1678" s="6" t="str">
        <f>IFERROR(__xludf.DUMMYFUNCTION("""COMPUTED_VALUE"""),"Живу здесь с рождения")</f>
        <v>Живу здесь с рождения</v>
      </c>
      <c r="G1678" s="6" t="str">
        <f>IFERROR(__xludf.DUMMYFUNCTION("""COMPUTED_VALUE"""),"Б-р Строителей .Парк.Губернаторский парк пр.Химиков..красное озеро.набережная реки Томь.ул.Весенняя.")</f>
        <v>Б-р Строителей .Парк.Губернаторский парк пр.Химиков..красное озеро.набережная реки Томь.ул.Весенняя.</v>
      </c>
      <c r="H1678" s="6" t="str">
        <f>IFERROR(__xludf.DUMMYFUNCTION("""COMPUTED_VALUE"""),"Большая деревня.шахты.рудники.химия.")</f>
        <v>Большая деревня.шахты.рудники.химия.</v>
      </c>
      <c r="I1678" s="6" t="str">
        <f>IFERROR(__xludf.DUMMYFUNCTION("""COMPUTED_VALUE"""),"А Леонов.В.Волошина.врач Подгорбунский.")</f>
        <v>А Леонов.В.Волошина.врач Подгорбунский.</v>
      </c>
      <c r="J1678" s="6" t="str">
        <f>IFERROR(__xludf.DUMMYFUNCTION("""COMPUTED_VALUE"""),"В.Михайлов.")</f>
        <v>В.Михайлов.</v>
      </c>
      <c r="K1678" s="6" t="str">
        <f>IFERROR(__xludf.DUMMYFUNCTION("""COMPUTED_VALUE"""),"Парк ангелов.Ботанический сад.")</f>
        <v>Парк ангелов.Ботанический сад.</v>
      </c>
      <c r="L1678" s="6" t="str">
        <f>IFERROR(__xludf.DUMMYFUNCTION("""COMPUTED_VALUE"""),"Мы из Кемерова...А это где?  Это Куэбасс!А знаем .знаем....А.Тулеев ..")</f>
        <v>Мы из Кемерова...А это где?  Это Куэбасс!А знаем .знаем....А.Тулеев ..</v>
      </c>
      <c r="M1678" s="6" t="str">
        <f>IFERROR(__xludf.DUMMYFUNCTION("""COMPUTED_VALUE"""),"Черное золото..")</f>
        <v>Черное золото..</v>
      </c>
      <c r="N1678" s="6" t="str">
        <f>IFERROR(__xludf.DUMMYFUNCTION("""COMPUTED_VALUE"""),"Экология..крупный транспортный узел ..к сожалению это не про наш город..крупные торговые центры..хотя бы Планета или Сити Молл.Современный парк отдыха..опять не про наш город..Аквапарк..кафе.ресторанов также нет.")</f>
        <v>Экология..крупный транспортный узел ..к сожалению это не про наш город..крупные торговые центры..хотя бы Планета или Сити Молл.Современный парк отдыха..опять не про наш город..Аквапарк..кафе.ресторанов также нет.</v>
      </c>
      <c r="O1678" s="6" t="str">
        <f>IFERROR(__xludf.DUMMYFUNCTION("""COMPUTED_VALUE"""),"Все.что в предыдущем ответе.")</f>
        <v>Все.что в предыдущем ответе.</v>
      </c>
      <c r="P1678" s="6" t="str">
        <f>IFERROR(__xludf.DUMMYFUNCTION("""COMPUTED_VALUE"""),"Интернет..")</f>
        <v>Интернет..</v>
      </c>
      <c r="Q1678"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криминальные новости (происшествия/преступления), новости про новые профессии/куда поступать"&amp;"/вакансии,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интервью с местными творческими личностями,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678" s="6" t="str">
        <f>IFERROR(__xludf.DUMMYFUNCTION("""COMPUTED_VALUE"""),"День города.")</f>
        <v>День города.</v>
      </c>
      <c r="S1678" s="6" t="str">
        <f>IFERROR(__xludf.DUMMYFUNCTION("""COMPUTED_VALUE"""),"Нет, не приходилось")</f>
        <v>Нет, не приходилось</v>
      </c>
      <c r="T1678" s="6" t="str">
        <f>IFERROR(__xludf.DUMMYFUNCTION("""COMPUTED_VALUE"""),"Люди..мало вежливых .культурных .простых..все озабоченные.хмурые.злые..")</f>
        <v>Люди..мало вежливых .культурных .простых..все озабоченные.хмурые.злые..</v>
      </c>
      <c r="U1678" s="6" t="str">
        <f>IFERROR(__xludf.DUMMYFUNCTION("""COMPUTED_VALUE"""),"Парк Чудес..с аттракционами 20 летней давности..набережную Томи..ул Весеннюю.")</f>
        <v>Парк Чудес..с аттракционами 20 летней давности..набережную Томи..ул Весеннюю.</v>
      </c>
      <c r="V1678" s="6" t="str">
        <f>IFERROR(__xludf.DUMMYFUNCTION("""COMPUTED_VALUE"""),"Одни построили много новых крупных предприятий .Азот.Карболит.КЭМэ.КШТ
ХИМВОЛОКНО .ПРОГРЕСС.и т.д.другие с легкостью все уничтожили..")</f>
        <v>Одни построили много новых крупных предприятий .Азот.Карболит.КЭМэ.КШТ
ХИМВОЛОКНО .ПРОГРЕСС.и т.д.другие с легкостью все уничтожили..</v>
      </c>
      <c r="W1678" s="6" t="str">
        <f>IFERROR(__xludf.DUMMYFUNCTION("""COMPUTED_VALUE"""),"Раньше были открытыми .веселыми 
.помогали друг другу..сейчас угрюмые.закрытые.зависимые.злобные.только напакастить  соседям или сослуживцам.")</f>
        <v>Раньше были открытыми .веселыми 
.помогали друг другу..сейчас угрюмые.закрытые.зависимые.злобные.только напакастить  соседям или сослуживцам.</v>
      </c>
      <c r="X1678" s="6" t="str">
        <f>IFERROR(__xludf.DUMMYFUNCTION("""COMPUTED_VALUE"""),"Советский .Весенняя.набережная.пл.Пушкина.пл.Советов.")</f>
        <v>Советский .Весенняя.набережная.пл.Пушкина.пл.Советов.</v>
      </c>
      <c r="Y1678" s="6" t="str">
        <f>IFERROR(__xludf.DUMMYFUNCTION("""COMPUTED_VALUE"""),"Чемпионаты мира по хоккею с мячом ..концерты мировых рок групп.рок фестиваль в2019г.")</f>
        <v>Чемпионаты мира по хоккею с мячом ..концерты мировых рок групп.рок фестиваль в2019г.</v>
      </c>
      <c r="Z1678" s="6" t="str">
        <f>IFERROR(__xludf.DUMMYFUNCTION("""COMPUTED_VALUE"""),"Дни города и рок фестиваль..")</f>
        <v>Дни города и рок фестиваль..</v>
      </c>
      <c r="AA1678" s="6" t="str">
        <f>IFERROR(__xludf.DUMMYFUNCTION("""COMPUTED_VALUE"""),"Пожар в т.ц.Зимняя вишня..")</f>
        <v>Пожар в т.ц.Зимняя вишня..</v>
      </c>
      <c r="AB1678" s="6" t="str">
        <f>IFERROR(__xludf.DUMMYFUNCTION("""COMPUTED_VALUE"""),"Затрудняюсь ответить")</f>
        <v>Затрудняюсь ответить</v>
      </c>
      <c r="AC1678" s="6" t="str">
        <f>IFERROR(__xludf.DUMMYFUNCTION("""COMPUTED_VALUE"""),"Культурных..зрелищных.спортивных.в выходные город пуст .все едут в др.города..в магазины .в аквапарки .зоопарки ..правда обидно..у нас как в деревне..ничего нет ..")</f>
        <v>Культурных..зрелищных.спортивных.в выходные город пуст .все едут в др.города..в магазины .в аквапарки .зоопарки ..правда обидно..у нас как в деревне..ничего нет ..</v>
      </c>
      <c r="AD1678" s="6" t="str">
        <f>IFERROR(__xludf.DUMMYFUNCTION("""COMPUTED_VALUE"""),"Не готов принимать личное участие (укажите, пожалуйста, причину в поле «Другое»), По причине здоровья..ограничение в передвижении.больные ноги.")</f>
        <v>Не готов принимать личное участие (укажите, пожалуйста, причину в поле «Другое»), По причине здоровья..ограничение в передвижении.больные ноги.</v>
      </c>
      <c r="AE1678" s="6" t="str">
        <f>IFERROR(__xludf.DUMMYFUNCTION("""COMPUTED_VALUE"""),"Женский")</f>
        <v>Женский</v>
      </c>
      <c r="AF1678" s="6" t="str">
        <f>IFERROR(__xludf.DUMMYFUNCTION("""COMPUTED_VALUE"""),"старше 55")</f>
        <v>старше 55</v>
      </c>
      <c r="AG1678" s="6"/>
      <c r="AH1678" s="6"/>
      <c r="AI1678" s="6"/>
      <c r="AJ1678" s="6"/>
      <c r="AK1678" s="6"/>
      <c r="AL1678" s="6"/>
      <c r="AM1678" s="6"/>
    </row>
    <row r="1679">
      <c r="A1679" s="6">
        <v>1678.0</v>
      </c>
      <c r="B1679" s="6" t="str">
        <f>IFERROR(__xludf.DUMMYFUNCTION("""COMPUTED_VALUE"""),"Бухгалтер.")</f>
        <v>Бухгалтер.</v>
      </c>
      <c r="C1679" s="6" t="str">
        <f>IFERROR(__xludf.DUMMYFUNCTION("""COMPUTED_VALUE"""),"Да. Прикладное творчество.")</f>
        <v>Да. Прикладное творчество.</v>
      </c>
      <c r="D1679" s="6" t="str">
        <f>IFERROR(__xludf.DUMMYFUNCTION("""COMPUTED_VALUE"""),"Южный ")</f>
        <v>Южный </v>
      </c>
      <c r="E1679" s="6" t="str">
        <f>IFERROR(__xludf.DUMMYFUNCTION("""COMPUTED_VALUE"""),"Ул. Патриотов ")</f>
        <v>Ул. Патриотов </v>
      </c>
      <c r="F1679" s="6" t="str">
        <f>IFERROR(__xludf.DUMMYFUNCTION("""COMPUTED_VALUE"""),"Живу здесь с рождения")</f>
        <v>Живу здесь с рождения</v>
      </c>
      <c r="G1679" s="6" t="str">
        <f>IFERROR(__xludf.DUMMYFUNCTION("""COMPUTED_VALUE"""),"Нету. Выезжаем загород ")</f>
        <v>Нету. Выезжаем загород </v>
      </c>
      <c r="H1679" s="6" t="str">
        <f>IFERROR(__xludf.DUMMYFUNCTION("""COMPUTED_VALUE"""),"Уголь уголь уголь уголь уголь ")</f>
        <v>Уголь уголь уголь уголь уголь </v>
      </c>
      <c r="I1679" s="6" t="str">
        <f>IFERROR(__xludf.DUMMYFUNCTION("""COMPUTED_VALUE"""),"Веры волошиной ")</f>
        <v>Веры волошиной </v>
      </c>
      <c r="J1679" s="6" t="str">
        <f>IFERROR(__xludf.DUMMYFUNCTION("""COMPUTED_VALUE"""),"Нет")</f>
        <v>Нет</v>
      </c>
      <c r="K1679" s="6" t="str">
        <f>IFERROR(__xludf.DUMMYFUNCTION("""COMPUTED_VALUE"""),"Нет ")</f>
        <v>Нет </v>
      </c>
      <c r="L1679" s="6" t="str">
        <f>IFERROR(__xludf.DUMMYFUNCTION("""COMPUTED_VALUE"""),"Нет")</f>
        <v>Нет</v>
      </c>
      <c r="M1679" s="6" t="str">
        <f>IFERROR(__xludf.DUMMYFUNCTION("""COMPUTED_VALUE"""),"Нет")</f>
        <v>Нет</v>
      </c>
      <c r="N1679" s="6" t="str">
        <f>IFERROR(__xludf.DUMMYFUNCTION("""COMPUTED_VALUE"""),"Чистота зелень уютность ")</f>
        <v>Чистота зелень уютность </v>
      </c>
      <c r="O1679" s="6" t="str">
        <f>IFERROR(__xludf.DUMMYFUNCTION("""COMPUTED_VALUE"""),"Дороги")</f>
        <v>Дороги</v>
      </c>
      <c r="P1679" s="6" t="str">
        <f>IFERROR(__xludf.DUMMYFUNCTION("""COMPUTED_VALUE"""),"Инстограм ")</f>
        <v>Инстограм </v>
      </c>
      <c r="Q1679" s="6" t="str">
        <f>IFERROR(__xludf.DUMMYFUNCTION("""COMPUTED_VALUE"""),"куда пойти в свободное время")</f>
        <v>куда пойти в свободное время</v>
      </c>
      <c r="R1679" s="6" t="str">
        <f>IFERROR(__xludf.DUMMYFUNCTION("""COMPUTED_VALUE"""),"9 мая")</f>
        <v>9 мая</v>
      </c>
      <c r="S1679" s="6" t="str">
        <f>IFERROR(__xludf.DUMMYFUNCTION("""COMPUTED_VALUE"""),"Нет, не приходилось")</f>
        <v>Нет, не приходилось</v>
      </c>
      <c r="T1679" s="6" t="str">
        <f>IFERROR(__xludf.DUMMYFUNCTION("""COMPUTED_VALUE"""),"Ни чем")</f>
        <v>Ни чем</v>
      </c>
      <c r="U1679" s="6" t="str">
        <f>IFERROR(__xludf.DUMMYFUNCTION("""COMPUTED_VALUE"""),"Площадь советов ")</f>
        <v>Площадь советов </v>
      </c>
      <c r="V1679" s="6" t="str">
        <f>IFERROR(__xludf.DUMMYFUNCTION("""COMPUTED_VALUE"""),"Ни чем")</f>
        <v>Ни чем</v>
      </c>
      <c r="W1679" s="6" t="str">
        <f>IFERROR(__xludf.DUMMYFUNCTION("""COMPUTED_VALUE"""),"Нет")</f>
        <v>Нет</v>
      </c>
      <c r="X1679" s="6" t="str">
        <f>IFERROR(__xludf.DUMMYFUNCTION("""COMPUTED_VALUE"""),"Нет")</f>
        <v>Нет</v>
      </c>
      <c r="Y1679" s="6" t="str">
        <f>IFERROR(__xludf.DUMMYFUNCTION("""COMPUTED_VALUE"""),"Нету")</f>
        <v>Нету</v>
      </c>
      <c r="Z1679" s="6" t="str">
        <f>IFERROR(__xludf.DUMMYFUNCTION("""COMPUTED_VALUE"""),"Нету")</f>
        <v>Нету</v>
      </c>
      <c r="AA1679" s="6" t="str">
        <f>IFERROR(__xludf.DUMMYFUNCTION("""COMPUTED_VALUE"""),"Пожар зимняя вишня ")</f>
        <v>Пожар зимняя вишня </v>
      </c>
      <c r="AB1679" s="6" t="str">
        <f>IFERROR(__xludf.DUMMYFUNCTION("""COMPUTED_VALUE"""),"Нету")</f>
        <v>Нету</v>
      </c>
      <c r="AC1679" s="6" t="str">
        <f>IFERROR(__xludf.DUMMYFUNCTION("""COMPUTED_VALUE"""),"Праздник ")</f>
        <v>Праздник </v>
      </c>
      <c r="AD167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79" s="6" t="str">
        <f>IFERROR(__xludf.DUMMYFUNCTION("""COMPUTED_VALUE"""),"Женский")</f>
        <v>Женский</v>
      </c>
      <c r="AF1679" s="6" t="str">
        <f>IFERROR(__xludf.DUMMYFUNCTION("""COMPUTED_VALUE"""),"30-44")</f>
        <v>30-44</v>
      </c>
      <c r="AG1679" s="6"/>
      <c r="AH1679" s="6"/>
      <c r="AI1679" s="6"/>
      <c r="AJ1679" s="6"/>
      <c r="AK1679" s="6"/>
      <c r="AL1679" s="6"/>
      <c r="AM1679" s="6"/>
    </row>
    <row r="1680">
      <c r="A1680" s="6">
        <v>1679.0</v>
      </c>
      <c r="B1680" s="6" t="str">
        <f>IFERROR(__xludf.DUMMYFUNCTION("""COMPUTED_VALUE"""),"Домохозяйка")</f>
        <v>Домохозяйка</v>
      </c>
      <c r="C1680" s="6" t="str">
        <f>IFERROR(__xludf.DUMMYFUNCTION("""COMPUTED_VALUE"""),"Ремесленная керамика")</f>
        <v>Ремесленная керамика</v>
      </c>
      <c r="D1680" s="6" t="str">
        <f>IFERROR(__xludf.DUMMYFUNCTION("""COMPUTED_VALUE"""),"Фпк")</f>
        <v>Фпк</v>
      </c>
      <c r="E1680" s="6" t="str">
        <f>IFERROR(__xludf.DUMMYFUNCTION("""COMPUTED_VALUE"""),"Ледовая арена")</f>
        <v>Ледовая арена</v>
      </c>
      <c r="F1680" s="6" t="str">
        <f>IFERROR(__xludf.DUMMYFUNCTION("""COMPUTED_VALUE"""),"Живу здесь с рождения")</f>
        <v>Живу здесь с рождения</v>
      </c>
      <c r="G1680" s="6" t="str">
        <f>IFERROR(__xludf.DUMMYFUNCTION("""COMPUTED_VALUE"""),"В центр города")</f>
        <v>В центр города</v>
      </c>
      <c r="H1680" s="6" t="str">
        <f>IFERROR(__xludf.DUMMYFUNCTION("""COMPUTED_VALUE"""),"малодоступность, низкий уровень , пофигизм, загазованность")</f>
        <v>малодоступность, низкий уровень , пофигизм, загазованность</v>
      </c>
      <c r="I1680" s="6" t="str">
        <f>IFERROR(__xludf.DUMMYFUNCTION("""COMPUTED_VALUE"""),"Алексей Леонов")</f>
        <v>Алексей Леонов</v>
      </c>
      <c r="J1680" s="6" t="str">
        <f>IFERROR(__xludf.DUMMYFUNCTION("""COMPUTED_VALUE"""),"Тулеев ")</f>
        <v>Тулеев </v>
      </c>
      <c r="K1680" s="6" t="str">
        <f>IFERROR(__xludf.DUMMYFUNCTION("""COMPUTED_VALUE"""),"Набережная, памятник шахтерам ")</f>
        <v>Набережная, памятник шахтерам </v>
      </c>
      <c r="L1680" s="6" t="str">
        <f>IFERROR(__xludf.DUMMYFUNCTION("""COMPUTED_VALUE"""),"Анекдот. .. * Кто последний будет улетать из Кемерово, не забудьте выключить свет в аэропорту *")</f>
        <v>Анекдот. .. * Кто последний будет улетать из Кемерово, не забудьте выключить свет в аэропорту *</v>
      </c>
      <c r="M1680" s="6" t="str">
        <f>IFERROR(__xludf.DUMMYFUNCTION("""COMPUTED_VALUE"""),"Нет")</f>
        <v>Нет</v>
      </c>
      <c r="N1680" s="6" t="str">
        <f>IFERROR(__xludf.DUMMYFUNCTION("""COMPUTED_VALUE"""),"Маленький, ")</f>
        <v>Маленький, </v>
      </c>
      <c r="O1680" s="6" t="str">
        <f>IFERROR(__xludf.DUMMYFUNCTION("""COMPUTED_VALUE"""),"Решить проблему с парковками")</f>
        <v>Решить проблему с парковками</v>
      </c>
      <c r="P1680" s="6" t="str">
        <f>IFERROR(__xludf.DUMMYFUNCTION("""COMPUTED_VALUE"""),"Инстаграм, гугл ")</f>
        <v>Инстаграм, гугл </v>
      </c>
      <c r="Q1680" s="6" t="str">
        <f>IFERROR(__xludf.DUMMYFUNCTION("""COMPUTED_VALUE"""),"интервью с местными творческими личностями, 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f>
        <v>интервью с местными творческими личностями, криминальные новости (происшествия/преступления), новости про новые профессии/куда поступать/вакансии, интервью с экспертами на разные темы (напишите в разделе Другое свои предложения)</v>
      </c>
      <c r="R1680" s="6" t="str">
        <f>IFERROR(__xludf.DUMMYFUNCTION("""COMPUTED_VALUE"""),"Новый год")</f>
        <v>Новый год</v>
      </c>
      <c r="S1680" s="6" t="str">
        <f>IFERROR(__xludf.DUMMYFUNCTION("""COMPUTED_VALUE"""),"Нет, не приходилось")</f>
        <v>Нет, не приходилось</v>
      </c>
      <c r="T1680" s="6" t="str">
        <f>IFERROR(__xludf.DUMMYFUNCTION("""COMPUTED_VALUE"""),"Шахтами, ")</f>
        <v>Шахтами, </v>
      </c>
      <c r="U1680" s="6" t="str">
        <f>IFERROR(__xludf.DUMMYFUNCTION("""COMPUTED_VALUE"""),"Весенняя и набережная ")</f>
        <v>Весенняя и набережная </v>
      </c>
      <c r="V1680" s="6" t="str">
        <f>IFERROR(__xludf.DUMMYFUNCTION("""COMPUTED_VALUE"""),"Установка памятников, создание зон отдыха, спортивные объекты ")</f>
        <v>Установка памятников, создание зон отдыха, спортивные объекты </v>
      </c>
      <c r="W1680" s="6" t="str">
        <f>IFERROR(__xludf.DUMMYFUNCTION("""COMPUTED_VALUE"""),"Терпеливые, не требовательные, ")</f>
        <v>Терпеливые, не требовательные, </v>
      </c>
      <c r="X1680" s="6" t="str">
        <f>IFERROR(__xludf.DUMMYFUNCTION("""COMPUTED_VALUE"""),"Затрудняюсь")</f>
        <v>Затрудняюсь</v>
      </c>
      <c r="Y1680" s="6" t="str">
        <f>IFERROR(__xludf.DUMMYFUNCTION("""COMPUTED_VALUE"""),"Спортивные чемпионыты ")</f>
        <v>Спортивные чемпионыты </v>
      </c>
      <c r="Z1680" s="6" t="str">
        <f>IFERROR(__xludf.DUMMYFUNCTION("""COMPUTED_VALUE"""),"Нет таких")</f>
        <v>Нет таких</v>
      </c>
      <c r="AA1680" s="6" t="str">
        <f>IFERROR(__xludf.DUMMYFUNCTION("""COMPUTED_VALUE"""),"Рост жкх, сильный рост цен и отмена бесплатного проезда")</f>
        <v>Рост жкх, сильный рост цен и отмена бесплатного проезда</v>
      </c>
      <c r="AB1680" s="6" t="str">
        <f>IFERROR(__xludf.DUMMYFUNCTION("""COMPUTED_VALUE"""),"Профсоюзы. ")</f>
        <v>Профсоюзы. </v>
      </c>
      <c r="AC1680" s="6" t="str">
        <f>IFERROR(__xludf.DUMMYFUNCTION("""COMPUTED_VALUE"""),"Организовывать детские мероприятия в каждом отдельном районе")</f>
        <v>Организовывать детские мероприятия в каждом отдельном районе</v>
      </c>
      <c r="AD1680"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680" s="6" t="str">
        <f>IFERROR(__xludf.DUMMYFUNCTION("""COMPUTED_VALUE"""),"Женский")</f>
        <v>Женский</v>
      </c>
      <c r="AF1680" s="6" t="str">
        <f>IFERROR(__xludf.DUMMYFUNCTION("""COMPUTED_VALUE"""),"30-44")</f>
        <v>30-44</v>
      </c>
      <c r="AG1680" s="6"/>
      <c r="AH1680" s="6"/>
      <c r="AI1680" s="6"/>
      <c r="AJ1680" s="6"/>
      <c r="AK1680" s="6"/>
      <c r="AL1680" s="6"/>
      <c r="AM1680" s="6"/>
    </row>
    <row r="1681">
      <c r="A1681" s="6">
        <v>1680.0</v>
      </c>
      <c r="B1681" s="6" t="str">
        <f>IFERROR(__xludf.DUMMYFUNCTION("""COMPUTED_VALUE"""),"Мама в декрете")</f>
        <v>Мама в декрете</v>
      </c>
      <c r="C1681" s="6" t="str">
        <f>IFERROR(__xludf.DUMMYFUNCTION("""COMPUTED_VALUE"""),"Дети")</f>
        <v>Дети</v>
      </c>
      <c r="D1681" s="6" t="str">
        <f>IFERROR(__xludf.DUMMYFUNCTION("""COMPUTED_VALUE"""),"Кировский")</f>
        <v>Кировский</v>
      </c>
      <c r="E1681" s="6" t="str">
        <f>IFERROR(__xludf.DUMMYFUNCTION("""COMPUTED_VALUE"""),"Набережная и березовая роша")</f>
        <v>Набережная и березовая роша</v>
      </c>
      <c r="F1681" s="6" t="str">
        <f>IFERROR(__xludf.DUMMYFUNCTION("""COMPUTED_VALUE"""),"Живу здесь с рождения")</f>
        <v>Живу здесь с рождения</v>
      </c>
      <c r="G1681" s="6" t="str">
        <f>IFERROR(__xludf.DUMMYFUNCTION("""COMPUTED_VALUE"""),"Набережная")</f>
        <v>Набережная</v>
      </c>
      <c r="H1681" s="6" t="str">
        <f>IFERROR(__xludf.DUMMYFUNCTION("""COMPUTED_VALUE"""),"Памятник фонтан набережная Томь  парк")</f>
        <v>Памятник фонтан набережная Томь  парк</v>
      </c>
      <c r="I1681" s="6" t="str">
        <f>IFERROR(__xludf.DUMMYFUNCTION("""COMPUTED_VALUE"""),"Волков")</f>
        <v>Волков</v>
      </c>
      <c r="J1681" s="6" t="str">
        <f>IFERROR(__xludf.DUMMYFUNCTION("""COMPUTED_VALUE"""),"Тулеев")</f>
        <v>Тулеев</v>
      </c>
      <c r="K1681" s="6" t="str">
        <f>IFERROR(__xludf.DUMMYFUNCTION("""COMPUTED_VALUE"""),"Красная горка")</f>
        <v>Красная горка</v>
      </c>
      <c r="L1681" s="6" t="str">
        <f>IFERROR(__xludf.DUMMYFUNCTION("""COMPUTED_VALUE"""),"Мой город моя крепость")</f>
        <v>Мой город моя крепость</v>
      </c>
      <c r="M1681" s="6" t="str">
        <f>IFERROR(__xludf.DUMMYFUNCTION("""COMPUTED_VALUE"""),"Нет")</f>
        <v>Нет</v>
      </c>
      <c r="N1681" s="6" t="str">
        <f>IFERROR(__xludf.DUMMYFUNCTION("""COMPUTED_VALUE"""),"Чисто красиво опрятно развито эстетично")</f>
        <v>Чисто красиво опрятно развито эстетично</v>
      </c>
      <c r="O1681" s="6" t="str">
        <f>IFERROR(__xludf.DUMMYFUNCTION("""COMPUTED_VALUE"""),"Отремонтировать назад и внутри домов ")</f>
        <v>Отремонтировать назад и внутри домов </v>
      </c>
      <c r="P1681" s="6" t="str">
        <f>IFERROR(__xludf.DUMMYFUNCTION("""COMPUTED_VALUE"""),"Интернет")</f>
        <v>Интернет</v>
      </c>
      <c r="Q1681"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681" s="6" t="str">
        <f>IFERROR(__xludf.DUMMYFUNCTION("""COMPUTED_VALUE"""),"День защиты детей")</f>
        <v>День защиты детей</v>
      </c>
      <c r="S1681" s="6" t="str">
        <f>IFERROR(__xludf.DUMMYFUNCTION("""COMPUTED_VALUE"""),"Нет, не приходилось")</f>
        <v>Нет, не приходилось</v>
      </c>
      <c r="T1681" s="6" t="str">
        <f>IFERROR(__xludf.DUMMYFUNCTION("""COMPUTED_VALUE"""),"Всем")</f>
        <v>Всем</v>
      </c>
      <c r="U1681" s="6" t="str">
        <f>IFERROR(__xludf.DUMMYFUNCTION("""COMPUTED_VALUE"""),"Красная горка")</f>
        <v>Красная горка</v>
      </c>
      <c r="V1681" s="6" t="str">
        <f>IFERROR(__xludf.DUMMYFUNCTION("""COMPUTED_VALUE"""),"Обустроили")</f>
        <v>Обустроили</v>
      </c>
      <c r="W1681" s="6" t="str">
        <f>IFERROR(__xludf.DUMMYFUNCTION("""COMPUTED_VALUE"""),"Нкзнаю")</f>
        <v>Нкзнаю</v>
      </c>
      <c r="X1681" s="6" t="str">
        <f>IFERROR(__xludf.DUMMYFUNCTION("""COMPUTED_VALUE"""),"Томская писаница")</f>
        <v>Томская писаница</v>
      </c>
      <c r="Y1681" s="6" t="str">
        <f>IFERROR(__xludf.DUMMYFUNCTION("""COMPUTED_VALUE"""),"Много")</f>
        <v>Много</v>
      </c>
      <c r="Z1681" s="6" t="str">
        <f>IFERROR(__xludf.DUMMYFUNCTION("""COMPUTED_VALUE"""),"Не помню")</f>
        <v>Не помню</v>
      </c>
      <c r="AA1681" s="6" t="str">
        <f>IFERROR(__xludf.DUMMYFUNCTION("""COMPUTED_VALUE"""),"Не было")</f>
        <v>Не было</v>
      </c>
      <c r="AB1681" s="6" t="str">
        <f>IFERROR(__xludf.DUMMYFUNCTION("""COMPUTED_VALUE"""),"Велодорожек в Кировском районе")</f>
        <v>Велодорожек в Кировском районе</v>
      </c>
      <c r="AC1681" s="6" t="str">
        <f>IFERROR(__xludf.DUMMYFUNCTION("""COMPUTED_VALUE"""),"Каток в Кировском районе")</f>
        <v>Каток в Кировском районе</v>
      </c>
      <c r="AD168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81" s="6" t="str">
        <f>IFERROR(__xludf.DUMMYFUNCTION("""COMPUTED_VALUE"""),"Женский")</f>
        <v>Женский</v>
      </c>
      <c r="AF1681" s="6" t="str">
        <f>IFERROR(__xludf.DUMMYFUNCTION("""COMPUTED_VALUE"""),"30-44")</f>
        <v>30-44</v>
      </c>
      <c r="AG1681" s="6"/>
      <c r="AH1681" s="6"/>
      <c r="AI1681" s="6"/>
      <c r="AJ1681" s="6"/>
      <c r="AK1681" s="6"/>
      <c r="AL1681" s="6"/>
      <c r="AM1681" s="6"/>
    </row>
    <row r="1682">
      <c r="A1682" s="6">
        <v>1681.0</v>
      </c>
      <c r="B1682" s="6" t="str">
        <f>IFERROR(__xludf.DUMMYFUNCTION("""COMPUTED_VALUE"""),"Торговля")</f>
        <v>Торговля</v>
      </c>
      <c r="C1682" s="6" t="str">
        <f>IFERROR(__xludf.DUMMYFUNCTION("""COMPUTED_VALUE"""),"Рисовать")</f>
        <v>Рисовать</v>
      </c>
      <c r="D1682" s="6" t="str">
        <f>IFERROR(__xludf.DUMMYFUNCTION("""COMPUTED_VALUE"""),"Южный")</f>
        <v>Южный</v>
      </c>
      <c r="E1682" s="6" t="str">
        <f>IFERROR(__xludf.DUMMYFUNCTION("""COMPUTED_VALUE"""),"Алея Патриотов")</f>
        <v>Алея Патриотов</v>
      </c>
      <c r="F1682" s="6" t="str">
        <f>IFERROR(__xludf.DUMMYFUNCTION("""COMPUTED_VALUE"""),"Живу здесь с рождения")</f>
        <v>Живу здесь с рождения</v>
      </c>
      <c r="G1682" s="6" t="str">
        <f>IFERROR(__xludf.DUMMYFUNCTION("""COMPUTED_VALUE"""),"Парк чудес, набережная,красная горка")</f>
        <v>Парк чудес, набережная,красная горка</v>
      </c>
      <c r="H1682" s="6" t="str">
        <f>IFERROR(__xludf.DUMMYFUNCTION("""COMPUTED_VALUE"""),"Швейка,гор сад,шалготорьян, площадь советов, комсомольский парк")</f>
        <v>Швейка,гор сад,шалготорьян, площадь советов, комсомольский парк</v>
      </c>
      <c r="I1682" s="6" t="str">
        <f>IFERROR(__xludf.DUMMYFUNCTION("""COMPUTED_VALUE"""),"Михайло Волков, Леонов,Михайлов,")</f>
        <v>Михайло Волков, Леонов,Михайлов,</v>
      </c>
      <c r="J1682" s="6" t="str">
        <f>IFERROR(__xludf.DUMMYFUNCTION("""COMPUTED_VALUE"""),"Тулеев")</f>
        <v>Тулеев</v>
      </c>
      <c r="K1682" s="6" t="str">
        <f>IFERROR(__xludf.DUMMYFUNCTION("""COMPUTED_VALUE"""),"Писаные скалы, Красная горка,лесная поляна,")</f>
        <v>Писаные скалы, Красная горка,лесная поляна,</v>
      </c>
      <c r="L1682" s="6" t="str">
        <f>IFERROR(__xludf.DUMMYFUNCTION("""COMPUTED_VALUE"""),"Ходит слух,что ещё в 90х годах,где была бывшая военная часть на Южном,а именно, где служили разведчики произошол пожар и от ракет была утечка радиации и потом эту часть расформировали.")</f>
        <v>Ходит слух,что ещё в 90х годах,где была бывшая военная часть на Южном,а именно, где служили разведчики произошол пожар и от ракет была утечка радиации и потом эту часть расформировали.</v>
      </c>
      <c r="M1682" s="6" t="str">
        <f>IFERROR(__xludf.DUMMYFUNCTION("""COMPUTED_VALUE"""),"Кола мен,жигуль,")</f>
        <v>Кола мен,жигуль,</v>
      </c>
      <c r="N1682" s="6" t="str">
        <f>IFERROR(__xludf.DUMMYFUNCTION("""COMPUTED_VALUE"""),"Пляжи, летние бассеины,парки с фонтаном и деревьями, крупные торговые центры с мировыми брендами,много зелени и деревьев,каналы из воды.")</f>
        <v>Пляжи, летние бассеины,парки с фонтаном и деревьями, крупные торговые центры с мировыми брендами,много зелени и деревьев,каналы из воды.</v>
      </c>
      <c r="O1682" s="6" t="str">
        <f>IFERROR(__xludf.DUMMYFUNCTION("""COMPUTED_VALUE"""),"Убрать мусор во дворах, облагородить, поставить лавочки, биотуалеты,фасады зданий отремонтировать,")</f>
        <v>Убрать мусор во дворах, облагородить, поставить лавочки, биотуалеты,фасады зданий отремонтировать,</v>
      </c>
      <c r="P1682" s="6" t="str">
        <f>IFERROR(__xludf.DUMMYFUNCTION("""COMPUTED_VALUE"""),"Инстаграм")</f>
        <v>Инстаграм</v>
      </c>
      <c r="Q1682" s="6" t="str">
        <f>IFERROR(__xludf.DUMMYFUNCTION("""COMPUTED_VALUE"""),"где вкусно поесть/открытие новых кафе/ресторанов, криминальные новости (происшествия/преступления)")</f>
        <v>где вкусно поесть/открытие новых кафе/ресторанов, криминальные новости (происшествия/преступления)</v>
      </c>
      <c r="R1682" s="6" t="str">
        <f>IFERROR(__xludf.DUMMYFUNCTION("""COMPUTED_VALUE"""),"9 мая")</f>
        <v>9 мая</v>
      </c>
      <c r="S1682" s="6" t="str">
        <f>IFERROR(__xludf.DUMMYFUNCTION("""COMPUTED_VALUE"""),"Нет, не приходилось")</f>
        <v>Нет, не приходилось</v>
      </c>
      <c r="T1682" s="6" t="str">
        <f>IFERROR(__xludf.DUMMYFUNCTION("""COMPUTED_VALUE"""),"Своими шахтамии разрезами")</f>
        <v>Своими шахтамии разрезами</v>
      </c>
      <c r="U1682" s="6" t="str">
        <f>IFERROR(__xludf.DUMMYFUNCTION("""COMPUTED_VALUE"""),"Парк чудес")</f>
        <v>Парк чудес</v>
      </c>
      <c r="V1682" s="6" t="str">
        <f>IFERROR(__xludf.DUMMYFUNCTION("""COMPUTED_VALUE"""),"Работал на заводах и шахтах")</f>
        <v>Работал на заводах и шахтах</v>
      </c>
      <c r="W1682" s="6" t="str">
        <f>IFERROR(__xludf.DUMMYFUNCTION("""COMPUTED_VALUE"""),"Любят поработать и также погулять")</f>
        <v>Любят поработать и также погулять</v>
      </c>
      <c r="X1682" s="6" t="str">
        <f>IFERROR(__xludf.DUMMYFUNCTION("""COMPUTED_VALUE"""),"Поездка на Азот")</f>
        <v>Поездка на Азот</v>
      </c>
      <c r="Y1682" s="6" t="str">
        <f>IFERROR(__xludf.DUMMYFUNCTION("""COMPUTED_VALUE"""),"Тулеев построил новую трассу на ленинск кузнецк")</f>
        <v>Тулеев построил новую трассу на ленинск кузнецк</v>
      </c>
      <c r="Z1682" s="6" t="str">
        <f>IFERROR(__xludf.DUMMYFUNCTION("""COMPUTED_VALUE"""),"Рок концерт в 2019")</f>
        <v>Рок концерт в 2019</v>
      </c>
      <c r="AA1682" s="6" t="str">
        <f>IFERROR(__xludf.DUMMYFUNCTION("""COMPUTED_VALUE"""),"Пожар зимняя вишня")</f>
        <v>Пожар зимняя вишня</v>
      </c>
      <c r="AB1682" s="6" t="str">
        <f>IFERROR(__xludf.DUMMYFUNCTION("""COMPUTED_VALUE"""),"Где учитывается мнение простых трудящихся людей")</f>
        <v>Где учитывается мнение простых трудящихся людей</v>
      </c>
      <c r="AC1682" s="6" t="str">
        <f>IFERROR(__xludf.DUMMYFUNCTION("""COMPUTED_VALUE"""),"Перевыборы губернатора")</f>
        <v>Перевыборы губернатора</v>
      </c>
      <c r="AD1682"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682" s="6" t="str">
        <f>IFERROR(__xludf.DUMMYFUNCTION("""COMPUTED_VALUE"""),"Женский")</f>
        <v>Женский</v>
      </c>
      <c r="AF1682" s="6" t="str">
        <f>IFERROR(__xludf.DUMMYFUNCTION("""COMPUTED_VALUE"""),"30-44")</f>
        <v>30-44</v>
      </c>
      <c r="AG1682" s="6"/>
      <c r="AH1682" s="6"/>
      <c r="AI1682" s="6"/>
      <c r="AJ1682" s="6"/>
      <c r="AK1682" s="6"/>
      <c r="AL1682" s="6"/>
      <c r="AM1682" s="6"/>
    </row>
    <row r="1683">
      <c r="A1683" s="6">
        <v>1682.0</v>
      </c>
      <c r="B1683" s="6" t="str">
        <f>IFERROR(__xludf.DUMMYFUNCTION("""COMPUTED_VALUE"""),"Researcher CX. Исследованием с потребителям. Разрабатывая новые продукты/упаковку и тд")</f>
        <v>Researcher CX. Исследованием с потребителям. Разрабатывая новые продукты/упаковку и тд</v>
      </c>
      <c r="C1683" s="6" t="str">
        <f>IFERROR(__xludf.DUMMYFUNCTION("""COMPUTED_VALUE"""),"Книги, скейт, велосипед, бег, еда, отдых на природе ")</f>
        <v>Книги, скейт, велосипед, бег, еда, отдых на природе </v>
      </c>
      <c r="D1683" s="6" t="str">
        <f>IFERROR(__xludf.DUMMYFUNCTION("""COMPUTED_VALUE"""),"Заводском. Южный. Это тот где компания мера. ")</f>
        <v>Заводском. Южный. Это тот где компания мера. </v>
      </c>
      <c r="E1683" s="6" t="str">
        <f>IFERROR(__xludf.DUMMYFUNCTION("""COMPUTED_VALUE"""),"Бульвар, кольцо, набережная, парк ангелов")</f>
        <v>Бульвар, кольцо, набережная, парк ангелов</v>
      </c>
      <c r="F1683" s="6" t="str">
        <f>IFERROR(__xludf.DUMMYFUNCTION("""COMPUTED_VALUE"""),"Приехал из Караганды в 2013 году. ")</f>
        <v>Приехал из Караганды в 2013 году. </v>
      </c>
      <c r="G1683" s="6" t="str">
        <f>IFERROR(__xludf.DUMMYFUNCTION("""COMPUTED_VALUE"""),"За кадетским корпусом. ")</f>
        <v>За кадетским корпусом. </v>
      </c>
      <c r="H1683" s="6" t="str">
        <f>IFERROR(__xludf.DUMMYFUNCTION("""COMPUTED_VALUE"""),"Дымный, грязный, морозный, хорошие дороги,  скучный")</f>
        <v>Дымный, грязный, морозный, хорошие дороги,  скучный</v>
      </c>
      <c r="I1683" s="6" t="str">
        <f>IFERROR(__xludf.DUMMYFUNCTION("""COMPUTED_VALUE"""),"Волков. Который нашёл уголь. ")</f>
        <v>Волков. Который нашёл уголь. </v>
      </c>
      <c r="J1683" s="6" t="str">
        <f>IFERROR(__xludf.DUMMYFUNCTION("""COMPUTED_VALUE"""),"Не знаю")</f>
        <v>Не знаю</v>
      </c>
      <c r="K1683" s="6" t="str">
        <f>IFERROR(__xludf.DUMMYFUNCTION("""COMPUTED_VALUE"""),"Парк ангелов, площадь советов, бульвар строителей")</f>
        <v>Парк ангелов, площадь советов, бульвар строителей</v>
      </c>
      <c r="L1683" s="6" t="str">
        <f>IFERROR(__xludf.DUMMYFUNCTION("""COMPUTED_VALUE"""),"Не знаю")</f>
        <v>Не знаю</v>
      </c>
      <c r="M1683" s="6" t="str">
        <f>IFERROR(__xludf.DUMMYFUNCTION("""COMPUTED_VALUE"""),"Тормозок, маленько, не вспомню ")</f>
        <v>Тормозок, маленько, не вспомню </v>
      </c>
      <c r="N1683" s="6" t="str">
        <f>IFERROR(__xludf.DUMMYFUNCTION("""COMPUTED_VALUE"""),"Хорошая зарплата, природа вокруг но не в городе. ")</f>
        <v>Хорошая зарплата, природа вокруг но не в городе. </v>
      </c>
      <c r="O1683" s="6" t="str">
        <f>IFERROR(__xludf.DUMMYFUNCTION("""COMPUTED_VALUE"""),"На южном сделать велодорожки.  чтобы дышать зимой не пойми чем. больше тротуаров")</f>
        <v>На южном сделать велодорожки.  чтобы дышать зимой не пойми чем. больше тротуаров</v>
      </c>
      <c r="P1683" s="6" t="str">
        <f>IFERROR(__xludf.DUMMYFUNCTION("""COMPUTED_VALUE"""),"Не смотрю, не интересно")</f>
        <v>Не смотрю, не интересно</v>
      </c>
      <c r="Q1683" s="6" t="str">
        <f>IFERROR(__xludf.DUMMYFUNCTION("""COMPUTED_VALUE"""),"куда пойти в свободное время, Да в принципе не интересно. В городе нахожусь, чтобы зарабатывать деньги. ")</f>
        <v>куда пойти в свободное время, Да в принципе не интересно. В городе нахожусь, чтобы зарабатывать деньги. </v>
      </c>
      <c r="R1683" s="6" t="str">
        <f>IFERROR(__xludf.DUMMYFUNCTION("""COMPUTED_VALUE"""),"День шахтера, Новый год")</f>
        <v>День шахтера, Новый год</v>
      </c>
      <c r="S1683" s="6" t="str">
        <f>IFERROR(__xludf.DUMMYFUNCTION("""COMPUTED_VALUE"""),"Нет, не приходилось")</f>
        <v>Нет, не приходилось</v>
      </c>
      <c r="T1683" s="6" t="str">
        <f>IFERROR(__xludf.DUMMYFUNCTION("""COMPUTED_VALUE"""),"Центр угольной промышленности в Сибири. ")</f>
        <v>Центр угольной промышленности в Сибири. </v>
      </c>
      <c r="U1683" s="6" t="str">
        <f>IFERROR(__xludf.DUMMYFUNCTION("""COMPUTED_VALUE"""),"Сложный вопрос")</f>
        <v>Сложный вопрос</v>
      </c>
      <c r="V1683" s="6" t="str">
        <f>IFERROR(__xludf.DUMMYFUNCTION("""COMPUTED_VALUE"""),"Понятия не имею")</f>
        <v>Понятия не имею</v>
      </c>
      <c r="W1683" s="6" t="str">
        <f>IFERROR(__xludf.DUMMYFUNCTION("""COMPUTED_VALUE"""),"Суровые, &lt;70% злые. ")</f>
        <v>Суровые, &lt;70% злые. </v>
      </c>
      <c r="X1683" s="6" t="str">
        <f>IFERROR(__xludf.DUMMYFUNCTION("""COMPUTED_VALUE"""),"Набережная, весенька, площадь советов, бульвар строителей")</f>
        <v>Набережная, весенька, площадь советов, бульвар строителей</v>
      </c>
      <c r="Y1683" s="6" t="str">
        <f>IFERROR(__xludf.DUMMYFUNCTION("""COMPUTED_VALUE"""),"Понятия не имею")</f>
        <v>Понятия не имею</v>
      </c>
      <c r="Z1683" s="6" t="str">
        <f>IFERROR(__xludf.DUMMYFUNCTION("""COMPUTED_VALUE"""),"Встретил любовь из родного города Караганды. Начал развиваться в сфере исследовании. ")</f>
        <v>Встретил любовь из родного города Караганды. Начал развиваться в сфере исследовании. </v>
      </c>
      <c r="AA1683" s="6" t="str">
        <f>IFERROR(__xludf.DUMMYFUNCTION("""COMPUTED_VALUE"""),"Не было")</f>
        <v>Не было</v>
      </c>
      <c r="AB1683" s="6" t="str">
        <f>IFERROR(__xludf.DUMMYFUNCTION("""COMPUTED_VALUE"""),"Жене друзей. А мне все хватает ")</f>
        <v>Жене друзей. А мне все хватает </v>
      </c>
      <c r="AC1683" s="6" t="str">
        <f>IFERROR(__xludf.DUMMYFUNCTION("""COMPUTED_VALUE"""),"Мне все хватает  ")</f>
        <v>Мне все хватает  </v>
      </c>
      <c r="AD1683" s="6" t="str">
        <f>IFERROR(__xludf.DUMMYFUNCTION("""COMPUTED_VALUE"""),"Не готов принимать личное участие (укажите, пожалуйста, причину в поле «Другое»), А зачем? Тут больше все зависит от людей. Если интересно в онлайне все найдёт что нужны, там у людей и скилы лучше прокачаны. ")</f>
        <v>Не готов принимать личное участие (укажите, пожалуйста, причину в поле «Другое»), А зачем? Тут больше все зависит от людей. Если интересно в онлайне все найдёт что нужны, там у людей и скилы лучше прокачаны. </v>
      </c>
      <c r="AE1683" s="6" t="str">
        <f>IFERROR(__xludf.DUMMYFUNCTION("""COMPUTED_VALUE"""),"Мужской")</f>
        <v>Мужской</v>
      </c>
      <c r="AF1683" s="6" t="str">
        <f>IFERROR(__xludf.DUMMYFUNCTION("""COMPUTED_VALUE"""),"18-29")</f>
        <v>18-29</v>
      </c>
      <c r="AG1683" s="6"/>
      <c r="AH1683" s="6"/>
      <c r="AI1683" s="6"/>
      <c r="AJ1683" s="6"/>
      <c r="AK1683" s="6"/>
      <c r="AL1683" s="6"/>
      <c r="AM1683" s="6"/>
    </row>
    <row r="1684">
      <c r="A1684" s="6">
        <v>1683.0</v>
      </c>
      <c r="B1684" s="6" t="str">
        <f>IFERROR(__xludf.DUMMYFUNCTION("""COMPUTED_VALUE"""),"Кадры")</f>
        <v>Кадры</v>
      </c>
      <c r="C1684" s="6" t="str">
        <f>IFERROR(__xludf.DUMMYFUNCTION("""COMPUTED_VALUE"""),"Дача")</f>
        <v>Дача</v>
      </c>
      <c r="D1684" s="6" t="str">
        <f>IFERROR(__xludf.DUMMYFUNCTION("""COMPUTED_VALUE"""),"Рудничный")</f>
        <v>Рудничный</v>
      </c>
      <c r="E1684" s="6" t="str">
        <f>IFERROR(__xludf.DUMMYFUNCTION("""COMPUTED_VALUE"""),"Парк")</f>
        <v>Парк</v>
      </c>
      <c r="F1684" s="6" t="str">
        <f>IFERROR(__xludf.DUMMYFUNCTION("""COMPUTED_VALUE"""),"Переехал сюда из другого места (откуда? укажите в графе другое), Экологичный район из  Ленинск-Кузнецкий")</f>
        <v>Переехал сюда из другого места (откуда? укажите в графе другое), Экологичный район из  Ленинск-Кузнецкий</v>
      </c>
      <c r="G1684" s="6" t="str">
        <f>IFERROR(__xludf.DUMMYFUNCTION("""COMPUTED_VALUE"""),"Парк победы,  сосновый бор")</f>
        <v>Парк победы,  сосновый бор</v>
      </c>
      <c r="H1684" s="6" t="str">
        <f>IFERROR(__xludf.DUMMYFUNCTION("""COMPUTED_VALUE"""),"Движение, культура,спорт,детские развлечения, отдых. ")</f>
        <v>Движение, культура,спорт,детские развлечения, отдых. </v>
      </c>
      <c r="I1684" s="6" t="str">
        <f>IFERROR(__xludf.DUMMYFUNCTION("""COMPUTED_VALUE"""),"Волков")</f>
        <v>Волков</v>
      </c>
      <c r="J1684" s="6" t="str">
        <f>IFERROR(__xludf.DUMMYFUNCTION("""COMPUTED_VALUE"""),"Антоненко Екатерина волонтёр")</f>
        <v>Антоненко Екатерина волонтёр</v>
      </c>
      <c r="K1684" s="6" t="str">
        <f>IFERROR(__xludf.DUMMYFUNCTION("""COMPUTED_VALUE"""),"Свой район Лесная Поляна ")</f>
        <v>Свой район Лесная Поляна </v>
      </c>
      <c r="L1684" s="6" t="str">
        <f>IFERROR(__xludf.DUMMYFUNCTION("""COMPUTED_VALUE"""),"Мал да удал")</f>
        <v>Мал да удал</v>
      </c>
      <c r="M1684" s="6" t="str">
        <f>IFERROR(__xludf.DUMMYFUNCTION("""COMPUTED_VALUE"""),"Нет")</f>
        <v>Нет</v>
      </c>
      <c r="N1684" s="6" t="str">
        <f>IFERROR(__xludf.DUMMYFUNCTION("""COMPUTED_VALUE"""),"Современный, доступное образование, зоны отдыха,  река, областной город")</f>
        <v>Современный, доступное образование, зоны отдыха,  река, областной город</v>
      </c>
      <c r="O1684" s="6" t="str">
        <f>IFERROR(__xludf.DUMMYFUNCTION("""COMPUTED_VALUE"""),"Набережную ")</f>
        <v>Набережную </v>
      </c>
      <c r="P1684" s="6" t="str">
        <f>IFERROR(__xludf.DUMMYFUNCTION("""COMPUTED_VALUE"""),"Интернет, новости")</f>
        <v>Интернет, новости</v>
      </c>
      <c r="Q1684"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f>
        <v>городская афиша (кино/театр/концерты), культурные новинки (что почитать/что послушать), новости про новые профессии/куда поступать/вакансии</v>
      </c>
      <c r="R1684" s="6" t="str">
        <f>IFERROR(__xludf.DUMMYFUNCTION("""COMPUTED_VALUE"""),"9 мая")</f>
        <v>9 мая</v>
      </c>
      <c r="S1684" s="6" t="str">
        <f>IFERROR(__xludf.DUMMYFUNCTION("""COMPUTED_VALUE"""),"Нет, не приходилось")</f>
        <v>Нет, не приходилось</v>
      </c>
      <c r="T1684" s="6" t="str">
        <f>IFERROR(__xludf.DUMMYFUNCTION("""COMPUTED_VALUE"""),"Лыжным курортом Шерегеш")</f>
        <v>Лыжным курортом Шерегеш</v>
      </c>
      <c r="U1684" s="6" t="str">
        <f>IFERROR(__xludf.DUMMYFUNCTION("""COMPUTED_VALUE"""),"Филармония, театр")</f>
        <v>Филармония, театр</v>
      </c>
      <c r="V1684" s="6" t="str">
        <f>IFERROR(__xludf.DUMMYFUNCTION("""COMPUTED_VALUE"""),"Музей шахтерской славы")</f>
        <v>Музей шахтерской славы</v>
      </c>
      <c r="W1684" s="6" t="str">
        <f>IFERROR(__xludf.DUMMYFUNCTION("""COMPUTED_VALUE"""),"Открытые, доверительное, весёлые.")</f>
        <v>Открытые, доверительное, весёлые.</v>
      </c>
      <c r="X1684" s="6" t="str">
        <f>IFERROR(__xludf.DUMMYFUNCTION("""COMPUTED_VALUE"""),"Набережная")</f>
        <v>Набережная</v>
      </c>
      <c r="Y1684" s="6" t="str">
        <f>IFERROR(__xludf.DUMMYFUNCTION("""COMPUTED_VALUE"""),"Открытие кадетского училища")</f>
        <v>Открытие кадетского училища</v>
      </c>
      <c r="Z1684" s="6" t="str">
        <f>IFERROR(__xludf.DUMMYFUNCTION("""COMPUTED_VALUE"""),"Рок концерт ")</f>
        <v>Рок концерт </v>
      </c>
      <c r="AA1684" s="6" t="str">
        <f>IFERROR(__xludf.DUMMYFUNCTION("""COMPUTED_VALUE"""),"Нет")</f>
        <v>Нет</v>
      </c>
      <c r="AB1684" s="6" t="str">
        <f>IFERROR(__xludf.DUMMYFUNCTION("""COMPUTED_VALUE"""),"Все хватает ")</f>
        <v>Все хватает </v>
      </c>
      <c r="AC1684" s="6" t="str">
        <f>IFERROR(__xludf.DUMMYFUNCTION("""COMPUTED_VALUE"""),"Городские концерты")</f>
        <v>Городские концерты</v>
      </c>
      <c r="AD168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84" s="6" t="str">
        <f>IFERROR(__xludf.DUMMYFUNCTION("""COMPUTED_VALUE"""),"Женский")</f>
        <v>Женский</v>
      </c>
      <c r="AF1684" s="6" t="str">
        <f>IFERROR(__xludf.DUMMYFUNCTION("""COMPUTED_VALUE"""),"30-44")</f>
        <v>30-44</v>
      </c>
      <c r="AG1684" s="6"/>
      <c r="AH1684" s="6"/>
      <c r="AI1684" s="6"/>
      <c r="AJ1684" s="6"/>
      <c r="AK1684" s="6"/>
      <c r="AL1684" s="6"/>
      <c r="AM1684" s="6"/>
    </row>
    <row r="1685">
      <c r="A1685" s="6">
        <v>1684.0</v>
      </c>
      <c r="B1685" s="6" t="str">
        <f>IFERROR(__xludf.DUMMYFUNCTION("""COMPUTED_VALUE"""),"Учусь в школе")</f>
        <v>Учусь в школе</v>
      </c>
      <c r="C1685" s="6" t="str">
        <f>IFERROR(__xludf.DUMMYFUNCTION("""COMPUTED_VALUE"""),"IPCS")</f>
        <v>IPCS</v>
      </c>
      <c r="D1685" s="6" t="str">
        <f>IFERROR(__xludf.DUMMYFUNCTION("""COMPUTED_VALUE"""),"Заводский. ФПК")</f>
        <v>Заводский. ФПК</v>
      </c>
      <c r="E1685" s="6" t="str">
        <f>IFERROR(__xludf.DUMMYFUNCTION("""COMPUTED_VALUE"""),"Гринвич")</f>
        <v>Гринвич</v>
      </c>
      <c r="F1685" s="6" t="str">
        <f>IFERROR(__xludf.DUMMYFUNCTION("""COMPUTED_VALUE"""),"Переехал сюда из другого места (откуда? укажите в графе другое), Гурьевск")</f>
        <v>Переехал сюда из другого места (откуда? укажите в графе другое), Гурьевск</v>
      </c>
      <c r="G1685" s="6" t="str">
        <f>IFERROR(__xludf.DUMMYFUNCTION("""COMPUTED_VALUE"""),"Нет свободного времени")</f>
        <v>Нет свободного времени</v>
      </c>
      <c r="H1685" s="6" t="str">
        <f>IFERROR(__xludf.DUMMYFUNCTION("""COMPUTED_VALUE"""),"Уголь химия страйкбол область кировский")</f>
        <v>Уголь химия страйкбол область кировский</v>
      </c>
      <c r="I1685" s="6" t="str">
        <f>IFERROR(__xludf.DUMMYFUNCTION("""COMPUTED_VALUE"""),"Волков, Леонов")</f>
        <v>Волков, Леонов</v>
      </c>
      <c r="J1685" s="6" t="str">
        <f>IFERROR(__xludf.DUMMYFUNCTION("""COMPUTED_VALUE"""),"Гусева Марина, Гнусин Антон")</f>
        <v>Гусева Марина, Гнусин Антон</v>
      </c>
      <c r="K1685" s="6" t="str">
        <f>IFERROR(__xludf.DUMMYFUNCTION("""COMPUTED_VALUE"""),"Набережную ")</f>
        <v>Набережную </v>
      </c>
      <c r="L1685" s="6" t="str">
        <f>IFERROR(__xludf.DUMMYFUNCTION("""COMPUTED_VALUE"""),".")</f>
        <v>.</v>
      </c>
      <c r="M1685" s="6" t="str">
        <f>IFERROR(__xludf.DUMMYFUNCTION("""COMPUTED_VALUE"""),"Нет")</f>
        <v>Нет</v>
      </c>
      <c r="N1685" s="6" t="str">
        <f>IFERROR(__xludf.DUMMYFUNCTION("""COMPUTED_VALUE"""),"Чистота")</f>
        <v>Чистота</v>
      </c>
      <c r="O1685" s="6" t="str">
        <f>IFERROR(__xludf.DUMMYFUNCTION("""COMPUTED_VALUE"""),"Дороги")</f>
        <v>Дороги</v>
      </c>
      <c r="P1685" s="6" t="str">
        <f>IFERROR(__xludf.DUMMYFUNCTION("""COMPUTED_VALUE"""),"Подслушано Кемерово")</f>
        <v>Подслушано Кемерово</v>
      </c>
      <c r="Q1685" s="6" t="str">
        <f>IFERROR(__xludf.DUMMYFUNCTION("""COMPUTED_VALUE"""),"куда пойти в свободное время, интервью с местными творческими личностями, криминальные новости (происшествия/преступления)")</f>
        <v>куда пойти в свободное время, интервью с местными творческими личностями, криминальные новости (происшествия/преступления)</v>
      </c>
      <c r="R1685" s="6" t="str">
        <f>IFERROR(__xludf.DUMMYFUNCTION("""COMPUTED_VALUE"""),"9 мая, день города")</f>
        <v>9 мая, день города</v>
      </c>
      <c r="S1685" s="6" t="str">
        <f>IFERROR(__xludf.DUMMYFUNCTION("""COMPUTED_VALUE"""),"Обращался в редакции электронных городских СМИ")</f>
        <v>Обращался в редакции электронных городских СМИ</v>
      </c>
      <c r="T1685" s="6" t="str">
        <f>IFERROR(__xludf.DUMMYFUNCTION("""COMPUTED_VALUE"""),"Шахты")</f>
        <v>Шахты</v>
      </c>
      <c r="U1685" s="6" t="str">
        <f>IFERROR(__xludf.DUMMYFUNCTION("""COMPUTED_VALUE"""),"Бульвар, Кирова")</f>
        <v>Бульвар, Кирова</v>
      </c>
      <c r="V1685" s="6" t="str">
        <f>IFERROR(__xludf.DUMMYFUNCTION("""COMPUTED_VALUE"""),"Помогли боротся с пандемией")</f>
        <v>Помогли боротся с пандемией</v>
      </c>
      <c r="W1685" s="6" t="str">
        <f>IFERROR(__xludf.DUMMYFUNCTION("""COMPUTED_VALUE"""),"Стойкие, добрые")</f>
        <v>Стойкие, добрые</v>
      </c>
      <c r="X1685" s="6" t="str">
        <f>IFERROR(__xludf.DUMMYFUNCTION("""COMPUTED_VALUE"""),"С вокзала до парка ангелов от туда до вечного огня и по набережной в сторону вокзала")</f>
        <v>С вокзала до парка ангелов от туда до вечного огня и по набережной в сторону вокзала</v>
      </c>
      <c r="Y1685" s="6" t="str">
        <f>IFERROR(__xludf.DUMMYFUNCTION("""COMPUTED_VALUE"""),"Нашли уголь")</f>
        <v>Нашли уголь</v>
      </c>
      <c r="Z1685" s="6" t="str">
        <f>IFERROR(__xludf.DUMMYFUNCTION("""COMPUTED_VALUE"""),"Поздравление ветеранов, бал цветов")</f>
        <v>Поздравление ветеранов, бал цветов</v>
      </c>
      <c r="AA1685" s="6" t="str">
        <f>IFERROR(__xludf.DUMMYFUNCTION("""COMPUTED_VALUE"""),".")</f>
        <v>.</v>
      </c>
      <c r="AB1685" s="6" t="str">
        <f>IFERROR(__xludf.DUMMYFUNCTION("""COMPUTED_VALUE"""),"Панк, панк-рок")</f>
        <v>Панк, панк-рок</v>
      </c>
      <c r="AC1685" s="6" t="str">
        <f>IFERROR(__xludf.DUMMYFUNCTION("""COMPUTED_VALUE"""),"Рок концерты")</f>
        <v>Рок концерты</v>
      </c>
      <c r="AD1685"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685" s="6" t="str">
        <f>IFERROR(__xludf.DUMMYFUNCTION("""COMPUTED_VALUE"""),"Мужской")</f>
        <v>Мужской</v>
      </c>
      <c r="AF1685" s="6" t="str">
        <f>IFERROR(__xludf.DUMMYFUNCTION("""COMPUTED_VALUE"""),"18-29")</f>
        <v>18-29</v>
      </c>
      <c r="AG1685" s="6"/>
      <c r="AH1685" s="6"/>
      <c r="AI1685" s="6"/>
      <c r="AJ1685" s="6"/>
      <c r="AK1685" s="6"/>
      <c r="AL1685" s="6"/>
      <c r="AM1685" s="6"/>
    </row>
    <row r="1686">
      <c r="A1686" s="6">
        <v>1685.0</v>
      </c>
      <c r="B1686" s="6" t="str">
        <f>IFERROR(__xludf.DUMMYFUNCTION("""COMPUTED_VALUE"""),"Медицина")</f>
        <v>Медицина</v>
      </c>
      <c r="C1686" s="6" t="str">
        <f>IFERROR(__xludf.DUMMYFUNCTION("""COMPUTED_VALUE"""),"Гулять по аллеям и паркам")</f>
        <v>Гулять по аллеям и паркам</v>
      </c>
      <c r="D1686" s="6" t="str">
        <f>IFERROR(__xludf.DUMMYFUNCTION("""COMPUTED_VALUE"""),"Заводской (Южный) ")</f>
        <v>Заводской (Южный) </v>
      </c>
      <c r="E1686" s="6" t="str">
        <f>IFERROR(__xludf.DUMMYFUNCTION("""COMPUTED_VALUE"""),"Набережная, парки")</f>
        <v>Набережная, парки</v>
      </c>
      <c r="F1686" s="6" t="str">
        <f>IFERROR(__xludf.DUMMYFUNCTION("""COMPUTED_VALUE"""),"Живу здесь с рождения")</f>
        <v>Живу здесь с рождения</v>
      </c>
      <c r="G1686" s="6" t="str">
        <f>IFERROR(__xludf.DUMMYFUNCTION("""COMPUTED_VALUE"""),"Парки, алеи, бульвары, скверы")</f>
        <v>Парки, алеи, бульвары, скверы</v>
      </c>
      <c r="H1686" s="6" t="str">
        <f>IFERROR(__xludf.DUMMYFUNCTION("""COMPUTED_VALUE"""),"Красивый компактный ")</f>
        <v>Красивый компактный </v>
      </c>
      <c r="I1686" s="6" t="str">
        <f>IFERROR(__xludf.DUMMYFUNCTION("""COMPUTED_VALUE"""),"Не помню ")</f>
        <v>Не помню </v>
      </c>
      <c r="J1686" s="6" t="str">
        <f>IFERROR(__xludf.DUMMYFUNCTION("""COMPUTED_VALUE"""),"Незнаю ")</f>
        <v>Незнаю </v>
      </c>
      <c r="K1686" s="6" t="str">
        <f>IFERROR(__xludf.DUMMYFUNCTION("""COMPUTED_VALUE"""),"Набережная парк Кузбасс парк ангелов и тд")</f>
        <v>Набережная парк Кузбасс парк ангелов и тд</v>
      </c>
      <c r="L1686" s="6" t="str">
        <f>IFERROR(__xludf.DUMMYFUNCTION("""COMPUTED_VALUE"""),"Не помню")</f>
        <v>Не помню</v>
      </c>
      <c r="M1686" s="6" t="str">
        <f>IFERROR(__xludf.DUMMYFUNCTION("""COMPUTED_VALUE"""),"Нет")</f>
        <v>Нет</v>
      </c>
      <c r="N1686" s="6" t="str">
        <f>IFERROR(__xludf.DUMMYFUNCTION("""COMPUTED_VALUE"""),"Все доступность")</f>
        <v>Все доступность</v>
      </c>
      <c r="O1686" s="6" t="str">
        <f>IFERROR(__xludf.DUMMYFUNCTION("""COMPUTED_VALUE"""),"Экологию, озеленить город, обновить здания (реставрировать) хотя бы перекрасить, построить больше парков и алей, местами починить дорогу")</f>
        <v>Экологию, озеленить город, обновить здания (реставрировать) хотя бы перекрасить, построить больше парков и алей, местами починить дорогу</v>
      </c>
      <c r="P1686" s="6" t="str">
        <f>IFERROR(__xludf.DUMMYFUNCTION("""COMPUTED_VALUE"""),"Интернет")</f>
        <v>Интернет</v>
      </c>
      <c r="Q1686" s="6" t="str">
        <f>IFERROR(__xludf.DUMMYFUNCTION("""COMPUTED_VALUE"""),"куда пойти в свободное время, интервью с местными политиками, интервью с местными предпринимателями")</f>
        <v>куда пойти в свободное время, интервью с местными политиками, интервью с местными предпринимателями</v>
      </c>
      <c r="R1686" s="6" t="str">
        <f>IFERROR(__xludf.DUMMYFUNCTION("""COMPUTED_VALUE""")," Множество")</f>
        <v> Множество</v>
      </c>
      <c r="S1686" s="6" t="str">
        <f>IFERROR(__xludf.DUMMYFUNCTION("""COMPUTED_VALUE"""),"Нет, не приходилось")</f>
        <v>Нет, не приходилось</v>
      </c>
      <c r="T1686" s="6" t="str">
        <f>IFERROR(__xludf.DUMMYFUNCTION("""COMPUTED_VALUE"""),"Беспонятия ")</f>
        <v>Беспонятия </v>
      </c>
      <c r="U1686" s="6" t="str">
        <f>IFERROR(__xludf.DUMMYFUNCTION("""COMPUTED_VALUE"""),"Незнаю ")</f>
        <v>Незнаю </v>
      </c>
      <c r="V1686" s="6" t="str">
        <f>IFERROR(__xludf.DUMMYFUNCTION("""COMPUTED_VALUE"""),"Затрудняюсь ответить")</f>
        <v>Затрудняюсь ответить</v>
      </c>
      <c r="W1686" s="6" t="str">
        <f>IFERROR(__xludf.DUMMYFUNCTION("""COMPUTED_VALUE"""),"Больше дружелюбные, и хорошие, по меньше бы алкашей и гопников по улицам ")</f>
        <v>Больше дружелюбные, и хорошие, по меньше бы алкашей и гопников по улицам </v>
      </c>
      <c r="X1686" s="6" t="str">
        <f>IFERROR(__xludf.DUMMYFUNCTION("""COMPUTED_VALUE"""),"Набережная, совецкий")</f>
        <v>Набережная, совецкий</v>
      </c>
      <c r="Y1686" s="6" t="str">
        <f>IFERROR(__xludf.DUMMYFUNCTION("""COMPUTED_VALUE"""),"Затрудняюсь ответить ")</f>
        <v>Затрудняюсь ответить </v>
      </c>
      <c r="Z1686" s="6" t="str">
        <f>IFERROR(__xludf.DUMMYFUNCTION("""COMPUTED_VALUE"""),"Их небыло ")</f>
        <v>Их небыло </v>
      </c>
      <c r="AA1686" s="6" t="str">
        <f>IFERROR(__xludf.DUMMYFUNCTION("""COMPUTED_VALUE"""),"Не следил за этим")</f>
        <v>Не следил за этим</v>
      </c>
      <c r="AB1686" s="6" t="str">
        <f>IFERROR(__xludf.DUMMYFUNCTION("""COMPUTED_VALUE"""),"Контроль за чистотой в городе, за мусором, за не адекватными людьми ")</f>
        <v>Контроль за чистотой в городе, за мусором, за не адекватными людьми </v>
      </c>
      <c r="AC1686" s="6" t="str">
        <f>IFERROR(__xludf.DUMMYFUNCTION("""COMPUTED_VALUE"""),"По больше прогулочных мест, парки бульвары, алеи, озеленение города в целом чистота и порядок")</f>
        <v>По больше прогулочных мест, парки бульвары, алеи, озеленение города в целом чистота и порядок</v>
      </c>
      <c r="AD168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Запустить свой предпринимательский проект, организовать компанию.</v>
      </c>
      <c r="AE1686" s="6" t="str">
        <f>IFERROR(__xludf.DUMMYFUNCTION("""COMPUTED_VALUE"""),"Мужской")</f>
        <v>Мужской</v>
      </c>
      <c r="AF1686" s="6" t="str">
        <f>IFERROR(__xludf.DUMMYFUNCTION("""COMPUTED_VALUE"""),"18-29")</f>
        <v>18-29</v>
      </c>
      <c r="AG1686" s="6"/>
      <c r="AH1686" s="6"/>
      <c r="AI1686" s="6"/>
      <c r="AJ1686" s="6"/>
      <c r="AK1686" s="6"/>
      <c r="AL1686" s="6"/>
      <c r="AM1686" s="6"/>
    </row>
    <row r="1687">
      <c r="A1687" s="6">
        <v>1686.0</v>
      </c>
      <c r="B1687" s="6" t="str">
        <f>IFERROR(__xludf.DUMMYFUNCTION("""COMPUTED_VALUE"""),"Врач-стоматолог")</f>
        <v>Врач-стоматолог</v>
      </c>
      <c r="C1687" s="6" t="str">
        <f>IFERROR(__xludf.DUMMYFUNCTION("""COMPUTED_VALUE"""),"Пою, играю на муз.инструментах, рисую")</f>
        <v>Пою, играю на муз.инструментах, рисую</v>
      </c>
      <c r="D1687" s="6" t="str">
        <f>IFERROR(__xludf.DUMMYFUNCTION("""COMPUTED_VALUE"""),"Центральный район, называю центр")</f>
        <v>Центральный район, называю центр</v>
      </c>
      <c r="E1687" s="6" t="str">
        <f>IFERROR(__xludf.DUMMYFUNCTION("""COMPUTED_VALUE"""),"Набережная, Весенняя улица, Парк Победы")</f>
        <v>Набережная, Весенняя улица, Парк Победы</v>
      </c>
      <c r="F1687" s="6" t="str">
        <f>IFERROR(__xludf.DUMMYFUNCTION("""COMPUTED_VALUE"""),"Переехал сюда из другого места (откуда? укажите в графе другое), Переехал почти 10 лет назад из Белово для учебы в вузе")</f>
        <v>Переехал сюда из другого места (откуда? укажите в графе другое), Переехал почти 10 лет назад из Белово для учебы в вузе</v>
      </c>
      <c r="G1687" s="6" t="str">
        <f>IFERROR(__xludf.DUMMYFUNCTION("""COMPUTED_VALUE"""),"Парк Победы, Парк Антошка, Набережная, просто гуляю по Ленина")</f>
        <v>Парк Победы, Парк Антошка, Набережная, просто гуляю по Ленина</v>
      </c>
      <c r="H1687" s="6" t="str">
        <f>IFERROR(__xludf.DUMMYFUNCTION("""COMPUTED_VALUE"""),"Уголь, смог, чисто, ")</f>
        <v>Уголь, смог, чисто, </v>
      </c>
      <c r="I1687" s="6" t="str">
        <f>IFERROR(__xludf.DUMMYFUNCTION("""COMPUTED_VALUE"""),"Врач Подгорбунский, Тулеев")</f>
        <v>Врач Подгорбунский, Тулеев</v>
      </c>
      <c r="J1687" s="6" t="str">
        <f>IFERROR(__xludf.DUMMYFUNCTION("""COMPUTED_VALUE"""),"Тулеев многое сделал для Кузбасса и для его жителей")</f>
        <v>Тулеев многое сделал для Кузбасса и для его жителей</v>
      </c>
      <c r="K1687" s="6" t="str">
        <f>IFERROR(__xludf.DUMMYFUNCTION("""COMPUTED_VALUE"""),"Набережная, площадь театра драмы, центральная площадь, парки")</f>
        <v>Набережная, площадь театра драмы, центральная площадь, парки</v>
      </c>
      <c r="L1687" s="6" t="str">
        <f>IFERROR(__xludf.DUMMYFUNCTION("""COMPUTED_VALUE"""),"Не знаю такого")</f>
        <v>Не знаю такого</v>
      </c>
      <c r="M1687" s="6" t="str">
        <f>IFERROR(__xludf.DUMMYFUNCTION("""COMPUTED_VALUE"""),"ФэПэКа, ягуновка")</f>
        <v>ФэПэКа, ягуновка</v>
      </c>
      <c r="N1687" s="6" t="str">
        <f>IFERROR(__xludf.DUMMYFUNCTION("""COMPUTED_VALUE"""),"Чистота, доступное жилье (которое сейчас не купить!), доступная работа с честными работодателями, доступная качественная и адекватная медицина, реальная возможность получить образование. Безопасная жизнь, адекватная полиция.")</f>
        <v>Чистота, доступное жилье (которое сейчас не купить!), доступная работа с честными работодателями, доступная качественная и адекватная медицина, реальная возможность получить образование. Безопасная жизнь, адекватная полиция.</v>
      </c>
      <c r="O1687" s="6" t="str">
        <f>IFERROR(__xludf.DUMMYFUNCTION("""COMPUTED_VALUE"""),"Система здравоохранения просто в ужасном состоянии. Проблема с прохождением медицинских комиссий - никто никого нормально не осматривает. Прлблема в управляющими домовыми компаниями. Полиция не реагирует на вызовы!!")</f>
        <v>Система здравоохранения просто в ужасном состоянии. Проблема с прохождением медицинских комиссий - никто никого нормально не осматривает. Прлблема в управляющими домовыми компаниями. Полиция не реагирует на вызовы!!</v>
      </c>
      <c r="P1687" s="6" t="str">
        <f>IFERROR(__xludf.DUMMYFUNCTION("""COMPUTED_VALUE"""),"Подслушано Кемерово, регион 42 и подобные паблики в вк и инсте")</f>
        <v>Подслушано Кемерово, регион 42 и подобные паблики в вк и инсте</v>
      </c>
      <c r="Q1687" s="6" t="str">
        <f>IFERROR(__xludf.DUMMYFUNCTION("""COMPUTED_VALUE"""),"куда пойти в свободное время, городская афиша (кино/театр/концерты), криминальные новости (происшествия/преступления), результаты местных исследований (рейтинги/аналитика/тенденции)")</f>
        <v>куда пойти в свободное время, городская афиша (кино/театр/концерты), криминальные новости (происшествия/преступления), результаты местных исследований (рейтинги/аналитика/тенденции)</v>
      </c>
      <c r="R1687" s="6" t="str">
        <f>IFERROR(__xludf.DUMMYFUNCTION("""COMPUTED_VALUE"""),"День города, день Победы, Новый год")</f>
        <v>День города, день Победы, Новый год</v>
      </c>
      <c r="S1687" s="6" t="str">
        <f>IFERROR(__xludf.DUMMYFUNCTION("""COMPUTED_VALUE"""),"Нет, не приходилось")</f>
        <v>Нет, не приходилось</v>
      </c>
      <c r="T1687" s="6" t="str">
        <f>IFERROR(__xludf.DUMMYFUNCTION("""COMPUTED_VALUE"""),"Ресторан с кемеровской кухней, музей Красная горка")</f>
        <v>Ресторан с кемеровской кухней, музей Красная горка</v>
      </c>
      <c r="U1687" s="6" t="str">
        <f>IFERROR(__xludf.DUMMYFUNCTION("""COMPUTED_VALUE"""),"Шахтер с сердцем на красной горке")</f>
        <v>Шахтер с сердцем на красной горке</v>
      </c>
      <c r="V1687" s="6" t="str">
        <f>IFERROR(__xludf.DUMMYFUNCTION("""COMPUTED_VALUE"""),"Не могу сразу ответить")</f>
        <v>Не могу сразу ответить</v>
      </c>
      <c r="W1687" s="6" t="str">
        <f>IFERROR(__xludf.DUMMYFUNCTION("""COMPUTED_VALUE"""),"Обычные люди")</f>
        <v>Обычные люди</v>
      </c>
      <c r="X1687" s="6" t="str">
        <f>IFERROR(__xludf.DUMMYFUNCTION("""COMPUTED_VALUE"""),"По ул. Советской до набережной")</f>
        <v>По ул. Советской до набережной</v>
      </c>
      <c r="Y1687" s="6" t="str">
        <f>IFERROR(__xludf.DUMMYFUNCTION("""COMPUTED_VALUE"""),"Зимняя вишня...")</f>
        <v>Зимняя вишня...</v>
      </c>
      <c r="Z1687" s="6" t="str">
        <f>IFERROR(__xludf.DUMMYFUNCTION("""COMPUTED_VALUE"""),"То, что стали реконструировать город, переделывают парк Победы.")</f>
        <v>То, что стали реконструировать город, переделывают парк Победы.</v>
      </c>
      <c r="AA1687" s="6" t="str">
        <f>IFERROR(__xludf.DUMMYFUNCTION("""COMPUTED_VALUE"""),"...")</f>
        <v>...</v>
      </c>
      <c r="AB1687" s="6" t="str">
        <f>IFERROR(__xludf.DUMMYFUNCTION("""COMPUTED_VALUE"""),"Творческие коллективы, чтобы петь бесплатно (одни религиозные секты предлагают бесплатные вокальные коллективы), мероприятия по медицине (работа с населением, проведение бесплатных или очень дешевых семинаров/лекций по здоровью) - готова способствовать эт"&amp;"ому (не знаю, правда, как)")</f>
        <v>Творческие коллективы, чтобы петь бесплатно (одни религиозные секты предлагают бесплатные вокальные коллективы), мероприятия по медицине (работа с населением, проведение бесплатных или очень дешевых семинаров/лекций по здоровью) - готова способствовать этому (не знаю, правда, как)</v>
      </c>
      <c r="AC1687" s="6" t="str">
        <f>IFERROR(__xludf.DUMMYFUNCTION("""COMPUTED_VALUE"""),"Ярмарки, концерты детей из школ искусств, выставки картин непрофессиональных художников и возможность туда попасть, лекции по здоровью!")</f>
        <v>Ярмарки, концерты детей из школ искусств, выставки картин непрофессиональных художников и возможность туда попасть, лекции по здоровью!</v>
      </c>
      <c r="AD1687"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Запустить свой предпринимательский проект, организовать компанию., Тема: стоматология и медицина")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 Тема: стоматология и медицина</v>
      </c>
      <c r="AE1687" s="6" t="str">
        <f>IFERROR(__xludf.DUMMYFUNCTION("""COMPUTED_VALUE"""),"Женский")</f>
        <v>Женский</v>
      </c>
      <c r="AF1687" s="6" t="str">
        <f>IFERROR(__xludf.DUMMYFUNCTION("""COMPUTED_VALUE"""),"18-29")</f>
        <v>18-29</v>
      </c>
      <c r="AG1687" s="6"/>
      <c r="AH1687" s="6"/>
      <c r="AI1687" s="6"/>
      <c r="AJ1687" s="6"/>
      <c r="AK1687" s="6"/>
      <c r="AL1687" s="6"/>
      <c r="AM1687" s="6"/>
    </row>
    <row r="1688">
      <c r="A1688" s="6">
        <v>1687.0</v>
      </c>
      <c r="B1688" s="6" t="str">
        <f>IFERROR(__xludf.DUMMYFUNCTION("""COMPUTED_VALUE"""),"Учусь, студент")</f>
        <v>Учусь, студент</v>
      </c>
      <c r="C1688" s="6" t="str">
        <f>IFERROR(__xludf.DUMMYFUNCTION("""COMPUTED_VALUE"""),"Нет времени для хобби, все время уходит в учебу")</f>
        <v>Нет времени для хобби, все время уходит в учебу</v>
      </c>
      <c r="D1688" s="6" t="str">
        <f>IFERROR(__xludf.DUMMYFUNCTION("""COMPUTED_VALUE"""),"Центральный район, центр")</f>
        <v>Центральный район, центр</v>
      </c>
      <c r="E1688" s="6" t="str">
        <f>IFERROR(__xludf.DUMMYFUNCTION("""COMPUTED_VALUE"""),"Так как это центр, там очень много парков, площадок аллей. Для меня самыми знаковыми являются парк ангелов, набережная, парк жукова, парк аттракционов")</f>
        <v>Так как это центр, там очень много парков, площадок аллей. Для меня самыми знаковыми являются парк ангелов, набережная, парк жукова, парк аттракционов</v>
      </c>
      <c r="F1688" s="6" t="str">
        <f>IFERROR(__xludf.DUMMYFUNCTION("""COMPUTED_VALUE"""),"Поступила в университет в г. Кемерово")</f>
        <v>Поступила в университет в г. Кемерово</v>
      </c>
      <c r="G1688" s="6" t="str">
        <f>IFERROR(__xludf.DUMMYFUNCTION("""COMPUTED_VALUE"""),"Гуляю по набережной, парк ангелов, иногда просто по улицам")</f>
        <v>Гуляю по набережной, парк ангелов, иногда просто по улицам</v>
      </c>
      <c r="H1688" s="6" t="str">
        <f>IFERROR(__xludf.DUMMYFUNCTION("""COMPUTED_VALUE"""),"Серый, если убрать центральный район, лесную поляну и, наверное, радугу, то Кемерово - это просто большая деревня. ")</f>
        <v>Серый, если убрать центральный район, лесную поляну и, наверное, радугу, то Кемерово - это просто большая деревня. </v>
      </c>
      <c r="I1688" s="6" t="str">
        <f>IFERROR(__xludf.DUMMYFUNCTION("""COMPUTED_VALUE"""),"Не знаю таких. Если можно назвать Тулеева человеком прошлого, то пожалуй, я бы назвал его. Могу назвать из настоящего времени Гришковца и, возможно, Малышеву")</f>
        <v>Не знаю таких. Если можно назвать Тулеева человеком прошлого, то пожалуй, я бы назвал его. Могу назвать из настоящего времени Гришковца и, возможно, Малышеву</v>
      </c>
      <c r="J1688" s="6" t="str">
        <f>IFERROR(__xludf.DUMMYFUNCTION("""COMPUTED_VALUE"""),"Не знаю таких людей, которые делали что-то для Кемерово")</f>
        <v>Не знаю таких людей, которые делали что-то для Кемерово</v>
      </c>
      <c r="K1688" s="6" t="str">
        <f>IFERROR(__xludf.DUMMYFUNCTION("""COMPUTED_VALUE"""),"Я сама не местная, поэтому повела бы туда, где сама чаще всего гуляю : набережная, парк ангелов, лесная поляна. ")</f>
        <v>Я сама не местная, поэтому повела бы туда, где сама чаще всего гуляю : набережная, парк ангелов, лесная поляна. </v>
      </c>
      <c r="L1688" s="6" t="str">
        <f>IFERROR(__xludf.DUMMYFUNCTION("""COMPUTED_VALUE"""),"Не припомню")</f>
        <v>Не припомню</v>
      </c>
      <c r="M1688" s="6" t="str">
        <f>IFERROR(__xludf.DUMMYFUNCTION("""COMPUTED_VALUE"""),"Лапландия-лапа")</f>
        <v>Лапландия-лапа</v>
      </c>
      <c r="N1688" s="6" t="str">
        <f>IFERROR(__xludf.DUMMYFUNCTION("""COMPUTED_VALUE"""),"Красивые здания, окрашенные в тёплые цвета, в одном стиле, без обшарпанных стен. Больше растительности, деревьев, кустарников.  Люди были бы добрее и вежливее, было бы замечательно. Больше мест для развлечений, а не только парки и алеи. Хоть один нормальн"&amp;"ый большой торговый центр с НОРМАЛЬНЫМИ магазинами (брендовыми) ")</f>
        <v>Красивые здания, окрашенные в тёплые цвета, в одном стиле, без обшарпанных стен. Больше растительности, деревьев, кустарников.  Люди были бы добрее и вежливее, было бы замечательно. Больше мест для развлечений, а не только парки и алеи. Хоть один нормальный большой торговый центр с НОРМАЛЬНЫМИ магазинами (брендовыми) </v>
      </c>
      <c r="O1688" s="6" t="str">
        <f>IFERROR(__xludf.DUMMYFUNCTION("""COMPUTED_VALUE"""),"Экологию!!! ")</f>
        <v>Экологию!!! </v>
      </c>
      <c r="P1688" s="6" t="str">
        <f>IFERROR(__xludf.DUMMYFUNCTION("""COMPUTED_VALUE"""),"Универ, инстаграм")</f>
        <v>Универ, инстаграм</v>
      </c>
      <c r="Q1688" s="6" t="str">
        <f>IFERROR(__xludf.DUMMYFUNCTION("""COMPUTED_VALUE"""),"куда пойти в свободное время, криминальные новости (происшествия/преступления)")</f>
        <v>куда пойти в свободное время, криминальные новости (происшествия/преступления)</v>
      </c>
      <c r="R1688" s="6" t="str">
        <f>IFERROR(__xludf.DUMMYFUNCTION("""COMPUTED_VALUE"""),"Не знаю, на праздники я обычно в другом городе, дома, а не в Кемерово ")</f>
        <v>Не знаю, на праздники я обычно в другом городе, дома, а не в Кемерово </v>
      </c>
      <c r="S1688" s="6" t="str">
        <f>IFERROR(__xludf.DUMMYFUNCTION("""COMPUTED_VALUE"""),"Нет, не приходилось")</f>
        <v>Нет, не приходилось</v>
      </c>
      <c r="T1688" s="6" t="str">
        <f>IFERROR(__xludf.DUMMYFUNCTION("""COMPUTED_VALUE"""),"К сожалению г. Кемерово славится во всероссийских СМИ только новостями с плохим окрасом: ""Зимняя вишня"", ""Елка за 18млн."" и т.д. В сериалах или в фильмах, если и говорится о городе Кемерово, то также в плохом окрасе")</f>
        <v>К сожалению г. Кемерово славится во всероссийских СМИ только новостями с плохим окрасом: "Зимняя вишня", "Елка за 18млн." и т.д. В сериалах или в фильмах, если и говорится о городе Кемерово, то также в плохом окрасе</v>
      </c>
      <c r="U1688" s="6" t="str">
        <f>IFERROR(__xludf.DUMMYFUNCTION("""COMPUTED_VALUE"""),"Центральный район, вокзал - именно с него и начинается знакомство с г.Кемерово. Допустим, мне вообще не нравится вокзал. Если автовокзал ещё более менее современный снаружи, то ЖД Вокзал окрашен в ужасный, отталкиввющий цвет, как в психушке какой-то. ")</f>
        <v>Центральный район, вокзал - именно с него и начинается знакомство с г.Кемерово. Допустим, мне вообще не нравится вокзал. Если автовокзал ещё более менее современный снаружи, то ЖД Вокзал окрашен в ужасный, отталкиввющий цвет, как в психушке какой-то. </v>
      </c>
      <c r="V1688" s="6" t="str">
        <f>IFERROR(__xludf.DUMMYFUNCTION("""COMPUTED_VALUE"""),"Не знаю")</f>
        <v>Не знаю</v>
      </c>
      <c r="W1688" s="6" t="str">
        <f>IFERROR(__xludf.DUMMYFUNCTION("""COMPUTED_VALUE"""),"Грубые, хмурые, безразличные, быдло (по отношению к молодежи). Также стоит сказать, что молодёжь-это будущее города, страны, региона, а посмотришь на них, так плакать хочется, попугаи какие-то разноцветные ходят. В других городах Кемеровской области тоже "&amp;"есть такие, но в Кемерово их большое колличество")</f>
        <v>Грубые, хмурые, безразличные, быдло (по отношению к молодежи). Также стоит сказать, что молодёжь-это будущее города, страны, региона, а посмотришь на них, так плакать хочется, попугаи какие-то разноцветные ходят. В других городах Кемеровской области тоже есть такие, но в Кемерово их большое колличество</v>
      </c>
      <c r="X1688" s="6" t="str">
        <f>IFERROR(__xludf.DUMMYFUNCTION("""COMPUTED_VALUE"""),"Вокзал-Парк Ангелов - набережная+аттракционы - кадетская школа - лесная поляна")</f>
        <v>Вокзал-Парк Ангелов - набережная+аттракционы - кадетская школа - лесная поляна</v>
      </c>
      <c r="Y1688" s="6" t="str">
        <f>IFERROR(__xludf.DUMMYFUNCTION("""COMPUTED_VALUE"""),"В голову приходят только отрицательные истории")</f>
        <v>В голову приходят только отрицательные истории</v>
      </c>
      <c r="Z1688" s="6" t="str">
        <f>IFERROR(__xludf.DUMMYFUNCTION("""COMPUTED_VALUE"""),"Не знаю")</f>
        <v>Не знаю</v>
      </c>
      <c r="AA1688" s="6" t="str">
        <f>IFERROR(__xludf.DUMMYFUNCTION("""COMPUTED_VALUE"""),". ")</f>
        <v>. </v>
      </c>
      <c r="AB1688" s="6" t="str">
        <f>IFERROR(__xludf.DUMMYFUNCTION("""COMPUTED_VALUE"""),"Непонятен вопрос ")</f>
        <v>Непонятен вопрос </v>
      </c>
      <c r="AC1688" s="6" t="str">
        <f>IFERROR(__xludf.DUMMYFUNCTION("""COMPUTED_VALUE"""),"Что-то для молодёжи ")</f>
        <v>Что-то для молодёжи </v>
      </c>
      <c r="AD168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88" s="6" t="str">
        <f>IFERROR(__xludf.DUMMYFUNCTION("""COMPUTED_VALUE"""),"Женский")</f>
        <v>Женский</v>
      </c>
      <c r="AF1688" s="6" t="str">
        <f>IFERROR(__xludf.DUMMYFUNCTION("""COMPUTED_VALUE"""),"18-29")</f>
        <v>18-29</v>
      </c>
      <c r="AG1688" s="6"/>
      <c r="AH1688" s="6"/>
      <c r="AI1688" s="6"/>
      <c r="AJ1688" s="6"/>
      <c r="AK1688" s="6"/>
      <c r="AL1688" s="6"/>
      <c r="AM1688" s="6"/>
    </row>
    <row r="1689">
      <c r="A1689" s="6">
        <v>1688.0</v>
      </c>
      <c r="B1689" s="6" t="str">
        <f>IFERROR(__xludf.DUMMYFUNCTION("""COMPUTED_VALUE"""),"Студент КемГу. Обучающийся факультета педагогики и психологии.")</f>
        <v>Студент КемГу. Обучающийся факультета педагогики и психологии.</v>
      </c>
      <c r="C1689" s="6" t="str">
        <f>IFERROR(__xludf.DUMMYFUNCTION("""COMPUTED_VALUE"""),"Рисование, чтение, конструирование.")</f>
        <v>Рисование, чтение, конструирование.</v>
      </c>
      <c r="D1689" s="6" t="str">
        <f>IFERROR(__xludf.DUMMYFUNCTION("""COMPUTED_VALUE"""),"Ленинский район")</f>
        <v>Ленинский район</v>
      </c>
      <c r="E1689" s="6" t="str">
        <f>IFERROR(__xludf.DUMMYFUNCTION("""COMPUTED_VALUE"""),"Парк Веры Волошиной, бульвары строителей.")</f>
        <v>Парк Веры Волошиной, бульвары строителей.</v>
      </c>
      <c r="F1689" s="6" t="str">
        <f>IFERROR(__xludf.DUMMYFUNCTION("""COMPUTED_VALUE"""),"Живу здесь с рождения")</f>
        <v>Живу здесь с рождения</v>
      </c>
      <c r="G1689" s="6" t="str">
        <f>IFERROR(__xludf.DUMMYFUNCTION("""COMPUTED_VALUE"""),"Парк Веры Волошиной, Кузбасский парк, Парк Ангелов, набережная, Парк ""Березовая  роща"", бульвар строителей, музеи ( краеведческий музей, музей изобразительных искусств, кузбасский центр искусств), театры (театр драмы, музыкальный театр, театр ""Ложа"", "&amp;"Кузгту)")</f>
        <v>Парк Веры Волошиной, Кузбасский парк, Парк Ангелов, набережная, Парк "Березовая  роща", бульвар строителей, музеи ( краеведческий музей, музей изобразительных искусств, кузбасский центр искусств), театры (театр драмы, музыкальный театр, театр "Ложа", Кузгту)</v>
      </c>
      <c r="H1689" s="6" t="str">
        <f>IFERROR(__xludf.DUMMYFUNCTION("""COMPUTED_VALUE"""),"Сибирь, гроза, асфальт, пробка, дорога.")</f>
        <v>Сибирь, гроза, асфальт, пробка, дорога.</v>
      </c>
      <c r="I1689" s="6" t="str">
        <f>IFERROR(__xludf.DUMMYFUNCTION("""COMPUTED_VALUE"""),"Кобзон, Малышева, Самойлов")</f>
        <v>Кобзон, Малышева, Самойлов</v>
      </c>
      <c r="J1689" s="6" t="str">
        <f>IFERROR(__xludf.DUMMYFUNCTION("""COMPUTED_VALUE"""),"Гришковец, Малышева")</f>
        <v>Гришковец, Малышева</v>
      </c>
      <c r="K1689" s="6" t="str">
        <f>IFERROR(__xludf.DUMMYFUNCTION("""COMPUTED_VALUE"""),"Набережная, музеи, парк ангелов.")</f>
        <v>Набережная, музеи, парк ангелов.</v>
      </c>
      <c r="L1689" s="6" t="str">
        <f>IFERROR(__xludf.DUMMYFUNCTION("""COMPUTED_VALUE"""),"Хотели как лучше, получилось как всегда. Все не как у людей. ")</f>
        <v>Хотели как лучше, получилось как всегда. Все не как у людей. </v>
      </c>
      <c r="M1689" s="6" t="str">
        <f>IFERROR(__xludf.DUMMYFUNCTION("""COMPUTED_VALUE"""),"Файлик, мультифора")</f>
        <v>Файлик, мультифора</v>
      </c>
      <c r="N1689" s="6" t="str">
        <f>IFERROR(__xludf.DUMMYFUNCTION("""COMPUTED_VALUE"""),"Низкая кримильность, развитый транспорт (метро хотелось бы), экология, климат (не слишком холодно, но и не жарко), развитые ресурсы для развития в сфере искусства (литературные клубы, кружки, музеи, объединения единомышленников)")</f>
        <v>Низкая кримильность, развитый транспорт (метро хотелось бы), экология, климат (не слишком холодно, но и не жарко), развитые ресурсы для развития в сфере искусства (литературные клубы, кружки, музеи, объединения единомышленников)</v>
      </c>
      <c r="O1689" s="6" t="str">
        <f>IFERROR(__xludf.DUMMYFUNCTION("""COMPUTED_VALUE"""),"Дороги, асфальты, аварийные дома и постройки 20 века ")</f>
        <v>Дороги, асфальты, аварийные дома и постройки 20 века </v>
      </c>
      <c r="P1689" s="6" t="str">
        <f>IFERROR(__xludf.DUMMYFUNCTION("""COMPUTED_VALUE"""),"Интернет, рассылк по электронной почте, социальные сети (Инстаграм, ВКонтакте).")</f>
        <v>Интернет, рассылк по электронной почте, социальные сети (Инстаграм, ВКонтакте).</v>
      </c>
      <c r="Q168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v>
      </c>
      <c r="R1689" s="6" t="str">
        <f>IFERROR(__xludf.DUMMYFUNCTION("""COMPUTED_VALUE"""),"9 мая, день шахтера, новый год, пасха.")</f>
        <v>9 мая, день шахтера, новый год, пасха.</v>
      </c>
      <c r="S1689" s="6" t="str">
        <f>IFERROR(__xludf.DUMMYFUNCTION("""COMPUTED_VALUE"""),"Делал рассылку по электронной почте")</f>
        <v>Делал рассылку по электронной почте</v>
      </c>
      <c r="T1689" s="6" t="str">
        <f>IFERROR(__xludf.DUMMYFUNCTION("""COMPUTED_VALUE"""),"Уголь, искусство (Гришковец, Кобзон)")</f>
        <v>Уголь, искусство (Гришковец, Кобзон)</v>
      </c>
      <c r="U1689" s="6" t="str">
        <f>IFERROR(__xludf.DUMMYFUNCTION("""COMPUTED_VALUE"""),"Площадь Ленина, советский проспект, ЦУМ.")</f>
        <v>Площадь Ленина, советский проспект, ЦУМ.</v>
      </c>
      <c r="V1689" s="6" t="str">
        <f>IFERROR(__xludf.DUMMYFUNCTION("""COMPUTED_VALUE"""),"Родились и выжили")</f>
        <v>Родились и выжили</v>
      </c>
      <c r="W1689" s="6" t="str">
        <f>IFERROR(__xludf.DUMMYFUNCTION("""COMPUTED_VALUE"""),"Сильные, смелые и творческие. Быстрее, выше, сильнее")</f>
        <v>Сильные, смелые и творческие. Быстрее, выше, сильнее</v>
      </c>
      <c r="X1689" s="6" t="str">
        <f>IFERROR(__xludf.DUMMYFUNCTION("""COMPUTED_VALUE"""),"От центра к периферии")</f>
        <v>От центра к периферии</v>
      </c>
      <c r="Y1689" s="6" t="str">
        <f>IFERROR(__xludf.DUMMYFUNCTION("""COMPUTED_VALUE"""),"Кузбасс 100 лет, Кузбасс 300.")</f>
        <v>Кузбасс 100 лет, Кузбасс 300.</v>
      </c>
      <c r="Z1689" s="6" t="str">
        <f>IFERROR(__xludf.DUMMYFUNCTION("""COMPUTED_VALUE"""),"Премьеры разных спектаклей, новые лица и направления деятельности в рамках науки, культуры, искусства")</f>
        <v>Премьеры разных спектаклей, новые лица и направления деятельности в рамках науки, культуры, искусства</v>
      </c>
      <c r="AA1689" s="6" t="str">
        <f>IFERROR(__xludf.DUMMYFUNCTION("""COMPUTED_VALUE"""),"Нет таких событий, в связи с эпидемиологической ситуацией.")</f>
        <v>Нет таких событий, в связи с эпидемиологической ситуацией.</v>
      </c>
      <c r="AB1689" s="6" t="str">
        <f>IFERROR(__xludf.DUMMYFUNCTION("""COMPUTED_VALUE"""),"Сообществ, связанных с искусством: художественное, литература, кино. ")</f>
        <v>Сообществ, связанных с искусством: художественное, литература, кино. </v>
      </c>
      <c r="AC1689" s="6" t="str">
        <f>IFERROR(__xludf.DUMMYFUNCTION("""COMPUTED_VALUE"""),"Мероприятий об искусстве, кино, театре")</f>
        <v>Мероприятий об искусстве, кино, театре</v>
      </c>
      <c r="AD1689"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89" s="6" t="str">
        <f>IFERROR(__xludf.DUMMYFUNCTION("""COMPUTED_VALUE"""),"Женский")</f>
        <v>Женский</v>
      </c>
      <c r="AF1689" s="6" t="str">
        <f>IFERROR(__xludf.DUMMYFUNCTION("""COMPUTED_VALUE"""),"18-29")</f>
        <v>18-29</v>
      </c>
      <c r="AG1689" s="6"/>
      <c r="AH1689" s="6"/>
      <c r="AI1689" s="6"/>
      <c r="AJ1689" s="6"/>
      <c r="AK1689" s="6"/>
      <c r="AL1689" s="6"/>
      <c r="AM1689" s="6"/>
    </row>
    <row r="1690">
      <c r="A1690" s="6">
        <v>1689.0</v>
      </c>
      <c r="B1690" s="6" t="str">
        <f>IFERROR(__xludf.DUMMYFUNCTION("""COMPUTED_VALUE"""),"Продавец")</f>
        <v>Продавец</v>
      </c>
      <c r="C1690" s="6" t="str">
        <f>IFERROR(__xludf.DUMMYFUNCTION("""COMPUTED_VALUE"""),"Игры")</f>
        <v>Игры</v>
      </c>
      <c r="D1690" s="6" t="str">
        <f>IFERROR(__xludf.DUMMYFUNCTION("""COMPUTED_VALUE"""),"Рудничный . Не очень хороший контингент")</f>
        <v>Рудничный . Не очень хороший контингент</v>
      </c>
      <c r="E1690" s="6" t="str">
        <f>IFERROR(__xludf.DUMMYFUNCTION("""COMPUTED_VALUE"""),"Лапландия . Тц я")</f>
        <v>Лапландия . Тц я</v>
      </c>
      <c r="F1690" s="6" t="str">
        <f>IFERROR(__xludf.DUMMYFUNCTION("""COMPUTED_VALUE"""),"Переехал сюда из другого места (откуда? укажите в графе другое), Алтайский край")</f>
        <v>Переехал сюда из другого места (откуда? укажите в графе другое), Алтайский край</v>
      </c>
      <c r="G1690" s="6" t="str">
        <f>IFERROR(__xludf.DUMMYFUNCTION("""COMPUTED_VALUE"""),"Никуда все нормально не работает. А чтобы куда то доехать нужен транспорт который иногда не ходит")</f>
        <v>Никуда все нормально не работает. А чтобы куда то доехать нужен транспорт который иногда не ходит</v>
      </c>
      <c r="H1690" s="6" t="str">
        <f>IFERROR(__xludf.DUMMYFUNCTION("""COMPUTED_VALUE"""),"Грязный. Неблагоприятный запах. Ужасная администрация которая ничего не выполняет. Пробки. Дороги")</f>
        <v>Грязный. Неблагоприятный запах. Ужасная администрация которая ничего не выполняет. Пробки. Дороги</v>
      </c>
      <c r="I1690" s="6" t="str">
        <f>IFERROR(__xludf.DUMMYFUNCTION("""COMPUTED_VALUE"""),"Тулеев")</f>
        <v>Тулеев</v>
      </c>
      <c r="J1690" s="6" t="str">
        <f>IFERROR(__xludf.DUMMYFUNCTION("""COMPUTED_VALUE"""),"Не осталось что мер что губернатор не справляются со своими должностью")</f>
        <v>Не осталось что мер что губернатор не справляются со своими должностью</v>
      </c>
      <c r="K1690" s="6" t="str">
        <f>IFERROR(__xludf.DUMMYFUNCTION("""COMPUTED_VALUE"""),"Нету")</f>
        <v>Нету</v>
      </c>
      <c r="L1690" s="6" t="str">
        <f>IFERROR(__xludf.DUMMYFUNCTION("""COMPUTED_VALUE"""),"Нету")</f>
        <v>Нету</v>
      </c>
      <c r="M1690" s="6" t="str">
        <f>IFERROR(__xludf.DUMMYFUNCTION("""COMPUTED_VALUE"""),"Маску наденьте в трамвае")</f>
        <v>Маску наденьте в трамвае</v>
      </c>
      <c r="N1690" s="6" t="str">
        <f>IFERROR(__xludf.DUMMYFUNCTION("""COMPUTED_VALUE"""),"Чистый воздух. Адекватное руководство . Нормальный губернатор. Не продажная власть. Красивый город а не трущобы")</f>
        <v>Чистый воздух. Адекватное руководство . Нормальный губернатор. Не продажная власть. Красивый город а не трущобы</v>
      </c>
      <c r="O1690" s="6" t="str">
        <f>IFERROR(__xludf.DUMMYFUNCTION("""COMPUTED_VALUE"""),"Власть")</f>
        <v>Власть</v>
      </c>
      <c r="P1690" s="6" t="str">
        <f>IFERROR(__xludf.DUMMYFUNCTION("""COMPUTED_VALUE"""),"Инстаграм")</f>
        <v>Инстаграм</v>
      </c>
      <c r="Q169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690" s="6" t="str">
        <f>IFERROR(__xludf.DUMMYFUNCTION("""COMPUTED_VALUE"""),"Новый год")</f>
        <v>Новый год</v>
      </c>
      <c r="S1690" s="6" t="str">
        <f>IFERROR(__xludf.DUMMYFUNCTION("""COMPUTED_VALUE"""),"Нет, не приходилось")</f>
        <v>Нет, не приходилось</v>
      </c>
      <c r="T1690" s="6" t="str">
        <f>IFERROR(__xludf.DUMMYFUNCTION("""COMPUTED_VALUE"""),"Преступностью и продажной властью ")</f>
        <v>Преступностью и продажной властью </v>
      </c>
      <c r="U1690" s="6" t="str">
        <f>IFERROR(__xludf.DUMMYFUNCTION("""COMPUTED_VALUE"""),"Зимняя вишня")</f>
        <v>Зимняя вишня</v>
      </c>
      <c r="V1690" s="6" t="str">
        <f>IFERROR(__xludf.DUMMYFUNCTION("""COMPUTED_VALUE"""),"При тулееве было все сейчас все похерили")</f>
        <v>При тулееве было все сейчас все похерили</v>
      </c>
      <c r="W1690" s="6" t="str">
        <f>IFERROR(__xludf.DUMMYFUNCTION("""COMPUTED_VALUE"""),"Есть хорошие и есть. Не очень")</f>
        <v>Есть хорошие и есть. Не очень</v>
      </c>
      <c r="X1690" s="6" t="str">
        <f>IFERROR(__xludf.DUMMYFUNCTION("""COMPUTED_VALUE"""),"По набережной")</f>
        <v>По набережной</v>
      </c>
      <c r="Y1690" s="6" t="str">
        <f>IFERROR(__xludf.DUMMYFUNCTION("""COMPUTED_VALUE"""),"Пожар зимней вишни. После него ушел нормальный губернатор и пришел тот который ухудшил регион хуже некуда")</f>
        <v>Пожар зимней вишни. После него ушел нормальный губернатор и пришел тот который ухудшил регион хуже некуда</v>
      </c>
      <c r="Z1690" s="6" t="str">
        <f>IFERROR(__xludf.DUMMYFUNCTION("""COMPUTED_VALUE"""),"Нету таковых")</f>
        <v>Нету таковых</v>
      </c>
      <c r="AA1690" s="6" t="str">
        <f>IFERROR(__xludf.DUMMYFUNCTION("""COMPUTED_VALUE"""),"Продажная власть. Не работающий мер , хотя раньше он делал все во благо")</f>
        <v>Продажная власть. Не работающий мер , хотя раньше он делал все во благо</v>
      </c>
      <c r="AB1690" s="6" t="str">
        <f>IFERROR(__xludf.DUMMYFUNCTION("""COMPUTED_VALUE"""),"Хватает")</f>
        <v>Хватает</v>
      </c>
      <c r="AC1690" s="6" t="str">
        <f>IFERROR(__xludf.DUMMYFUNCTION("""COMPUTED_VALUE"""),"Чтоб люди могли влиять на благосостояние города. Чтоб у всех уровень ЗП вырос а не только у власти и олигархов а у простых людей. Чтоб губернатор слушал народ а не злоебучих депутатов которые живут ради своей выгоды")</f>
        <v>Чтоб люди могли влиять на благосостояние города. Чтоб у всех уровень ЗП вырос а не только у власти и олигархов а у простых людей. Чтоб губернатор слушал народ а не злоебучих депутатов которые живут ради своей выгоды</v>
      </c>
      <c r="AD1690"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690" s="6" t="str">
        <f>IFERROR(__xludf.DUMMYFUNCTION("""COMPUTED_VALUE"""),"Мужской")</f>
        <v>Мужской</v>
      </c>
      <c r="AF1690" s="6" t="str">
        <f>IFERROR(__xludf.DUMMYFUNCTION("""COMPUTED_VALUE"""),"30-44")</f>
        <v>30-44</v>
      </c>
      <c r="AG1690" s="6"/>
      <c r="AH1690" s="6"/>
      <c r="AI1690" s="6"/>
      <c r="AJ1690" s="6"/>
      <c r="AK1690" s="6"/>
      <c r="AL1690" s="6"/>
      <c r="AM1690" s="6"/>
    </row>
    <row r="1691">
      <c r="A1691" s="6">
        <v>1690.0</v>
      </c>
      <c r="B1691" s="6" t="str">
        <f>IFERROR(__xludf.DUMMYFUNCTION("""COMPUTED_VALUE"""),"Студент ")</f>
        <v>Студент </v>
      </c>
      <c r="C1691" s="6" t="str">
        <f>IFERROR(__xludf.DUMMYFUNCTION("""COMPUTED_VALUE"""),"Рисование")</f>
        <v>Рисование</v>
      </c>
      <c r="D1691" s="6" t="str">
        <f>IFERROR(__xludf.DUMMYFUNCTION("""COMPUTED_VALUE"""),"Центральный р-н ,Центр")</f>
        <v>Центральный р-н ,Центр</v>
      </c>
      <c r="E1691" s="6" t="str">
        <f>IFERROR(__xludf.DUMMYFUNCTION("""COMPUTED_VALUE"""),"Кинотеатр Юбилейный ")</f>
        <v>Кинотеатр Юбилейный </v>
      </c>
      <c r="F1691" s="6" t="str">
        <f>IFERROR(__xludf.DUMMYFUNCTION("""COMPUTED_VALUE"""),"Живу здесь с рождения")</f>
        <v>Живу здесь с рождения</v>
      </c>
      <c r="G1691" s="6" t="str">
        <f>IFERROR(__xludf.DUMMYFUNCTION("""COMPUTED_VALUE"""),"Везде")</f>
        <v>Везде</v>
      </c>
      <c r="H1691" s="6" t="str">
        <f>IFERROR(__xludf.DUMMYFUNCTION("""COMPUTED_VALUE"""),"Грязь,серость,хамство,неухоженность,ленивость.")</f>
        <v>Грязь,серость,хамство,неухоженность,ленивость.</v>
      </c>
      <c r="I1691" s="6" t="str">
        <f>IFERROR(__xludf.DUMMYFUNCTION("""COMPUTED_VALUE"""),"-")</f>
        <v>-</v>
      </c>
      <c r="J1691" s="6" t="str">
        <f>IFERROR(__xludf.DUMMYFUNCTION("""COMPUTED_VALUE"""),"-")</f>
        <v>-</v>
      </c>
      <c r="K1691" s="6" t="str">
        <f>IFERROR(__xludf.DUMMYFUNCTION("""COMPUTED_VALUE"""),"Набережная р.Томь")</f>
        <v>Набережная р.Томь</v>
      </c>
      <c r="L1691" s="6" t="str">
        <f>IFERROR(__xludf.DUMMYFUNCTION("""COMPUTED_VALUE"""),"-")</f>
        <v>-</v>
      </c>
      <c r="M1691" s="6" t="str">
        <f>IFERROR(__xludf.DUMMYFUNCTION("""COMPUTED_VALUE"""),"-")</f>
        <v>-</v>
      </c>
      <c r="N1691" s="6" t="str">
        <f>IFERROR(__xludf.DUMMYFUNCTION("""COMPUTED_VALUE"""),"Чистота")</f>
        <v>Чистота</v>
      </c>
      <c r="O1691" s="6" t="str">
        <f>IFERROR(__xludf.DUMMYFUNCTION("""COMPUTED_VALUE"""),"Цены на продукты")</f>
        <v>Цены на продукты</v>
      </c>
      <c r="P1691" s="6" t="str">
        <f>IFERROR(__xludf.DUMMYFUNCTION("""COMPUTED_VALUE"""),"Инцидент Кемерово")</f>
        <v>Инцидент Кемерово</v>
      </c>
      <c r="Q1691" s="6" t="str">
        <f>IFERROR(__xludf.DUMMYFUNCTION("""COMPUTED_VALUE"""),"городская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1691" s="6" t="str">
        <f>IFERROR(__xludf.DUMMYFUNCTION("""COMPUTED_VALUE"""),"9 Мая,День Шахтёров ")</f>
        <v>9 Мая,День Шахтёров </v>
      </c>
      <c r="S1691" s="6" t="str">
        <f>IFERROR(__xludf.DUMMYFUNCTION("""COMPUTED_VALUE"""),"Нет, не приходилось")</f>
        <v>Нет, не приходилось</v>
      </c>
      <c r="T1691" s="6" t="str">
        <f>IFERROR(__xludf.DUMMYFUNCTION("""COMPUTED_VALUE"""),"Отель Томь ,Филармония , Драм театр")</f>
        <v>Отель Томь ,Филармония , Драм театр</v>
      </c>
      <c r="U1691" s="6" t="str">
        <f>IFERROR(__xludf.DUMMYFUNCTION("""COMPUTED_VALUE"""),"Площадь Советов")</f>
        <v>Площадь Советов</v>
      </c>
      <c r="V1691" s="6" t="str">
        <f>IFERROR(__xludf.DUMMYFUNCTION("""COMPUTED_VALUE"""),"Добываю уголь")</f>
        <v>Добываю уголь</v>
      </c>
      <c r="W1691" s="6" t="str">
        <f>IFERROR(__xludf.DUMMYFUNCTION("""COMPUTED_VALUE"""),"Все разные")</f>
        <v>Все разные</v>
      </c>
      <c r="X1691" s="6" t="str">
        <f>IFERROR(__xludf.DUMMYFUNCTION("""COMPUTED_VALUE"""),"Набережная, парк Победы")</f>
        <v>Набережная, парк Победы</v>
      </c>
      <c r="Y1691" s="6" t="str">
        <f>IFERROR(__xludf.DUMMYFUNCTION("""COMPUTED_VALUE"""),"-")</f>
        <v>-</v>
      </c>
      <c r="Z1691" s="6" t="str">
        <f>IFERROR(__xludf.DUMMYFUNCTION("""COMPUTED_VALUE"""),"Открытие парка Ангелов")</f>
        <v>Открытие парка Ангелов</v>
      </c>
      <c r="AA1691" s="6" t="str">
        <f>IFERROR(__xludf.DUMMYFUNCTION("""COMPUTED_VALUE"""),"Отменили салюты на праздники, убрали много транспорта")</f>
        <v>Отменили салюты на праздники, убрали много транспорта</v>
      </c>
      <c r="AB1691" s="6" t="str">
        <f>IFERROR(__xludf.DUMMYFUNCTION("""COMPUTED_VALUE"""),"-")</f>
        <v>-</v>
      </c>
      <c r="AC1691" s="6" t="str">
        <f>IFERROR(__xludf.DUMMYFUNCTION("""COMPUTED_VALUE"""),"-")</f>
        <v>-</v>
      </c>
      <c r="AD169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91" s="6" t="str">
        <f>IFERROR(__xludf.DUMMYFUNCTION("""COMPUTED_VALUE"""),"Женский")</f>
        <v>Женский</v>
      </c>
      <c r="AF1691" s="6" t="str">
        <f>IFERROR(__xludf.DUMMYFUNCTION("""COMPUTED_VALUE"""),"18-29")</f>
        <v>18-29</v>
      </c>
      <c r="AG1691" s="6"/>
      <c r="AH1691" s="6"/>
      <c r="AI1691" s="6"/>
      <c r="AJ1691" s="6"/>
      <c r="AK1691" s="6"/>
      <c r="AL1691" s="6"/>
      <c r="AM1691" s="6"/>
    </row>
    <row r="1692">
      <c r="A1692" s="6">
        <v>1691.0</v>
      </c>
      <c r="B1692" s="6" t="str">
        <f>IFERROR(__xludf.DUMMYFUNCTION("""COMPUTED_VALUE"""),"Программист")</f>
        <v>Программист</v>
      </c>
      <c r="C1692" s="6" t="str">
        <f>IFERROR(__xludf.DUMMYFUNCTION("""COMPUTED_VALUE"""),"Спорт")</f>
        <v>Спорт</v>
      </c>
      <c r="D1692" s="6" t="str">
        <f>IFERROR(__xludf.DUMMYFUNCTION("""COMPUTED_VALUE"""),"Центральный")</f>
        <v>Центральный</v>
      </c>
      <c r="E1692" s="6" t="str">
        <f>IFERROR(__xludf.DUMMYFUNCTION("""COMPUTED_VALUE"""),"Парк Веры Волошиной, цирк")</f>
        <v>Парк Веры Волошиной, цирк</v>
      </c>
      <c r="F1692" s="6" t="str">
        <f>IFERROR(__xludf.DUMMYFUNCTION("""COMPUTED_VALUE"""),"Переехал сюда из другого места (откуда? укажите в графе другое), В конце 2017 года")</f>
        <v>Переехал сюда из другого места (откуда? укажите в графе другое), В конце 2017 года</v>
      </c>
      <c r="G1692" s="6" t="str">
        <f>IFERROR(__xludf.DUMMYFUNCTION("""COMPUTED_VALUE"""),"Парк Веры Волошиной, набережная")</f>
        <v>Парк Веры Волошиной, набережная</v>
      </c>
      <c r="H1692" s="6" t="str">
        <f>IFERROR(__xludf.DUMMYFUNCTION("""COMPUTED_VALUE"""),"Мало работы, грязный воздух, низкие зарплаты, вымогание денег в школах и садах, плохие дорогие особенно во дворах")</f>
        <v>Мало работы, грязный воздух, низкие зарплаты, вымогание денег в школах и садах, плохие дорогие особенно во дворах</v>
      </c>
      <c r="I1692" s="6" t="str">
        <f>IFERROR(__xludf.DUMMYFUNCTION("""COMPUTED_VALUE"""),"Тулеев")</f>
        <v>Тулеев</v>
      </c>
      <c r="J1692" s="6" t="str">
        <f>IFERROR(__xludf.DUMMYFUNCTION("""COMPUTED_VALUE"""),"Не знаю таких")</f>
        <v>Не знаю таких</v>
      </c>
      <c r="K1692" s="6" t="str">
        <f>IFERROR(__xludf.DUMMYFUNCTION("""COMPUTED_VALUE"""),"Таких нет")</f>
        <v>Таких нет</v>
      </c>
      <c r="L1692" s="6" t="str">
        <f>IFERROR(__xludf.DUMMYFUNCTION("""COMPUTED_VALUE"""),"Даже не знаю, сложно описать")</f>
        <v>Даже не знаю, сложно описать</v>
      </c>
      <c r="M1692" s="6" t="str">
        <f>IFERROR(__xludf.DUMMYFUNCTION("""COMPUTED_VALUE"""),"Нет")</f>
        <v>Нет</v>
      </c>
      <c r="N1692" s="6" t="str">
        <f>IFERROR(__xludf.DUMMYFUNCTION("""COMPUTED_VALUE"""),"Чистый воздух, хорошие условия труда, бесплатная медицина, доступное жилье, перспективы развития")</f>
        <v>Чистый воздух, хорошие условия труда, бесплатная медицина, доступное жилье, перспективы развития</v>
      </c>
      <c r="O1692" s="6" t="str">
        <f>IFERROR(__xludf.DUMMYFUNCTION("""COMPUTED_VALUE"""),"Брать за все деньги, и наконец нормально рассчитывать средний заработок по региону и минимальную зарплату")</f>
        <v>Брать за все деньги, и наконец нормально рассчитывать средний заработок по региону и минимальную зарплату</v>
      </c>
      <c r="P1692" s="6" t="str">
        <f>IFERROR(__xludf.DUMMYFUNCTION("""COMPUTED_VALUE"""),"Инстаграм")</f>
        <v>Инстаграм</v>
      </c>
      <c r="Q1692" s="6" t="str">
        <f>IFERROR(__xludf.DUMMYFUNCTION("""COMPUTED_VALUE"""),"куда пойти в свободное время, криминальные новости (происшествия/преступления), новости про новые профессии/куда поступать/вакансии")</f>
        <v>куда пойти в свободное время, криминальные новости (происшествия/преступления), новости про новые профессии/куда поступать/вакансии</v>
      </c>
      <c r="R1692" s="6" t="str">
        <f>IFERROR(__xludf.DUMMYFUNCTION("""COMPUTED_VALUE"""),"Новый год")</f>
        <v>Новый год</v>
      </c>
      <c r="S1692" s="6" t="str">
        <f>IFERROR(__xludf.DUMMYFUNCTION("""COMPUTED_VALUE"""),"Нет, не приходилось")</f>
        <v>Нет, не приходилось</v>
      </c>
      <c r="T1692" s="6" t="str">
        <f>IFERROR(__xludf.DUMMYFUNCTION("""COMPUTED_VALUE"""),"Загазованостью, при въезде в город с Азота такой воздух идёт что задохнуться можно")</f>
        <v>Загазованостью, при въезде в город с Азота такой воздух идёт что задохнуться можно</v>
      </c>
      <c r="U1692" s="6" t="str">
        <f>IFERROR(__xludf.DUMMYFUNCTION("""COMPUTED_VALUE"""),"Администрация города")</f>
        <v>Администрация города</v>
      </c>
      <c r="V1692" s="6" t="str">
        <f>IFERROR(__xludf.DUMMYFUNCTION("""COMPUTED_VALUE"""),"Пытались увеличить рабочие места")</f>
        <v>Пытались увеличить рабочие места</v>
      </c>
      <c r="W1692" s="6" t="str">
        <f>IFERROR(__xludf.DUMMYFUNCTION("""COMPUTED_VALUE"""),"Терпеливые")</f>
        <v>Терпеливые</v>
      </c>
      <c r="X1692" s="6" t="str">
        <f>IFERROR(__xludf.DUMMYFUNCTION("""COMPUTED_VALUE"""),"Проспект кузнецкий")</f>
        <v>Проспект кузнецкий</v>
      </c>
      <c r="Y1692" s="6" t="str">
        <f>IFERROR(__xludf.DUMMYFUNCTION("""COMPUTED_VALUE"""),"300 летие, пожар зимней вишни")</f>
        <v>300 летие, пожар зимней вишни</v>
      </c>
      <c r="Z1692" s="6" t="str">
        <f>IFERROR(__xludf.DUMMYFUNCTION("""COMPUTED_VALUE"""),"Нет таких")</f>
        <v>Нет таких</v>
      </c>
      <c r="AA1692" s="6" t="str">
        <f>IFERROR(__xludf.DUMMYFUNCTION("""COMPUTED_VALUE"""),"Пожар зимней вишни и бездействие, отношение врачей во время эпидемии и наплевательское отношение к пациентам, требование денег с родителей детскими садами и школами, если не дашь будут гнобить ребенка, завышенная средняя зарплата, реальная 20 тысяч ")</f>
        <v>Пожар зимней вишни и бездействие, отношение врачей во время эпидемии и наплевательское отношение к пациентам, требование денег с родителей детскими садами и школами, если не дашь будут гнобить ребенка, завышенная средняя зарплата, реальная 20 тысяч </v>
      </c>
      <c r="AB1692" s="6" t="str">
        <f>IFERROR(__xludf.DUMMYFUNCTION("""COMPUTED_VALUE"""),"Реальное обстоятельство дел в городе")</f>
        <v>Реальное обстоятельство дел в городе</v>
      </c>
      <c r="AC1692" s="6" t="str">
        <f>IFERROR(__xludf.DUMMYFUNCTION("""COMPUTED_VALUE"""),"Благотворительность, активный отдых и чистка города")</f>
        <v>Благотворительность, активный отдых и чистка города</v>
      </c>
      <c r="AD1692"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92" s="6" t="str">
        <f>IFERROR(__xludf.DUMMYFUNCTION("""COMPUTED_VALUE"""),"Мужской")</f>
        <v>Мужской</v>
      </c>
      <c r="AF1692" s="6" t="str">
        <f>IFERROR(__xludf.DUMMYFUNCTION("""COMPUTED_VALUE"""),"18-29")</f>
        <v>18-29</v>
      </c>
      <c r="AG1692" s="6"/>
      <c r="AH1692" s="6"/>
      <c r="AI1692" s="6"/>
      <c r="AJ1692" s="6"/>
      <c r="AK1692" s="6"/>
      <c r="AL1692" s="6"/>
      <c r="AM1692" s="6"/>
    </row>
    <row r="1693">
      <c r="A1693" s="6">
        <v>1692.0</v>
      </c>
      <c r="B1693" s="6" t="str">
        <f>IFERROR(__xludf.DUMMYFUNCTION("""COMPUTED_VALUE"""),"Работаю ")</f>
        <v>Работаю </v>
      </c>
      <c r="C1693" s="6" t="str">
        <f>IFERROR(__xludf.DUMMYFUNCTION("""COMPUTED_VALUE"""),"Гулять ")</f>
        <v>Гулять </v>
      </c>
      <c r="D1693" s="6" t="str">
        <f>IFERROR(__xludf.DUMMYFUNCTION("""COMPUTED_VALUE"""),"Кировский, кирыч ")</f>
        <v>Кировский, кирыч </v>
      </c>
      <c r="E1693" s="6" t="str">
        <f>IFERROR(__xludf.DUMMYFUNCTION("""COMPUTED_VALUE"""),"Набережная площадь ")</f>
        <v>Набережная площадь </v>
      </c>
      <c r="F1693" s="6" t="str">
        <f>IFERROR(__xludf.DUMMYFUNCTION("""COMPUTED_VALUE"""),"Живу здесь с рождения")</f>
        <v>Живу здесь с рождения</v>
      </c>
      <c r="G1693" s="6" t="str">
        <f>IFERROR(__xludf.DUMMYFUNCTION("""COMPUTED_VALUE"""),"
В центр города ")</f>
        <v>
В центр города </v>
      </c>
      <c r="H1693" s="6" t="str">
        <f>IFERROR(__xludf.DUMMYFUNCTION("""COMPUTED_VALUE"""),"Туман,вонь,мусор, наркоманы,алкаши ")</f>
        <v>Туман,вонь,мусор, наркоманы,алкаши </v>
      </c>
      <c r="I1693" s="6" t="str">
        <f>IFERROR(__xludf.DUMMYFUNCTION("""COMPUTED_VALUE"""),"Леонов,волошина, волков ")</f>
        <v>Леонов,волошина, волков </v>
      </c>
      <c r="J1693" s="6" t="str">
        <f>IFERROR(__xludf.DUMMYFUNCTION("""COMPUTED_VALUE"""),"Тулеев, цивелёв ")</f>
        <v>Тулеев, цивелёв </v>
      </c>
      <c r="K1693" s="6" t="str">
        <f>IFERROR(__xludf.DUMMYFUNCTION("""COMPUTED_VALUE"""),"Вечный огонь ")</f>
        <v>Вечный огонь </v>
      </c>
      <c r="L1693" s="6" t="str">
        <f>IFERROR(__xludf.DUMMYFUNCTION("""COMPUTED_VALUE"""),"Не знаю")</f>
        <v>Не знаю</v>
      </c>
      <c r="M1693" s="6" t="str">
        <f>IFERROR(__xludf.DUMMYFUNCTION("""COMPUTED_VALUE"""),"Нет")</f>
        <v>Нет</v>
      </c>
      <c r="N1693" s="6" t="str">
        <f>IFERROR(__xludf.DUMMYFUNCTION("""COMPUTED_VALUE"""),"Тишина, меньше мусора,наркоманов,алкашей и бродячих собак")</f>
        <v>Тишина, меньше мусора,наркоманов,алкашей и бродячих собак</v>
      </c>
      <c r="O1693" s="6" t="str">
        <f>IFERROR(__xludf.DUMMYFUNCTION("""COMPUTED_VALUE"""),"Внешний вид кировского и убрать мусор")</f>
        <v>Внешний вид кировского и убрать мусор</v>
      </c>
      <c r="P1693" s="6" t="str">
        <f>IFERROR(__xludf.DUMMYFUNCTION("""COMPUTED_VALUE"""),"Типичный кемерово, инцидент Кемерово ")</f>
        <v>Типичный кемерово, инцидент Кемерово </v>
      </c>
      <c r="Q1693"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693" s="6" t="str">
        <f>IFERROR(__xludf.DUMMYFUNCTION("""COMPUTED_VALUE"""),"День города ")</f>
        <v>День города </v>
      </c>
      <c r="S1693" s="6" t="str">
        <f>IFERROR(__xludf.DUMMYFUNCTION("""COMPUTED_VALUE"""),"Нет, не приходилось")</f>
        <v>Нет, не приходилось</v>
      </c>
      <c r="T1693" s="6" t="str">
        <f>IFERROR(__xludf.DUMMYFUNCTION("""COMPUTED_VALUE"""),"Кадровый бор ")</f>
        <v>Кадровый бор </v>
      </c>
      <c r="U1693" s="6" t="str">
        <f>IFERROR(__xludf.DUMMYFUNCTION("""COMPUTED_VALUE"""),"Не знаю")</f>
        <v>Не знаю</v>
      </c>
      <c r="V1693" s="6" t="str">
        <f>IFERROR(__xludf.DUMMYFUNCTION("""COMPUTED_VALUE"""),"Работали и строили")</f>
        <v>Работали и строили</v>
      </c>
      <c r="W1693" s="6" t="str">
        <f>IFERROR(__xludf.DUMMYFUNCTION("""COMPUTED_VALUE"""),"Добрые но не все")</f>
        <v>Добрые но не все</v>
      </c>
      <c r="X1693" s="6" t="str">
        <f>IFERROR(__xludf.DUMMYFUNCTION("""COMPUTED_VALUE"""),"Посетить кадровый бор ")</f>
        <v>Посетить кадровый бор </v>
      </c>
      <c r="Y1693" s="6" t="str">
        <f>IFERROR(__xludf.DUMMYFUNCTION("""COMPUTED_VALUE"""),"Нашли уголь")</f>
        <v>Нашли уголь</v>
      </c>
      <c r="Z1693" s="6" t="str">
        <f>IFERROR(__xludf.DUMMYFUNCTION("""COMPUTED_VALUE"""),"Отремонтировали дорогу за домом")</f>
        <v>Отремонтировали дорогу за домом</v>
      </c>
      <c r="AA1693" s="6" t="str">
        <f>IFERROR(__xludf.DUMMYFUNCTION("""COMPUTED_VALUE"""),"Выброс газов зимой ")</f>
        <v>Выброс газов зимой </v>
      </c>
      <c r="AB1693" s="6" t="str">
        <f>IFERROR(__xludf.DUMMYFUNCTION("""COMPUTED_VALUE"""),"Не знаю")</f>
        <v>Не знаю</v>
      </c>
      <c r="AC1693" s="6" t="str">
        <f>IFERROR(__xludf.DUMMYFUNCTION("""COMPUTED_VALUE"""),"Аквапарк возможно ")</f>
        <v>Аквапарк возможно </v>
      </c>
      <c r="AD169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693" s="6" t="str">
        <f>IFERROR(__xludf.DUMMYFUNCTION("""COMPUTED_VALUE"""),"Мужской")</f>
        <v>Мужской</v>
      </c>
      <c r="AF1693" s="6" t="str">
        <f>IFERROR(__xludf.DUMMYFUNCTION("""COMPUTED_VALUE"""),"18-29")</f>
        <v>18-29</v>
      </c>
      <c r="AG1693" s="6"/>
      <c r="AH1693" s="6"/>
      <c r="AI1693" s="6"/>
      <c r="AJ1693" s="6"/>
      <c r="AK1693" s="6"/>
      <c r="AL1693" s="6"/>
      <c r="AM1693" s="6"/>
    </row>
    <row r="1694">
      <c r="A1694" s="6">
        <v>1693.0</v>
      </c>
      <c r="B1694" s="6" t="str">
        <f>IFERROR(__xludf.DUMMYFUNCTION("""COMPUTED_VALUE"""),"Образование")</f>
        <v>Образование</v>
      </c>
      <c r="C1694" s="6" t="str">
        <f>IFERROR(__xludf.DUMMYFUNCTION("""COMPUTED_VALUE"""),"Выращивание цветоа")</f>
        <v>Выращивание цветоа</v>
      </c>
      <c r="D1694" s="6" t="str">
        <f>IFERROR(__xludf.DUMMYFUNCTION("""COMPUTED_VALUE"""),"Кировском")</f>
        <v>Кировском</v>
      </c>
      <c r="E1694" s="6" t="str">
        <f>IFERROR(__xludf.DUMMYFUNCTION("""COMPUTED_VALUE"""),"Набережная, бассейн, ДК Кировского района, 21 микрорайон, больничный городок")</f>
        <v>Набережная, бассейн, ДК Кировского района, 21 микрорайон, больничный городок</v>
      </c>
      <c r="F1694" s="6" t="str">
        <f>IFERROR(__xludf.DUMMYFUNCTION("""COMPUTED_VALUE"""),"Живу здесь с рождения")</f>
        <v>Живу здесь с рождения</v>
      </c>
      <c r="G1694" s="6" t="str">
        <f>IFERROR(__xludf.DUMMYFUNCTION("""COMPUTED_VALUE"""),"Набережная, бассейнр")</f>
        <v>Набережная, бассейнр</v>
      </c>
      <c r="H1694" s="6" t="str">
        <f>IFERROR(__xludf.DUMMYFUNCTION("""COMPUTED_VALUE"""),"Родной, любимый, дорогой, близкий, уютный")</f>
        <v>Родной, любимый, дорогой, близкий, уютный</v>
      </c>
      <c r="I1694" s="6" t="str">
        <f>IFERROR(__xludf.DUMMYFUNCTION("""COMPUTED_VALUE"""),"Михайло Волков")</f>
        <v>Михайло Волков</v>
      </c>
      <c r="J1694" s="6" t="str">
        <f>IFERROR(__xludf.DUMMYFUNCTION("""COMPUTED_VALUE"""),"Михайлов В.В.")</f>
        <v>Михайлов В.В.</v>
      </c>
      <c r="K1694" s="6" t="str">
        <f>IFERROR(__xludf.DUMMYFUNCTION("""COMPUTED_VALUE"""),"Набережную")</f>
        <v>Набережную</v>
      </c>
      <c r="L1694" s="6" t="str">
        <f>IFERROR(__xludf.DUMMYFUNCTION("""COMPUTED_VALUE"""),"Встречают по одежке, провожают по уму")</f>
        <v>Встречают по одежке, провожают по уму</v>
      </c>
      <c r="M1694" s="6" t="str">
        <f>IFERROR(__xludf.DUMMYFUNCTION("""COMPUTED_VALUE"""),"Микражка, набкад")</f>
        <v>Микражка, набкад</v>
      </c>
      <c r="N1694" s="6" t="str">
        <f>IFERROR(__xludf.DUMMYFUNCTION("""COMPUTED_VALUE"""),"Доступность, уют, добрые люди, открытость, забота")</f>
        <v>Доступность, уют, добрые люди, открытость, забота</v>
      </c>
      <c r="O1694" s="6" t="str">
        <f>IFERROR(__xludf.DUMMYFUNCTION("""COMPUTED_VALUE"""),"Шум и запах с левого берега0")</f>
        <v>Шум и запах с левого берега0</v>
      </c>
      <c r="P1694" s="6" t="str">
        <f>IFERROR(__xludf.DUMMYFUNCTION("""COMPUTED_VALUE"""),"На собраниях с общественностью, интернет (сайт адм.города, истаграм, контакты)")</f>
        <v>На собраниях с общественностью, интернет (сайт адм.города, истаграм, контакты)</v>
      </c>
      <c r="Q1694"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694" s="6" t="str">
        <f>IFERROR(__xludf.DUMMYFUNCTION("""COMPUTED_VALUE"""),"День Победы, День  города, 1 сентября")</f>
        <v>День Победы, День  города, 1 сентября</v>
      </c>
      <c r="S1694" s="6" t="str">
        <f>IFERROR(__xludf.DUMMYFUNCTION("""COMPUTED_VALUE"""),"Писал и расклеивал объявления/афиши, 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f>
        <v>Писал и расклеивал объявления/афиши, 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v>
      </c>
      <c r="T1694" s="6" t="str">
        <f>IFERROR(__xludf.DUMMYFUNCTION("""COMPUTED_VALUE"""),"Центр Кузбасса")</f>
        <v>Центр Кузбасса</v>
      </c>
      <c r="U1694" s="6" t="str">
        <f>IFERROR(__xludf.DUMMYFUNCTION("""COMPUTED_VALUE"""),"Площадь Советов")</f>
        <v>Площадь Советов</v>
      </c>
      <c r="V1694" s="6" t="str">
        <f>IFERROR(__xludf.DUMMYFUNCTION("""COMPUTED_VALUE"""),"Честно трудились")</f>
        <v>Честно трудились</v>
      </c>
      <c r="W1694" s="6" t="str">
        <f>IFERROR(__xludf.DUMMYFUNCTION("""COMPUTED_VALUE"""),"Доброжелательные, отзывчивыеп")</f>
        <v>Доброжелательные, отзывчивыеп</v>
      </c>
      <c r="X1694" s="6" t="str">
        <f>IFERROR(__xludf.DUMMYFUNCTION("""COMPUTED_VALUE"""),"По центру Кемерово")</f>
        <v>По центру Кемерово</v>
      </c>
      <c r="Y1694" s="6" t="str">
        <f>IFERROR(__xludf.DUMMYFUNCTION("""COMPUTED_VALUE"""),"Много чего")</f>
        <v>Много чего</v>
      </c>
      <c r="Z1694" s="6" t="str">
        <f>IFERROR(__xludf.DUMMYFUNCTION("""COMPUTED_VALUE"""),"Открытие кадетского корпуса, 2 школ")</f>
        <v>Открытие кадетского корпуса, 2 школ</v>
      </c>
      <c r="AA1694" s="6" t="str">
        <f>IFERROR(__xludf.DUMMYFUNCTION("""COMPUTED_VALUE"""),"Незаконное строительство гаражей на ул. Белинского , отказ ж/д очистить свою территории, проблемы с водой.
")</f>
        <v>Незаконное строительство гаражей на ул. Белинского , отказ ж/д очистить свою территории, проблемы с водой.
</v>
      </c>
      <c r="AB1694" s="6" t="str">
        <f>IFERROR(__xludf.DUMMYFUNCTION("""COMPUTED_VALUE"""),"Хватает всего")</f>
        <v>Хватает всего</v>
      </c>
      <c r="AC1694" s="6" t="str">
        <f>IFERROR(__xludf.DUMMYFUNCTION("""COMPUTED_VALUE"""),"Мероприятий достаточно")</f>
        <v>Мероприятий достаточно</v>
      </c>
      <c r="AD169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694" s="6" t="str">
        <f>IFERROR(__xludf.DUMMYFUNCTION("""COMPUTED_VALUE"""),"Женский")</f>
        <v>Женский</v>
      </c>
      <c r="AF1694" s="6" t="str">
        <f>IFERROR(__xludf.DUMMYFUNCTION("""COMPUTED_VALUE"""),"старше 55")</f>
        <v>старше 55</v>
      </c>
      <c r="AG1694" s="6"/>
      <c r="AH1694" s="6"/>
      <c r="AI1694" s="6"/>
      <c r="AJ1694" s="6"/>
      <c r="AK1694" s="6"/>
      <c r="AL1694" s="6"/>
      <c r="AM1694" s="6"/>
    </row>
    <row r="1695">
      <c r="A1695" s="6">
        <v>1694.0</v>
      </c>
      <c r="B1695" s="6" t="str">
        <f>IFERROR(__xludf.DUMMYFUNCTION("""COMPUTED_VALUE"""),"Пенсионер")</f>
        <v>Пенсионер</v>
      </c>
      <c r="C1695" s="6" t="str">
        <f>IFERROR(__xludf.DUMMYFUNCTION("""COMPUTED_VALUE"""),"Вышивка")</f>
        <v>Вышивка</v>
      </c>
      <c r="D1695" s="6" t="str">
        <f>IFERROR(__xludf.DUMMYFUNCTION("""COMPUTED_VALUE"""),"ФПК-самый классный")</f>
        <v>ФПК-самый классный</v>
      </c>
      <c r="E1695" s="6" t="str">
        <f>IFERROR(__xludf.DUMMYFUNCTION("""COMPUTED_VALUE"""),"Таких нет")</f>
        <v>Таких нет</v>
      </c>
      <c r="F1695" s="6" t="str">
        <f>IFERROR(__xludf.DUMMYFUNCTION("""COMPUTED_VALUE"""),"Живу здесь с рождения")</f>
        <v>Живу здесь с рождения</v>
      </c>
      <c r="G1695" s="6" t="str">
        <f>IFERROR(__xludf.DUMMYFUNCTION("""COMPUTED_VALUE"""),"Притомская набережная, бор")</f>
        <v>Притомская набережная, бор</v>
      </c>
      <c r="H1695" s="6" t="str">
        <f>IFERROR(__xludf.DUMMYFUNCTION("""COMPUTED_VALUE"""),"Ровные дороги, много ненужных торговых центров, грязный воздух, день шахтера, отсутствие возможности уехать с вокзала на поезде в любую точку страны")</f>
        <v>Ровные дороги, много ненужных торговых центров, грязный воздух, день шахтера, отсутствие возможности уехать с вокзала на поезде в любую точку страны</v>
      </c>
      <c r="I1695" s="6" t="str">
        <f>IFERROR(__xludf.DUMMYFUNCTION("""COMPUTED_VALUE"""),"Волков, Леонов")</f>
        <v>Волков, Леонов</v>
      </c>
      <c r="J1695" s="6" t="str">
        <f>IFERROR(__xludf.DUMMYFUNCTION("""COMPUTED_VALUE"""),"Михайлов Владимир, Тулеев")</f>
        <v>Михайлов Владимир, Тулеев</v>
      </c>
      <c r="K1695" s="6" t="str">
        <f>IFERROR(__xludf.DUMMYFUNCTION("""COMPUTED_VALUE"""),"Томская писаница, набережная, бор")</f>
        <v>Томская писаница, набережная, бор</v>
      </c>
      <c r="L1695" s="6" t="str">
        <f>IFERROR(__xludf.DUMMYFUNCTION("""COMPUTED_VALUE"""),"Не задумывалась")</f>
        <v>Не задумывалась</v>
      </c>
      <c r="M1695" s="6" t="str">
        <f>IFERROR(__xludf.DUMMYFUNCTION("""COMPUTED_VALUE"""),"Нет")</f>
        <v>Нет</v>
      </c>
      <c r="N1695" s="6" t="str">
        <f>IFERROR(__xludf.DUMMYFUNCTION("""COMPUTED_VALUE"""),"Доступный общественный транспорт, чистые улицы, озеленение города, доступные качественные продукты, чистый воздух")</f>
        <v>Доступный общественный транспорт, чистые улицы, озеленение города, доступные качественные продукты, чистый воздух</v>
      </c>
      <c r="O1695" s="6" t="str">
        <f>IFERROR(__xludf.DUMMYFUNCTION("""COMPUTED_VALUE"""),"Решить вопрос чтобы была возможность, уезжая куда-то в другой город, поехать на поезде из столицы Кузбасса, а не тащится с детьми, багажом в другой город. Зачем тогда нам нужен вокзал, если он не используется по своему прямому назначению")</f>
        <v>Решить вопрос чтобы была возможность, уезжая куда-то в другой город, поехать на поезде из столицы Кузбасса, а не тащится с детьми, багажом в другой город. Зачем тогда нам нужен вокзал, если он не используется по своему прямому назначению</v>
      </c>
      <c r="P1695" s="6" t="str">
        <f>IFERROR(__xludf.DUMMYFUNCTION("""COMPUTED_VALUE"""),"Инстаграмм, Вести")</f>
        <v>Инстаграмм, Вести</v>
      </c>
      <c r="Q1695" s="6" t="str">
        <f>IFERROR(__xludf.DUMMYFUNCTION("""COMPUTED_VALUE"""),"куда пойти в свободное время, городская афиша (кино/театр/концерты), интервью с местными творческими личностями, криминальные новости (происшествия/преступления)")</f>
        <v>куда пойти в свободное время, городская афиша (кино/театр/концерты), интервью с местными творческими личностями, криминальные новости (происшествия/преступления)</v>
      </c>
      <c r="R1695" s="6" t="str">
        <f>IFERROR(__xludf.DUMMYFUNCTION("""COMPUTED_VALUE"""),"День города, День шахтера")</f>
        <v>День города, День шахтера</v>
      </c>
      <c r="S1695" s="6" t="str">
        <f>IFERROR(__xludf.DUMMYFUNCTION("""COMPUTED_VALUE"""),"Нет, не приходилось")</f>
        <v>Нет, не приходилось</v>
      </c>
      <c r="T1695" s="6" t="str">
        <f>IFERROR(__xludf.DUMMYFUNCTION("""COMPUTED_VALUE"""),"Не знаю")</f>
        <v>Не знаю</v>
      </c>
      <c r="U1695" s="6" t="str">
        <f>IFERROR(__xludf.DUMMYFUNCTION("""COMPUTED_VALUE"""),"Площадь Советов")</f>
        <v>Площадь Советов</v>
      </c>
      <c r="V1695" s="6" t="str">
        <f>IFERROR(__xludf.DUMMYFUNCTION("""COMPUTED_VALUE"""),"Ничего")</f>
        <v>Ничего</v>
      </c>
      <c r="W1695" s="6" t="str">
        <f>IFERROR(__xludf.DUMMYFUNCTION("""COMPUTED_VALUE"""),"Желание помочь")</f>
        <v>Желание помочь</v>
      </c>
      <c r="X1695" s="6" t="str">
        <f>IFERROR(__xludf.DUMMYFUNCTION("""COMPUTED_VALUE"""),"Красная горка")</f>
        <v>Красная горка</v>
      </c>
      <c r="Y1695" s="6" t="str">
        <f>IFERROR(__xludf.DUMMYFUNCTION("""COMPUTED_VALUE"""),"Чемпионат по хоккею с мячом")</f>
        <v>Чемпионат по хоккею с мячом</v>
      </c>
      <c r="Z1695" s="6" t="str">
        <f>IFERROR(__xludf.DUMMYFUNCTION("""COMPUTED_VALUE"""),"Строительство новых объектов спорта, культуры, жилых домов")</f>
        <v>Строительство новых объектов спорта, культуры, жилых домов</v>
      </c>
      <c r="AA1695" s="6" t="str">
        <f>IFERROR(__xludf.DUMMYFUNCTION("""COMPUTED_VALUE"""),"Высокие цены на жилье")</f>
        <v>Высокие цены на жилье</v>
      </c>
      <c r="AB1695" s="6" t="str">
        <f>IFERROR(__xludf.DUMMYFUNCTION("""COMPUTED_VALUE"""),"Мне всего достаточно")</f>
        <v>Мне всего достаточно</v>
      </c>
      <c r="AC1695" s="6" t="str">
        <f>IFERROR(__xludf.DUMMYFUNCTION("""COMPUTED_VALUE"""),"Побольше проводить значимых спортивных соревнований, приглашать со спектаклями актёров столичных театров")</f>
        <v>Побольше проводить значимых спортивных соревнований, приглашать со спектаклями актёров столичных театров</v>
      </c>
      <c r="AD1695"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695" s="6" t="str">
        <f>IFERROR(__xludf.DUMMYFUNCTION("""COMPUTED_VALUE"""),"Женский")</f>
        <v>Женский</v>
      </c>
      <c r="AF1695" s="6" t="str">
        <f>IFERROR(__xludf.DUMMYFUNCTION("""COMPUTED_VALUE"""),"45-55")</f>
        <v>45-55</v>
      </c>
      <c r="AG1695" s="6"/>
      <c r="AH1695" s="6"/>
      <c r="AI1695" s="6"/>
      <c r="AJ1695" s="6"/>
      <c r="AK1695" s="6"/>
      <c r="AL1695" s="6"/>
      <c r="AM1695" s="6"/>
    </row>
    <row r="1696">
      <c r="A1696" s="6">
        <v>1695.0</v>
      </c>
      <c r="B1696" s="6" t="str">
        <f>IFERROR(__xludf.DUMMYFUNCTION("""COMPUTED_VALUE"""),"Менеджер по продаже стеклоизделий ")</f>
        <v>Менеджер по продаже стеклоизделий </v>
      </c>
      <c r="C1696" s="6" t="str">
        <f>IFERROR(__xludf.DUMMYFUNCTION("""COMPUTED_VALUE"""),"Рисование")</f>
        <v>Рисование</v>
      </c>
      <c r="D1696" s="6" t="str">
        <f>IFERROR(__xludf.DUMMYFUNCTION("""COMPUTED_VALUE"""),"Южный")</f>
        <v>Южный</v>
      </c>
      <c r="E1696" s="6" t="str">
        <f>IFERROR(__xludf.DUMMYFUNCTION("""COMPUTED_VALUE"""),"Аллея Патриотов, памятник Гагарину, пожарка, церковь, ДК, лента, Меровские дома")</f>
        <v>Аллея Патриотов, памятник Гагарину, пожарка, церковь, ДК, лента, Меровские дома</v>
      </c>
      <c r="F1696" s="6" t="str">
        <f>IFERROR(__xludf.DUMMYFUNCTION("""COMPUTED_VALUE"""),"Живу здесь с рождения")</f>
        <v>Живу здесь с рождения</v>
      </c>
      <c r="G1696" s="6" t="str">
        <f>IFERROR(__xludf.DUMMYFUNCTION("""COMPUTED_VALUE"""),"Парк чудес, Комсомольский парк, кедровый бор, парк ангелов ")</f>
        <v>Парк чудес, Комсомольский парк, кедровый бор, парк ангелов </v>
      </c>
      <c r="H1696" s="6" t="str">
        <f>IFERROR(__xludf.DUMMYFUNCTION("""COMPUTED_VALUE"""),"Дом, Кузбасс, уголь")</f>
        <v>Дом, Кузбасс, уголь</v>
      </c>
      <c r="I1696" s="6" t="str">
        <f>IFERROR(__xludf.DUMMYFUNCTION("""COMPUTED_VALUE"""),"Не знаю ")</f>
        <v>Не знаю </v>
      </c>
      <c r="J1696" s="6" t="str">
        <f>IFERROR(__xludf.DUMMYFUNCTION("""COMPUTED_VALUE"""),"Тулеев, Тиньков")</f>
        <v>Тулеев, Тиньков</v>
      </c>
      <c r="K1696" s="6" t="str">
        <f>IFERROR(__xludf.DUMMYFUNCTION("""COMPUTED_VALUE"""),"Парк ангелов, памятник шахтерам, набережная ")</f>
        <v>Парк ангелов, памятник шахтерам, набережная </v>
      </c>
      <c r="L1696" s="6" t="str">
        <f>IFERROR(__xludf.DUMMYFUNCTION("""COMPUTED_VALUE"""),"Не знаю ")</f>
        <v>Не знаю </v>
      </c>
      <c r="M1696" s="6" t="str">
        <f>IFERROR(__xludf.DUMMYFUNCTION("""COMPUTED_VALUE"""),"Нет")</f>
        <v>Нет</v>
      </c>
      <c r="N1696" s="6" t="str">
        <f>IFERROR(__xludf.DUMMYFUNCTION("""COMPUTED_VALUE"""),"Ровные широкие дороги, чистота, торговые центры, в частности на Южном, парки для детей, общественный транспорт")</f>
        <v>Ровные широкие дороги, чистота, торговые центры, в частности на Южном, парки для детей, общественный транспорт</v>
      </c>
      <c r="O1696" s="6" t="str">
        <f>IFERROR(__xludf.DUMMYFUNCTION("""COMPUTED_VALUE"""),"Уборка мусора во дворах, детские площадки, построить детскую поликлинику в новом Южном, торговый центр на Южном")</f>
        <v>Уборка мусора во дворах, детские площадки, построить детскую поликлинику в новом Южном, торговый центр на Южном</v>
      </c>
      <c r="P1696" s="6" t="str">
        <f>IFERROR(__xludf.DUMMYFUNCTION("""COMPUTED_VALUE"""),"Инстаграм")</f>
        <v>Инстаграм</v>
      </c>
      <c r="Q1696" s="6" t="str">
        <f>IFERROR(__xludf.DUMMYFUNCTION("""COMPUTED_VALUE"""),"куда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v>
      </c>
      <c r="R1696" s="6" t="str">
        <f>IFERROR(__xludf.DUMMYFUNCTION("""COMPUTED_VALUE"""),"День города, день победы")</f>
        <v>День города, день победы</v>
      </c>
      <c r="S1696" s="6" t="str">
        <f>IFERROR(__xludf.DUMMYFUNCTION("""COMPUTED_VALUE"""),"Нет, не приходилось")</f>
        <v>Нет, не приходилось</v>
      </c>
      <c r="T1696" s="6" t="str">
        <f>IFERROR(__xludf.DUMMYFUNCTION("""COMPUTED_VALUE"""),"Трагедией в Зимней вишне")</f>
        <v>Трагедией в Зимней вишне</v>
      </c>
      <c r="U1696" s="6" t="str">
        <f>IFERROR(__xludf.DUMMYFUNCTION("""COMPUTED_VALUE"""),"Вечный огонь")</f>
        <v>Вечный огонь</v>
      </c>
      <c r="V1696" s="6" t="str">
        <f>IFERROR(__xludf.DUMMYFUNCTION("""COMPUTED_VALUE"""),"Не знаю ")</f>
        <v>Не знаю </v>
      </c>
      <c r="W1696" s="6" t="str">
        <f>IFERROR(__xludf.DUMMYFUNCTION("""COMPUTED_VALUE"""),"Все разные")</f>
        <v>Все разные</v>
      </c>
      <c r="X1696" s="6" t="str">
        <f>IFERROR(__xludf.DUMMYFUNCTION("""COMPUTED_VALUE"""),"По Кузнецкому мосту")</f>
        <v>По Кузнецкому мосту</v>
      </c>
      <c r="Y1696" s="6" t="str">
        <f>IFERROR(__xludf.DUMMYFUNCTION("""COMPUTED_VALUE"""),"Не знаю ")</f>
        <v>Не знаю </v>
      </c>
      <c r="Z1696" s="6" t="str">
        <f>IFERROR(__xludf.DUMMYFUNCTION("""COMPUTED_VALUE"""),"Чемпионат мира по хоккею ")</f>
        <v>Чемпионат мира по хоккею </v>
      </c>
      <c r="AA1696" s="6" t="str">
        <f>IFERROR(__xludf.DUMMYFUNCTION("""COMPUTED_VALUE"""),"Зимняя вишня")</f>
        <v>Зимняя вишня</v>
      </c>
      <c r="AB1696" s="6" t="str">
        <f>IFERROR(__xludf.DUMMYFUNCTION("""COMPUTED_VALUE"""),"-")</f>
        <v>-</v>
      </c>
      <c r="AC1696" s="6" t="str">
        <f>IFERROR(__xludf.DUMMYFUNCTION("""COMPUTED_VALUE"""),"-")</f>
        <v>-</v>
      </c>
      <c r="AD169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96" s="6" t="str">
        <f>IFERROR(__xludf.DUMMYFUNCTION("""COMPUTED_VALUE"""),"Женский")</f>
        <v>Женский</v>
      </c>
      <c r="AF1696" s="6" t="str">
        <f>IFERROR(__xludf.DUMMYFUNCTION("""COMPUTED_VALUE"""),"30-44")</f>
        <v>30-44</v>
      </c>
      <c r="AG1696" s="6"/>
      <c r="AH1696" s="6"/>
      <c r="AI1696" s="6"/>
      <c r="AJ1696" s="6"/>
      <c r="AK1696" s="6"/>
      <c r="AL1696" s="6"/>
      <c r="AM1696" s="6"/>
    </row>
    <row r="1697">
      <c r="A1697" s="6">
        <v>1696.0</v>
      </c>
      <c r="B1697" s="6" t="str">
        <f>IFERROR(__xludf.DUMMYFUNCTION("""COMPUTED_VALUE"""),"Студентка колледжа. Занимаюсь воспитанием дочки")</f>
        <v>Студентка колледжа. Занимаюсь воспитанием дочки</v>
      </c>
      <c r="C1697" s="6" t="str">
        <f>IFERROR(__xludf.DUMMYFUNCTION("""COMPUTED_VALUE"""),"Люблю читать")</f>
        <v>Люблю читать</v>
      </c>
      <c r="D1697" s="6" t="str">
        <f>IFERROR(__xludf.DUMMYFUNCTION("""COMPUTED_VALUE"""),"Ленинский район")</f>
        <v>Ленинский район</v>
      </c>
      <c r="E1697" s="6" t="str">
        <f>IFERROR(__xludf.DUMMYFUNCTION("""COMPUTED_VALUE"""),"Прогулочная зона бульвара строителей")</f>
        <v>Прогулочная зона бульвара строителей</v>
      </c>
      <c r="F1697" s="6" t="str">
        <f>IFERROR(__xludf.DUMMYFUNCTION("""COMPUTED_VALUE"""),"Переехал сюда из другого места (откуда? укажите в графе другое), Переехали всей семьëй в 90-ые из Самарканда")</f>
        <v>Переехал сюда из другого места (откуда? укажите в графе другое), Переехали всей семьëй в 90-ые из Самарканда</v>
      </c>
      <c r="G1697" s="6" t="str">
        <f>IFERROR(__xludf.DUMMYFUNCTION("""COMPUTED_VALUE"""),"Гуляю в парках, хожу в кофе, посещаю кинотеатры")</f>
        <v>Гуляю в парках, хожу в кофе, посещаю кинотеатры</v>
      </c>
      <c r="H1697" s="6" t="str">
        <f>IFERROR(__xludf.DUMMYFUNCTION("""COMPUTED_VALUE"""),"Маленький город, Сибирь, холод")</f>
        <v>Маленький город, Сибирь, холод</v>
      </c>
      <c r="I1697" s="6" t="str">
        <f>IFERROR(__xludf.DUMMYFUNCTION("""COMPUTED_VALUE"""),"Не знаю")</f>
        <v>Не знаю</v>
      </c>
      <c r="J1697" s="6" t="str">
        <f>IFERROR(__xludf.DUMMYFUNCTION("""COMPUTED_VALUE"""),"Затрудняюсь ответить")</f>
        <v>Затрудняюсь ответить</v>
      </c>
      <c r="K1697" s="6" t="str">
        <f>IFERROR(__xludf.DUMMYFUNCTION("""COMPUTED_VALUE"""),"Показывать нечего особо. Обычный город. Погуляли бы на набережной. ")</f>
        <v>Показывать нечего особо. Обычный город. Погуляли бы на набережной. </v>
      </c>
      <c r="L1697" s="6" t="str">
        <f>IFERROR(__xludf.DUMMYFUNCTION("""COMPUTED_VALUE"""),"Затрудняюсь ответить")</f>
        <v>Затрудняюсь ответить</v>
      </c>
      <c r="M1697" s="6" t="str">
        <f>IFERROR(__xludf.DUMMYFUNCTION("""COMPUTED_VALUE"""),"Нет")</f>
        <v>Нет</v>
      </c>
      <c r="N1697" s="6" t="str">
        <f>IFERROR(__xludf.DUMMYFUNCTION("""COMPUTED_VALUE"""),"Рабочие места, достойная заработная плата, хорошая экология, чистый город, безопасность")</f>
        <v>Рабочие места, достойная заработная плата, хорошая экология, чистый город, безопасность</v>
      </c>
      <c r="O1697" s="6" t="str">
        <f>IFERROR(__xludf.DUMMYFUNCTION("""COMPUTED_VALUE"""),"Улучшить экологию")</f>
        <v>Улучшить экологию</v>
      </c>
      <c r="P1697" s="6" t="str">
        <f>IFERROR(__xludf.DUMMYFUNCTION("""COMPUTED_VALUE"""),"Новости по ТВ")</f>
        <v>Новости по ТВ</v>
      </c>
      <c r="Q1697" s="6" t="str">
        <f>IFERROR(__xludf.DUMMYFUNCTION("""COMPUTED_VALUE"""),"городская афиша (кино/театр/концерты), криминальные новости (происшествия/преступления), новости про новые профессии/куда поступать/вакансии")</f>
        <v>городская афиша (кино/театр/концерты), криминальные новости (происшествия/преступления), новости про новые профессии/куда поступать/вакансии</v>
      </c>
      <c r="R1697" s="6" t="str">
        <f>IFERROR(__xludf.DUMMYFUNCTION("""COMPUTED_VALUE"""),"9 мая")</f>
        <v>9 мая</v>
      </c>
      <c r="S1697" s="6" t="str">
        <f>IFERROR(__xludf.DUMMYFUNCTION("""COMPUTED_VALUE"""),"Нет, не приходилось")</f>
        <v>Нет, не приходилось</v>
      </c>
      <c r="T1697" s="6" t="str">
        <f>IFERROR(__xludf.DUMMYFUNCTION("""COMPUTED_VALUE"""),"Кемерово не известный город. Уникального ничего нет. ")</f>
        <v>Кемерово не известный город. Уникального ничего нет. </v>
      </c>
      <c r="U1697" s="6" t="str">
        <f>IFERROR(__xludf.DUMMYFUNCTION("""COMPUTED_VALUE"""),"Площадь советов")</f>
        <v>Площадь советов</v>
      </c>
      <c r="V1697" s="6" t="str">
        <f>IFERROR(__xludf.DUMMYFUNCTION("""COMPUTED_VALUE"""),"Не знаю")</f>
        <v>Не знаю</v>
      </c>
      <c r="W1697" s="6" t="str">
        <f>IFERROR(__xludf.DUMMYFUNCTION("""COMPUTED_VALUE"""),"Разные. Добрые и злые, умные и глупые, сильные и слабые. обычные люди как и в любом городе по всему миру. Дурацкий вопрос")</f>
        <v>Разные. Добрые и злые, умные и глупые, сильные и слабые. обычные люди как и в любом городе по всему миру. Дурацкий вопрос</v>
      </c>
      <c r="X1697" s="6" t="str">
        <f>IFERROR(__xludf.DUMMYFUNCTION("""COMPUTED_VALUE"""),"Маршрутка 40. Весь город просмотреть можно")</f>
        <v>Маршрутка 40. Весь город просмотреть можно</v>
      </c>
      <c r="Y1697" s="6" t="str">
        <f>IFERROR(__xludf.DUMMYFUNCTION("""COMPUTED_VALUE"""),"Такого события не было ")</f>
        <v>Такого события не было </v>
      </c>
      <c r="Z1697" s="6" t="str">
        <f>IFERROR(__xludf.DUMMYFUNCTION("""COMPUTED_VALUE"""),"Никаких")</f>
        <v>Никаких</v>
      </c>
      <c r="AA1697" s="6" t="str">
        <f>IFERROR(__xludf.DUMMYFUNCTION("""COMPUTED_VALUE"""),"Зимняя Вишня")</f>
        <v>Зимняя Вишня</v>
      </c>
      <c r="AB1697" s="6" t="str">
        <f>IFERROR(__xludf.DUMMYFUNCTION("""COMPUTED_VALUE"""),"Хотелось, чтобы проводили регулярные субботники по городу. Сообщества по озеленению города, сообщества связанные с экологией, сообщества ""чистый двор""")</f>
        <v>Хотелось, чтобы проводили регулярные субботники по городу. Сообщества по озеленению города, сообщества связанные с экологией, сообщества "чистый двор"</v>
      </c>
      <c r="AC1697" s="6" t="str">
        <f>IFERROR(__xludf.DUMMYFUNCTION("""COMPUTED_VALUE"""),"Аквапарк ")</f>
        <v>Аквапарк </v>
      </c>
      <c r="AD1697"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1697" s="6" t="str">
        <f>IFERROR(__xludf.DUMMYFUNCTION("""COMPUTED_VALUE"""),"Женский")</f>
        <v>Женский</v>
      </c>
      <c r="AF1697" s="6" t="str">
        <f>IFERROR(__xludf.DUMMYFUNCTION("""COMPUTED_VALUE"""),"30-44")</f>
        <v>30-44</v>
      </c>
      <c r="AG1697" s="6"/>
      <c r="AH1697" s="6"/>
      <c r="AI1697" s="6"/>
      <c r="AJ1697" s="6"/>
      <c r="AK1697" s="6"/>
      <c r="AL1697" s="6"/>
      <c r="AM1697" s="6"/>
    </row>
    <row r="1698">
      <c r="A1698" s="6">
        <v>1697.0</v>
      </c>
      <c r="B1698" s="6" t="str">
        <f>IFERROR(__xludf.DUMMYFUNCTION("""COMPUTED_VALUE"""),"Учусь")</f>
        <v>Учусь</v>
      </c>
      <c r="C1698" s="6" t="str">
        <f>IFERROR(__xludf.DUMMYFUNCTION("""COMPUTED_VALUE"""),"Делать ремонт")</f>
        <v>Делать ремонт</v>
      </c>
      <c r="D1698" s="6" t="str">
        <f>IFERROR(__xludf.DUMMYFUNCTION("""COMPUTED_VALUE"""),"Предзаводской (ПЗП) ")</f>
        <v>Предзаводской (ПЗП) </v>
      </c>
      <c r="E1698" s="6" t="str">
        <f>IFERROR(__xludf.DUMMYFUNCTION("""COMPUTED_VALUE"""),"Раньше ДК, сейчас аллея, на которой собираются алкаши")</f>
        <v>Раньше ДК, сейчас аллея, на которой собираются алкаши</v>
      </c>
      <c r="F1698" s="6" t="str">
        <f>IFERROR(__xludf.DUMMYFUNCTION("""COMPUTED_VALUE"""),"Живу здесь с рождения")</f>
        <v>Живу здесь с рождения</v>
      </c>
      <c r="G1698" s="6" t="str">
        <f>IFERROR(__xludf.DUMMYFUNCTION("""COMPUTED_VALUE"""),"У меня нет свободного времени")</f>
        <v>У меня нет свободного времени</v>
      </c>
      <c r="H1698" s="6" t="str">
        <f>IFERROR(__xludf.DUMMYFUNCTION("""COMPUTED_VALUE"""),"Родина, много мусора, зимняя вишня, завод, азот")</f>
        <v>Родина, много мусора, зимняя вишня, завод, азот</v>
      </c>
      <c r="I1698" s="6" t="str">
        <f>IFERROR(__xludf.DUMMYFUNCTION("""COMPUTED_VALUE"""),"Волошина")</f>
        <v>Волошина</v>
      </c>
      <c r="J1698" s="6" t="str">
        <f>IFERROR(__xludf.DUMMYFUNCTION("""COMPUTED_VALUE"""),"Путин, Тулеев")</f>
        <v>Путин, Тулеев</v>
      </c>
      <c r="K1698" s="6" t="str">
        <f>IFERROR(__xludf.DUMMYFUNCTION("""COMPUTED_VALUE"""),"Набережная")</f>
        <v>Набережная</v>
      </c>
      <c r="L1698" s="6" t="str">
        <f>IFERROR(__xludf.DUMMYFUNCTION("""COMPUTED_VALUE"""),"Не знаю")</f>
        <v>Не знаю</v>
      </c>
      <c r="M1698" s="6" t="str">
        <f>IFERROR(__xludf.DUMMYFUNCTION("""COMPUTED_VALUE"""),"Варежки")</f>
        <v>Варежки</v>
      </c>
      <c r="N1698" s="6" t="str">
        <f>IFERROR(__xludf.DUMMYFUNCTION("""COMPUTED_VALUE"""),"Не знаю")</f>
        <v>Не знаю</v>
      </c>
      <c r="O1698" s="6" t="str">
        <f>IFERROR(__xludf.DUMMYFUNCTION("""COMPUTED_VALUE"""),"Предзаводской район!!!!!!!!! ")</f>
        <v>Предзаводской район!!!!!!!!! </v>
      </c>
      <c r="P1698" s="6" t="str">
        <f>IFERROR(__xludf.DUMMYFUNCTION("""COMPUTED_VALUE"""),"Инстаграмм, вконтакте")</f>
        <v>Инстаграмм, вконтакте</v>
      </c>
      <c r="Q1698" s="6" t="str">
        <f>IFERROR(__xludf.DUMMYFUNCTION("""COMPUTED_VALUE"""),"где вкусно поесть/открытие новых кафе/ресторанов, новости про новые профессии/куда поступать/вакансии, результаты местных исследований (рейтинги/аналитика/тенденции)")</f>
        <v>где вкусно поесть/открытие новых кафе/ресторанов, новости про новые профессии/куда поступать/вакансии, результаты местных исследований (рейтинги/аналитика/тенденции)</v>
      </c>
      <c r="R1698" s="6" t="str">
        <f>IFERROR(__xludf.DUMMYFUNCTION("""COMPUTED_VALUE"""),"9 мая, 12 июня")</f>
        <v>9 мая, 12 июня</v>
      </c>
      <c r="S1698"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f>
        <v>Через социальные сети (Какие? Укажите в графе другое), Делал рассылку по электронной почте, Обращался в редакции электронных городских СМИ</v>
      </c>
      <c r="T1698" s="6" t="str">
        <f>IFERROR(__xludf.DUMMYFUNCTION("""COMPUTED_VALUE"""),"Не знаю")</f>
        <v>Не знаю</v>
      </c>
      <c r="U1698" s="6" t="str">
        <f>IFERROR(__xludf.DUMMYFUNCTION("""COMPUTED_VALUE"""),"Кэмз")</f>
        <v>Кэмз</v>
      </c>
      <c r="V1698" s="6" t="str">
        <f>IFERROR(__xludf.DUMMYFUNCTION("""COMPUTED_VALUE"""),"Воевали на войне")</f>
        <v>Воевали на войне</v>
      </c>
      <c r="W1698" s="6" t="str">
        <f>IFERROR(__xludf.DUMMYFUNCTION("""COMPUTED_VALUE"""),"Добрые, отзывчивые, понимающие")</f>
        <v>Добрые, отзывчивые, понимающие</v>
      </c>
      <c r="X1698" s="6" t="str">
        <f>IFERROR(__xludf.DUMMYFUNCTION("""COMPUTED_VALUE"""),"Троллейбус 4")</f>
        <v>Троллейбус 4</v>
      </c>
      <c r="Y1698" s="6" t="str">
        <f>IFERROR(__xludf.DUMMYFUNCTION("""COMPUTED_VALUE"""),"Никакого")</f>
        <v>Никакого</v>
      </c>
      <c r="Z1698" s="6" t="str">
        <f>IFERROR(__xludf.DUMMYFUNCTION("""COMPUTED_VALUE"""),"Никакого")</f>
        <v>Никакого</v>
      </c>
      <c r="AA1698" s="6" t="str">
        <f>IFERROR(__xludf.DUMMYFUNCTION("""COMPUTED_VALUE"""),"Дом начал больше рушаться")</f>
        <v>Дом начал больше рушаться</v>
      </c>
      <c r="AB1698" s="6" t="str">
        <f>IFERROR(__xludf.DUMMYFUNCTION("""COMPUTED_VALUE"""),"Никаких")</f>
        <v>Никаких</v>
      </c>
      <c r="AC1698" s="6" t="str">
        <f>IFERROR(__xludf.DUMMYFUNCTION("""COMPUTED_VALUE"""),"Отстроить пзп")</f>
        <v>Отстроить пзп</v>
      </c>
      <c r="AD169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698" s="6" t="str">
        <f>IFERROR(__xludf.DUMMYFUNCTION("""COMPUTED_VALUE"""),"Женский")</f>
        <v>Женский</v>
      </c>
      <c r="AF1698" s="6" t="str">
        <f>IFERROR(__xludf.DUMMYFUNCTION("""COMPUTED_VALUE"""),"18-29")</f>
        <v>18-29</v>
      </c>
      <c r="AG1698" s="6"/>
      <c r="AH1698" s="6"/>
      <c r="AI1698" s="6"/>
      <c r="AJ1698" s="6"/>
      <c r="AK1698" s="6"/>
      <c r="AL1698" s="6"/>
      <c r="AM1698" s="6"/>
    </row>
    <row r="1699">
      <c r="A1699" s="6">
        <v>1698.0</v>
      </c>
      <c r="B1699" s="6" t="str">
        <f>IFERROR(__xludf.DUMMYFUNCTION("""COMPUTED_VALUE"""),"Работаю")</f>
        <v>Работаю</v>
      </c>
      <c r="C1699" s="6" t="str">
        <f>IFERROR(__xludf.DUMMYFUNCTION("""COMPUTED_VALUE"""),"Гулять с детьми")</f>
        <v>Гулять с детьми</v>
      </c>
      <c r="D1699" s="6" t="str">
        <f>IFERROR(__xludf.DUMMYFUNCTION("""COMPUTED_VALUE"""),"Центральном")</f>
        <v>Центральном</v>
      </c>
      <c r="E1699" s="6" t="str">
        <f>IFERROR(__xludf.DUMMYFUNCTION("""COMPUTED_VALUE"""),"Пл. Советов, Пушкина, Волкова, Кирова, парк Чудес, Победы, Ангелов...")</f>
        <v>Пл. Советов, Пушкина, Волкова, Кирова, парк Чудес, Победы, Ангелов...</v>
      </c>
      <c r="F1699" s="6" t="str">
        <f>IFERROR(__xludf.DUMMYFUNCTION("""COMPUTED_VALUE"""),"Переехал сюда из другого места (откуда? укажите в графе другое), Уехала из Березовского уже 20 лет")</f>
        <v>Переехал сюда из другого места (откуда? укажите в графе другое), Уехала из Березовского уже 20 лет</v>
      </c>
      <c r="G1699" s="6" t="str">
        <f>IFERROR(__xludf.DUMMYFUNCTION("""COMPUTED_VALUE"""),"Пл. Советов, Пушкина, Волкова, Кирова, парк Чудес, Победы, Ангелов...")</f>
        <v>Пл. Советов, Пушкина, Волкова, Кирова, парк Чудес, Победы, Ангелов...</v>
      </c>
      <c r="H1699" s="6" t="str">
        <f>IFERROR(__xludf.DUMMYFUNCTION("""COMPUTED_VALUE"""),"День города, парад Победы, нет детских площадок в центре города, нет площадок для подростковс самокатами в центре города")</f>
        <v>День города, парад Победы, нет детских площадок в центре города, нет площадок для подростковс самокатами в центре города</v>
      </c>
      <c r="I1699" s="6" t="str">
        <f>IFERROR(__xludf.DUMMYFUNCTION("""COMPUTED_VALUE"""),"Волков, Леонов...")</f>
        <v>Волков, Леонов...</v>
      </c>
      <c r="J1699" s="6" t="str">
        <f>IFERROR(__xludf.DUMMYFUNCTION("""COMPUTED_VALUE"""),"Орлов Михаил Сергеевич")</f>
        <v>Орлов Михаил Сергеевич</v>
      </c>
      <c r="K1699" s="6" t="str">
        <f>IFERROR(__xludf.DUMMYFUNCTION("""COMPUTED_VALUE"""),"Парк Чудес, Варвару, Сосновый бор, парк Победы, фонтан на Весенней")</f>
        <v>Парк Чудес, Варвару, Сосновый бор, парк Победы, фонтан на Весенней</v>
      </c>
      <c r="L1699" s="6" t="str">
        <f>IFERROR(__xludf.DUMMYFUNCTION("""COMPUTED_VALUE"""),"Кировский-самый криминальный район")</f>
        <v>Кировский-самый криминальный район</v>
      </c>
      <c r="M1699" s="6" t="str">
        <f>IFERROR(__xludf.DUMMYFUNCTION("""COMPUTED_VALUE""")," елка за 18 млн руб.")</f>
        <v> елка за 18 млн руб.</v>
      </c>
      <c r="N1699" s="6" t="str">
        <f>IFERROR(__xludf.DUMMYFUNCTION("""COMPUTED_VALUE"""),"Детские площадки")</f>
        <v>Детские площадки</v>
      </c>
      <c r="O1699" s="6" t="str">
        <f>IFERROR(__xludf.DUMMYFUNCTION("""COMPUTED_VALUE"""),"Вернуть горки на пл. Советов, дети передавятся на одной оставшейся. Сделать площадку для подростков с самокатами в Центре города. Они все равновсе сюда едут из спальных районов. А их гонят с муз.театра.")</f>
        <v>Вернуть горки на пл. Советов, дети передавятся на одной оставшейся. Сделать площадку для подростков с самокатами в Центре города. Они все равновсе сюда едут из спальных районов. А их гонят с муз.театра.</v>
      </c>
      <c r="P1699" s="6" t="str">
        <f>IFERROR(__xludf.DUMMYFUNCTION("""COMPUTED_VALUE"""),"Интернет, слухи")</f>
        <v>Интернет, слухи</v>
      </c>
      <c r="Q1699"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v>
      </c>
      <c r="R1699" s="6" t="str">
        <f>IFERROR(__xludf.DUMMYFUNCTION("""COMPUTED_VALUE"""),"Парад Победы, концерты на пл. Советов")</f>
        <v>Парад Победы, концерты на пл. Советов</v>
      </c>
      <c r="S1699" s="6" t="str">
        <f>IFERROR(__xludf.DUMMYFUNCTION("""COMPUTED_VALUE"""),"Нет, не приходилось")</f>
        <v>Нет, не приходилось</v>
      </c>
      <c r="T1699" s="6" t="str">
        <f>IFERROR(__xludf.DUMMYFUNCTION("""COMPUTED_VALUE"""),"Елка за 18 млн.руб")</f>
        <v>Елка за 18 млн.руб</v>
      </c>
      <c r="U1699" s="6" t="str">
        <f>IFERROR(__xludf.DUMMYFUNCTION("""COMPUTED_VALUE"""),"Пл. Советов")</f>
        <v>Пл. Советов</v>
      </c>
      <c r="V1699" s="6" t="str">
        <f>IFERROR(__xludf.DUMMYFUNCTION("""COMPUTED_VALUE"""),"Дизайн зданий в центре города. Одобряю дизайн нового здания на ул. Кирова.")</f>
        <v>Дизайн зданий в центре города. Одобряю дизайн нового здания на ул. Кирова.</v>
      </c>
      <c r="W1699" s="6" t="str">
        <f>IFERROR(__xludf.DUMMYFUNCTION("""COMPUTED_VALUE"""),"Разные")</f>
        <v>Разные</v>
      </c>
      <c r="X1699" s="6" t="str">
        <f>IFERROR(__xludf.DUMMYFUNCTION("""COMPUTED_VALUE"""),"Парк Чудес, Варвар, Сосновый бор, парк Победы, фонтан на Весенней")</f>
        <v>Парк Чудес, Варвар, Сосновый бор, парк Победы, фонтан на Весенней</v>
      </c>
      <c r="Y1699" s="6" t="str">
        <f>IFERROR(__xludf.DUMMYFUNCTION("""COMPUTED_VALUE"""),"Елка за 18 млн.руб")</f>
        <v>Елка за 18 млн.руб</v>
      </c>
      <c r="Z1699" s="6" t="str">
        <f>IFERROR(__xludf.DUMMYFUNCTION("""COMPUTED_VALUE"""),"Стало грязнее, скучнее, детские площадки исчезают без замены")</f>
        <v>Стало грязнее, скучнее, детские площадки исчезают без замены</v>
      </c>
      <c r="AA1699" s="6" t="str">
        <f>IFERROR(__xludf.DUMMYFUNCTION("""COMPUTED_VALUE"""),"Стало грязнее, снег чистят хуже, скучнее, детские площадки исчезают без замены")</f>
        <v>Стало грязнее, снег чистят хуже, скучнее, детские площадки исчезают без замены</v>
      </c>
      <c r="AB1699" s="6" t="str">
        <f>IFERROR(__xludf.DUMMYFUNCTION("""COMPUTED_VALUE"""),"Никаких")</f>
        <v>Никаких</v>
      </c>
      <c r="AC1699" s="6" t="str">
        <f>IFERROR(__xludf.DUMMYFUNCTION("""COMPUTED_VALUE"""),"Обеспечить бесплатный досуг детям")</f>
        <v>Обеспечить бесплатный досуг детям</v>
      </c>
      <c r="AD169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699" s="6" t="str">
        <f>IFERROR(__xludf.DUMMYFUNCTION("""COMPUTED_VALUE"""),"Женский")</f>
        <v>Женский</v>
      </c>
      <c r="AF1699" s="6" t="str">
        <f>IFERROR(__xludf.DUMMYFUNCTION("""COMPUTED_VALUE"""),"30-44")</f>
        <v>30-44</v>
      </c>
      <c r="AG1699" s="6"/>
      <c r="AH1699" s="6"/>
      <c r="AI1699" s="6"/>
      <c r="AJ1699" s="6"/>
      <c r="AK1699" s="6"/>
      <c r="AL1699" s="6"/>
      <c r="AM1699" s="6"/>
    </row>
    <row r="1700">
      <c r="A1700" s="6">
        <v>1699.0</v>
      </c>
      <c r="B1700" s="6" t="str">
        <f>IFERROR(__xludf.DUMMYFUNCTION("""COMPUTED_VALUE"""),"Священник, отец троих детей, участвовал в строительстве храма Всех Святых и Феодора СТУДИТА.")</f>
        <v>Священник, отец троих детей, участвовал в строительстве храма Всех Святых и Феодора СТУДИТА.</v>
      </c>
      <c r="C1700" s="6" t="str">
        <f>IFERROR(__xludf.DUMMYFUNCTION("""COMPUTED_VALUE"""),"Религиоведение, греческий язык, знаменное пение. 3 d иконы из бука.")</f>
        <v>Религиоведение, греческий язык, знаменное пение. 3 d иконы из бука.</v>
      </c>
      <c r="D1700" s="6" t="str">
        <f>IFERROR(__xludf.DUMMYFUNCTION("""COMPUTED_VALUE"""),"Южный, служу в Кировском.")</f>
        <v>Южный, служу в Кировском.</v>
      </c>
      <c r="E1700" s="6" t="str">
        <f>IFERROR(__xludf.DUMMYFUNCTION("""COMPUTED_VALUE"""),"Монумент ""Память шахтёрам Кузбасса""")</f>
        <v>Монумент "Память шахтёрам Кузбасса"</v>
      </c>
      <c r="F1700" s="6" t="str">
        <f>IFERROR(__xludf.DUMMYFUNCTION("""COMPUTED_VALUE"""),"Переехал сюда из другого места (откуда? укажите в графе другое), Одесская область, учился в Николаеве, Одессе, Киеве")</f>
        <v>Переехал сюда из другого места (откуда? укажите в графе другое), Одесская область, учился в Николаеве, Одессе, Киеве</v>
      </c>
      <c r="G1700" s="6" t="str">
        <f>IFERROR(__xludf.DUMMYFUNCTION("""COMPUTED_VALUE"""),"В последнее время гуляем в Меровских домах, ждём развития дальнейшего парка")</f>
        <v>В последнее время гуляем в Меровских домах, ждём развития дальнейшего парка</v>
      </c>
      <c r="H1700" s="6" t="str">
        <f>IFERROR(__xludf.DUMMYFUNCTION("""COMPUTED_VALUE"""),"Знаменский собор, уголь, тайга, Азот, Томь")</f>
        <v>Знаменский собор, уголь, тайга, Азот, Томь</v>
      </c>
      <c r="I1700" s="6" t="str">
        <f>IFERROR(__xludf.DUMMYFUNCTION("""COMPUTED_VALUE"""),"игумен Феодосий Борисов, возродил православие, арестован, засекречены документы о его судьбе. Софроний первый Кемеровский архиерей. Михаил Волков, Алексей Леонов.")</f>
        <v>игумен Феодосий Борисов, возродил православие, арестован, засекречены документы о его судьбе. Софроний первый Кемеровский архиерей. Михаил Волков, Алексей Леонов.</v>
      </c>
      <c r="J1700" s="6" t="str">
        <f>IFERROR(__xludf.DUMMYFUNCTION("""COMPUTED_VALUE"""),"Владимир Михайлов, в каждом районе есть свои люди.")</f>
        <v>Владимир Михайлов, в каждом районе есть свои люди.</v>
      </c>
      <c r="K1700" s="6" t="str">
        <f>IFERROR(__xludf.DUMMYFUNCTION("""COMPUTED_VALUE"""),"Центр города")</f>
        <v>Центр города</v>
      </c>
      <c r="L1700" s="6" t="str">
        <f>IFERROR(__xludf.DUMMYFUNCTION("""COMPUTED_VALUE"""),"Работа не волк, в лес не убежит.")</f>
        <v>Работа не волк, в лес не убежит.</v>
      </c>
      <c r="M1700" s="6" t="str">
        <f>IFERROR(__xludf.DUMMYFUNCTION("""COMPUTED_VALUE"""),"Маленько")</f>
        <v>Маленько</v>
      </c>
      <c r="N1700" s="6" t="str">
        <f>IFERROR(__xludf.DUMMYFUNCTION("""COMPUTED_VALUE"""),"Компактность, чистота, развитие малого бизнеса, обновлении фасадов домов. Нужен Главный архитектор города, с особыми полномочиями!")</f>
        <v>Компактность, чистота, развитие малого бизнеса, обновлении фасадов домов. Нужен Главный архитектор города, с особыми полномочиями!</v>
      </c>
      <c r="O1700" s="6" t="str">
        <f>IFERROR(__xludf.DUMMYFUNCTION("""COMPUTED_VALUE"""),"Вернуть проспекту Ленина название проспект Гагарина, соединить город пешеходными зонами и парками, начать с Искитимки")</f>
        <v>Вернуть проспекту Ленина название проспект Гагарина, соединить город пешеходными зонами и парками, начать с Искитимки</v>
      </c>
      <c r="P1700" s="6" t="str">
        <f>IFERROR(__xludf.DUMMYFUNCTION("""COMPUTED_VALUE"""),"Много езжу и общаюсь с разными людьми, Инстаграм, Фейсбук.")</f>
        <v>Много езжу и общаюсь с разными людьми, Инстаграм, Фейсбук.</v>
      </c>
      <c r="Q1700" s="6" t="str">
        <f>IFERROR(__xludf.DUMMYFUNCTION("""COMPUTED_VALUE"""),"куда пойти в свободное время, интервью с местными творческими личностями, результаты местных исследований (рейтинги/аналитика/тенденции)")</f>
        <v>куда пойти в свободное время, интервью с местными творческими личностями, результаты местных исследований (рейтинги/аналитика/тенденции)</v>
      </c>
      <c r="R1700" s="6" t="str">
        <f>IFERROR(__xludf.DUMMYFUNCTION("""COMPUTED_VALUE"""),"Рождество ")</f>
        <v>Рождество </v>
      </c>
      <c r="S1700" s="6" t="str">
        <f>IFERROR(__xludf.DUMMYFUNCTION("""COMPUTED_VALUE"""),"Участвовал в издании разных книг")</f>
        <v>Участвовал в издании разных книг</v>
      </c>
      <c r="T1700" s="6" t="str">
        <f>IFERROR(__xludf.DUMMYFUNCTION("""COMPUTED_VALUE"""),"Компактный город с Тайгой, окраины нужно связать с центром")</f>
        <v>Компактный город с Тайгой, окраины нужно связать с центром</v>
      </c>
      <c r="U1700" s="6" t="str">
        <f>IFERROR(__xludf.DUMMYFUNCTION("""COMPUTED_VALUE"""),"Часовня Всех Скорбящих на месте первого храма и Никольская улица, теперь проспект Советский")</f>
        <v>Часовня Всех Скорбящих на месте первого храма и Никольская улица, теперь проспект Советский</v>
      </c>
      <c r="V1700" s="6" t="str">
        <f>IFERROR(__xludf.DUMMYFUNCTION("""COMPUTED_VALUE"""),"Выстояли с войне. Хороший пример, музей Механического завода. Оставались людьми, хотя очень много топонимов в городе в честь террористов, например Халтурин, Дзержинский, Киров, ну Ленин, Фрунзе, явно не пример для детей.")</f>
        <v>Выстояли с войне. Хороший пример, музей Механического завода. Оставались людьми, хотя очень много топонимов в городе в честь террористов, например Халтурин, Дзержинский, Киров, ну Ленин, Фрунзе, явно не пример для детей.</v>
      </c>
      <c r="W1700" s="6" t="str">
        <f>IFERROR(__xludf.DUMMYFUNCTION("""COMPUTED_VALUE"""),"Терпеливые, немного замкнутые")</f>
        <v>Терпеливые, немного замкнутые</v>
      </c>
      <c r="X1700" s="6" t="str">
        <f>IFERROR(__xludf.DUMMYFUNCTION("""COMPUTED_VALUE"""),"Набережная ")</f>
        <v>Набережная </v>
      </c>
      <c r="Y1700" s="6" t="str">
        <f>IFERROR(__xludf.DUMMYFUNCTION("""COMPUTED_VALUE"""),"Мосты и Собор")</f>
        <v>Мосты и Собор</v>
      </c>
      <c r="Z1700" s="6" t="str">
        <f>IFERROR(__xludf.DUMMYFUNCTION("""COMPUTED_VALUE"""),"Программа безопасная среда, улучшила дороги, Президентское кадетское училище ")</f>
        <v>Программа безопасная среда, улучшила дороги, Президентское кадетское училище </v>
      </c>
      <c r="AA1700" s="6" t="str">
        <f>IFERROR(__xludf.DUMMYFUNCTION("""COMPUTED_VALUE"""),"Трамвайные пересечения плохо ремонтируют, традиция кормить покойников на кладбищах, вместо реальной  помощи малоимущим.")</f>
        <v>Трамвайные пересечения плохо ремонтируют, традиция кормить покойников на кладбищах, вместо реальной  помощи малоимущим.</v>
      </c>
      <c r="AB1700" s="6" t="str">
        <f>IFERROR(__xludf.DUMMYFUNCTION("""COMPUTED_VALUE"""),"Молодежной православной среды, неразвита инфраструктура. Многие храмы ещё  без воскресных школ. На Южном нет возможности проводить оркестровые концерты. Нет денег оказывается у нас на содержание ДК, раздали под кружки. В школах не пустят, музыкалка малень"&amp;"кая, нет современной школы искусств с молодежным театром!")</f>
        <v>Молодежной православной среды, неразвита инфраструктура. Многие храмы ещё  без воскресных школ. На Южном нет возможности проводить оркестровые концерты. Нет денег оказывается у нас на содержание ДК, раздали под кружки. В школах не пустят, музыкалка маленькая, нет современной школы искусств с молодежным театром!</v>
      </c>
      <c r="AC1700" s="6" t="str">
        <f>IFERROR(__xludf.DUMMYFUNCTION("""COMPUTED_VALUE"""),"Нужен современный университетский городок, с библиотеками, парками ну и молодежным храмом, пусть студенты сами его с помощью взрослых спроектируют. Обычным, студентам, кто трудоустраивается в городе нужны жилищные программы для университетского жилья. Ког"&amp;"да студенты быстрее женятся и создадут семью с детьми, тогда они здесь и останутся. Уменьшить закредитованность населения. ")</f>
        <v>Нужен современный университетский городок, с библиотеками, парками ну и молодежным храмом, пусть студенты сами его с помощью взрослых спроектируют. Обычным, студентам, кто трудоустраивается в городе нужны жилищные программы для университетского жилья. Когда студенты быстрее женятся и создадут семью с детьми, тогда они здесь и останутся. Уменьшить закредитованность населения. </v>
      </c>
      <c r="AD170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700" s="6" t="str">
        <f>IFERROR(__xludf.DUMMYFUNCTION("""COMPUTED_VALUE"""),"Мужской")</f>
        <v>Мужской</v>
      </c>
      <c r="AF1700" s="6" t="str">
        <f>IFERROR(__xludf.DUMMYFUNCTION("""COMPUTED_VALUE"""),"30-44")</f>
        <v>30-44</v>
      </c>
      <c r="AG1700" s="6"/>
      <c r="AH1700" s="6"/>
      <c r="AI1700" s="6"/>
      <c r="AJ1700" s="6"/>
      <c r="AK1700" s="6"/>
      <c r="AL1700" s="6"/>
      <c r="AM1700" s="6"/>
    </row>
    <row r="1701">
      <c r="A1701" s="6">
        <v>1700.0</v>
      </c>
      <c r="B1701" s="6" t="str">
        <f>IFERROR(__xludf.DUMMYFUNCTION("""COMPUTED_VALUE"""),"Студент")</f>
        <v>Студент</v>
      </c>
      <c r="C1701" s="6" t="str">
        <f>IFERROR(__xludf.DUMMYFUNCTION("""COMPUTED_VALUE"""),"Спорт")</f>
        <v>Спорт</v>
      </c>
      <c r="D1701" s="6" t="str">
        <f>IFERROR(__xludf.DUMMYFUNCTION("""COMPUTED_VALUE"""),"Ленинский, гетто")</f>
        <v>Ленинский, гетто</v>
      </c>
      <c r="E1701" s="6" t="str">
        <f>IFERROR(__xludf.DUMMYFUNCTION("""COMPUTED_VALUE"""),"Центр спорта, бульвар строителей")</f>
        <v>Центр спорта, бульвар строителей</v>
      </c>
      <c r="F1701" s="6" t="str">
        <f>IFERROR(__xludf.DUMMYFUNCTION("""COMPUTED_VALUE"""),"Переехал сюда из другого места (откуда? укажите в графе другое), Учусь здесь, приехала из Междуреченска")</f>
        <v>Переехал сюда из другого места (откуда? укажите в графе другое), Учусь здесь, приехала из Междуреченска</v>
      </c>
      <c r="G1701" s="6" t="str">
        <f>IFERROR(__xludf.DUMMYFUNCTION("""COMPUTED_VALUE"""),"Бульвар строителей, улица весенняя, сосновый бор")</f>
        <v>Бульвар строителей, улица весенняя, сосновый бор</v>
      </c>
      <c r="H1701" s="6" t="str">
        <f>IFERROR(__xludf.DUMMYFUNCTION("""COMPUTED_VALUE"""),"Грязный, уютный, пыльный, ветреный, красивый")</f>
        <v>Грязный, уютный, пыльный, ветреный, красивый</v>
      </c>
      <c r="I1701" s="6" t="str">
        <f>IFERROR(__xludf.DUMMYFUNCTION("""COMPUTED_VALUE"""),"Беляев, Барбараш")</f>
        <v>Беляев, Барбараш</v>
      </c>
      <c r="J1701" s="6" t="str">
        <f>IFERROR(__xludf.DUMMYFUNCTION("""COMPUTED_VALUE"""),"Не знаю")</f>
        <v>Не знаю</v>
      </c>
      <c r="K1701" s="6" t="str">
        <f>IFERROR(__xludf.DUMMYFUNCTION("""COMPUTED_VALUE"""),"Набережная,  сосновый бор")</f>
        <v>Набережная,  сосновый бор</v>
      </c>
      <c r="L1701" s="6" t="str">
        <f>IFERROR(__xludf.DUMMYFUNCTION("""COMPUTED_VALUE"""),"Пословицы про плохие дороги")</f>
        <v>Пословицы про плохие дороги</v>
      </c>
      <c r="M1701" s="6" t="str">
        <f>IFERROR(__xludf.DUMMYFUNCTION("""COMPUTED_VALUE"""),"Нет")</f>
        <v>Нет</v>
      </c>
      <c r="N1701" s="6" t="str">
        <f>IFERROR(__xludf.DUMMYFUNCTION("""COMPUTED_VALUE"""),"Чистота, автомобильные дороги, отсутствие пробок, доступность магазинов, услуг")</f>
        <v>Чистота, автомобильные дороги, отсутствие пробок, доступность магазинов, услуг</v>
      </c>
      <c r="O1701" s="6" t="str">
        <f>IFERROR(__xludf.DUMMYFUNCTION("""COMPUTED_VALUE"""),"Снизить уровень загрязненности")</f>
        <v>Снизить уровень загрязненности</v>
      </c>
      <c r="P1701" s="6" t="str">
        <f>IFERROR(__xludf.DUMMYFUNCTION("""COMPUTED_VALUE"""),"Интернет, вк типичный Кемерово")</f>
        <v>Интернет, вк типичный Кемерово</v>
      </c>
      <c r="Q1701" s="6" t="str">
        <f>IFERROR(__xludf.DUMMYFUNCTION("""COMPUTED_VALUE"""),"где вкусно поесть/открытие новых кафе/ресторанов, городская афиша (кино/театр/концерты), новости про новые профессии/куда поступать/вакансии")</f>
        <v>где вкусно поесть/открытие новых кафе/ресторанов, городская афиша (кино/театр/концерты), новости про новые профессии/куда поступать/вакансии</v>
      </c>
      <c r="R1701" s="6" t="str">
        <f>IFERROR(__xludf.DUMMYFUNCTION("""COMPUTED_VALUE"""),"День города, 9 мая")</f>
        <v>День города, 9 мая</v>
      </c>
      <c r="S1701" s="6" t="str">
        <f>IFERROR(__xludf.DUMMYFUNCTION("""COMPUTED_VALUE"""),"Нет, не приходилось")</f>
        <v>Нет, не приходилось</v>
      </c>
      <c r="T1701" s="6" t="str">
        <f>IFERROR(__xludf.DUMMYFUNCTION("""COMPUTED_VALUE"""),"Не знаю")</f>
        <v>Не знаю</v>
      </c>
      <c r="U1701" s="6" t="str">
        <f>IFERROR(__xludf.DUMMYFUNCTION("""COMPUTED_VALUE"""),"Советский проспект, драм театр")</f>
        <v>Советский проспект, драм театр</v>
      </c>
      <c r="V1701" s="6" t="str">
        <f>IFERROR(__xludf.DUMMYFUNCTION("""COMPUTED_VALUE"""),"Не знаю")</f>
        <v>Не знаю</v>
      </c>
      <c r="W1701" s="6" t="str">
        <f>IFERROR(__xludf.DUMMYFUNCTION("""COMPUTED_VALUE"""),"Доброжелательные")</f>
        <v>Доброжелательные</v>
      </c>
      <c r="X1701" s="6" t="str">
        <f>IFERROR(__xludf.DUMMYFUNCTION("""COMPUTED_VALUE"""),"Улица весенняя, набережная, сосновый бор, Томская писаница, ботанический сад")</f>
        <v>Улица весенняя, набережная, сосновый бор, Томская писаница, ботанический сад</v>
      </c>
      <c r="Y1701" s="6" t="str">
        <f>IFERROR(__xludf.DUMMYFUNCTION("""COMPUTED_VALUE"""),"Не знаю")</f>
        <v>Не знаю</v>
      </c>
      <c r="Z1701" s="6" t="str">
        <f>IFERROR(__xludf.DUMMYFUNCTION("""COMPUTED_VALUE"""),"Достроили бульвар строителей, парк ангелов")</f>
        <v>Достроили бульвар строителей, парк ангелов</v>
      </c>
      <c r="AA1701" s="6" t="str">
        <f>IFERROR(__xludf.DUMMYFUNCTION("""COMPUTED_VALUE"""),"Не могу определиться")</f>
        <v>Не могу определиться</v>
      </c>
      <c r="AB1701" s="6" t="str">
        <f>IFERROR(__xludf.DUMMYFUNCTION("""COMPUTED_VALUE"""),"-")</f>
        <v>-</v>
      </c>
      <c r="AC1701" s="6" t="str">
        <f>IFERROR(__xludf.DUMMYFUNCTION("""COMPUTED_VALUE"""),"Молодежные мероприятия, выставки")</f>
        <v>Молодежные мероприятия, выставки</v>
      </c>
      <c r="AD170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01" s="6" t="str">
        <f>IFERROR(__xludf.DUMMYFUNCTION("""COMPUTED_VALUE"""),"Женский")</f>
        <v>Женский</v>
      </c>
      <c r="AF1701" s="6" t="str">
        <f>IFERROR(__xludf.DUMMYFUNCTION("""COMPUTED_VALUE"""),"18-29")</f>
        <v>18-29</v>
      </c>
      <c r="AG1701" s="6"/>
      <c r="AH1701" s="6"/>
      <c r="AI1701" s="6"/>
      <c r="AJ1701" s="6"/>
      <c r="AK1701" s="6"/>
      <c r="AL1701" s="6"/>
      <c r="AM1701" s="6"/>
    </row>
    <row r="1702">
      <c r="A1702" s="6">
        <v>1701.0</v>
      </c>
      <c r="B1702" s="6" t="str">
        <f>IFERROR(__xludf.DUMMYFUNCTION("""COMPUTED_VALUE"""),"Менеджер ")</f>
        <v>Менеджер </v>
      </c>
      <c r="C1702" s="6" t="str">
        <f>IFERROR(__xludf.DUMMYFUNCTION("""COMPUTED_VALUE"""),"Путешествовать, кататься на сноуборде")</f>
        <v>Путешествовать, кататься на сноуборде</v>
      </c>
      <c r="D1702" s="6" t="str">
        <f>IFERROR(__xludf.DUMMYFUNCTION("""COMPUTED_VALUE"""),"Радужка")</f>
        <v>Радужка</v>
      </c>
      <c r="E1702" s="6" t="str">
        <f>IFERROR(__xludf.DUMMYFUNCTION("""COMPUTED_VALUE"""),"Старая церковь, парк ДК шахтёров, сосновый бор")</f>
        <v>Старая церковь, парк ДК шахтёров, сосновый бор</v>
      </c>
      <c r="F1702" s="6" t="str">
        <f>IFERROR(__xludf.DUMMYFUNCTION("""COMPUTED_VALUE"""),"Переехал сюда из другого места (откуда? укажите в графе другое), Переехала из Белово ")</f>
        <v>Переехал сюда из другого места (откуда? укажите в графе другое), Переехала из Белово </v>
      </c>
      <c r="G1702" s="6" t="str">
        <f>IFERROR(__xludf.DUMMYFUNCTION("""COMPUTED_VALUE"""),"Набережная, сосновый бор")</f>
        <v>Набережная, сосновый бор</v>
      </c>
      <c r="H1702" s="6" t="str">
        <f>IFERROR(__xludf.DUMMYFUNCTION("""COMPUTED_VALUE"""),"Река, дом, трубы азота, пробки")</f>
        <v>Река, дом, трубы азота, пробки</v>
      </c>
      <c r="I1702" s="6" t="str">
        <f>IFERROR(__xludf.DUMMYFUNCTION("""COMPUTED_VALUE"""),"Тулеев ")</f>
        <v>Тулеев </v>
      </c>
      <c r="J1702" s="6" t="str">
        <f>IFERROR(__xludf.DUMMYFUNCTION("""COMPUTED_VALUE"""),"Нет")</f>
        <v>Нет</v>
      </c>
      <c r="K1702" s="6" t="str">
        <f>IFERROR(__xludf.DUMMYFUNCTION("""COMPUTED_VALUE"""),"Памятник шахтеру, набережная у вечного огня")</f>
        <v>Памятник шахтеру, набережная у вечного огня</v>
      </c>
      <c r="L1702" s="6" t="str">
        <f>IFERROR(__xludf.DUMMYFUNCTION("""COMPUTED_VALUE"""),"В кировском живут одни бродяги.  Визи трудяга домой бродягу. ")</f>
        <v>В кировском живут одни бродяги.  Визи трудяга домой бродягу. </v>
      </c>
      <c r="M1702" s="6" t="str">
        <f>IFERROR(__xludf.DUMMYFUNCTION("""COMPUTED_VALUE"""),"Нет")</f>
        <v>Нет</v>
      </c>
      <c r="N1702" s="6" t="str">
        <f>IFERROR(__xludf.DUMMYFUNCTION("""COMPUTED_VALUE"""),"Чистый воздух, развитая инфраструктура, чистые улицы, безопасность, вежливость ")</f>
        <v>Чистый воздух, развитая инфраструктура, чистые улицы, безопасность, вежливость </v>
      </c>
      <c r="O1702" s="6" t="str">
        <f>IFERROR(__xludf.DUMMYFUNCTION("""COMPUTED_VALUE"""),"Воздух, пробки ")</f>
        <v>Воздух, пробки </v>
      </c>
      <c r="P1702" s="6" t="str">
        <f>IFERROR(__xludf.DUMMYFUNCTION("""COMPUTED_VALUE"""),"А42, типичный Кемерово, все42")</f>
        <v>А42, типичный Кемерово, все42</v>
      </c>
      <c r="Q1702" s="6" t="str">
        <f>IFERROR(__xludf.DUMMYFUNCTION("""COMPUTED_VALUE"""),"интервью с местными политиками, криминальные новости (происшествия/преступления), результаты местных исследований (рейтинги/аналитика/тенденции)")</f>
        <v>интервью с местными политиками, криминальные новости (происшествия/преступления), результаты местных исследований (рейтинги/аналитика/тенденции)</v>
      </c>
      <c r="R1702" s="6" t="str">
        <f>IFERROR(__xludf.DUMMYFUNCTION("""COMPUTED_VALUE"""),"День города ")</f>
        <v>День города </v>
      </c>
      <c r="S1702" s="6" t="str">
        <f>IFERROR(__xludf.DUMMYFUNCTION("""COMPUTED_VALUE"""),"Нет, не приходилось")</f>
        <v>Нет, не приходилось</v>
      </c>
      <c r="T1702" s="6" t="str">
        <f>IFERROR(__xludf.DUMMYFUNCTION("""COMPUTED_VALUE"""),"Уголь везде. ")</f>
        <v>Уголь везде. </v>
      </c>
      <c r="U1702" s="6" t="str">
        <f>IFERROR(__xludf.DUMMYFUNCTION("""COMPUTED_VALUE"""),"Набережная у вечного огня, фонтан на драм.театре")</f>
        <v>Набережная у вечного огня, фонтан на драм.театре</v>
      </c>
      <c r="V1702" s="6" t="str">
        <f>IFERROR(__xludf.DUMMYFUNCTION("""COMPUTED_VALUE"""),"Построили второй мост")</f>
        <v>Построили второй мост</v>
      </c>
      <c r="W1702" s="6" t="str">
        <f>IFERROR(__xludf.DUMMYFUNCTION("""COMPUTED_VALUE"""),"Грустные, серьёзные, некоторые озлобленные и неуважительные ")</f>
        <v>Грустные, серьёзные, некоторые озлобленные и неуважительные </v>
      </c>
      <c r="X1702" s="6" t="str">
        <f>IFERROR(__xludf.DUMMYFUNCTION("""COMPUTED_VALUE"""),"От парка жукова до горсада по площади советов ")</f>
        <v>От парка жукова до горсада по площади советов </v>
      </c>
      <c r="Y1702" s="6" t="str">
        <f>IFERROR(__xludf.DUMMYFUNCTION("""COMPUTED_VALUE"""),"Пожар в зимней вишне ")</f>
        <v>Пожар в зимней вишне </v>
      </c>
      <c r="Z1702" s="6" t="str">
        <f>IFERROR(__xludf.DUMMYFUNCTION("""COMPUTED_VALUE"""),"Не было ")</f>
        <v>Не было </v>
      </c>
      <c r="AA1702" s="6" t="str">
        <f>IFERROR(__xludf.DUMMYFUNCTION("""COMPUTED_VALUE"""),"Парк ангелов ")</f>
        <v>Парк ангелов </v>
      </c>
      <c r="AB1702" s="6" t="str">
        <f>IFERROR(__xludf.DUMMYFUNCTION("""COMPUTED_VALUE"""),"Для пенсионеров кружки по интересам,  обновить картцентр, водные прогулки по реке. ")</f>
        <v>Для пенсионеров кружки по интересам,  обновить картцентр, водные прогулки по реке. </v>
      </c>
      <c r="AC1702" s="6" t="str">
        <f>IFERROR(__xludf.DUMMYFUNCTION("""COMPUTED_VALUE"""),"Больше концертов на открытых площадках различных направлений, возможность, фестивали искусств, больше площадок для арт пространства")</f>
        <v>Больше концертов на открытых площадках различных направлений, возможность, фестивали искусств, больше площадок для арт пространства</v>
      </c>
      <c r="AD170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702" s="6" t="str">
        <f>IFERROR(__xludf.DUMMYFUNCTION("""COMPUTED_VALUE"""),"Женский")</f>
        <v>Женский</v>
      </c>
      <c r="AF1702" s="6" t="str">
        <f>IFERROR(__xludf.DUMMYFUNCTION("""COMPUTED_VALUE"""),"30-44")</f>
        <v>30-44</v>
      </c>
      <c r="AG1702" s="6"/>
      <c r="AH1702" s="6"/>
      <c r="AI1702" s="6"/>
      <c r="AJ1702" s="6"/>
      <c r="AK1702" s="6"/>
      <c r="AL1702" s="6"/>
      <c r="AM1702" s="6"/>
    </row>
    <row r="1703">
      <c r="A1703" s="6">
        <v>1702.0</v>
      </c>
      <c r="B1703" s="6" t="str">
        <f>IFERROR(__xludf.DUMMYFUNCTION("""COMPUTED_VALUE"""),"образование")</f>
        <v>образование</v>
      </c>
      <c r="C1703" s="6" t="str">
        <f>IFERROR(__xludf.DUMMYFUNCTION("""COMPUTED_VALUE"""),"вязать, петь, танцевать, читать, гулять, изучать")</f>
        <v>вязать, петь, танцевать, читать, гулять, изучать</v>
      </c>
      <c r="D1703" s="6" t="str">
        <f>IFERROR(__xludf.DUMMYFUNCTION("""COMPUTED_VALUE"""),"Рудничный")</f>
        <v>Рудничный</v>
      </c>
      <c r="E1703" s="6" t="str">
        <f>IFERROR(__xludf.DUMMYFUNCTION("""COMPUTED_VALUE"""),"Бор")</f>
        <v>Бор</v>
      </c>
      <c r="F1703" s="6" t="str">
        <f>IFERROR(__xludf.DUMMYFUNCTION("""COMPUTED_VALUE"""),"Живу здесь с рождения")</f>
        <v>Живу здесь с рождения</v>
      </c>
      <c r="G1703" s="6" t="str">
        <f>IFERROR(__xludf.DUMMYFUNCTION("""COMPUTED_VALUE"""),"в лес около дома")</f>
        <v>в лес около дома</v>
      </c>
      <c r="H1703" s="6" t="str">
        <f>IFERROR(__xludf.DUMMYFUNCTION("""COMPUTED_VALUE"""),"пыльно, много транспорта, шумно, фасады домов, многоэтажки")</f>
        <v>пыльно, много транспорта, шумно, фасады домов, многоэтажки</v>
      </c>
      <c r="I1703" s="6" t="str">
        <f>IFERROR(__xludf.DUMMYFUNCTION("""COMPUTED_VALUE"""),"Борис Еремин")</f>
        <v>Борис Еремин</v>
      </c>
      <c r="J1703" s="6" t="str">
        <f>IFERROR(__xludf.DUMMYFUNCTION("""COMPUTED_VALUE"""),"Гришковец , Подгорбунский, В. Мирошниченко")</f>
        <v>Гришковец , Подгорбунский, В. Мирошниченко</v>
      </c>
      <c r="K1703" s="6" t="str">
        <f>IFERROR(__xludf.DUMMYFUNCTION("""COMPUTED_VALUE"""),"старый вокзал жд, откуда уходили на фронт")</f>
        <v>старый вокзал жд, откуда уходили на фронт</v>
      </c>
      <c r="L1703" s="6" t="str">
        <f>IFERROR(__xludf.DUMMYFUNCTION("""COMPUTED_VALUE"""),"Город, который смог ")</f>
        <v>Город, который смог </v>
      </c>
      <c r="M1703" s="6" t="str">
        <f>IFERROR(__xludf.DUMMYFUNCTION("""COMPUTED_VALUE"""),"нет ")</f>
        <v>нет </v>
      </c>
      <c r="N1703" s="6" t="str">
        <f>IFERROR(__xludf.DUMMYFUNCTION("""COMPUTED_VALUE"""),"Парки, скверы, тихие и зеленые, улицы политые утром водой, мосты, соединяющие берега")</f>
        <v>Парки, скверы, тихие и зеленые, улицы политые утром водой, мосты, соединяющие берега</v>
      </c>
      <c r="O1703" s="6" t="str">
        <f>IFERROR(__xludf.DUMMYFUNCTION("""COMPUTED_VALUE"""),"построить еще мост через Томь! ")</f>
        <v>построить еще мост через Томь! </v>
      </c>
      <c r="P1703" s="6" t="str">
        <f>IFERROR(__xludf.DUMMYFUNCTION("""COMPUTED_VALUE"""),"Мой город, ТВ, ")</f>
        <v>Мой город, ТВ, </v>
      </c>
      <c r="Q1703" s="6" t="str">
        <f>IFERROR(__xludf.DUMMYFUNCTION("""COMPUTED_VALUE"""),"городская афиша (кино/театр/концерты),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f>
        <v>городская афиша (кино/театр/концерты),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v>
      </c>
      <c r="R1703" s="6" t="str">
        <f>IFERROR(__xludf.DUMMYFUNCTION("""COMPUTED_VALUE"""),"9 мая ")</f>
        <v>9 мая </v>
      </c>
      <c r="S1703" s="6" t="str">
        <f>IFERROR(__xludf.DUMMYFUNCTION("""COMPUTED_VALUE"""),"Нет, не приходилось")</f>
        <v>Нет, не приходилось</v>
      </c>
      <c r="T1703" s="6" t="str">
        <f>IFERROR(__xludf.DUMMYFUNCTION("""COMPUTED_VALUE"""),"Был знаменит как столицы угольной промышленности, теперь за Зимнюю вишню")</f>
        <v>Был знаменит как столицы угольной промышленности, теперь за Зимнюю вишню</v>
      </c>
      <c r="U1703" s="6" t="str">
        <f>IFERROR(__xludf.DUMMYFUNCTION("""COMPUTED_VALUE"""),"площадь Советов ")</f>
        <v>площадь Советов </v>
      </c>
      <c r="V1703" s="6" t="str">
        <f>IFERROR(__xludf.DUMMYFUNCTION("""COMPUTED_VALUE"""),"Выжили в этих условиях - шахтерский труд тяжелейший. Условия жизни для шахтерских городков ужасающие")</f>
        <v>Выжили в этих условиях - шахтерский труд тяжелейший. Условия жизни для шахтерских городков ужасающие</v>
      </c>
      <c r="W1703" s="6" t="str">
        <f>IFERROR(__xludf.DUMMYFUNCTION("""COMPUTED_VALUE"""),"обычные люди, нет такого качества отдельно для кемеровчан")</f>
        <v>обычные люди, нет такого качества отдельно для кемеровчан</v>
      </c>
      <c r="X1703" s="6" t="str">
        <f>IFERROR(__xludf.DUMMYFUNCTION("""COMPUTED_VALUE"""),"крутой? с горы где крест стоит")</f>
        <v>крутой? с горы где крест стоит</v>
      </c>
      <c r="Y1703" s="6" t="str">
        <f>IFERROR(__xludf.DUMMYFUNCTION("""COMPUTED_VALUE"""),"Появление Кемеровской области, отделение от Новосибирской")</f>
        <v>Появление Кемеровской области, отделение от Новосибирской</v>
      </c>
      <c r="Z1703" s="6" t="str">
        <f>IFERROR(__xludf.DUMMYFUNCTION("""COMPUTED_VALUE"""),"Появление нового губернатора - пока присматриваемся, есть много позитивного")</f>
        <v>Появление нового губернатора - пока присматриваемся, есть много позитивного</v>
      </c>
      <c r="AA1703" s="6" t="str">
        <f>IFERROR(__xludf.DUMMYFUNCTION("""COMPUTED_VALUE"""),"негодования нет")</f>
        <v>негодования нет</v>
      </c>
      <c r="AB1703" s="6" t="str">
        <f>IFERROR(__xludf.DUMMYFUNCTION("""COMPUTED_VALUE"""),"не могу назвать")</f>
        <v>не могу назвать</v>
      </c>
      <c r="AC1703" s="6" t="str">
        <f>IFERROR(__xludf.DUMMYFUNCTION("""COMPUTED_VALUE"""),"город должен спокойно работать и также спокойно отдыхать, пусть приезжают артисты на гастроли, работают различные стадионы и клубы, 
ПОСТРОЙТЕ ПРАК В РУДНИЧНОМ В Р-не МЖК, ")</f>
        <v>город должен спокойно работать и также спокойно отдыхать, пусть приезжают артисты на гастроли, работают различные стадионы и клубы, 
ПОСТРОЙТЕ ПРАК В РУДНИЧНОМ В Р-не МЖК, </v>
      </c>
      <c r="AD1703"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703" s="6" t="str">
        <f>IFERROR(__xludf.DUMMYFUNCTION("""COMPUTED_VALUE"""),"Женский")</f>
        <v>Женский</v>
      </c>
      <c r="AF1703" s="6" t="str">
        <f>IFERROR(__xludf.DUMMYFUNCTION("""COMPUTED_VALUE"""),"старше 55")</f>
        <v>старше 55</v>
      </c>
      <c r="AG1703" s="6"/>
      <c r="AH1703" s="6"/>
      <c r="AI1703" s="6"/>
      <c r="AJ1703" s="6"/>
      <c r="AK1703" s="6"/>
      <c r="AL1703" s="6"/>
      <c r="AM1703" s="6"/>
    </row>
    <row r="1704">
      <c r="A1704" s="6">
        <v>1703.0</v>
      </c>
      <c r="B1704" s="6" t="str">
        <f>IFERROR(__xludf.DUMMYFUNCTION("""COMPUTED_VALUE"""),"Преподаю")</f>
        <v>Преподаю</v>
      </c>
      <c r="C1704" s="6" t="str">
        <f>IFERROR(__xludf.DUMMYFUNCTION("""COMPUTED_VALUE"""),"Да, вязание.")</f>
        <v>Да, вязание.</v>
      </c>
      <c r="D1704" s="6" t="str">
        <f>IFERROR(__xludf.DUMMYFUNCTION("""COMPUTED_VALUE"""),"В районе собора.")</f>
        <v>В районе собора.</v>
      </c>
      <c r="E1704" s="6" t="str">
        <f>IFERROR(__xludf.DUMMYFUNCTION("""COMPUTED_VALUE"""),"Вокзал.")</f>
        <v>Вокзал.</v>
      </c>
      <c r="F170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704" s="6" t="str">
        <f>IFERROR(__xludf.DUMMYFUNCTION("""COMPUTED_VALUE"""),"Комсомольский парк.")</f>
        <v>Комсомольский парк.</v>
      </c>
      <c r="H1704" s="6" t="str">
        <f>IFERROR(__xludf.DUMMYFUNCTION("""COMPUTED_VALUE"""),"По.Советов, М. Волков.")</f>
        <v>По.Советов, М. Волков.</v>
      </c>
      <c r="I1704" s="6" t="str">
        <f>IFERROR(__xludf.DUMMYFUNCTION("""COMPUTED_VALUE"""),"Маслов, В. Волошина.")</f>
        <v>Маслов, В. Волошина.</v>
      </c>
      <c r="J1704" s="6" t="str">
        <f>IFERROR(__xludf.DUMMYFUNCTION("""COMPUTED_VALUE"""),"И.Ф.Федорова, Вильчиков.")</f>
        <v>И.Ф.Федорова, Вильчиков.</v>
      </c>
      <c r="K1704" s="6" t="str">
        <f>IFERROR(__xludf.DUMMYFUNCTION("""COMPUTED_VALUE"""),"Набережная.")</f>
        <v>Набережная.</v>
      </c>
      <c r="L1704" s="6" t="str">
        <f>IFERROR(__xludf.DUMMYFUNCTION("""COMPUTED_VALUE"""),"Не знаю.")</f>
        <v>Не знаю.</v>
      </c>
      <c r="M1704" s="6" t="str">
        <f>IFERROR(__xludf.DUMMYFUNCTION("""COMPUTED_VALUE"""),"Нет.")</f>
        <v>Нет.</v>
      </c>
      <c r="N1704" s="6" t="str">
        <f>IFERROR(__xludf.DUMMYFUNCTION("""COMPUTED_VALUE"""),"Дороги,транспорт, здравоохранение, школы в завокзальный части города.")</f>
        <v>Дороги,транспорт, здравоохранение, школы в завокзальный части города.</v>
      </c>
      <c r="O1704" s="6" t="str">
        <f>IFERROR(__xludf.DUMMYFUNCTION("""COMPUTED_VALUE"""),"Отремонтировать дороги.")</f>
        <v>Отремонтировать дороги.</v>
      </c>
      <c r="P1704" s="6" t="str">
        <f>IFERROR(__xludf.DUMMYFUNCTION("""COMPUTED_VALUE"""),"Вести 42.")</f>
        <v>Вести 42.</v>
      </c>
      <c r="Q1704" s="6" t="str">
        <f>IFERROR(__xludf.DUMMYFUNCTION("""COMPUTED_VALUE"""),"Политеская обстановка в Кемерово.")</f>
        <v>Политеская обстановка в Кемерово.</v>
      </c>
      <c r="R1704" s="6" t="str">
        <f>IFERROR(__xludf.DUMMYFUNCTION("""COMPUTED_VALUE"""),"Практически все городские праздники .")</f>
        <v>Практически все городские праздники .</v>
      </c>
      <c r="S1704" s="6" t="str">
        <f>IFERROR(__xludf.DUMMYFUNCTION("""COMPUTED_VALUE"""),"Нет")</f>
        <v>Нет</v>
      </c>
      <c r="T1704" s="6" t="str">
        <f>IFERROR(__xludf.DUMMYFUNCTION("""COMPUTED_VALUE"""),"Угольные шахты, Белазы .")</f>
        <v>Угольные шахты, Белазы .</v>
      </c>
      <c r="U1704" s="6" t="str">
        <f>IFERROR(__xludf.DUMMYFUNCTION("""COMPUTED_VALUE"""),"Центр города")</f>
        <v>Центр города</v>
      </c>
      <c r="V1704" s="6" t="str">
        <f>IFERROR(__xludf.DUMMYFUNCTION("""COMPUTED_VALUE"""),"Навели чистоту в городе.")</f>
        <v>Навели чистоту в городе.</v>
      </c>
      <c r="W1704" s="6" t="str">
        <f>IFERROR(__xludf.DUMMYFUNCTION("""COMPUTED_VALUE"""),"Добрые.")</f>
        <v>Добрые.</v>
      </c>
      <c r="X1704" s="6" t="str">
        <f>IFERROR(__xludf.DUMMYFUNCTION("""COMPUTED_VALUE"""),"От ж.д. вокзала по проспекту Ленина.")</f>
        <v>От ж.д. вокзала по проспекту Ленина.</v>
      </c>
      <c r="Y1704" s="6" t="str">
        <f>IFERROR(__xludf.DUMMYFUNCTION("""COMPUTED_VALUE"""),"Открытие угольных бассейнов.")</f>
        <v>Открытие угольных бассейнов.</v>
      </c>
      <c r="Z1704" s="6" t="str">
        <f>IFERROR(__xludf.DUMMYFUNCTION("""COMPUTED_VALUE"""),"День города.")</f>
        <v>День города.</v>
      </c>
      <c r="AA1704" s="6" t="str">
        <f>IFERROR(__xludf.DUMMYFUNCTION("""COMPUTED_VALUE"""),"Безразличие коммунальщикоа , вывоз мусора.")</f>
        <v>Безразличие коммунальщикоа , вывоз мусора.</v>
      </c>
      <c r="AB1704" s="6" t="str">
        <f>IFERROR(__xludf.DUMMYFUNCTION("""COMPUTED_VALUE"""),"Всего хватает.")</f>
        <v>Всего хватает.</v>
      </c>
      <c r="AC1704" s="6" t="str">
        <f>IFERROR(__xludf.DUMMYFUNCTION("""COMPUTED_VALUE"""),"Спортивных.")</f>
        <v>Спортивных.</v>
      </c>
      <c r="AD170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04" s="6" t="str">
        <f>IFERROR(__xludf.DUMMYFUNCTION("""COMPUTED_VALUE"""),"Женский")</f>
        <v>Женский</v>
      </c>
      <c r="AF1704" s="6" t="str">
        <f>IFERROR(__xludf.DUMMYFUNCTION("""COMPUTED_VALUE"""),"45-55")</f>
        <v>45-55</v>
      </c>
      <c r="AG1704" s="6"/>
      <c r="AH1704" s="6"/>
      <c r="AI1704" s="6"/>
      <c r="AJ1704" s="6"/>
      <c r="AK1704" s="6"/>
      <c r="AL1704" s="6"/>
      <c r="AM1704" s="6"/>
    </row>
    <row r="1705">
      <c r="A1705" s="6">
        <v>1704.0</v>
      </c>
      <c r="B1705" s="6" t="str">
        <f>IFERROR(__xludf.DUMMYFUNCTION("""COMPUTED_VALUE"""),"Пенсионерка")</f>
        <v>Пенсионерка</v>
      </c>
      <c r="C1705" s="6" t="str">
        <f>IFERROR(__xludf.DUMMYFUNCTION("""COMPUTED_VALUE"""),"Прогулки")</f>
        <v>Прогулки</v>
      </c>
      <c r="D1705" s="6" t="str">
        <f>IFERROR(__xludf.DUMMYFUNCTION("""COMPUTED_VALUE"""),"Заводской район, поселок Южный")</f>
        <v>Заводской район, поселок Южный</v>
      </c>
      <c r="E1705" s="6" t="str">
        <f>IFERROR(__xludf.DUMMYFUNCTION("""COMPUTED_VALUE"""),"Памятник Юрию Гагарину. Графити  на домах Веры Волошиной и Юрия Двужильного.")</f>
        <v>Памятник Юрию Гагарину. Графити  на домах Веры Волошиной и Юрия Двужильного.</v>
      </c>
      <c r="F1705" s="6" t="str">
        <f>IFERROR(__xludf.DUMMYFUNCTION("""COMPUTED_VALUE"""),"Живу здесь с рождения")</f>
        <v>Живу здесь с рождения</v>
      </c>
      <c r="G1705" s="6" t="str">
        <f>IFERROR(__xludf.DUMMYFUNCTION("""COMPUTED_VALUE"""),"В основном в центр города. Улица Весенняя, Парк Чудес, Набережная реки Томь.")</f>
        <v>В основном в центр города. Улица Весенняя, Парк Чудес, Набережная реки Томь.</v>
      </c>
      <c r="H1705" s="6" t="str">
        <f>IFERROR(__xludf.DUMMYFUNCTION("""COMPUTED_VALUE"""),"Родной, любимый, красивый, молодой, мой.")</f>
        <v>Родной, любимый, красивый, молодой, мой.</v>
      </c>
      <c r="I1705" s="6" t="str">
        <f>IFERROR(__xludf.DUMMYFUNCTION("""COMPUTED_VALUE"""),"Аман Тулеев")</f>
        <v>Аман Тулеев</v>
      </c>
      <c r="J1705" s="6" t="str">
        <f>IFERROR(__xludf.DUMMYFUNCTION("""COMPUTED_VALUE"""),"Не знаю таких")</f>
        <v>Не знаю таких</v>
      </c>
      <c r="K1705" s="6" t="str">
        <f>IFERROR(__xludf.DUMMYFUNCTION("""COMPUTED_VALUE"""),"Район Лесная Поляна")</f>
        <v>Район Лесная Поляна</v>
      </c>
      <c r="L1705" s="6" t="str">
        <f>IFERROR(__xludf.DUMMYFUNCTION("""COMPUTED_VALUE"""),"Не знаю")</f>
        <v>Не знаю</v>
      </c>
      <c r="M1705" s="6" t="str">
        <f>IFERROR(__xludf.DUMMYFUNCTION("""COMPUTED_VALUE"""),"Не знаю")</f>
        <v>Не знаю</v>
      </c>
      <c r="N1705" s="6" t="str">
        <f>IFERROR(__xludf.DUMMYFUNCTION("""COMPUTED_VALUE"""),"Чистый, зеленый, удобный, красивый, любимый.")</f>
        <v>Чистый, зеленый, удобный, красивый, любимый.</v>
      </c>
      <c r="O1705" s="6" t="str">
        <f>IFERROR(__xludf.DUMMYFUNCTION("""COMPUTED_VALUE"""),"Общественный транспорт, чистые дороги и тротуары, больше мест отдыха, озеленение.")</f>
        <v>Общественный транспорт, чистые дороги и тротуары, больше мест отдыха, озеленение.</v>
      </c>
      <c r="P1705" s="6" t="str">
        <f>IFERROR(__xludf.DUMMYFUNCTION("""COMPUTED_VALUE"""),"Контакт, Фейсбук")</f>
        <v>Контакт, Фейсбук</v>
      </c>
      <c r="Q1705"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705" s="6" t="str">
        <f>IFERROR(__xludf.DUMMYFUNCTION("""COMPUTED_VALUE"""),"День города, День Победы")</f>
        <v>День города, День Победы</v>
      </c>
      <c r="S1705" s="6" t="str">
        <f>IFERROR(__xludf.DUMMYFUNCTION("""COMPUTED_VALUE"""),"Нет, не приходилось")</f>
        <v>Нет, не приходилось</v>
      </c>
      <c r="T1705" s="6" t="str">
        <f>IFERROR(__xludf.DUMMYFUNCTION("""COMPUTED_VALUE"""),"Новыми микрорайонами и строительством новых спортивных объектов.")</f>
        <v>Новыми микрорайонами и строительством новых спортивных объектов.</v>
      </c>
      <c r="U1705" s="6" t="str">
        <f>IFERROR(__xludf.DUMMYFUNCTION("""COMPUTED_VALUE"""),"Площадь Советов")</f>
        <v>Площадь Советов</v>
      </c>
      <c r="V1705" s="6" t="str">
        <f>IFERROR(__xludf.DUMMYFUNCTION("""COMPUTED_VALUE"""),"не знаю")</f>
        <v>не знаю</v>
      </c>
      <c r="W1705" s="6" t="str">
        <f>IFERROR(__xludf.DUMMYFUNCTION("""COMPUTED_VALUE"""),"Кемеровчане, они разные. Но больше людей хороших, болеющих за свой город.")</f>
        <v>Кемеровчане, они разные. Но больше людей хороших, болеющих за свой город.</v>
      </c>
      <c r="X1705" s="6" t="str">
        <f>IFERROR(__xludf.DUMMYFUNCTION("""COMPUTED_VALUE"""),"Красная Горка")</f>
        <v>Красная Горка</v>
      </c>
      <c r="Y1705" s="6" t="str">
        <f>IFERROR(__xludf.DUMMYFUNCTION("""COMPUTED_VALUE"""),"Спортивные соревнования мирового масштаба")</f>
        <v>Спортивные соревнования мирового масштаба</v>
      </c>
      <c r="Z1705" s="6" t="str">
        <f>IFERROR(__xludf.DUMMYFUNCTION("""COMPUTED_VALUE"""),"Никакие")</f>
        <v>Никакие</v>
      </c>
      <c r="AA1705" s="6" t="str">
        <f>IFERROR(__xludf.DUMMYFUNCTION("""COMPUTED_VALUE"""),"Никакие")</f>
        <v>Никакие</v>
      </c>
      <c r="AB1705" s="6" t="str">
        <f>IFERROR(__xludf.DUMMYFUNCTION("""COMPUTED_VALUE"""),"Для меня никаких")</f>
        <v>Для меня никаких</v>
      </c>
      <c r="AC1705" s="6" t="str">
        <f>IFERROR(__xludf.DUMMYFUNCTION("""COMPUTED_VALUE"""),"Для меня мероприятий достаточно")</f>
        <v>Для меня мероприятий достаточно</v>
      </c>
      <c r="AD170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05" s="6" t="str">
        <f>IFERROR(__xludf.DUMMYFUNCTION("""COMPUTED_VALUE"""),"Женский")</f>
        <v>Женский</v>
      </c>
      <c r="AF1705" s="6" t="str">
        <f>IFERROR(__xludf.DUMMYFUNCTION("""COMPUTED_VALUE"""),"старше 55")</f>
        <v>старше 55</v>
      </c>
      <c r="AG1705" s="6"/>
      <c r="AH1705" s="6"/>
      <c r="AI1705" s="6"/>
      <c r="AJ1705" s="6"/>
      <c r="AK1705" s="6"/>
      <c r="AL1705" s="6"/>
      <c r="AM1705" s="6"/>
    </row>
    <row r="1706">
      <c r="A1706" s="6">
        <v>1705.0</v>
      </c>
      <c r="B1706" s="6" t="str">
        <f>IFERROR(__xludf.DUMMYFUNCTION("""COMPUTED_VALUE"""),"Работаю")</f>
        <v>Работаю</v>
      </c>
      <c r="C1706" s="6" t="str">
        <f>IFERROR(__xludf.DUMMYFUNCTION("""COMPUTED_VALUE"""),"Вольная борьба ")</f>
        <v>Вольная борьба </v>
      </c>
      <c r="D1706" s="6" t="str">
        <f>IFERROR(__xludf.DUMMYFUNCTION("""COMPUTED_VALUE"""),"Заводской, аул")</f>
        <v>Заводской, аул</v>
      </c>
      <c r="E1706" s="6" t="str">
        <f>IFERROR(__xludf.DUMMYFUNCTION("""COMPUTED_VALUE"""),"Рабочая")</f>
        <v>Рабочая</v>
      </c>
      <c r="F1706" s="6" t="str">
        <f>IFERROR(__xludf.DUMMYFUNCTION("""COMPUTED_VALUE"""),"Живу здесь с рождения")</f>
        <v>Живу здесь с рождения</v>
      </c>
      <c r="G1706" s="6" t="str">
        <f>IFERROR(__xludf.DUMMYFUNCTION("""COMPUTED_VALUE"""),"На камран")</f>
        <v>На камран</v>
      </c>
      <c r="H1706" s="6" t="str">
        <f>IFERROR(__xludf.DUMMYFUNCTION("""COMPUTED_VALUE"""),"Аул, бандиты, шпапа, клубы, ночной город чудес ")</f>
        <v>Аул, бандиты, шпапа, клубы, ночной город чудес </v>
      </c>
      <c r="I1706" s="6" t="str">
        <f>IFERROR(__xludf.DUMMYFUNCTION("""COMPUTED_VALUE"""),"Волков, ")</f>
        <v>Волков, </v>
      </c>
      <c r="J1706" s="6" t="str">
        <f>IFERROR(__xludf.DUMMYFUNCTION("""COMPUTED_VALUE"""),"Тулеев, цивилев ")</f>
        <v>Тулеев, цивилев </v>
      </c>
      <c r="K1706" s="6" t="str">
        <f>IFERROR(__xludf.DUMMYFUNCTION("""COMPUTED_VALUE"""),"Аул за вокзалом ")</f>
        <v>Аул за вокзалом </v>
      </c>
      <c r="L1706" s="6" t="str">
        <f>IFERROR(__xludf.DUMMYFUNCTION("""COMPUTED_VALUE"""),"Аул район чудес 
Зашел с улыбкой
Вышел со слезами")</f>
        <v>Аул район чудес 
Зашел с улыбкой
Вышел со слезами</v>
      </c>
      <c r="M1706" s="6" t="str">
        <f>IFERROR(__xludf.DUMMYFUNCTION("""COMPUTED_VALUE"""),"Кемерово сити ")</f>
        <v>Кемерово сити </v>
      </c>
      <c r="N1706" s="6" t="str">
        <f>IFERROR(__xludf.DUMMYFUNCTION("""COMPUTED_VALUE"""),"Без слов самый лутший ")</f>
        <v>Без слов самый лутший </v>
      </c>
      <c r="O1706" s="6" t="str">
        <f>IFERROR(__xludf.DUMMYFUNCTION("""COMPUTED_VALUE"""),"Дороги ")</f>
        <v>Дороги </v>
      </c>
      <c r="P1706" s="6" t="str">
        <f>IFERROR(__xludf.DUMMYFUNCTION("""COMPUTED_VALUE"""),"Вк, инстаграм ")</f>
        <v>Вк, инстаграм </v>
      </c>
      <c r="Q1706"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706" s="6" t="str">
        <f>IFERROR(__xludf.DUMMYFUNCTION("""COMPUTED_VALUE"""),"Все")</f>
        <v>Все</v>
      </c>
      <c r="S1706" s="6" t="str">
        <f>IFERROR(__xludf.DUMMYFUNCTION("""COMPUTED_VALUE"""),"Нет, не приходилось")</f>
        <v>Нет, не приходилось</v>
      </c>
      <c r="T1706" s="6" t="str">
        <f>IFERROR(__xludf.DUMMYFUNCTION("""COMPUTED_VALUE"""),"Памятники, парки, алеи ")</f>
        <v>Памятники, парки, алеи </v>
      </c>
      <c r="U1706" s="6" t="str">
        <f>IFERROR(__xludf.DUMMYFUNCTION("""COMPUTED_VALUE"""),"Главпочтамп")</f>
        <v>Главпочтамп</v>
      </c>
      <c r="V1706" s="6" t="str">
        <f>IFERROR(__xludf.DUMMYFUNCTION("""COMPUTED_VALUE"""),"Гордились ")</f>
        <v>Гордились </v>
      </c>
      <c r="W1706" s="6" t="str">
        <f>IFERROR(__xludf.DUMMYFUNCTION("""COMPUTED_VALUE"""),"Хорошие, мы одна большая семья ")</f>
        <v>Хорошие, мы одна большая семья </v>
      </c>
      <c r="X1706" s="6" t="str">
        <f>IFERROR(__xludf.DUMMYFUNCTION("""COMPUTED_VALUE"""),"По бульвару строителей ")</f>
        <v>По бульвару строителей </v>
      </c>
      <c r="Y1706" s="6" t="str">
        <f>IFERROR(__xludf.DUMMYFUNCTION("""COMPUTED_VALUE"""),"Не знаю ")</f>
        <v>Не знаю </v>
      </c>
      <c r="Z1706" s="6" t="str">
        <f>IFERROR(__xludf.DUMMYFUNCTION("""COMPUTED_VALUE"""),"Постройка парка ангелов ")</f>
        <v>Постройка парка ангелов </v>
      </c>
      <c r="AA1706" s="6" t="str">
        <f>IFERROR(__xludf.DUMMYFUNCTION("""COMPUTED_VALUE"""),"Пожар зимний вишни ")</f>
        <v>Пожар зимний вишни </v>
      </c>
      <c r="AB1706" s="6" t="str">
        <f>IFERROR(__xludf.DUMMYFUNCTION("""COMPUTED_VALUE"""),"Охото ещё одно тц как лапландия только ещё больше ")</f>
        <v>Охото ещё одно тц как лапландия только ещё больше </v>
      </c>
      <c r="AC1706" s="6" t="str">
        <f>IFERROR(__xludf.DUMMYFUNCTION("""COMPUTED_VALUE"""),"Праздников ")</f>
        <v>Праздников </v>
      </c>
      <c r="AD170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06" s="6" t="str">
        <f>IFERROR(__xludf.DUMMYFUNCTION("""COMPUTED_VALUE"""),"Мужской")</f>
        <v>Мужской</v>
      </c>
      <c r="AF1706" s="6" t="str">
        <f>IFERROR(__xludf.DUMMYFUNCTION("""COMPUTED_VALUE"""),"18-29")</f>
        <v>18-29</v>
      </c>
      <c r="AG1706" s="6"/>
      <c r="AH1706" s="6"/>
      <c r="AI1706" s="6"/>
      <c r="AJ1706" s="6"/>
      <c r="AK1706" s="6"/>
      <c r="AL1706" s="6"/>
      <c r="AM1706" s="6"/>
    </row>
    <row r="1707">
      <c r="A1707" s="6">
        <v>1706.0</v>
      </c>
      <c r="B1707" s="6" t="str">
        <f>IFERROR(__xludf.DUMMYFUNCTION("""COMPUTED_VALUE"""),"Служба ФСИН")</f>
        <v>Служба ФСИН</v>
      </c>
      <c r="C1707" s="6" t="str">
        <f>IFERROR(__xludf.DUMMYFUNCTION("""COMPUTED_VALUE"""),"Вязание, шитье, вышивка 0")</f>
        <v>Вязание, шитье, вышивка 0</v>
      </c>
      <c r="D1707" s="6" t="str">
        <f>IFERROR(__xludf.DUMMYFUNCTION("""COMPUTED_VALUE"""),"Южный ")</f>
        <v>Южный </v>
      </c>
      <c r="E1707" s="6" t="str">
        <f>IFERROR(__xludf.DUMMYFUNCTION("""COMPUTED_VALUE"""),"К сожалению, их нет")</f>
        <v>К сожалению, их нет</v>
      </c>
      <c r="F1707" s="6" t="str">
        <f>IFERROR(__xludf.DUMMYFUNCTION("""COMPUTED_VALUE"""),"Живу здесь с рождения")</f>
        <v>Живу здесь с рождения</v>
      </c>
      <c r="G1707" s="6" t="str">
        <f>IFERROR(__xludf.DUMMYFUNCTION("""COMPUTED_VALUE"""),"Парк чудес, комсомольский парк")</f>
        <v>Парк чудес, комсомольский парк</v>
      </c>
      <c r="H1707" s="6" t="str">
        <f>IFERROR(__xludf.DUMMYFUNCTION("""COMPUTED_VALUE"""),"Томь, парк Победы, Искитимка, Пионерский бульвар, улица Весенняя")</f>
        <v>Томь, парк Победы, Искитимка, Пионерский бульвар, улица Весенняя</v>
      </c>
      <c r="I1707" s="6" t="str">
        <f>IFERROR(__xludf.DUMMYFUNCTION("""COMPUTED_VALUE"""),"Леонид, Подгорбунский, Волков, Ладонь")</f>
        <v>Леонид, Подгорбунский, Волков, Ладонь</v>
      </c>
      <c r="J1707" s="6" t="str">
        <f>IFERROR(__xludf.DUMMYFUNCTION("""COMPUTED_VALUE"""),"Не знаю")</f>
        <v>Не знаю</v>
      </c>
      <c r="K1707" s="6" t="str">
        <f>IFERROR(__xludf.DUMMYFUNCTION("""COMPUTED_VALUE"""),"Ладонь на Весенней, парк Жукова, памятник шахтёра ")</f>
        <v>Ладонь на Весенней, парк Жукова, памятник шахтёра </v>
      </c>
      <c r="L1707" s="6" t="str">
        <f>IFERROR(__xludf.DUMMYFUNCTION("""COMPUTED_VALUE"""),"Не знаю")</f>
        <v>Не знаю</v>
      </c>
      <c r="M1707" s="6" t="str">
        <f>IFERROR(__xludf.DUMMYFUNCTION("""COMPUTED_VALUE"""),"Нет")</f>
        <v>Нет</v>
      </c>
      <c r="N1707" s="6" t="str">
        <f>IFERROR(__xludf.DUMMYFUNCTION("""COMPUTED_VALUE"""),"Много школ, социальных объектов, ")</f>
        <v>Много школ, социальных объектов, </v>
      </c>
      <c r="O1707" s="6" t="str">
        <f>IFERROR(__xludf.DUMMYFUNCTION("""COMPUTED_VALUE"""),"Ввести в эксплуатацию детские школы искусств")</f>
        <v>Ввести в эксплуатацию детские школы искусств</v>
      </c>
      <c r="P1707" s="6" t="str">
        <f>IFERROR(__xludf.DUMMYFUNCTION("""COMPUTED_VALUE"""),"Инстаграмм")</f>
        <v>Инстаграмм</v>
      </c>
      <c r="Q1707"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поступать/"&amp;"вакансии,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v>
      </c>
      <c r="R1707" s="6" t="str">
        <f>IFERROR(__xludf.DUMMYFUNCTION("""COMPUTED_VALUE"""),"Майские праздники, день города и день шахтеров")</f>
        <v>Майские праздники, день города и день шахтеров</v>
      </c>
      <c r="S1707" s="6" t="str">
        <f>IFERROR(__xludf.DUMMYFUNCTION("""COMPUTED_VALUE"""),"Нет, не приходилось")</f>
        <v>Нет, не приходилось</v>
      </c>
      <c r="T1707" s="6" t="str">
        <f>IFERROR(__xludf.DUMMYFUNCTION("""COMPUTED_VALUE"""),"Забостовками, зимней вишней, Тулеевым")</f>
        <v>Забостовками, зимней вишней, Тулеевым</v>
      </c>
      <c r="U1707" s="6" t="str">
        <f>IFERROR(__xludf.DUMMYFUNCTION("""COMPUTED_VALUE"""),"Площадь у театра Драммы0")</f>
        <v>Площадь у театра Драммы0</v>
      </c>
      <c r="V1707" s="6" t="str">
        <f>IFERROR(__xludf.DUMMYFUNCTION("""COMPUTED_VALUE"""),"Создали то, чем сейчас пользуемся")</f>
        <v>Создали то, чем сейчас пользуемся</v>
      </c>
      <c r="W1707" s="6" t="str">
        <f>IFERROR(__xludf.DUMMYFUNCTION("""COMPUTED_VALUE"""),"Трудолюбие, самоотвержннные, сильные, добрые, душевные")</f>
        <v>Трудолюбие, самоотвержннные, сильные, добрые, душевные</v>
      </c>
      <c r="X1707" s="6" t="str">
        <f>IFERROR(__xludf.DUMMYFUNCTION("""COMPUTED_VALUE"""),"Центр города")</f>
        <v>Центр города</v>
      </c>
      <c r="Y1707" s="6" t="str">
        <f>IFERROR(__xludf.DUMMYFUNCTION("""COMPUTED_VALUE"""),"Нет такого")</f>
        <v>Нет такого</v>
      </c>
      <c r="Z1707" s="6" t="str">
        <f>IFERROR(__xludf.DUMMYFUNCTION("""COMPUTED_VALUE"""),"Дорога до Ленинском кузнецкого")</f>
        <v>Дорога до Ленинском кузнецкого</v>
      </c>
      <c r="AA1707" s="6" t="str">
        <f>IFERROR(__xludf.DUMMYFUNCTION("""COMPUTED_VALUE"""),"Пожар в Зимней вишне")</f>
        <v>Пожар в Зимней вишне</v>
      </c>
      <c r="AB1707" s="6" t="str">
        <f>IFERROR(__xludf.DUMMYFUNCTION("""COMPUTED_VALUE"""),"Не могу сказать")</f>
        <v>Не могу сказать</v>
      </c>
      <c r="AC1707" s="6" t="str">
        <f>IFERROR(__xludf.DUMMYFUNCTION("""COMPUTED_VALUE"""),"Снижение цен ")</f>
        <v>Снижение цен </v>
      </c>
      <c r="AD170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07" s="6" t="str">
        <f>IFERROR(__xludf.DUMMYFUNCTION("""COMPUTED_VALUE"""),"Женский")</f>
        <v>Женский</v>
      </c>
      <c r="AF1707" s="6" t="str">
        <f>IFERROR(__xludf.DUMMYFUNCTION("""COMPUTED_VALUE"""),"45-55")</f>
        <v>45-55</v>
      </c>
      <c r="AG1707" s="6"/>
      <c r="AH1707" s="6"/>
      <c r="AI1707" s="6"/>
      <c r="AJ1707" s="6"/>
      <c r="AK1707" s="6"/>
      <c r="AL1707" s="6"/>
      <c r="AM1707" s="6"/>
    </row>
    <row r="1708">
      <c r="A1708" s="6">
        <v>1707.0</v>
      </c>
      <c r="B1708" s="6" t="str">
        <f>IFERROR(__xludf.DUMMYFUNCTION("""COMPUTED_VALUE"""),"Правоохранительная ")</f>
        <v>Правоохранительная </v>
      </c>
      <c r="C1708" s="6" t="str">
        <f>IFERROR(__xludf.DUMMYFUNCTION("""COMPUTED_VALUE"""),"Вышивание ")</f>
        <v>Вышивание </v>
      </c>
      <c r="D1708" s="6" t="str">
        <f>IFERROR(__xludf.DUMMYFUNCTION("""COMPUTED_VALUE"""),"Ленинский - спальный район ")</f>
        <v>Ленинский - спальный район </v>
      </c>
      <c r="E1708" s="6" t="str">
        <f>IFERROR(__xludf.DUMMYFUNCTION("""COMPUTED_VALUE"""),"Бульвар строителей ")</f>
        <v>Бульвар строителей </v>
      </c>
      <c r="F1708" s="6" t="str">
        <f>IFERROR(__xludf.DUMMYFUNCTION("""COMPUTED_VALUE"""),"Живу здесь с рождения")</f>
        <v>Живу здесь с рождения</v>
      </c>
      <c r="G1708" s="6" t="str">
        <f>IFERROR(__xludf.DUMMYFUNCTION("""COMPUTED_VALUE"""),"В парк ")</f>
        <v>В парк </v>
      </c>
      <c r="H1708" s="6" t="str">
        <f>IFERROR(__xludf.DUMMYFUNCTION("""COMPUTED_VALUE"""),"Солнечный, яркий, живой, стремящийся, молодеющий ")</f>
        <v>Солнечный, яркий, живой, стремящийся, молодеющий </v>
      </c>
      <c r="I1708" s="6" t="str">
        <f>IFERROR(__xludf.DUMMYFUNCTION("""COMPUTED_VALUE"""),"Волков ")</f>
        <v>Волков </v>
      </c>
      <c r="J1708" s="6" t="str">
        <f>IFERROR(__xludf.DUMMYFUNCTION("""COMPUTED_VALUE"""),"Не знаю ")</f>
        <v>Не знаю </v>
      </c>
      <c r="K1708" s="6" t="str">
        <f>IFERROR(__xludf.DUMMYFUNCTION("""COMPUTED_VALUE"""),"Красную горку ")</f>
        <v>Красную горку </v>
      </c>
      <c r="L1708" s="6" t="str">
        <f>IFERROR(__xludf.DUMMYFUNCTION("""COMPUTED_VALUE"""),"Не знаю ")</f>
        <v>Не знаю </v>
      </c>
      <c r="M1708" s="6" t="str">
        <f>IFERROR(__xludf.DUMMYFUNCTION("""COMPUTED_VALUE"""),"Нет ")</f>
        <v>Нет </v>
      </c>
      <c r="N1708" s="6" t="str">
        <f>IFERROR(__xludf.DUMMYFUNCTION("""COMPUTED_VALUE"""),"Много парковочных мест, комфортная зона отдыха с детьми, хорошие дороги, доступные спортивные мероприятия ")</f>
        <v>Много парковочных мест, комфортная зона отдыха с детьми, хорошие дороги, доступные спортивные мероприятия </v>
      </c>
      <c r="O1708" s="6" t="str">
        <f>IFERROR(__xludf.DUMMYFUNCTION("""COMPUTED_VALUE"""),"Зону парковочных мест во дворах")</f>
        <v>Зону парковочных мест во дворах</v>
      </c>
      <c r="P1708" s="6" t="str">
        <f>IFERROR(__xludf.DUMMYFUNCTION("""COMPUTED_VALUE"""),"Инцидент Кузбасса ")</f>
        <v>Инцидент Кузбасса </v>
      </c>
      <c r="Q1708" s="6" t="str">
        <f>IFERROR(__xludf.DUMMYFUNCTION("""COMPUTED_VALUE"""),"куда пойти в свободное время, культурные новинки (что почитать/что послушать), криминальные новости (происшествия/преступления)")</f>
        <v>куда пойти в свободное время, культурные новинки (что почитать/что послушать), криминальные новости (происшествия/преступления)</v>
      </c>
      <c r="R1708" s="6" t="str">
        <f>IFERROR(__xludf.DUMMYFUNCTION("""COMPUTED_VALUE"""),"12 июня ")</f>
        <v>12 июня </v>
      </c>
      <c r="S1708" s="6" t="str">
        <f>IFERROR(__xludf.DUMMYFUNCTION("""COMPUTED_VALUE"""),"Нет, не приходилось")</f>
        <v>Нет, не приходилось</v>
      </c>
      <c r="T1708" s="6" t="str">
        <f>IFERROR(__xludf.DUMMYFUNCTION("""COMPUTED_VALUE"""),"Добыча угля")</f>
        <v>Добыча угля</v>
      </c>
      <c r="U1708" s="6" t="str">
        <f>IFERROR(__xludf.DUMMYFUNCTION("""COMPUTED_VALUE"""),"Площадь советов ")</f>
        <v>Площадь советов </v>
      </c>
      <c r="V1708" s="6" t="str">
        <f>IFERROR(__xludf.DUMMYFUNCTION("""COMPUTED_VALUE"""),"Каждый вносит свой вклад ")</f>
        <v>Каждый вносит свой вклад </v>
      </c>
      <c r="W1708" s="6" t="str">
        <f>IFERROR(__xludf.DUMMYFUNCTION("""COMPUTED_VALUE"""),"Отзывчивые ")</f>
        <v>Отзывчивые </v>
      </c>
      <c r="X1708" s="6" t="str">
        <f>IFERROR(__xludf.DUMMYFUNCTION("""COMPUTED_VALUE"""),"Бульвар строителей ")</f>
        <v>Бульвар строителей </v>
      </c>
      <c r="Y1708" s="6" t="str">
        <f>IFERROR(__xludf.DUMMYFUNCTION("""COMPUTED_VALUE"""),"Рок концерт ")</f>
        <v>Рок концерт </v>
      </c>
      <c r="Z1708" s="6" t="str">
        <f>IFERROR(__xludf.DUMMYFUNCTION("""COMPUTED_VALUE"""),"Рок концерт ")</f>
        <v>Рок концерт </v>
      </c>
      <c r="AA1708" s="6" t="str">
        <f>IFERROR(__xludf.DUMMYFUNCTION("""COMPUTED_VALUE"""),"Нет ")</f>
        <v>Нет </v>
      </c>
      <c r="AB1708" s="6" t="str">
        <f>IFERROR(__xludf.DUMMYFUNCTION("""COMPUTED_VALUE"""),"Мне всего хватает ")</f>
        <v>Мне всего хватает </v>
      </c>
      <c r="AC1708" s="6" t="str">
        <f>IFERROR(__xludf.DUMMYFUNCTION("""COMPUTED_VALUE"""),"Общественные развлечения для детей ")</f>
        <v>Общественные развлечения для детей </v>
      </c>
      <c r="AD170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708" s="6" t="str">
        <f>IFERROR(__xludf.DUMMYFUNCTION("""COMPUTED_VALUE"""),"Женский")</f>
        <v>Женский</v>
      </c>
      <c r="AF1708" s="6" t="str">
        <f>IFERROR(__xludf.DUMMYFUNCTION("""COMPUTED_VALUE"""),"30-44")</f>
        <v>30-44</v>
      </c>
      <c r="AG1708" s="6"/>
      <c r="AH1708" s="6"/>
      <c r="AI1708" s="6"/>
      <c r="AJ1708" s="6"/>
      <c r="AK1708" s="6"/>
      <c r="AL1708" s="6"/>
      <c r="AM1708" s="6"/>
    </row>
    <row r="1709">
      <c r="A1709" s="6">
        <v>1708.0</v>
      </c>
      <c r="B1709" s="6" t="str">
        <f>IFERROR(__xludf.DUMMYFUNCTION("""COMPUTED_VALUE"""),"Менеджмент")</f>
        <v>Менеджмент</v>
      </c>
      <c r="C1709" s="6" t="str">
        <f>IFERROR(__xludf.DUMMYFUNCTION("""COMPUTED_VALUE"""),"Автомобили")</f>
        <v>Автомобили</v>
      </c>
      <c r="D1709" s="6" t="str">
        <f>IFERROR(__xludf.DUMMYFUNCTION("""COMPUTED_VALUE"""),"Центральный")</f>
        <v>Центральный</v>
      </c>
      <c r="E1709" s="6" t="str">
        <f>IFERROR(__xludf.DUMMYFUNCTION("""COMPUTED_VALUE"""),"Весенняя улица, Драмтеатр, Притомская набережная, площадь Волкова, площадь Пушкина, Горсад")</f>
        <v>Весенняя улица, Драмтеатр, Притомская набережная, площадь Волкова, площадь Пушкина, Горсад</v>
      </c>
      <c r="F1709" s="6" t="str">
        <f>IFERROR(__xludf.DUMMYFUNCTION("""COMPUTED_VALUE"""),"Живу здесь с рождения")</f>
        <v>Живу здесь с рождения</v>
      </c>
      <c r="G1709" s="6" t="str">
        <f>IFERROR(__xludf.DUMMYFUNCTION("""COMPUTED_VALUE"""),"Набережная, Орбита, площадь Пушкина, Горсад, Сосновый бор")</f>
        <v>Набережная, Орбита, площадь Пушкина, Горсад, Сосновый бор</v>
      </c>
      <c r="H1709" s="6" t="str">
        <f>IFERROR(__xludf.DUMMYFUNCTION("""COMPUTED_VALUE"""),"Губерния, промышленность, столица, Сибирь, смог")</f>
        <v>Губерния, промышленность, столица, Сибирь, смог</v>
      </c>
      <c r="I1709" s="6" t="str">
        <f>IFERROR(__xludf.DUMMYFUNCTION("""COMPUTED_VALUE"""),"Леонов")</f>
        <v>Леонов</v>
      </c>
      <c r="J1709" s="6" t="str">
        <f>IFERROR(__xludf.DUMMYFUNCTION("""COMPUTED_VALUE"""),"Михайлов (бывший мэр), Гришковец")</f>
        <v>Михайлов (бывший мэр), Гришковец</v>
      </c>
      <c r="K1709" s="6" t="str">
        <f>IFERROR(__xludf.DUMMYFUNCTION("""COMPUTED_VALUE"""),"Набережная Томи")</f>
        <v>Набережная Томи</v>
      </c>
      <c r="L1709" s="6" t="str">
        <f>IFERROR(__xludf.DUMMYFUNCTION("""COMPUTED_VALUE"""),"Человек из Кемерова")</f>
        <v>Человек из Кемерова</v>
      </c>
      <c r="M1709" s="6" t="str">
        <f>IFERROR(__xludf.DUMMYFUNCTION("""COMPUTED_VALUE"""),"Тухачи, Терешки")</f>
        <v>Тухачи, Терешки</v>
      </c>
      <c r="N1709" s="6" t="str">
        <f>IFERROR(__xludf.DUMMYFUNCTION("""COMPUTED_VALUE"""),"Чистота, хорошие дороги, освещенность улиц и фасадов зданий, доступный и удобный современный общественный транспорт, удобные общественные места и парки.")</f>
        <v>Чистота, хорошие дороги, освещенность улиц и фасадов зданий, доступный и удобный современный общественный транспорт, удобные общественные места и парки.</v>
      </c>
      <c r="O1709" s="6" t="str">
        <f>IFERROR(__xludf.DUMMYFUNCTION("""COMPUTED_VALUE"""),"Обустроить дворовые внутренние территории")</f>
        <v>Обустроить дворовые внутренние территории</v>
      </c>
      <c r="P1709" s="6" t="str">
        <f>IFERROR(__xludf.DUMMYFUNCTION("""COMPUTED_VALUE"""),"Интернет, ТВ")</f>
        <v>Интернет, ТВ</v>
      </c>
      <c r="Q1709" s="6" t="str">
        <f>IFERROR(__xludf.DUMMYFUNCTION("""COMPUTED_VALUE"""),"куда пойти в свободное время, криминальные новости (происшествия/преступления), интервью с экспертами на разные темы (напишите в разделе Другое свои предложения)")</f>
        <v>куда пойти в свободное время, криминальные новости (происшествия/преступления), интервью с экспертами на разные темы (напишите в разделе Другое свои предложения)</v>
      </c>
      <c r="R1709" s="6" t="str">
        <f>IFERROR(__xludf.DUMMYFUNCTION("""COMPUTED_VALUE"""),"9 мая, День Шахтёра, 1 сентября")</f>
        <v>9 мая, День Шахтёра, 1 сентября</v>
      </c>
      <c r="S1709" s="6" t="str">
        <f>IFERROR(__xludf.DUMMYFUNCTION("""COMPUTED_VALUE"""),"Нет, не приходилось")</f>
        <v>Нет, не приходилось</v>
      </c>
      <c r="T1709" s="6" t="str">
        <f>IFERROR(__xludf.DUMMYFUNCTION("""COMPUTED_VALUE"""),"Люди и индустрия")</f>
        <v>Люди и индустрия</v>
      </c>
      <c r="U1709" s="6" t="str">
        <f>IFERROR(__xludf.DUMMYFUNCTION("""COMPUTED_VALUE"""),"Площадь Советов")</f>
        <v>Площадь Советов</v>
      </c>
      <c r="V1709" s="6" t="str">
        <f>IFERROR(__xludf.DUMMYFUNCTION("""COMPUTED_VALUE"""),"Участие в ВОВ, промышленность, угледобывающих предприятия")</f>
        <v>Участие в ВОВ, промышленность, угледобывающих предприятия</v>
      </c>
      <c r="W1709" s="6" t="str">
        <f>IFERROR(__xludf.DUMMYFUNCTION("""COMPUTED_VALUE"""),"Обычные люди, со своими заботами и проблемами. ")</f>
        <v>Обычные люди, со своими заботами и проблемами. </v>
      </c>
      <c r="X1709" s="6" t="str">
        <f>IFERROR(__xludf.DUMMYFUNCTION("""COMPUTED_VALUE"""),"Весенняя улица-набережная-ГорсадРок")</f>
        <v>Весенняя улица-набережная-ГорсадРок</v>
      </c>
      <c r="Y1709" s="6" t="str">
        <f>IFERROR(__xludf.DUMMYFUNCTION("""COMPUTED_VALUE"""),"Рок фестиваль ""Монстры Рока""")</f>
        <v>Рок фестиваль "Монстры Рока"</v>
      </c>
      <c r="Z1709" s="6" t="str">
        <f>IFERROR(__xludf.DUMMYFUNCTION("""COMPUTED_VALUE"""),"Открытие новых детсадов, ремонт дорог и больниц")</f>
        <v>Открытие новых детсадов, ремонт дорог и больниц</v>
      </c>
      <c r="AA1709" s="6" t="str">
        <f>IFERROR(__xludf.DUMMYFUNCTION("""COMPUTED_VALUE"""),"Митинги несовершеннолетних в поддержку оппозиционера. Очень напрягают. Полиция и Росгвардич слишком мягко к ним относятся.")</f>
        <v>Митинги несовершеннолетних в поддержку оппозиционера. Очень напрягают. Полиция и Росгвардич слишком мягко к ним относятся.</v>
      </c>
      <c r="AB1709" s="6" t="str">
        <f>IFERROR(__xludf.DUMMYFUNCTION("""COMPUTED_VALUE"""),"Экологических")</f>
        <v>Экологических</v>
      </c>
      <c r="AC1709" s="6" t="str">
        <f>IFERROR(__xludf.DUMMYFUNCTION("""COMPUTED_VALUE"""),"Проведите конкурс балалаечников. Очень интересный, конечно, вопрос)")</f>
        <v>Проведите конкурс балалаечников. Очень интересный, конечно, вопрос)</v>
      </c>
      <c r="AD1709"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709" s="6" t="str">
        <f>IFERROR(__xludf.DUMMYFUNCTION("""COMPUTED_VALUE"""),"Мужской")</f>
        <v>Мужской</v>
      </c>
      <c r="AF1709" s="6" t="str">
        <f>IFERROR(__xludf.DUMMYFUNCTION("""COMPUTED_VALUE"""),"30-44")</f>
        <v>30-44</v>
      </c>
      <c r="AG1709" s="6"/>
      <c r="AH1709" s="6"/>
      <c r="AI1709" s="6"/>
      <c r="AJ1709" s="6"/>
      <c r="AK1709" s="6"/>
      <c r="AL1709" s="6"/>
      <c r="AM1709" s="6"/>
    </row>
    <row r="1710">
      <c r="A1710" s="6">
        <v>1709.0</v>
      </c>
      <c r="B1710" s="6" t="str">
        <f>IFERROR(__xludf.DUMMYFUNCTION("""COMPUTED_VALUE"""),"Работаю в детском саду")</f>
        <v>Работаю в детском саду</v>
      </c>
      <c r="C1710" s="6" t="str">
        <f>IFERROR(__xludf.DUMMYFUNCTION("""COMPUTED_VALUE"""),"Путешествие")</f>
        <v>Путешествие</v>
      </c>
      <c r="D1710" s="6" t="str">
        <f>IFERROR(__xludf.DUMMYFUNCTION("""COMPUTED_VALUE"""),"Кировский район")</f>
        <v>Кировский район</v>
      </c>
      <c r="E1710" s="6" t="str">
        <f>IFERROR(__xludf.DUMMYFUNCTION("""COMPUTED_VALUE"""),"Набережная")</f>
        <v>Набережная</v>
      </c>
      <c r="F1710" s="6" t="str">
        <f>IFERROR(__xludf.DUMMYFUNCTION("""COMPUTED_VALUE"""),"Живу здесь с рождения")</f>
        <v>Живу здесь с рождения</v>
      </c>
      <c r="G1710" s="6" t="str">
        <f>IFERROR(__xludf.DUMMYFUNCTION("""COMPUTED_VALUE"""),"Сосновый бор")</f>
        <v>Сосновый бор</v>
      </c>
      <c r="H1710" s="6" t="str">
        <f>IFERROR(__xludf.DUMMYFUNCTION("""COMPUTED_VALUE"""),"Родина, тишина, грусть, любовь, сограждане")</f>
        <v>Родина, тишина, грусть, любовь, сограждане</v>
      </c>
      <c r="I1710" s="6" t="str">
        <f>IFERROR(__xludf.DUMMYFUNCTION("""COMPUTED_VALUE"""),"Алексей Леонов, Михайло Волков")</f>
        <v>Алексей Леонов, Михайло Волков</v>
      </c>
      <c r="J1710" s="6" t="str">
        <f>IFERROR(__xludf.DUMMYFUNCTION("""COMPUTED_VALUE"""),"Фомичева Нина Леонидовна, Волосовцева Наталья Евгеньевна, Виноградова Анастасия, Круглов Константин, Голубятников Константин это люди культуры, патриоты ")</f>
        <v>Фомичева Нина Леонидовна, Волосовцева Наталья Евгеньевна, Виноградова Анастасия, Круглов Константин, Голубятников Константин это люди культуры, патриоты </v>
      </c>
      <c r="K1710" s="6" t="str">
        <f>IFERROR(__xludf.DUMMYFUNCTION("""COMPUTED_VALUE"""),"Улицу Весеннюю, Парк победы, сосновый бор, музей Изобразительных искусств, Музей Красная горка, Томскую писаницу, набережную Кировского района")</f>
        <v>Улицу Весеннюю, Парк победы, сосновый бор, музей Изобразительных искусств, Музей Красная горка, Томскую писаницу, набережную Кировского района</v>
      </c>
      <c r="L1710" s="6" t="str">
        <f>IFERROR(__xludf.DUMMYFUNCTION("""COMPUTED_VALUE"""),"Из нового...на май 2021: ""Май, мир, труд, Христос воскрес, Гитлер капут""")</f>
        <v>Из нового...на май 2021: "Май, мир, труд, Христос воскрес, Гитлер капут"</v>
      </c>
      <c r="M1710" s="6" t="str">
        <f>IFERROR(__xludf.DUMMYFUNCTION("""COMPUTED_VALUE"""),"Мультифорка у нас, а всюду файл")</f>
        <v>Мультифорка у нас, а всюду файл</v>
      </c>
      <c r="N1710" s="6" t="str">
        <f>IFERROR(__xludf.DUMMYFUNCTION("""COMPUTED_VALUE"""),"Свобода, взаимоуважение, чистота воздуха, воды, земли, красивые здания, памятники и много цветов.")</f>
        <v>Свобода, взаимоуважение, чистота воздуха, воды, земли, красивые здания, памятники и много цветов.</v>
      </c>
      <c r="O1710" s="6" t="str">
        <f>IFERROR(__xludf.DUMMYFUNCTION("""COMPUTED_VALUE"""),"Необходимо привести в порядок дороги, дома, очистить улицы от мусора и посадить красивые деревья и цветы")</f>
        <v>Необходимо привести в порядок дороги, дома, очистить улицы от мусора и посадить красивые деревья и цветы</v>
      </c>
      <c r="P1710" s="6" t="str">
        <f>IFERROR(__xludf.DUMMYFUNCTION("""COMPUTED_VALUE"""),"Подписана на страницу в Инстаграме Цивилева С.Е. и друзей из культуры")</f>
        <v>Подписана на страницу в Инстаграме Цивилева С.Е. и друзей из культуры</v>
      </c>
      <c r="Q1710" s="6" t="str">
        <f>IFERROR(__xludf.DUMMYFUNCTION("""COMPUTED_VALUE"""),"культурные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Тенденции развития в дополнительном образовании ")</f>
        <v>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Тенденции развития в дополнительном образовании </v>
      </c>
      <c r="R1710" s="6" t="str">
        <f>IFERROR(__xludf.DUMMYFUNCTION("""COMPUTED_VALUE"""),"День Победы, день города, день шахтёра, новый год и рождество христово")</f>
        <v>День Победы, день города, день шахтёра, новый год и рождество христово</v>
      </c>
      <c r="S1710" s="6" t="str">
        <f>IFERROR(__xludf.DUMMYFUNCTION("""COMPUTED_VALUE"""),"Раньше принимала активное участие в организации и проведении массовых мероприятий в области культуры")</f>
        <v>Раньше принимала активное участие в организации и проведении массовых мероприятий в области культуры</v>
      </c>
      <c r="T1710" s="6" t="str">
        <f>IFERROR(__xludf.DUMMYFUNCTION("""COMPUTED_VALUE"""),"Кемерово известен к сожалению, ,,Зимней вишней""")</f>
        <v>Кемерово известен к сожалению, ,,Зимней вишней"</v>
      </c>
      <c r="U1710" s="6" t="str">
        <f>IFERROR(__xludf.DUMMYFUNCTION("""COMPUTED_VALUE"""),"Музыкальный театр и областной музей Изобразительных искусств")</f>
        <v>Музыкальный театр и областной музей Изобразительных искусств</v>
      </c>
      <c r="V1710" s="6" t="str">
        <f>IFERROR(__xludf.DUMMYFUNCTION("""COMPUTED_VALUE"""),"Развитая угольная и металлургическая промышленность")</f>
        <v>Развитая угольная и металлургическая промышленность</v>
      </c>
      <c r="W1710" s="6" t="str">
        <f>IFERROR(__xludf.DUMMYFUNCTION("""COMPUTED_VALUE"""),"Разные: отзывчивые, смелые, трудолюбивые и есть другая категория - приспособленцы, лизоблюды")</f>
        <v>Разные: отзывчивые, смелые, трудолюбивые и есть другая категория - приспособленцы, лизоблюды</v>
      </c>
      <c r="X1710" s="6" t="str">
        <f>IFERROR(__xludf.DUMMYFUNCTION("""COMPUTED_VALUE"""),"От центра города до Томской писаницы")</f>
        <v>От центра города до Томской писаницы</v>
      </c>
      <c r="Y1710" s="6" t="str">
        <f>IFERROR(__xludf.DUMMYFUNCTION("""COMPUTED_VALUE"""),"100 летие города")</f>
        <v>100 летие города</v>
      </c>
      <c r="Z1710" s="6" t="str">
        <f>IFERROR(__xludf.DUMMYFUNCTION("""COMPUTED_VALUE"""),"Ничего")</f>
        <v>Ничего</v>
      </c>
      <c r="AA1710" s="6" t="str">
        <f>IFERROR(__xludf.DUMMYFUNCTION("""COMPUTED_VALUE"""),"Политические репрессии в отношении граждан")</f>
        <v>Политические репрессии в отношении граждан</v>
      </c>
      <c r="AB1710" s="6" t="str">
        <f>IFERROR(__xludf.DUMMYFUNCTION("""COMPUTED_VALUE"""),"Нет смысла отвечать")</f>
        <v>Нет смысла отвечать</v>
      </c>
      <c r="AC1710" s="6" t="str">
        <f>IFERROR(__xludf.DUMMYFUNCTION("""COMPUTED_VALUE"""),"Фестивалей творчества ")</f>
        <v>Фестивалей творчества </v>
      </c>
      <c r="AD1710"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710" s="6" t="str">
        <f>IFERROR(__xludf.DUMMYFUNCTION("""COMPUTED_VALUE"""),"Женский")</f>
        <v>Женский</v>
      </c>
      <c r="AF1710" s="6" t="str">
        <f>IFERROR(__xludf.DUMMYFUNCTION("""COMPUTED_VALUE"""),"45-55")</f>
        <v>45-55</v>
      </c>
      <c r="AG1710" s="6"/>
      <c r="AH1710" s="6"/>
      <c r="AI1710" s="6"/>
      <c r="AJ1710" s="6"/>
      <c r="AK1710" s="6"/>
      <c r="AL1710" s="6"/>
      <c r="AM1710" s="6"/>
    </row>
    <row r="1711">
      <c r="A1711" s="6">
        <v>1710.0</v>
      </c>
      <c r="B1711" s="6" t="str">
        <f>IFERROR(__xludf.DUMMYFUNCTION("""COMPUTED_VALUE"""),"Предприниматель. Эко продукты")</f>
        <v>Предприниматель. Эко продукты</v>
      </c>
      <c r="C1711" s="6" t="str">
        <f>IFERROR(__xludf.DUMMYFUNCTION("""COMPUTED_VALUE"""),"Горные лыжи, гвоздестояние")</f>
        <v>Горные лыжи, гвоздестояние</v>
      </c>
      <c r="D1711" s="6" t="str">
        <f>IFERROR(__xludf.DUMMYFUNCTION("""COMPUTED_VALUE"""),"Центральный. Самый красивый и комфортный")</f>
        <v>Центральный. Самый красивый и комфортный</v>
      </c>
      <c r="E1711" s="6" t="str">
        <f>IFERROR(__xludf.DUMMYFUNCTION("""COMPUTED_VALUE"""),"Набережная Томи, Весенняя улица")</f>
        <v>Набережная Томи, Весенняя улица</v>
      </c>
      <c r="F1711" s="6" t="str">
        <f>IFERROR(__xludf.DUMMYFUNCTION("""COMPUTED_VALUE"""),"Живу здесь с рождения")</f>
        <v>Живу здесь с рождения</v>
      </c>
      <c r="G1711" s="6" t="str">
        <f>IFERROR(__xludf.DUMMYFUNCTION("""COMPUTED_VALUE"""),"Гуляю по набережной, люблю театры, Кофейни")</f>
        <v>Гуляю по набережной, люблю театры, Кофейни</v>
      </c>
      <c r="H1711" s="6" t="str">
        <f>IFERROR(__xludf.DUMMYFUNCTION("""COMPUTED_VALUE"""),"Город дзен, химия, масштабные стройки")</f>
        <v>Город дзен, химия, масштабные стройки</v>
      </c>
      <c r="I1711" s="6" t="str">
        <f>IFERROR(__xludf.DUMMYFUNCTION("""COMPUTED_VALUE"""),"Леонов Алексей")</f>
        <v>Леонов Алексей</v>
      </c>
      <c r="J1711" s="6" t="str">
        <f>IFERROR(__xludf.DUMMYFUNCTION("""COMPUTED_VALUE"""),"       ")</f>
        <v>       </v>
      </c>
      <c r="K1711" s="6" t="str">
        <f>IFERROR(__xludf.DUMMYFUNCTION("""COMPUTED_VALUE"""),"Красная Горка, центр города, Томская Писаница ")</f>
        <v>Красная Горка, центр города, Томская Писаница </v>
      </c>
      <c r="L1711" s="6" t="str">
        <f>IFERROR(__xludf.DUMMYFUNCTION("""COMPUTED_VALUE"""),"Что посеешь, то и пожнёшь- это я про плохую экологию)))")</f>
        <v>Что посеешь, то и пожнёшь- это я про плохую экологию)))</v>
      </c>
      <c r="M1711" s="6" t="str">
        <f>IFERROR(__xludf.DUMMYFUNCTION("""COMPUTED_VALUE"""),"Нет")</f>
        <v>Нет</v>
      </c>
      <c r="N1711" s="6" t="str">
        <f>IFERROR(__xludf.DUMMYFUNCTION("""COMPUTED_VALUE"""),"Хорошие дороги, освещение зданий, много ресторанов и кафе, развлечения (аквапарк, зоопарк), чистые от снега зимой дворы домов, возможность парковать автомобиль ")</f>
        <v>Хорошие дороги, освещение зданий, много ресторанов и кафе, развлечения (аквапарк, зоопарк), чистые от снега зимой дворы домов, возможность парковать автомобиль </v>
      </c>
      <c r="O1711" s="6" t="str">
        <f>IFERROR(__xludf.DUMMYFUNCTION("""COMPUTED_VALUE"""),"Построить парковки дневного размещения в рабочие дни. Отремонтировать цирк, не водим туда детей только по этой причине")</f>
        <v>Построить парковки дневного размещения в рабочие дни. Отремонтировать цирк, не водим туда детей только по этой причине</v>
      </c>
      <c r="P1711" s="6" t="str">
        <f>IFERROR(__xludf.DUMMYFUNCTION("""COMPUTED_VALUE"""),"Инстаграмм")</f>
        <v>Инстаграмм</v>
      </c>
      <c r="Q1711" s="6" t="str">
        <f>IFERROR(__xludf.DUMMYFUNCTION("""COMPUTED_VALUE"""),"куда пойти в свободное время, где вкусно поесть/открытие новых кафе/ресторанов,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f>
        <v>куда пойти в свободное время, где вкусно поесть/открытие новых кафе/ресторанов,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v>
      </c>
      <c r="R1711" s="6" t="str">
        <f>IFERROR(__xludf.DUMMYFUNCTION("""COMPUTED_VALUE"""),"День Победы ")</f>
        <v>День Победы </v>
      </c>
      <c r="S1711" s="6" t="str">
        <f>IFERROR(__xludf.DUMMYFUNCTION("""COMPUTED_VALUE"""),"Нет, не приходилось")</f>
        <v>Нет, не приходилось</v>
      </c>
      <c r="T1711" s="6" t="str">
        <f>IFERROR(__xludf.DUMMYFUNCTION("""COMPUTED_VALUE"""),"Тем, что в Кузбассе есть Шерегеш ")</f>
        <v>Тем, что в Кузбассе есть Шерегеш </v>
      </c>
      <c r="U1711" s="6" t="str">
        <f>IFERROR(__xludf.DUMMYFUNCTION("""COMPUTED_VALUE"""),"Весенняя улица, фонтан у драмтеатра")</f>
        <v>Весенняя улица, фонтан у драмтеатра</v>
      </c>
      <c r="V1711" s="6" t="str">
        <f>IFERROR(__xludf.DUMMYFUNCTION("""COMPUTED_VALUE"""),"        ")</f>
        <v>        </v>
      </c>
      <c r="W1711" s="6" t="str">
        <f>IFERROR(__xludf.DUMMYFUNCTION("""COMPUTED_VALUE"""),"Разные")</f>
        <v>Разные</v>
      </c>
      <c r="X1711" s="6" t="str">
        <f>IFERROR(__xludf.DUMMYFUNCTION("""COMPUTED_VALUE"""),"Центр, набережная, Весенняя ")</f>
        <v>Центр, набережная, Весенняя </v>
      </c>
      <c r="Y1711" s="6" t="str">
        <f>IFERROR(__xludf.DUMMYFUNCTION("""COMPUTED_VALUE"""),"           ")</f>
        <v>           </v>
      </c>
      <c r="Z1711" s="6" t="str">
        <f>IFERROR(__xludf.DUMMYFUNCTION("""COMPUTED_VALUE"""),"Не могу вспомнить")</f>
        <v>Не могу вспомнить</v>
      </c>
      <c r="AA1711" s="6" t="str">
        <f>IFERROR(__xludf.DUMMYFUNCTION("""COMPUTED_VALUE"""),"            ")</f>
        <v>            </v>
      </c>
      <c r="AB1711" s="6" t="str">
        <f>IFERROR(__xludf.DUMMYFUNCTION("""COMPUTED_VALUE"""),"ЗОЖ")</f>
        <v>ЗОЖ</v>
      </c>
      <c r="AC1711" s="6" t="str">
        <f>IFERROR(__xludf.DUMMYFUNCTION("""COMPUTED_VALUE"""),"            ")</f>
        <v>            </v>
      </c>
      <c r="AD1711"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1711" s="6" t="str">
        <f>IFERROR(__xludf.DUMMYFUNCTION("""COMPUTED_VALUE"""),"Женский")</f>
        <v>Женский</v>
      </c>
      <c r="AF1711" s="6" t="str">
        <f>IFERROR(__xludf.DUMMYFUNCTION("""COMPUTED_VALUE"""),"45-55")</f>
        <v>45-55</v>
      </c>
      <c r="AG1711" s="6"/>
      <c r="AH1711" s="6"/>
      <c r="AI1711" s="6"/>
      <c r="AJ1711" s="6"/>
      <c r="AK1711" s="6"/>
      <c r="AL1711" s="6"/>
      <c r="AM1711" s="6"/>
    </row>
    <row r="1712">
      <c r="A1712" s="6">
        <v>1711.0</v>
      </c>
      <c r="B1712" s="6" t="str">
        <f>IFERROR(__xludf.DUMMYFUNCTION("""COMPUTED_VALUE"""),"связь")</f>
        <v>связь</v>
      </c>
      <c r="C1712" s="6" t="str">
        <f>IFERROR(__xludf.DUMMYFUNCTION("""COMPUTED_VALUE"""),"паяльник")</f>
        <v>паяльник</v>
      </c>
      <c r="D1712" s="6" t="str">
        <f>IFERROR(__xludf.DUMMYFUNCTION("""COMPUTED_VALUE"""),"центраоьный")</f>
        <v>центраоьный</v>
      </c>
      <c r="E1712" s="6" t="str">
        <f>IFERROR(__xludf.DUMMYFUNCTION("""COMPUTED_VALUE"""),"центр")</f>
        <v>центр</v>
      </c>
      <c r="F1712" s="6" t="str">
        <f>IFERROR(__xludf.DUMMYFUNCTION("""COMPUTED_VALUE"""),"Живу здесь с рождения")</f>
        <v>Живу здесь с рождения</v>
      </c>
      <c r="G1712" s="6" t="str">
        <f>IFERROR(__xludf.DUMMYFUNCTION("""COMPUTED_VALUE"""),"везде")</f>
        <v>везде</v>
      </c>
      <c r="H1712" s="6" t="str">
        <f>IFERROR(__xludf.DUMMYFUNCTION("""COMPUTED_VALUE"""),"Родная газовая камера местами красивая")</f>
        <v>Родная газовая камера местами красивая</v>
      </c>
      <c r="I1712" s="6" t="str">
        <f>IFERROR(__xludf.DUMMYFUNCTION("""COMPUTED_VALUE"""),"Луи Армстронг")</f>
        <v>Луи Армстронг</v>
      </c>
      <c r="J1712" s="6" t="str">
        <f>IFERROR(__xludf.DUMMYFUNCTION("""COMPUTED_VALUE"""),"Кислюк М. Б. ")</f>
        <v>Кислюк М. Б. </v>
      </c>
      <c r="K1712" s="6" t="str">
        <f>IFERROR(__xludf.DUMMYFUNCTION("""COMPUTED_VALUE"""),"причал, канатная, и окрестности заводов")</f>
        <v>причал, канатная, и окрестности заводов</v>
      </c>
      <c r="L1712" s="6" t="str">
        <f>IFERROR(__xludf.DUMMYFUNCTION("""COMPUTED_VALUE"""),"гестапо, газовая камера, закрой дверь газ выходит. ")</f>
        <v>гестапо, газовая камера, закрой дверь газ выходит. </v>
      </c>
      <c r="M1712" s="6" t="str">
        <f>IFERROR(__xludf.DUMMYFUNCTION("""COMPUTED_VALUE"""),"все маты, как и везде")</f>
        <v>все маты, как и везде</v>
      </c>
      <c r="N1712" s="6" t="str">
        <f>IFERROR(__xludf.DUMMYFUNCTION("""COMPUTED_VALUE"""),"чисто, удобно, доступно, 4 и 5.")</f>
        <v>чисто, удобно, доступно, 4 и 5.</v>
      </c>
      <c r="O1712" s="6" t="str">
        <f>IFERROR(__xludf.DUMMYFUNCTION("""COMPUTED_VALUE"""),"верхушку")</f>
        <v>верхушку</v>
      </c>
      <c r="P1712" s="6" t="str">
        <f>IFERROR(__xludf.DUMMYFUNCTION("""COMPUTED_VALUE"""),"все варианты")</f>
        <v>все варианты</v>
      </c>
      <c r="Q1712" s="6" t="str">
        <f>IFERROR(__xludf.DUMMYFUNCTION("""COMPUTED_VALUE"""),"интервью с местными политиками, интервью с местными предпринимателями, результаты местных исследований (рейтинги/аналитика/тенденции)")</f>
        <v>интервью с местными политиками, интервью с местными предпринимателями, результаты местных исследований (рейтинги/аналитика/тенденции)</v>
      </c>
      <c r="R1712" s="6" t="str">
        <f>IFERROR(__xludf.DUMMYFUNCTION("""COMPUTED_VALUE"""),"день радио")</f>
        <v>день радио</v>
      </c>
      <c r="S1712" s="6" t="str">
        <f>IFERROR(__xludf.DUMMYFUNCTION("""COMPUTED_VALUE"""),"Нет, не приходилось")</f>
        <v>Нет, не приходилось</v>
      </c>
      <c r="T1712" s="6" t="str">
        <f>IFERROR(__xludf.DUMMYFUNCTION("""COMPUTED_VALUE"""),"экологией и Тулеевым")</f>
        <v>экологией и Тулеевым</v>
      </c>
      <c r="U1712" s="6" t="str">
        <f>IFERROR(__xludf.DUMMYFUNCTION("""COMPUTED_VALUE"""),"весенька")</f>
        <v>весенька</v>
      </c>
      <c r="V1712" s="6" t="str">
        <f>IFERROR(__xludf.DUMMYFUNCTION("""COMPUTED_VALUE"""),"ничего")</f>
        <v>ничего</v>
      </c>
      <c r="W1712" s="6" t="str">
        <f>IFERROR(__xludf.DUMMYFUNCTION("""COMPUTED_VALUE"""),"добрые ")</f>
        <v>добрые </v>
      </c>
      <c r="X1712" s="6" t="str">
        <f>IFERROR(__xludf.DUMMYFUNCTION("""COMPUTED_VALUE"""),"времени не хватит")</f>
        <v>времени не хватит</v>
      </c>
      <c r="Y1712" s="6" t="str">
        <f>IFERROR(__xludf.DUMMYFUNCTION("""COMPUTED_VALUE"""),"Акустический концерт Цоя в Оперетте")</f>
        <v>Акустический концерт Цоя в Оперетте</v>
      </c>
      <c r="Z1712" s="6" t="str">
        <f>IFERROR(__xludf.DUMMYFUNCTION("""COMPUTED_VALUE"""),"нет таких")</f>
        <v>нет таких</v>
      </c>
      <c r="AA1712" s="6" t="str">
        <f>IFERROR(__xludf.DUMMYFUNCTION("""COMPUTED_VALUE"""),"все решения верхушки ")</f>
        <v>все решения верхушки </v>
      </c>
      <c r="AB1712" s="6" t="str">
        <f>IFERROR(__xludf.DUMMYFUNCTION("""COMPUTED_VALUE"""),"их закрыли")</f>
        <v>их закрыли</v>
      </c>
      <c r="AC1712" s="6" t="str">
        <f>IFERROR(__xludf.DUMMYFUNCTION("""COMPUTED_VALUE"""),"их запретили")</f>
        <v>их запретили</v>
      </c>
      <c r="AD171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12" s="6" t="str">
        <f>IFERROR(__xludf.DUMMYFUNCTION("""COMPUTED_VALUE"""),"Мужской")</f>
        <v>Мужской</v>
      </c>
      <c r="AF1712" s="6" t="str">
        <f>IFERROR(__xludf.DUMMYFUNCTION("""COMPUTED_VALUE"""),"45-55")</f>
        <v>45-55</v>
      </c>
      <c r="AG1712" s="6"/>
      <c r="AH1712" s="6"/>
      <c r="AI1712" s="6"/>
      <c r="AJ1712" s="6"/>
      <c r="AK1712" s="6"/>
      <c r="AL1712" s="6"/>
      <c r="AM1712" s="6"/>
    </row>
    <row r="1713">
      <c r="A1713" s="6">
        <v>1712.0</v>
      </c>
      <c r="B1713" s="6" t="str">
        <f>IFERROR(__xludf.DUMMYFUNCTION("""COMPUTED_VALUE"""),"Служба")</f>
        <v>Служба</v>
      </c>
      <c r="C1713" s="6" t="str">
        <f>IFERROR(__xludf.DUMMYFUNCTION("""COMPUTED_VALUE"""),"Компьютер игры")</f>
        <v>Компьютер игры</v>
      </c>
      <c r="D1713" s="6" t="str">
        <f>IFERROR(__xludf.DUMMYFUNCTION("""COMPUTED_VALUE"""),"Центр")</f>
        <v>Центр</v>
      </c>
      <c r="E1713" s="6" t="str">
        <f>IFERROR(__xludf.DUMMYFUNCTION("""COMPUTED_VALUE"""),"Весенька, фонтан, набережная ")</f>
        <v>Весенька, фонтан, набережная </v>
      </c>
      <c r="F1713" s="6" t="str">
        <f>IFERROR(__xludf.DUMMYFUNCTION("""COMPUTED_VALUE"""),"Живу здесь с рождения")</f>
        <v>Живу здесь с рождения</v>
      </c>
      <c r="G1713" s="6" t="str">
        <f>IFERROR(__xludf.DUMMYFUNCTION("""COMPUTED_VALUE"""),"Никуда")</f>
        <v>Никуда</v>
      </c>
      <c r="H1713" s="6" t="str">
        <f>IFERROR(__xludf.DUMMYFUNCTION("""COMPUTED_VALUE"""),"Грязь, одышка, пыль, снег, дерьмо собачье")</f>
        <v>Грязь, одышка, пыль, снег, дерьмо собачье</v>
      </c>
      <c r="I1713" s="6" t="str">
        <f>IFERROR(__xludf.DUMMYFUNCTION("""COMPUTED_VALUE"""),"Незнаю ")</f>
        <v>Незнаю </v>
      </c>
      <c r="J1713" s="6" t="str">
        <f>IFERROR(__xludf.DUMMYFUNCTION("""COMPUTED_VALUE"""),"Нет таких")</f>
        <v>Нет таких</v>
      </c>
      <c r="K1713" s="6" t="str">
        <f>IFERROR(__xludf.DUMMYFUNCTION("""COMPUTED_VALUE"""),"Был маша и медведь возле бывшего чибиса-его уничтожили")</f>
        <v>Был маша и медведь возле бывшего чибиса-его уничтожили</v>
      </c>
      <c r="L1713" s="6" t="str">
        <f>IFERROR(__xludf.DUMMYFUNCTION("""COMPUTED_VALUE"""),"Фиг знает")</f>
        <v>Фиг знает</v>
      </c>
      <c r="M1713" s="6" t="str">
        <f>IFERROR(__xludf.DUMMYFUNCTION("""COMPUTED_VALUE"""),"Вы там совсем е***лись?")</f>
        <v>Вы там совсем е***лись?</v>
      </c>
      <c r="N1713" s="6" t="str">
        <f>IFERROR(__xludf.DUMMYFUNCTION("""COMPUTED_VALUE"""),"1. Чистота, 2. Порядок с парковкой, 3. Озеленение, 4. Чистый воздух. 5. Тишина")</f>
        <v>1. Чистота, 2. Порядок с парковкой, 3. Озеленение, 4. Чистый воздух. 5. Тишина</v>
      </c>
      <c r="O1713" s="6" t="str">
        <f>IFERROR(__xludf.DUMMYFUNCTION("""COMPUTED_VALUE"""),"Губернатора и мэра бестолочь")</f>
        <v>Губернатора и мэра бестолочь</v>
      </c>
      <c r="P1713" s="6" t="str">
        <f>IFERROR(__xludf.DUMMYFUNCTION("""COMPUTED_VALUE"""),"Фб")</f>
        <v>Фб</v>
      </c>
      <c r="Q1713" s="6" t="str">
        <f>IFERROR(__xludf.DUMMYFUNCTION("""COMPUTED_VALUE"""),"где вкусно поесть/открытие новых кафе/ресторанов,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(рейтинги/аналитика"&amp;"/тенденции)")</f>
        <v>где вкусно поесть/открытие новых кафе/ресторанов,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713" s="6" t="str">
        <f>IFERROR(__xludf.DUMMYFUNCTION("""COMPUTED_VALUE"""),"Новый год")</f>
        <v>Новый год</v>
      </c>
      <c r="S1713" s="6" t="str">
        <f>IFERROR(__xludf.DUMMYFUNCTION("""COMPUTED_VALUE"""),"Нет, не приходилось")</f>
        <v>Нет, не приходилось</v>
      </c>
      <c r="T1713" s="6" t="str">
        <f>IFERROR(__xludf.DUMMYFUNCTION("""COMPUTED_VALUE"""),"Известен город своим уровнем коррупции, «зимней вишней», для гостей прежде всего-как делать не надо")</f>
        <v>Известен город своим уровнем коррупции, «зимней вишней», для гостей прежде всего-как делать не надо</v>
      </c>
      <c r="U1713" s="6" t="str">
        <f>IFERROR(__xludf.DUMMYFUNCTION("""COMPUTED_VALUE"""),"Волков памятник")</f>
        <v>Волков памятник</v>
      </c>
      <c r="V1713" s="6" t="str">
        <f>IFERROR(__xludf.DUMMYFUNCTION("""COMPUTED_VALUE"""),"Ничего ")</f>
        <v>Ничего </v>
      </c>
      <c r="W1713" s="6" t="str">
        <f>IFERROR(__xludf.DUMMYFUNCTION("""COMPUTED_VALUE"""),"Злые, уставшие, несчастные люди")</f>
        <v>Злые, уставшие, несчастные люди</v>
      </c>
      <c r="X1713" s="6" t="str">
        <f>IFERROR(__xludf.DUMMYFUNCTION("""COMPUTED_VALUE"""),"В аэропорт-домой")</f>
        <v>В аэропорт-домой</v>
      </c>
      <c r="Y1713" s="6" t="str">
        <f>IFERROR(__xludf.DUMMYFUNCTION("""COMPUTED_VALUE"""),"« зимняя вишня» событие оч значимое, но крайне печальное")</f>
        <v>« зимняя вишня» событие оч значимое, но крайне печальное</v>
      </c>
      <c r="Z1713" s="6" t="str">
        <f>IFERROR(__xludf.DUMMYFUNCTION("""COMPUTED_VALUE"""),"А позитивных то и нет, один негатив")</f>
        <v>А позитивных то и нет, один негатив</v>
      </c>
      <c r="AA1713" s="6" t="str">
        <f>IFERROR(__xludf.DUMMYFUNCTION("""COMPUTED_VALUE"""),"Ну вы в курсе")</f>
        <v>Ну вы в курсе</v>
      </c>
      <c r="AB1713" s="6" t="str">
        <f>IFERROR(__xludf.DUMMYFUNCTION("""COMPUTED_VALUE"""),"Сообщество «пора валить»")</f>
        <v>Сообщество «пора валить»</v>
      </c>
      <c r="AC1713" s="6" t="str">
        <f>IFERROR(__xludf.DUMMYFUNCTION("""COMPUTED_VALUE"""),"Открытие фабрик-заводов, смена очистных сооружений, ремонт благоустройства города")</f>
        <v>Открытие фабрик-заводов, смена очистных сооружений, ремонт благоустройства города</v>
      </c>
      <c r="AD171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13" s="6" t="str">
        <f>IFERROR(__xludf.DUMMYFUNCTION("""COMPUTED_VALUE"""),"Мужской")</f>
        <v>Мужской</v>
      </c>
      <c r="AF1713" s="6" t="str">
        <f>IFERROR(__xludf.DUMMYFUNCTION("""COMPUTED_VALUE"""),"30-44")</f>
        <v>30-44</v>
      </c>
      <c r="AG1713" s="6"/>
      <c r="AH1713" s="6"/>
      <c r="AI1713" s="6"/>
      <c r="AJ1713" s="6"/>
      <c r="AK1713" s="6"/>
      <c r="AL1713" s="6"/>
      <c r="AM1713" s="6"/>
    </row>
    <row r="1714">
      <c r="A1714" s="6">
        <v>1713.0</v>
      </c>
      <c r="B1714" s="6" t="str">
        <f>IFERROR(__xludf.DUMMYFUNCTION("""COMPUTED_VALUE"""),"ИП")</f>
        <v>ИП</v>
      </c>
      <c r="C1714" s="6" t="str">
        <f>IFERROR(__xludf.DUMMYFUNCTION("""COMPUTED_VALUE"""),"Футбол, строительство")</f>
        <v>Футбол, строительство</v>
      </c>
      <c r="D1714" s="6" t="str">
        <f>IFERROR(__xludf.DUMMYFUNCTION("""COMPUTED_VALUE"""),"Рудничный. Деревня")</f>
        <v>Рудничный. Деревня</v>
      </c>
      <c r="E1714" s="6" t="str">
        <f>IFERROR(__xludf.DUMMYFUNCTION("""COMPUTED_VALUE"""),"Вечно горящие мусорки")</f>
        <v>Вечно горящие мусорки</v>
      </c>
      <c r="F1714"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1714" s="6" t="str">
        <f>IFERROR(__xludf.DUMMYFUNCTION("""COMPUTED_VALUE"""),"Лес/центр")</f>
        <v>Лес/центр</v>
      </c>
      <c r="H1714" s="6" t="str">
        <f>IFERROR(__xludf.DUMMYFUNCTION("""COMPUTED_VALUE"""),"Индастриал, екибастус, трасса, тайга, грязь")</f>
        <v>Индастриал, екибастус, трасса, тайга, грязь</v>
      </c>
      <c r="I1714" s="6" t="str">
        <f>IFERROR(__xludf.DUMMYFUNCTION("""COMPUTED_VALUE"""),"Волков, хммм")</f>
        <v>Волков, хммм</v>
      </c>
      <c r="J1714" s="6" t="str">
        <f>IFERROR(__xludf.DUMMYFUNCTION("""COMPUTED_VALUE"""),"..")</f>
        <v>..</v>
      </c>
      <c r="K1714" s="6" t="str">
        <f>IFERROR(__xludf.DUMMYFUNCTION("""COMPUTED_VALUE"""),"...")</f>
        <v>...</v>
      </c>
      <c r="L1714" s="6" t="str">
        <f>IFERROR(__xludf.DUMMYFUNCTION("""COMPUTED_VALUE"""),"...")</f>
        <v>...</v>
      </c>
      <c r="M1714" s="6" t="str">
        <f>IFERROR(__xludf.DUMMYFUNCTION("""COMPUTED_VALUE"""),"...")</f>
        <v>...</v>
      </c>
      <c r="N1714" s="6" t="str">
        <f>IFERROR(__xludf.DUMMYFUNCTION("""COMPUTED_VALUE"""),"-Велосипедные и тратуарные дороги
-чистота
-внешний облик зданий
-уборка снега (своевременная)
-магазины(которых у нас мало, типо H&amp;M)
-воздух
")</f>
        <v>-Велосипедные и тратуарные дороги
-чистота
-внешний облик зданий
-уборка снега (своевременная)
-магазины(которых у нас мало, типо H&amp;M)
-воздух
</v>
      </c>
      <c r="O1714" s="6" t="str">
        <f>IFERROR(__xludf.DUMMYFUNCTION("""COMPUTED_VALUE"""),"Экологию")</f>
        <v>Экологию</v>
      </c>
      <c r="P1714" s="6" t="str">
        <f>IFERROR(__xludf.DUMMYFUNCTION("""COMPUTED_VALUE"""),"Инстаграм")</f>
        <v>Инстаграм</v>
      </c>
      <c r="Q1714"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бизн"&amp;"ес-новости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714" s="6" t="str">
        <f>IFERROR(__xludf.DUMMYFUNCTION("""COMPUTED_VALUE"""),"Рок-фестивали")</f>
        <v>Рок-фестивали</v>
      </c>
      <c r="S1714" s="6" t="str">
        <f>IFERROR(__xludf.DUMMYFUNCTION("""COMPUTED_VALUE"""),"Писал и расклеивал объявления/афиши, Через социальные сети (Какие? Укажите в графе другое), Концерты групп")</f>
        <v>Писал и расклеивал объявления/афиши, Через социальные сети (Какие? Укажите в графе другое), Концерты групп</v>
      </c>
      <c r="T1714" s="6" t="str">
        <f>IFERROR(__xludf.DUMMYFUNCTION("""COMPUTED_VALUE"""),"...")</f>
        <v>...</v>
      </c>
      <c r="U1714" s="6" t="str">
        <f>IFERROR(__xludf.DUMMYFUNCTION("""COMPUTED_VALUE"""),"...")</f>
        <v>...</v>
      </c>
      <c r="V1714" s="6" t="str">
        <f>IFERROR(__xludf.DUMMYFUNCTION("""COMPUTED_VALUE"""),"Сделали широкие дороги")</f>
        <v>Сделали широкие дороги</v>
      </c>
      <c r="W1714" s="6" t="str">
        <f>IFERROR(__xludf.DUMMYFUNCTION("""COMPUTED_VALUE"""),"Угрюмые заводчане")</f>
        <v>Угрюмые заводчане</v>
      </c>
      <c r="X1714" s="6" t="str">
        <f>IFERROR(__xludf.DUMMYFUNCTION("""COMPUTED_VALUE"""),"Весенняя")</f>
        <v>Весенняя</v>
      </c>
      <c r="Y1714" s="6" t="str">
        <f>IFERROR(__xludf.DUMMYFUNCTION("""COMPUTED_VALUE"""),"Рок фестиваль в июле 2019 года")</f>
        <v>Рок фестиваль в июле 2019 года</v>
      </c>
      <c r="Z1714" s="6" t="str">
        <f>IFERROR(__xludf.DUMMYFUNCTION("""COMPUTED_VALUE"""),"Выше ответ")</f>
        <v>Выше ответ</v>
      </c>
      <c r="AA1714" s="6" t="str">
        <f>IFERROR(__xludf.DUMMYFUNCTION("""COMPUTED_VALUE"""),"ДтП из за нечищенных дворов и улиц")</f>
        <v>ДтП из за нечищенных дворов и улиц</v>
      </c>
      <c r="AB1714" s="6" t="str">
        <f>IFERROR(__xludf.DUMMYFUNCTION("""COMPUTED_VALUE"""),"....")</f>
        <v>....</v>
      </c>
      <c r="AC1714" s="6" t="str">
        <f>IFERROR(__xludf.DUMMYFUNCTION("""COMPUTED_VALUE"""),"Арт фестивали, уличные атрибуции")</f>
        <v>Арт фестивали, уличные атрибуции</v>
      </c>
      <c r="AD1714"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714" s="6" t="str">
        <f>IFERROR(__xludf.DUMMYFUNCTION("""COMPUTED_VALUE"""),"Мужской")</f>
        <v>Мужской</v>
      </c>
      <c r="AF1714" s="6" t="str">
        <f>IFERROR(__xludf.DUMMYFUNCTION("""COMPUTED_VALUE"""),"30-44")</f>
        <v>30-44</v>
      </c>
      <c r="AG1714" s="6"/>
      <c r="AH1714" s="6"/>
      <c r="AI1714" s="6"/>
      <c r="AJ1714" s="6"/>
      <c r="AK1714" s="6"/>
      <c r="AL1714" s="6"/>
      <c r="AM1714" s="6"/>
    </row>
    <row r="1715">
      <c r="A1715" s="6">
        <v>1714.0</v>
      </c>
      <c r="B1715" s="6" t="str">
        <f>IFERROR(__xludf.DUMMYFUNCTION("""COMPUTED_VALUE"""),"Работаю ")</f>
        <v>Работаю </v>
      </c>
      <c r="C1715" s="6" t="str">
        <f>IFERROR(__xludf.DUMMYFUNCTION("""COMPUTED_VALUE"""),"Люблю гулять по городу ")</f>
        <v>Люблю гулять по городу </v>
      </c>
      <c r="D1715" s="6" t="str">
        <f>IFERROR(__xludf.DUMMYFUNCTION("""COMPUTED_VALUE"""),"Заводский район")</f>
        <v>Заводский район</v>
      </c>
      <c r="E1715" s="6" t="str">
        <f>IFERROR(__xludf.DUMMYFUNCTION("""COMPUTED_VALUE"""),"Улица Сибиряков-Гвардейцев, хлебзавод")</f>
        <v>Улица Сибиряков-Гвардейцев, хлебзавод</v>
      </c>
      <c r="F1715" s="6" t="str">
        <f>IFERROR(__xludf.DUMMYFUNCTION("""COMPUTED_VALUE"""),"Переехала из пгт Тисуль")</f>
        <v>Переехала из пгт Тисуль</v>
      </c>
      <c r="G1715" s="6" t="str">
        <f>IFERROR(__xludf.DUMMYFUNCTION("""COMPUTED_VALUE"""),"Центр города, площадь Волкова, драмтеатр")</f>
        <v>Центр города, площадь Волкова, драмтеатр</v>
      </c>
      <c r="H1715" s="6" t="str">
        <f>IFERROR(__xludf.DUMMYFUNCTION("""COMPUTED_VALUE"""),"Фонтан, бульвар, торговый центр, набережная, скверы")</f>
        <v>Фонтан, бульвар, торговый центр, набережная, скверы</v>
      </c>
      <c r="I1715" s="6" t="str">
        <f>IFERROR(__xludf.DUMMYFUNCTION("""COMPUTED_VALUE"""),"Леонов А. А. ")</f>
        <v>Леонов А. А. </v>
      </c>
      <c r="J1715" s="6" t="str">
        <f>IFERROR(__xludf.DUMMYFUNCTION("""COMPUTED_VALUE"""),"А. Г. Тулеев")</f>
        <v>А. Г. Тулеев</v>
      </c>
      <c r="K1715" s="6" t="str">
        <f>IFERROR(__xludf.DUMMYFUNCTION("""COMPUTED_VALUE"""),"Закаулки старого центра, великолепная архитектура домов ")</f>
        <v>Закаулки старого центра, великолепная архитектура домов </v>
      </c>
      <c r="L1715" s="6" t="str">
        <f>IFERROR(__xludf.DUMMYFUNCTION("""COMPUTED_VALUE"""),"Рыбак рыбака видит из далека, где родился, там и пригодился ")</f>
        <v>Рыбак рыбака видит из далека, где родился, там и пригодился </v>
      </c>
      <c r="M1715" s="6" t="str">
        <f>IFERROR(__xludf.DUMMYFUNCTION("""COMPUTED_VALUE"""),"У жителей Кемерово есть свои названия некоторых мест любимого города ")</f>
        <v>У жителей Кемерово есть свои названия некоторых мест любимого города </v>
      </c>
      <c r="N1715" s="6" t="str">
        <f>IFERROR(__xludf.DUMMYFUNCTION("""COMPUTED_VALUE"""),"Ухоженые фасады домов, хорошее освещение в тёмное время суток, больше зелени, больше урн для мусора")</f>
        <v>Ухоженые фасады домов, хорошее освещение в тёмное время суток, больше зелени, больше урн для мусора</v>
      </c>
      <c r="O1715" s="6" t="str">
        <f>IFERROR(__xludf.DUMMYFUNCTION("""COMPUTED_VALUE"""),"Центральную набережную реки Томь")</f>
        <v>Центральную набережную реки Томь</v>
      </c>
      <c r="P1715" s="6" t="str">
        <f>IFERROR(__xludf.DUMMYFUNCTION("""COMPUTED_VALUE"""),"Инстаграм губернатора Кемеровской области, мэра города Кемерово, вконтакте новостные паблики, реклама в СМИ")</f>
        <v>Инстаграм губернатора Кемеровской области, мэра города Кемерово, вконтакте новостные паблики, реклама в СМИ</v>
      </c>
      <c r="Q1715" s="6" t="str">
        <f>IFERROR(__xludf.DUMMYFUNCTION("""COMPUTED_VALUE"""),"куда пойти в свободное время, интервью с местными предпринимателями, криминальные новости (происшествия/преступления)")</f>
        <v>куда пойти в свободное время, интервью с местными предпринимателями, криминальные новости (происшествия/преступления)</v>
      </c>
      <c r="R1715" s="6" t="str">
        <f>IFERROR(__xludf.DUMMYFUNCTION("""COMPUTED_VALUE"""),"День города ")</f>
        <v>День города </v>
      </c>
      <c r="S1715" s="6" t="str">
        <f>IFERROR(__xludf.DUMMYFUNCTION("""COMPUTED_VALUE"""),"Нет, не приходилось")</f>
        <v>Нет, не приходилось</v>
      </c>
      <c r="T1715" s="6" t="str">
        <f>IFERROR(__xludf.DUMMYFUNCTION("""COMPUTED_VALUE"""),"Прежде всего, столица Кузбасса, также Кемерово прославился на весь мир с новостью о пожаре в Зимней вишне. Кемерово оно в сердце для каждого жителя есть что-то свое родное, уникальное ")</f>
        <v>Прежде всего, столица Кузбасса, также Кемерово прославился на весь мир с новостью о пожаре в Зимней вишне. Кемерово оно в сердце для каждого жителя есть что-то свое родное, уникальное </v>
      </c>
      <c r="U1715" s="6" t="str">
        <f>IFERROR(__xludf.DUMMYFUNCTION("""COMPUTED_VALUE"""),"ЦУМ")</f>
        <v>ЦУМ</v>
      </c>
      <c r="V1715" s="6" t="str">
        <f>IFERROR(__xludf.DUMMYFUNCTION("""COMPUTED_VALUE"""),"Затрудняюсь ответить ")</f>
        <v>Затрудняюсь ответить </v>
      </c>
      <c r="W1715" s="6" t="str">
        <f>IFERROR(__xludf.DUMMYFUNCTION("""COMPUTED_VALUE"""),"Отзывчивость 5 из 10, дружелюбность 7 из 10, ")</f>
        <v>Отзывчивость 5 из 10, дружелюбность 7 из 10, </v>
      </c>
      <c r="X1715" s="6" t="str">
        <f>IFERROR(__xludf.DUMMYFUNCTION("""COMPUTED_VALUE"""),"Через сосновый бор к надписи Кузбасс ")</f>
        <v>Через сосновый бор к надписи Кузбасс </v>
      </c>
      <c r="Y1715" s="6" t="str">
        <f>IFERROR(__xludf.DUMMYFUNCTION("""COMPUTED_VALUE"""),"Михайло Волков нашёл уголь, теперь на том месте музей красная горка")</f>
        <v>Михайло Волков нашёл уголь, теперь на том месте музей красная горка</v>
      </c>
      <c r="Z1715" s="6" t="str">
        <f>IFERROR(__xludf.DUMMYFUNCTION("""COMPUTED_VALUE"""),"Глобальное обновление общественного транспорта ")</f>
        <v>Глобальное обновление общественного транспорта </v>
      </c>
      <c r="AA1715" s="6" t="str">
        <f>IFERROR(__xludf.DUMMYFUNCTION("""COMPUTED_VALUE"""),"Не припомню ")</f>
        <v>Не припомню </v>
      </c>
      <c r="AB1715" s="6" t="str">
        <f>IFERROR(__xludf.DUMMYFUNCTION("""COMPUTED_VALUE"""),"Всего хватает ")</f>
        <v>Всего хватает </v>
      </c>
      <c r="AC1715" s="6" t="str">
        <f>IFERROR(__xludf.DUMMYFUNCTION("""COMPUTED_VALUE"""),"Больше интересных молодёжных движений")</f>
        <v>Больше интересных молодёжных движений</v>
      </c>
      <c r="AD171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15" s="6" t="str">
        <f>IFERROR(__xludf.DUMMYFUNCTION("""COMPUTED_VALUE"""),"Женский")</f>
        <v>Женский</v>
      </c>
      <c r="AF1715" s="6" t="str">
        <f>IFERROR(__xludf.DUMMYFUNCTION("""COMPUTED_VALUE"""),"18-29")</f>
        <v>18-29</v>
      </c>
      <c r="AG1715" s="6"/>
      <c r="AH1715" s="6"/>
      <c r="AI1715" s="6"/>
      <c r="AJ1715" s="6"/>
      <c r="AK1715" s="6"/>
      <c r="AL1715" s="6"/>
      <c r="AM1715" s="6"/>
    </row>
    <row r="1716">
      <c r="A1716" s="6">
        <v>1715.0</v>
      </c>
      <c r="B1716" s="6" t="str">
        <f>IFERROR(__xludf.DUMMYFUNCTION("""COMPUTED_VALUE"""),"Рабоиаю в угольной помышленности")</f>
        <v>Рабоиаю в угольной помышленности</v>
      </c>
      <c r="C1716" s="6" t="str">
        <f>IFERROR(__xludf.DUMMYFUNCTION("""COMPUTED_VALUE"""),"Для этого недостаточно времени")</f>
        <v>Для этого недостаточно времени</v>
      </c>
      <c r="D1716" s="6" t="str">
        <f>IFERROR(__xludf.DUMMYFUNCTION("""COMPUTED_VALUE"""),"Ленинский")</f>
        <v>Ленинский</v>
      </c>
      <c r="E1716" s="6" t="str">
        <f>IFERROR(__xludf.DUMMYFUNCTION("""COMPUTED_VALUE"""),"Бульвар Строителец
Храм св. Мученицы Татианы
Парк")</f>
        <v>Бульвар Строителец
Храм св. Мученицы Татианы
Парк</v>
      </c>
      <c r="F1716" s="6" t="str">
        <f>IFERROR(__xludf.DUMMYFUNCTION("""COMPUTED_VALUE"""),"Переехал сюда из другого места (откуда? укажите в графе другое), Из Полысаево")</f>
        <v>Переехал сюда из другого места (откуда? укажите в графе другое), Из Полысаево</v>
      </c>
      <c r="G1716" s="6" t="str">
        <f>IFERROR(__xludf.DUMMYFUNCTION("""COMPUTED_VALUE"""),"Бульвар строителей
Театры
Территория Сельской Академии")</f>
        <v>Бульвар строителей
Театры
Территория Сельской Академии</v>
      </c>
      <c r="H1716" s="6" t="str">
        <f>IFERROR(__xludf.DUMMYFUNCTION("""COMPUTED_VALUE"""),"Областной центр
Институты, в т.ч. и тот  в котором училась сама
Культурный центр, театры.
Аэропорт!
Оздоровительные центры, а именно медиц. Учредждения, чего не хватает в др. Городах Кузбасса.")</f>
        <v>Областной центр
Институты, в т.ч. и тот  в котором училась сама
Культурный центр, театры.
Аэропорт!
Оздоровительные центры, а именно медиц. Учредждения, чего не хватает в др. Городах Кузбасса.</v>
      </c>
      <c r="I1716" s="6" t="str">
        <f>IFERROR(__xludf.DUMMYFUNCTION("""COMPUTED_VALUE"""),"Летчик Леонов
Бывший зам. Министра угольной промышлености Бочаров В.И.")</f>
        <v>Летчик Леонов
Бывший зам. Министра угольной промышлености Бочаров В.И.</v>
      </c>
      <c r="J1716" s="6" t="str">
        <f>IFERROR(__xludf.DUMMYFUNCTION("""COMPUTED_VALUE"""),"Жаль, что недостаточно знаю ФИО в медицине,  все своим трудом приносят вклад.
Выделить могу  Цевелева, есть его влияние , активность для города и якузьасса .")</f>
        <v>Жаль, что недостаточно знаю ФИО в медицине,  все своим трудом приносят вклад.
Выделить могу  Цевелева, есть его влияние , активность для города и якузьасса .</v>
      </c>
      <c r="K1716" s="6" t="str">
        <f>IFERROR(__xludf.DUMMYFUNCTION("""COMPUTED_VALUE"""),"Сквер Ангелов")</f>
        <v>Сквер Ангелов</v>
      </c>
      <c r="L1716" s="6" t="str">
        <f>IFERROR(__xludf.DUMMYFUNCTION("""COMPUTED_VALUE"""),"Нет такой информации")</f>
        <v>Нет такой информации</v>
      </c>
      <c r="M1716" s="6" t="str">
        <f>IFERROR(__xludf.DUMMYFUNCTION("""COMPUTED_VALUE"""),"Кузбасс, ранее так все представляли Кемеровскую обл, и сразу нас понимали откда мы.")</f>
        <v>Кузбасс, ранее так все представляли Кемеровскую обл, и сразу нас понимали откда мы.</v>
      </c>
      <c r="N1716" s="6" t="str">
        <f>IFERROR(__xludf.DUMMYFUNCTION("""COMPUTED_VALUE"""),"Перезд связан  "" поближе к детям и внукам""
Возможность получение квалифицированной медиц. Помощи.
Наличие театров
Больше мест для проведения досуга, даже просто для гуляниния
Город стал достаточно красивым")</f>
        <v>Перезд связан  " поближе к детям и внукам"
Возможность получение квалифицированной медиц. Помощи.
Наличие театров
Больше мест для проведения досуга, даже просто для гуляниния
Город стал достаточно красивым</v>
      </c>
      <c r="O1716" s="6" t="str">
        <f>IFERROR(__xludf.DUMMYFUNCTION("""COMPUTED_VALUE"""),"Благоустройство")</f>
        <v>Благоустройство</v>
      </c>
      <c r="P1716" s="6" t="str">
        <f>IFERROR(__xludf.DUMMYFUNCTION("""COMPUTED_VALUE""")," Инстограм")</f>
        <v> Инстограм</v>
      </c>
      <c r="Q1716"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v>
      </c>
      <c r="R1716" s="6" t="str">
        <f>IFERROR(__xludf.DUMMYFUNCTION("""COMPUTED_VALUE"""),"День Шахтера
День Города
Масленица
Новогодние праздники
Детские мероприятия")</f>
        <v>День Шахтера
День Города
Масленица
Новогодние праздники
Детские мероприятия</v>
      </c>
      <c r="S1716" s="6" t="str">
        <f>IFERROR(__xludf.DUMMYFUNCTION("""COMPUTED_VALUE"""),"Нет, не приходилось")</f>
        <v>Нет, не приходилось</v>
      </c>
      <c r="T1716" s="6" t="str">
        <f>IFERROR(__xludf.DUMMYFUNCTION("""COMPUTED_VALUE"""),"История  образовпния самого города и Кузбасса.
Достижения наших производств
Люди, которые живут в Кемерово и в Кузбассе
")</f>
        <v>История  образовпния самого города и Кузбасса.
Достижения наших производств
Люди, которые живут в Кемерово и в Кузбассе
</v>
      </c>
      <c r="U1716" s="6" t="str">
        <f>IFERROR(__xludf.DUMMYFUNCTION("""COMPUTED_VALUE"""),"Площадь Советов")</f>
        <v>Площадь Советов</v>
      </c>
      <c r="V1716" s="6" t="str">
        <f>IFERROR(__xludf.DUMMYFUNCTION("""COMPUTED_VALUE"""),"Развивали свой город, инфроструктуру.
Люди должны ее только работать, но и отдыхать")</f>
        <v>Развивали свой город, инфроструктуру.
Люди должны ее только работать, но и отдыхать</v>
      </c>
      <c r="W1716" s="6" t="str">
        <f>IFERROR(__xludf.DUMMYFUNCTION("""COMPUTED_VALUE"""),"Люди как и везде, каждый человек не похож на другого. Есть доброжелательные, добродушные.
Но часть грубоватых.")</f>
        <v>Люди как и везде, каждый человек не похож на другого. Есть доброжелательные, добродушные.
Но часть грубоватых.</v>
      </c>
      <c r="X1716" s="6" t="str">
        <f>IFERROR(__xludf.DUMMYFUNCTION("""COMPUTED_VALUE"""),"С площади Волкова начало, а закончить новыми строящиимися об'ектами.")</f>
        <v>С площади Волкова начало, а закончить новыми строящиимися об'ектами.</v>
      </c>
      <c r="Y1716" s="6" t="str">
        <f>IFERROR(__xludf.DUMMYFUNCTION("""COMPUTED_VALUE"""),"Строительство набережной")</f>
        <v>Строительство набережной</v>
      </c>
      <c r="Z1716" s="6" t="str">
        <f>IFERROR(__xludf.DUMMYFUNCTION("""COMPUTED_VALUE"""),"Строительство новых районов")</f>
        <v>Строительство новых районов</v>
      </c>
      <c r="AA1716" s="6" t="str">
        <f>IFERROR(__xludf.DUMMYFUNCTION("""COMPUTED_VALUE"""),"Если строительво жилых районов ведется в сответствии с планами строительства, то город для жителей  не проявляет заботы. Пример Верхний бульвар, ждать деньги от  федерального бюджета на строительство дороги и не сделать не большой участок дороги как для а"&amp;"втомобилей, так и для пешеходов. В итоге, б'ем обувь, резину.
Нет пешеходного перехода  для детей, для движения в школы.")</f>
        <v>Если строительво жилых районов ведется в сответствии с планами строительства, то город для жителей  не проявляет заботы. Пример Верхний бульвар, ждать деньги от  федерального бюджета на строительство дороги и не сделать не большой участок дороги как для автомобилей, так и для пешеходов. В итоге, б'ем обувь, резину.
Нет пешеходного перехода  для детей, для движения в школы.</v>
      </c>
      <c r="AB1716" s="6" t="str">
        <f>IFERROR(__xludf.DUMMYFUNCTION("""COMPUTED_VALUE"""),"Достаточно")</f>
        <v>Достаточно</v>
      </c>
      <c r="AC1716" s="6" t="str">
        <f>IFERROR(__xludf.DUMMYFUNCTION("""COMPUTED_VALUE"""),"Тематические, для пазного возраста")</f>
        <v>Тематические, для пазного возраста</v>
      </c>
      <c r="AD1716" s="6" t="str">
        <f>IFERROR(__xludf.DUMMYFUNCTION("""COMPUTED_VALUE"""),"Мое место уже ближе у ветеранам производства, видимо участвовать как зритель.")</f>
        <v>Мое место уже ближе у ветеранам производства, видимо участвовать как зритель.</v>
      </c>
      <c r="AE1716" s="6" t="str">
        <f>IFERROR(__xludf.DUMMYFUNCTION("""COMPUTED_VALUE"""),"Женский")</f>
        <v>Женский</v>
      </c>
      <c r="AF1716" s="6" t="str">
        <f>IFERROR(__xludf.DUMMYFUNCTION("""COMPUTED_VALUE"""),"старше 55")</f>
        <v>старше 55</v>
      </c>
      <c r="AG1716" s="6"/>
      <c r="AH1716" s="6"/>
      <c r="AI1716" s="6"/>
      <c r="AJ1716" s="6"/>
      <c r="AK1716" s="6"/>
      <c r="AL1716" s="6"/>
      <c r="AM1716" s="6"/>
    </row>
    <row r="1717">
      <c r="A1717" s="6">
        <v>1716.0</v>
      </c>
      <c r="B1717" s="6" t="str">
        <f>IFERROR(__xludf.DUMMYFUNCTION("""COMPUTED_VALUE"""),"Проектирование промышленных предприятий. ")</f>
        <v>Проектирование промышленных предприятий. </v>
      </c>
      <c r="C1717" s="6" t="str">
        <f>IFERROR(__xludf.DUMMYFUNCTION("""COMPUTED_VALUE"""),"Спорт, футбол, мини-футбол, инвестирование")</f>
        <v>Спорт, футбол, мини-футбол, инвестирование</v>
      </c>
      <c r="D1717" s="6" t="str">
        <f>IFERROR(__xludf.DUMMYFUNCTION("""COMPUTED_VALUE"""),"Заводский район, возле политеховских общаг. ")</f>
        <v>Заводский район, возле политеховских общаг. </v>
      </c>
      <c r="E1717" s="6" t="str">
        <f>IFERROR(__xludf.DUMMYFUNCTION("""COMPUTED_VALUE"""),"Затрудняюсь ответить, наверное Вокзал. ")</f>
        <v>Затрудняюсь ответить, наверное Вокзал. </v>
      </c>
      <c r="F1717" s="6" t="str">
        <f>IFERROR(__xludf.DUMMYFUNCTION("""COMPUTED_VALUE"""),"Живу здесь с рождения")</f>
        <v>Живу здесь с рождения</v>
      </c>
      <c r="G1717" s="6" t="str">
        <f>IFERROR(__xludf.DUMMYFUNCTION("""COMPUTED_VALUE"""),"Набережная, сосновый бор, парки, бульвар строителей. ")</f>
        <v>Набережная, сосновый бор, парки, бульвар строителей. </v>
      </c>
      <c r="H1717" s="6" t="str">
        <f>IFERROR(__xludf.DUMMYFUNCTION("""COMPUTED_VALUE"""),"Красная горка, смог, Томь, грязный воздух, разбитые дороги ")</f>
        <v>Красная горка, смог, Томь, грязный воздух, разбитые дороги </v>
      </c>
      <c r="I1717" s="6" t="str">
        <f>IFERROR(__xludf.DUMMYFUNCTION("""COMPUTED_VALUE"""),"Волков, Тулеев, Михайлов, Рутгерс")</f>
        <v>Волков, Тулеев, Михайлов, Рутгерс</v>
      </c>
      <c r="J1717" s="6" t="str">
        <f>IFERROR(__xludf.DUMMYFUNCTION("""COMPUTED_VALUE"""),"Цивилев, Середюк, Шкуропатский (Кузнецкий Альянс), Николаев (Стройсерсвис) ")</f>
        <v>Цивилев, Середюк, Шкуропатский (Кузнецкий Альянс), Николаев (Стройсерсвис) </v>
      </c>
      <c r="K1717" s="6" t="str">
        <f>IFERROR(__xludf.DUMMYFUNCTION("""COMPUTED_VALUE"""),"Памятник Шахтерам, Сосновый бор, Бульвар строителей , набережная в центре")</f>
        <v>Памятник Шахтерам, Сосновый бор, Бульвар строителей , набережная в центре</v>
      </c>
      <c r="L1717" s="6" t="str">
        <f>IFERROR(__xludf.DUMMYFUNCTION("""COMPUTED_VALUE"""),"затрудняюсь ответить")</f>
        <v>затрудняюсь ответить</v>
      </c>
      <c r="M1717" s="6" t="str">
        <f>IFERROR(__xludf.DUMMYFUNCTION("""COMPUTED_VALUE"""),"нет")</f>
        <v>нет</v>
      </c>
      <c r="N1717" s="6" t="str">
        <f>IFERROR(__xludf.DUMMYFUNCTION("""COMPUTED_VALUE"""),"Чистый воздух, благоприятная среда для бизнеса, комфортное и доступное жилье, хорошие дороги, технологический прогресс. ")</f>
        <v>Чистый воздух, благоприятная среда для бизнеса, комфортное и доступное жилье, хорошие дороги, технологический прогресс. </v>
      </c>
      <c r="O1717" s="6" t="str">
        <f>IFERROR(__xludf.DUMMYFUNCTION("""COMPUTED_VALUE"""),"Чтобы зимой в центре города смога не было. Дороги чтобы качественные были. Больше доступных коттеджных поселков в черте города. Чтобы запись к  врачу не надо было ждать три недели. Чтобы люди, особенно молодежь не уезжали из Кемерово. ")</f>
        <v>Чтобы зимой в центре города смога не было. Дороги чтобы качественные были. Больше доступных коттеджных поселков в черте города. Чтобы запись к  врачу не надо было ждать три недели. Чтобы люди, особенно молодежь не уезжали из Кемерово. </v>
      </c>
      <c r="P1717" s="6" t="str">
        <f>IFERROR(__xludf.DUMMYFUNCTION("""COMPUTED_VALUE"""),"Яндекс Дзен, Все42. ")</f>
        <v>Яндекс Дзен, Все42. </v>
      </c>
      <c r="Q1717" s="6" t="str">
        <f>IFERROR(__xludf.DUMMYFUNCTION("""COMPUTED_VALUE"""),"городская афиша (кино/театр/концерты),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результат"&amp;"ы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717" s="6" t="str">
        <f>IFERROR(__xludf.DUMMYFUNCTION("""COMPUTED_VALUE"""),"Новый год, день города, 1 мая , 9 мая ")</f>
        <v>Новый год, день города, 1 мая , 9 мая </v>
      </c>
      <c r="S1717" s="6" t="str">
        <f>IFERROR(__xludf.DUMMYFUNCTION("""COMPUTED_VALUE"""),"Нет, не приходилось")</f>
        <v>Нет, не приходилось</v>
      </c>
      <c r="T1717" s="6" t="str">
        <f>IFERROR(__xludf.DUMMYFUNCTION("""COMPUTED_VALUE"""),"Печально известен Зимней вишней, в остальном не думаю что он чем то уникален. ")</f>
        <v>Печально известен Зимней вишней, в остальном не думаю что он чем то уникален. </v>
      </c>
      <c r="U1717" s="6" t="str">
        <f>IFERROR(__xludf.DUMMYFUNCTION("""COMPUTED_VALUE"""),"Горсад, площадь Советов")</f>
        <v>Горсад, площадь Советов</v>
      </c>
      <c r="V1717" s="6" t="str">
        <f>IFERROR(__xludf.DUMMYFUNCTION("""COMPUTED_VALUE"""),"Не уехали. ")</f>
        <v>Не уехали. </v>
      </c>
      <c r="W1717" s="6" t="str">
        <f>IFERROR(__xludf.DUMMYFUNCTION("""COMPUTED_VALUE"""),"затрудняюсь ответить. Такие же люди как и в других крупных городах. Что то между ""московского пафоса"" и условно ""беловского провинциализма"". ")</f>
        <v>затрудняюсь ответить. Такие же люди как и в других крупных городах. Что то между "московского пафоса" и условно "беловского провинциализма". </v>
      </c>
      <c r="X1717" s="6" t="str">
        <f>IFERROR(__xludf.DUMMYFUNCTION("""COMPUTED_VALUE"""),"Горсад, набережная, площадь пушкина , площадь советов, набережная горсад. ")</f>
        <v>Горсад, набережная, площадь пушкина , площадь советов, набережная горсад. </v>
      </c>
      <c r="Y1717" s="6" t="str">
        <f>IFERROR(__xludf.DUMMYFUNCTION("""COMPUTED_VALUE"""),"Затрудняюсь ответить. ")</f>
        <v>Затрудняюсь ответить. </v>
      </c>
      <c r="Z1717" s="6" t="str">
        <f>IFERROR(__xludf.DUMMYFUNCTION("""COMPUTED_VALUE"""),"Застройка Притомского, много новых объектов интересных, для спорта и культуры. ")</f>
        <v>Застройка Притомского, много новых объектов интересных, для спорта и культуры. </v>
      </c>
      <c r="AA1717" s="6" t="str">
        <f>IFERROR(__xludf.DUMMYFUNCTION("""COMPUTED_VALUE"""),"Затрудняюсь ответить и вспомнить что то важное. ")</f>
        <v>Затрудняюсь ответить и вспомнить что то важное. </v>
      </c>
      <c r="AB1717" s="6" t="str">
        <f>IFERROR(__xludf.DUMMYFUNCTION("""COMPUTED_VALUE"""),"Профессиональной футбольной команды. ")</f>
        <v>Профессиональной футбольной команды. </v>
      </c>
      <c r="AC1717" s="6" t="str">
        <f>IFERROR(__xludf.DUMMYFUNCTION("""COMPUTED_VALUE"""),"Чистого воздуха зимой. ")</f>
        <v>Чистого воздуха зимой. </v>
      </c>
      <c r="AD1717"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"&amp;"приглашения потенциально заинтересованных участников, Запустить свой предпринимательский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717" s="6" t="str">
        <f>IFERROR(__xludf.DUMMYFUNCTION("""COMPUTED_VALUE"""),"Мужской")</f>
        <v>Мужской</v>
      </c>
      <c r="AF1717" s="6" t="str">
        <f>IFERROR(__xludf.DUMMYFUNCTION("""COMPUTED_VALUE"""),"18-29")</f>
        <v>18-29</v>
      </c>
      <c r="AG1717" s="6"/>
      <c r="AH1717" s="6"/>
      <c r="AI1717" s="6"/>
      <c r="AJ1717" s="6"/>
      <c r="AK1717" s="6"/>
      <c r="AL1717" s="6"/>
      <c r="AM1717" s="6"/>
    </row>
    <row r="1718">
      <c r="A1718" s="6">
        <v>1717.0</v>
      </c>
      <c r="B1718" s="6" t="str">
        <f>IFERROR(__xludf.DUMMYFUNCTION("""COMPUTED_VALUE"""),"Бухгалтер ")</f>
        <v>Бухгалтер </v>
      </c>
      <c r="C1718" s="6" t="str">
        <f>IFERROR(__xludf.DUMMYFUNCTION("""COMPUTED_VALUE"""),"Спорт")</f>
        <v>Спорт</v>
      </c>
      <c r="D1718" s="6" t="str">
        <f>IFERROR(__xludf.DUMMYFUNCTION("""COMPUTED_VALUE"""),"Центральный, центр")</f>
        <v>Центральный, центр</v>
      </c>
      <c r="E1718" s="6" t="str">
        <f>IFERROR(__xludf.DUMMYFUNCTION("""COMPUTED_VALUE"""),"Площадь Пушкина, старая набережная, горсад, ул. Весенняя ")</f>
        <v>Площадь Пушкина, старая набережная, горсад, ул. Весенняя </v>
      </c>
      <c r="F1718" s="6" t="str">
        <f>IFERROR(__xludf.DUMMYFUNCTION("""COMPUTED_VALUE"""),"Переехал сюда из другого места (откуда? укажите в графе другое), Переехала в детстве вместе с родителями")</f>
        <v>Переехал сюда из другого места (откуда? укажите в графе другое), Переехала в детстве вместе с родителями</v>
      </c>
      <c r="G1718" s="6" t="str">
        <f>IFERROR(__xludf.DUMMYFUNCTION("""COMPUTED_VALUE"""),"Весенняя, площадь Пушкина, Орбита и парк филармонии ")</f>
        <v>Весенняя, площадь Пушкина, Орбита и парк филармонии </v>
      </c>
      <c r="H1718" s="6" t="str">
        <f>IFERROR(__xludf.DUMMYFUNCTION("""COMPUTED_VALUE"""),"Промышленный, угольный, тихий, провинциальный, удобный")</f>
        <v>Промышленный, угольный, тихий, провинциальный, удобный</v>
      </c>
      <c r="I1718" s="6" t="str">
        <f>IFERROR(__xludf.DUMMYFUNCTION("""COMPUTED_VALUE"""),"Леонов, Волков, Рутгерс, Подгорбунский")</f>
        <v>Леонов, Волков, Рутгерс, Подгорбунский</v>
      </c>
      <c r="J1718" s="6" t="str">
        <f>IFERROR(__xludf.DUMMYFUNCTION("""COMPUTED_VALUE"""),"Леонов - он современник и легенда, Гришковец")</f>
        <v>Леонов - он современник и легенда, Гришковец</v>
      </c>
      <c r="K1718" s="6" t="str">
        <f>IFERROR(__xludf.DUMMYFUNCTION("""COMPUTED_VALUE"""),"Красная горка, набережная до филармонии, Весенняя от Красноармейской до набережной")</f>
        <v>Красная горка, набережная до филармонии, Весенняя от Красноармейской до набережной</v>
      </c>
      <c r="L1718" s="6" t="str">
        <f>IFERROR(__xludf.DUMMYFUNCTION("""COMPUTED_VALUE"""),"Неизвестная история про кемеровчан , которые уехали в другие города и страны. Кемеровчане добрые и отзывчивые, в любых городах находят земляков, стараются отдать детей к учителям-землякам. Считают, что лучшие врачи - бывшие кемеровчане")</f>
        <v>Неизвестная история про кемеровчан , которые уехали в другие города и страны. Кемеровчане добрые и отзывчивые, в любых городах находят земляков, стараются отдать детей к учителям-землякам. Считают, что лучшие врачи - бывшие кемеровчане</v>
      </c>
      <c r="M1718" s="6" t="str">
        <f>IFERROR(__xludf.DUMMYFUNCTION("""COMPUTED_VALUE"""),"Нет")</f>
        <v>Нет</v>
      </c>
      <c r="N1718" s="6" t="str">
        <f>IFERROR(__xludf.DUMMYFUNCTION("""COMPUTED_VALUE"""),"Удобный для людей с детьми, тихий, уютный, удобная транспортная развязка")</f>
        <v>Удобный для людей с детьми, тихий, уютный, удобная транспортная развязка</v>
      </c>
      <c r="O1718" s="6" t="str">
        <f>IFERROR(__xludf.DUMMYFUNCTION("""COMPUTED_VALUE"""),"Стало ооочень грязно, даже в Центральном районе. ")</f>
        <v>Стало ооочень грязно, даже в Центральном районе. </v>
      </c>
      <c r="P1718" s="6" t="str">
        <f>IFERROR(__xludf.DUMMYFUNCTION("""COMPUTED_VALUE"""),"Интернет, инстаграмм kuzbassnews, ngs")</f>
        <v>Интернет, инстаграмм kuzbassnews, ngs</v>
      </c>
      <c r="Q171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v>
      </c>
      <c r="R1718" s="6" t="str">
        <f>IFERROR(__xludf.DUMMYFUNCTION("""COMPUTED_VALUE"""),"День шахтера")</f>
        <v>День шахтера</v>
      </c>
      <c r="S1718" s="6" t="str">
        <f>IFERROR(__xludf.DUMMYFUNCTION("""COMPUTED_VALUE"""),"Нет, не приходилось")</f>
        <v>Нет, не приходилось</v>
      </c>
      <c r="T1718" s="6" t="str">
        <f>IFERROR(__xludf.DUMMYFUNCTION("""COMPUTED_VALUE"""),"Раньше был известен хорошими людьми и углем, теперь Зимней вишней ")</f>
        <v>Раньше был известен хорошими людьми и углем, теперь Зимней вишней </v>
      </c>
      <c r="U1718" s="6" t="str">
        <f>IFERROR(__xludf.DUMMYFUNCTION("""COMPUTED_VALUE"""),"Набережная ")</f>
        <v>Набережная </v>
      </c>
      <c r="V1718" s="6" t="str">
        <f>IFERROR(__xludf.DUMMYFUNCTION("""COMPUTED_VALUE"""),"Работают, как проклятые")</f>
        <v>Работают, как проклятые</v>
      </c>
      <c r="W1718" s="6" t="str">
        <f>IFERROR(__xludf.DUMMYFUNCTION("""COMPUTED_VALUE"""),"Интеллигентный, отзывчивый, образованный человек")</f>
        <v>Интеллигентный, отзывчивый, образованный человек</v>
      </c>
      <c r="X1718" s="6" t="str">
        <f>IFERROR(__xludf.DUMMYFUNCTION("""COMPUTED_VALUE"""),"Весенняя, Советский, Кирова, горсад, набережная, Площадь Пушкина ")</f>
        <v>Весенняя, Советский, Кирова, горсад, набережная, Площадь Пушкина </v>
      </c>
      <c r="Y1718" s="6" t="str">
        <f>IFERROR(__xludf.DUMMYFUNCTION("""COMPUTED_VALUE"""),"Бэнди")</f>
        <v>Бэнди</v>
      </c>
      <c r="Z1718" s="6" t="str">
        <f>IFERROR(__xludf.DUMMYFUNCTION("""COMPUTED_VALUE"""),"Не было таких")</f>
        <v>Не было таких</v>
      </c>
      <c r="AA1718" s="6" t="str">
        <f>IFERROR(__xludf.DUMMYFUNCTION("""COMPUTED_VALUE"""),"Зимняя вишня ")</f>
        <v>Зимняя вишня </v>
      </c>
      <c r="AB1718" s="6" t="str">
        <f>IFERROR(__xludf.DUMMYFUNCTION("""COMPUTED_VALUE"""),"Не готова ответить ")</f>
        <v>Не готова ответить </v>
      </c>
      <c r="AC1718" s="6" t="str">
        <f>IFERROR(__xludf.DUMMYFUNCTION("""COMPUTED_VALUE"""),"Привлечение инвестиций для увеличения рабочих мест. Приедут интересные инициативе люди и привезут идеи")</f>
        <v>Привлечение инвестиций для увеличения рабочих мест. Приедут интересные инициативе люди и привезут идеи</v>
      </c>
      <c r="AD171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18" s="6" t="str">
        <f>IFERROR(__xludf.DUMMYFUNCTION("""COMPUTED_VALUE"""),"Женский")</f>
        <v>Женский</v>
      </c>
      <c r="AF1718" s="6" t="str">
        <f>IFERROR(__xludf.DUMMYFUNCTION("""COMPUTED_VALUE"""),"30-44")</f>
        <v>30-44</v>
      </c>
      <c r="AG1718" s="6"/>
      <c r="AH1718" s="6"/>
      <c r="AI1718" s="6"/>
      <c r="AJ1718" s="6"/>
      <c r="AK1718" s="6"/>
      <c r="AL1718" s="6"/>
      <c r="AM1718" s="6"/>
    </row>
    <row r="1719">
      <c r="A1719" s="6">
        <v>1718.0</v>
      </c>
      <c r="B1719" s="6" t="str">
        <f>IFERROR(__xludf.DUMMYFUNCTION("""COMPUTED_VALUE"""),"Работаю в сфере образования")</f>
        <v>Работаю в сфере образования</v>
      </c>
      <c r="C1719" s="6" t="str">
        <f>IFERROR(__xludf.DUMMYFUNCTION("""COMPUTED_VALUE"""),"Нет")</f>
        <v>Нет</v>
      </c>
      <c r="D1719" s="6" t="str">
        <f>IFERROR(__xludf.DUMMYFUNCTION("""COMPUTED_VALUE"""),"Лесная Поляна, называю «Поляна»")</f>
        <v>Лесная Поляна, называю «Поляна»</v>
      </c>
      <c r="E1719" s="6" t="str">
        <f>IFERROR(__xludf.DUMMYFUNCTION("""COMPUTED_VALUE"""),"Парк «Лесная сказка», смотровая площадка со скульптурой оленя.")</f>
        <v>Парк «Лесная сказка», смотровая площадка со скульптурой оленя.</v>
      </c>
      <c r="F1719" s="6" t="str">
        <f>IFERROR(__xludf.DUMMYFUNCTION("""COMPUTED_VALUE"""),"Живу здесь с рождения")</f>
        <v>Живу здесь с рождения</v>
      </c>
      <c r="G1719" s="6" t="str">
        <f>IFERROR(__xludf.DUMMYFUNCTION("""COMPUTED_VALUE"""),"Гуляю по Лесной Поляне")</f>
        <v>Гуляю по Лесной Поляне</v>
      </c>
      <c r="H1719" s="6" t="str">
        <f>IFERROR(__xludf.DUMMYFUNCTION("""COMPUTED_VALUE"""),"Трубы и загазованность от них; чёрная, масляная сажа, проникающая в квартиру; Сосновый Бор, Памятник Эрнеста Неизвестного;  район Лесная Поляна")</f>
        <v>Трубы и загазованность от них; чёрная, масляная сажа, проникающая в квартиру; Сосновый Бор, Памятник Эрнеста Неизвестного;  район Лесная Поляна</v>
      </c>
      <c r="I1719" s="6" t="str">
        <f>IFERROR(__xludf.DUMMYFUNCTION("""COMPUTED_VALUE"""),"Владимир Михайлов, Михаил Подгорбунский, Вера Волошина, ")</f>
        <v>Владимир Михайлов, Михаил Подгорбунский, Вера Волошина, </v>
      </c>
      <c r="J1719" s="6" t="str">
        <f>IFERROR(__xludf.DUMMYFUNCTION("""COMPUTED_VALUE"""),"Владимир Михайлов.")</f>
        <v>Владимир Михайлов.</v>
      </c>
      <c r="K1719" s="6" t="str">
        <f>IFERROR(__xludf.DUMMYFUNCTION("""COMPUTED_VALUE"""),"Краеведческий музей, музей Красная Горка, Ботанический сад, ресторан «Забой»")</f>
        <v>Краеведческий музей, музей Красная Горка, Ботанический сад, ресторан «Забой»</v>
      </c>
      <c r="L1719" s="6" t="str">
        <f>IFERROR(__xludf.DUMMYFUNCTION("""COMPUTED_VALUE"""),"На бальнеологических курортах голова болит от чистого воздуха - привычка дышать химическими выбросами и угольной пылью")</f>
        <v>На бальнеологических курортах голова болит от чистого воздуха - привычка дышать химическими выбросами и угольной пылью</v>
      </c>
      <c r="M1719" s="6" t="str">
        <f>IFERROR(__xludf.DUMMYFUNCTION("""COMPUTED_VALUE"""),"Нет")</f>
        <v>Нет</v>
      </c>
      <c r="N1719" s="6" t="str">
        <f>IFERROR(__xludf.DUMMYFUNCTION("""COMPUTED_VALUE"""),"Чистый воздух, прогулочные зоны с уникальными зданиями, а не построенные по типовым проектам, лишающие город индивидуальности, чистота на улицах и во дворах, регулярная важная уборка с мыльной пеной дорог, чтобы не поднималось облако пыли от движения авто"&amp;"мобилей!")</f>
        <v>Чистый воздух, прогулочные зоны с уникальными зданиями, а не построенные по типовым проектам, лишающие город индивидуальности, чистота на улицах и во дворах, регулярная важная уборка с мыльной пеной дорог, чтобы не поднималось облако пыли от движения автомобилей!</v>
      </c>
      <c r="O1719" s="6" t="str">
        <f>IFERROR(__xludf.DUMMYFUNCTION("""COMPUTED_VALUE"""),"Установить график и выполнять его по помывке дорог! Следить за чистотой в городе! Сократить число выбросов в воздух производств.")</f>
        <v>Установить график и выполнять его по помывке дорог! Следить за чистотой в городе! Сократить число выбросов в воздух производств.</v>
      </c>
      <c r="P1719" s="6" t="str">
        <f>IFERROR(__xludf.DUMMYFUNCTION("""COMPUTED_VALUE"""),"Яндекс, Инстаграм ")</f>
        <v>Яндекс, Инстаграм </v>
      </c>
      <c r="Q1719" s="6" t="str">
        <f>IFERROR(__xludf.DUMMYFUNCTION("""COMPUTED_VALUE"""),"городская афиша (кино/театр/концерты), интервью с местными политиками, интервью с местными творческими личностями")</f>
        <v>городская афиша (кино/театр/концерты), интервью с местными политиками, интервью с местными творческими личностями</v>
      </c>
      <c r="R1719" s="6" t="str">
        <f>IFERROR(__xludf.DUMMYFUNCTION("""COMPUTED_VALUE"""),"День Победы; День города.")</f>
        <v>День Победы; День города.</v>
      </c>
      <c r="S1719" s="6" t="str">
        <f>IFERROR(__xludf.DUMMYFUNCTION("""COMPUTED_VALUE"""),"Участвовала в организации массовых мероприятий на пл.Советов")</f>
        <v>Участвовала в организации массовых мероприятий на пл.Советов</v>
      </c>
      <c r="T1719" s="6" t="str">
        <f>IFERROR(__xludf.DUMMYFUNCTION("""COMPUTED_VALUE"""),"Столица угольного региона")</f>
        <v>Столица угольного региона</v>
      </c>
      <c r="U1719" s="6" t="str">
        <f>IFERROR(__xludf.DUMMYFUNCTION("""COMPUTED_VALUE"""),"Площадь Советов")</f>
        <v>Площадь Советов</v>
      </c>
      <c r="V1719" s="6" t="str">
        <f>IFERROR(__xludf.DUMMYFUNCTION("""COMPUTED_VALUE"""),"Из деревни Щегловск превратили его в столичный город.")</f>
        <v>Из деревни Щегловск превратили его в столичный город.</v>
      </c>
      <c r="W1719" s="6" t="str">
        <f>IFERROR(__xludf.DUMMYFUNCTION("""COMPUTED_VALUE"""),"Нормальные люди со всеми,  свойственными русским людям качествам.")</f>
        <v>Нормальные люди со всеми,  свойственными русским людям качествам.</v>
      </c>
      <c r="X1719" s="6" t="str">
        <f>IFERROR(__xludf.DUMMYFUNCTION("""COMPUTED_VALUE"""),"Набережная - Музей «Красная Горка».")</f>
        <v>Набережная - Музей «Красная Горка».</v>
      </c>
      <c r="Y1719" s="6" t="str">
        <f>IFERROR(__xludf.DUMMYFUNCTION("""COMPUTED_VALUE"""),"Возведение и открытие театров, библиотек  и филармонии")</f>
        <v>Возведение и открытие театров, библиотек  и филармонии</v>
      </c>
      <c r="Z1719" s="6" t="str">
        <f>IFERROR(__xludf.DUMMYFUNCTION("""COMPUTED_VALUE"""),"Открытие кадетского училища.")</f>
        <v>Открытие кадетского училища.</v>
      </c>
      <c r="AA1719" s="6" t="str">
        <f>IFERROR(__xludf.DUMMYFUNCTION("""COMPUTED_VALUE"""),"Видео в соцсетях с уборочной машиной, мчащейся по дороге и поднимающей своими сухими щетками ураган пыли!")</f>
        <v>Видео в соцсетях с уборочной машиной, мчащейся по дороге и поднимающей своими сухими щетками ураган пыли!</v>
      </c>
      <c r="AB1719" s="6" t="str">
        <f>IFERROR(__xludf.DUMMYFUNCTION("""COMPUTED_VALUE"""),"Мне достаточно сообществ")</f>
        <v>Мне достаточно сообществ</v>
      </c>
      <c r="AC1719" s="6" t="str">
        <f>IFERROR(__xludf.DUMMYFUNCTION("""COMPUTED_VALUE"""),"Создание комфортной городской уличной среды ")</f>
        <v>Создание комфортной городской уличной среды </v>
      </c>
      <c r="AD171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719" s="6" t="str">
        <f>IFERROR(__xludf.DUMMYFUNCTION("""COMPUTED_VALUE"""),"Женский")</f>
        <v>Женский</v>
      </c>
      <c r="AF1719" s="6" t="str">
        <f>IFERROR(__xludf.DUMMYFUNCTION("""COMPUTED_VALUE"""),"45-55")</f>
        <v>45-55</v>
      </c>
      <c r="AG1719" s="6"/>
      <c r="AH1719" s="6"/>
      <c r="AI1719" s="6"/>
      <c r="AJ1719" s="6"/>
      <c r="AK1719" s="6"/>
      <c r="AL1719" s="6"/>
      <c r="AM1719" s="6"/>
    </row>
    <row r="1720">
      <c r="A1720" s="6">
        <v>1719.0</v>
      </c>
      <c r="B1720" s="6" t="str">
        <f>IFERROR(__xludf.DUMMYFUNCTION("""COMPUTED_VALUE"""),"Юриспруденция")</f>
        <v>Юриспруденция</v>
      </c>
      <c r="C1720" s="6" t="str">
        <f>IFERROR(__xludf.DUMMYFUNCTION("""COMPUTED_VALUE"""),"Саморазвитие ")</f>
        <v>Саморазвитие </v>
      </c>
      <c r="D1720" s="6" t="str">
        <f>IFERROR(__xludf.DUMMYFUNCTION("""COMPUTED_VALUE"""),"В Рудничном ")</f>
        <v>В Рудничном </v>
      </c>
      <c r="E1720" s="6" t="str">
        <f>IFERROR(__xludf.DUMMYFUNCTION("""COMPUTED_VALUE"""),"Бор")</f>
        <v>Бор</v>
      </c>
      <c r="F1720" s="6" t="str">
        <f>IFERROR(__xludf.DUMMYFUNCTION("""COMPUTED_VALUE"""),"Переехал сюда из другого места (откуда? укажите в графе другое), Переехал с детстве ")</f>
        <v>Переехал сюда из другого места (откуда? укажите в графе другое), Переехал с детстве </v>
      </c>
      <c r="G1720" s="6" t="str">
        <f>IFERROR(__xludf.DUMMYFUNCTION("""COMPUTED_VALUE"""),"Бор, лес ")</f>
        <v>Бор, лес </v>
      </c>
      <c r="H1720" s="6" t="str">
        <f>IFERROR(__xludf.DUMMYFUNCTION("""COMPUTED_VALUE"""),"Уголь, шахты, рудник, грязный, томь ")</f>
        <v>Уголь, шахты, рудник, грязный, томь </v>
      </c>
      <c r="I1720" s="6" t="str">
        <f>IFERROR(__xludf.DUMMYFUNCTION("""COMPUTED_VALUE"""),"Волков, Леонов")</f>
        <v>Волков, Леонов</v>
      </c>
      <c r="J1720" s="6" t="str">
        <f>IFERROR(__xludf.DUMMYFUNCTION("""COMPUTED_VALUE"""),"Таких нет или мне не знакомы ")</f>
        <v>Таких нет или мне не знакомы </v>
      </c>
      <c r="K1720" s="6" t="str">
        <f>IFERROR(__xludf.DUMMYFUNCTION("""COMPUTED_VALUE"""),"Набережную, бор, музей ""Красная горка"", шашлычки вдоль реки ")</f>
        <v>Набережную, бор, музей "Красная горка", шашлычки вдоль реки </v>
      </c>
      <c r="L1720" s="6" t="str">
        <f>IFERROR(__xludf.DUMMYFUNCTION("""COMPUTED_VALUE"""),"Таких не знаю ")</f>
        <v>Таких не знаю </v>
      </c>
      <c r="M1720" s="6" t="str">
        <f>IFERROR(__xludf.DUMMYFUNCTION("""COMPUTED_VALUE"""),"Колба (когда официальное название ""черемша"" ) ")</f>
        <v>Колба (когда официальное название "черемша" ) </v>
      </c>
      <c r="N1720" s="6" t="str">
        <f>IFERROR(__xludf.DUMMYFUNCTION("""COMPUTED_VALUE"""),"Чистый в плане экологии, чистый в плане уборки улиц, зелёные насаждения, уровень доходов выше чем в соседних регионах, организация досуга для жителей (качественные ТЦ с зонами торговли, отдыха, развлечений),   создание новых проектов для развития/бизнеса."&amp;" ")</f>
        <v>Чистый в плане экологии, чистый в плане уборки улиц, зелёные насаждения, уровень доходов выше чем в соседних регионах, организация досуга для жителей (качественные ТЦ с зонами торговли, отдыха, развлечений),   создание новых проектов для развития/бизнеса. </v>
      </c>
      <c r="O1720" s="6" t="str">
        <f>IFERROR(__xludf.DUMMYFUNCTION("""COMPUTED_VALUE"""),"Экологию!!! ")</f>
        <v>Экологию!!! </v>
      </c>
      <c r="P1720" s="6" t="str">
        <f>IFERROR(__xludf.DUMMYFUNCTION("""COMPUTED_VALUE"""),"Интернет-инстаграм-страницы о новостях города/региона ")</f>
        <v>Интернет-инстаграм-страницы о новостях города/региона </v>
      </c>
      <c r="Q1720" s="6" t="str">
        <f>IFERROR(__xludf.DUMMYFUNCTION("""COMPUTED_VALUE"""),"интервью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f>
        <v>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720" s="6" t="str">
        <f>IFERROR(__xludf.DUMMYFUNCTION("""COMPUTED_VALUE"""),"Никакие ")</f>
        <v>Никакие </v>
      </c>
      <c r="S1720" s="6" t="str">
        <f>IFERROR(__xludf.DUMMYFUNCTION("""COMPUTED_VALUE"""),"Нет, не приходилось")</f>
        <v>Нет, не приходилось</v>
      </c>
      <c r="T1720" s="6" t="str">
        <f>IFERROR(__xludf.DUMMYFUNCTION("""COMPUTED_VALUE"""),"Шахтерский край, не более. ")</f>
        <v>Шахтерский край, не более. </v>
      </c>
      <c r="U1720" s="6" t="str">
        <f>IFERROR(__xludf.DUMMYFUNCTION("""COMPUTED_VALUE"""),"Набережная ")</f>
        <v>Набережная </v>
      </c>
      <c r="V1720" s="6" t="str">
        <f>IFERROR(__xludf.DUMMYFUNCTION("""COMPUTED_VALUE"""),"Облагораживание некоторых районов")</f>
        <v>Облагораживание некоторых районов</v>
      </c>
      <c r="W1720" s="6" t="str">
        <f>IFERROR(__xludf.DUMMYFUNCTION("""COMPUTED_VALUE"""),"В принципе, - доброжелательные, контактные ")</f>
        <v>В принципе, - доброжелательные, контактные </v>
      </c>
      <c r="X1720" s="6" t="str">
        <f>IFERROR(__xludf.DUMMYFUNCTION("""COMPUTED_VALUE"""),"Центр города ")</f>
        <v>Центр города </v>
      </c>
      <c r="Y1720" s="6" t="str">
        <f>IFERROR(__xludf.DUMMYFUNCTION("""COMPUTED_VALUE"""),"Затрудняюсь ответить ")</f>
        <v>Затрудняюсь ответить </v>
      </c>
      <c r="Z1720" s="6" t="str">
        <f>IFERROR(__xludf.DUMMYFUNCTION("""COMPUTED_VALUE"""),"Никаких ")</f>
        <v>Никаких </v>
      </c>
      <c r="AA1720" s="6" t="str">
        <f>IFERROR(__xludf.DUMMYFUNCTION("""COMPUTED_VALUE"""),"Пожар в ""Зимняя вишня"", до сих пор, хоть и не входит в двухгодичный установленный срок ")</f>
        <v>Пожар в "Зимняя вишня", до сих пор, хоть и не входит в двухгодичный установленный срок </v>
      </c>
      <c r="AB1720" s="6" t="str">
        <f>IFERROR(__xludf.DUMMYFUNCTION("""COMPUTED_VALUE"""),"Сообщества?) Адекватного руководства не хватает, которое будет менять экологию и развитие региона в целом. ")</f>
        <v>Сообщества?) Адекватного руководства не хватает, которое будет менять экологию и развитие региона в целом. </v>
      </c>
      <c r="AC1720" s="6" t="str">
        <f>IFERROR(__xludf.DUMMYFUNCTION("""COMPUTED_VALUE"""),"Тут и так не скучно ")</f>
        <v>Тут и так не скучно </v>
      </c>
      <c r="AD1720"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1720" s="6" t="str">
        <f>IFERROR(__xludf.DUMMYFUNCTION("""COMPUTED_VALUE"""),"Мужской")</f>
        <v>Мужской</v>
      </c>
      <c r="AF1720" s="6" t="str">
        <f>IFERROR(__xludf.DUMMYFUNCTION("""COMPUTED_VALUE"""),"30-44")</f>
        <v>30-44</v>
      </c>
      <c r="AG1720" s="6"/>
      <c r="AH1720" s="6"/>
      <c r="AI1720" s="6"/>
      <c r="AJ1720" s="6"/>
      <c r="AK1720" s="6"/>
      <c r="AL1720" s="6"/>
      <c r="AM1720" s="6"/>
    </row>
    <row r="1721">
      <c r="A1721" s="6">
        <v>1720.0</v>
      </c>
      <c r="B1721" s="6" t="str">
        <f>IFERROR(__xludf.DUMMYFUNCTION("""COMPUTED_VALUE"""),"В декретном отпуске")</f>
        <v>В декретном отпуске</v>
      </c>
      <c r="C1721" s="6" t="str">
        <f>IFERROR(__xludf.DUMMYFUNCTION("""COMPUTED_VALUE"""),"Вязание")</f>
        <v>Вязание</v>
      </c>
      <c r="D1721" s="6" t="str">
        <f>IFERROR(__xludf.DUMMYFUNCTION("""COMPUTED_VALUE"""),"Кировский")</f>
        <v>Кировский</v>
      </c>
      <c r="E1721" s="6" t="str">
        <f>IFERROR(__xludf.DUMMYFUNCTION("""COMPUTED_VALUE"""),"Набережная")</f>
        <v>Набережная</v>
      </c>
      <c r="F1721" s="6" t="str">
        <f>IFERROR(__xludf.DUMMYFUNCTION("""COMPUTED_VALUE"""),"Живу здесь с рождения")</f>
        <v>Живу здесь с рождения</v>
      </c>
      <c r="G1721" s="6" t="str">
        <f>IFERROR(__xludf.DUMMYFUNCTION("""COMPUTED_VALUE"""),"Набережная Кировского, Парк чудес")</f>
        <v>Набережная Кировского, Парк чудес</v>
      </c>
      <c r="H1721" s="6" t="str">
        <f>IFERROR(__xludf.DUMMYFUNCTION("""COMPUTED_VALUE"""),"Уют, природа, уголь, детство, дом")</f>
        <v>Уют, природа, уголь, детство, дом</v>
      </c>
      <c r="I1721" s="6" t="str">
        <f>IFERROR(__xludf.DUMMYFUNCTION("""COMPUTED_VALUE"""),"Волков, Волошина, Егоров, Рутгерс")</f>
        <v>Волков, Волошина, Егоров, Рутгерс</v>
      </c>
      <c r="J1721" s="6" t="str">
        <f>IFERROR(__xludf.DUMMYFUNCTION("""COMPUTED_VALUE"""),"Затрудняюсь ответить")</f>
        <v>Затрудняюсь ответить</v>
      </c>
      <c r="K1721" s="6" t="str">
        <f>IFERROR(__xludf.DUMMYFUNCTION("""COMPUTED_VALUE"""),"Томская писаница, сосновый бор")</f>
        <v>Томская писаница, сосновый бор</v>
      </c>
      <c r="L1721" s="6" t="str">
        <f>IFERROR(__xludf.DUMMYFUNCTION("""COMPUTED_VALUE"""),"Затрудняюсь ответить ")</f>
        <v>Затрудняюсь ответить </v>
      </c>
      <c r="M1721" s="6" t="str">
        <f>IFERROR(__xludf.DUMMYFUNCTION("""COMPUTED_VALUE"""),"Затрудняюсь ответить ")</f>
        <v>Затрудняюсь ответить </v>
      </c>
      <c r="N1721" s="6" t="str">
        <f>IFERROR(__xludf.DUMMYFUNCTION("""COMPUTED_VALUE"""),"Облагоустроенные места отдыха, доступные культурные мероприятия, наличие секций для детей...")</f>
        <v>Облагоустроенные места отдыха, доступные культурные мероприятия, наличие секций для детей...</v>
      </c>
      <c r="O1721" s="6" t="str">
        <f>IFERROR(__xludf.DUMMYFUNCTION("""COMPUTED_VALUE"""),"Дороги, особенно из Кировского) ")</f>
        <v>Дороги, особенно из Кировского) </v>
      </c>
      <c r="P1721" s="6" t="str">
        <f>IFERROR(__xludf.DUMMYFUNCTION("""COMPUTED_VALUE"""),"Инстаграм")</f>
        <v>Инстаграм</v>
      </c>
      <c r="Q1721" s="6" t="str">
        <f>IFERROR(__xludf.DUMMYFUNCTION("""COMPUTED_VALUE"""),"городская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1721" s="6" t="str">
        <f>IFERROR(__xludf.DUMMYFUNCTION("""COMPUTED_VALUE"""),"День города, 9 мая, День Шахтёра ")</f>
        <v>День города, 9 мая, День Шахтёра </v>
      </c>
      <c r="S1721" s="6" t="str">
        <f>IFERROR(__xludf.DUMMYFUNCTION("""COMPUTED_VALUE"""),"Нет, не приходилось")</f>
        <v>Нет, не приходилось</v>
      </c>
      <c r="T1721" s="6" t="str">
        <f>IFERROR(__xludf.DUMMYFUNCTION("""COMPUTED_VALUE"""),"Развитие угольной промышленности")</f>
        <v>Развитие угольной промышленности</v>
      </c>
      <c r="U1721" s="6" t="str">
        <f>IFERROR(__xludf.DUMMYFUNCTION("""COMPUTED_VALUE"""),"Памятник шахтерам Кузбасса")</f>
        <v>Памятник шахтерам Кузбасса</v>
      </c>
      <c r="V1721" s="6" t="str">
        <f>IFERROR(__xludf.DUMMYFUNCTION("""COMPUTED_VALUE"""),"Сделали открытия, благодаря которым стал знаменит город")</f>
        <v>Сделали открытия, благодаря которым стал знаменит город</v>
      </c>
      <c r="W1721" s="6" t="str">
        <f>IFERROR(__xludf.DUMMYFUNCTION("""COMPUTED_VALUE"""),"Человечность, поддержка, открытость- это из хороших, но не у всех")</f>
        <v>Человечность, поддержка, открытость- это из хороших, но не у всех</v>
      </c>
      <c r="X1721" s="6" t="str">
        <f>IFERROR(__xludf.DUMMYFUNCTION("""COMPUTED_VALUE"""),"Центральный парк, Драмтеатр, Площадь Советов")</f>
        <v>Центральный парк, Драмтеатр, Площадь Советов</v>
      </c>
      <c r="Y1721" s="6" t="str">
        <f>IFERROR(__xludf.DUMMYFUNCTION("""COMPUTED_VALUE"""),"Затрудняюсь ответить ")</f>
        <v>Затрудняюсь ответить </v>
      </c>
      <c r="Z1721" s="6" t="str">
        <f>IFERROR(__xludf.DUMMYFUNCTION("""COMPUTED_VALUE"""),"300 лет кузбассу")</f>
        <v>300 лет кузбассу</v>
      </c>
      <c r="AA1721" s="6" t="str">
        <f>IFERROR(__xludf.DUMMYFUNCTION("""COMPUTED_VALUE"""),"Затрудняюсь ответить ")</f>
        <v>Затрудняюсь ответить </v>
      </c>
      <c r="AB1721" s="6" t="str">
        <f>IFERROR(__xludf.DUMMYFUNCTION("""COMPUTED_VALUE"""),"Затрудняюсь ответить ")</f>
        <v>Затрудняюсь ответить </v>
      </c>
      <c r="AC1721" s="6" t="str">
        <f>IFERROR(__xludf.DUMMYFUNCTION("""COMPUTED_VALUE"""),"Затрудняюсь ответить ")</f>
        <v>Затрудняюсь ответить </v>
      </c>
      <c r="AD1721"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721" s="6" t="str">
        <f>IFERROR(__xludf.DUMMYFUNCTION("""COMPUTED_VALUE"""),"Женский")</f>
        <v>Женский</v>
      </c>
      <c r="AF1721" s="6" t="str">
        <f>IFERROR(__xludf.DUMMYFUNCTION("""COMPUTED_VALUE"""),"18-29")</f>
        <v>18-29</v>
      </c>
      <c r="AG1721" s="6"/>
      <c r="AH1721" s="6"/>
      <c r="AI1721" s="6"/>
      <c r="AJ1721" s="6"/>
      <c r="AK1721" s="6"/>
      <c r="AL1721" s="6"/>
      <c r="AM1721" s="6"/>
    </row>
    <row r="1722">
      <c r="A1722" s="6">
        <v>1721.0</v>
      </c>
      <c r="B1722" s="6" t="str">
        <f>IFERROR(__xludf.DUMMYFUNCTION("""COMPUTED_VALUE"""),"Водитель такси")</f>
        <v>Водитель такси</v>
      </c>
      <c r="C1722" s="6" t="str">
        <f>IFERROR(__xludf.DUMMYFUNCTION("""COMPUTED_VALUE"""),"Автомобиль")</f>
        <v>Автомобиль</v>
      </c>
      <c r="D1722" s="6" t="str">
        <f>IFERROR(__xludf.DUMMYFUNCTION("""COMPUTED_VALUE"""),"21")</f>
        <v>21</v>
      </c>
      <c r="E1722" s="6" t="str">
        <f>IFERROR(__xludf.DUMMYFUNCTION("""COMPUTED_VALUE"""),"Набережная")</f>
        <v>Набережная</v>
      </c>
      <c r="F1722" s="6" t="str">
        <f>IFERROR(__xludf.DUMMYFUNCTION("""COMPUTED_VALUE"""),"Живу здесь с рождения")</f>
        <v>Живу здесь с рождения</v>
      </c>
      <c r="G1722" s="6" t="str">
        <f>IFERROR(__xludf.DUMMYFUNCTION("""COMPUTED_VALUE"""),"Кинотеатр")</f>
        <v>Кинотеатр</v>
      </c>
      <c r="H1722" s="6" t="str">
        <f>IFERROR(__xludf.DUMMYFUNCTION("""COMPUTED_VALUE"""),"Новогодняя ёлка, тайга, медведь,")</f>
        <v>Новогодняя ёлка, тайга, медведь,</v>
      </c>
      <c r="I1722" s="6" t="str">
        <f>IFERROR(__xludf.DUMMYFUNCTION("""COMPUTED_VALUE"""),"Леонов")</f>
        <v>Леонов</v>
      </c>
      <c r="J1722" s="6" t="str">
        <f>IFERROR(__xludf.DUMMYFUNCTION("""COMPUTED_VALUE"""),"Михайлов")</f>
        <v>Михайлов</v>
      </c>
      <c r="K1722" s="6" t="str">
        <f>IFERROR(__xludf.DUMMYFUNCTION("""COMPUTED_VALUE"""),"Красная горка")</f>
        <v>Красная горка</v>
      </c>
      <c r="L1722" s="6" t="str">
        <f>IFERROR(__xludf.DUMMYFUNCTION("""COMPUTED_VALUE"""),"Кузбасс угольный бассейн")</f>
        <v>Кузбасс угольный бассейн</v>
      </c>
      <c r="M1722" s="6" t="str">
        <f>IFERROR(__xludf.DUMMYFUNCTION("""COMPUTED_VALUE"""),"Я в Я ")</f>
        <v>Я в Я </v>
      </c>
      <c r="N1722" s="6" t="str">
        <f>IFERROR(__xludf.DUMMYFUNCTION("""COMPUTED_VALUE"""),"Дороги")</f>
        <v>Дороги</v>
      </c>
      <c r="O1722" s="6" t="str">
        <f>IFERROR(__xludf.DUMMYFUNCTION("""COMPUTED_VALUE"""),"Экологию")</f>
        <v>Экологию</v>
      </c>
      <c r="P1722" s="6" t="str">
        <f>IFERROR(__xludf.DUMMYFUNCTION("""COMPUTED_VALUE"""),"Инстаграмм")</f>
        <v>Инстаграмм</v>
      </c>
      <c r="Q1722" s="6" t="str">
        <f>IFERROR(__xludf.DUMMYFUNCTION("""COMPUTED_VALUE"""),"интервью с местными политиками")</f>
        <v>интервью с местными политиками</v>
      </c>
      <c r="R1722" s="6" t="str">
        <f>IFERROR(__xludf.DUMMYFUNCTION("""COMPUTED_VALUE"""),"День города")</f>
        <v>День города</v>
      </c>
      <c r="S1722" s="6" t="str">
        <f>IFERROR(__xludf.DUMMYFUNCTION("""COMPUTED_VALUE"""),"Нет, не приходилось")</f>
        <v>Нет, не приходилось</v>
      </c>
      <c r="T1722" s="6" t="str">
        <f>IFERROR(__xludf.DUMMYFUNCTION("""COMPUTED_VALUE"""),"Лес")</f>
        <v>Лес</v>
      </c>
      <c r="U1722" s="6" t="str">
        <f>IFERROR(__xludf.DUMMYFUNCTION("""COMPUTED_VALUE"""),"Так как я водитель такси иногородние люди ездиют смотреть зимой на ёлку в центре города и парк ангелов")</f>
        <v>Так как я водитель такси иногородние люди ездиют смотреть зимой на ёлку в центре города и парк ангелов</v>
      </c>
      <c r="V1722" s="6" t="str">
        <f>IFERROR(__xludf.DUMMYFUNCTION("""COMPUTED_VALUE"""),"Незнаю")</f>
        <v>Незнаю</v>
      </c>
      <c r="W1722" s="6" t="str">
        <f>IFERROR(__xludf.DUMMYFUNCTION("""COMPUTED_VALUE"""),"Люди все разные")</f>
        <v>Люди все разные</v>
      </c>
      <c r="X1722" s="6" t="str">
        <f>IFERROR(__xludf.DUMMYFUNCTION("""COMPUTED_VALUE"""),"Бульвар строителей")</f>
        <v>Бульвар строителей</v>
      </c>
      <c r="Y1722" s="6" t="str">
        <f>IFERROR(__xludf.DUMMYFUNCTION("""COMPUTED_VALUE"""),"Незнаю")</f>
        <v>Незнаю</v>
      </c>
      <c r="Z1722" s="6" t="str">
        <f>IFERROR(__xludf.DUMMYFUNCTION("""COMPUTED_VALUE"""),"Дорога в Ленинск Кузнецк")</f>
        <v>Дорога в Ленинск Кузнецк</v>
      </c>
      <c r="AA1722" s="6" t="str">
        <f>IFERROR(__xludf.DUMMYFUNCTION("""COMPUTED_VALUE"""),"Коронавирус")</f>
        <v>Коронавирус</v>
      </c>
      <c r="AB1722" s="6" t="str">
        <f>IFERROR(__xludf.DUMMYFUNCTION("""COMPUTED_VALUE"""),"Автолюбителей")</f>
        <v>Автолюбителей</v>
      </c>
      <c r="AC1722" s="6" t="str">
        <f>IFERROR(__xludf.DUMMYFUNCTION("""COMPUTED_VALUE"""),"Детских развлечений")</f>
        <v>Детских развлечений</v>
      </c>
      <c r="AD172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722" s="6" t="str">
        <f>IFERROR(__xludf.DUMMYFUNCTION("""COMPUTED_VALUE"""),"Мужской")</f>
        <v>Мужской</v>
      </c>
      <c r="AF1722" s="6" t="str">
        <f>IFERROR(__xludf.DUMMYFUNCTION("""COMPUTED_VALUE"""),"30-44")</f>
        <v>30-44</v>
      </c>
      <c r="AG1722" s="6"/>
      <c r="AH1722" s="6"/>
      <c r="AI1722" s="6"/>
      <c r="AJ1722" s="6"/>
      <c r="AK1722" s="6"/>
      <c r="AL1722" s="6"/>
      <c r="AM1722" s="6"/>
    </row>
    <row r="1723">
      <c r="A1723" s="6">
        <v>1722.0</v>
      </c>
      <c r="B1723" s="6" t="str">
        <f>IFERROR(__xludf.DUMMYFUNCTION("""COMPUTED_VALUE"""),"Риэлтор ")</f>
        <v>Риэлтор </v>
      </c>
      <c r="C1723" s="6" t="str">
        <f>IFERROR(__xludf.DUMMYFUNCTION("""COMPUTED_VALUE"""),"Спорт")</f>
        <v>Спорт</v>
      </c>
      <c r="D1723" s="6" t="str">
        <f>IFERROR(__xludf.DUMMYFUNCTION("""COMPUTED_VALUE"""),"Заводский центр")</f>
        <v>Заводский центр</v>
      </c>
      <c r="E1723" s="6" t="str">
        <f>IFERROR(__xludf.DUMMYFUNCTION("""COMPUTED_VALUE"""),"Площадь советов парк ангелов ")</f>
        <v>Площадь советов парк ангелов </v>
      </c>
      <c r="F1723" s="6" t="str">
        <f>IFERROR(__xludf.DUMMYFUNCTION("""COMPUTED_VALUE"""),"Переехал сюда из другого места (откуда? укажите в графе другое), Из Казахстана ")</f>
        <v>Переехал сюда из другого места (откуда? укажите в графе другое), Из Казахстана </v>
      </c>
      <c r="G1723" s="6" t="str">
        <f>IFERROR(__xludf.DUMMYFUNCTION("""COMPUTED_VALUE"""),"Гуляю по набережной ")</f>
        <v>Гуляю по набережной </v>
      </c>
      <c r="H1723" s="6" t="str">
        <f>IFERROR(__xludf.DUMMYFUNCTION("""COMPUTED_VALUE"""),"-")</f>
        <v>-</v>
      </c>
      <c r="I1723" s="6" t="str">
        <f>IFERROR(__xludf.DUMMYFUNCTION("""COMPUTED_VALUE"""),"-")</f>
        <v>-</v>
      </c>
      <c r="J1723" s="6" t="str">
        <f>IFERROR(__xludf.DUMMYFUNCTION("""COMPUTED_VALUE"""),"-")</f>
        <v>-</v>
      </c>
      <c r="K1723" s="6" t="str">
        <f>IFERROR(__xludf.DUMMYFUNCTION("""COMPUTED_VALUE"""),"Набережную гор сад")</f>
        <v>Набережную гор сад</v>
      </c>
      <c r="L1723" s="6" t="str">
        <f>IFERROR(__xludf.DUMMYFUNCTION("""COMPUTED_VALUE"""),"-")</f>
        <v>-</v>
      </c>
      <c r="M1723" s="6" t="str">
        <f>IFERROR(__xludf.DUMMYFUNCTION("""COMPUTED_VALUE"""),"-")</f>
        <v>-</v>
      </c>
      <c r="N1723" s="6" t="str">
        <f>IFERROR(__xludf.DUMMYFUNCTION("""COMPUTED_VALUE"""),"-")</f>
        <v>-</v>
      </c>
      <c r="O1723" s="6" t="str">
        <f>IFERROR(__xludf.DUMMYFUNCTION("""COMPUTED_VALUE"""),"Реконструкция общежитий в обычные жилые дома ")</f>
        <v>Реконструкция общежитий в обычные жилые дома </v>
      </c>
      <c r="P1723" s="6" t="str">
        <f>IFERROR(__xludf.DUMMYFUNCTION("""COMPUTED_VALUE"""),"Инстаграмм вк")</f>
        <v>Инстаграмм вк</v>
      </c>
      <c r="Q1723" s="6" t="str">
        <f>IFERROR(__xludf.DUMMYFUNCTION("""COMPUTED_VALUE"""),"городская афиша (кино/театр/концерты), интервью с местными предпринимателями, бизнес-новости (средний чек/рекламные акции/запуск новых предприятий)")</f>
        <v>городская афиша (кино/театр/концерты), интервью с местными предпринимателями, бизнес-новости (средний чек/рекламные акции/запуск новых предприятий)</v>
      </c>
      <c r="R1723" s="6" t="str">
        <f>IFERROR(__xludf.DUMMYFUNCTION("""COMPUTED_VALUE"""),"День города")</f>
        <v>День города</v>
      </c>
      <c r="S1723" s="6" t="str">
        <f>IFERROR(__xludf.DUMMYFUNCTION("""COMPUTED_VALUE"""),"Нет, не приходилось")</f>
        <v>Нет, не приходилось</v>
      </c>
      <c r="T1723" s="6" t="str">
        <f>IFERROR(__xludf.DUMMYFUNCTION("""COMPUTED_VALUE"""),"-")</f>
        <v>-</v>
      </c>
      <c r="U1723" s="6" t="str">
        <f>IFERROR(__xludf.DUMMYFUNCTION("""COMPUTED_VALUE"""),"Площадь советов ")</f>
        <v>Площадь советов </v>
      </c>
      <c r="V1723" s="6" t="str">
        <f>IFERROR(__xludf.DUMMYFUNCTION("""COMPUTED_VALUE"""),"-")</f>
        <v>-</v>
      </c>
      <c r="W1723" s="6" t="str">
        <f>IFERROR(__xludf.DUMMYFUNCTION("""COMPUTED_VALUE"""),"-")</f>
        <v>-</v>
      </c>
      <c r="X1723" s="6" t="str">
        <f>IFERROR(__xludf.DUMMYFUNCTION("""COMPUTED_VALUE"""),"/")</f>
        <v>/</v>
      </c>
      <c r="Y1723" s="6" t="str">
        <f>IFERROR(__xludf.DUMMYFUNCTION("""COMPUTED_VALUE"""),"-")</f>
        <v>-</v>
      </c>
      <c r="Z1723" s="6" t="str">
        <f>IFERROR(__xludf.DUMMYFUNCTION("""COMPUTED_VALUE"""),"-")</f>
        <v>-</v>
      </c>
      <c r="AA1723" s="6" t="str">
        <f>IFERROR(__xludf.DUMMYFUNCTION("""COMPUTED_VALUE"""),"-")</f>
        <v>-</v>
      </c>
      <c r="AB1723" s="6" t="str">
        <f>IFERROR(__xludf.DUMMYFUNCTION("""COMPUTED_VALUE"""),"-")</f>
        <v>-</v>
      </c>
      <c r="AC1723" s="6" t="str">
        <f>IFERROR(__xludf.DUMMYFUNCTION("""COMPUTED_VALUE"""),"-")</f>
        <v>-</v>
      </c>
      <c r="AD172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v>
      </c>
      <c r="AE1723" s="6" t="str">
        <f>IFERROR(__xludf.DUMMYFUNCTION("""COMPUTED_VALUE"""),"Мужской")</f>
        <v>Мужской</v>
      </c>
      <c r="AF1723" s="6" t="str">
        <f>IFERROR(__xludf.DUMMYFUNCTION("""COMPUTED_VALUE"""),"18-29")</f>
        <v>18-29</v>
      </c>
      <c r="AG1723" s="6"/>
      <c r="AH1723" s="6"/>
      <c r="AI1723" s="6"/>
      <c r="AJ1723" s="6"/>
      <c r="AK1723" s="6"/>
      <c r="AL1723" s="6"/>
      <c r="AM1723" s="6"/>
    </row>
    <row r="1724">
      <c r="A1724" s="6">
        <v>1723.0</v>
      </c>
      <c r="B1724" s="6" t="str">
        <f>IFERROR(__xludf.DUMMYFUNCTION("""COMPUTED_VALUE"""),"Торгую")</f>
        <v>Торгую</v>
      </c>
      <c r="C1724" s="6" t="str">
        <f>IFERROR(__xludf.DUMMYFUNCTION("""COMPUTED_VALUE"""),"Спорт")</f>
        <v>Спорт</v>
      </c>
      <c r="D1724" s="6" t="str">
        <f>IFERROR(__xludf.DUMMYFUNCTION("""COMPUTED_VALUE"""),"Радуга")</f>
        <v>Радуга</v>
      </c>
      <c r="E1724" s="6" t="str">
        <f>IFERROR(__xludf.DUMMYFUNCTION("""COMPUTED_VALUE"""),"Там ничего нет знакового. ")</f>
        <v>Там ничего нет знакового. </v>
      </c>
      <c r="F172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724" s="6" t="str">
        <f>IFERROR(__xludf.DUMMYFUNCTION("""COMPUTED_VALUE"""),"На бульвар строителей, парк Жукова")</f>
        <v>На бульвар строителей, парк Жукова</v>
      </c>
      <c r="H1724" s="6" t="str">
        <f>IFERROR(__xludf.DUMMYFUNCTION("""COMPUTED_VALUE"""),"Грязный воздух; хорошие дороги; уютный,  об""ездная дорога, пробки на Радуге")</f>
        <v>Грязный воздух; хорошие дороги; уютный,  об"ездная дорога, пробки на Радуге</v>
      </c>
      <c r="I1724" s="6" t="str">
        <f>IFERROR(__xludf.DUMMYFUNCTION("""COMPUTED_VALUE"""),"ХЗ.")</f>
        <v>ХЗ.</v>
      </c>
      <c r="J1724" s="6" t="str">
        <f>IFERROR(__xludf.DUMMYFUNCTION("""COMPUTED_VALUE"""),"Леонов Алексей, Гришковец Евгений.")</f>
        <v>Леонов Алексей, Гришковец Евгений.</v>
      </c>
      <c r="K1724" s="6" t="str">
        <f>IFERROR(__xludf.DUMMYFUNCTION("""COMPUTED_VALUE"""),"Бульвар, памятник шахтёрам у красной горки, музей Красная горка.")</f>
        <v>Бульвар, памятник шахтёрам у красной горки, музей Красная горка.</v>
      </c>
      <c r="L1724" s="6" t="str">
        <f>IFERROR(__xludf.DUMMYFUNCTION("""COMPUTED_VALUE"""),"Хз")</f>
        <v>Хз</v>
      </c>
      <c r="M1724" s="6" t="str">
        <f>IFERROR(__xludf.DUMMYFUNCTION("""COMPUTED_VALUE"""),"Нет")</f>
        <v>Нет</v>
      </c>
      <c r="N1724" s="6" t="str">
        <f>IFERROR(__xludf.DUMMYFUNCTION("""COMPUTED_VALUE"""),"Чистый воздух, живые коммунальные службы, паркова у дома, наличие мест досуга и отдыха, возможность для доп.развития детей.")</f>
        <v>Чистый воздух, живые коммунальные службы, паркова у дома, наличие мест досуга и отдыха, возможность для доп.развития детей.</v>
      </c>
      <c r="O1724" s="6" t="str">
        <f>IFERROR(__xludf.DUMMYFUNCTION("""COMPUTED_VALUE"""),"Законодательную и исполнительную власти. ")</f>
        <v>Законодательную и исполнительную власти. </v>
      </c>
      <c r="P1724" s="6" t="str">
        <f>IFERROR(__xludf.DUMMYFUNCTION("""COMPUTED_VALUE"""),"Не помню")</f>
        <v>Не помню</v>
      </c>
      <c r="Q1724"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724" s="6" t="str">
        <f>IFERROR(__xludf.DUMMYFUNCTION("""COMPUTED_VALUE"""),"Новый год, день защиты детей.")</f>
        <v>Новый год, день защиты детей.</v>
      </c>
      <c r="S1724" s="6" t="str">
        <f>IFERROR(__xludf.DUMMYFUNCTION("""COMPUTED_VALUE"""),"Нет, не приходилось")</f>
        <v>Нет, не приходилось</v>
      </c>
      <c r="T1724" s="6" t="str">
        <f>IFERROR(__xludf.DUMMYFUNCTION("""COMPUTED_VALUE"""),"Знаменит плохой экологией, пренебрежением конституционных прав граждан. Чем уникален, не знаю. ")</f>
        <v>Знаменит плохой экологией, пренебрежением конституционных прав граждан. Чем уникален, не знаю. </v>
      </c>
      <c r="U1724" s="6" t="str">
        <f>IFERROR(__xludf.DUMMYFUNCTION("""COMPUTED_VALUE"""),"Бульвар строителей, набережная.")</f>
        <v>Бульвар строителей, набережная.</v>
      </c>
      <c r="V1724" s="6" t="str">
        <f>IFERROR(__xludf.DUMMYFUNCTION("""COMPUTED_VALUE"""),"Раньше - не могу сказать. Сейчас - успехи в спорте да и всё. ")</f>
        <v>Раньше - не могу сказать. Сейчас - успехи в спорте да и всё. </v>
      </c>
      <c r="W1724" s="6" t="str">
        <f>IFERROR(__xludf.DUMMYFUNCTION("""COMPUTED_VALUE"""),"Они такие же, как и остальные граждане России - все хотят перемен, и большинство ничего для этого делать не хочет. ")</f>
        <v>Они такие же, как и остальные граждане России - все хотят перемен, и большинство ничего для этого делать не хочет. </v>
      </c>
      <c r="X1724" s="6" t="str">
        <f>IFERROR(__xludf.DUMMYFUNCTION("""COMPUTED_VALUE"""),"Начать с драм.театра, далее до центрального парка, через Кирова. Потом по набережной, через филармонию и универ до парка Антошка.")</f>
        <v>Начать с драм.театра, далее до центрального парка, через Кирова. Потом по набережной, через филармонию и универ до парка Антошка.</v>
      </c>
      <c r="Y1724" s="6" t="str">
        <f>IFERROR(__xludf.DUMMYFUNCTION("""COMPUTED_VALUE"""),"Легли под Москву")</f>
        <v>Легли под Москву</v>
      </c>
      <c r="Z1724" s="6" t="str">
        <f>IFERROR(__xludf.DUMMYFUNCTION("""COMPUTED_VALUE"""),"Концерт к юбилею СтройСервиса.")</f>
        <v>Концерт к юбилею СтройСервиса.</v>
      </c>
      <c r="AA1724" s="6" t="str">
        <f>IFERROR(__xludf.DUMMYFUNCTION("""COMPUTED_VALUE"""),"Преследования активных граждан, грубое нарушение свободы, лицемерные заявления властей. ")</f>
        <v>Преследования активных граждан, грубое нарушение свободы, лицемерные заявления властей. </v>
      </c>
      <c r="AB1724" s="6" t="str">
        <f>IFERROR(__xludf.DUMMYFUNCTION("""COMPUTED_VALUE"""),"Отделения партии - Прекрасной России будущего. ")</f>
        <v>Отделения партии - Прекрасной России будущего. </v>
      </c>
      <c r="AC1724" s="6" t="str">
        <f>IFERROR(__xludf.DUMMYFUNCTION("""COMPUTED_VALUE"""),"ХЗ")</f>
        <v>ХЗ</v>
      </c>
      <c r="AD1724" s="6" t="str">
        <f>IFERROR(__xludf.DUMMYFUNCTION("""COMPUTED_VALUE"""),"Не готов принимать личное участие (укажите, пожалуйста, причину в поле «Другое»), В этом государстве, инициатива всегда потом любит инициатора. ")</f>
        <v>Не готов принимать личное участие (укажите, пожалуйста, причину в поле «Другое»), В этом государстве, инициатива всегда потом любит инициатора. </v>
      </c>
      <c r="AE1724" s="6" t="str">
        <f>IFERROR(__xludf.DUMMYFUNCTION("""COMPUTED_VALUE"""),"Мужской")</f>
        <v>Мужской</v>
      </c>
      <c r="AF1724" s="6" t="str">
        <f>IFERROR(__xludf.DUMMYFUNCTION("""COMPUTED_VALUE"""),"30-44")</f>
        <v>30-44</v>
      </c>
      <c r="AG1724" s="6"/>
      <c r="AH1724" s="6"/>
      <c r="AI1724" s="6"/>
      <c r="AJ1724" s="6"/>
      <c r="AK1724" s="6"/>
      <c r="AL1724" s="6"/>
      <c r="AM1724" s="6"/>
    </row>
    <row r="1725">
      <c r="A1725" s="6">
        <v>1724.0</v>
      </c>
      <c r="B1725" s="6" t="str">
        <f>IFERROR(__xludf.DUMMYFUNCTION("""COMPUTED_VALUE"""),"Швейное производство")</f>
        <v>Швейное производство</v>
      </c>
      <c r="C1725" s="6" t="str">
        <f>IFERROR(__xludf.DUMMYFUNCTION("""COMPUTED_VALUE"""),"Баня")</f>
        <v>Баня</v>
      </c>
      <c r="D1725" s="6" t="str">
        <f>IFERROR(__xludf.DUMMYFUNCTION("""COMPUTED_VALUE"""),"Кировский")</f>
        <v>Кировский</v>
      </c>
      <c r="E1725" s="6" t="str">
        <f>IFERROR(__xludf.DUMMYFUNCTION("""COMPUTED_VALUE"""),"Березовая роща")</f>
        <v>Березовая роща</v>
      </c>
      <c r="F1725" s="6" t="str">
        <f>IFERROR(__xludf.DUMMYFUNCTION("""COMPUTED_VALUE"""),"Переехал сюда из другого места (откуда? укажите в графе другое), Белово")</f>
        <v>Переехал сюда из другого места (откуда? укажите в графе другое), Белово</v>
      </c>
      <c r="G1725" s="6" t="str">
        <f>IFERROR(__xludf.DUMMYFUNCTION("""COMPUTED_VALUE"""),"Озеро в садовом обществе Заря, набережная Кировского района")</f>
        <v>Озеро в садовом обществе Заря, набережная Кировского района</v>
      </c>
      <c r="H1725" s="6" t="str">
        <f>IFERROR(__xludf.DUMMYFUNCTION("""COMPUTED_VALUE"""),"Шахтер,сибиряк, ")</f>
        <v>Шахтер,сибиряк, </v>
      </c>
      <c r="I1725" s="6" t="str">
        <f>IFERROR(__xludf.DUMMYFUNCTION("""COMPUTED_VALUE"""),"Не знаю")</f>
        <v>Не знаю</v>
      </c>
      <c r="J1725" s="6" t="str">
        <f>IFERROR(__xludf.DUMMYFUNCTION("""COMPUTED_VALUE"""),"Михайлов- глава города")</f>
        <v>Михайлов- глава города</v>
      </c>
      <c r="K1725" s="6" t="str">
        <f>IFERROR(__xludf.DUMMYFUNCTION("""COMPUTED_VALUE"""),"Берег томи у сторону верхотомки- летом")</f>
        <v>Берег томи у сторону верхотомки- летом</v>
      </c>
      <c r="L1725" s="6" t="str">
        <f>IFERROR(__xludf.DUMMYFUNCTION("""COMPUTED_VALUE"""),"Не знаю")</f>
        <v>Не знаю</v>
      </c>
      <c r="M1725" s="6" t="str">
        <f>IFERROR(__xludf.DUMMYFUNCTION("""COMPUTED_VALUE"""),"Нет")</f>
        <v>Нет</v>
      </c>
      <c r="N1725" s="6" t="str">
        <f>IFERROR(__xludf.DUMMYFUNCTION("""COMPUTED_VALUE"""),"Транспорт, досуг, фитнес,")</f>
        <v>Транспорт, досуг, фитнес,</v>
      </c>
      <c r="O1725" s="6" t="str">
        <f>IFERROR(__xludf.DUMMYFUNCTION("""COMPUTED_VALUE"""),"Очистить место для пляжа в кировском районе")</f>
        <v>Очистить место для пляжа в кировском районе</v>
      </c>
      <c r="P1725" s="6" t="str">
        <f>IFERROR(__xludf.DUMMYFUNCTION("""COMPUTED_VALUE"""),"Инстаграмм, одноклассники, знакомые")</f>
        <v>Инстаграмм, одноклассники, знакомые</v>
      </c>
      <c r="Q1725" s="6" t="str">
        <f>IFERROR(__xludf.DUMMYFUNCTION("""COMPUTED_VALUE"""),"куда пойти в свободное время,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(рейтинги/аналитика/тенденции)"&amp;", интервью с экспертами на разные темы (напишите в разделе Другое свои предложения)")</f>
        <v>куда пойти в свободное время,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725" s="6" t="str">
        <f>IFERROR(__xludf.DUMMYFUNCTION("""COMPUTED_VALUE"""),"9 мая,день шахтера")</f>
        <v>9 мая,день шахтера</v>
      </c>
      <c r="S1725" s="6" t="str">
        <f>IFERROR(__xludf.DUMMYFUNCTION("""COMPUTED_VALUE"""),"Нет, не приходилось")</f>
        <v>Нет, не приходилось</v>
      </c>
      <c r="T1725" s="6" t="str">
        <f>IFERROR(__xludf.DUMMYFUNCTION("""COMPUTED_VALUE"""),"Завод азот, химпром, прогресс")</f>
        <v>Завод азот, химпром, прогресс</v>
      </c>
      <c r="U1725" s="6" t="str">
        <f>IFERROR(__xludf.DUMMYFUNCTION("""COMPUTED_VALUE"""),"ДК в Кировском районе,драмтеатр")</f>
        <v>ДК в Кировском районе,драмтеатр</v>
      </c>
      <c r="V1725" s="6" t="str">
        <f>IFERROR(__xludf.DUMMYFUNCTION("""COMPUTED_VALUE"""),"Работали")</f>
        <v>Работали</v>
      </c>
      <c r="W1725" s="6" t="str">
        <f>IFERROR(__xludf.DUMMYFUNCTION("""COMPUTED_VALUE"""),"В Кировском все свои, здесь как в большой деревне многие знают друг друга, ")</f>
        <v>В Кировском все свои, здесь как в большой деревне многие знают друг друга, </v>
      </c>
      <c r="X1725" s="6" t="str">
        <f>IFERROR(__xludf.DUMMYFUNCTION("""COMPUTED_VALUE"""),"Березовая роща- Никольский собор-красная горка памятник шахтеру- крест")</f>
        <v>Березовая роща- Никольский собор-красная горка памятник шахтеру- крест</v>
      </c>
      <c r="Y1725" s="6" t="str">
        <f>IFERROR(__xludf.DUMMYFUNCTION("""COMPUTED_VALUE"""),"Не знаю")</f>
        <v>Не знаю</v>
      </c>
      <c r="Z1725" s="6" t="str">
        <f>IFERROR(__xludf.DUMMYFUNCTION("""COMPUTED_VALUE"""),"Парад в 2019")</f>
        <v>Парад в 2019</v>
      </c>
      <c r="AA1725" s="6" t="str">
        <f>IFERROR(__xludf.DUMMYFUNCTION("""COMPUTED_VALUE"""),"Закрытие бассейна в лазурном, роддома в Кировском районе")</f>
        <v>Закрытие бассейна в лазурном, роддома в Кировском районе</v>
      </c>
      <c r="AB1725" s="6" t="str">
        <f>IFERROR(__xludf.DUMMYFUNCTION("""COMPUTED_VALUE"""),"Общения предпринимателей в районе")</f>
        <v>Общения предпринимателей в районе</v>
      </c>
      <c r="AC1725" s="6" t="str">
        <f>IFERROR(__xludf.DUMMYFUNCTION("""COMPUTED_VALUE"""),"Облагораживание спуска к реке Томь в районе ДК Кировского района")</f>
        <v>Облагораживание спуска к реке Томь в районе ДК Кировского района</v>
      </c>
      <c r="AD172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25" s="6" t="str">
        <f>IFERROR(__xludf.DUMMYFUNCTION("""COMPUTED_VALUE"""),"Женский")</f>
        <v>Женский</v>
      </c>
      <c r="AF1725" s="6" t="str">
        <f>IFERROR(__xludf.DUMMYFUNCTION("""COMPUTED_VALUE"""),"старше 55")</f>
        <v>старше 55</v>
      </c>
      <c r="AG1725" s="6"/>
      <c r="AH1725" s="6"/>
      <c r="AI1725" s="6"/>
      <c r="AJ1725" s="6"/>
      <c r="AK1725" s="6"/>
      <c r="AL1725" s="6"/>
      <c r="AM1725" s="6"/>
    </row>
    <row r="1726">
      <c r="A1726" s="6">
        <v>1725.0</v>
      </c>
      <c r="B1726" s="6" t="str">
        <f>IFERROR(__xludf.DUMMYFUNCTION("""COMPUTED_VALUE"""),"Здравоохранение ")</f>
        <v>Здравоохранение </v>
      </c>
      <c r="C1726" s="6" t="str">
        <f>IFERROR(__xludf.DUMMYFUNCTION("""COMPUTED_VALUE"""),"Да, вяжу ")</f>
        <v>Да, вяжу </v>
      </c>
      <c r="D1726" s="6" t="str">
        <f>IFERROR(__xludf.DUMMYFUNCTION("""COMPUTED_VALUE"""),"Заводский ")</f>
        <v>Заводский </v>
      </c>
      <c r="E1726" s="6" t="str">
        <f>IFERROR(__xludf.DUMMYFUNCTION("""COMPUTED_VALUE"""),"Никаких ")</f>
        <v>Никаких </v>
      </c>
      <c r="F1726" s="6" t="str">
        <f>IFERROR(__xludf.DUMMYFUNCTION("""COMPUTED_VALUE"""),"Живу здесь с рождения")</f>
        <v>Живу здесь с рождения</v>
      </c>
      <c r="G1726" s="6" t="str">
        <f>IFERROR(__xludf.DUMMYFUNCTION("""COMPUTED_VALUE"""),"Набережная, кинотеатр")</f>
        <v>Набережная, кинотеатр</v>
      </c>
      <c r="H1726" s="6" t="str">
        <f>IFERROR(__xludf.DUMMYFUNCTION("""COMPUTED_VALUE"""),"Азот , уголь ,дороги разбиты, трубы , плохая экология")</f>
        <v>Азот , уголь ,дороги разбиты, трубы , плохая экология</v>
      </c>
      <c r="I1726" s="6" t="str">
        <f>IFERROR(__xludf.DUMMYFUNCTION("""COMPUTED_VALUE"""),"Леонов, Волошина, И др.")</f>
        <v>Леонов, Волошина, И др.</v>
      </c>
      <c r="J1726" s="6" t="str">
        <f>IFERROR(__xludf.DUMMYFUNCTION("""COMPUTED_VALUE"""),"Тулеев ")</f>
        <v>Тулеев </v>
      </c>
      <c r="K1726" s="6" t="str">
        <f>IFERROR(__xludf.DUMMYFUNCTION("""COMPUTED_VALUE"""),"Набережная ")</f>
        <v>Набережная </v>
      </c>
      <c r="L1726" s="6" t="str">
        <f>IFERROR(__xludf.DUMMYFUNCTION("""COMPUTED_VALUE"""),"Делу время потехе час ")</f>
        <v>Делу время потехе час </v>
      </c>
      <c r="M1726" s="6" t="str">
        <f>IFERROR(__xludf.DUMMYFUNCTION("""COMPUTED_VALUE"""),"Нет ")</f>
        <v>Нет </v>
      </c>
      <c r="N1726" s="6" t="str">
        <f>IFERROR(__xludf.DUMMYFUNCTION("""COMPUTED_VALUE"""),"Чистый воздух, хорошие дороги, зарплату повыше, пенсию достойную, отзывчивых граждан ")</f>
        <v>Чистый воздух, хорошие дороги, зарплату повыше, пенсию достойную, отзывчивых граждан </v>
      </c>
      <c r="O1726" s="6" t="str">
        <f>IFERROR(__xludf.DUMMYFUNCTION("""COMPUTED_VALUE"""),"Убрать все заброшенные здания ")</f>
        <v>Убрать все заброшенные здания </v>
      </c>
      <c r="P1726" s="6" t="str">
        <f>IFERROR(__xludf.DUMMYFUNCTION("""COMPUTED_VALUE"""),"Инстограм ")</f>
        <v>Инстограм </v>
      </c>
      <c r="Q1726" s="6" t="str">
        <f>IFERROR(__xludf.DUMMYFUNCTION("""COMPUTED_VALUE"""),"куда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результаты местных исследований (рейтинги/аналитика/тенденции), интервью с экспертами на разные темы (напишите в разделе Другое свои предложения)</v>
      </c>
      <c r="R1726" s="6" t="str">
        <f>IFERROR(__xludf.DUMMYFUNCTION("""COMPUTED_VALUE"""),"День города ")</f>
        <v>День города </v>
      </c>
      <c r="S1726" s="6" t="str">
        <f>IFERROR(__xludf.DUMMYFUNCTION("""COMPUTED_VALUE"""),"Нет, не приходилось")</f>
        <v>Нет, не приходилось</v>
      </c>
      <c r="T1726" s="6" t="str">
        <f>IFERROR(__xludf.DUMMYFUNCTION("""COMPUTED_VALUE"""),"Уголь ")</f>
        <v>Уголь </v>
      </c>
      <c r="U1726" s="6" t="str">
        <f>IFERROR(__xludf.DUMMYFUNCTION("""COMPUTED_VALUE"""),"Шахтёр памятник ")</f>
        <v>Шахтёр памятник </v>
      </c>
      <c r="V1726" s="6" t="str">
        <f>IFERROR(__xludf.DUMMYFUNCTION("""COMPUTED_VALUE"""),"Следят за чистотой, особо ничего ")</f>
        <v>Следят за чистотой, особо ничего </v>
      </c>
      <c r="W1726" s="6" t="str">
        <f>IFERROR(__xludf.DUMMYFUNCTION("""COMPUTED_VALUE"""),"Разные , большая категория пьющие, другая работающие ")</f>
        <v>Разные , большая категория пьющие, другая работающие </v>
      </c>
      <c r="X1726" s="6" t="str">
        <f>IFERROR(__xludf.DUMMYFUNCTION("""COMPUTED_VALUE"""),"40 маршрут ")</f>
        <v>40 маршрут </v>
      </c>
      <c r="Y1726" s="6" t="str">
        <f>IFERROR(__xludf.DUMMYFUNCTION("""COMPUTED_VALUE"""),"Постройки разных комплексов ")</f>
        <v>Постройки разных комплексов </v>
      </c>
      <c r="Z1726" s="6" t="str">
        <f>IFERROR(__xludf.DUMMYFUNCTION("""COMPUTED_VALUE"""),"Никаких ")</f>
        <v>Никаких </v>
      </c>
      <c r="AA1726" s="6" t="str">
        <f>IFERROR(__xludf.DUMMYFUNCTION("""COMPUTED_VALUE"""),"Пандемия ")</f>
        <v>Пандемия </v>
      </c>
      <c r="AB1726" s="6" t="str">
        <f>IFERROR(__xludf.DUMMYFUNCTION("""COMPUTED_VALUE"""),"Нормально ")</f>
        <v>Нормально </v>
      </c>
      <c r="AC1726" s="6" t="str">
        <f>IFERROR(__xludf.DUMMYFUNCTION("""COMPUTED_VALUE"""),"Доступные концерты под открытым небом ")</f>
        <v>Доступные концерты под открытым небом </v>
      </c>
      <c r="AD172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26" s="6" t="str">
        <f>IFERROR(__xludf.DUMMYFUNCTION("""COMPUTED_VALUE"""),"Женский")</f>
        <v>Женский</v>
      </c>
      <c r="AF1726" s="6" t="str">
        <f>IFERROR(__xludf.DUMMYFUNCTION("""COMPUTED_VALUE"""),"45-55")</f>
        <v>45-55</v>
      </c>
      <c r="AG1726" s="6"/>
      <c r="AH1726" s="6"/>
      <c r="AI1726" s="6"/>
      <c r="AJ1726" s="6"/>
      <c r="AK1726" s="6"/>
      <c r="AL1726" s="6"/>
      <c r="AM1726" s="6"/>
    </row>
    <row r="1727">
      <c r="A1727" s="6">
        <v>1726.0</v>
      </c>
      <c r="B1727" s="6" t="str">
        <f>IFERROR(__xludf.DUMMYFUNCTION("""COMPUTED_VALUE"""),"Инженер - технолог химической промышленности ")</f>
        <v>Инженер - технолог химической промышленности </v>
      </c>
      <c r="C1727" s="6" t="str">
        <f>IFERROR(__xludf.DUMMYFUNCTION("""COMPUTED_VALUE"""),"Нет ")</f>
        <v>Нет </v>
      </c>
      <c r="D1727" s="6" t="str">
        <f>IFERROR(__xludf.DUMMYFUNCTION("""COMPUTED_VALUE"""),"Центральный Кемерово - Сити ")</f>
        <v>Центральный Кемерово - Сити </v>
      </c>
      <c r="E1727" s="6" t="str">
        <f>IFERROR(__xludf.DUMMYFUNCTION("""COMPUTED_VALUE"""),"Кузбасс - Арена ")</f>
        <v>Кузбасс - Арена </v>
      </c>
      <c r="F1727" s="6" t="str">
        <f>IFERROR(__xludf.DUMMYFUNCTION("""COMPUTED_VALUE"""),"Живу здесь с рождения")</f>
        <v>Живу здесь с рождения</v>
      </c>
      <c r="G1727" s="6" t="str">
        <f>IFERROR(__xludf.DUMMYFUNCTION("""COMPUTED_VALUE"""),"Горсад, парк Победы, парк Ангелов, Комсомольский парк ")</f>
        <v>Горсад, парк Победы, парк Ангелов, Комсомольский парк </v>
      </c>
      <c r="H1727" s="6" t="str">
        <f>IFERROR(__xludf.DUMMYFUNCTION("""COMPUTED_VALUE"""),"Химия, шахтёры, стройка, смог, власть ")</f>
        <v>Химия, шахтёры, стройка, смог, власть </v>
      </c>
      <c r="I1727" s="6" t="str">
        <f>IFERROR(__xludf.DUMMYFUNCTION("""COMPUTED_VALUE"""),"Тулеев, Леонов ")</f>
        <v>Тулеев, Леонов </v>
      </c>
      <c r="J1727" s="6" t="str">
        <f>IFERROR(__xludf.DUMMYFUNCTION("""COMPUTED_VALUE"""),"Нет ")</f>
        <v>Нет </v>
      </c>
      <c r="K1727" s="6" t="str">
        <f>IFERROR(__xludf.DUMMYFUNCTION("""COMPUTED_VALUE"""),"Парк Ангелов, памятник Шахтерам ")</f>
        <v>Парк Ангелов, памятник Шахтерам </v>
      </c>
      <c r="L1727" s="6" t="str">
        <f>IFERROR(__xludf.DUMMYFUNCTION("""COMPUTED_VALUE"""),"Моя хата с краю, ничего не знаю! ")</f>
        <v>Моя хата с краю, ничего не знаю! </v>
      </c>
      <c r="M1727" s="6" t="str">
        <f>IFERROR(__xludf.DUMMYFUNCTION("""COMPUTED_VALUE"""),"Нет ")</f>
        <v>Нет </v>
      </c>
      <c r="N1727" s="6" t="str">
        <f>IFERROR(__xludf.DUMMYFUNCTION("""COMPUTED_VALUE"""),"Общественный транспорт, хорошие дороги, доступная медицина, хорошее образование, рабочие места. ")</f>
        <v>Общественный транспорт, хорошие дороги, доступная медицина, хорошее образование, рабочие места. </v>
      </c>
      <c r="O1727" s="6" t="str">
        <f>IFERROR(__xludf.DUMMYFUNCTION("""COMPUTED_VALUE"""),"Экологию ")</f>
        <v>Экологию </v>
      </c>
      <c r="P1727" s="6" t="str">
        <f>IFERROR(__xludf.DUMMYFUNCTION("""COMPUTED_VALUE"""),"Интернет - инцидент 42")</f>
        <v>Интернет - инцидент 42</v>
      </c>
      <c r="Q1727" s="6" t="str">
        <f>IFERROR(__xludf.DUMMYFUNCTION("""COMPUTED_VALUE"""),"новости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f>
        <v>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727" s="6" t="str">
        <f>IFERROR(__xludf.DUMMYFUNCTION("""COMPUTED_VALUE"""),"День шахтёрв, день города ")</f>
        <v>День шахтёрв, день города </v>
      </c>
      <c r="S1727" s="6" t="str">
        <f>IFERROR(__xludf.DUMMYFUNCTION("""COMPUTED_VALUE"""),"Нет, не приходилось")</f>
        <v>Нет, не приходилось</v>
      </c>
      <c r="T1727" s="6" t="str">
        <f>IFERROR(__xludf.DUMMYFUNCTION("""COMPUTED_VALUE"""),"Зимняя вишня ")</f>
        <v>Зимняя вишня </v>
      </c>
      <c r="U1727" s="6" t="str">
        <f>IFERROR(__xludf.DUMMYFUNCTION("""COMPUTED_VALUE"""),"Весенняя ")</f>
        <v>Весенняя </v>
      </c>
      <c r="V1727" s="6" t="str">
        <f>IFERROR(__xludf.DUMMYFUNCTION("""COMPUTED_VALUE"""),"Развитие промышленности ")</f>
        <v>Развитие промышленности </v>
      </c>
      <c r="W1727" s="6" t="str">
        <f>IFERROR(__xludf.DUMMYFUNCTION("""COMPUTED_VALUE"""),"Серьёзные, суровые люди, с добрым сердцем! ")</f>
        <v>Серьёзные, суровые люди, с добрым сердцем! </v>
      </c>
      <c r="X1727" s="6" t="str">
        <f>IFERROR(__xludf.DUMMYFUNCTION("""COMPUTED_VALUE"""),"Горсад - набережная - Весенняя - Парк Ангелов ")</f>
        <v>Горсад - набережная - Весенняя - Парк Ангелов </v>
      </c>
      <c r="Y1727" s="6" t="str">
        <f>IFERROR(__xludf.DUMMYFUNCTION("""COMPUTED_VALUE"""),"Открытие месторождения угля!")</f>
        <v>Открытие месторождения угля!</v>
      </c>
      <c r="Z1727" s="6" t="str">
        <f>IFERROR(__xludf.DUMMYFUNCTION("""COMPUTED_VALUE"""),"Строительство новых объектов культуры и спорта ")</f>
        <v>Строительство новых объектов культуры и спорта </v>
      </c>
      <c r="AA1727" s="6" t="str">
        <f>IFERROR(__xludf.DUMMYFUNCTION("""COMPUTED_VALUE"""),"Нет таких ")</f>
        <v>Нет таких </v>
      </c>
      <c r="AB1727" s="6" t="str">
        <f>IFERROR(__xludf.DUMMYFUNCTION("""COMPUTED_VALUE"""),"Нет таких ")</f>
        <v>Нет таких </v>
      </c>
      <c r="AC1727" s="6" t="str">
        <f>IFERROR(__xludf.DUMMYFUNCTION("""COMPUTED_VALUE"""),"Улучшение экологии, развитие туризма ")</f>
        <v>Улучшение экологии, развитие туризма </v>
      </c>
      <c r="AD172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27" s="6" t="str">
        <f>IFERROR(__xludf.DUMMYFUNCTION("""COMPUTED_VALUE"""),"Женский")</f>
        <v>Женский</v>
      </c>
      <c r="AF1727" s="6" t="str">
        <f>IFERROR(__xludf.DUMMYFUNCTION("""COMPUTED_VALUE"""),"30-44")</f>
        <v>30-44</v>
      </c>
      <c r="AG1727" s="6"/>
      <c r="AH1727" s="6"/>
      <c r="AI1727" s="6"/>
      <c r="AJ1727" s="6"/>
      <c r="AK1727" s="6"/>
      <c r="AL1727" s="6"/>
      <c r="AM1727" s="6"/>
    </row>
    <row r="1728">
      <c r="A1728" s="6">
        <v>1727.0</v>
      </c>
      <c r="B1728" s="6" t="str">
        <f>IFERROR(__xludf.DUMMYFUNCTION("""COMPUTED_VALUE"""),"Медеджер по развитию")</f>
        <v>Медеджер по развитию</v>
      </c>
      <c r="C1728" s="6" t="str">
        <f>IFERROR(__xludf.DUMMYFUNCTION("""COMPUTED_VALUE"""),"Бокс")</f>
        <v>Бокс</v>
      </c>
      <c r="D1728" s="6" t="str">
        <f>IFERROR(__xludf.DUMMYFUNCTION("""COMPUTED_VALUE"""),"Центр")</f>
        <v>Центр</v>
      </c>
      <c r="E1728" s="6" t="str">
        <f>IFERROR(__xludf.DUMMYFUNCTION("""COMPUTED_VALUE"""),"Вечный огонь")</f>
        <v>Вечный огонь</v>
      </c>
      <c r="F1728" s="6" t="str">
        <f>IFERROR(__xludf.DUMMYFUNCTION("""COMPUTED_VALUE"""),"Живу здесь с рождения")</f>
        <v>Живу здесь с рождения</v>
      </c>
      <c r="G1728" s="6" t="str">
        <f>IFERROR(__xludf.DUMMYFUNCTION("""COMPUTED_VALUE"""),"Сосновый бор")</f>
        <v>Сосновый бор</v>
      </c>
      <c r="H1728" s="6" t="str">
        <f>IFERROR(__xludf.DUMMYFUNCTION("""COMPUTED_VALUE"""),"Парк победы, Крест в бору, Тарелки на набережной, Стильные бары на Ноградской, Память шахтёрам Кузбасса.")</f>
        <v>Парк победы, Крест в бору, Тарелки на набережной, Стильные бары на Ноградской, Память шахтёрам Кузбасса.</v>
      </c>
      <c r="I1728" s="6" t="str">
        <f>IFERROR(__xludf.DUMMYFUNCTION("""COMPUTED_VALUE"""),"Леонов Алексей Архипович, Арбачаков Юрий Яковлевич")</f>
        <v>Леонов Алексей Архипович, Арбачаков Юрий Яковлевич</v>
      </c>
      <c r="J1728" s="6" t="str">
        <f>IFERROR(__xludf.DUMMYFUNCTION("""COMPUTED_VALUE"""),"Затрудняюсь с ответом")</f>
        <v>Затрудняюсь с ответом</v>
      </c>
      <c r="K1728" s="6" t="str">
        <f>IFERROR(__xludf.DUMMYFUNCTION("""COMPUTED_VALUE"""),"Памятник В.Д. Мартемьянову")</f>
        <v>Памятник В.Д. Мартемьянову</v>
      </c>
      <c r="L1728" s="6" t="str">
        <f>IFERROR(__xludf.DUMMYFUNCTION("""COMPUTED_VALUE"""),"Не знаю таких")</f>
        <v>Не знаю таких</v>
      </c>
      <c r="M1728" s="6" t="str">
        <f>IFERROR(__xludf.DUMMYFUNCTION("""COMPUTED_VALUE"""),"Нет")</f>
        <v>Нет</v>
      </c>
      <c r="N1728" s="6" t="str">
        <f>IFERROR(__xludf.DUMMYFUNCTION("""COMPUTED_VALUE"""),"Чистые улицы, чистый воздух, отремонтированные фасады домов со всех сторон, отсутствие клещей, развитая инфраструктура.")</f>
        <v>Чистые улицы, чистый воздух, отремонтированные фасады домов со всех сторон, отсутствие клещей, развитая инфраструктура.</v>
      </c>
      <c r="O1728" s="6" t="str">
        <f>IFERROR(__xludf.DUMMYFUNCTION("""COMPUTED_VALUE"""),"Отремонтировать фасады домов не только на первой линии!!!!")</f>
        <v>Отремонтировать фасады домов не только на первой линии!!!!</v>
      </c>
      <c r="P1728" s="6" t="str">
        <f>IFERROR(__xludf.DUMMYFUNCTION("""COMPUTED_VALUE"""),"Instagram ")</f>
        <v>Instagram </v>
      </c>
      <c r="Q1728" s="6" t="str">
        <f>IFERROR(__xludf.DUMMYFUNCTION("""COMPUTED_VALUE"""),"куда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бизнес-новости (средний чек/рекламные акции/запуск новых предприятий), результаты местных исследований (рейтинги/аналитика/тенденции)</v>
      </c>
      <c r="R1728" s="6" t="str">
        <f>IFERROR(__xludf.DUMMYFUNCTION("""COMPUTED_VALUE"""),"День города.")</f>
        <v>День города.</v>
      </c>
      <c r="S1728" s="6" t="str">
        <f>IFERROR(__xludf.DUMMYFUNCTION("""COMPUTED_VALUE"""),"Нет, не приходилось")</f>
        <v>Нет, не приходилось</v>
      </c>
      <c r="T1728" s="6" t="str">
        <f>IFERROR(__xludf.DUMMYFUNCTION("""COMPUTED_VALUE"""),"Угольными предприятиями ")</f>
        <v>Угольными предприятиями </v>
      </c>
      <c r="U1728" s="6" t="str">
        <f>IFERROR(__xludf.DUMMYFUNCTION("""COMPUTED_VALUE"""),"Площадь советов")</f>
        <v>Площадь советов</v>
      </c>
      <c r="V1728" s="6" t="str">
        <f>IFERROR(__xludf.DUMMYFUNCTION("""COMPUTED_VALUE"""),"За 30 лет гордость растворилась!")</f>
        <v>За 30 лет гордость растворилась!</v>
      </c>
      <c r="W1728" s="6" t="str">
        <f>IFERROR(__xludf.DUMMYFUNCTION("""COMPUTED_VALUE"""),"Разные как и все Русские ")</f>
        <v>Разные как и все Русские </v>
      </c>
      <c r="X1728" s="6" t="str">
        <f>IFERROR(__xludf.DUMMYFUNCTION("""COMPUTED_VALUE"""),"Весенняя, Советский, Волкова, Мичурина, Набережная ")</f>
        <v>Весенняя, Советский, Волкова, Мичурина, Набережная </v>
      </c>
      <c r="Y1728" s="6" t="str">
        <f>IFERROR(__xludf.DUMMYFUNCTION("""COMPUTED_VALUE"""),"Перенос заводов во время Великой отечественной - это сформировало город.")</f>
        <v>Перенос заводов во время Великой отечественной - это сформировало город.</v>
      </c>
      <c r="Z1728" s="6" t="str">
        <f>IFERROR(__xludf.DUMMYFUNCTION("""COMPUTED_VALUE"""),"Никаких, только негативные")</f>
        <v>Никаких, только негативные</v>
      </c>
      <c r="AA1728" s="6" t="str">
        <f>IFERROR(__xludf.DUMMYFUNCTION("""COMPUTED_VALUE"""),"Пожар в Зимней вишне")</f>
        <v>Пожар в Зимней вишне</v>
      </c>
      <c r="AB1728" s="6" t="str">
        <f>IFERROR(__xludf.DUMMYFUNCTION("""COMPUTED_VALUE"""),"Затрудняюсь с ответом")</f>
        <v>Затрудняюсь с ответом</v>
      </c>
      <c r="AC1728" s="6" t="str">
        <f>IFERROR(__xludf.DUMMYFUNCTION("""COMPUTED_VALUE"""),"Проведение международных спортивных соревнований")</f>
        <v>Проведение международных спортивных соревнований</v>
      </c>
      <c r="AD172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28" s="6" t="str">
        <f>IFERROR(__xludf.DUMMYFUNCTION("""COMPUTED_VALUE"""),"Мужской")</f>
        <v>Мужской</v>
      </c>
      <c r="AF1728" s="6" t="str">
        <f>IFERROR(__xludf.DUMMYFUNCTION("""COMPUTED_VALUE"""),"30-44")</f>
        <v>30-44</v>
      </c>
      <c r="AG1728" s="6"/>
      <c r="AH1728" s="6"/>
      <c r="AI1728" s="6"/>
      <c r="AJ1728" s="6"/>
      <c r="AK1728" s="6"/>
      <c r="AL1728" s="6"/>
      <c r="AM1728" s="6"/>
    </row>
    <row r="1729">
      <c r="A1729" s="6">
        <v>1728.0</v>
      </c>
      <c r="B1729" s="6" t="str">
        <f>IFERROR(__xludf.DUMMYFUNCTION("""COMPUTED_VALUE"""),"Медик")</f>
        <v>Медик</v>
      </c>
      <c r="C1729" s="6" t="str">
        <f>IFERROR(__xludf.DUMMYFUNCTION("""COMPUTED_VALUE"""),"Нет")</f>
        <v>Нет</v>
      </c>
      <c r="D1729" s="6" t="str">
        <f>IFERROR(__xludf.DUMMYFUNCTION("""COMPUTED_VALUE"""),"Радуга")</f>
        <v>Радуга</v>
      </c>
      <c r="E1729" s="6" t="str">
        <f>IFERROR(__xludf.DUMMYFUNCTION("""COMPUTED_VALUE"""),"Сосновый бор")</f>
        <v>Сосновый бор</v>
      </c>
      <c r="F1729" s="6" t="str">
        <f>IFERROR(__xludf.DUMMYFUNCTION("""COMPUTED_VALUE"""),"Живу здесь с рождения")</f>
        <v>Живу здесь с рождения</v>
      </c>
      <c r="G1729" s="6" t="str">
        <f>IFERROR(__xludf.DUMMYFUNCTION("""COMPUTED_VALUE"""),"В центр")</f>
        <v>В центр</v>
      </c>
      <c r="H1729" s="6" t="str">
        <f>IFERROR(__xludf.DUMMYFUNCTION("""COMPUTED_VALUE"""),"Родина, шахтер, сосновый бор, дом")</f>
        <v>Родина, шахтер, сосновый бор, дом</v>
      </c>
      <c r="I1729" s="6" t="str">
        <f>IFERROR(__xludf.DUMMYFUNCTION("""COMPUTED_VALUE"""),"Леонов, волков, бобров")</f>
        <v>Леонов, волков, бобров</v>
      </c>
      <c r="J1729" s="6" t="str">
        <f>IFERROR(__xludf.DUMMYFUNCTION("""COMPUTED_VALUE"""),"Барбараш Л С, Подгорбунский")</f>
        <v>Барбараш Л С, Подгорбунский</v>
      </c>
      <c r="K1729" s="6" t="str">
        <f>IFERROR(__xludf.DUMMYFUNCTION("""COMPUTED_VALUE"""),"Весенняя, дом художника, набережная, сосновый бор, сквер юнности")</f>
        <v>Весенняя, дом художника, набережная, сосновый бор, сквер юнности</v>
      </c>
      <c r="L1729" s="6" t="str">
        <f>IFERROR(__xludf.DUMMYFUNCTION("""COMPUTED_VALUE"""),"Не знаю")</f>
        <v>Не знаю</v>
      </c>
      <c r="M1729" s="6" t="str">
        <f>IFERROR(__xludf.DUMMYFUNCTION("""COMPUTED_VALUE"""),"Нет")</f>
        <v>Нет</v>
      </c>
      <c r="N1729" s="6" t="str">
        <f>IFERROR(__xludf.DUMMYFUNCTION("""COMPUTED_VALUE"""),"Экология, транспортная доступность, культурные и спортивные мероприятия, зеленые зоны")</f>
        <v>Экология, транспортная доступность, культурные и спортивные мероприятия, зеленые зоны</v>
      </c>
      <c r="O1729" s="6" t="str">
        <f>IFERROR(__xludf.DUMMYFUNCTION("""COMPUTED_VALUE"""),"Больше зеленых зон, скверов, обустройство дворовых территорий")</f>
        <v>Больше зеленых зон, скверов, обустройство дворовых территорий</v>
      </c>
      <c r="P1729" s="6" t="str">
        <f>IFERROR(__xludf.DUMMYFUNCTION("""COMPUTED_VALUE"""),"Инстаграмм")</f>
        <v>Инстаграмм</v>
      </c>
      <c r="Q1729"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1729" s="6" t="str">
        <f>IFERROR(__xludf.DUMMYFUNCTION("""COMPUTED_VALUE"""),"День города")</f>
        <v>День города</v>
      </c>
      <c r="S1729" s="6" t="str">
        <f>IFERROR(__xludf.DUMMYFUNCTION("""COMPUTED_VALUE"""),"Нет, не приходилось")</f>
        <v>Нет, не приходилось</v>
      </c>
      <c r="T1729" s="6" t="str">
        <f>IFERROR(__xludf.DUMMYFUNCTION("""COMPUTED_VALUE"""),"Затрудняюсь")</f>
        <v>Затрудняюсь</v>
      </c>
      <c r="U1729" s="6" t="str">
        <f>IFERROR(__xludf.DUMMYFUNCTION("""COMPUTED_VALUE"""),"Центр города(весенняя, набережная, советский пр) ")</f>
        <v>Центр города(весенняя, набережная, советский пр) </v>
      </c>
      <c r="V1729" s="6" t="str">
        <f>IFERROR(__xludf.DUMMYFUNCTION("""COMPUTED_VALUE"""),"Не знаю")</f>
        <v>Не знаю</v>
      </c>
      <c r="W1729" s="6" t="str">
        <f>IFERROR(__xludf.DUMMYFUNCTION("""COMPUTED_VALUE"""),"Не знаю")</f>
        <v>Не знаю</v>
      </c>
      <c r="X1729" s="6" t="str">
        <f>IFERROR(__xludf.DUMMYFUNCTION("""COMPUTED_VALUE"""),"Набережная, весенняя")</f>
        <v>Набережная, весенняя</v>
      </c>
      <c r="Y1729" s="6" t="str">
        <f>IFERROR(__xludf.DUMMYFUNCTION("""COMPUTED_VALUE"""),"Не знаю")</f>
        <v>Не знаю</v>
      </c>
      <c r="Z1729" s="6" t="str">
        <f>IFERROR(__xludf.DUMMYFUNCTION("""COMPUTED_VALUE"""),"Строительство ледового катка на радуге, сооружений возле нового моста, обьявление соснового бора заповедником, премьеры мюзиклов в театре боброва")</f>
        <v>Строительство ледового катка на радуге, сооружений возле нового моста, обьявление соснового бора заповедником, премьеры мюзиклов в театре боброва</v>
      </c>
      <c r="AA1729" s="6" t="str">
        <f>IFERROR(__xludf.DUMMYFUNCTION("""COMPUTED_VALUE"""),"Зимняя вишня")</f>
        <v>Зимняя вишня</v>
      </c>
      <c r="AB1729" s="6" t="str">
        <f>IFERROR(__xludf.DUMMYFUNCTION("""COMPUTED_VALUE"""),"Культурных")</f>
        <v>Культурных</v>
      </c>
      <c r="AC1729" s="6" t="str">
        <f>IFERROR(__xludf.DUMMYFUNCTION("""COMPUTED_VALUE"""),"Выставок собраний различных музеев")</f>
        <v>Выставок собраний различных музеев</v>
      </c>
      <c r="AD1729"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729" s="6" t="str">
        <f>IFERROR(__xludf.DUMMYFUNCTION("""COMPUTED_VALUE"""),"Женский")</f>
        <v>Женский</v>
      </c>
      <c r="AF1729" s="6" t="str">
        <f>IFERROR(__xludf.DUMMYFUNCTION("""COMPUTED_VALUE"""),"старше 55")</f>
        <v>старше 55</v>
      </c>
      <c r="AG1729" s="6"/>
      <c r="AH1729" s="6"/>
      <c r="AI1729" s="6"/>
      <c r="AJ1729" s="6"/>
      <c r="AK1729" s="6"/>
      <c r="AL1729" s="6"/>
      <c r="AM1729" s="6"/>
    </row>
    <row r="1730">
      <c r="A1730" s="6">
        <v>1729.0</v>
      </c>
      <c r="B1730" s="6" t="str">
        <f>IFERROR(__xludf.DUMMYFUNCTION("""COMPUTED_VALUE"""),"Работаю")</f>
        <v>Работаю</v>
      </c>
      <c r="C1730" s="6" t="str">
        <f>IFERROR(__xludf.DUMMYFUNCTION("""COMPUTED_VALUE"""),"Нет")</f>
        <v>Нет</v>
      </c>
      <c r="D1730" s="6" t="str">
        <f>IFERROR(__xludf.DUMMYFUNCTION("""COMPUTED_VALUE"""),"Ленинский.спальный")</f>
        <v>Ленинский.спальный</v>
      </c>
      <c r="E1730" s="6" t="str">
        <f>IFERROR(__xludf.DUMMYFUNCTION("""COMPUTED_VALUE"""),"Б строителей ,парк Тулеева ")</f>
        <v>Б строителей ,парк Тулеева </v>
      </c>
      <c r="F1730" s="6" t="str">
        <f>IFERROR(__xludf.DUMMYFUNCTION("""COMPUTED_VALUE"""),"Переехал сюда из другого места (откуда? укажите в графе другое), Приехала  Алтайский край")</f>
        <v>Переехал сюда из другого места (откуда? укажите в графе другое), Приехала  Алтайский край</v>
      </c>
      <c r="G1730" s="6" t="str">
        <f>IFERROR(__xludf.DUMMYFUNCTION("""COMPUTED_VALUE"""),"Линейный парк бульвар ")</f>
        <v>Линейный парк бульвар </v>
      </c>
      <c r="H1730" s="6" t="str">
        <f>IFERROR(__xludf.DUMMYFUNCTION("""COMPUTED_VALUE"""),"Загазованный ,зеленый, красивый ,бывает грязный ,тихий ")</f>
        <v>Загазованный ,зеленый, красивый ,бывает грязный ,тихий </v>
      </c>
      <c r="I1730" s="6" t="str">
        <f>IFERROR(__xludf.DUMMYFUNCTION("""COMPUTED_VALUE"""),"Михайло Волков ,Вера Волошина ")</f>
        <v>Михайло Волков ,Вера Волошина </v>
      </c>
      <c r="J1730" s="6" t="str">
        <f>IFERROR(__xludf.DUMMYFUNCTION("""COMPUTED_VALUE"""),"Тулеев ,Михайлов ")</f>
        <v>Тулеев ,Михайлов </v>
      </c>
      <c r="K1730" s="6" t="str">
        <f>IFERROR(__xludf.DUMMYFUNCTION("""COMPUTED_VALUE"""),"Парк Ангелов ,набережная ")</f>
        <v>Парк Ангелов ,набережная </v>
      </c>
      <c r="L1730" s="6" t="str">
        <f>IFERROR(__xludf.DUMMYFUNCTION("""COMPUTED_VALUE"""),"Не знаю")</f>
        <v>Не знаю</v>
      </c>
      <c r="M1730" s="6" t="str">
        <f>IFERROR(__xludf.DUMMYFUNCTION("""COMPUTED_VALUE"""),"Нет")</f>
        <v>Нет</v>
      </c>
      <c r="N1730" s="6" t="str">
        <f>IFERROR(__xludf.DUMMYFUNCTION("""COMPUTED_VALUE"""),"Транспорт ,экология ,доступное жилье ,низкие цены высокая зарплата( этого ни чего нет)экологию")</f>
        <v>Транспорт ,экология ,доступное жилье ,низкие цены высокая зарплата( этого ни чего нет)экологию</v>
      </c>
      <c r="O1730" s="6" t="str">
        <f>IFERROR(__xludf.DUMMYFUNCTION("""COMPUTED_VALUE"""),"Экологию")</f>
        <v>Экологию</v>
      </c>
      <c r="P1730" s="6" t="str">
        <f>IFERROR(__xludf.DUMMYFUNCTION("""COMPUTED_VALUE"""),"Интернет инстаграм")</f>
        <v>Интернет инстаграм</v>
      </c>
      <c r="Q1730" s="6" t="str">
        <f>IFERROR(__xludf.DUMMYFUNCTION("""COMPUTED_VALUE"""),"интервью с местными политиками, Интервью с местными политиками")</f>
        <v>интервью с местными политиками, Интервью с местными политиками</v>
      </c>
      <c r="R1730" s="6" t="str">
        <f>IFERROR(__xludf.DUMMYFUNCTION("""COMPUTED_VALUE"""),"День города ,9 мая ")</f>
        <v>День города ,9 мая </v>
      </c>
      <c r="S1730" s="6" t="str">
        <f>IFERROR(__xludf.DUMMYFUNCTION("""COMPUTED_VALUE"""),"Нет, не приходилось")</f>
        <v>Нет, не приходилось</v>
      </c>
      <c r="T1730" s="6" t="str">
        <f>IFERROR(__xludf.DUMMYFUNCTION("""COMPUTED_VALUE"""),"Ни чем ")</f>
        <v>Ни чем </v>
      </c>
      <c r="U1730" s="6" t="str">
        <f>IFERROR(__xludf.DUMMYFUNCTION("""COMPUTED_VALUE"""),"Площадь Советов")</f>
        <v>Площадь Советов</v>
      </c>
      <c r="V1730" s="6" t="str">
        <f>IFERROR(__xludf.DUMMYFUNCTION("""COMPUTED_VALUE"""),"Обеспечили победу в войне !радушные ")</f>
        <v>Обеспечили победу в войне !радушные </v>
      </c>
      <c r="W1730" s="6" t="str">
        <f>IFERROR(__xludf.DUMMYFUNCTION("""COMPUTED_VALUE"""),"Радушные ! ")</f>
        <v>Радушные ! </v>
      </c>
      <c r="X1730" s="6" t="str">
        <f>IFERROR(__xludf.DUMMYFUNCTION("""COMPUTED_VALUE"""),"От пр Комсомольского до набережной")</f>
        <v>От пр Комсомольского до набережной</v>
      </c>
      <c r="Y1730" s="6" t="str">
        <f>IFERROR(__xludf.DUMMYFUNCTION("""COMPUTED_VALUE"""),"Не знаю")</f>
        <v>Не знаю</v>
      </c>
      <c r="Z1730" s="6" t="str">
        <f>IFERROR(__xludf.DUMMYFUNCTION("""COMPUTED_VALUE"""),"Бессмертный полкпожар ")</f>
        <v>Бессмертный полкпожар </v>
      </c>
      <c r="AA1730" s="6" t="str">
        <f>IFERROR(__xludf.DUMMYFUNCTION("""COMPUTED_VALUE"""),"Пожар в "" зимней вишне""")</f>
        <v>Пожар в " зимней вишне"</v>
      </c>
      <c r="AB1730" s="6" t="str">
        <f>IFERROR(__xludf.DUMMYFUNCTION("""COMPUTED_VALUE"""),"Ни каких")</f>
        <v>Ни каких</v>
      </c>
      <c r="AC1730" s="6" t="str">
        <f>IFERROR(__xludf.DUMMYFUNCTION("""COMPUTED_VALUE"""),"Всего хватает ")</f>
        <v>Всего хватает </v>
      </c>
      <c r="AD173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30" s="6" t="str">
        <f>IFERROR(__xludf.DUMMYFUNCTION("""COMPUTED_VALUE"""),"Женский")</f>
        <v>Женский</v>
      </c>
      <c r="AF1730" s="6" t="str">
        <f>IFERROR(__xludf.DUMMYFUNCTION("""COMPUTED_VALUE"""),"старше 55")</f>
        <v>старше 55</v>
      </c>
      <c r="AG1730" s="6"/>
      <c r="AH1730" s="6"/>
      <c r="AI1730" s="6"/>
      <c r="AJ1730" s="6"/>
      <c r="AK1730" s="6"/>
      <c r="AL1730" s="6"/>
      <c r="AM1730" s="6"/>
    </row>
    <row r="1731">
      <c r="A1731" s="6">
        <v>1730.0</v>
      </c>
      <c r="B1731" s="6" t="str">
        <f>IFERROR(__xludf.DUMMYFUNCTION("""COMPUTED_VALUE"""),"Учусь в колледже культуры и искусств ")</f>
        <v>Учусь в колледже культуры и искусств </v>
      </c>
      <c r="C1731" s="6" t="str">
        <f>IFERROR(__xludf.DUMMYFUNCTION("""COMPUTED_VALUE"""),"Есть, рисование и танцы")</f>
        <v>Есть, рисование и танцы</v>
      </c>
      <c r="D1731" s="6" t="str">
        <f>IFERROR(__xludf.DUMMYFUNCTION("""COMPUTED_VALUE"""),"Рудничный. Называю ""радуга"" ")</f>
        <v>Рудничный. Называю "радуга" </v>
      </c>
      <c r="E1731" s="6" t="str">
        <f>IFERROR(__xludf.DUMMYFUNCTION("""COMPUTED_VALUE"""),"Тц радуга, рядом парк")</f>
        <v>Тц радуга, рядом парк</v>
      </c>
      <c r="F1731" s="6" t="str">
        <f>IFERROR(__xludf.DUMMYFUNCTION("""COMPUTED_VALUE"""),"Переехал сюда из другого места (откуда? укажите в графе другое), Из Анжеро-Судженска ")</f>
        <v>Переехал сюда из другого места (откуда? укажите в графе другое), Из Анжеро-Судженска </v>
      </c>
      <c r="G1731" s="6" t="str">
        <f>IFERROR(__xludf.DUMMYFUNCTION("""COMPUTED_VALUE"""),"Парк Ангелов, набережная ")</f>
        <v>Парк Ангелов, набережная </v>
      </c>
      <c r="H1731" s="6" t="str">
        <f>IFERROR(__xludf.DUMMYFUNCTION("""COMPUTED_VALUE"""),"Учёба, магазин, уют, дом, работа ")</f>
        <v>Учёба, магазин, уют, дом, работа </v>
      </c>
      <c r="I1731" s="6" t="str">
        <f>IFERROR(__xludf.DUMMYFUNCTION("""COMPUTED_VALUE"""),"Не знаю ")</f>
        <v>Не знаю </v>
      </c>
      <c r="J1731" s="6" t="str">
        <f>IFERROR(__xludf.DUMMYFUNCTION("""COMPUTED_VALUE"""),"Волонтёры")</f>
        <v>Волонтёры</v>
      </c>
      <c r="K1731" s="6" t="str">
        <f>IFERROR(__xludf.DUMMYFUNCTION("""COMPUTED_VALUE"""),"Парк Ангелов ")</f>
        <v>Парк Ангелов </v>
      </c>
      <c r="L1731" s="6" t="str">
        <f>IFERROR(__xludf.DUMMYFUNCTION("""COMPUTED_VALUE"""),"Не жили богато и нечего начинать ")</f>
        <v>Не жили богато и нечего начинать </v>
      </c>
      <c r="M1731" s="6" t="str">
        <f>IFERROR(__xludf.DUMMYFUNCTION("""COMPUTED_VALUE"""),"Нет")</f>
        <v>Нет</v>
      </c>
      <c r="N1731" s="6" t="str">
        <f>IFERROR(__xludf.DUMMYFUNCTION("""COMPUTED_VALUE"""),"1. Стабильный общественный транспорт. 2.Парки уличные или аллеи
3. Возможность образования
4. Торговые центры ")</f>
        <v>1. Стабильный общественный транспорт. 2.Парки уличные или аллеи
3. Возможность образования
4. Торговые центры </v>
      </c>
      <c r="O1731" s="6" t="str">
        <f>IFERROR(__xludf.DUMMYFUNCTION("""COMPUTED_VALUE"""),"Больше новостроек и парков")</f>
        <v>Больше новостроек и парков</v>
      </c>
      <c r="P1731" s="6" t="str">
        <f>IFERROR(__xludf.DUMMYFUNCTION("""COMPUTED_VALUE"""),"От друзей и из Инстаграмм ")</f>
        <v>От друзей и из Инстаграмм </v>
      </c>
      <c r="Q1731"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v>
      </c>
      <c r="R1731" s="6" t="str">
        <f>IFERROR(__xludf.DUMMYFUNCTION("""COMPUTED_VALUE"""),"День города ")</f>
        <v>День города </v>
      </c>
      <c r="S1731" s="6" t="str">
        <f>IFERROR(__xludf.DUMMYFUNCTION("""COMPUTED_VALUE"""),"Нет, не приходилось")</f>
        <v>Нет, не приходилось</v>
      </c>
      <c r="T1731" s="6" t="str">
        <f>IFERROR(__xludf.DUMMYFUNCTION("""COMPUTED_VALUE"""),"Пожаром в Зимней Вишне")</f>
        <v>Пожаром в Зимней Вишне</v>
      </c>
      <c r="U1731" s="6" t="str">
        <f>IFERROR(__xludf.DUMMYFUNCTION("""COMPUTED_VALUE"""),"ТЦ я, лента и леруа мерлен на советском ")</f>
        <v>ТЦ я, лента и леруа мерлен на советском </v>
      </c>
      <c r="V1731" s="6" t="str">
        <f>IFERROR(__xludf.DUMMYFUNCTION("""COMPUTED_VALUE"""),"Не знаю ")</f>
        <v>Не знаю </v>
      </c>
      <c r="W1731" s="6" t="str">
        <f>IFERROR(__xludf.DUMMYFUNCTION("""COMPUTED_VALUE"""),"Приветливые ")</f>
        <v>Приветливые </v>
      </c>
      <c r="X1731" s="6" t="str">
        <f>IFERROR(__xludf.DUMMYFUNCTION("""COMPUTED_VALUE"""),"От лапландии до тц я")</f>
        <v>От лапландии до тц я</v>
      </c>
      <c r="Y1731" s="6" t="str">
        <f>IFERROR(__xludf.DUMMYFUNCTION("""COMPUTED_VALUE"""),"Присвоение КККиИ имени И. Д. Кобзона")</f>
        <v>Присвоение КККиИ имени И. Д. Кобзона</v>
      </c>
      <c r="Z1731" s="6" t="str">
        <f>IFERROR(__xludf.DUMMYFUNCTION("""COMPUTED_VALUE"""),"День шахтёра в парке чудес ")</f>
        <v>День шахтёра в парке чудес </v>
      </c>
      <c r="AA1731" s="6" t="str">
        <f>IFERROR(__xludf.DUMMYFUNCTION("""COMPUTED_VALUE"""),"Не было")</f>
        <v>Не было</v>
      </c>
      <c r="AB1731" s="6" t="str">
        <f>IFERROR(__xludf.DUMMYFUNCTION("""COMPUTED_VALUE"""),"Всего хватает ")</f>
        <v>Всего хватает </v>
      </c>
      <c r="AC1731" s="6" t="str">
        <f>IFERROR(__xludf.DUMMYFUNCTION("""COMPUTED_VALUE"""),"Фестивали для молодёжи, детей")</f>
        <v>Фестивали для молодёжи, детей</v>
      </c>
      <c r="AD173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31" s="6" t="str">
        <f>IFERROR(__xludf.DUMMYFUNCTION("""COMPUTED_VALUE"""),"Женский")</f>
        <v>Женский</v>
      </c>
      <c r="AF1731" s="6" t="str">
        <f>IFERROR(__xludf.DUMMYFUNCTION("""COMPUTED_VALUE"""),"18-29")</f>
        <v>18-29</v>
      </c>
      <c r="AG1731" s="6"/>
      <c r="AH1731" s="6"/>
      <c r="AI1731" s="6"/>
      <c r="AJ1731" s="6"/>
      <c r="AK1731" s="6"/>
      <c r="AL1731" s="6"/>
      <c r="AM1731" s="6"/>
    </row>
    <row r="1732">
      <c r="A1732" s="6">
        <v>1731.0</v>
      </c>
      <c r="B1732" s="6" t="str">
        <f>IFERROR(__xludf.DUMMYFUNCTION("""COMPUTED_VALUE"""),"Служащий")</f>
        <v>Служащий</v>
      </c>
      <c r="C1732" s="6" t="str">
        <f>IFERROR(__xludf.DUMMYFUNCTION("""COMPUTED_VALUE"""),"Нет")</f>
        <v>Нет</v>
      </c>
      <c r="D1732" s="6" t="str">
        <f>IFERROR(__xludf.DUMMYFUNCTION("""COMPUTED_VALUE"""),"Заводский. Южный")</f>
        <v>Заводский. Южный</v>
      </c>
      <c r="E1732" s="6" t="str">
        <f>IFERROR(__xludf.DUMMYFUNCTION("""COMPUTED_VALUE"""),"Проспект Патриотов")</f>
        <v>Проспект Патриотов</v>
      </c>
      <c r="F1732" s="6" t="str">
        <f>IFERROR(__xludf.DUMMYFUNCTION("""COMPUTED_VALUE"""),"Живу здесь с рождения")</f>
        <v>Живу здесь с рождения</v>
      </c>
      <c r="G1732" s="6" t="str">
        <f>IFERROR(__xludf.DUMMYFUNCTION("""COMPUTED_VALUE"""),"Мюнхен, ХВ, гринвич")</f>
        <v>Мюнхен, ХВ, гринвич</v>
      </c>
      <c r="H1732" s="6" t="str">
        <f>IFERROR(__xludf.DUMMYFUNCTION("""COMPUTED_VALUE"""),"Зелёный, маленький, ")</f>
        <v>Зелёный, маленький, </v>
      </c>
      <c r="I1732" s="6" t="str">
        <f>IFERROR(__xludf.DUMMYFUNCTION("""COMPUTED_VALUE"""),"Тулеев, Михайлов, Вера Волошина, Двужильный")</f>
        <v>Тулеев, Михайлов, Вера Волошина, Двужильный</v>
      </c>
      <c r="J1732" s="6" t="str">
        <f>IFERROR(__xludf.DUMMYFUNCTION("""COMPUTED_VALUE"""),"Михайлов, бывший мэр города")</f>
        <v>Михайлов, бывший мэр города</v>
      </c>
      <c r="K1732" s="6" t="str">
        <f>IFERROR(__xludf.DUMMYFUNCTION("""COMPUTED_VALUE"""),"Улица Весенняя, фонтан, памятник Шахтерам")</f>
        <v>Улица Весенняя, фонтан, памятник Шахтерам</v>
      </c>
      <c r="L1732" s="6" t="str">
        <f>IFERROR(__xludf.DUMMYFUNCTION("""COMPUTED_VALUE"""),"Не знаю")</f>
        <v>Не знаю</v>
      </c>
      <c r="M1732" s="6" t="str">
        <f>IFERROR(__xludf.DUMMYFUNCTION("""COMPUTED_VALUE"""),"Нет")</f>
        <v>Нет</v>
      </c>
      <c r="N1732" s="6" t="str">
        <f>IFERROR(__xludf.DUMMYFUNCTION("""COMPUTED_VALUE"""),"Разметка на проезжей части, новый общественный транспорт")</f>
        <v>Разметка на проезжей части, новый общественный транспорт</v>
      </c>
      <c r="O1732" s="6" t="str">
        <f>IFERROR(__xludf.DUMMYFUNCTION("""COMPUTED_VALUE"""),"Отремонтировать дороги")</f>
        <v>Отремонтировать дороги</v>
      </c>
      <c r="P1732" s="6" t="str">
        <f>IFERROR(__xludf.DUMMYFUNCTION("""COMPUTED_VALUE"""),"Инстаграм")</f>
        <v>Инстаграм</v>
      </c>
      <c r="Q1732" s="6" t="str">
        <f>IFERROR(__xludf.DUMMYFUNCTION("""COMPUTED_VALUE"""),"городская афиша (кино/театр/концерты), интервью с экспертами на разные темы (напишите в разделе Другое свои предложения)")</f>
        <v>городская афиша (кино/театр/концерты), интервью с экспертами на разные темы (напишите в разделе Другое свои предложения)</v>
      </c>
      <c r="R1732" s="6" t="str">
        <f>IFERROR(__xludf.DUMMYFUNCTION("""COMPUTED_VALUE"""),"День города")</f>
        <v>День города</v>
      </c>
      <c r="S1732" s="6" t="str">
        <f>IFERROR(__xludf.DUMMYFUNCTION("""COMPUTED_VALUE"""),"Нет, не приходилось")</f>
        <v>Нет, не приходилось</v>
      </c>
      <c r="T1732" s="6" t="str">
        <f>IFERROR(__xludf.DUMMYFUNCTION("""COMPUTED_VALUE"""),"Не знаю")</f>
        <v>Не знаю</v>
      </c>
      <c r="U1732" s="6" t="str">
        <f>IFERROR(__xludf.DUMMYFUNCTION("""COMPUTED_VALUE"""),"Цум")</f>
        <v>Цум</v>
      </c>
      <c r="V1732" s="6" t="str">
        <f>IFERROR(__xludf.DUMMYFUNCTION("""COMPUTED_VALUE"""),"Не знаю")</f>
        <v>Не знаю</v>
      </c>
      <c r="W1732" s="6" t="str">
        <f>IFERROR(__xludf.DUMMYFUNCTION("""COMPUTED_VALUE"""),"Шебутные")</f>
        <v>Шебутные</v>
      </c>
      <c r="X1732" s="6" t="str">
        <f>IFERROR(__xludf.DUMMYFUNCTION("""COMPUTED_VALUE"""),"Драмтеатр, далее ул. Весенняя, набережная")</f>
        <v>Драмтеатр, далее ул. Весенняя, набережная</v>
      </c>
      <c r="Y1732" s="6" t="str">
        <f>IFERROR(__xludf.DUMMYFUNCTION("""COMPUTED_VALUE"""),"Ремонт и реконструкция бульвара Строителей")</f>
        <v>Ремонт и реконструкция бульвара Строителей</v>
      </c>
      <c r="Z1732" s="6" t="str">
        <f>IFERROR(__xludf.DUMMYFUNCTION("""COMPUTED_VALUE"""),"Строительство культурного кластера")</f>
        <v>Строительство культурного кластера</v>
      </c>
      <c r="AA1732" s="6" t="str">
        <f>IFERROR(__xludf.DUMMYFUNCTION("""COMPUTED_VALUE"""),"Нет")</f>
        <v>Нет</v>
      </c>
      <c r="AB1732" s="6" t="str">
        <f>IFERROR(__xludf.DUMMYFUNCTION("""COMPUTED_VALUE"""),"Нет")</f>
        <v>Нет</v>
      </c>
      <c r="AC1732" s="6" t="str">
        <f>IFERROR(__xludf.DUMMYFUNCTION("""COMPUTED_VALUE"""),"Больше мест, куда можно сходить выходные. Театры, выставки")</f>
        <v>Больше мест, куда можно сходить выходные. Театры, выставки</v>
      </c>
      <c r="AD173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32" s="6" t="str">
        <f>IFERROR(__xludf.DUMMYFUNCTION("""COMPUTED_VALUE"""),"Женский")</f>
        <v>Женский</v>
      </c>
      <c r="AF1732" s="6" t="str">
        <f>IFERROR(__xludf.DUMMYFUNCTION("""COMPUTED_VALUE"""),"45-55")</f>
        <v>45-55</v>
      </c>
      <c r="AG1732" s="6"/>
      <c r="AH1732" s="6"/>
      <c r="AI1732" s="6"/>
      <c r="AJ1732" s="6"/>
      <c r="AK1732" s="6"/>
      <c r="AL1732" s="6"/>
      <c r="AM1732" s="6"/>
    </row>
    <row r="1733">
      <c r="A1733" s="6">
        <v>1732.0</v>
      </c>
      <c r="B1733" s="6" t="str">
        <f>IFERROR(__xludf.DUMMYFUNCTION("""COMPUTED_VALUE"""),"Авиадиспетчер")</f>
        <v>Авиадиспетчер</v>
      </c>
      <c r="C1733" s="6" t="str">
        <f>IFERROR(__xludf.DUMMYFUNCTION("""COMPUTED_VALUE"""),"Дизайн интерьера")</f>
        <v>Дизайн интерьера</v>
      </c>
      <c r="D1733" s="6" t="str">
        <f>IFERROR(__xludf.DUMMYFUNCTION("""COMPUTED_VALUE"""),"Заводский (Южный)")</f>
        <v>Заводский (Южный)</v>
      </c>
      <c r="E1733" s="6" t="str">
        <f>IFERROR(__xludf.DUMMYFUNCTION("""COMPUTED_VALUE"""),"Площадь на Патриотов")</f>
        <v>Площадь на Патриотов</v>
      </c>
      <c r="F1733" s="6" t="str">
        <f>IFERROR(__xludf.DUMMYFUNCTION("""COMPUTED_VALUE"""),"Живу здесь с рождения")</f>
        <v>Живу здесь с рождения</v>
      </c>
      <c r="G1733" s="6" t="str">
        <f>IFERROR(__xludf.DUMMYFUNCTION("""COMPUTED_VALUE"""),"В Комсомольский парк")</f>
        <v>В Комсомольский парк</v>
      </c>
      <c r="H1733" s="6" t="str">
        <f>IFERROR(__xludf.DUMMYFUNCTION("""COMPUTED_VALUE"""),"Зелёный, чистый, безопасный, красивый, комфортный")</f>
        <v>Зелёный, чистый, безопасный, красивый, комфортный</v>
      </c>
      <c r="I1733" s="6" t="str">
        <f>IFERROR(__xludf.DUMMYFUNCTION("""COMPUTED_VALUE"""),"Юрий Двужильный,  Валентина Терешкова")</f>
        <v>Юрий Двужильный,  Валентина Терешкова</v>
      </c>
      <c r="J1733" s="6" t="str">
        <f>IFERROR(__xludf.DUMMYFUNCTION("""COMPUTED_VALUE"""),"Не знаю ")</f>
        <v>Не знаю </v>
      </c>
      <c r="K1733" s="6" t="str">
        <f>IFERROR(__xludf.DUMMYFUNCTION("""COMPUTED_VALUE"""),"Памятник Шахтерам, КУЗБАСС, Набережная, Весенняя, Лесная Поляна")</f>
        <v>Памятник Шахтерам, КУЗБАСС, Набережная, Весенняя, Лесная Поляна</v>
      </c>
      <c r="L1733" s="6" t="str">
        <f>IFERROR(__xludf.DUMMYFUNCTION("""COMPUTED_VALUE"""),"Есть песня, «Человек из Кемерово»")</f>
        <v>Есть песня, «Человек из Кемерово»</v>
      </c>
      <c r="M1733" s="6" t="str">
        <f>IFERROR(__xludf.DUMMYFUNCTION("""COMPUTED_VALUE"""),"Нет")</f>
        <v>Нет</v>
      </c>
      <c r="N1733" s="6" t="str">
        <f>IFERROR(__xludf.DUMMYFUNCTION("""COMPUTED_VALUE"""),"Удобные развязки, ровные дороги, безопасные улицы и пешеходные переходы, современные остановки и современный транспорт, красивый внешний вид ")</f>
        <v>Удобные развязки, ровные дороги, безопасные улицы и пешеходные переходы, современные остановки и современный транспорт, красивый внешний вид </v>
      </c>
      <c r="O1733" s="6" t="str">
        <f>IFERROR(__xludf.DUMMYFUNCTION("""COMPUTED_VALUE"""),"Повлиять на безопасность на дорогах и улицах")</f>
        <v>Повлиять на безопасность на дорогах и улицах</v>
      </c>
      <c r="P1733" s="6" t="str">
        <f>IFERROR(__xludf.DUMMYFUNCTION("""COMPUTED_VALUE"""),"Вк, инстаграм")</f>
        <v>Вк, инстаграм</v>
      </c>
      <c r="Q1733"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v>
      </c>
      <c r="R1733" s="6" t="str">
        <f>IFERROR(__xludf.DUMMYFUNCTION("""COMPUTED_VALUE"""),"Новый Год, День Победы, День Защиты Детей")</f>
        <v>Новый Год, День Победы, День Защиты Детей</v>
      </c>
      <c r="S1733" s="6" t="str">
        <f>IFERROR(__xludf.DUMMYFUNCTION("""COMPUTED_VALUE"""),"Нет, не приходилось")</f>
        <v>Нет, не приходилось</v>
      </c>
      <c r="T1733" s="6" t="str">
        <f>IFERROR(__xludf.DUMMYFUNCTION("""COMPUTED_VALUE"""),"Углём ")</f>
        <v>Углём </v>
      </c>
      <c r="U1733" s="6" t="str">
        <f>IFERROR(__xludf.DUMMYFUNCTION("""COMPUTED_VALUE"""),"Весеннюю улицу")</f>
        <v>Весеннюю улицу</v>
      </c>
      <c r="V1733" s="6" t="str">
        <f>IFERROR(__xludf.DUMMYFUNCTION("""COMPUTED_VALUE"""),"Не знаю ")</f>
        <v>Не знаю </v>
      </c>
      <c r="W1733" s="6" t="str">
        <f>IFERROR(__xludf.DUMMYFUNCTION("""COMPUTED_VALUE"""),"Серьезные")</f>
        <v>Серьезные</v>
      </c>
      <c r="X1733" s="6" t="str">
        <f>IFERROR(__xludf.DUMMYFUNCTION("""COMPUTED_VALUE"""),"Лесная Поляна")</f>
        <v>Лесная Поляна</v>
      </c>
      <c r="Y1733" s="6" t="str">
        <f>IFERROR(__xludf.DUMMYFUNCTION("""COMPUTED_VALUE"""),"Не знаю ")</f>
        <v>Не знаю </v>
      </c>
      <c r="Z1733" s="6" t="str">
        <f>IFERROR(__xludf.DUMMYFUNCTION("""COMPUTED_VALUE"""),"Ёлка за 18 миллионов, очень порадовала)) а вообще, строительство нового терминала. Ещё бы полосу ровную...")</f>
        <v>Ёлка за 18 миллионов, очень порадовала)) а вообще, строительство нового терминала. Ещё бы полосу ровную...</v>
      </c>
      <c r="AA1733" s="6" t="str">
        <f>IFERROR(__xludf.DUMMYFUNCTION("""COMPUTED_VALUE"""),"Знаки 40, ямы на дорогах, неосвещенные дороги, уличное хулиганство")</f>
        <v>Знаки 40, ямы на дорогах, неосвещенные дороги, уличное хулиганство</v>
      </c>
      <c r="AB1733" s="6" t="str">
        <f>IFERROR(__xludf.DUMMYFUNCTION("""COMPUTED_VALUE"""),"Не знаю ")</f>
        <v>Не знаю </v>
      </c>
      <c r="AC1733" s="6" t="str">
        <f>IFERROR(__xludf.DUMMYFUNCTION("""COMPUTED_VALUE"""),"Творческие, современные, концерты, аквапарк, современный парк развлечений")</f>
        <v>Творческие, современные, концерты, аквапарк, современный парк развлечений</v>
      </c>
      <c r="AD173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33" s="6" t="str">
        <f>IFERROR(__xludf.DUMMYFUNCTION("""COMPUTED_VALUE"""),"Женский")</f>
        <v>Женский</v>
      </c>
      <c r="AF1733" s="6" t="str">
        <f>IFERROR(__xludf.DUMMYFUNCTION("""COMPUTED_VALUE"""),"30-44")</f>
        <v>30-44</v>
      </c>
      <c r="AG1733" s="6"/>
      <c r="AH1733" s="6"/>
      <c r="AI1733" s="6"/>
      <c r="AJ1733" s="6"/>
      <c r="AK1733" s="6"/>
      <c r="AL1733" s="6"/>
      <c r="AM1733" s="6"/>
    </row>
    <row r="1734">
      <c r="A1734" s="6">
        <v>1733.0</v>
      </c>
      <c r="B1734" s="6" t="str">
        <f>IFERROR(__xludf.DUMMYFUNCTION("""COMPUTED_VALUE"""),"Работаю. Воспитываю детей.")</f>
        <v>Работаю. Воспитываю детей.</v>
      </c>
      <c r="C1734" s="6" t="str">
        <f>IFERROR(__xludf.DUMMYFUNCTION("""COMPUTED_VALUE"""),"Гулять пешком")</f>
        <v>Гулять пешком</v>
      </c>
      <c r="D1734" s="6" t="str">
        <f>IFERROR(__xludf.DUMMYFUNCTION("""COMPUTED_VALUE"""),"Радуга")</f>
        <v>Радуга</v>
      </c>
      <c r="E1734" s="6" t="str">
        <f>IFERROR(__xludf.DUMMYFUNCTION("""COMPUTED_VALUE"""),"Сосновый бор")</f>
        <v>Сосновый бор</v>
      </c>
      <c r="F1734" s="6" t="str">
        <f>IFERROR(__xludf.DUMMYFUNCTION("""COMPUTED_VALUE"""),"Живу здесь с рождения")</f>
        <v>Живу здесь с рождения</v>
      </c>
      <c r="G1734" s="6" t="str">
        <f>IFERROR(__xludf.DUMMYFUNCTION("""COMPUTED_VALUE"""),"Сосновый бор")</f>
        <v>Сосновый бор</v>
      </c>
      <c r="H1734" s="6" t="str">
        <f>IFERROR(__xludf.DUMMYFUNCTION("""COMPUTED_VALUE"""),"Газ. Стройка. Дети.пробки. Безработица.")</f>
        <v>Газ. Стройка. Дети.пробки. Безработица.</v>
      </c>
      <c r="I1734" s="6" t="str">
        <f>IFERROR(__xludf.DUMMYFUNCTION("""COMPUTED_VALUE"""),"Леонов. Волошина. Волков.")</f>
        <v>Леонов. Волошина. Волков.</v>
      </c>
      <c r="J1734" s="6" t="str">
        <f>IFERROR(__xludf.DUMMYFUNCTION("""COMPUTED_VALUE"""),"Леонов")</f>
        <v>Леонов</v>
      </c>
      <c r="K1734" s="6" t="str">
        <f>IFERROR(__xludf.DUMMYFUNCTION("""COMPUTED_VALUE"""),"Памятник Эрнста Неизвестного, красная горка, ботанический сад")</f>
        <v>Памятник Эрнста Неизвестного, красная горка, ботанический сад</v>
      </c>
      <c r="L1734" s="6" t="str">
        <f>IFERROR(__xludf.DUMMYFUNCTION("""COMPUTED_VALUE"""),"Нет")</f>
        <v>Нет</v>
      </c>
      <c r="M1734" s="6" t="str">
        <f>IFERROR(__xludf.DUMMYFUNCTION("""COMPUTED_VALUE"""),"Нет")</f>
        <v>Нет</v>
      </c>
      <c r="N1734" s="6" t="str">
        <f>IFERROR(__xludf.DUMMYFUNCTION("""COMPUTED_VALUE"""),"Городской транспорт, магазины в доступности вблизи дома,Чистые дворы, ")</f>
        <v>Городской транспорт, магазины в доступности вблизи дома,Чистые дворы, </v>
      </c>
      <c r="O1734" s="6" t="str">
        <f>IFERROR(__xludf.DUMMYFUNCTION("""COMPUTED_VALUE"""),"Власть!")</f>
        <v>Власть!</v>
      </c>
      <c r="P1734" s="6" t="str">
        <f>IFERROR(__xludf.DUMMYFUNCTION("""COMPUTED_VALUE"""),"Инстаграмм, ВКонтакте ")</f>
        <v>Инстаграмм, ВКонтакте </v>
      </c>
      <c r="Q1734" s="6" t="str">
        <f>IFERROR(__xludf.DUMMYFUNCTION("""COMPUTED_VALUE"""),"городская афиша (кино/театр/концерты)")</f>
        <v>городская афиша (кино/театр/концерты)</v>
      </c>
      <c r="R1734" s="6" t="str">
        <f>IFERROR(__xludf.DUMMYFUNCTION("""COMPUTED_VALUE"""),"Масленица. День города. День Шахтера.")</f>
        <v>Масленица. День города. День Шахтера.</v>
      </c>
      <c r="S1734" s="6" t="str">
        <f>IFERROR(__xludf.DUMMYFUNCTION("""COMPUTED_VALUE"""),"Нет, не приходилось")</f>
        <v>Нет, не приходилось</v>
      </c>
      <c r="T1734" s="6" t="str">
        <f>IFERROR(__xludf.DUMMYFUNCTION("""COMPUTED_VALUE"""),"Цирк")</f>
        <v>Цирк</v>
      </c>
      <c r="U1734" s="6" t="str">
        <f>IFERROR(__xludf.DUMMYFUNCTION("""COMPUTED_VALUE"""),"Площадь на Советском.")</f>
        <v>Площадь на Советском.</v>
      </c>
      <c r="V1734" s="6" t="str">
        <f>IFERROR(__xludf.DUMMYFUNCTION("""COMPUTED_VALUE"""),"Достопримечательности города ")</f>
        <v>Достопримечательности города </v>
      </c>
      <c r="W1734" s="6" t="str">
        <f>IFERROR(__xludf.DUMMYFUNCTION("""COMPUTED_VALUE"""),"Разные. Жадные, озлобленные жизнью из-за маленьких зарплат, очередей в больницах и нехватки квалифицированных врачей.")</f>
        <v>Разные. Жадные, озлобленные жизнью из-за маленьких зарплат, очередей в больницах и нехватки квалифицированных врачей.</v>
      </c>
      <c r="X1734" s="6" t="str">
        <f>IFERROR(__xludf.DUMMYFUNCTION("""COMPUTED_VALUE"""),"Набережная Томи")</f>
        <v>Набережная Томи</v>
      </c>
      <c r="Y1734" s="6" t="str">
        <f>IFERROR(__xludf.DUMMYFUNCTION("""COMPUTED_VALUE"""),"День города ")</f>
        <v>День города </v>
      </c>
      <c r="Z1734" s="6" t="str">
        <f>IFERROR(__xludf.DUMMYFUNCTION("""COMPUTED_VALUE"""),"Салют на день города ")</f>
        <v>Салют на день города </v>
      </c>
      <c r="AA1734" s="6" t="str">
        <f>IFERROR(__xludf.DUMMYFUNCTION("""COMPUTED_VALUE"""),"Сильная загазованность!!!
Снижение зарплат и повышение цен на все")</f>
        <v>Сильная загазованность!!!
Снижение зарплат и повышение цен на все</v>
      </c>
      <c r="AB1734" s="6" t="str">
        <f>IFERROR(__xludf.DUMMYFUNCTION("""COMPUTED_VALUE"""),"Бесплатных кружков и лагерей доя детей ")</f>
        <v>Бесплатных кружков и лагерей доя детей </v>
      </c>
      <c r="AC1734" s="6" t="str">
        <f>IFERROR(__xludf.DUMMYFUNCTION("""COMPUTED_VALUE"""),"Бассейн на радуге ")</f>
        <v>Бассейн на радуге </v>
      </c>
      <c r="AD173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34" s="6" t="str">
        <f>IFERROR(__xludf.DUMMYFUNCTION("""COMPUTED_VALUE"""),"Женский")</f>
        <v>Женский</v>
      </c>
      <c r="AF1734" s="6" t="str">
        <f>IFERROR(__xludf.DUMMYFUNCTION("""COMPUTED_VALUE"""),"30-44")</f>
        <v>30-44</v>
      </c>
      <c r="AG1734" s="6"/>
      <c r="AH1734" s="6"/>
      <c r="AI1734" s="6"/>
      <c r="AJ1734" s="6"/>
      <c r="AK1734" s="6"/>
      <c r="AL1734" s="6"/>
      <c r="AM1734" s="6"/>
    </row>
    <row r="1735">
      <c r="A1735" s="6">
        <v>1734.0</v>
      </c>
      <c r="B1735" s="6" t="str">
        <f>IFERROR(__xludf.DUMMYFUNCTION("""COMPUTED_VALUE"""),"ИП косметика")</f>
        <v>ИП косметика</v>
      </c>
      <c r="C1735" s="6" t="str">
        <f>IFERROR(__xludf.DUMMYFUNCTION("""COMPUTED_VALUE"""),"Рисование")</f>
        <v>Рисование</v>
      </c>
      <c r="D1735" s="6" t="str">
        <f>IFERROR(__xludf.DUMMYFUNCTION("""COMPUTED_VALUE"""),"Лесная поляна. Так и называю")</f>
        <v>Лесная поляна. Так и называю</v>
      </c>
      <c r="E1735" s="6" t="str">
        <f>IFERROR(__xludf.DUMMYFUNCTION("""COMPUTED_VALUE"""),"Парк, Лес куда ходим гулять и там очень красиво.")</f>
        <v>Парк, Лес куда ходим гулять и там очень красиво.</v>
      </c>
      <c r="F1735" s="6" t="str">
        <f>IFERROR(__xludf.DUMMYFUNCTION("""COMPUTED_VALUE"""),"Живу здесь с рождения")</f>
        <v>Живу здесь с рождения</v>
      </c>
      <c r="G1735" s="6" t="str">
        <f>IFERROR(__xludf.DUMMYFUNCTION("""COMPUTED_VALUE"""),"Гуляю только в Лесной поляне. Ибо только у нас красиво.")</f>
        <v>Гуляю только в Лесной поляне. Ибо только у нас красиво.</v>
      </c>
      <c r="H1735" s="6" t="str">
        <f>IFERROR(__xludf.DUMMYFUNCTION("""COMPUTED_VALUE"""),"Кемерово-загазованный, тупик, серый, уютный, некультурный")</f>
        <v>Кемерово-загазованный, тупик, серый, уютный, некультурный</v>
      </c>
      <c r="I1735" s="6" t="str">
        <f>IFERROR(__xludf.DUMMYFUNCTION("""COMPUTED_VALUE"""),"Подгорбунский, Леонов, ")</f>
        <v>Подгорбунский, Леонов, </v>
      </c>
      <c r="J1735" s="6" t="str">
        <f>IFERROR(__xludf.DUMMYFUNCTION("""COMPUTED_VALUE"""),"Тулеев и Михайлов")</f>
        <v>Тулеев и Михайлов</v>
      </c>
      <c r="K1735" s="6" t="str">
        <f>IFERROR(__xludf.DUMMYFUNCTION("""COMPUTED_VALUE"""),"Лесную поляну всем показываю")</f>
        <v>Лесную поляну всем показываю</v>
      </c>
      <c r="L1735" s="6" t="str">
        <f>IFERROR(__xludf.DUMMYFUNCTION("""COMPUTED_VALUE"""),"Нет таких")</f>
        <v>Нет таких</v>
      </c>
      <c r="M1735" s="6" t="str">
        <f>IFERROR(__xludf.DUMMYFUNCTION("""COMPUTED_VALUE"""),"Я культурный сибирский человек нет таких выражений.")</f>
        <v>Я культурный сибирский человек нет таких выражений.</v>
      </c>
      <c r="N1735" s="6" t="str">
        <f>IFERROR(__xludf.DUMMYFUNCTION("""COMPUTED_VALUE"""),"Транспорт, еще бы одну карту завели для проезда. Природа, больше лавок и фонтанов. Кинозалы. Из центра переселить административные органы.")</f>
        <v>Транспорт, еще бы одну карту завели для проезда. Природа, больше лавок и фонтанов. Кинозалы. Из центра переселить административные органы.</v>
      </c>
      <c r="O1735" s="6" t="str">
        <f>IFERROR(__xludf.DUMMYFUNCTION("""COMPUTED_VALUE"""),"Экологию.  ")</f>
        <v>Экологию.  </v>
      </c>
      <c r="P1735" s="6" t="str">
        <f>IFERROR(__xludf.DUMMYFUNCTION("""COMPUTED_VALUE"""),"Инстаграмм")</f>
        <v>Инстаграмм</v>
      </c>
      <c r="Q1735" s="6" t="str">
        <f>IFERROR(__xludf.DUMMYFUNCTION("""COMPUTED_VALUE"""),"где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f>
        <v>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v>
      </c>
      <c r="R1735" s="6" t="str">
        <f>IFERROR(__xludf.DUMMYFUNCTION("""COMPUTED_VALUE"""),"9 мая")</f>
        <v>9 мая</v>
      </c>
      <c r="S1735" s="6" t="str">
        <f>IFERROR(__xludf.DUMMYFUNCTION("""COMPUTED_VALUE"""),"Писал и расклеивал объявления/афиши")</f>
        <v>Писал и расклеивал объявления/афиши</v>
      </c>
      <c r="T1735" s="6" t="str">
        <f>IFERROR(__xludf.DUMMYFUNCTION("""COMPUTED_VALUE"""),"Криминалом он знаменит. Так и пестрит всегда в новостях. Уж таковы реалии.")</f>
        <v>Криминалом он знаменит. Так и пестрит всегда в новостях. Уж таковы реалии.</v>
      </c>
      <c r="U1735" s="6" t="str">
        <f>IFERROR(__xludf.DUMMYFUNCTION("""COMPUTED_VALUE"""),"Центр и есть")</f>
        <v>Центр и есть</v>
      </c>
      <c r="V1735" s="6" t="str">
        <f>IFERROR(__xludf.DUMMYFUNCTION("""COMPUTED_VALUE"""),"Построили хорошие больницы. Заводы. Парки просто в 93 все это угробили. А заново создавать тяжело и никто ни хочет. ")</f>
        <v>Построили хорошие больницы. Заводы. Парки просто в 93 все это угробили. А заново создавать тяжело и никто ни хочет. </v>
      </c>
      <c r="W1735" s="6" t="str">
        <f>IFERROR(__xludf.DUMMYFUNCTION("""COMPUTED_VALUE"""),"Гопники. Есть культурные не так уж и много. Все культурные люди уезжают.")</f>
        <v>Гопники. Есть культурные не так уж и много. Все культурные люди уезжают.</v>
      </c>
      <c r="X1735" s="6" t="str">
        <f>IFERROR(__xludf.DUMMYFUNCTION("""COMPUTED_VALUE"""),"Набережная")</f>
        <v>Набережная</v>
      </c>
      <c r="Y1735" s="6" t="str">
        <f>IFERROR(__xludf.DUMMYFUNCTION("""COMPUTED_VALUE"""),"Нет таких")</f>
        <v>Нет таких</v>
      </c>
      <c r="Z1735" s="6" t="str">
        <f>IFERROR(__xludf.DUMMYFUNCTION("""COMPUTED_VALUE"""),"Стройка ледового дворца")</f>
        <v>Стройка ледового дворца</v>
      </c>
      <c r="AA1735" s="6" t="str">
        <f>IFERROR(__xludf.DUMMYFUNCTION("""COMPUTED_VALUE"""),"Убийство девушки 23 парнем. И нереагирование милиции.")</f>
        <v>Убийство девушки 23 парнем. И нереагирование милиции.</v>
      </c>
      <c r="AB1735" s="6" t="str">
        <f>IFERROR(__xludf.DUMMYFUNCTION("""COMPUTED_VALUE"""),"Хватает")</f>
        <v>Хватает</v>
      </c>
      <c r="AC1735" s="6" t="str">
        <f>IFERROR(__xludf.DUMMYFUNCTION("""COMPUTED_VALUE"""),"Спортивных")</f>
        <v>Спортивных</v>
      </c>
      <c r="AD173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35" s="6" t="str">
        <f>IFERROR(__xludf.DUMMYFUNCTION("""COMPUTED_VALUE"""),"Женский")</f>
        <v>Женский</v>
      </c>
      <c r="AF1735" s="6" t="str">
        <f>IFERROR(__xludf.DUMMYFUNCTION("""COMPUTED_VALUE"""),"30-44")</f>
        <v>30-44</v>
      </c>
      <c r="AG1735" s="6"/>
      <c r="AH1735" s="6"/>
      <c r="AI1735" s="6"/>
      <c r="AJ1735" s="6"/>
      <c r="AK1735" s="6"/>
      <c r="AL1735" s="6"/>
      <c r="AM1735" s="6"/>
    </row>
    <row r="1736">
      <c r="A1736" s="6">
        <v>1735.0</v>
      </c>
      <c r="B1736" s="6" t="str">
        <f>IFERROR(__xludf.DUMMYFUNCTION("""COMPUTED_VALUE"""),"Учусь")</f>
        <v>Учусь</v>
      </c>
      <c r="C1736" s="6" t="str">
        <f>IFERROR(__xludf.DUMMYFUNCTION("""COMPUTED_VALUE"""),"Увлекаюсь автомобилями")</f>
        <v>Увлекаюсь автомобилями</v>
      </c>
      <c r="D1736" s="6" t="str">
        <f>IFERROR(__xludf.DUMMYFUNCTION("""COMPUTED_VALUE"""),"Южный")</f>
        <v>Южный</v>
      </c>
      <c r="E1736" s="6" t="str">
        <f>IFERROR(__xludf.DUMMYFUNCTION("""COMPUTED_VALUE"""),"Аллея")</f>
        <v>Аллея</v>
      </c>
      <c r="F1736" s="6" t="str">
        <f>IFERROR(__xludf.DUMMYFUNCTION("""COMPUTED_VALUE"""),"Живу здесь с рождения")</f>
        <v>Живу здесь с рождения</v>
      </c>
      <c r="G1736" s="6" t="str">
        <f>IFERROR(__xludf.DUMMYFUNCTION("""COMPUTED_VALUE"""),"Никуда")</f>
        <v>Никуда</v>
      </c>
      <c r="H1736" s="6" t="str">
        <f>IFERROR(__xludf.DUMMYFUNCTION("""COMPUTED_VALUE"""),"Хз")</f>
        <v>Хз</v>
      </c>
      <c r="I1736" s="6" t="str">
        <f>IFERROR(__xludf.DUMMYFUNCTION("""COMPUTED_VALUE"""),"Михайло Волков ")</f>
        <v>Михайло Волков </v>
      </c>
      <c r="J1736" s="6" t="str">
        <f>IFERROR(__xludf.DUMMYFUNCTION("""COMPUTED_VALUE"""),"Леонов")</f>
        <v>Леонов</v>
      </c>
      <c r="K1736" s="6" t="str">
        <f>IFERROR(__xludf.DUMMYFUNCTION("""COMPUTED_VALUE"""),"Фонтан в центре")</f>
        <v>Фонтан в центре</v>
      </c>
      <c r="L1736" s="6" t="str">
        <f>IFERROR(__xludf.DUMMYFUNCTION("""COMPUTED_VALUE"""),"Южный никому не нужный")</f>
        <v>Южный никому не нужный</v>
      </c>
      <c r="M1736" s="6" t="str">
        <f>IFERROR(__xludf.DUMMYFUNCTION("""COMPUTED_VALUE"""),"Нет")</f>
        <v>Нет</v>
      </c>
      <c r="N1736" s="6" t="str">
        <f>IFERROR(__xludf.DUMMYFUNCTION("""COMPUTED_VALUE"""),"Отсутствие огромного траффика 
Маршрутные транспортные средства 
")</f>
        <v>Отсутствие огромного траффика 
Маршрутные транспортные средства 
</v>
      </c>
      <c r="O1736" s="6" t="str">
        <f>IFERROR(__xludf.DUMMYFUNCTION("""COMPUTED_VALUE"""),"Дороги")</f>
        <v>Дороги</v>
      </c>
      <c r="P1736" s="6" t="str">
        <f>IFERROR(__xludf.DUMMYFUNCTION("""COMPUTED_VALUE"""),"ВКонтакте ")</f>
        <v>ВКонтакте </v>
      </c>
      <c r="Q1736"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1736" s="6" t="str">
        <f>IFERROR(__xludf.DUMMYFUNCTION("""COMPUTED_VALUE"""),"Новый год")</f>
        <v>Новый год</v>
      </c>
      <c r="S1736" s="6" t="str">
        <f>IFERROR(__xludf.DUMMYFUNCTION("""COMPUTED_VALUE"""),"Нет, не приходилось")</f>
        <v>Нет, не приходилось</v>
      </c>
      <c r="T1736" s="6" t="str">
        <f>IFERROR(__xludf.DUMMYFUNCTION("""COMPUTED_VALUE"""),"Ничем ")</f>
        <v>Ничем </v>
      </c>
      <c r="U1736" s="6" t="str">
        <f>IFERROR(__xludf.DUMMYFUNCTION("""COMPUTED_VALUE"""),"Памятник Ленина ")</f>
        <v>Памятник Ленина </v>
      </c>
      <c r="V1736" s="6" t="str">
        <f>IFERROR(__xludf.DUMMYFUNCTION("""COMPUTED_VALUE"""),"Не знаю")</f>
        <v>Не знаю</v>
      </c>
      <c r="W1736" s="6" t="str">
        <f>IFERROR(__xludf.DUMMYFUNCTION("""COMPUTED_VALUE"""),"Грубые
Злые
Наглые")</f>
        <v>Грубые
Злые
Наглые</v>
      </c>
      <c r="X1736" s="6" t="str">
        <f>IFERROR(__xludf.DUMMYFUNCTION("""COMPUTED_VALUE"""),"По южному")</f>
        <v>По южному</v>
      </c>
      <c r="Y1736" s="6" t="str">
        <f>IFERROR(__xludf.DUMMYFUNCTION("""COMPUTED_VALUE"""),"Пожар в зимней вишне")</f>
        <v>Пожар в зимней вишне</v>
      </c>
      <c r="Z1736" s="6" t="str">
        <f>IFERROR(__xludf.DUMMYFUNCTION("""COMPUTED_VALUE"""),"Никакие ")</f>
        <v>Никакие </v>
      </c>
      <c r="AA1736" s="6" t="str">
        <f>IFERROR(__xludf.DUMMYFUNCTION("""COMPUTED_VALUE"""),"Пожар в ТЦ Зимняя вишня")</f>
        <v>Пожар в ТЦ Зимняя вишня</v>
      </c>
      <c r="AB1736" s="6" t="str">
        <f>IFERROR(__xludf.DUMMYFUNCTION("""COMPUTED_VALUE"""),"Не знаю")</f>
        <v>Не знаю</v>
      </c>
      <c r="AC1736" s="6" t="str">
        <f>IFERROR(__xludf.DUMMYFUNCTION("""COMPUTED_VALUE"""),"Соревнования по BMX")</f>
        <v>Соревнования по BMX</v>
      </c>
      <c r="AD173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36" s="6" t="str">
        <f>IFERROR(__xludf.DUMMYFUNCTION("""COMPUTED_VALUE"""),"Мужской")</f>
        <v>Мужской</v>
      </c>
      <c r="AF1736" s="6" t="str">
        <f>IFERROR(__xludf.DUMMYFUNCTION("""COMPUTED_VALUE"""),"18-29")</f>
        <v>18-29</v>
      </c>
      <c r="AG1736" s="6"/>
      <c r="AH1736" s="6"/>
      <c r="AI1736" s="6"/>
      <c r="AJ1736" s="6"/>
      <c r="AK1736" s="6"/>
      <c r="AL1736" s="6"/>
      <c r="AM1736" s="6"/>
    </row>
    <row r="1737">
      <c r="A1737" s="6">
        <v>1736.0</v>
      </c>
      <c r="B1737" s="6" t="str">
        <f>IFERROR(__xludf.DUMMYFUNCTION("""COMPUTED_VALUE"""),"Охрана")</f>
        <v>Охрана</v>
      </c>
      <c r="C1737" s="6" t="str">
        <f>IFERROR(__xludf.DUMMYFUNCTION("""COMPUTED_VALUE"""),"Путешествия")</f>
        <v>Путешествия</v>
      </c>
      <c r="D1737" s="6" t="str">
        <f>IFERROR(__xludf.DUMMYFUNCTION("""COMPUTED_VALUE"""),"Шалго")</f>
        <v>Шалго</v>
      </c>
      <c r="E1737" s="6" t="str">
        <f>IFERROR(__xludf.DUMMYFUNCTION("""COMPUTED_VALUE"""),"Б. Строителей,Кадетка, озеро, Кузбасский Ботанический сад")</f>
        <v>Б. Строителей,Кадетка, озеро, Кузбасский Ботанический сад</v>
      </c>
      <c r="F1737" s="6" t="str">
        <f>IFERROR(__xludf.DUMMYFUNCTION("""COMPUTED_VALUE"""),"Живу здесь с рождения")</f>
        <v>Живу здесь с рождения</v>
      </c>
      <c r="G1737" s="6" t="str">
        <f>IFERROR(__xludf.DUMMYFUNCTION("""COMPUTED_VALUE"""),"Озеро Красное, Ботанический сад, ТЦ Лето,летом Детская Железная Дорога 🚂")</f>
        <v>Озеро Красное, Ботанический сад, ТЦ Лето,летом Детская Железная Дорога 🚂</v>
      </c>
      <c r="H1737" s="6" t="str">
        <f>IFERROR(__xludf.DUMMYFUNCTION("""COMPUTED_VALUE"""),"Уголь и медведи,Парк Чудес, Набережная и Памятник погибшим воинам. ")</f>
        <v>Уголь и медведи,Парк Чудес, Набережная и Памятник погибшим воинам. </v>
      </c>
      <c r="I1737" s="6" t="str">
        <f>IFERROR(__xludf.DUMMYFUNCTION("""COMPUTED_VALUE"""),"Михайло Волков.")</f>
        <v>Михайло Волков.</v>
      </c>
      <c r="J1737" s="6" t="str">
        <f>IFERROR(__xludf.DUMMYFUNCTION("""COMPUTED_VALUE"""),"Тулеев")</f>
        <v>Тулеев</v>
      </c>
      <c r="K1737" s="6" t="str">
        <f>IFERROR(__xludf.DUMMYFUNCTION("""COMPUTED_VALUE"""),"Зимнюю купель Ксении Блаженной,Осенний Лес в Осиновке,летний пейзаж со склона за лагерем Звездный и пламя.")</f>
        <v>Зимнюю купель Ксении Блаженной,Осенний Лес в Осиновке,летний пейзаж со склона за лагерем Звездный и пламя.</v>
      </c>
      <c r="L1737" s="6" t="str">
        <f>IFERROR(__xludf.DUMMYFUNCTION("""COMPUTED_VALUE"""),"Гладко было на бумаге,да забыли про овраги. А по ним ходить!?")</f>
        <v>Гладко было на бумаге,да забыли про овраги. А по ним ходить!?</v>
      </c>
      <c r="M1737" s="6" t="str">
        <f>IFERROR(__xludf.DUMMYFUNCTION("""COMPUTED_VALUE"""),"Геша( Шерегеш)")</f>
        <v>Геша( Шерегеш)</v>
      </c>
      <c r="N1737" s="6" t="str">
        <f>IFERROR(__xludf.DUMMYFUNCTION("""COMPUTED_VALUE"""),"Свежий воздух надо")</f>
        <v>Свежий воздух надо</v>
      </c>
      <c r="O1737" s="6" t="str">
        <f>IFERROR(__xludf.DUMMYFUNCTION("""COMPUTED_VALUE"""),"Уменьшить ПДК вредных заводских выбросов в атмосферу")</f>
        <v>Уменьшить ПДК вредных заводских выбросов в атмосферу</v>
      </c>
      <c r="P1737" s="6" t="str">
        <f>IFERROR(__xludf.DUMMYFUNCTION("""COMPUTED_VALUE"""),"Все СМИ")</f>
        <v>Все СМИ</v>
      </c>
      <c r="Q1737"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1737" s="6" t="str">
        <f>IFERROR(__xludf.DUMMYFUNCTION("""COMPUTED_VALUE"""),"Никакие")</f>
        <v>Никакие</v>
      </c>
      <c r="S1737" s="6" t="str">
        <f>IFERROR(__xludf.DUMMYFUNCTION("""COMPUTED_VALUE"""),"Доставка поздравлений ветеранам ВОВ")</f>
        <v>Доставка поздравлений ветеранам ВОВ</v>
      </c>
      <c r="T1737" s="6" t="str">
        <f>IFERROR(__xludf.DUMMYFUNCTION("""COMPUTED_VALUE"""),"Заводами,шахтами")</f>
        <v>Заводами,шахтами</v>
      </c>
      <c r="U1737" s="6" t="str">
        <f>IFERROR(__xludf.DUMMYFUNCTION("""COMPUTED_VALUE"""),"Ул. Весенняя")</f>
        <v>Ул. Весенняя</v>
      </c>
      <c r="V1737" s="6" t="str">
        <f>IFERROR(__xludf.DUMMYFUNCTION("""COMPUTED_VALUE"""),"Работали по стахановски")</f>
        <v>Работали по стахановски</v>
      </c>
      <c r="W1737" s="6" t="str">
        <f>IFERROR(__xludf.DUMMYFUNCTION("""COMPUTED_VALUE"""),"Любознательные")</f>
        <v>Любознательные</v>
      </c>
      <c r="X1737" s="6" t="str">
        <f>IFERROR(__xludf.DUMMYFUNCTION("""COMPUTED_VALUE"""),"Ул.Весенняя")</f>
        <v>Ул.Весенняя</v>
      </c>
      <c r="Y1737" s="6" t="str">
        <f>IFERROR(__xludf.DUMMYFUNCTION("""COMPUTED_VALUE"""),"Томская писаница")</f>
        <v>Томская писаница</v>
      </c>
      <c r="Z1737" s="6" t="str">
        <f>IFERROR(__xludf.DUMMYFUNCTION("""COMPUTED_VALUE"""),"Президент,Кадет, училище")</f>
        <v>Президент,Кадет, училище</v>
      </c>
      <c r="AA1737" s="6" t="str">
        <f>IFERROR(__xludf.DUMMYFUNCTION("""COMPUTED_VALUE"""),"Митинги за Навального не нужны")</f>
        <v>Митинги за Навального не нужны</v>
      </c>
      <c r="AB1737" s="6" t="str">
        <f>IFERROR(__xludf.DUMMYFUNCTION("""COMPUTED_VALUE"""),"Нептун и русалка")</f>
        <v>Нептун и русалка</v>
      </c>
      <c r="AC1737" s="6" t="str">
        <f>IFERROR(__xludf.DUMMYFUNCTION("""COMPUTED_VALUE"""),"Праздник Кедрового орешка")</f>
        <v>Праздник Кедрового орешка</v>
      </c>
      <c r="AD173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37" s="6" t="str">
        <f>IFERROR(__xludf.DUMMYFUNCTION("""COMPUTED_VALUE"""),"Женский")</f>
        <v>Женский</v>
      </c>
      <c r="AF1737" s="6" t="str">
        <f>IFERROR(__xludf.DUMMYFUNCTION("""COMPUTED_VALUE"""),"45-55")</f>
        <v>45-55</v>
      </c>
      <c r="AG1737" s="6"/>
      <c r="AH1737" s="6"/>
      <c r="AI1737" s="6"/>
      <c r="AJ1737" s="6"/>
      <c r="AK1737" s="6"/>
      <c r="AL1737" s="6"/>
      <c r="AM1737" s="6"/>
    </row>
    <row r="1738">
      <c r="A1738" s="6">
        <v>1737.0</v>
      </c>
      <c r="B1738" s="6" t="str">
        <f>IFERROR(__xludf.DUMMYFUNCTION("""COMPUTED_VALUE"""),"Коммерческая деятельность")</f>
        <v>Коммерческая деятельность</v>
      </c>
      <c r="C1738" s="6" t="str">
        <f>IFERROR(__xludf.DUMMYFUNCTION("""COMPUTED_VALUE"""),"Книги, гулять с собакой ")</f>
        <v>Книги, гулять с собакой </v>
      </c>
      <c r="D1738" s="6" t="str">
        <f>IFERROR(__xludf.DUMMYFUNCTION("""COMPUTED_VALUE"""),"Ленинский -спальный)")</f>
        <v>Ленинский -спальный)</v>
      </c>
      <c r="E1738" s="6" t="str">
        <f>IFERROR(__xludf.DUMMYFUNCTION("""COMPUTED_VALUE"""),"Бр.Строителей, храм Св.Троицы, спортивный комплекс Кузбасс, парк Кузбасский")</f>
        <v>Бр.Строителей, храм Св.Троицы, спортивный комплекс Кузбасс, парк Кузбасский</v>
      </c>
      <c r="F1738" s="6" t="str">
        <f>IFERROR(__xludf.DUMMYFUNCTION("""COMPUTED_VALUE"""),"Живу здесь с рождения")</f>
        <v>Живу здесь с рождения</v>
      </c>
      <c r="G1738" s="6" t="str">
        <f>IFERROR(__xludf.DUMMYFUNCTION("""COMPUTED_VALUE"""),"Сосновый Бор, ул. Весенняя, набережная, Бр.Строителей ")</f>
        <v>Сосновый Бор, ул. Весенняя, набережная, Бр.Строителей </v>
      </c>
      <c r="H1738" s="6" t="str">
        <f>IFERROR(__xludf.DUMMYFUNCTION("""COMPUTED_VALUE"""),"Памятник погибшим Шахтерам Э. Неизвестного, музей-заповедник «Красная Горка», Томская писаница, набережная реки Томь")</f>
        <v>Памятник погибшим Шахтерам Э. Неизвестного, музей-заповедник «Красная Горка», Томская писаница, набережная реки Томь</v>
      </c>
      <c r="I1738" s="6" t="str">
        <f>IFERROR(__xludf.DUMMYFUNCTION("""COMPUTED_VALUE"""),"Мартемьянов, Леонов, Волков")</f>
        <v>Мартемьянов, Леонов, Волков</v>
      </c>
      <c r="J1738" s="6" t="str">
        <f>IFERROR(__xludf.DUMMYFUNCTION("""COMPUTED_VALUE"""),"Аман Тулеев, Владимир Михайлов, Андрей Панин, Евгений Гришковец, Михаил Подгорбунский, Виталий Раздаев, Владимир Машков")</f>
        <v>Аман Тулеев, Владимир Михайлов, Андрей Панин, Евгений Гришковец, Михаил Подгорбунский, Виталий Раздаев, Владимир Машков</v>
      </c>
      <c r="K1738" s="6" t="str">
        <f>IFERROR(__xludf.DUMMYFUNCTION("""COMPUTED_VALUE"""),"Томская писаница, Бр.Строителей, Красная горка,  фонтан, Весенняя, Сосновый бор")</f>
        <v>Томская писаница, Бр.Строителей, Красная горка,  фонтан, Весенняя, Сосновый бор</v>
      </c>
      <c r="L1738" s="6" t="str">
        <f>IFERROR(__xludf.DUMMYFUNCTION("""COMPUTED_VALUE"""),"Человек из Кемерово")</f>
        <v>Человек из Кемерово</v>
      </c>
      <c r="M1738" s="6" t="str">
        <f>IFERROR(__xludf.DUMMYFUNCTION("""COMPUTED_VALUE"""),"Человек из Кемерово ")</f>
        <v>Человек из Кемерово </v>
      </c>
      <c r="N1738" s="6" t="str">
        <f>IFERROR(__xludf.DUMMYFUNCTION("""COMPUTED_VALUE"""),"Чистый воздух, Вода-экология в целом, налаженные инфраструктуры")</f>
        <v>Чистый воздух, Вода-экология в целом, налаженные инфраструктуры</v>
      </c>
      <c r="O1738" s="6" t="str">
        <f>IFERROR(__xludf.DUMMYFUNCTION("""COMPUTED_VALUE"""),"Отношение к природе, к сельхозугодьям, лесам, чтобы не один «лунный пейзаж» росле нас остался после разрезов и шахт- уделять внимание бездомным животным-развивать приюты, привлекать волонтеров")</f>
        <v>Отношение к природе, к сельхозугодьям, лесам, чтобы не один «лунный пейзаж» росле нас остался после разрезов и шахт- уделять внимание бездомным животным-развивать приюты, привлекать волонтеров</v>
      </c>
      <c r="P1738" s="6" t="str">
        <f>IFERROR(__xludf.DUMMYFUNCTION("""COMPUTED_VALUE"""),"Новостные сайты")</f>
        <v>Новостные сайты</v>
      </c>
      <c r="Q173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(рейтинги/а"&amp;"налитика/тенденции),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738" s="6" t="str">
        <f>IFERROR(__xludf.DUMMYFUNCTION("""COMPUTED_VALUE"""),"Пасха, день города, день Шахтера, Новый год")</f>
        <v>Пасха, день города, день Шахтера, Новый год</v>
      </c>
      <c r="S1738" s="6" t="str">
        <f>IFERROR(__xludf.DUMMYFUNCTION("""COMPUTED_VALUE"""),"Нет, не приходилось")</f>
        <v>Нет, не приходилось</v>
      </c>
      <c r="T1738" s="6" t="str">
        <f>IFERROR(__xludf.DUMMYFUNCTION("""COMPUTED_VALUE"""),"Больше как угольный бассейн, плохой экологией, массовым оттоком молодежи")</f>
        <v>Больше как угольный бассейн, плохой экологией, массовым оттоком молодежи</v>
      </c>
      <c r="U1738" s="6" t="str">
        <f>IFERROR(__xludf.DUMMYFUNCTION("""COMPUTED_VALUE"""),"Фонтан, Драмтеатр, площадь Пушкина")</f>
        <v>Фонтан, Драмтеатр, площадь Пушкина</v>
      </c>
      <c r="V1738" s="6" t="str">
        <f>IFERROR(__xludf.DUMMYFUNCTION("""COMPUTED_VALUE"""),"Самоотверженный труд шахтеров")</f>
        <v>Самоотверженный труд шахтеров</v>
      </c>
      <c r="W1738" s="6" t="str">
        <f>IFERROR(__xludf.DUMMYFUNCTION("""COMPUTED_VALUE"""),"Готовы всегда придти на помощь")</f>
        <v>Готовы всегда придти на помощь</v>
      </c>
      <c r="X1738" s="6" t="str">
        <f>IFERROR(__xludf.DUMMYFUNCTION("""COMPUTED_VALUE"""),"Набережная, Весенняя, фонтан, красная горка")</f>
        <v>Набережная, Весенняя, фонтан, красная горка</v>
      </c>
      <c r="Y1738" s="6" t="str">
        <f>IFERROR(__xludf.DUMMYFUNCTION("""COMPUTED_VALUE"""),"театр «Ложа» , «Молодежка»")</f>
        <v>театр «Ложа» , «Молодежка»</v>
      </c>
      <c r="Z1738" s="6" t="str">
        <f>IFERROR(__xludf.DUMMYFUNCTION("""COMPUTED_VALUE"""),"Строительство Притомского проспекта")</f>
        <v>Строительство Притомского проспекта</v>
      </c>
      <c r="AA1738" s="6" t="str">
        <f>IFERROR(__xludf.DUMMYFUNCTION("""COMPUTED_VALUE"""),"Продажа сельхозугодий угледобывающим предприятиям")</f>
        <v>Продажа сельхозугодий угледобывающим предприятиям</v>
      </c>
      <c r="AB1738" s="6" t="str">
        <f>IFERROR(__xludf.DUMMYFUNCTION("""COMPUTED_VALUE"""),"Развитие волонтерского движения")</f>
        <v>Развитие волонтерского движения</v>
      </c>
      <c r="AC1738" s="6" t="str">
        <f>IFERROR(__xludf.DUMMYFUNCTION("""COMPUTED_VALUE"""),"Изменить экологию")</f>
        <v>Изменить экологию</v>
      </c>
      <c r="AD173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Волонтера: оказать любую посильную помощь непосредственно во время реализации проекта</v>
      </c>
      <c r="AE1738" s="6" t="str">
        <f>IFERROR(__xludf.DUMMYFUNCTION("""COMPUTED_VALUE"""),"Женский")</f>
        <v>Женский</v>
      </c>
      <c r="AF1738" s="6" t="str">
        <f>IFERROR(__xludf.DUMMYFUNCTION("""COMPUTED_VALUE"""),"45-55")</f>
        <v>45-55</v>
      </c>
      <c r="AG1738" s="6"/>
      <c r="AH1738" s="6"/>
      <c r="AI1738" s="6"/>
      <c r="AJ1738" s="6"/>
      <c r="AK1738" s="6"/>
      <c r="AL1738" s="6"/>
      <c r="AM1738" s="6"/>
    </row>
    <row r="1739">
      <c r="A1739" s="6">
        <v>1738.0</v>
      </c>
      <c r="B1739" s="6" t="str">
        <f>IFERROR(__xludf.DUMMYFUNCTION("""COMPUTED_VALUE"""),"Грузоперевозки")</f>
        <v>Грузоперевозки</v>
      </c>
      <c r="C1739" s="6" t="str">
        <f>IFERROR(__xludf.DUMMYFUNCTION("""COMPUTED_VALUE"""),"Да футбол")</f>
        <v>Да футбол</v>
      </c>
      <c r="D1739" s="6" t="str">
        <f>IFERROR(__xludf.DUMMYFUNCTION("""COMPUTED_VALUE"""),"Новостройка")</f>
        <v>Новостройка</v>
      </c>
      <c r="E1739" s="6" t="str">
        <f>IFERROR(__xludf.DUMMYFUNCTION("""COMPUTED_VALUE"""),"Стадион, которым никто не занимается!")</f>
        <v>Стадион, которым никто не занимается!</v>
      </c>
      <c r="F1739" s="6" t="str">
        <f>IFERROR(__xludf.DUMMYFUNCTION("""COMPUTED_VALUE"""),"Живу здесь с рождения")</f>
        <v>Живу здесь с рождения</v>
      </c>
      <c r="G1739" s="6" t="str">
        <f>IFERROR(__xludf.DUMMYFUNCTION("""COMPUTED_VALUE"""),"Никуда")</f>
        <v>Никуда</v>
      </c>
      <c r="H1739" s="6" t="str">
        <f>IFERROR(__xludf.DUMMYFUNCTION("""COMPUTED_VALUE"""),"Уголь, бардак, грязь, отсутствие красоты")</f>
        <v>Уголь, бардак, грязь, отсутствие красоты</v>
      </c>
      <c r="I1739" s="6" t="str">
        <f>IFERROR(__xludf.DUMMYFUNCTION("""COMPUTED_VALUE"""),", Щорс НИКОЛАЙ, АРБАЧАКОВ, мацуков Кузьма ")</f>
        <v>, Щорс НИКОЛАЙ, АРБАЧАКОВ, мацуков Кузьма </v>
      </c>
      <c r="J1739" s="6" t="str">
        <f>IFERROR(__xludf.DUMMYFUNCTION("""COMPUTED_VALUE"""),"Быков Михаил, Вячеслав онищенко")</f>
        <v>Быков Михаил, Вячеслав онищенко</v>
      </c>
      <c r="K1739" s="6" t="str">
        <f>IFERROR(__xludf.DUMMYFUNCTION("""COMPUTED_VALUE"""),"Никакие! Все одно и тоже")</f>
        <v>Никакие! Все одно и тоже</v>
      </c>
      <c r="L1739" s="6" t="str">
        <f>IFERROR(__xludf.DUMMYFUNCTION("""COMPUTED_VALUE"""),"Незнаю")</f>
        <v>Незнаю</v>
      </c>
      <c r="M1739" s="6" t="str">
        <f>IFERROR(__xludf.DUMMYFUNCTION("""COMPUTED_VALUE"""),"Нет")</f>
        <v>Нет</v>
      </c>
      <c r="N1739" s="6" t="str">
        <f>IFERROR(__xludf.DUMMYFUNCTION("""COMPUTED_VALUE"""),"Чистота, порядок, развитости! Наличие мест отдыха и развлечений! Кроме пивных)")</f>
        <v>Чистота, порядок, развитости! Наличие мест отдыха и развлечений! Кроме пивных)</v>
      </c>
      <c r="O1739" s="6" t="str">
        <f>IFERROR(__xludf.DUMMYFUNCTION("""COMPUTED_VALUE"""),"Навести порядок! Сделать футбольные поля для детей! ")</f>
        <v>Навести порядок! Сделать футбольные поля для детей! </v>
      </c>
      <c r="P1739" s="6" t="str">
        <f>IFERROR(__xludf.DUMMYFUNCTION("""COMPUTED_VALUE"""),"Соц сети")</f>
        <v>Соц сети</v>
      </c>
      <c r="Q1739" s="6" t="str">
        <f>IFERROR(__xludf.DUMMYFUNCTION("""COMPUTED_VALUE"""),"куда пойти в свободное время,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f>
        <v>куда пойти в свободное время,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739" s="6" t="str">
        <f>IFERROR(__xludf.DUMMYFUNCTION("""COMPUTED_VALUE"""),"9 мая! ")</f>
        <v>9 мая! </v>
      </c>
      <c r="S1739" s="6" t="str">
        <f>IFERROR(__xludf.DUMMYFUNCTION("""COMPUTED_VALUE"""),"Нет, не приходилось")</f>
        <v>Нет, не приходилось</v>
      </c>
      <c r="T1739" s="6" t="str">
        <f>IFERROR(__xludf.DUMMYFUNCTION("""COMPUTED_VALUE"""),"Грязный воздух и рекордное количество развитие раковых болезней")</f>
        <v>Грязный воздух и рекордное количество развитие раковых болезней</v>
      </c>
      <c r="U1739" s="6" t="str">
        <f>IFERROR(__xludf.DUMMYFUNCTION("""COMPUTED_VALUE"""),"Драм театр")</f>
        <v>Драм театр</v>
      </c>
      <c r="V1739" s="6" t="str">
        <f>IFERROR(__xludf.DUMMYFUNCTION("""COMPUTED_VALUE"""),"Ничего ")</f>
        <v>Ничего </v>
      </c>
      <c r="W1739" s="6" t="str">
        <f>IFERROR(__xludf.DUMMYFUNCTION("""COMPUTED_VALUE"""),"Злые и хмурые")</f>
        <v>Злые и хмурые</v>
      </c>
      <c r="X1739" s="6" t="str">
        <f>IFERROR(__xludf.DUMMYFUNCTION("""COMPUTED_VALUE"""),"Советский проспект")</f>
        <v>Советский проспект</v>
      </c>
      <c r="Y1739" s="6" t="str">
        <f>IFERROR(__xludf.DUMMYFUNCTION("""COMPUTED_VALUE"""),"Рок концерт от стройсервиса")</f>
        <v>Рок концерт от стройсервиса</v>
      </c>
      <c r="Z1739" s="6" t="str">
        <f>IFERROR(__xludf.DUMMYFUNCTION("""COMPUTED_VALUE"""),"Ничего")</f>
        <v>Ничего</v>
      </c>
      <c r="AA1739" s="6" t="str">
        <f>IFERROR(__xludf.DUMMYFUNCTION("""COMPUTED_VALUE"""),"Зимняя вишня")</f>
        <v>Зимняя вишня</v>
      </c>
      <c r="AB1739" s="6" t="str">
        <f>IFERROR(__xludf.DUMMYFUNCTION("""COMPUTED_VALUE"""),"Спортивных! У детей нет героев, которыми можно гордиться! ")</f>
        <v>Спортивных! У детей нет героев, которыми можно гордиться! </v>
      </c>
      <c r="AC1739" s="6" t="str">
        <f>IFERROR(__xludf.DUMMYFUNCTION("""COMPUTED_VALUE"""),"Приезд футбольных звёзд и вообще звёзд спорта")</f>
        <v>Приезд футбольных звёзд и вообще звёзд спорта</v>
      </c>
      <c r="AD1739"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739" s="6" t="str">
        <f>IFERROR(__xludf.DUMMYFUNCTION("""COMPUTED_VALUE"""),"Мужской")</f>
        <v>Мужской</v>
      </c>
      <c r="AF1739" s="6" t="str">
        <f>IFERROR(__xludf.DUMMYFUNCTION("""COMPUTED_VALUE"""),"30-44")</f>
        <v>30-44</v>
      </c>
      <c r="AG1739" s="6"/>
      <c r="AH1739" s="6"/>
      <c r="AI1739" s="6"/>
      <c r="AJ1739" s="6"/>
      <c r="AK1739" s="6"/>
      <c r="AL1739" s="6"/>
      <c r="AM1739" s="6"/>
    </row>
    <row r="1740">
      <c r="A1740" s="6">
        <v>1739.0</v>
      </c>
      <c r="B1740" s="6" t="str">
        <f>IFERROR(__xludf.DUMMYFUNCTION("""COMPUTED_VALUE"""),"Менеджер по продажам ")</f>
        <v>Менеджер по продажам </v>
      </c>
      <c r="C1740" s="6" t="str">
        <f>IFERROR(__xludf.DUMMYFUNCTION("""COMPUTED_VALUE"""),"Чтение книг, спорт (бег и фитнес)")</f>
        <v>Чтение книг, спорт (бег и фитнес)</v>
      </c>
      <c r="D1740" s="6" t="str">
        <f>IFERROR(__xludf.DUMMYFUNCTION("""COMPUTED_VALUE"""),"Рудничный район, Радуга")</f>
        <v>Рудничный район, Радуга</v>
      </c>
      <c r="E1740" s="6" t="str">
        <f>IFERROR(__xludf.DUMMYFUNCTION("""COMPUTED_VALUE"""),"Рудничный сосновый бор")</f>
        <v>Рудничный сосновый бор</v>
      </c>
      <c r="F1740" s="6" t="str">
        <f>IFERROR(__xludf.DUMMYFUNCTION("""COMPUTED_VALUE"""),"Живу здесь с рождения")</f>
        <v>Живу здесь с рождения</v>
      </c>
      <c r="G1740" s="6" t="str">
        <f>IFERROR(__xludf.DUMMYFUNCTION("""COMPUTED_VALUE"""),"Гуляю в сосновом бору, по набережной, по весенней, советскому проспекту, лесной поляне")</f>
        <v>Гуляю в сосновом бору, по набережной, по весенней, советскому проспекту, лесной поляне</v>
      </c>
      <c r="H1740" s="6" t="str">
        <f>IFERROR(__xludf.DUMMYFUNCTION("""COMPUTED_VALUE"""),"Шахтерский, загрязнённый воздух, пробки и фуры, растущий, строящийся")</f>
        <v>Шахтерский, загрязнённый воздух, пробки и фуры, растущий, строящийся</v>
      </c>
      <c r="I1740" s="6" t="str">
        <f>IFERROR(__xludf.DUMMYFUNCTION("""COMPUTED_VALUE"""),"Алексей Леонов")</f>
        <v>Алексей Леонов</v>
      </c>
      <c r="J1740" s="6" t="str">
        <f>IFERROR(__xludf.DUMMYFUNCTION("""COMPUTED_VALUE"""),"Таких нет, ни среди политиков, ни среди людей искусства")</f>
        <v>Таких нет, ни среди политиков, ни среди людей искусства</v>
      </c>
      <c r="K1740" s="6" t="str">
        <f>IFERROR(__xludf.DUMMYFUNCTION("""COMPUTED_VALUE"""),"Лесную поляну, центр города, набережную, сосновый бор ")</f>
        <v>Лесную поляну, центр города, набережную, сосновый бор </v>
      </c>
      <c r="L1740" s="6" t="str">
        <f>IFERROR(__xludf.DUMMYFUNCTION("""COMPUTED_VALUE"""),"Нет")</f>
        <v>Нет</v>
      </c>
      <c r="M1740" s="6" t="str">
        <f>IFERROR(__xludf.DUMMYFUNCTION("""COMPUTED_VALUE"""),"Нет")</f>
        <v>Нет</v>
      </c>
      <c r="N1740" s="6" t="str">
        <f>IFERROR(__xludf.DUMMYFUNCTION("""COMPUTED_VALUE"""),"Чистый, со здоровой экологией, безопасный в плане преступности, безопасный в плане дорог и тротуаров, развитая инфраструктура (чтобы даже в спальных районах были хорошие ТЦ, магазины, сады, школы, парки для прогулок)")</f>
        <v>Чистый, со здоровой экологией, безопасный в плане преступности, безопасный в плане дорог и тротуаров, развитая инфраструктура (чтобы даже в спальных районах были хорошие ТЦ, магазины, сады, школы, парки для прогулок)</v>
      </c>
      <c r="O1740" s="6" t="str">
        <f>IFERROR(__xludf.DUMMYFUNCTION("""COMPUTED_VALUE"""),"Построить объездную дорогу в обход города для транзитного транспорта и ещё один мост, через Томь, чтобы разгрузить пробки")</f>
        <v>Построить объездную дорогу в обход города для транзитного транспорта и ещё один мост, через Томь, чтобы разгрузить пробки</v>
      </c>
      <c r="P1740" s="6" t="str">
        <f>IFERROR(__xludf.DUMMYFUNCTION("""COMPUTED_VALUE"""),"Все42")</f>
        <v>Все42</v>
      </c>
      <c r="Q1740" s="6" t="str">
        <f>IFERROR(__xludf.DUMMYFUNCTION("""COMPUTED_VALUE"""),"где вкусно поесть/открытие новых кафе/ресторанов, 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резуль"&amp;"таты местных исследований (рейтинги/аналитика/тенденции)")</f>
        <v>где вкусно поесть/открытие новых кафе/ресторанов, городская афиша (кино/театр/концерты),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740" s="6" t="str">
        <f>IFERROR(__xludf.DUMMYFUNCTION("""COMPUTED_VALUE"""),"День города и день шахтёра ")</f>
        <v>День города и день шахтёра </v>
      </c>
      <c r="S1740" s="6" t="str">
        <f>IFERROR(__xludf.DUMMYFUNCTION("""COMPUTED_VALUE"""),"Нет, не приходилось")</f>
        <v>Нет, не приходилось</v>
      </c>
      <c r="T1740" s="6" t="str">
        <f>IFERROR(__xludf.DUMMYFUNCTION("""COMPUTED_VALUE"""),"Сосновый бор - уникален тем, что это самый большой по площади нетронутый человеком лес, находящийся в фактически центре города ")</f>
        <v>Сосновый бор - уникален тем, что это самый большой по площади нетронутый человеком лес, находящийся в фактически центре города </v>
      </c>
      <c r="U1740" s="6" t="str">
        <f>IFERROR(__xludf.DUMMYFUNCTION("""COMPUTED_VALUE"""),"Площадь Советов")</f>
        <v>Площадь Советов</v>
      </c>
      <c r="V1740" s="6" t="str">
        <f>IFERROR(__xludf.DUMMYFUNCTION("""COMPUTED_VALUE"""),"Раньше строили заводы, открывали шахты и разрезы")</f>
        <v>Раньше строили заводы, открывали шахты и разрезы</v>
      </c>
      <c r="W1740" s="6" t="str">
        <f>IFERROR(__xludf.DUMMYFUNCTION("""COMPUTED_VALUE"""),"Хмурые, вечно недовольные, неулыбчивые")</f>
        <v>Хмурые, вечно недовольные, неулыбчивые</v>
      </c>
      <c r="X1740" s="6" t="str">
        <f>IFERROR(__xludf.DUMMYFUNCTION("""COMPUTED_VALUE"""),"Весенняя-красноармейская-парк победы-площадь советов-площадь Пушкина-набережная -кирова-советский ")</f>
        <v>Весенняя-красноармейская-парк победы-площадь советов-площадь Пушкина-набережная -кирова-советский </v>
      </c>
      <c r="Y1740" s="6" t="str">
        <f>IFERROR(__xludf.DUMMYFUNCTION("""COMPUTED_VALUE"""),"Пожар в Зимней вишне, в это событие Кемерово прославился на весь мир")</f>
        <v>Пожар в Зимней вишне, в это событие Кемерово прославился на весь мир</v>
      </c>
      <c r="Z1740" s="6" t="str">
        <f>IFERROR(__xludf.DUMMYFUNCTION("""COMPUTED_VALUE"""),"В этом наконец-то сдали дом на Гагарина 108, который годами не могли достроить, больше ничего значимого не происходило")</f>
        <v>В этом наконец-то сдали дом на Гагарина 108, который годами не могли достроить, больше ничего значимого не происходило</v>
      </c>
      <c r="AA1740" s="6" t="str">
        <f>IFERROR(__xludf.DUMMYFUNCTION("""COMPUTED_VALUE"""),"Люди не соблюдали режим самоизоляции весной 2020")</f>
        <v>Люди не соблюдали режим самоизоляции весной 2020</v>
      </c>
      <c r="AB1740" s="6" t="str">
        <f>IFERROR(__xludf.DUMMYFUNCTION("""COMPUTED_VALUE"""),"Спортивных: открытые уроки в сосновом бору, например, по бегу, по йоге, по фитнесу")</f>
        <v>Спортивных: открытые уроки в сосновом бору, например, по бегу, по йоге, по фитнесу</v>
      </c>
      <c r="AC1740" s="6" t="str">
        <f>IFERROR(__xludf.DUMMYFUNCTION("""COMPUTED_VALUE"""),"Чтобы приезжали крутые исполнители музыки, концерты; чтобы в кинотеатрах был больший выбор фильмов")</f>
        <v>Чтобы приезжали крутые исполнители музыки, концерты; чтобы в кинотеатрах был больший выбор фильмов</v>
      </c>
      <c r="AD1740" s="6" t="str">
        <f>IFERROR(__xludf.DUMMYFUNCTION("""COMPUTED_VALUE"""),"Участника: Поучаствовать в обсуждении улучшений, собраниях горожан;, Запустить свой предпринимательский проект, организовать компанию.")</f>
        <v>Участника: Поучаствовать в обсуждении улучшений, собраниях горожан;, Запустить свой предпринимательский проект, организовать компанию.</v>
      </c>
      <c r="AE1740" s="6" t="str">
        <f>IFERROR(__xludf.DUMMYFUNCTION("""COMPUTED_VALUE"""),"Женский")</f>
        <v>Женский</v>
      </c>
      <c r="AF1740" s="6" t="str">
        <f>IFERROR(__xludf.DUMMYFUNCTION("""COMPUTED_VALUE"""),"18-29")</f>
        <v>18-29</v>
      </c>
      <c r="AG1740" s="6"/>
      <c r="AH1740" s="6"/>
      <c r="AI1740" s="6"/>
      <c r="AJ1740" s="6"/>
      <c r="AK1740" s="6"/>
      <c r="AL1740" s="6"/>
      <c r="AM1740" s="6"/>
    </row>
    <row r="1741">
      <c r="A1741" s="6">
        <v>1740.0</v>
      </c>
      <c r="B1741" s="6" t="str">
        <f>IFERROR(__xludf.DUMMYFUNCTION("""COMPUTED_VALUE"""),"Работаю")</f>
        <v>Работаю</v>
      </c>
      <c r="C1741" s="6" t="str">
        <f>IFERROR(__xludf.DUMMYFUNCTION("""COMPUTED_VALUE"""),"Вышиваю")</f>
        <v>Вышиваю</v>
      </c>
      <c r="D1741" s="6" t="str">
        <f>IFERROR(__xludf.DUMMYFUNCTION("""COMPUTED_VALUE"""),"Заводский")</f>
        <v>Заводский</v>
      </c>
      <c r="E1741" s="6" t="str">
        <f>IFERROR(__xludf.DUMMYFUNCTION("""COMPUTED_VALUE"""),"Не знаю")</f>
        <v>Не знаю</v>
      </c>
      <c r="F1741" s="6" t="str">
        <f>IFERROR(__xludf.DUMMYFUNCTION("""COMPUTED_VALUE"""),"Живу здесь с рождения")</f>
        <v>Живу здесь с рождения</v>
      </c>
      <c r="G1741" s="6" t="str">
        <f>IFERROR(__xludf.DUMMYFUNCTION("""COMPUTED_VALUE"""),"На весеннюю, больше некуда")</f>
        <v>На весеннюю, больше некуда</v>
      </c>
      <c r="H1741" s="6" t="str">
        <f>IFERROR(__xludf.DUMMYFUNCTION("""COMPUTED_VALUE"""),"Смок, дым, заводы, тухлые яйца, пыль")</f>
        <v>Смок, дым, заводы, тухлые яйца, пыль</v>
      </c>
      <c r="I1741" s="6" t="str">
        <f>IFERROR(__xludf.DUMMYFUNCTION("""COMPUTED_VALUE"""),"Малышева")</f>
        <v>Малышева</v>
      </c>
      <c r="J1741" s="6" t="str">
        <f>IFERROR(__xludf.DUMMYFUNCTION("""COMPUTED_VALUE"""),"Тулеев")</f>
        <v>Тулеев</v>
      </c>
      <c r="K1741" s="6" t="str">
        <f>IFERROR(__xludf.DUMMYFUNCTION("""COMPUTED_VALUE"""),"Дорогу на выезд с города")</f>
        <v>Дорогу на выезд с города</v>
      </c>
      <c r="L1741" s="6" t="str">
        <f>IFERROR(__xludf.DUMMYFUNCTION("""COMPUTED_VALUE"""),"Наш альянс из Кемерово, Кировский район
Мы родились в нем, в нем мы и живем.
40 лет Октября, Леонова, Попова,
Инициативная и Александрово.
  ")</f>
        <v>Наш альянс из Кемерово, Кировский район
Мы родились в нем, в нем мы и живем.
40 лет Октября, Леонова, Попова,
Инициативная и Александрово.
  </v>
      </c>
      <c r="M1741" s="6" t="str">
        <f>IFERROR(__xludf.DUMMYFUNCTION("""COMPUTED_VALUE"""),"Нет")</f>
        <v>Нет</v>
      </c>
      <c r="N1741" s="6" t="str">
        <f>IFERROR(__xludf.DUMMYFUNCTION("""COMPUTED_VALUE"""),"Хорошие дороги, общественный транспорт, доступное жилье, чистый воздух, официальный пляж с разрешением на купание")</f>
        <v>Хорошие дороги, общественный транспорт, доступное жилье, чистый воздух, официальный пляж с разрешением на купание</v>
      </c>
      <c r="O1741" s="6" t="str">
        <f>IFERROR(__xludf.DUMMYFUNCTION("""COMPUTED_VALUE"""),"Цивилева сменить")</f>
        <v>Цивилева сменить</v>
      </c>
      <c r="P1741" s="6" t="str">
        <f>IFERROR(__xludf.DUMMYFUNCTION("""COMPUTED_VALUE"""),"Интернет")</f>
        <v>Интернет</v>
      </c>
      <c r="Q1741" s="6" t="str">
        <f>IFERROR(__xludf.DUMMYFUNCTION("""COMPUTED_VALUE"""),"новости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f>
        <v>новости про новые профессии/куда поступать/вакансии,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741" s="6" t="str">
        <f>IFERROR(__xludf.DUMMYFUNCTION("""COMPUTED_VALUE"""),"Никакие")</f>
        <v>Никакие</v>
      </c>
      <c r="S1741" s="6" t="str">
        <f>IFERROR(__xludf.DUMMYFUNCTION("""COMPUTED_VALUE"""),"Нет")</f>
        <v>Нет</v>
      </c>
      <c r="T1741" s="6" t="str">
        <f>IFERROR(__xludf.DUMMYFUNCTION("""COMPUTED_VALUE"""),"Уголь, зимняя вишня")</f>
        <v>Уголь, зимняя вишня</v>
      </c>
      <c r="U1741" s="6" t="str">
        <f>IFERROR(__xludf.DUMMYFUNCTION("""COMPUTED_VALUE"""),"Площадь советов")</f>
        <v>Площадь советов</v>
      </c>
      <c r="V1741" s="6" t="str">
        <f>IFERROR(__xludf.DUMMYFUNCTION("""COMPUTED_VALUE"""),"Ничего")</f>
        <v>Ничего</v>
      </c>
      <c r="W1741" s="6" t="str">
        <f>IFERROR(__xludf.DUMMYFUNCTION("""COMPUTED_VALUE"""),"Злые, без работы")</f>
        <v>Злые, без работы</v>
      </c>
      <c r="X1741" s="6" t="str">
        <f>IFERROR(__xludf.DUMMYFUNCTION("""COMPUTED_VALUE"""),"Никакой")</f>
        <v>Никакой</v>
      </c>
      <c r="Y1741" s="6" t="str">
        <f>IFERROR(__xludf.DUMMYFUNCTION("""COMPUTED_VALUE"""),"Пожар в зимней вишне, уход тулеева")</f>
        <v>Пожар в зимней вишне, уход тулеева</v>
      </c>
      <c r="Z1741" s="6" t="str">
        <f>IFERROR(__xludf.DUMMYFUNCTION("""COMPUTED_VALUE"""),"Никакие")</f>
        <v>Никакие</v>
      </c>
      <c r="AA1741" s="6" t="str">
        <f>IFERROR(__xludf.DUMMYFUNCTION("""COMPUTED_VALUE"""),"Мовшин")</f>
        <v>Мовшин</v>
      </c>
      <c r="AB1741" s="6" t="str">
        <f>IFERROR(__xludf.DUMMYFUNCTION("""COMPUTED_VALUE"""),"Не знаю")</f>
        <v>Не знаю</v>
      </c>
      <c r="AC1741" s="6" t="str">
        <f>IFERROR(__xludf.DUMMYFUNCTION("""COMPUTED_VALUE"""),"Не знаю")</f>
        <v>Не знаю</v>
      </c>
      <c r="AD174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41" s="6" t="str">
        <f>IFERROR(__xludf.DUMMYFUNCTION("""COMPUTED_VALUE"""),"Женский")</f>
        <v>Женский</v>
      </c>
      <c r="AF1741" s="6" t="str">
        <f>IFERROR(__xludf.DUMMYFUNCTION("""COMPUTED_VALUE"""),"30-44")</f>
        <v>30-44</v>
      </c>
      <c r="AG1741" s="6"/>
      <c r="AH1741" s="6"/>
      <c r="AI1741" s="6"/>
      <c r="AJ1741" s="6"/>
      <c r="AK1741" s="6"/>
      <c r="AL1741" s="6"/>
      <c r="AM1741" s="6"/>
    </row>
    <row r="1742">
      <c r="A1742" s="6">
        <v>1741.0</v>
      </c>
      <c r="B1742" s="6" t="str">
        <f>IFERROR(__xludf.DUMMYFUNCTION("""COMPUTED_VALUE"""),"Домохозяйка")</f>
        <v>Домохозяйка</v>
      </c>
      <c r="C1742" s="6" t="str">
        <f>IFERROR(__xludf.DUMMYFUNCTION("""COMPUTED_VALUE"""),"Нет")</f>
        <v>Нет</v>
      </c>
      <c r="D1742" s="6" t="str">
        <f>IFERROR(__xludf.DUMMYFUNCTION("""COMPUTED_VALUE"""),"Центральный")</f>
        <v>Центральный</v>
      </c>
      <c r="E1742" s="6" t="str">
        <f>IFERROR(__xludf.DUMMYFUNCTION("""COMPUTED_VALUE"""),"Набережная, ул. Весенняя")</f>
        <v>Набережная, ул. Весенняя</v>
      </c>
      <c r="F1742" s="6" t="str">
        <f>IFERROR(__xludf.DUMMYFUNCTION("""COMPUTED_VALUE"""),"Живу здесь с рождения")</f>
        <v>Живу здесь с рождения</v>
      </c>
      <c r="G1742" s="6" t="str">
        <f>IFERROR(__xludf.DUMMYFUNCTION("""COMPUTED_VALUE"""),"Сосновый бор, ""Комсомольский парк""")</f>
        <v>Сосновый бор, "Комсомольский парк"</v>
      </c>
      <c r="H1742" s="6" t="str">
        <f>IFERROR(__xludf.DUMMYFUNCTION("""COMPUTED_VALUE"""),"Грязь, безвкусица,холод, плохие дороги, серые здания")</f>
        <v>Грязь, безвкусица,холод, плохие дороги, серые здания</v>
      </c>
      <c r="I1742" s="6" t="str">
        <f>IFERROR(__xludf.DUMMYFUNCTION("""COMPUTED_VALUE"""),"Михаил Волков, Алексей Леонов, Рутгерс")</f>
        <v>Михаил Волков, Алексей Леонов, Рутгерс</v>
      </c>
      <c r="J1742" s="6" t="str">
        <f>IFERROR(__xludf.DUMMYFUNCTION("""COMPUTED_VALUE"""),"Владимир Михайлов")</f>
        <v>Владимир Михайлов</v>
      </c>
      <c r="K1742" s="6" t="str">
        <f>IFERROR(__xludf.DUMMYFUNCTION("""COMPUTED_VALUE"""),"Нет таких")</f>
        <v>Нет таких</v>
      </c>
      <c r="L1742" s="6" t="str">
        <f>IFERROR(__xludf.DUMMYFUNCTION("""COMPUTED_VALUE"""),"Похоже, что некоторые рождены только для того, чтобы вредить окружающим… Причем, они это делают умело… и намного легче, быстрей и приятней, чем бы сделали доброе дело")</f>
        <v>Похоже, что некоторые рождены только для того, чтобы вредить окружающим… Причем, они это делают умело… и намного легче, быстрей и приятней, чем бы сделали доброе дело</v>
      </c>
      <c r="M1742" s="6" t="str">
        <f>IFERROR(__xludf.DUMMYFUNCTION("""COMPUTED_VALUE"""),"Не ")</f>
        <v>Не </v>
      </c>
      <c r="N1742" s="6" t="str">
        <f>IFERROR(__xludf.DUMMYFUNCTION("""COMPUTED_VALUE"""),"Чистота воздуха и улиц, красивые здания домой, а не только фасады, много парков, зелёных насаждений")</f>
        <v>Чистота воздуха и улиц, красивые здания домой, а не только фасады, много парков, зелёных насаждений</v>
      </c>
      <c r="O1742" s="6" t="str">
        <f>IFERROR(__xludf.DUMMYFUNCTION("""COMPUTED_VALUE"""),"Экологию")</f>
        <v>Экологию</v>
      </c>
      <c r="P1742" s="6" t="str">
        <f>IFERROR(__xludf.DUMMYFUNCTION("""COMPUTED_VALUE"""),"Инстаграм, ВК, ""Российская газета""")</f>
        <v>Инстаграм, ВК, "Российская газета"</v>
      </c>
      <c r="Q1742" s="6" t="str">
        <f>IFERROR(__xludf.DUMMYFUNCTION("""COMPUTED_VALUE"""),"культурные новинки (что почитать/что послушать)")</f>
        <v>культурные новинки (что почитать/что послушать)</v>
      </c>
      <c r="R1742" s="6" t="str">
        <f>IFERROR(__xludf.DUMMYFUNCTION("""COMPUTED_VALUE"""),"Новый год")</f>
        <v>Новый год</v>
      </c>
      <c r="S1742" s="6" t="str">
        <f>IFERROR(__xludf.DUMMYFUNCTION("""COMPUTED_VALUE"""),"Нет, не приходилось")</f>
        <v>Нет, не приходилось</v>
      </c>
      <c r="T1742" s="6" t="str">
        <f>IFERROR(__xludf.DUMMYFUNCTION("""COMPUTED_VALUE"""),"""Зимней вишней""")</f>
        <v>"Зимней вишней"</v>
      </c>
      <c r="U1742" s="6" t="str">
        <f>IFERROR(__xludf.DUMMYFUNCTION("""COMPUTED_VALUE"""),"Ул. Весенняя ")</f>
        <v>Ул. Весенняя </v>
      </c>
      <c r="V1742" s="6" t="str">
        <f>IFERROR(__xludf.DUMMYFUNCTION("""COMPUTED_VALUE"""),"Сажали аллеи")</f>
        <v>Сажали аллеи</v>
      </c>
      <c r="W1742" s="6" t="str">
        <f>IFERROR(__xludf.DUMMYFUNCTION("""COMPUTED_VALUE"""),"Недружелюбные, озлобленные ")</f>
        <v>Недружелюбные, озлобленные </v>
      </c>
      <c r="X1742" s="6" t="str">
        <f>IFERROR(__xludf.DUMMYFUNCTION("""COMPUTED_VALUE"""),"Набережная, по. Советский, ул. Весенняя")</f>
        <v>Набережная, по. Советский, ул. Весенняя</v>
      </c>
      <c r="Y1742" s="6" t="str">
        <f>IFERROR(__xludf.DUMMYFUNCTION("""COMPUTED_VALUE"""),"Для меня такого не происходило")</f>
        <v>Для меня такого не происходило</v>
      </c>
      <c r="Z1742" s="6" t="str">
        <f>IFERROR(__xludf.DUMMYFUNCTION("""COMPUTED_VALUE"""),"Победа волейбольного клуба ""Кузбасс"" в финале чемпионата России")</f>
        <v>Победа волейбольного клуба "Кузбасс" в финале чемпионата России</v>
      </c>
      <c r="AA1742" s="6" t="str">
        <f>IFERROR(__xludf.DUMMYFUNCTION("""COMPUTED_VALUE"""),"""Зимняя вишня""")</f>
        <v>"Зимняя вишня"</v>
      </c>
      <c r="AB1742" s="6" t="str">
        <f>IFERROR(__xludf.DUMMYFUNCTION("""COMPUTED_VALUE"""),"Спортивных, культурных")</f>
        <v>Спортивных, культурных</v>
      </c>
      <c r="AC1742" s="6" t="str">
        <f>IFERROR(__xludf.DUMMYFUNCTION("""COMPUTED_VALUE"""),"Семейные спортивные мероприятия")</f>
        <v>Семейные спортивные мероприятия</v>
      </c>
      <c r="AD174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42" s="6" t="str">
        <f>IFERROR(__xludf.DUMMYFUNCTION("""COMPUTED_VALUE"""),"Женский")</f>
        <v>Женский</v>
      </c>
      <c r="AF1742" s="6" t="str">
        <f>IFERROR(__xludf.DUMMYFUNCTION("""COMPUTED_VALUE"""),"30-44")</f>
        <v>30-44</v>
      </c>
      <c r="AG1742" s="6"/>
      <c r="AH1742" s="6"/>
      <c r="AI1742" s="6"/>
      <c r="AJ1742" s="6"/>
      <c r="AK1742" s="6"/>
      <c r="AL1742" s="6"/>
      <c r="AM1742" s="6"/>
    </row>
    <row r="1743">
      <c r="A1743" s="6">
        <v>1742.0</v>
      </c>
      <c r="B1743" s="6" t="str">
        <f>IFERROR(__xludf.DUMMYFUNCTION("""COMPUTED_VALUE"""),"Тренер ")</f>
        <v>Тренер </v>
      </c>
      <c r="C1743" s="6" t="str">
        <f>IFERROR(__xludf.DUMMYFUNCTION("""COMPUTED_VALUE"""),"Спорт ")</f>
        <v>Спорт </v>
      </c>
      <c r="D1743" s="6" t="str">
        <f>IFERROR(__xludf.DUMMYFUNCTION("""COMPUTED_VALUE"""),"Центральный")</f>
        <v>Центральный</v>
      </c>
      <c r="E1743" s="6" t="str">
        <f>IFERROR(__xludf.DUMMYFUNCTION("""COMPUTED_VALUE"""),"Комсомольский парк")</f>
        <v>Комсомольский парк</v>
      </c>
      <c r="F1743" s="6" t="str">
        <f>IFERROR(__xludf.DUMMYFUNCTION("""COMPUTED_VALUE"""),"Переехал сюда из другого места (откуда? укажите в графе другое), Казахстан")</f>
        <v>Переехал сюда из другого места (откуда? укажите в графе другое), Казахстан</v>
      </c>
      <c r="G1743" s="6" t="str">
        <f>IFERROR(__xludf.DUMMYFUNCTION("""COMPUTED_VALUE"""),"Комсомольский парк")</f>
        <v>Комсомольский парк</v>
      </c>
      <c r="H1743" s="6" t="str">
        <f>IFERROR(__xludf.DUMMYFUNCTION("""COMPUTED_VALUE"""),"Серый , не современный, коммунизм , ограничения , ""колхоз """)</f>
        <v>Серый , не современный, коммунизм , ограничения , "колхоз "</v>
      </c>
      <c r="I1743" s="6" t="str">
        <f>IFERROR(__xludf.DUMMYFUNCTION("""COMPUTED_VALUE"""),"Михайлов ")</f>
        <v>Михайлов </v>
      </c>
      <c r="J1743" s="6" t="str">
        <f>IFERROR(__xludf.DUMMYFUNCTION("""COMPUTED_VALUE"""),"Михайлов - при нем город чистили хорошо и убирали , сейчас очень грязно .")</f>
        <v>Михайлов - при нем город чистили хорошо и убирали , сейчас очень грязно .</v>
      </c>
      <c r="K1743" s="6" t="str">
        <f>IFERROR(__xludf.DUMMYFUNCTION("""COMPUTED_VALUE"""),"---")</f>
        <v>---</v>
      </c>
      <c r="L1743" s="6" t="str">
        <f>IFERROR(__xludf.DUMMYFUNCTION("""COMPUTED_VALUE"""),"Комаровка - ")</f>
        <v>Комаровка - </v>
      </c>
      <c r="M1743" s="6" t="str">
        <f>IFERROR(__xludf.DUMMYFUNCTION("""COMPUTED_VALUE"""),"Нет ")</f>
        <v>Нет </v>
      </c>
      <c r="N1743" s="6" t="str">
        <f>IFERROR(__xludf.DUMMYFUNCTION("""COMPUTED_VALUE"""),"Чистота , регулярный транспорт ( из центра после 20.00 не уедешь ), современный стиль , ")</f>
        <v>Чистота , регулярный транспорт ( из центра после 20.00 не уедешь ), современный стиль , </v>
      </c>
      <c r="O1743" s="6" t="str">
        <f>IFERROR(__xludf.DUMMYFUNCTION("""COMPUTED_VALUE"""),"Наладить транспортную сетку и убирать город ,чтоб был чистый ")</f>
        <v>Наладить транспортную сетку и убирать город ,чтоб был чистый </v>
      </c>
      <c r="P1743" s="6" t="str">
        <f>IFERROR(__xludf.DUMMYFUNCTION("""COMPUTED_VALUE"""),"Нет ")</f>
        <v>Нет </v>
      </c>
      <c r="Q1743" s="6" t="str">
        <f>IFERROR(__xludf.DUMMYFUNCTION("""COMPUTED_VALUE"""),"городская афиша (кино/театр/концерты), культурные новинки (что почитать/что послушать)")</f>
        <v>городская афиша (кино/театр/концерты), культурные новинки (что почитать/что послушать)</v>
      </c>
      <c r="R1743" s="6" t="str">
        <f>IFERROR(__xludf.DUMMYFUNCTION("""COMPUTED_VALUE"""),"9 мая")</f>
        <v>9 мая</v>
      </c>
      <c r="S1743" s="6" t="str">
        <f>IFERROR(__xludf.DUMMYFUNCTION("""COMPUTED_VALUE"""),"Обращался в редакции городских газет, телевидения, радио")</f>
        <v>Обращался в редакции городских газет, телевидения, радио</v>
      </c>
      <c r="T1743" s="6" t="str">
        <f>IFERROR(__xludf.DUMMYFUNCTION("""COMPUTED_VALUE"""),"Нет ")</f>
        <v>Нет </v>
      </c>
      <c r="U1743" s="6" t="str">
        <f>IFERROR(__xludf.DUMMYFUNCTION("""COMPUTED_VALUE"""),"Нет ")</f>
        <v>Нет </v>
      </c>
      <c r="V1743" s="6" t="str">
        <f>IFERROR(__xludf.DUMMYFUNCTION("""COMPUTED_VALUE"""),"Нет ")</f>
        <v>Нет </v>
      </c>
      <c r="W1743" s="6" t="str">
        <f>IFERROR(__xludf.DUMMYFUNCTION("""COMPUTED_VALUE"""),"Нет ")</f>
        <v>Нет </v>
      </c>
      <c r="X1743" s="6" t="str">
        <f>IFERROR(__xludf.DUMMYFUNCTION("""COMPUTED_VALUE"""),"Их нет ")</f>
        <v>Их нет </v>
      </c>
      <c r="Y1743" s="6" t="str">
        <f>IFERROR(__xludf.DUMMYFUNCTION("""COMPUTED_VALUE"""),"Концерт би 2 ")</f>
        <v>Концерт би 2 </v>
      </c>
      <c r="Z1743" s="6" t="str">
        <f>IFERROR(__xludf.DUMMYFUNCTION("""COMPUTED_VALUE"""),"Концерт би 2")</f>
        <v>Концерт би 2</v>
      </c>
      <c r="AA1743" s="6" t="str">
        <f>IFERROR(__xludf.DUMMYFUNCTION("""COMPUTED_VALUE"""),"Не разрешали заниматься спортом в парке в период пандемии. Зато в транспорте все друг другу в затылок дышали ")</f>
        <v>Не разрешали заниматься спортом в парке в период пандемии. Зато в транспорте все друг другу в затылок дышали </v>
      </c>
      <c r="AB1743" s="6" t="str">
        <f>IFERROR(__xludf.DUMMYFUNCTION("""COMPUTED_VALUE"""),"Бассейн , музеи , выставки ")</f>
        <v>Бассейн , музеи , выставки </v>
      </c>
      <c r="AC1743" s="6" t="str">
        <f>IFERROR(__xludf.DUMMYFUNCTION("""COMPUTED_VALUE"""),"Выше ")</f>
        <v>Выше </v>
      </c>
      <c r="AD1743"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1743" s="6" t="str">
        <f>IFERROR(__xludf.DUMMYFUNCTION("""COMPUTED_VALUE"""),"Женский")</f>
        <v>Женский</v>
      </c>
      <c r="AF1743" s="6" t="str">
        <f>IFERROR(__xludf.DUMMYFUNCTION("""COMPUTED_VALUE"""),"30-44")</f>
        <v>30-44</v>
      </c>
      <c r="AG1743" s="6"/>
      <c r="AH1743" s="6"/>
      <c r="AI1743" s="6"/>
      <c r="AJ1743" s="6"/>
      <c r="AK1743" s="6"/>
      <c r="AL1743" s="6"/>
      <c r="AM1743" s="6"/>
    </row>
    <row r="1744">
      <c r="A1744" s="6">
        <v>1743.0</v>
      </c>
      <c r="B1744" s="6" t="str">
        <f>IFERROR(__xludf.DUMMYFUNCTION("""COMPUTED_VALUE"""),"Юриспруденция ")</f>
        <v>Юриспруденция </v>
      </c>
      <c r="C1744" s="6" t="str">
        <f>IFERROR(__xludf.DUMMYFUNCTION("""COMPUTED_VALUE"""),"Нет хобби")</f>
        <v>Нет хобби</v>
      </c>
      <c r="D1744" s="6" t="str">
        <f>IFERROR(__xludf.DUMMYFUNCTION("""COMPUTED_VALUE"""),"Ленинский")</f>
        <v>Ленинский</v>
      </c>
      <c r="E1744" s="6" t="str">
        <f>IFERROR(__xludf.DUMMYFUNCTION("""COMPUTED_VALUE"""),"Набережная, памятник шахтерам Кузбасса")</f>
        <v>Набережная, памятник шахтерам Кузбасса</v>
      </c>
      <c r="F1744" s="6" t="str">
        <f>IFERROR(__xludf.DUMMYFUNCTION("""COMPUTED_VALUE"""),"Живу здесь с рождения")</f>
        <v>Живу здесь с рождения</v>
      </c>
      <c r="G1744" s="6" t="str">
        <f>IFERROR(__xludf.DUMMYFUNCTION("""COMPUTED_VALUE"""),"Набережная, сосновый Бор ")</f>
        <v>Набережная, сосновый Бор </v>
      </c>
      <c r="H1744" s="6" t="str">
        <f>IFERROR(__xludf.DUMMYFUNCTION("""COMPUTED_VALUE"""),"Грусть")</f>
        <v>Грусть</v>
      </c>
      <c r="I1744" s="6" t="str">
        <f>IFERROR(__xludf.DUMMYFUNCTION("""COMPUTED_VALUE"""),"Вера Волошина")</f>
        <v>Вера Волошина</v>
      </c>
      <c r="J1744" s="6" t="str">
        <f>IFERROR(__xludf.DUMMYFUNCTION("""COMPUTED_VALUE"""),"Тулеев, Цивилев")</f>
        <v>Тулеев, Цивилев</v>
      </c>
      <c r="K1744" s="6" t="str">
        <f>IFERROR(__xludf.DUMMYFUNCTION("""COMPUTED_VALUE"""),"Набережная, гора Кузбасс, памятник шахтёрам Кузбасса")</f>
        <v>Набережная, гора Кузбасс, памятник шахтёрам Кузбасса</v>
      </c>
      <c r="L1744" s="6" t="str">
        <f>IFERROR(__xludf.DUMMYFUNCTION("""COMPUTED_VALUE"""),"Нет таких")</f>
        <v>Нет таких</v>
      </c>
      <c r="M1744" s="6" t="str">
        <f>IFERROR(__xludf.DUMMYFUNCTION("""COMPUTED_VALUE"""),"Не знаю")</f>
        <v>Не знаю</v>
      </c>
      <c r="N1744" s="6" t="str">
        <f>IFERROR(__xludf.DUMMYFUNCTION("""COMPUTED_VALUE"""),"Чистота, хорошая экология, хорошая инфраструктура, хорошие люди")</f>
        <v>Чистота, хорошая экология, хорошая инфраструктура, хорошие люди</v>
      </c>
      <c r="O1744" s="6" t="str">
        <f>IFERROR(__xludf.DUMMYFUNCTION("""COMPUTED_VALUE"""),"Экология")</f>
        <v>Экология</v>
      </c>
      <c r="P1744" s="6" t="str">
        <f>IFERROR(__xludf.DUMMYFUNCTION("""COMPUTED_VALUE"""),"Инстаграм, ВКонтакте ")</f>
        <v>Инстаграм, ВКонтакте </v>
      </c>
      <c r="Q1744" s="6" t="str">
        <f>IFERROR(__xludf.DUMMYFUNCTION("""COMPUTED_VALUE"""),"интервью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f>
        <v>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v>
      </c>
      <c r="R1744" s="6" t="str">
        <f>IFERROR(__xludf.DUMMYFUNCTION("""COMPUTED_VALUE"""),"Парад Победы")</f>
        <v>Парад Победы</v>
      </c>
      <c r="S1744" s="6" t="str">
        <f>IFERROR(__xludf.DUMMYFUNCTION("""COMPUTED_VALUE"""),"Нет, не приходилось")</f>
        <v>Нет, не приходилось</v>
      </c>
      <c r="T1744" s="6" t="str">
        <f>IFERROR(__xludf.DUMMYFUNCTION("""COMPUTED_VALUE"""),"Уголь")</f>
        <v>Уголь</v>
      </c>
      <c r="U1744" s="6" t="str">
        <f>IFERROR(__xludf.DUMMYFUNCTION("""COMPUTED_VALUE"""),"Советский проспект ")</f>
        <v>Советский проспект </v>
      </c>
      <c r="V1744" s="6" t="str">
        <f>IFERROR(__xludf.DUMMYFUNCTION("""COMPUTED_VALUE"""),"Ухаживали за городом")</f>
        <v>Ухаживали за городом</v>
      </c>
      <c r="W1744" s="6" t="str">
        <f>IFERROR(__xludf.DUMMYFUNCTION("""COMPUTED_VALUE"""),"Злые, черствые, не все, но большинство-умные, некоторые как я-агрессивные")</f>
        <v>Злые, черствые, не все, но большинство-умные, некоторые как я-агрессивные</v>
      </c>
      <c r="X1744" s="6" t="str">
        <f>IFERROR(__xludf.DUMMYFUNCTION("""COMPUTED_VALUE"""),"Любой")</f>
        <v>Любой</v>
      </c>
      <c r="Y1744" s="6" t="str">
        <f>IFERROR(__xludf.DUMMYFUNCTION("""COMPUTED_VALUE"""),"Пожар в «Зимней вишне»")</f>
        <v>Пожар в «Зимней вишне»</v>
      </c>
      <c r="Z1744" s="6" t="str">
        <f>IFERROR(__xludf.DUMMYFUNCTION("""COMPUTED_VALUE"""),"Никаких")</f>
        <v>Никаких</v>
      </c>
      <c r="AA1744" s="6" t="str">
        <f>IFERROR(__xludf.DUMMYFUNCTION("""COMPUTED_VALUE"""),"Пожар в «Зимней вишне»")</f>
        <v>Пожар в «Зимней вишне»</v>
      </c>
      <c r="AB1744" s="6" t="str">
        <f>IFERROR(__xludf.DUMMYFUNCTION("""COMPUTED_VALUE"""),"Не участвую в таком")</f>
        <v>Не участвую в таком</v>
      </c>
      <c r="AC1744" s="6" t="str">
        <f>IFERROR(__xludf.DUMMYFUNCTION("""COMPUTED_VALUE"""),"Мне вообще ничего не нужно")</f>
        <v>Мне вообще ничего не нужно</v>
      </c>
      <c r="AD174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44" s="6" t="str">
        <f>IFERROR(__xludf.DUMMYFUNCTION("""COMPUTED_VALUE"""),"Женский")</f>
        <v>Женский</v>
      </c>
      <c r="AF1744" s="6" t="str">
        <f>IFERROR(__xludf.DUMMYFUNCTION("""COMPUTED_VALUE"""),"18-29")</f>
        <v>18-29</v>
      </c>
      <c r="AG1744" s="6"/>
      <c r="AH1744" s="6"/>
      <c r="AI1744" s="6"/>
      <c r="AJ1744" s="6"/>
      <c r="AK1744" s="6"/>
      <c r="AL1744" s="6"/>
      <c r="AM1744" s="6"/>
    </row>
    <row r="1745">
      <c r="A1745" s="6">
        <v>1744.0</v>
      </c>
      <c r="B1745" s="6" t="str">
        <f>IFERROR(__xludf.DUMMYFUNCTION("""COMPUTED_VALUE"""),"Работа с персоналом")</f>
        <v>Работа с персоналом</v>
      </c>
      <c r="C1745" s="6" t="str">
        <f>IFERROR(__xludf.DUMMYFUNCTION("""COMPUTED_VALUE"""),"Вязание, собака")</f>
        <v>Вязание, собака</v>
      </c>
      <c r="D1745" s="6" t="str">
        <f>IFERROR(__xludf.DUMMYFUNCTION("""COMPUTED_VALUE"""),"Радуга (рудничный р-он)")</f>
        <v>Радуга (рудничный р-он)</v>
      </c>
      <c r="E1745" s="6" t="str">
        <f>IFERROR(__xludf.DUMMYFUNCTION("""COMPUTED_VALUE"""),"ДК Шахтеров, площадь (сквер?) рядом с ТЦ Радуга, Сосновый бор")</f>
        <v>ДК Шахтеров, площадь (сквер?) рядом с ТЦ Радуга, Сосновый бор</v>
      </c>
      <c r="F1745" s="6" t="str">
        <f>IFERROR(__xludf.DUMMYFUNCTION("""COMPUTED_VALUE"""),"Переехал сюда из другого места (откуда? укажите в графе другое), Из Прокопьевска в 2013 году ")</f>
        <v>Переехал сюда из другого места (откуда? укажите в графе другое), Из Прокопьевска в 2013 году </v>
      </c>
      <c r="G1745" s="6" t="str">
        <f>IFERROR(__xludf.DUMMYFUNCTION("""COMPUTED_VALUE"""),"Погулять в Сосновом бору редко")</f>
        <v>Погулять в Сосновом бору редко</v>
      </c>
      <c r="H1745" s="6" t="str">
        <f>IFERROR(__xludf.DUMMYFUNCTION("""COMPUTED_VALUE"""),"Непродуманный, серый, строящийся, общественный транспорт НЕ удобный для жителей")</f>
        <v>Непродуманный, серый, строящийся, общественный транспорт НЕ удобный для жителей</v>
      </c>
      <c r="I1745" s="6" t="str">
        <f>IFERROR(__xludf.DUMMYFUNCTION("""COMPUTED_VALUE"""),"Волков")</f>
        <v>Волков</v>
      </c>
      <c r="J1745" s="6" t="str">
        <f>IFERROR(__xludf.DUMMYFUNCTION("""COMPUTED_VALUE"""),"Не знаю таких. А тех, кого знаю не могу назвать лучшими...")</f>
        <v>Не знаю таких. А тех, кого знаю не могу назвать лучшими...</v>
      </c>
      <c r="K1745" s="6" t="str">
        <f>IFERROR(__xludf.DUMMYFUNCTION("""COMPUTED_VALUE"""),"Памятник шахтеру, сосновый бор, набережную, строящиеся объекты вдоль берега")</f>
        <v>Памятник шахтеру, сосновый бор, набережную, строящиеся объекты вдоль берега</v>
      </c>
      <c r="L1745" s="6" t="str">
        <f>IFERROR(__xludf.DUMMYFUNCTION("""COMPUTED_VALUE"""),"Чтобы ни делалось, все не то, все мало...")</f>
        <v>Чтобы ни делалось, все не то, все мало...</v>
      </c>
      <c r="M1745" s="6" t="str">
        <f>IFERROR(__xludf.DUMMYFUNCTION("""COMPUTED_VALUE"""),"Нет")</f>
        <v>Нет</v>
      </c>
      <c r="N1745" s="6" t="str">
        <f>IFERROR(__xludf.DUMMYFUNCTION("""COMPUTED_VALUE"""),"1. Есть работа, желательно, недалеко от дома. 2. В моем районе достаточно школ и детсадов для моих детей. 3.В моем районе есть большой бассейн, различные спортивные секции и кружки 4.Можно добраться в любой уголок города с того района, где я живу. 5. Есть"&amp;" в моем районе администрация заботится о местах общего пользования в частном секторе.")</f>
        <v>1. Есть работа, желательно, недалеко от дома. 2. В моем районе достаточно школ и детсадов для моих детей. 3.В моем районе есть большой бассейн, различные спортивные секции и кружки 4.Можно добраться в любой уголок города с того района, где я живу. 5. Есть в моем районе администрация заботится о местах общего пользования в частном секторе.</v>
      </c>
      <c r="O1745" s="6" t="str">
        <f>IFERROR(__xludf.DUMMYFUNCTION("""COMPUTED_VALUE"""),"Отношение администрации к просьбам жителей")</f>
        <v>Отношение администрации к просьбам жителей</v>
      </c>
      <c r="P1745" s="6" t="str">
        <f>IFERROR(__xludf.DUMMYFUNCTION("""COMPUTED_VALUE"""),"Инстаграмм, в основном. И ""сарафанное радио"" пока еще работает")</f>
        <v>Инстаграмм, в основном. И "сарафанное радио" пока еще работает</v>
      </c>
      <c r="Q1745"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745" s="6" t="str">
        <f>IFERROR(__xludf.DUMMYFUNCTION("""COMPUTED_VALUE"""),"День города")</f>
        <v>День города</v>
      </c>
      <c r="S1745" s="6" t="str">
        <f>IFERROR(__xludf.DUMMYFUNCTION("""COMPUTED_VALUE"""),"Нет, не приходилось")</f>
        <v>Нет, не приходилось</v>
      </c>
      <c r="T1745" s="6" t="str">
        <f>IFERROR(__xludf.DUMMYFUNCTION("""COMPUTED_VALUE"""),"Из общения с другими людьми, когда говорю, что живу в Кемерово, ассоциируется город: Тулеев, криминал и плохая дорога. На мой взгляд, дороги гораздо лучше, чем были еще лет 10 назад и точно лучше, чем в Новосибирске, с криминалом, вроде бы  тоже не так ст"&amp;"рашно. С тем что Кемерово знаменит Тулеевым согласна, но не разделяю. Не знаю, чем знаменит город...")</f>
        <v>Из общения с другими людьми, когда говорю, что живу в Кемерово, ассоциируется город: Тулеев, криминал и плохая дорога. На мой взгляд, дороги гораздо лучше, чем были еще лет 10 назад и точно лучше, чем в Новосибирске, с криминалом, вроде бы  тоже не так страшно. С тем что Кемерово знаменит Тулеевым согласна, но не разделяю. Не знаю, чем знаменит город...</v>
      </c>
      <c r="U1745" s="6" t="str">
        <f>IFERROR(__xludf.DUMMYFUNCTION("""COMPUTED_VALUE"""),"Возможно, набережная...")</f>
        <v>Возможно, набережная...</v>
      </c>
      <c r="V1745" s="6" t="str">
        <f>IFERROR(__xludf.DUMMYFUNCTION("""COMPUTED_VALUE"""),"Строили мосты, красивые здания, скверы, парки отдыха, сохранили сосновый бор")</f>
        <v>Строили мосты, красивые здания, скверы, парки отдыха, сохранили сосновый бор</v>
      </c>
      <c r="W1745" s="6" t="str">
        <f>IFERROR(__xludf.DUMMYFUNCTION("""COMPUTED_VALUE"""),"Чаще злые, не очень образованные (как ни странно, при наличии ВУЗов). Редко, но все же встречаются люди широкой души, без камня за пазухой. Большая часть коренных кемеровчан, с кем приходилось общаться мечтают переехать из города")</f>
        <v>Чаще злые, не очень образованные (как ни странно, при наличии ВУЗов). Редко, но все же встречаются люди широкой души, без камня за пазухой. Большая часть коренных кемеровчан, с кем приходилось общаться мечтают переехать из города</v>
      </c>
      <c r="X1745" s="6" t="str">
        <f>IFERROR(__xludf.DUMMYFUNCTION("""COMPUTED_VALUE"""),"Набережная, красная горка, сосновый бор")</f>
        <v>Набережная, красная горка, сосновый бор</v>
      </c>
      <c r="Y1745" s="6" t="str">
        <f>IFERROR(__xludf.DUMMYFUNCTION("""COMPUTED_VALUE"""),"Не знаю")</f>
        <v>Не знаю</v>
      </c>
      <c r="Z1745" s="6" t="str">
        <f>IFERROR(__xludf.DUMMYFUNCTION("""COMPUTED_VALUE"""),"Строительство новых объектов к 300летию и обустройство набережной")</f>
        <v>Строительство новых объектов к 300летию и обустройство набережной</v>
      </c>
      <c r="AA1745" s="6" t="str">
        <f>IFERROR(__xludf.DUMMYFUNCTION("""COMPUTED_VALUE"""),"Не интересна эта тема")</f>
        <v>Не интересна эта тема</v>
      </c>
      <c r="AB1745" s="6" t="str">
        <f>IFERROR(__xludf.DUMMYFUNCTION("""COMPUTED_VALUE"""),"Спорта не хватает для детей. Бесплатного.")</f>
        <v>Спорта не хватает для детей. Бесплатного.</v>
      </c>
      <c r="AC1745" s="6" t="str">
        <f>IFERROR(__xludf.DUMMYFUNCTION("""COMPUTED_VALUE"""),"Наличие рабочих мест с приличной зарплатой поможет решить большинство городских проблем")</f>
        <v>Наличие рабочих мест с приличной зарплатой поможет решить большинство городских проблем</v>
      </c>
      <c r="AD1745" s="6" t="str">
        <f>IFERROR(__xludf.DUMMYFUNCTION("""COMPUTED_VALUE"""),"Не готов принимать личное участие (укажите, пожалуйста, причину в поле «Другое»), Для того, чтобы можно было себе позволить уделять время и развивать моих детей, я вынуждена много работать. Свободного времени для общественной деятельности у меня нет.")</f>
        <v>Не готов принимать личное участие (укажите, пожалуйста, причину в поле «Другое»), Для того, чтобы можно было себе позволить уделять время и развивать моих детей, я вынуждена много работать. Свободного времени для общественной деятельности у меня нет.</v>
      </c>
      <c r="AE1745" s="6" t="str">
        <f>IFERROR(__xludf.DUMMYFUNCTION("""COMPUTED_VALUE"""),"Женский")</f>
        <v>Женский</v>
      </c>
      <c r="AF1745" s="6" t="str">
        <f>IFERROR(__xludf.DUMMYFUNCTION("""COMPUTED_VALUE"""),"45-55")</f>
        <v>45-55</v>
      </c>
      <c r="AG1745" s="6"/>
      <c r="AH1745" s="6"/>
      <c r="AI1745" s="6"/>
      <c r="AJ1745" s="6"/>
      <c r="AK1745" s="6"/>
      <c r="AL1745" s="6"/>
      <c r="AM1745" s="6"/>
    </row>
    <row r="1746">
      <c r="A1746" s="6">
        <v>1745.0</v>
      </c>
      <c r="B1746" s="6" t="str">
        <f>IFERROR(__xludf.DUMMYFUNCTION("""COMPUTED_VALUE"""),"Декрет ")</f>
        <v>Декрет </v>
      </c>
      <c r="C1746" s="6" t="str">
        <f>IFERROR(__xludf.DUMMYFUNCTION("""COMPUTED_VALUE"""),"Чтение ")</f>
        <v>Чтение </v>
      </c>
      <c r="D1746" s="6" t="str">
        <f>IFERROR(__xludf.DUMMYFUNCTION("""COMPUTED_VALUE"""),"Лесная поляна ")</f>
        <v>Лесная поляна </v>
      </c>
      <c r="E1746" s="6" t="str">
        <f>IFERROR(__xludf.DUMMYFUNCTION("""COMPUTED_VALUE"""),"Лесная сказка, Осенний бульвар ")</f>
        <v>Лесная сказка, Осенний бульвар </v>
      </c>
      <c r="F1746" s="6" t="str">
        <f>IFERROR(__xludf.DUMMYFUNCTION("""COMPUTED_VALUE"""),"Живу здесь с рождения")</f>
        <v>Живу здесь с рождения</v>
      </c>
      <c r="G1746" s="6" t="str">
        <f>IFERROR(__xludf.DUMMYFUNCTION("""COMPUTED_VALUE"""),"Набережная, кино, детские центры ")</f>
        <v>Набережная, кино, детские центры </v>
      </c>
      <c r="H1746" s="6" t="str">
        <f>IFERROR(__xludf.DUMMYFUNCTION("""COMPUTED_VALUE"""),"Скучный, серый, маленький, унылый, грязный ")</f>
        <v>Скучный, серый, маленький, унылый, грязный </v>
      </c>
      <c r="I1746" s="6" t="str">
        <f>IFERROR(__xludf.DUMMYFUNCTION("""COMPUTED_VALUE"""),"Леонов ")</f>
        <v>Леонов </v>
      </c>
      <c r="J1746" s="6" t="str">
        <f>IFERROR(__xludf.DUMMYFUNCTION("""COMPUTED_VALUE"""),"Гришковец ")</f>
        <v>Гришковец </v>
      </c>
      <c r="K1746" s="6" t="str">
        <f>IFERROR(__xludf.DUMMYFUNCTION("""COMPUTED_VALUE"""),"Нечего смотреть ")</f>
        <v>Нечего смотреть </v>
      </c>
      <c r="L1746" s="6" t="str">
        <f>IFERROR(__xludf.DUMMYFUNCTION("""COMPUTED_VALUE"""),"Не знаю ")</f>
        <v>Не знаю </v>
      </c>
      <c r="M1746" s="6" t="str">
        <f>IFERROR(__xludf.DUMMYFUNCTION("""COMPUTED_VALUE"""),"Нет")</f>
        <v>Нет</v>
      </c>
      <c r="N1746" s="6" t="str">
        <f>IFERROR(__xludf.DUMMYFUNCTION("""COMPUTED_VALUE"""),"Чистота, зелень, парки, места для детей, транспорт ")</f>
        <v>Чистота, зелень, парки, места для детей, транспорт </v>
      </c>
      <c r="O1746" s="6" t="str">
        <f>IFERROR(__xludf.DUMMYFUNCTION("""COMPUTED_VALUE"""),"Загрязнения, медицина ")</f>
        <v>Загрязнения, медицина </v>
      </c>
      <c r="P1746" s="6" t="str">
        <f>IFERROR(__xludf.DUMMYFUNCTION("""COMPUTED_VALUE"""),"Инстаграм ")</f>
        <v>Инстаграм </v>
      </c>
      <c r="Q1746"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746" s="6" t="str">
        <f>IFERROR(__xludf.DUMMYFUNCTION("""COMPUTED_VALUE"""),"Новый год ")</f>
        <v>Новый год </v>
      </c>
      <c r="S1746" s="6" t="str">
        <f>IFERROR(__xludf.DUMMYFUNCTION("""COMPUTED_VALUE"""),"Нет, не приходилось")</f>
        <v>Нет, не приходилось</v>
      </c>
      <c r="T1746" s="6" t="str">
        <f>IFERROR(__xludf.DUMMYFUNCTION("""COMPUTED_VALUE"""),"Один из худших городов из года в год ")</f>
        <v>Один из худших городов из года в год </v>
      </c>
      <c r="U1746" s="6" t="str">
        <f>IFERROR(__xludf.DUMMYFUNCTION("""COMPUTED_VALUE"""),"Фонтан ")</f>
        <v>Фонтан </v>
      </c>
      <c r="V1746" s="6" t="str">
        <f>IFERROR(__xludf.DUMMYFUNCTION("""COMPUTED_VALUE"""),"Уехали ")</f>
        <v>Уехали </v>
      </c>
      <c r="W1746" s="6" t="str">
        <f>IFERROR(__xludf.DUMMYFUNCTION("""COMPUTED_VALUE"""),"Разные все. Но много добрых людей ")</f>
        <v>Разные все. Но много добрых людей </v>
      </c>
      <c r="X1746" s="6" t="str">
        <f>IFERROR(__xludf.DUMMYFUNCTION("""COMPUTED_VALUE"""),"Лесная поляна ")</f>
        <v>Лесная поляна </v>
      </c>
      <c r="Y1746" s="6" t="str">
        <f>IFERROR(__xludf.DUMMYFUNCTION("""COMPUTED_VALUE"""),"Историческое событие - зимняя вишня, наглядно показала как все происходит в стране ")</f>
        <v>Историческое событие - зимняя вишня, наглядно показала как все происходит в стране </v>
      </c>
      <c r="Z1746" s="6" t="str">
        <f>IFERROR(__xludf.DUMMYFUNCTION("""COMPUTED_VALUE"""),"Не знаю ")</f>
        <v>Не знаю </v>
      </c>
      <c r="AA1746" s="6" t="str">
        <f>IFERROR(__xludf.DUMMYFUNCTION("""COMPUTED_VALUE"""),"Никакие ")</f>
        <v>Никакие </v>
      </c>
      <c r="AB1746" s="6" t="str">
        <f>IFERROR(__xludf.DUMMYFUNCTION("""COMPUTED_VALUE"""),"-")</f>
        <v>-</v>
      </c>
      <c r="AC1746" s="6" t="str">
        <f>IFERROR(__xludf.DUMMYFUNCTION("""COMPUTED_VALUE"""),"Больше давать возможностей творческой молодёжи")</f>
        <v>Больше давать возможностей творческой молодёжи</v>
      </c>
      <c r="AD174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46" s="6" t="str">
        <f>IFERROR(__xludf.DUMMYFUNCTION("""COMPUTED_VALUE"""),"Женский")</f>
        <v>Женский</v>
      </c>
      <c r="AF1746" s="6" t="str">
        <f>IFERROR(__xludf.DUMMYFUNCTION("""COMPUTED_VALUE"""),"30-44")</f>
        <v>30-44</v>
      </c>
      <c r="AG1746" s="6"/>
      <c r="AH1746" s="6"/>
      <c r="AI1746" s="6"/>
      <c r="AJ1746" s="6"/>
      <c r="AK1746" s="6"/>
      <c r="AL1746" s="6"/>
      <c r="AM1746" s="6"/>
    </row>
    <row r="1747">
      <c r="A1747" s="6">
        <v>1746.0</v>
      </c>
      <c r="B1747" s="6" t="str">
        <f>IFERROR(__xludf.DUMMYFUNCTION("""COMPUTED_VALUE"""),"Пенсионерка ")</f>
        <v>Пенсионерка </v>
      </c>
      <c r="C1747" s="6" t="str">
        <f>IFERROR(__xludf.DUMMYFUNCTION("""COMPUTED_VALUE"""),"Вязание из джута")</f>
        <v>Вязание из джута</v>
      </c>
      <c r="D1747" s="6" t="str">
        <f>IFERROR(__xludf.DUMMYFUNCTION("""COMPUTED_VALUE"""),"Ленинский")</f>
        <v>Ленинский</v>
      </c>
      <c r="E1747" s="6" t="str">
        <f>IFERROR(__xludf.DUMMYFUNCTION("""COMPUTED_VALUE"""),"Красное озеро")</f>
        <v>Красное озеро</v>
      </c>
      <c r="F1747"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747" s="6" t="str">
        <f>IFERROR(__xludf.DUMMYFUNCTION("""COMPUTED_VALUE"""),"На речку")</f>
        <v>На речку</v>
      </c>
      <c r="H1747" s="6" t="str">
        <f>IFERROR(__xludf.DUMMYFUNCTION("""COMPUTED_VALUE"""),"Грязь, серость, развал экономики, безработица, плохая экология")</f>
        <v>Грязь, серость, развал экономики, безработица, плохая экология</v>
      </c>
      <c r="I1747" s="6" t="str">
        <f>IFERROR(__xludf.DUMMYFUNCTION("""COMPUTED_VALUE"""),"Леонов Алексей ")</f>
        <v>Леонов Алексей </v>
      </c>
      <c r="J1747" s="6" t="str">
        <f>IFERROR(__xludf.DUMMYFUNCTION("""COMPUTED_VALUE"""),"Не знаю")</f>
        <v>Не знаю</v>
      </c>
      <c r="K1747" s="6" t="str">
        <f>IFERROR(__xludf.DUMMYFUNCTION("""COMPUTED_VALUE"""),"Красная горка")</f>
        <v>Красная горка</v>
      </c>
      <c r="L1747" s="6" t="str">
        <f>IFERROR(__xludf.DUMMYFUNCTION("""COMPUTED_VALUE"""),"Гром не грянет,мужик не перекрестится")</f>
        <v>Гром не грянет,мужик не перекрестится</v>
      </c>
      <c r="M1747" s="6" t="str">
        <f>IFERROR(__xludf.DUMMYFUNCTION("""COMPUTED_VALUE"""),"Нет")</f>
        <v>Нет</v>
      </c>
      <c r="N1747" s="6" t="str">
        <f>IFERROR(__xludf.DUMMYFUNCTION("""COMPUTED_VALUE"""),"Чистота улиц, асфальтированные дорожки, доступный транспорт- после 22 из центра уехать невозможно, места для отдыха-скамейки, освещенность улиц, ")</f>
        <v>Чистота улиц, асфальтированные дорожки, доступный транспорт- после 22 из центра уехать невозможно, места для отдыха-скамейки, освещенность улиц, </v>
      </c>
      <c r="O1747" s="6" t="str">
        <f>IFERROR(__xludf.DUMMYFUNCTION("""COMPUTED_VALUE"""),"Навести порядок")</f>
        <v>Навести порядок</v>
      </c>
      <c r="P1747" s="6" t="str">
        <f>IFERROR(__xludf.DUMMYFUNCTION("""COMPUTED_VALUE"""),"Про новости города практически ничего не знаю. Местные новости не смотрю- не нравится подача. ")</f>
        <v>Про новости города практически ничего не знаю. Местные новости не смотрю- не нравится подача. </v>
      </c>
      <c r="Q1747"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1747" s="6" t="str">
        <f>IFERROR(__xludf.DUMMYFUNCTION("""COMPUTED_VALUE"""),"Особо никакие")</f>
        <v>Особо никакие</v>
      </c>
      <c r="S1747" s="6" t="str">
        <f>IFERROR(__xludf.DUMMYFUNCTION("""COMPUTED_VALUE"""),"Нет, не приходилось")</f>
        <v>Нет, не приходилось</v>
      </c>
      <c r="T1747" s="6" t="str">
        <f>IFERROR(__xludf.DUMMYFUNCTION("""COMPUTED_VALUE"""),"Известен сгоревшей Зимней вишней, разрушенными предприятиями, известен тем,что молодежи негде работать и она уезжает из города. ")</f>
        <v>Известен сгоревшей Зимней вишней, разрушенными предприятиями, известен тем,что молодежи негде работать и она уезжает из города. </v>
      </c>
      <c r="U1747" s="6" t="str">
        <f>IFERROR(__xludf.DUMMYFUNCTION("""COMPUTED_VALUE"""),"Площадь советов")</f>
        <v>Площадь советов</v>
      </c>
      <c r="V1747" s="6" t="str">
        <f>IFERROR(__xludf.DUMMYFUNCTION("""COMPUTED_VALUE"""),"Построили город")</f>
        <v>Построили город</v>
      </c>
      <c r="W1747" s="6" t="str">
        <f>IFERROR(__xludf.DUMMYFUNCTION("""COMPUTED_VALUE"""),"Мрачные, озлобленные")</f>
        <v>Мрачные, озлобленные</v>
      </c>
      <c r="X1747" s="6" t="str">
        <f>IFERROR(__xludf.DUMMYFUNCTION("""COMPUTED_VALUE"""),"По ленина. Старый мост, гора , сосновый бор, терешковский мост, октябрьский")</f>
        <v>По ленина. Старый мост, гора , сосновый бор, терешковский мост, октябрьский</v>
      </c>
      <c r="Y1747" s="6" t="str">
        <f>IFERROR(__xludf.DUMMYFUNCTION("""COMPUTED_VALUE"""),"Затрудняюсь ответить")</f>
        <v>Затрудняюсь ответить</v>
      </c>
      <c r="Z1747" s="6" t="str">
        <f>IFERROR(__xludf.DUMMYFUNCTION("""COMPUTED_VALUE"""),"Ни одного")</f>
        <v>Ни одного</v>
      </c>
      <c r="AA1747" s="6" t="str">
        <f>IFERROR(__xludf.DUMMYFUNCTION("""COMPUTED_VALUE"""),"Бездействие полиции при убийстве девушки")</f>
        <v>Бездействие полиции при убийстве девушки</v>
      </c>
      <c r="AB1747" s="6" t="str">
        <f>IFERROR(__xludf.DUMMYFUNCTION("""COMPUTED_VALUE"""),"Клубы по интересам- бесплатные")</f>
        <v>Клубы по интересам- бесплатные</v>
      </c>
      <c r="AC1747" s="6" t="str">
        <f>IFERROR(__xludf.DUMMYFUNCTION("""COMPUTED_VALUE"""),"Не знаю")</f>
        <v>Не знаю</v>
      </c>
      <c r="AD174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47" s="6" t="str">
        <f>IFERROR(__xludf.DUMMYFUNCTION("""COMPUTED_VALUE"""),"Женский")</f>
        <v>Женский</v>
      </c>
      <c r="AF1747" s="6" t="str">
        <f>IFERROR(__xludf.DUMMYFUNCTION("""COMPUTED_VALUE"""),"45-55")</f>
        <v>45-55</v>
      </c>
      <c r="AG1747" s="6"/>
      <c r="AH1747" s="6"/>
      <c r="AI1747" s="6"/>
      <c r="AJ1747" s="6"/>
      <c r="AK1747" s="6"/>
      <c r="AL1747" s="6"/>
      <c r="AM1747" s="6"/>
    </row>
    <row r="1748">
      <c r="A1748" s="6">
        <v>1747.0</v>
      </c>
      <c r="B1748" s="6" t="str">
        <f>IFERROR(__xludf.DUMMYFUNCTION("""COMPUTED_VALUE"""),"Начальник хозяйственного отдела")</f>
        <v>Начальник хозяйственного отдела</v>
      </c>
      <c r="C1748" s="6" t="str">
        <f>IFERROR(__xludf.DUMMYFUNCTION("""COMPUTED_VALUE"""),"Цветы")</f>
        <v>Цветы</v>
      </c>
      <c r="D1748" s="6" t="str">
        <f>IFERROR(__xludf.DUMMYFUNCTION("""COMPUTED_VALUE"""),"Ленинский")</f>
        <v>Ленинский</v>
      </c>
      <c r="E1748" s="6" t="str">
        <f>IFERROR(__xludf.DUMMYFUNCTION("""COMPUTED_VALUE"""),"Спорткомплекс Кузбасс")</f>
        <v>Спорткомплекс Кузбасс</v>
      </c>
      <c r="F1748" s="6" t="str">
        <f>IFERROR(__xludf.DUMMYFUNCTION("""COMPUTED_VALUE"""),"Живу здесь с рождения")</f>
        <v>Живу здесь с рождения</v>
      </c>
      <c r="G1748" s="6" t="str">
        <f>IFERROR(__xludf.DUMMYFUNCTION("""COMPUTED_VALUE"""),"Бульвар строителей")</f>
        <v>Бульвар строителей</v>
      </c>
      <c r="H1748" s="6" t="str">
        <f>IFERROR(__xludf.DUMMYFUNCTION("""COMPUTED_VALUE"""),"Чистый, родной, прозибающий, бедный, пустеющий")</f>
        <v>Чистый, родной, прозибающий, бедный, пустеющий</v>
      </c>
      <c r="I1748" s="6" t="str">
        <f>IFERROR(__xludf.DUMMYFUNCTION("""COMPUTED_VALUE"""),"Беляев, Леонов, Волков")</f>
        <v>Беляев, Леонов, Волков</v>
      </c>
      <c r="J1748" s="6" t="str">
        <f>IFERROR(__xludf.DUMMYFUNCTION("""COMPUTED_VALUE"""),"0")</f>
        <v>0</v>
      </c>
      <c r="K1748" s="6" t="str">
        <f>IFERROR(__xludf.DUMMYFUNCTION("""COMPUTED_VALUE"""),"Набережная")</f>
        <v>Набережная</v>
      </c>
      <c r="L1748" s="6" t="str">
        <f>IFERROR(__xludf.DUMMYFUNCTION("""COMPUTED_VALUE"""),"0")</f>
        <v>0</v>
      </c>
      <c r="M1748" s="6" t="str">
        <f>IFERROR(__xludf.DUMMYFUNCTION("""COMPUTED_VALUE"""),"О")</f>
        <v>О</v>
      </c>
      <c r="N1748" s="6" t="str">
        <f>IFERROR(__xludf.DUMMYFUNCTION("""COMPUTED_VALUE"""),"Чистый воздух, комфортное жилье, достойная работа, ")</f>
        <v>Чистый воздух, комфортное жилье, достойная работа, </v>
      </c>
      <c r="O1748" s="6" t="str">
        <f>IFERROR(__xludf.DUMMYFUNCTION("""COMPUTED_VALUE"""),"Убрать общежития и бараки!!! Улучшить экологию! Сделать все что бы наши дети захотели здесь жить и работать!")</f>
        <v>Убрать общежития и бараки!!! Улучшить экологию! Сделать все что бы наши дети захотели здесь жить и работать!</v>
      </c>
      <c r="P1748" s="6" t="str">
        <f>IFERROR(__xludf.DUMMYFUNCTION("""COMPUTED_VALUE"""),"Телевидение")</f>
        <v>Телевидение</v>
      </c>
      <c r="Q1748" s="6" t="str">
        <f>IFERROR(__xludf.DUMMYFUNCTION("""COMPUTED_VALUE"""),"городская афиша (кино/театр/концерты), криминальные новости (происшествия/преступления), новости про новые профессии/куда поступать/вакансии")</f>
        <v>городская афиша (кино/театр/концерты), криминальные новости (происшествия/преступления), новости про новые профессии/куда поступать/вакансии</v>
      </c>
      <c r="R1748" s="6" t="str">
        <f>IFERROR(__xludf.DUMMYFUNCTION("""COMPUTED_VALUE"""),"День города")</f>
        <v>День города</v>
      </c>
      <c r="S1748" s="6" t="str">
        <f>IFERROR(__xludf.DUMMYFUNCTION("""COMPUTED_VALUE"""),"Нет, не приходилось")</f>
        <v>Нет, не приходилось</v>
      </c>
      <c r="T1748" s="6" t="str">
        <f>IFERROR(__xludf.DUMMYFUNCTION("""COMPUTED_VALUE"""),"Угольные предприятия, а теперь ещё и трагедия Зимней вишни")</f>
        <v>Угольные предприятия, а теперь ещё и трагедия Зимней вишни</v>
      </c>
      <c r="U1748" s="6" t="str">
        <f>IFERROR(__xludf.DUMMYFUNCTION("""COMPUTED_VALUE"""),"Площадь Кирова")</f>
        <v>Площадь Кирова</v>
      </c>
      <c r="V1748" s="6" t="str">
        <f>IFERROR(__xludf.DUMMYFUNCTION("""COMPUTED_VALUE"""),"О")</f>
        <v>О</v>
      </c>
      <c r="W1748" s="6" t="str">
        <f>IFERROR(__xludf.DUMMYFUNCTION("""COMPUTED_VALUE"""),"О")</f>
        <v>О</v>
      </c>
      <c r="X1748" s="6" t="str">
        <f>IFERROR(__xludf.DUMMYFUNCTION("""COMPUTED_VALUE"""),"Центр")</f>
        <v>Центр</v>
      </c>
      <c r="Y1748" s="6" t="str">
        <f>IFERROR(__xludf.DUMMYFUNCTION("""COMPUTED_VALUE"""),"Гастроли Современника")</f>
        <v>Гастроли Современника</v>
      </c>
      <c r="Z1748" s="6" t="str">
        <f>IFERROR(__xludf.DUMMYFUNCTION("""COMPUTED_VALUE"""),"О")</f>
        <v>О</v>
      </c>
      <c r="AA1748" s="6" t="str">
        <f>IFERROR(__xludf.DUMMYFUNCTION("""COMPUTED_VALUE"""),"Зимняя вишня")</f>
        <v>Зимняя вишня</v>
      </c>
      <c r="AB1748" s="6" t="str">
        <f>IFERROR(__xludf.DUMMYFUNCTION("""COMPUTED_VALUE"""),"О")</f>
        <v>О</v>
      </c>
      <c r="AC1748" s="6" t="str">
        <f>IFERROR(__xludf.DUMMYFUNCTION("""COMPUTED_VALUE"""),"О")</f>
        <v>О</v>
      </c>
      <c r="AD174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48" s="6" t="str">
        <f>IFERROR(__xludf.DUMMYFUNCTION("""COMPUTED_VALUE"""),"Женский")</f>
        <v>Женский</v>
      </c>
      <c r="AF1748" s="6" t="str">
        <f>IFERROR(__xludf.DUMMYFUNCTION("""COMPUTED_VALUE"""),"45-55")</f>
        <v>45-55</v>
      </c>
      <c r="AG1748" s="6"/>
      <c r="AH1748" s="6"/>
      <c r="AI1748" s="6"/>
      <c r="AJ1748" s="6"/>
      <c r="AK1748" s="6"/>
      <c r="AL1748" s="6"/>
      <c r="AM1748" s="6"/>
    </row>
    <row r="1749">
      <c r="A1749" s="6">
        <v>1748.0</v>
      </c>
      <c r="B1749" s="6" t="str">
        <f>IFERROR(__xludf.DUMMYFUNCTION("""COMPUTED_VALUE"""),"Пенсионер ")</f>
        <v>Пенсионер </v>
      </c>
      <c r="C1749" s="6" t="str">
        <f>IFERROR(__xludf.DUMMYFUNCTION("""COMPUTED_VALUE"""),"Собака")</f>
        <v>Собака</v>
      </c>
      <c r="D1749" s="6" t="str">
        <f>IFERROR(__xludf.DUMMYFUNCTION("""COMPUTED_VALUE"""),"Центр ")</f>
        <v>Центр </v>
      </c>
      <c r="E1749" s="6" t="str">
        <f>IFERROR(__xludf.DUMMYFUNCTION("""COMPUTED_VALUE"""),"Улица весенняя, драмтеатр, цум ")</f>
        <v>Улица весенняя, драмтеатр, цум </v>
      </c>
      <c r="F1749" s="6" t="str">
        <f>IFERROR(__xludf.DUMMYFUNCTION("""COMPUTED_VALUE"""),"Живу здесь с рождения")</f>
        <v>Живу здесь с рождения</v>
      </c>
      <c r="G1749" s="6" t="str">
        <f>IFERROR(__xludf.DUMMYFUNCTION("""COMPUTED_VALUE"""),"Набережная, улица Весенняя ")</f>
        <v>Набережная, улица Весенняя </v>
      </c>
      <c r="H1749" s="6" t="str">
        <f>IFERROR(__xludf.DUMMYFUNCTION("""COMPUTED_VALUE"""),"Родина, карма, холод, тайга, снег")</f>
        <v>Родина, карма, холод, тайга, снег</v>
      </c>
      <c r="I1749" s="6" t="str">
        <f>IFERROR(__xludf.DUMMYFUNCTION("""COMPUTED_VALUE"""),"Леонов космонавт, Сафронов- художник, Шатин- герой войны и многие другие ")</f>
        <v>Леонов космонавт, Сафронов- художник, Шатин- герой войны и многие другие </v>
      </c>
      <c r="J1749" s="6" t="str">
        <f>IFERROR(__xludf.DUMMYFUNCTION("""COMPUTED_VALUE"""),"Не знаю ")</f>
        <v>Не знаю </v>
      </c>
      <c r="K1749" s="6" t="str">
        <f>IFERROR(__xludf.DUMMYFUNCTION("""COMPUTED_VALUE"""),"Красная горка, мечеть, хаскиленд, лесная поляна")</f>
        <v>Красная горка, мечеть, хаскиленд, лесная поляна</v>
      </c>
      <c r="L1749" s="6" t="str">
        <f>IFERROR(__xludf.DUMMYFUNCTION("""COMPUTED_VALUE"""),"Не знаю ")</f>
        <v>Не знаю </v>
      </c>
      <c r="M1749" s="6" t="str">
        <f>IFERROR(__xludf.DUMMYFUNCTION("""COMPUTED_VALUE"""),"Песня про Кемерово, суровые люди")</f>
        <v>Песня про Кемерово, суровые люди</v>
      </c>
      <c r="N1749" s="6" t="str">
        <f>IFERROR(__xludf.DUMMYFUNCTION("""COMPUTED_VALUE"""),"Квартира в центре, развитая инфраструктура, все в пешей доступности ")</f>
        <v>Квартира в центре, развитая инфраструктура, все в пешей доступности </v>
      </c>
      <c r="O1749" s="6" t="str">
        <f>IFERROR(__xludf.DUMMYFUNCTION("""COMPUTED_VALUE"""),"1. Ремонт старого жилого фонда, включая трубы и канализацию, 
2. Ремонт или восстановление лестниц на набережной 
3.уход за улицами, поливальные Машины утром 
4. Восстановить кинотеатр « Москва»
5. Восстановить детские лагеря отдыха, их не хватает и они д"&amp;"орогие 
6. Запретить переделывать помещения на первых этажах жилых домов под рестораны")</f>
        <v>1. Ремонт старого жилого фонда, включая трубы и канализацию, 
2. Ремонт или восстановление лестниц на набережной 
3.уход за улицами, поливальные Машины утром 
4. Восстановить кинотеатр « Москва»
5. Восстановить детские лагеря отдыха, их не хватает и они дорогие 
6. Запретить переделывать помещения на первых этажах жилых домов под рестораны</v>
      </c>
      <c r="P1749" s="6" t="str">
        <f>IFERROR(__xludf.DUMMYFUNCTION("""COMPUTED_VALUE"""),"Интернет- Яндекс и Майл")</f>
        <v>Интернет- Яндекс и Майл</v>
      </c>
      <c r="Q1749"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1749" s="6" t="str">
        <f>IFERROR(__xludf.DUMMYFUNCTION("""COMPUTED_VALUE"""),"День города ")</f>
        <v>День города </v>
      </c>
      <c r="S1749" s="6" t="str">
        <f>IFERROR(__xludf.DUMMYFUNCTION("""COMPUTED_VALUE"""),"Нет, не приходилось")</f>
        <v>Нет, не приходилось</v>
      </c>
      <c r="T1749" s="6" t="str">
        <f>IFERROR(__xludf.DUMMYFUNCTION("""COMPUTED_VALUE"""),"Наскальными рисунками, находками костей мамонтов и древних животных, конечно это угольный регион ")</f>
        <v>Наскальными рисунками, находками костей мамонтов и древних животных, конечно это угольный регион </v>
      </c>
      <c r="U1749" s="6" t="str">
        <f>IFERROR(__xludf.DUMMYFUNCTION("""COMPUTED_VALUE"""),"Площадь советов")</f>
        <v>Площадь советов</v>
      </c>
      <c r="V1749" s="6" t="str">
        <f>IFERROR(__xludf.DUMMYFUNCTION("""COMPUTED_VALUE"""),"Многое, в первую очередь участвовали войне, возводили город, добывали уголь")</f>
        <v>Многое, в первую очередь участвовали войне, возводили город, добывали уголь</v>
      </c>
      <c r="W1749" s="6" t="str">
        <f>IFERROR(__xludf.DUMMYFUNCTION("""COMPUTED_VALUE"""),"Суровые, стойкий, откровенные, оптимисты, готовые придти на помощь ")</f>
        <v>Суровые, стойкий, откровенные, оптимисты, готовые придти на помощь </v>
      </c>
      <c r="X1749" s="6" t="str">
        <f>IFERROR(__xludf.DUMMYFUNCTION("""COMPUTED_VALUE"""),"Начало- Весенняя, филармония, набережная ( если пешком)")</f>
        <v>Начало- Весенняя, филармония, набережная ( если пешком)</v>
      </c>
      <c r="Y1749" s="6" t="str">
        <f>IFERROR(__xludf.DUMMYFUNCTION("""COMPUTED_VALUE"""),"Даже не могу сказать, много событий")</f>
        <v>Даже не могу сказать, много событий</v>
      </c>
      <c r="Z1749" s="6" t="str">
        <f>IFERROR(__xludf.DUMMYFUNCTION("""COMPUTED_VALUE"""),"Строительство кадетского корпуса ")</f>
        <v>Строительство кадетского корпуса </v>
      </c>
      <c r="AA1749" s="6" t="str">
        <f>IFERROR(__xludf.DUMMYFUNCTION("""COMPUTED_VALUE"""),"Негодую по поводу открытия кальяной в доме по улице Весенняя 17, открытия пищеблоков на первых этажах жилых домов в цен он, не предусмотренных для этого")</f>
        <v>Негодую по поводу открытия кальяной в доме по улице Весенняя 17, открытия пищеблоков на первых этажах жилых домов в цен он, не предусмотренных для этого</v>
      </c>
      <c r="AB1749" s="6" t="str">
        <f>IFERROR(__xludf.DUMMYFUNCTION("""COMPUTED_VALUE"""),"По интересам, спортивных для пожилых, сообществ путешественников, кому за 60")</f>
        <v>По интересам, спортивных для пожилых, сообществ путешественников, кому за 60</v>
      </c>
      <c r="AC1749" s="6" t="str">
        <f>IFERROR(__xludf.DUMMYFUNCTION("""COMPUTED_VALUE"""),"Спортивные мероприятия, организация субботников, проведение парадов")</f>
        <v>Спортивные мероприятия, организация субботников, проведение парадов</v>
      </c>
      <c r="AD1749"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749" s="6" t="str">
        <f>IFERROR(__xludf.DUMMYFUNCTION("""COMPUTED_VALUE"""),"Женский")</f>
        <v>Женский</v>
      </c>
      <c r="AF1749" s="6" t="str">
        <f>IFERROR(__xludf.DUMMYFUNCTION("""COMPUTED_VALUE"""),"старше 55")</f>
        <v>старше 55</v>
      </c>
      <c r="AG1749" s="6"/>
      <c r="AH1749" s="6"/>
      <c r="AI1749" s="6"/>
      <c r="AJ1749" s="6"/>
      <c r="AK1749" s="6"/>
      <c r="AL1749" s="6"/>
      <c r="AM1749" s="6"/>
    </row>
    <row r="1750">
      <c r="A1750" s="6">
        <v>1749.0</v>
      </c>
      <c r="B1750" s="6" t="str">
        <f>IFERROR(__xludf.DUMMYFUNCTION("""COMPUTED_VALUE"""),"Пенсионер")</f>
        <v>Пенсионер</v>
      </c>
      <c r="C1750" s="6" t="str">
        <f>IFERROR(__xludf.DUMMYFUNCTION("""COMPUTED_VALUE"""),"Игра в волейбол, шитье, садоводство, чтение книг по психологии лесная")</f>
        <v>Игра в волейбол, шитье, садоводство, чтение книг по психологии лесная</v>
      </c>
      <c r="D1750" s="6" t="str">
        <f>IFERROR(__xludf.DUMMYFUNCTION("""COMPUTED_VALUE"""),"Лесная поляна. Самое лучшее место,. ")</f>
        <v>Лесная поляна. Самое лучшее место,. </v>
      </c>
      <c r="E1750" s="6" t="str">
        <f>IFERROR(__xludf.DUMMYFUNCTION("""COMPUTED_VALUE"""),"Вовкин двор, ботанический сад, лыжная база, бульвар Осенний. ")</f>
        <v>Вовкин двор, ботанический сад, лыжная база, бульвар Осенний. </v>
      </c>
      <c r="F1750" s="6" t="str">
        <f>IFERROR(__xludf.DUMMYFUNCTION("""COMPUTED_VALUE"""),"Переехал сюда из другого места (откуда? укажите в графе другое), Анжеро-Судженск ")</f>
        <v>Переехал сюда из другого места (откуда? укажите в графе другое), Анжеро-Судженск </v>
      </c>
      <c r="G1750" s="6" t="str">
        <f>IFERROR(__xludf.DUMMYFUNCTION("""COMPUTED_VALUE"""),"Спорт комплекс Арена, Лапландия, Мамарома, маг. Брависсимо, парк Грааль,бульвар Осенний, набережная Томи. ")</f>
        <v>Спорт комплекс Арена, Лапландия, Мамарома, маг. Брависсимо, парк Грааль,бульвар Осенний, набережная Томи. </v>
      </c>
      <c r="H1750" s="6" t="str">
        <f>IFERROR(__xludf.DUMMYFUNCTION("""COMPUTED_VALUE"""),"Поляна-лучший проект""жизнь на природе"" ")</f>
        <v>Поляна-лучший проект"жизнь на природе" </v>
      </c>
      <c r="I1750" s="6" t="str">
        <f>IFERROR(__xludf.DUMMYFUNCTION("""COMPUTED_VALUE"""),"Тулеев, Михайлов. ")</f>
        <v>Тулеев, Михайлов. </v>
      </c>
      <c r="J1750" s="6" t="str">
        <f>IFERROR(__xludf.DUMMYFUNCTION("""COMPUTED_VALUE"""),"Тулеев. ")</f>
        <v>Тулеев. </v>
      </c>
      <c r="K1750" s="6" t="str">
        <f>IFERROR(__xludf.DUMMYFUNCTION("""COMPUTED_VALUE"""),"Парк Ангелов, набережная Томи,детская железная дорога. ")</f>
        <v>Парк Ангелов, набережная Томи,детская железная дорога. </v>
      </c>
      <c r="L1750" s="6" t="str">
        <f>IFERROR(__xludf.DUMMYFUNCTION("""COMPUTED_VALUE"""),"Не знаю. ")</f>
        <v>Не знаю. </v>
      </c>
      <c r="M1750" s="6" t="str">
        <f>IFERROR(__xludf.DUMMYFUNCTION("""COMPUTED_VALUE"""),"Нет")</f>
        <v>Нет</v>
      </c>
      <c r="N1750" s="6" t="str">
        <f>IFERROR(__xludf.DUMMYFUNCTION("""COMPUTED_VALUE"""),"Много цветов, бульваров, спорт площадок, малых архитектурных форм, отсутствие шума транспорта, его доступность, чистые водоёмы и воздух без промвыбросов. ")</f>
        <v>Много цветов, бульваров, спорт площадок, малых архитектурных форм, отсутствие шума транспорта, его доступность, чистые водоёмы и воздух без промвыбросов. </v>
      </c>
      <c r="O1750" s="6" t="str">
        <f>IFERROR(__xludf.DUMMYFUNCTION("""COMPUTED_VALUE"""),"Экологию")</f>
        <v>Экологию</v>
      </c>
      <c r="P1750" s="6" t="str">
        <f>IFERROR(__xludf.DUMMYFUNCTION("""COMPUTED_VALUE"""),"Телевидение, канал Россия 1,местное время")</f>
        <v>Телевидение, канал Россия 1,местное время</v>
      </c>
      <c r="Q1750" s="6" t="str">
        <f>IFERROR(__xludf.DUMMYFUNCTION("""COMPUTED_VALUE"""),"городская афиша (кино/театр/концерты), культурные новинки (что почитать/что послушать), интервью с местными предпринимателями")</f>
        <v>городская афиша (кино/театр/концерты), культурные новинки (что почитать/что послушать), интервью с местными предпринимателями</v>
      </c>
      <c r="R1750" s="6" t="str">
        <f>IFERROR(__xludf.DUMMYFUNCTION("""COMPUTED_VALUE"""),"День города, парад Победы, день шахтера")</f>
        <v>День города, парад Победы, день шахтера</v>
      </c>
      <c r="S1750" s="6" t="str">
        <f>IFERROR(__xludf.DUMMYFUNCTION("""COMPUTED_VALUE"""),"Нет, не приходилось")</f>
        <v>Нет, не приходилось</v>
      </c>
      <c r="T1750" s="6" t="str">
        <f>IFERROR(__xludf.DUMMYFUNCTION("""COMPUTED_VALUE"""),"Шахты, заводыАзот, Химпром, Тулеев. Город-спутник Лесная Поляна. ")</f>
        <v>Шахты, заводыАзот, Химпром, Тулеев. Город-спутник Лесная Поляна. </v>
      </c>
      <c r="U1750" s="6" t="str">
        <f>IFERROR(__xludf.DUMMYFUNCTION("""COMPUTED_VALUE"""),"Площадь Советов. ")</f>
        <v>Площадь Советов. </v>
      </c>
      <c r="V1750" s="6" t="str">
        <f>IFERROR(__xludf.DUMMYFUNCTION("""COMPUTED_VALUE"""),"Много работали. ")</f>
        <v>Много работали. </v>
      </c>
      <c r="W1750" s="6" t="str">
        <f>IFERROR(__xludf.DUMMYFUNCTION("""COMPUTED_VALUE"""),"Сами себе на уме. ")</f>
        <v>Сами себе на уме. </v>
      </c>
      <c r="X1750" s="6" t="str">
        <f>IFERROR(__xludf.DUMMYFUNCTION("""COMPUTED_VALUE"""),"Набережная Томи, детская железная дорога, ботанический сад, Лесная Поляна. ")</f>
        <v>Набережная Томи, детская железная дорога, ботанический сад, Лесная Поляна. </v>
      </c>
      <c r="Y1750" s="6" t="str">
        <f>IFERROR(__xludf.DUMMYFUNCTION("""COMPUTED_VALUE"""),"Не могу ответить. ")</f>
        <v>Не могу ответить. </v>
      </c>
      <c r="Z1750" s="6" t="str">
        <f>IFERROR(__xludf.DUMMYFUNCTION("""COMPUTED_VALUE"""),"Открытие парка Ангелов, строительство нового спорт комплекса")</f>
        <v>Открытие парка Ангелов, строительство нового спорт комплекса</v>
      </c>
      <c r="AA1750" s="6" t="str">
        <f>IFERROR(__xludf.DUMMYFUNCTION("""COMPUTED_VALUE"""),"Такого нет. ")</f>
        <v>Такого нет. </v>
      </c>
      <c r="AB1750" s="6" t="str">
        <f>IFERROR(__xludf.DUMMYFUNCTION("""COMPUTED_VALUE"""),"Они, видимо, есть, но я их пока не знаю, тк переехала 3 месяца назад. ")</f>
        <v>Они, видимо, есть, но я их пока не знаю, тк переехала 3 месяца назад. </v>
      </c>
      <c r="AC1750" s="6" t="str">
        <f>IFERROR(__xludf.DUMMYFUNCTION("""COMPUTED_VALUE"""),"Субботники")</f>
        <v>Субботники</v>
      </c>
      <c r="AD1750"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Волонтер"&amp;"а: оказать любую посильную помощь непосредственно во время реализации проекта, Обучение детей игре в волейбол в летнее время. ")</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Обучение детей игре в волейбол в летнее время. </v>
      </c>
      <c r="AE1750" s="6" t="str">
        <f>IFERROR(__xludf.DUMMYFUNCTION("""COMPUTED_VALUE"""),"Женский")</f>
        <v>Женский</v>
      </c>
      <c r="AF1750" s="6" t="str">
        <f>IFERROR(__xludf.DUMMYFUNCTION("""COMPUTED_VALUE"""),"старше 55")</f>
        <v>старше 55</v>
      </c>
      <c r="AG1750" s="6"/>
      <c r="AH1750" s="6"/>
      <c r="AI1750" s="6"/>
      <c r="AJ1750" s="6"/>
      <c r="AK1750" s="6"/>
      <c r="AL1750" s="6"/>
      <c r="AM1750" s="6"/>
    </row>
    <row r="1751">
      <c r="A1751" s="6">
        <v>1750.0</v>
      </c>
      <c r="B1751" s="6" t="str">
        <f>IFERROR(__xludf.DUMMYFUNCTION("""COMPUTED_VALUE"""),"Служащий")</f>
        <v>Служащий</v>
      </c>
      <c r="C1751" s="6" t="str">
        <f>IFERROR(__xludf.DUMMYFUNCTION("""COMPUTED_VALUE"""),"Чтение")</f>
        <v>Чтение</v>
      </c>
      <c r="D1751" s="6" t="str">
        <f>IFERROR(__xludf.DUMMYFUNCTION("""COMPUTED_VALUE"""),"Ленинский. Домашний район
")</f>
        <v>Ленинский. Домашний район
</v>
      </c>
      <c r="E1751" s="6" t="str">
        <f>IFERROR(__xludf.DUMMYFUNCTION("""COMPUTED_VALUE"""),"Бульвар строителей
")</f>
        <v>Бульвар строителей
</v>
      </c>
      <c r="F1751" s="6" t="str">
        <f>IFERROR(__xludf.DUMMYFUNCTION("""COMPUTED_VALUE"""),"Живу здесь с рождения")</f>
        <v>Живу здесь с рождения</v>
      </c>
      <c r="G1751" s="6" t="str">
        <f>IFERROR(__xludf.DUMMYFUNCTION("""COMPUTED_VALUE"""),"В кино. Музей. Погулять в парк
")</f>
        <v>В кино. Музей. Погулять в парк
</v>
      </c>
      <c r="H1751" s="6" t="str">
        <f>IFERROR(__xludf.DUMMYFUNCTION("""COMPUTED_VALUE"""),"Бор. Река. Тайга. Азот. Кузгту
")</f>
        <v>Бор. Река. Тайга. Азот. Кузгту
</v>
      </c>
      <c r="I1751" s="6" t="str">
        <f>IFERROR(__xludf.DUMMYFUNCTION("""COMPUTED_VALUE"""),"Себальт Рутгерс. Михайло Волков
")</f>
        <v>Себальт Рутгерс. Михайло Волков
</v>
      </c>
      <c r="J1751" s="6" t="str">
        <f>IFERROR(__xludf.DUMMYFUNCTION("""COMPUTED_VALUE"""),"Алексей Леонов. 
")</f>
        <v>Алексей Леонов. 
</v>
      </c>
      <c r="K1751" s="6" t="str">
        <f>IFERROR(__xludf.DUMMYFUNCTION("""COMPUTED_VALUE"""),"Красная горка. Реликтовый бор. Губернаторский парк. Парк Жукова
")</f>
        <v>Красная горка. Реликтовый бор. Губернаторский парк. Парк Жукова
</v>
      </c>
      <c r="L1751" s="6" t="str">
        <f>IFERROR(__xludf.DUMMYFUNCTION("""COMPUTED_VALUE"""),"Человек из Кемерово наш человек. 
")</f>
        <v>Человек из Кемерово наш человек. 
</v>
      </c>
      <c r="M1751" s="6" t="str">
        <f>IFERROR(__xludf.DUMMYFUNCTION("""COMPUTED_VALUE"""),"Акцент зауральский у нас
")</f>
        <v>Акцент зауральский у нас
</v>
      </c>
      <c r="N1751" s="6" t="str">
        <f>IFERROR(__xludf.DUMMYFUNCTION("""COMPUTED_VALUE"""),"Чистый воздух. Комфортный транспорт. Ухоженность города. Минимальное количество криминалитета. Меньше личного транспорта в центре города.
")</f>
        <v>Чистый воздух. Комфортный транспорт. Ухоженность города. Минимальное количество криминалитета. Меньше личного транспорта в центре города.
</v>
      </c>
      <c r="O1751" s="6" t="str">
        <f>IFERROR(__xludf.DUMMYFUNCTION("""COMPUTED_VALUE"""),"Снести старые развалины и аварийные дома в центре города и не только")</f>
        <v>Снести старые развалины и аварийные дома в центре города и не только</v>
      </c>
      <c r="P1751" s="6" t="str">
        <f>IFERROR(__xludf.DUMMYFUNCTION("""COMPUTED_VALUE"""),"Яндекс. ВК соцсети. Инстаграмм")</f>
        <v>Яндекс. ВК соцсети. Инстаграмм</v>
      </c>
      <c r="Q1751" s="6" t="str">
        <f>IFERROR(__xludf.DUMMYFUNCTION("""COMPUTED_VALUE"""),"куда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f>
        <v>куда пойти в свободное время,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v>
      </c>
      <c r="R1751" s="6" t="str">
        <f>IFERROR(__xludf.DUMMYFUNCTION("""COMPUTED_VALUE"""),"День шахтера. День строителя. День города. Новый год. 8 марта")</f>
        <v>День шахтера. День строителя. День города. Новый год. 8 марта</v>
      </c>
      <c r="S1751" s="6" t="str">
        <f>IFERROR(__xludf.DUMMYFUNCTION("""COMPUTED_VALUE"""),"Нет, не приходилось")</f>
        <v>Нет, не приходилось</v>
      </c>
      <c r="T1751" s="6" t="str">
        <f>IFERROR(__xludf.DUMMYFUNCTION("""COMPUTED_VALUE"""),"1 из Центров химической промышленности. Реликтовый бор. Губернатор Тулеев. Шахты. Динозавры псетаказавры сибирские сибиротитаны")</f>
        <v>1 из Центров химической промышленности. Реликтовый бор. Губернатор Тулеев. Шахты. Динозавры псетаказавры сибирские сибиротитаны</v>
      </c>
      <c r="U1751" s="6" t="str">
        <f>IFERROR(__xludf.DUMMYFUNCTION("""COMPUTED_VALUE"""),"Весенняя. Площадь Пушкина. Бульвар строителей")</f>
        <v>Весенняя. Площадь Пушкина. Бульвар строителей</v>
      </c>
      <c r="V1751" s="6" t="str">
        <f>IFERROR(__xludf.DUMMYFUNCTION("""COMPUTED_VALUE"""),"Вера Волошина сражалась с фашистскими карателями в годы ВОВ. Леонов Вышел в открытый космос. Михайло Волков геолог.")</f>
        <v>Вера Волошина сражалась с фашистскими карателями в годы ВОВ. Леонов Вышел в открытый космос. Михайло Волков геолог.</v>
      </c>
      <c r="W1751" s="6" t="str">
        <f>IFERROR(__xludf.DUMMYFUNCTION("""COMPUTED_VALUE"""),"Выносливые. Великодушные. Сибирское здоровье. Имеющие чувство собственного достоинства.")</f>
        <v>Выносливые. Великодушные. Сибирское здоровье. Имеющие чувство собственного достоинства.</v>
      </c>
      <c r="X1751" s="6" t="str">
        <f>IFERROR(__xludf.DUMMYFUNCTION("""COMPUTED_VALUE"""),"Советский проспект. Весенняя улица. Притомский проспект. Проспект Химиков. Проспект Комсомольский")</f>
        <v>Советский проспект. Весенняя улица. Притомский проспект. Проспект Химиков. Проспект Комсомольский</v>
      </c>
      <c r="Y1751" s="6" t="str">
        <f>IFERROR(__xludf.DUMMYFUNCTION("""COMPUTED_VALUE"""),"27 Чемпионат мира по хоккею с мячом 2007 г.")</f>
        <v>27 Чемпионат мира по хоккею с мячом 2007 г.</v>
      </c>
      <c r="Z1751" s="6" t="str">
        <f>IFERROR(__xludf.DUMMYFUNCTION("""COMPUTED_VALUE"""),"Сохранение неприкосновенности бора. ")</f>
        <v>Сохранение неприкосновенности бора. </v>
      </c>
      <c r="AA1751" s="6" t="str">
        <f>IFERROR(__xludf.DUMMYFUNCTION("""COMPUTED_VALUE"""),"Митинг 21 апреля ")</f>
        <v>Митинг 21 апреля </v>
      </c>
      <c r="AB1751" s="6" t="str">
        <f>IFERROR(__xludf.DUMMYFUNCTION("""COMPUTED_VALUE"""),"Общество защиты животных")</f>
        <v>Общество защиты животных</v>
      </c>
      <c r="AC1751" s="6" t="str">
        <f>IFERROR(__xludf.DUMMYFUNCTION("""COMPUTED_VALUE"""),"Соревнования и спортивные мероприятия")</f>
        <v>Соревнования и спортивные мероприятия</v>
      </c>
      <c r="AD175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51" s="6" t="str">
        <f>IFERROR(__xludf.DUMMYFUNCTION("""COMPUTED_VALUE"""),"Женский")</f>
        <v>Женский</v>
      </c>
      <c r="AF1751" s="6" t="str">
        <f>IFERROR(__xludf.DUMMYFUNCTION("""COMPUTED_VALUE"""),"45-55")</f>
        <v>45-55</v>
      </c>
      <c r="AG1751" s="6"/>
      <c r="AH1751" s="6"/>
      <c r="AI1751" s="6"/>
      <c r="AJ1751" s="6"/>
      <c r="AK1751" s="6"/>
      <c r="AL1751" s="6"/>
      <c r="AM1751" s="6"/>
    </row>
    <row r="1752">
      <c r="A1752" s="6">
        <v>1751.0</v>
      </c>
      <c r="B1752" s="6" t="str">
        <f>IFERROR(__xludf.DUMMYFUNCTION("""COMPUTED_VALUE"""),"Работаю… Сверхстранный вопрос…")</f>
        <v>Работаю… Сверхстранный вопрос…</v>
      </c>
      <c r="C1752" s="6" t="str">
        <f>IFERROR(__xludf.DUMMYFUNCTION("""COMPUTED_VALUE"""),"Спать")</f>
        <v>Спать</v>
      </c>
      <c r="D1752" s="6" t="str">
        <f>IFERROR(__xludf.DUMMYFUNCTION("""COMPUTED_VALUE"""),"Ленинский. «На кольце»")</f>
        <v>Ленинский. «На кольце»</v>
      </c>
      <c r="E1752" s="6" t="str">
        <f>IFERROR(__xludf.DUMMYFUNCTION("""COMPUTED_VALUE"""),"Бульвар имени Строителей")</f>
        <v>Бульвар имени Строителей</v>
      </c>
      <c r="F1752" s="6" t="str">
        <f>IFERROR(__xludf.DUMMYFUNCTION("""COMPUTED_VALUE"""),"Живу здесь с рождения")</f>
        <v>Живу здесь с рождения</v>
      </c>
      <c r="G1752" s="6" t="str">
        <f>IFERROR(__xludf.DUMMYFUNCTION("""COMPUTED_VALUE"""),"Улица Весенняя")</f>
        <v>Улица Весенняя</v>
      </c>
      <c r="H1752" s="6" t="str">
        <f>IFERROR(__xludf.DUMMYFUNCTION("""COMPUTED_VALUE"""),"Вообще не знаю вариантов")</f>
        <v>Вообще не знаю вариантов</v>
      </c>
      <c r="I1752" s="6" t="str">
        <f>IFERROR(__xludf.DUMMYFUNCTION("""COMPUTED_VALUE"""),"Нет")</f>
        <v>Нет</v>
      </c>
      <c r="J1752" s="6" t="str">
        <f>IFERROR(__xludf.DUMMYFUNCTION("""COMPUTED_VALUE"""),"Нет таких!!")</f>
        <v>Нет таких!!</v>
      </c>
      <c r="K1752" s="6" t="str">
        <f>IFERROR(__xludf.DUMMYFUNCTION("""COMPUTED_VALUE"""),"Тут с официальными напряжёнка! В основном гуляли по центру и спустились к реке под Терешковским мостом. Последнее - интересно)")</f>
        <v>Тут с официальными напряжёнка! В основном гуляли по центру и спустились к реке под Терешковским мостом. Последнее - интересно)</v>
      </c>
      <c r="L1752" s="6" t="str">
        <f>IFERROR(__xludf.DUMMYFUNCTION("""COMPUTED_VALUE"""),"Нет информации ")</f>
        <v>Нет информации </v>
      </c>
      <c r="M1752" s="6" t="str">
        <f>IFERROR(__xludf.DUMMYFUNCTION("""COMPUTED_VALUE"""),"Мультифора ")</f>
        <v>Мультифора </v>
      </c>
      <c r="N1752" s="6" t="str">
        <f>IFERROR(__xludf.DUMMYFUNCTION("""COMPUTED_VALUE"""),"Отсутсвие постоянной вони в городе. Что аж не видно города с другого берега!!")</f>
        <v>Отсутсвие постоянной вони в городе. Что аж не видно города с другого берега!!</v>
      </c>
      <c r="O1752" s="6" t="str">
        <f>IFERROR(__xludf.DUMMYFUNCTION("""COMPUTED_VALUE"""),"Мусор соберите! Да, поганые люди раскидали пакеты! Но мусор присохший на асфальте по Ленина точно не я накидал!!")</f>
        <v>Мусор соберите! Да, поганые люди раскидали пакеты! Но мусор присохший на асфальте по Ленина точно не я накидал!!</v>
      </c>
      <c r="P1752" s="6" t="str">
        <f>IFERROR(__xludf.DUMMYFUNCTION("""COMPUTED_VALUE"""),"Инстаграм ")</f>
        <v>Инстаграм </v>
      </c>
      <c r="Q1752" s="6" t="str">
        <f>IFERROR(__xludf.DUMMYFUNCTION("""COMPUTED_VALUE"""),"где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v>
      </c>
      <c r="R1752" s="6" t="str">
        <f>IFERROR(__xludf.DUMMYFUNCTION("""COMPUTED_VALUE"""),"Не те, на которые намекаете))")</f>
        <v>Не те, на которые намекаете))</v>
      </c>
      <c r="S1752" s="6" t="str">
        <f>IFERROR(__xludf.DUMMYFUNCTION("""COMPUTED_VALUE"""),"Нет, не приходилось")</f>
        <v>Нет, не приходилось</v>
      </c>
      <c r="T1752" s="6" t="str">
        <f>IFERROR(__xludf.DUMMYFUNCTION("""COMPUTED_VALUE"""),"Тоска ")</f>
        <v>Тоска </v>
      </c>
      <c r="U1752" s="6" t="str">
        <f>IFERROR(__xludf.DUMMYFUNCTION("""COMPUTED_VALUE"""),"Драмтеатр с фонтаном")</f>
        <v>Драмтеатр с фонтаном</v>
      </c>
      <c r="V1752" s="6" t="str">
        <f>IFERROR(__xludf.DUMMYFUNCTION("""COMPUTED_VALUE"""),"Ничего")</f>
        <v>Ничего</v>
      </c>
      <c r="W1752" s="6" t="str">
        <f>IFERROR(__xludf.DUMMYFUNCTION("""COMPUTED_VALUE"""),"С двумя ногами ПОКА. С такой экологией…")</f>
        <v>С двумя ногами ПОКА. С такой экологией…</v>
      </c>
      <c r="X1752" s="6" t="str">
        <f>IFERROR(__xludf.DUMMYFUNCTION("""COMPUTED_VALUE"""),"Весенняя. ")</f>
        <v>Весенняя. </v>
      </c>
      <c r="Y1752" s="6" t="str">
        <f>IFERROR(__xludf.DUMMYFUNCTION("""COMPUTED_VALUE"""),"Пустота")</f>
        <v>Пустота</v>
      </c>
      <c r="Z1752" s="6" t="str">
        <f>IFERROR(__xludf.DUMMYFUNCTION("""COMPUTED_VALUE"""),"Пустота ")</f>
        <v>Пустота </v>
      </c>
      <c r="AA1752" s="6" t="str">
        <f>IFERROR(__xludf.DUMMYFUNCTION("""COMPUTED_VALUE"""),"Маргиналы под окнами вчера")</f>
        <v>Маргиналы под окнами вчера</v>
      </c>
      <c r="AB1752" s="6" t="str">
        <f>IFERROR(__xludf.DUMMYFUNCTION("""COMPUTED_VALUE"""),"Сообществ? Не в себе?!")</f>
        <v>Сообществ? Не в себе?!</v>
      </c>
      <c r="AC1752" s="6" t="str">
        <f>IFERROR(__xludf.DUMMYFUNCTION("""COMPUTED_VALUE"""),"Подмести мусор на асфальте))")</f>
        <v>Подмести мусор на асфальте))</v>
      </c>
      <c r="AD175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52" s="6" t="str">
        <f>IFERROR(__xludf.DUMMYFUNCTION("""COMPUTED_VALUE"""),"Мужской")</f>
        <v>Мужской</v>
      </c>
      <c r="AF1752" s="6" t="str">
        <f>IFERROR(__xludf.DUMMYFUNCTION("""COMPUTED_VALUE"""),"30-44")</f>
        <v>30-44</v>
      </c>
      <c r="AG1752" s="6"/>
      <c r="AH1752" s="6"/>
      <c r="AI1752" s="6"/>
      <c r="AJ1752" s="6"/>
      <c r="AK1752" s="6"/>
      <c r="AL1752" s="6"/>
      <c r="AM1752" s="6"/>
    </row>
    <row r="1753">
      <c r="A1753" s="6">
        <v>1752.0</v>
      </c>
      <c r="B1753" s="6" t="str">
        <f>IFERROR(__xludf.DUMMYFUNCTION("""COMPUTED_VALUE"""),"Программист")</f>
        <v>Программист</v>
      </c>
      <c r="C1753" s="6" t="str">
        <f>IFERROR(__xludf.DUMMYFUNCTION("""COMPUTED_VALUE"""),"Нет")</f>
        <v>Нет</v>
      </c>
      <c r="D1753" s="6" t="str">
        <f>IFERROR(__xludf.DUMMYFUNCTION("""COMPUTED_VALUE"""),"Кировский райчик")</f>
        <v>Кировский райчик</v>
      </c>
      <c r="E1753" s="6" t="str">
        <f>IFERROR(__xludf.DUMMYFUNCTION("""COMPUTED_VALUE"""),"Набережная ")</f>
        <v>Набережная </v>
      </c>
      <c r="F1753" s="6" t="str">
        <f>IFERROR(__xludf.DUMMYFUNCTION("""COMPUTED_VALUE"""),"Живу здесь с рождения")</f>
        <v>Живу здесь с рождения</v>
      </c>
      <c r="G1753" s="6" t="str">
        <f>IFERROR(__xludf.DUMMYFUNCTION("""COMPUTED_VALUE"""),"Набережная ")</f>
        <v>Набережная </v>
      </c>
      <c r="H1753" s="6" t="str">
        <f>IFERROR(__xludf.DUMMYFUNCTION("""COMPUTED_VALUE"""),"Шахта, Томь, Берёза, Кузбасс, Родина")</f>
        <v>Шахта, Томь, Берёза, Кузбасс, Родина</v>
      </c>
      <c r="I1753" s="6" t="str">
        <f>IFERROR(__xludf.DUMMYFUNCTION("""COMPUTED_VALUE"""),"Волков")</f>
        <v>Волков</v>
      </c>
      <c r="J1753" s="6" t="str">
        <f>IFERROR(__xludf.DUMMYFUNCTION("""COMPUTED_VALUE"""),"Тулеев")</f>
        <v>Тулеев</v>
      </c>
      <c r="K1753" s="6" t="str">
        <f>IFERROR(__xludf.DUMMYFUNCTION("""COMPUTED_VALUE"""),"Томская писаница, парк Жукова")</f>
        <v>Томская писаница, парк Жукова</v>
      </c>
      <c r="L1753" s="6" t="str">
        <f>IFERROR(__xludf.DUMMYFUNCTION("""COMPUTED_VALUE"""),"-")</f>
        <v>-</v>
      </c>
      <c r="M1753" s="6" t="str">
        <f>IFERROR(__xludf.DUMMYFUNCTION("""COMPUTED_VALUE"""),"-")</f>
        <v>-</v>
      </c>
      <c r="N1753" s="6" t="str">
        <f>IFERROR(__xludf.DUMMYFUNCTION("""COMPUTED_VALUE"""),"Тихие район, шаговая доступность инфраструктуры, близкое расположение леса из любого района")</f>
        <v>Тихие район, шаговая доступность инфраструктуры, близкое расположение леса из любого района</v>
      </c>
      <c r="O1753" s="6" t="str">
        <f>IFERROR(__xludf.DUMMYFUNCTION("""COMPUTED_VALUE"""),"-")</f>
        <v>-</v>
      </c>
      <c r="P1753" s="6" t="str">
        <f>IFERROR(__xludf.DUMMYFUNCTION("""COMPUTED_VALUE"""),"Инстаграм ")</f>
        <v>Инстаграм </v>
      </c>
      <c r="Q1753" s="6" t="str">
        <f>IFERROR(__xludf.DUMMYFUNCTION("""COMPUTED_VALUE"""),"городская афиша (кино/театр/концерты), культурные новинки (что почитать/что послушать), криминальные новости (происшествия/преступления)")</f>
        <v>городская афиша (кино/театр/концерты), культурные новинки (что почитать/что послушать), криминальные новости (происшествия/преступления)</v>
      </c>
      <c r="R1753" s="6" t="str">
        <f>IFERROR(__xludf.DUMMYFUNCTION("""COMPUTED_VALUE"""),"День города, день победы, день шахтёра ")</f>
        <v>День города, день победы, день шахтёра </v>
      </c>
      <c r="S1753" s="6" t="str">
        <f>IFERROR(__xludf.DUMMYFUNCTION("""COMPUTED_VALUE"""),"Нет, не приходилось")</f>
        <v>Нет, не приходилось</v>
      </c>
      <c r="T1753" s="6" t="str">
        <f>IFERROR(__xludf.DUMMYFUNCTION("""COMPUTED_VALUE"""),"Шахты, тайга")</f>
        <v>Шахты, тайга</v>
      </c>
      <c r="U1753" s="6" t="str">
        <f>IFERROR(__xludf.DUMMYFUNCTION("""COMPUTED_VALUE"""),"Площадь Советов ")</f>
        <v>Площадь Советов </v>
      </c>
      <c r="V1753" s="6" t="str">
        <f>IFERROR(__xludf.DUMMYFUNCTION("""COMPUTED_VALUE"""),"Не разрушают город, а совершенствуют")</f>
        <v>Не разрушают город, а совершенствуют</v>
      </c>
      <c r="W1753" s="6" t="str">
        <f>IFERROR(__xludf.DUMMYFUNCTION("""COMPUTED_VALUE"""),"Бедные, но добрые")</f>
        <v>Бедные, но добрые</v>
      </c>
      <c r="X1753" s="6" t="str">
        <f>IFERROR(__xludf.DUMMYFUNCTION("""COMPUTED_VALUE"""),"Томская писаница, там вся история Кузбасса")</f>
        <v>Томская писаница, там вся история Кузбасса</v>
      </c>
      <c r="Y1753" s="6" t="str">
        <f>IFERROR(__xludf.DUMMYFUNCTION("""COMPUTED_VALUE"""),"-")</f>
        <v>-</v>
      </c>
      <c r="Z1753" s="6" t="str">
        <f>IFERROR(__xludf.DUMMYFUNCTION("""COMPUTED_VALUE"""),"Короновирус ")</f>
        <v>Короновирус </v>
      </c>
      <c r="AA1753" s="6" t="str">
        <f>IFERROR(__xludf.DUMMYFUNCTION("""COMPUTED_VALUE"""),"-")</f>
        <v>-</v>
      </c>
      <c r="AB1753" s="6" t="str">
        <f>IFERROR(__xludf.DUMMYFUNCTION("""COMPUTED_VALUE"""),"-")</f>
        <v>-</v>
      </c>
      <c r="AC1753" s="6" t="str">
        <f>IFERROR(__xludf.DUMMYFUNCTION("""COMPUTED_VALUE"""),"-")</f>
        <v>-</v>
      </c>
      <c r="AD175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53" s="6" t="str">
        <f>IFERROR(__xludf.DUMMYFUNCTION("""COMPUTED_VALUE"""),"Женский")</f>
        <v>Женский</v>
      </c>
      <c r="AF1753" s="6" t="str">
        <f>IFERROR(__xludf.DUMMYFUNCTION("""COMPUTED_VALUE"""),"30-44")</f>
        <v>30-44</v>
      </c>
      <c r="AG1753" s="6"/>
      <c r="AH1753" s="6"/>
      <c r="AI1753" s="6"/>
      <c r="AJ1753" s="6"/>
      <c r="AK1753" s="6"/>
      <c r="AL1753" s="6"/>
      <c r="AM1753" s="6"/>
    </row>
    <row r="1754">
      <c r="A1754" s="6">
        <v>1753.0</v>
      </c>
      <c r="B1754" s="6" t="str">
        <f>IFERROR(__xludf.DUMMYFUNCTION("""COMPUTED_VALUE"""),"Безработная")</f>
        <v>Безработная</v>
      </c>
      <c r="C1754" s="6" t="str">
        <f>IFERROR(__xludf.DUMMYFUNCTION("""COMPUTED_VALUE"""),"Без ком.")</f>
        <v>Без ком.</v>
      </c>
      <c r="D1754" s="6" t="str">
        <f>IFERROR(__xludf.DUMMYFUNCTION("""COMPUTED_VALUE"""),"Кировской")</f>
        <v>Кировской</v>
      </c>
      <c r="E1754" s="6" t="str">
        <f>IFERROR(__xludf.DUMMYFUNCTION("""COMPUTED_VALUE"""),"Набережная, микрашка, Леонова, рынак")</f>
        <v>Набережная, микрашка, Леонова, рынак</v>
      </c>
      <c r="F1754" s="6" t="str">
        <f>IFERROR(__xludf.DUMMYFUNCTION("""COMPUTED_VALUE"""),"Живу здесь с рождения")</f>
        <v>Живу здесь с рождения</v>
      </c>
      <c r="G1754" s="6" t="str">
        <f>IFERROR(__xludf.DUMMYFUNCTION("""COMPUTED_VALUE"""),"Практически везде, город не велик...")</f>
        <v>Практически везде, город не велик...</v>
      </c>
      <c r="H1754" s="6" t="str">
        <f>IFERROR(__xludf.DUMMYFUNCTION("""COMPUTED_VALUE"""),"Грязный воздух, милая архитектура, сосновый бор, Томь, безработица")</f>
        <v>Грязный воздух, милая архитектура, сосновый бор, Томь, безработица</v>
      </c>
      <c r="I1754" s="6" t="str">
        <f>IFERROR(__xludf.DUMMYFUNCTION("""COMPUTED_VALUE"""),"Рутгерс,Леонов, Тулеев,")</f>
        <v>Рутгерс,Леонов, Тулеев,</v>
      </c>
      <c r="J1754" s="6" t="str">
        <f>IFERROR(__xludf.DUMMYFUNCTION("""COMPUTED_VALUE"""),"Большинство  уехали")</f>
        <v>Большинство  уехали</v>
      </c>
      <c r="K1754" s="6" t="str">
        <f>IFERROR(__xludf.DUMMYFUNCTION("""COMPUTED_VALUE"""),"Томская писаница")</f>
        <v>Томская писаница</v>
      </c>
      <c r="L1754" s="6" t="str">
        <f>IFERROR(__xludf.DUMMYFUNCTION("""COMPUTED_VALUE"""),"Скажи мне,что нибудь грязное - Кемерово")</f>
        <v>Скажи мне,что нибудь грязное - Кемерово</v>
      </c>
      <c r="M1754" s="6" t="str">
        <f>IFERROR(__xludf.DUMMYFUNCTION("""COMPUTED_VALUE"""),"Кировской- большая деревенька. Южный- никаких не нужный..
Тусить на драмме(весеньке)")</f>
        <v>Кировской- большая деревенька. Южный- никаких не нужный..
Тусить на драмме(весеньке)</v>
      </c>
      <c r="N1754" s="6" t="str">
        <f>IFERROR(__xludf.DUMMYFUNCTION("""COMPUTED_VALUE"""),"Хорошая экология, развитая инфраструктура, большое количество переспективных рабочих мест с достойной зарплатой!!!")</f>
        <v>Хорошая экология, развитая инфраструктура, большое количество переспективных рабочих мест с достойной зарплатой!!!</v>
      </c>
      <c r="O1754" s="6" t="str">
        <f>IFERROR(__xludf.DUMMYFUNCTION("""COMPUTED_VALUE"""),"1) Улучшить экологию( в Кировском скоро вообще дышать будет нечем...на территории бывшего прогресса и акз, открылась множество полулегальных заводиков которые портят воздух, в основном по ночам..); 2)открывать новые рабочие места; 3)реально повысить зарпл"&amp;"аты!!! 4) заняться коммунальной сферой, в городе с каждым годом все грязные... 5) решить проблему с доступностью медицины( очень большие очереди, занесены раньше, чем попадаешь к врачу...)")</f>
        <v>1) Улучшить экологию( в Кировском скоро вообще дышать будет нечем...на территории бывшего прогресса и акз, открылась множество полулегальных заводиков которые портят воздух, в основном по ночам..); 2)открывать новые рабочие места; 3)реально повысить зарплаты!!! 4) заняться коммунальной сферой, в городе с каждым годом все грязные... 5) решить проблему с доступностью медицины( очень большие очереди, занесены раньше, чем попадаешь к врачу...)</v>
      </c>
      <c r="P1754" s="6" t="str">
        <f>IFERROR(__xludf.DUMMYFUNCTION("""COMPUTED_VALUE"""),"Все 42, Инстаграм...")</f>
        <v>Все 42, Инстаграм...</v>
      </c>
      <c r="Q1754" s="6" t="str">
        <f>IFERROR(__xludf.DUMMYFUNCTION("""COMPUTED_VALUE"""),"куда пойти в свободное время, интервью с местными предпринимателями,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f>
        <v>куда пойти в свободное время, интервью с местными предпринимателями,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1754" s="6" t="str">
        <f>IFERROR(__xludf.DUMMYFUNCTION("""COMPUTED_VALUE"""),"Маслиница, 9 мая, день города, день шахтера, новый год")</f>
        <v>Маслиница, 9 мая, день города, день шахтера, новый год</v>
      </c>
      <c r="S1754" s="6" t="str">
        <f>IFERROR(__xludf.DUMMYFUNCTION("""COMPUTED_VALUE"""),"Нет, не приходилось")</f>
        <v>Нет, не приходилось</v>
      </c>
      <c r="T1754" s="6" t="str">
        <f>IFERROR(__xludf.DUMMYFUNCTION("""COMPUTED_VALUE"""),"Добыча угля... ")</f>
        <v>Добыча угля... </v>
      </c>
      <c r="U1754" s="6" t="str">
        <f>IFERROR(__xludf.DUMMYFUNCTION("""COMPUTED_VALUE"""),"Площадь советов- Кирово")</f>
        <v>Площадь советов- Кирово</v>
      </c>
      <c r="V1754" s="6" t="str">
        <f>IFERROR(__xludf.DUMMYFUNCTION("""COMPUTED_VALUE"""),"До 90-х гордились промышленностью, и построили город практически с нуля")</f>
        <v>До 90-х гордились промышленностью, и построили город практически с нуля</v>
      </c>
      <c r="W1754" s="6" t="str">
        <f>IFERROR(__xludf.DUMMYFUNCTION("""COMPUTED_VALUE"""),"Отзывчивость")</f>
        <v>Отзывчивость</v>
      </c>
      <c r="X1754" s="6" t="str">
        <f>IFERROR(__xludf.DUMMYFUNCTION("""COMPUTED_VALUE"""),"Центр города")</f>
        <v>Центр города</v>
      </c>
      <c r="Y1754" s="6" t="str">
        <f>IFERROR(__xludf.DUMMYFUNCTION("""COMPUTED_VALUE"""),"Все что были")</f>
        <v>Все что были</v>
      </c>
      <c r="Z1754" s="6" t="str">
        <f>IFERROR(__xludf.DUMMYFUNCTION("""COMPUTED_VALUE"""),"НИКАКИЕ, за последние лет 5 все как то скромно")</f>
        <v>НИКАКИЕ, за последние лет 5 все как то скромно</v>
      </c>
      <c r="AA1754" s="6" t="str">
        <f>IFERROR(__xludf.DUMMYFUNCTION("""COMPUTED_VALUE"""),"Карантин,черное небо, работа ГКБ 3")</f>
        <v>Карантин,черное небо, работа ГКБ 3</v>
      </c>
      <c r="AB1754" s="6" t="str">
        <f>IFERROR(__xludf.DUMMYFUNCTION("""COMPUTED_VALUE"""),"Данный вопрос требует уточнения")</f>
        <v>Данный вопрос требует уточнения</v>
      </c>
      <c r="AC1754" s="6" t="str">
        <f>IFERROR(__xludf.DUMMYFUNCTION("""COMPUTED_VALUE"""),"Народные праздники (кроме религиозных), спартакиады, Арбат на весенней интересный проект, больше уличных музыкантов")</f>
        <v>Народные праздники (кроме религиозных), спартакиады, Арбат на весенней интересный проект, больше уличных музыкантов</v>
      </c>
      <c r="AD175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754" s="6" t="str">
        <f>IFERROR(__xludf.DUMMYFUNCTION("""COMPUTED_VALUE"""),"Женский")</f>
        <v>Женский</v>
      </c>
      <c r="AF1754" s="6" t="str">
        <f>IFERROR(__xludf.DUMMYFUNCTION("""COMPUTED_VALUE"""),"30-44")</f>
        <v>30-44</v>
      </c>
      <c r="AG1754" s="6"/>
      <c r="AH1754" s="6"/>
      <c r="AI1754" s="6"/>
      <c r="AJ1754" s="6"/>
      <c r="AK1754" s="6"/>
      <c r="AL1754" s="6"/>
      <c r="AM1754" s="6"/>
    </row>
    <row r="1755">
      <c r="A1755" s="6">
        <v>1754.0</v>
      </c>
      <c r="B1755" s="6" t="str">
        <f>IFERROR(__xludf.DUMMYFUNCTION("""COMPUTED_VALUE"""),"Инженер")</f>
        <v>Инженер</v>
      </c>
      <c r="C1755" s="6" t="str">
        <f>IFERROR(__xludf.DUMMYFUNCTION("""COMPUTED_VALUE"""),"-")</f>
        <v>-</v>
      </c>
      <c r="D1755" s="6" t="str">
        <f>IFERROR(__xludf.DUMMYFUNCTION("""COMPUTED_VALUE"""),"Центральный, Швейка")</f>
        <v>Центральный, Швейка</v>
      </c>
      <c r="E1755" s="6" t="str">
        <f>IFERROR(__xludf.DUMMYFUNCTION("""COMPUTED_VALUE"""),"Парк ангелов")</f>
        <v>Парк ангелов</v>
      </c>
      <c r="F1755" s="6" t="str">
        <f>IFERROR(__xludf.DUMMYFUNCTION("""COMPUTED_VALUE"""),"Живу здесь с рождения")</f>
        <v>Живу здесь с рождения</v>
      </c>
      <c r="G1755" s="6" t="str">
        <f>IFERROR(__xludf.DUMMYFUNCTION("""COMPUTED_VALUE"""),"На набережную")</f>
        <v>На набережную</v>
      </c>
      <c r="H1755" s="6" t="str">
        <f>IFERROR(__xludf.DUMMYFUNCTION("""COMPUTED_VALUE"""),"Плохая экология, сам город хороший, мало интересных магазинов")</f>
        <v>Плохая экология, сам город хороший, мало интересных магазинов</v>
      </c>
      <c r="I1755" s="6" t="str">
        <f>IFERROR(__xludf.DUMMYFUNCTION("""COMPUTED_VALUE"""),"Волков")</f>
        <v>Волков</v>
      </c>
      <c r="J1755" s="6" t="str">
        <f>IFERROR(__xludf.DUMMYFUNCTION("""COMPUTED_VALUE"""),"-")</f>
        <v>-</v>
      </c>
      <c r="K1755" s="6" t="str">
        <f>IFERROR(__xludf.DUMMYFUNCTION("""COMPUTED_VALUE"""),"Центр")</f>
        <v>Центр</v>
      </c>
      <c r="L1755" s="6" t="str">
        <f>IFERROR(__xludf.DUMMYFUNCTION("""COMPUTED_VALUE"""),"-")</f>
        <v>-</v>
      </c>
      <c r="M1755" s="6" t="str">
        <f>IFERROR(__xludf.DUMMYFUNCTION("""COMPUTED_VALUE"""),"-")</f>
        <v>-</v>
      </c>
      <c r="N1755" s="6" t="str">
        <f>IFERROR(__xludf.DUMMYFUNCTION("""COMPUTED_VALUE"""),"Транспортная развязка, хорошие дороги, нет квартальной застройки, есть возможность разделять мусор, чистота")</f>
        <v>Транспортная развязка, хорошие дороги, нет квартальной застройки, есть возможность разделять мусор, чистота</v>
      </c>
      <c r="O1755" s="6" t="str">
        <f>IFERROR(__xludf.DUMMYFUNCTION("""COMPUTED_VALUE"""),"Улучшить экологию, чтобы легкие не горели, когда делаешь вдох")</f>
        <v>Улучшить экологию, чтобы легкие не горели, когда делаешь вдох</v>
      </c>
      <c r="P1755" s="6" t="str">
        <f>IFERROR(__xludf.DUMMYFUNCTION("""COMPUTED_VALUE"""),"Афиша Кемерово, интернет ресурсы")</f>
        <v>Афиша Кемерово, интернет ресурсы</v>
      </c>
      <c r="Q1755" s="6" t="str">
        <f>IFERROR(__xludf.DUMMYFUNCTION("""COMPUTED_VALUE"""),"где вкусно поесть/открытие новых кафе/ресторанов, новости про новые профессии/куда поступать/вакансии, результаты местных исследований (рейтинги/аналитика/тенденции)")</f>
        <v>где вкусно поесть/открытие новых кафе/ресторанов, новости про новые профессии/куда поступать/вакансии, результаты местных исследований (рейтинги/аналитика/тенденции)</v>
      </c>
      <c r="R1755" s="6" t="str">
        <f>IFERROR(__xludf.DUMMYFUNCTION("""COMPUTED_VALUE"""),"-")</f>
        <v>-</v>
      </c>
      <c r="S1755" s="6" t="str">
        <f>IFERROR(__xludf.DUMMYFUNCTION("""COMPUTED_VALUE"""),"Нет, не приходилось")</f>
        <v>Нет, не приходилось</v>
      </c>
      <c r="T1755" s="6" t="str">
        <f>IFERROR(__xludf.DUMMYFUNCTION("""COMPUTED_VALUE"""),"Уютный город")</f>
        <v>Уютный город</v>
      </c>
      <c r="U1755" s="6" t="str">
        <f>IFERROR(__xludf.DUMMYFUNCTION("""COMPUTED_VALUE"""),"-")</f>
        <v>-</v>
      </c>
      <c r="V1755" s="6" t="str">
        <f>IFERROR(__xludf.DUMMYFUNCTION("""COMPUTED_VALUE"""),"-")</f>
        <v>-</v>
      </c>
      <c r="W1755" s="6" t="str">
        <f>IFERROR(__xludf.DUMMYFUNCTION("""COMPUTED_VALUE"""),"Быдло, низкий уровень просвещенности ")</f>
        <v>Быдло, низкий уровень просвещенности </v>
      </c>
      <c r="X1755" s="6" t="str">
        <f>IFERROR(__xludf.DUMMYFUNCTION("""COMPUTED_VALUE"""),"-")</f>
        <v>-</v>
      </c>
      <c r="Y1755" s="6" t="str">
        <f>IFERROR(__xludf.DUMMYFUNCTION("""COMPUTED_VALUE"""),"-")</f>
        <v>-</v>
      </c>
      <c r="Z1755" s="6" t="str">
        <f>IFERROR(__xludf.DUMMYFUNCTION("""COMPUTED_VALUE"""),"—")</f>
        <v>—</v>
      </c>
      <c r="AA1755" s="6" t="str">
        <f>IFERROR(__xludf.DUMMYFUNCTION("""COMPUTED_VALUE"""),"—")</f>
        <v>—</v>
      </c>
      <c r="AB1755" s="6" t="str">
        <f>IFERROR(__xludf.DUMMYFUNCTION("""COMPUTED_VALUE"""),"Оперы")</f>
        <v>Оперы</v>
      </c>
      <c r="AC1755" s="6" t="str">
        <f>IFERROR(__xludf.DUMMYFUNCTION("""COMPUTED_VALUE"""),"Субботников ")</f>
        <v>Субботников </v>
      </c>
      <c r="AD175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755" s="6" t="str">
        <f>IFERROR(__xludf.DUMMYFUNCTION("""COMPUTED_VALUE"""),"Женский")</f>
        <v>Женский</v>
      </c>
      <c r="AF1755" s="6" t="str">
        <f>IFERROR(__xludf.DUMMYFUNCTION("""COMPUTED_VALUE"""),"18-29")</f>
        <v>18-29</v>
      </c>
      <c r="AG1755" s="6"/>
      <c r="AH1755" s="6"/>
      <c r="AI1755" s="6"/>
      <c r="AJ1755" s="6"/>
      <c r="AK1755" s="6"/>
      <c r="AL1755" s="6"/>
      <c r="AM1755" s="6"/>
    </row>
    <row r="1756">
      <c r="A1756" s="6">
        <v>1755.0</v>
      </c>
      <c r="B1756" s="6" t="str">
        <f>IFERROR(__xludf.DUMMYFUNCTION("""COMPUTED_VALUE"""),"Образование и воспитание")</f>
        <v>Образование и воспитание</v>
      </c>
      <c r="C1756" s="6" t="str">
        <f>IFERROR(__xludf.DUMMYFUNCTION("""COMPUTED_VALUE"""),"Чтение книг")</f>
        <v>Чтение книг</v>
      </c>
      <c r="D1756" s="6" t="str">
        <f>IFERROR(__xludf.DUMMYFUNCTION("""COMPUTED_VALUE"""),"Ленинский")</f>
        <v>Ленинский</v>
      </c>
      <c r="E1756" s="6" t="str">
        <f>IFERROR(__xludf.DUMMYFUNCTION("""COMPUTED_VALUE"""),"Бульвар строителей")</f>
        <v>Бульвар строителей</v>
      </c>
      <c r="F1756" s="6" t="str">
        <f>IFERROR(__xludf.DUMMYFUNCTION("""COMPUTED_VALUE"""),"Переехал сюда из другого места (откуда? укажите в графе другое), Из др города Кемеровской обл")</f>
        <v>Переехал сюда из другого места (откуда? укажите в графе другое), Из др города Кемеровской обл</v>
      </c>
      <c r="G1756" s="6" t="str">
        <f>IFERROR(__xludf.DUMMYFUNCTION("""COMPUTED_VALUE"""),"Красное озеро, бульвар, парк веры волошиной, сосновый бор. Томская писаница, парк чудес")</f>
        <v>Красное озеро, бульвар, парк веры волошиной, сосновый бор. Томская писаница, парк чудес</v>
      </c>
      <c r="H1756" s="6" t="str">
        <f>IFERROR(__xludf.DUMMYFUNCTION("""COMPUTED_VALUE"""),"Черное небо, футболка человек из кемерово")</f>
        <v>Черное небо, футболка человек из кемерово</v>
      </c>
      <c r="I1756" s="6" t="str">
        <f>IFERROR(__xludf.DUMMYFUNCTION("""COMPUTED_VALUE"""),"А. Леонов, М. Волков, Гришковец")</f>
        <v>А. Леонов, М. Волков, Гришковец</v>
      </c>
      <c r="J1756" s="6" t="str">
        <f>IFERROR(__xludf.DUMMYFUNCTION("""COMPUTED_VALUE"""),"К сожалению не могу назвать")</f>
        <v>К сожалению не могу назвать</v>
      </c>
      <c r="K1756" s="6" t="str">
        <f>IFERROR(__xludf.DUMMYFUNCTION("""COMPUTED_VALUE"""),"Красная горка, сосновый бор.")</f>
        <v>Красная горка, сосновый бор.</v>
      </c>
      <c r="L1756" s="6" t="str">
        <f>IFERROR(__xludf.DUMMYFUNCTION("""COMPUTED_VALUE"""),"Нет")</f>
        <v>Нет</v>
      </c>
      <c r="M1756" s="6" t="str">
        <f>IFERROR(__xludf.DUMMYFUNCTION("""COMPUTED_VALUE"""),"Нет")</f>
        <v>Нет</v>
      </c>
      <c r="N1756" s="6" t="str">
        <f>IFERROR(__xludf.DUMMYFUNCTION("""COMPUTED_VALUE"""),"Чистый воздух, хорошие дороги, развитая инфраструктура, зеленые дворы и парки, безопасность")</f>
        <v>Чистый воздух, хорошие дороги, развитая инфраструктура, зеленые дворы и парки, безопасность</v>
      </c>
      <c r="O1756" s="6" t="str">
        <f>IFERROR(__xludf.DUMMYFUNCTION("""COMPUTED_VALUE"""),"Создать рабочие места, желательно производственные")</f>
        <v>Создать рабочие места, желательно производственные</v>
      </c>
      <c r="P1756" s="6" t="str">
        <f>IFERROR(__xludf.DUMMYFUNCTION("""COMPUTED_VALUE"""),"Интернет, соцсети")</f>
        <v>Интернет, соцсети</v>
      </c>
      <c r="Q1756" s="6" t="str">
        <f>IFERROR(__xludf.DUMMYFUNCTION("""COMPUTED_VALUE"""),"городская афиша (кино/театр/концерты), новости про новые профессии/куда поступать/вакансии, результаты местных исследований (рейтинги/аналитика/тенденции)")</f>
        <v>городская афиша (кино/театр/концерты), новости про новые профессии/куда поступать/вакансии, результаты местных исследований (рейтинги/аналитика/тенденции)</v>
      </c>
      <c r="R1756" s="6" t="str">
        <f>IFERROR(__xludf.DUMMYFUNCTION("""COMPUTED_VALUE"""),"9 мая, новый год")</f>
        <v>9 мая, новый год</v>
      </c>
      <c r="S1756" s="6" t="str">
        <f>IFERROR(__xludf.DUMMYFUNCTION("""COMPUTED_VALUE"""),"Нет, не приходилось")</f>
        <v>Нет, не приходилось</v>
      </c>
      <c r="T1756" s="6" t="str">
        <f>IFERROR(__xludf.DUMMYFUNCTION("""COMPUTED_VALUE"""),"Рудничный бор")</f>
        <v>Рудничный бор</v>
      </c>
      <c r="U1756" s="6" t="str">
        <f>IFERROR(__xludf.DUMMYFUNCTION("""COMPUTED_VALUE"""),"Красная горка и улица весенняя")</f>
        <v>Красная горка и улица весенняя</v>
      </c>
      <c r="V1756" s="6" t="str">
        <f>IFERROR(__xludf.DUMMYFUNCTION("""COMPUTED_VALUE"""),"Стать вежлевее и добрее друг к другу")</f>
        <v>Стать вежлевее и добрее друг к другу</v>
      </c>
      <c r="W1756" s="6" t="str">
        <f>IFERROR(__xludf.DUMMYFUNCTION("""COMPUTED_VALUE"""),"Хмурые, некультурные, быдловатые")</f>
        <v>Хмурые, некультурные, быдловатые</v>
      </c>
      <c r="X1756" s="6" t="str">
        <f>IFERROR(__xludf.DUMMYFUNCTION("""COMPUTED_VALUE"""),"Проспект Советский")</f>
        <v>Проспект Советский</v>
      </c>
      <c r="Y1756" s="6" t="str">
        <f>IFERROR(__xludf.DUMMYFUNCTION("""COMPUTED_VALUE"""),"Никакое")</f>
        <v>Никакое</v>
      </c>
      <c r="Z1756" s="6" t="str">
        <f>IFERROR(__xludf.DUMMYFUNCTION("""COMPUTED_VALUE"""),"Сделали набережную в кировском и построили дорого проспект Московский")</f>
        <v>Сделали набережную в кировском и построили дорого проспект Московский</v>
      </c>
      <c r="AA1756" s="6" t="str">
        <f>IFERROR(__xludf.DUMMYFUNCTION("""COMPUTED_VALUE"""),"Пожар в зимней вишне перекроит все еще долгие годы. Закрытие лазурного")</f>
        <v>Пожар в зимней вишне перекроит все еще долгие годы. Закрытие лазурного</v>
      </c>
      <c r="AB1756" s="6" t="str">
        <f>IFERROR(__xludf.DUMMYFUNCTION("""COMPUTED_VALUE"""),"Мне некогда думать над этим вопросом, я все время провожу на работе")</f>
        <v>Мне некогда думать над этим вопросом, я все время провожу на работе</v>
      </c>
      <c r="AC1756" s="6" t="str">
        <f>IFERROR(__xludf.DUMMYFUNCTION("""COMPUTED_VALUE"""),"Повысить людям уровень жизни и покупательскую способность")</f>
        <v>Повысить людям уровень жизни и покупательскую способность</v>
      </c>
      <c r="AD175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56" s="6" t="str">
        <f>IFERROR(__xludf.DUMMYFUNCTION("""COMPUTED_VALUE"""),"Женский")</f>
        <v>Женский</v>
      </c>
      <c r="AF1756" s="6" t="str">
        <f>IFERROR(__xludf.DUMMYFUNCTION("""COMPUTED_VALUE"""),"30-44")</f>
        <v>30-44</v>
      </c>
      <c r="AG1756" s="6"/>
      <c r="AH1756" s="6"/>
      <c r="AI1756" s="6"/>
      <c r="AJ1756" s="6"/>
      <c r="AK1756" s="6"/>
      <c r="AL1756" s="6"/>
      <c r="AM1756" s="6"/>
    </row>
    <row r="1757">
      <c r="A1757" s="6">
        <v>1756.0</v>
      </c>
      <c r="B1757" s="6" t="str">
        <f>IFERROR(__xludf.DUMMYFUNCTION("""COMPUTED_VALUE"""),"Гос служащий")</f>
        <v>Гос служащий</v>
      </c>
      <c r="C1757" s="6" t="str">
        <f>IFERROR(__xludf.DUMMYFUNCTION("""COMPUTED_VALUE"""),"Спортивная борьба ")</f>
        <v>Спортивная борьба </v>
      </c>
      <c r="D1757" s="6" t="str">
        <f>IFERROR(__xludf.DUMMYFUNCTION("""COMPUTED_VALUE"""),"Заводской (пзп) ")</f>
        <v>Заводской (пзп) </v>
      </c>
      <c r="E1757" s="6" t="str">
        <f>IFERROR(__xludf.DUMMYFUNCTION("""COMPUTED_VALUE"""),"Немецкое кладбище ")</f>
        <v>Немецкое кладбище </v>
      </c>
      <c r="F1757" s="6" t="str">
        <f>IFERROR(__xludf.DUMMYFUNCTION("""COMPUTED_VALUE"""),"Родился здесь,но сейчас живу в другом городе")</f>
        <v>Родился здесь,но сейчас живу в другом городе</v>
      </c>
      <c r="G1757" s="6" t="str">
        <f>IFERROR(__xludf.DUMMYFUNCTION("""COMPUTED_VALUE"""),"Трц")</f>
        <v>Трц</v>
      </c>
      <c r="H1757" s="6" t="str">
        <f>IFERROR(__xludf.DUMMYFUNCTION("""COMPUTED_VALUE"""),"Родина, красота, лучший, чистый, коммуникабельный")</f>
        <v>Родина, красота, лучший, чистый, коммуникабельный</v>
      </c>
      <c r="I1757" s="6" t="str">
        <f>IFERROR(__xludf.DUMMYFUNCTION("""COMPUTED_VALUE"""),"Волков")</f>
        <v>Волков</v>
      </c>
      <c r="J1757" s="6" t="str">
        <f>IFERROR(__xludf.DUMMYFUNCTION("""COMPUTED_VALUE"""),"Анатолий малыхин спортсмен")</f>
        <v>Анатолий малыхин спортсмен</v>
      </c>
      <c r="K1757" s="6" t="str">
        <f>IFERROR(__xludf.DUMMYFUNCTION("""COMPUTED_VALUE"""),"Немецкое кладбище ")</f>
        <v>Немецкое кладбище </v>
      </c>
      <c r="L1757" s="6" t="str">
        <f>IFERROR(__xludf.DUMMYFUNCTION("""COMPUTED_VALUE"""),". ")</f>
        <v>. </v>
      </c>
      <c r="M1757" s="6" t="str">
        <f>IFERROR(__xludf.DUMMYFUNCTION("""COMPUTED_VALUE"""),"Мультифора")</f>
        <v>Мультифора</v>
      </c>
      <c r="N1757" s="6" t="str">
        <f>IFERROR(__xludf.DUMMYFUNCTION("""COMPUTED_VALUE"""),"Чистота, дороги, правительство, люди, инфраструктура ")</f>
        <v>Чистота, дороги, правительство, люди, инфраструктура </v>
      </c>
      <c r="O1757" s="6" t="str">
        <f>IFERROR(__xludf.DUMMYFUNCTION("""COMPUTED_VALUE"""),"Экологию")</f>
        <v>Экологию</v>
      </c>
      <c r="P1757" s="6" t="str">
        <f>IFERROR(__xludf.DUMMYFUNCTION("""COMPUTED_VALUE"""),"Инстаграмм ")</f>
        <v>Инстаграмм </v>
      </c>
      <c r="Q1757" s="6" t="str">
        <f>IFERROR(__xludf.DUMMYFUNCTION("""COMPUTED_VALUE"""),"куда пойти в свободное время, 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куда пойти в свободное время, 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1757" s="6" t="str">
        <f>IFERROR(__xludf.DUMMYFUNCTION("""COMPUTED_VALUE"""),"9 мая, день шахтёра, день города ")</f>
        <v>9 мая, день шахтёра, день города </v>
      </c>
      <c r="S1757" s="6" t="str">
        <f>IFERROR(__xludf.DUMMYFUNCTION("""COMPUTED_VALUE"""),"Нет, не приходилось")</f>
        <v>Нет, не приходилось</v>
      </c>
      <c r="T1757" s="6" t="str">
        <f>IFERROR(__xludf.DUMMYFUNCTION("""COMPUTED_VALUE"""),"Угольная столица России ")</f>
        <v>Угольная столица России </v>
      </c>
      <c r="U1757" s="6" t="str">
        <f>IFERROR(__xludf.DUMMYFUNCTION("""COMPUTED_VALUE"""),"Фантан ")</f>
        <v>Фантан </v>
      </c>
      <c r="V1757" s="6" t="str">
        <f>IFERROR(__xludf.DUMMYFUNCTION("""COMPUTED_VALUE"""),"Многое")</f>
        <v>Многое</v>
      </c>
      <c r="W1757" s="6" t="str">
        <f>IFERROR(__xludf.DUMMYFUNCTION("""COMPUTED_VALUE"""),"Отзывчивые, добрые, не завистливые")</f>
        <v>Отзывчивые, добрые, не завистливые</v>
      </c>
      <c r="X1757" s="6" t="str">
        <f>IFERROR(__xludf.DUMMYFUNCTION("""COMPUTED_VALUE"""),"Красная горка")</f>
        <v>Красная горка</v>
      </c>
      <c r="Y1757" s="6" t="str">
        <f>IFERROR(__xludf.DUMMYFUNCTION("""COMPUTED_VALUE"""),".. ")</f>
        <v>.. </v>
      </c>
      <c r="Z1757" s="6" t="str">
        <f>IFERROR(__xludf.DUMMYFUNCTION("""COMPUTED_VALUE"""),".. ")</f>
        <v>.. </v>
      </c>
      <c r="AA1757" s="6" t="str">
        <f>IFERROR(__xludf.DUMMYFUNCTION("""COMPUTED_VALUE"""),"Пожар в трц")</f>
        <v>Пожар в трц</v>
      </c>
      <c r="AB1757" s="6" t="str">
        <f>IFERROR(__xludf.DUMMYFUNCTION("""COMPUTED_VALUE"""),".. ")</f>
        <v>.. </v>
      </c>
      <c r="AC1757" s="6" t="str">
        <f>IFERROR(__xludf.DUMMYFUNCTION("""COMPUTED_VALUE"""),".. ")</f>
        <v>.. </v>
      </c>
      <c r="AD1757"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757" s="6" t="str">
        <f>IFERROR(__xludf.DUMMYFUNCTION("""COMPUTED_VALUE"""),"Мужской")</f>
        <v>Мужской</v>
      </c>
      <c r="AF1757" s="6" t="str">
        <f>IFERROR(__xludf.DUMMYFUNCTION("""COMPUTED_VALUE"""),"30-44")</f>
        <v>30-44</v>
      </c>
      <c r="AG1757" s="6"/>
      <c r="AH1757" s="6"/>
      <c r="AI1757" s="6"/>
      <c r="AJ1757" s="6"/>
      <c r="AK1757" s="6"/>
      <c r="AL1757" s="6"/>
      <c r="AM1757" s="6"/>
    </row>
    <row r="1758">
      <c r="A1758" s="6">
        <v>1757.0</v>
      </c>
      <c r="B1758" s="6" t="str">
        <f>IFERROR(__xludf.DUMMYFUNCTION("""COMPUTED_VALUE"""),"Дополнительным образованием детей")</f>
        <v>Дополнительным образованием детей</v>
      </c>
      <c r="C1758" s="6" t="str">
        <f>IFERROR(__xludf.DUMMYFUNCTION("""COMPUTED_VALUE"""),"Люблю изучать Кузбасс")</f>
        <v>Люблю изучать Кузбасс</v>
      </c>
      <c r="D1758" s="6" t="str">
        <f>IFERROR(__xludf.DUMMYFUNCTION("""COMPUTED_VALUE"""),"Центральный, КЕМЕРОВОСИТИ")</f>
        <v>Центральный, КЕМЕРОВОСИТИ</v>
      </c>
      <c r="E1758" s="6" t="str">
        <f>IFERROR(__xludf.DUMMYFUNCTION("""COMPUTED_VALUE"""),"Детская железная дорога, парк с фонтаном, новый детский сад, ")</f>
        <v>Детская железная дорога, парк с фонтаном, новый детский сад, </v>
      </c>
      <c r="F1758" s="6" t="str">
        <f>IFERROR(__xludf.DUMMYFUNCTION("""COMPUTED_VALUE"""),"Переехал сюда из другого места (откуда? укажите в графе другое), Из Москвы к родственникам")</f>
        <v>Переехал сюда из другого места (откуда? укажите в графе другое), Из Москвы к родственникам</v>
      </c>
      <c r="G1758" s="6" t="str">
        <f>IFERROR(__xludf.DUMMYFUNCTION("""COMPUTED_VALUE"""),"В ПАРК ЖУКОВА, КОМСОМОЛЬСКИЙ ПАРК, ЛЮБЛЮ КАФЕ1")</f>
        <v>В ПАРК ЖУКОВА, КОМСОМОЛЬСКИЙ ПАРК, ЛЮБЛЮ КАФЕ1</v>
      </c>
      <c r="H1758" s="6" t="str">
        <f>IFERROR(__xludf.DUMMYFUNCTION("""COMPUTED_VALUE"""),"Солнце, река, бор, дорога, отдых")</f>
        <v>Солнце, река, бор, дорога, отдых</v>
      </c>
      <c r="I1758" s="6" t="str">
        <f>IFERROR(__xludf.DUMMYFUNCTION("""COMPUTED_VALUE"""),"Леонов, ЗАУЗЕЛКОВ, Михайлов, Тулеев, Туснолобова")</f>
        <v>Леонов, ЗАУЗЕЛКОВ, Михайлов, Тулеев, Туснолобова</v>
      </c>
      <c r="J1758" s="6" t="str">
        <f>IFERROR(__xludf.DUMMYFUNCTION("""COMPUTED_VALUE"""),"Михайлов, Поварич, Богатенко, ")</f>
        <v>Михайлов, Поварич, Богатенко, </v>
      </c>
      <c r="K1758" s="6" t="str">
        <f>IFERROR(__xludf.DUMMYFUNCTION("""COMPUTED_VALUE"""),"Памятник ШАХТЕРАМ, Красная горка, Лесная поляна, кузбасский ДЕТСКОюношескийцентрБДД")</f>
        <v>Памятник ШАХТЕРАМ, Красная горка, Лесная поляна, кузбасский ДЕТСКОюношескийцентрБДД</v>
      </c>
      <c r="L1758" s="6" t="str">
        <f>IFERROR(__xludf.DUMMYFUNCTION("""COMPUTED_VALUE"""),"Я таких не знаю")</f>
        <v>Я таких не знаю</v>
      </c>
      <c r="M1758" s="6" t="str">
        <f>IFERROR(__xludf.DUMMYFUNCTION("""COMPUTED_VALUE"""),"Нет")</f>
        <v>Нет</v>
      </c>
      <c r="N1758" s="6" t="str">
        <f>IFERROR(__xludf.DUMMYFUNCTION("""COMPUTED_VALUE"""),"Шаговая доступность, преображаемость")</f>
        <v>Шаговая доступность, преображаемость</v>
      </c>
      <c r="O1758" s="6" t="str">
        <f>IFERROR(__xludf.DUMMYFUNCTION("""COMPUTED_VALUE"""),"Дороги, пункты остановки общественного транспорта, построить аквапарк")</f>
        <v>Дороги, пункты остановки общественного транспорта, построить аквапарк</v>
      </c>
      <c r="P1758" s="6" t="str">
        <f>IFERROR(__xludf.DUMMYFUNCTION("""COMPUTED_VALUE"""),"Телевидение ККЗБАСС, ИНСТАГРАММ ИЛЬИ СЕРЕДЮКА")</f>
        <v>Телевидение ККЗБАСС, ИНСТАГРАММ ИЛЬИ СЕРЕДЮКА</v>
      </c>
      <c r="Q1758" s="6" t="str">
        <f>IFERROR(__xludf.DUMMYFUNCTION("""COMPUTED_VALUE"""),"куда пойти в свободное время, культурные новинки (что почитать/что послушать), интервью с местными предпринимателями")</f>
        <v>куда пойти в свободное время, культурные новинки (что почитать/что послушать), интервью с местными предпринимателями</v>
      </c>
      <c r="R1758" s="6" t="str">
        <f>IFERROR(__xludf.DUMMYFUNCTION("""COMPUTED_VALUE"""),"День города, День Победы")</f>
        <v>День города, День Победы</v>
      </c>
      <c r="S1758" s="6" t="str">
        <f>IFERROR(__xludf.DUMMYFUNCTION("""COMPUTED_VALUE"""),"На площади день БДД")</f>
        <v>На площади день БДД</v>
      </c>
      <c r="T1758" s="6" t="str">
        <f>IFERROR(__xludf.DUMMYFUNCTION("""COMPUTED_VALUE"""),"Гостеприимством")</f>
        <v>Гостеприимством</v>
      </c>
      <c r="U1758" s="6" t="str">
        <f>IFERROR(__xludf.DUMMYFUNCTION("""COMPUTED_VALUE"""),"Площадь Советов")</f>
        <v>Площадь Советов</v>
      </c>
      <c r="V1758" s="6" t="str">
        <f>IFERROR(__xludf.DUMMYFUNCTION("""COMPUTED_VALUE"""),"Украсили его памятниками, сберегли бор")</f>
        <v>Украсили его памятниками, сберегли бор</v>
      </c>
      <c r="W1758" s="6" t="str">
        <f>IFERROR(__xludf.DUMMYFUNCTION("""COMPUTED_VALUE"""),"Доброжелательность, порядочность")</f>
        <v>Доброжелательность, порядочность</v>
      </c>
      <c r="X1758" s="6" t="str">
        <f>IFERROR(__xludf.DUMMYFUNCTION("""COMPUTED_VALUE"""),"По центру города")</f>
        <v>По центру города</v>
      </c>
      <c r="Y1758" s="6" t="str">
        <f>IFERROR(__xludf.DUMMYFUNCTION("""COMPUTED_VALUE"""),"Постройка кемеровосити")</f>
        <v>Постройка кемеровосити</v>
      </c>
      <c r="Z1758" s="6" t="str">
        <f>IFERROR(__xludf.DUMMYFUNCTION("""COMPUTED_VALUE"""),"Празднование дня города, шествие бессмертного полка")</f>
        <v>Празднование дня города, шествие бессмертного полка</v>
      </c>
      <c r="AA1758" s="6" t="str">
        <f>IFERROR(__xludf.DUMMYFUNCTION("""COMPUTED_VALUE"""),"Выступление навальновцев")</f>
        <v>Выступление навальновцев</v>
      </c>
      <c r="AB1758" s="6" t="str">
        <f>IFERROR(__xludf.DUMMYFUNCTION("""COMPUTED_VALUE"""),"Мне всего хватает, кроме времени")</f>
        <v>Мне всего хватает, кроме времени</v>
      </c>
      <c r="AC1758" s="6" t="str">
        <f>IFERROR(__xludf.DUMMYFUNCTION("""COMPUTED_VALUE"""),"Больше мест для досуга детей")</f>
        <v>Больше мест для досуга детей</v>
      </c>
      <c r="AD1758"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1758" s="6" t="str">
        <f>IFERROR(__xludf.DUMMYFUNCTION("""COMPUTED_VALUE"""),"Женский")</f>
        <v>Женский</v>
      </c>
      <c r="AF1758" s="6" t="str">
        <f>IFERROR(__xludf.DUMMYFUNCTION("""COMPUTED_VALUE"""),"старше 55")</f>
        <v>старше 55</v>
      </c>
      <c r="AG1758" s="6"/>
      <c r="AH1758" s="6"/>
      <c r="AI1758" s="6"/>
      <c r="AJ1758" s="6"/>
      <c r="AK1758" s="6"/>
      <c r="AL1758" s="6"/>
      <c r="AM1758" s="6"/>
    </row>
    <row r="1759">
      <c r="A1759" s="6">
        <v>1758.0</v>
      </c>
      <c r="B1759" s="6" t="str">
        <f>IFERROR(__xludf.DUMMYFUNCTION("""COMPUTED_VALUE"""),"Работаю")</f>
        <v>Работаю</v>
      </c>
      <c r="C1759" s="6" t="str">
        <f>IFERROR(__xludf.DUMMYFUNCTION("""COMPUTED_VALUE"""),"Читаю")</f>
        <v>Читаю</v>
      </c>
      <c r="D1759" s="6" t="str">
        <f>IFERROR(__xludf.DUMMYFUNCTION("""COMPUTED_VALUE"""),"Южный")</f>
        <v>Южный</v>
      </c>
      <c r="E1759" s="6" t="str">
        <f>IFERROR(__xludf.DUMMYFUNCTION("""COMPUTED_VALUE"""),"Церковь")</f>
        <v>Церковь</v>
      </c>
      <c r="F175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759" s="6" t="str">
        <f>IFERROR(__xludf.DUMMYFUNCTION("""COMPUTED_VALUE"""),"Горсад")</f>
        <v>Горсад</v>
      </c>
      <c r="H1759" s="6" t="str">
        <f>IFERROR(__xludf.DUMMYFUNCTION("""COMPUTED_VALUE"""),"Чистый, строящийся, Торговый,  разный")</f>
        <v>Чистый, строящийся, Торговый,  разный</v>
      </c>
      <c r="I1759" s="6" t="str">
        <f>IFERROR(__xludf.DUMMYFUNCTION("""COMPUTED_VALUE"""),"Леонов")</f>
        <v>Леонов</v>
      </c>
      <c r="J1759" s="6" t="str">
        <f>IFERROR(__xludf.DUMMYFUNCTION("""COMPUTED_VALUE"""),"Василий Федоров")</f>
        <v>Василий Федоров</v>
      </c>
      <c r="K1759" s="6" t="str">
        <f>IFERROR(__xludf.DUMMYFUNCTION("""COMPUTED_VALUE"""),"Красная горка")</f>
        <v>Красная горка</v>
      </c>
      <c r="L1759" s="6" t="str">
        <f>IFERROR(__xludf.DUMMYFUNCTION("""COMPUTED_VALUE"""),"Не знаю")</f>
        <v>Не знаю</v>
      </c>
      <c r="M1759" s="6" t="str">
        <f>IFERROR(__xludf.DUMMYFUNCTION("""COMPUTED_VALUE"""),"Не знаю")</f>
        <v>Не знаю</v>
      </c>
      <c r="N1759" s="6" t="str">
        <f>IFERROR(__xludf.DUMMYFUNCTION("""COMPUTED_VALUE"""),"Транспорт,  Возможность пройти с маленькими детьми в парк, наличие аквапарка")</f>
        <v>Транспорт,  Возможность пройти с маленькими детьми в парк, наличие аквапарка</v>
      </c>
      <c r="O1759" s="6" t="str">
        <f>IFERROR(__xludf.DUMMYFUNCTION("""COMPUTED_VALUE"""),"Уменьшить количество пианушек")</f>
        <v>Уменьшить количество пианушек</v>
      </c>
      <c r="P1759" s="6" t="str">
        <f>IFERROR(__xludf.DUMMYFUNCTION("""COMPUTED_VALUE"""),"Интернет")</f>
        <v>Интернет</v>
      </c>
      <c r="Q1759" s="6" t="str">
        <f>IFERROR(__xludf.DUMMYFUNCTION("""COMPUTED_VALUE"""),"городская афиша (кино/театр/концерты), культурные новинки (что почитать/что послушать)")</f>
        <v>городская афиша (кино/театр/концерты), культурные новинки (что почитать/что послушать)</v>
      </c>
      <c r="R1759" s="6" t="str">
        <f>IFERROR(__xludf.DUMMYFUNCTION("""COMPUTED_VALUE"""),"День города")</f>
        <v>День города</v>
      </c>
      <c r="S1759" s="6" t="str">
        <f>IFERROR(__xludf.DUMMYFUNCTION("""COMPUTED_VALUE"""),"Нет, не приходилось")</f>
        <v>Нет, не приходилось</v>
      </c>
      <c r="T1759" s="6" t="str">
        <f>IFERROR(__xludf.DUMMYFUNCTION("""COMPUTED_VALUE"""),"-")</f>
        <v>-</v>
      </c>
      <c r="U1759" s="6" t="str">
        <f>IFERROR(__xludf.DUMMYFUNCTION("""COMPUTED_VALUE"""),"Площадь советов, весенняя, площадь Волкова, набережная")</f>
        <v>Площадь советов, весенняя, площадь Волкова, набережная</v>
      </c>
      <c r="V1759" s="6" t="str">
        <f>IFERROR(__xludf.DUMMYFUNCTION("""COMPUTED_VALUE"""),"Строили город")</f>
        <v>Строили город</v>
      </c>
      <c r="W1759" s="6" t="str">
        <f>IFERROR(__xludf.DUMMYFUNCTION("""COMPUTED_VALUE"""),"Терпеливые")</f>
        <v>Терпеливые</v>
      </c>
      <c r="X1759" s="6" t="str">
        <f>IFERROR(__xludf.DUMMYFUNCTION("""COMPUTED_VALUE"""),"Весенняя к набережной")</f>
        <v>Весенняя к набережной</v>
      </c>
      <c r="Y1759" s="6" t="str">
        <f>IFERROR(__xludf.DUMMYFUNCTION("""COMPUTED_VALUE"""),"-")</f>
        <v>-</v>
      </c>
      <c r="Z1759" s="6" t="str">
        <f>IFERROR(__xludf.DUMMYFUNCTION("""COMPUTED_VALUE"""),"-")</f>
        <v>-</v>
      </c>
      <c r="AA1759" s="6" t="str">
        <f>IFERROR(__xludf.DUMMYFUNCTION("""COMPUTED_VALUE"""),"-")</f>
        <v>-</v>
      </c>
      <c r="AB1759" s="6" t="str">
        <f>IFERROR(__xludf.DUMMYFUNCTION("""COMPUTED_VALUE"""),"-")</f>
        <v>-</v>
      </c>
      <c r="AC1759" s="6" t="str">
        <f>IFERROR(__xludf.DUMMYFUNCTION("""COMPUTED_VALUE"""),"-")</f>
        <v>-</v>
      </c>
      <c r="AD1759"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759" s="6" t="str">
        <f>IFERROR(__xludf.DUMMYFUNCTION("""COMPUTED_VALUE"""),"Женский")</f>
        <v>Женский</v>
      </c>
      <c r="AF1759" s="6" t="str">
        <f>IFERROR(__xludf.DUMMYFUNCTION("""COMPUTED_VALUE"""),"45-55")</f>
        <v>45-55</v>
      </c>
      <c r="AG1759" s="6"/>
      <c r="AH1759" s="6"/>
      <c r="AI1759" s="6"/>
      <c r="AJ1759" s="6"/>
      <c r="AK1759" s="6"/>
      <c r="AL1759" s="6"/>
      <c r="AM1759" s="6"/>
    </row>
    <row r="1760">
      <c r="A1760" s="6">
        <v>1759.0</v>
      </c>
      <c r="B1760" s="6" t="str">
        <f>IFERROR(__xludf.DUMMYFUNCTION("""COMPUTED_VALUE"""),"Военный пенсионер ")</f>
        <v>Военный пенсионер </v>
      </c>
      <c r="C1760" s="6" t="str">
        <f>IFERROR(__xludf.DUMMYFUNCTION("""COMPUTED_VALUE"""),"Дети")</f>
        <v>Дети</v>
      </c>
      <c r="D1760" s="6" t="str">
        <f>IFERROR(__xludf.DUMMYFUNCTION("""COMPUTED_VALUE"""),"Ленинский")</f>
        <v>Ленинский</v>
      </c>
      <c r="E1760" s="6" t="str">
        <f>IFERROR(__xludf.DUMMYFUNCTION("""COMPUTED_VALUE"""),"Бульвар Строителей ")</f>
        <v>Бульвар Строителей </v>
      </c>
      <c r="F1760" s="6" t="str">
        <f>IFERROR(__xludf.DUMMYFUNCTION("""COMPUTED_VALUE"""),"Живу здесь с рождения")</f>
        <v>Живу здесь с рождения</v>
      </c>
      <c r="G1760" s="6" t="str">
        <f>IFERROR(__xludf.DUMMYFUNCTION("""COMPUTED_VALUE"""),"За городом")</f>
        <v>За городом</v>
      </c>
      <c r="H1760" s="6" t="str">
        <f>IFERROR(__xludf.DUMMYFUNCTION("""COMPUTED_VALUE"""),"Коррумпированный, город для смерти, город-донор, ")</f>
        <v>Коррумпированный, город для смерти, город-донор, </v>
      </c>
      <c r="I1760" s="6" t="str">
        <f>IFERROR(__xludf.DUMMYFUNCTION("""COMPUTED_VALUE"""),"Подоплелов Юрий Васильевич,  Мартемьянов")</f>
        <v>Подоплелов Юрий Васильевич,  Мартемьянов</v>
      </c>
      <c r="J1760" s="6" t="str">
        <f>IFERROR(__xludf.DUMMYFUNCTION("""COMPUTED_VALUE"""),"Михайлов Владимир Васильевич ")</f>
        <v>Михайлов Владимир Васильевич </v>
      </c>
      <c r="K1760" s="6" t="str">
        <f>IFERROR(__xludf.DUMMYFUNCTION("""COMPUTED_VALUE"""),"Дымящикся трубы ")</f>
        <v>Дымящикся трубы </v>
      </c>
      <c r="L1760" s="6" t="str">
        <f>IFERROR(__xludf.DUMMYFUNCTION("""COMPUTED_VALUE"""),"""Человек из Кемерово""")</f>
        <v>"Человек из Кемерово"</v>
      </c>
      <c r="M1760" s="6" t="str">
        <f>IFERROR(__xludf.DUMMYFUNCTION("""COMPUTED_VALUE"""),"Илья - 10%")</f>
        <v>Илья - 10%</v>
      </c>
      <c r="N1760" s="6" t="str">
        <f>IFERROR(__xludf.DUMMYFUNCTION("""COMPUTED_VALUE"""),"Отремонтированные детсады и школа, а также дороги к ним. Наличие парковок и соответственно строительство новых районов с подземными парковками")</f>
        <v>Отремонтированные детсады и школа, а также дороги к ним. Наличие парковок и соответственно строительство новых районов с подземными парковками</v>
      </c>
      <c r="O1760" s="6" t="str">
        <f>IFERROR(__xludf.DUMMYFUNCTION("""COMPUTED_VALUE"""),"Применять депутатов горсовета от партии политических импотентов и моральных деградантов ""Единая Россия "". Уволить начальника управления образования г Кемерово Н.Ю. Дашковскую. Заставить полицаев работать ""на земле"", чтобы автомобили не стояли в течени"&amp;"и всего дня на тротуарах, газонах, под знаками ""стоянка запрещена""")</f>
        <v>Применять депутатов горсовета от партии политических импотентов и моральных деградантов "Единая Россия ". Уволить начальника управления образования г Кемерово Н.Ю. Дашковскую. Заставить полицаев работать "на земле", чтобы автомобили не стояли в течении всего дня на тротуарах, газонах, под знаками "стоянка запрещена"</v>
      </c>
      <c r="P1760" s="6" t="str">
        <f>IFERROR(__xludf.DUMMYFUNCTION("""COMPUTED_VALUE"""),"Интернет, сексоты  в ОРД")</f>
        <v>Интернет, сексоты  в ОРД</v>
      </c>
      <c r="Q1760" s="6" t="str">
        <f>IFERROR(__xludf.DUMMYFUNCTION("""COMPUTED_VALUE"""),"городская афиша (кино/театр/концерты), интервью с экспертами на разные темы (напишите в разделе Другое свои предложения), Другое")</f>
        <v>городская афиша (кино/театр/концерты), интервью с экспертами на разные темы (напишите в разделе Другое свои предложения), Другое</v>
      </c>
      <c r="R1760" s="6" t="str">
        <f>IFERROR(__xludf.DUMMYFUNCTION("""COMPUTED_VALUE"""),"Новый год")</f>
        <v>Новый год</v>
      </c>
      <c r="S1760" s="6" t="str">
        <f>IFERROR(__xludf.DUMMYFUNCTION("""COMPUTED_VALUE"""),"Писал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Систематически обращ"&amp;"аюсь в Горадминистрацию, к президенту, в Прокуратуру")</f>
        <v>Писал и расклеивал объявления/афиши, 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 Систематически обращаюсь в Горадминистрацию, к президенту, в Прокуратуру</v>
      </c>
      <c r="T1760" s="6" t="str">
        <f>IFERROR(__xludf.DUMMYFUNCTION("""COMPUTED_VALUE"""),"Тем, что ьабло с него гребут лопатой. Жилья больше, а вот бюджет города с каждым годом все меньше!!!")</f>
        <v>Тем, что ьабло с него гребут лопатой. Жилья больше, а вот бюджет города с каждым годом все меньше!!!</v>
      </c>
      <c r="U1760" s="6" t="str">
        <f>IFERROR(__xludf.DUMMYFUNCTION("""COMPUTED_VALUE"""),"Детсады и школы, требующие ремонта!!!")</f>
        <v>Детсады и школы, требующие ремонта!!!</v>
      </c>
      <c r="V1760" s="6" t="str">
        <f>IFERROR(__xludf.DUMMYFUNCTION("""COMPUTED_VALUE"""),"Строили коммунизм. ")</f>
        <v>Строили коммунизм. </v>
      </c>
      <c r="W1760" s="6" t="str">
        <f>IFERROR(__xludf.DUMMYFUNCTION("""COMPUTED_VALUE"""),"Терпеливые.")</f>
        <v>Терпеливые.</v>
      </c>
      <c r="X1760" s="6" t="str">
        <f>IFERROR(__xludf.DUMMYFUNCTION("""COMPUTED_VALUE"""),"По срокам города")</f>
        <v>По срокам города</v>
      </c>
      <c r="Y1760" s="6" t="str">
        <f>IFERROR(__xludf.DUMMYFUNCTION("""COMPUTED_VALUE"""),"Великая октябрьская социалистическая революция ")</f>
        <v>Великая октябрьская социалистическая революция </v>
      </c>
      <c r="Z1760" s="6" t="str">
        <f>IFERROR(__xludf.DUMMYFUNCTION("""COMPUTED_VALUE"""),"Позитивных нет!!! Есть негатив от свинства Цивилева: награждение СВОЕЙ ЖЕНЫ медалью, ремонт школы для, СВОЕГО РЕБЕНКА")</f>
        <v>Позитивных нет!!! Есть негатив от свинства Цивилева: награждение СВОЕЙ ЖЕНЫ медалью, ремонт школы для, СВОЕГО РЕБЕНКА</v>
      </c>
      <c r="AA1760" s="6" t="str">
        <f>IFERROR(__xludf.DUMMYFUNCTION("""COMPUTED_VALUE"""),"Нежелание чиновников города и депутатов горсовета слышать народ.")</f>
        <v>Нежелание чиновников города и депутатов горсовета слышать народ.</v>
      </c>
      <c r="AB1760" s="6" t="str">
        <f>IFERROR(__xludf.DUMMYFUNCTION("""COMPUTED_VALUE"""),"Расстрельных")</f>
        <v>Расстрельных</v>
      </c>
      <c r="AC1760" s="6" t="str">
        <f>IFERROR(__xludf.DUMMYFUNCTION("""COMPUTED_VALUE"""),"Ремонт детсадов и школ.")</f>
        <v>Ремонт детсадов и школ.</v>
      </c>
      <c r="AD1760" s="6" t="str">
        <f>IFERROR(__xludf.DUMMYFUNCTION("""COMPUTED_VALUE"""),"Участника: Поучаствовать в обсуждении улучшений, собраниях горожан;, Заставлять чинуш исполнять ЗАКОН")</f>
        <v>Участника: Поучаствовать в обсуждении улучшений, собраниях горожан;, Заставлять чинуш исполнять ЗАКОН</v>
      </c>
      <c r="AE1760" s="6" t="str">
        <f>IFERROR(__xludf.DUMMYFUNCTION("""COMPUTED_VALUE"""),"Мужской")</f>
        <v>Мужской</v>
      </c>
      <c r="AF1760" s="6" t="str">
        <f>IFERROR(__xludf.DUMMYFUNCTION("""COMPUTED_VALUE"""),"45-55")</f>
        <v>45-55</v>
      </c>
      <c r="AG1760" s="6"/>
      <c r="AH1760" s="6"/>
      <c r="AI1760" s="6"/>
      <c r="AJ1760" s="6"/>
      <c r="AK1760" s="6"/>
      <c r="AL1760" s="6"/>
      <c r="AM1760" s="6"/>
    </row>
    <row r="1761">
      <c r="A1761" s="6">
        <v>1760.0</v>
      </c>
      <c r="B1761" s="6" t="str">
        <f>IFERROR(__xludf.DUMMYFUNCTION("""COMPUTED_VALUE"""),"Учитель")</f>
        <v>Учитель</v>
      </c>
      <c r="C1761" s="6" t="str">
        <f>IFERROR(__xludf.DUMMYFUNCTION("""COMPUTED_VALUE"""),"Чтение, музыка, фильмы")</f>
        <v>Чтение, музыка, фильмы</v>
      </c>
      <c r="D1761" s="6" t="str">
        <f>IFERROR(__xludf.DUMMYFUNCTION("""COMPUTED_VALUE"""),"Заводский, Южный. Южный - никому не нужный")</f>
        <v>Заводский, Южный. Южный - никому не нужный</v>
      </c>
      <c r="E1761" s="6" t="str">
        <f>IFERROR(__xludf.DUMMYFUNCTION("""COMPUTED_VALUE"""),"Бульвар на Патриотов, площадка у церкви")</f>
        <v>Бульвар на Патриотов, площадка у церкви</v>
      </c>
      <c r="F1761" s="6" t="str">
        <f>IFERROR(__xludf.DUMMYFUNCTION("""COMPUTED_VALUE"""),"Живу здесь с рождения")</f>
        <v>Живу здесь с рождения</v>
      </c>
      <c r="G1761" s="6" t="str">
        <f>IFERROR(__xludf.DUMMYFUNCTION("""COMPUTED_VALUE"""),"По ТЦ. Лапландия, Сити-парк, Я, Облака. Прогулки по центральным улицам.")</f>
        <v>По ТЦ. Лапландия, Сити-парк, Я, Облака. Прогулки по центральным улицам.</v>
      </c>
      <c r="H1761" s="6" t="str">
        <f>IFERROR(__xludf.DUMMYFUNCTION("""COMPUTED_VALUE"""),"Чёрное небо, старые 2,3 этажные дома, серость, бедность, ремонт дорог")</f>
        <v>Чёрное небо, старые 2,3 этажные дома, серость, бедность, ремонт дорог</v>
      </c>
      <c r="I1761" s="6" t="str">
        <f>IFERROR(__xludf.DUMMYFUNCTION("""COMPUTED_VALUE"""),"Михайло Волков, Ван Лохем, Рутгерс")</f>
        <v>Михайло Волков, Ван Лохем, Рутгерс</v>
      </c>
      <c r="J1761" s="6" t="str">
        <f>IFERROR(__xludf.DUMMYFUNCTION("""COMPUTED_VALUE"""),"Таких людей нет.")</f>
        <v>Таких людей нет.</v>
      </c>
      <c r="K1761" s="6" t="str">
        <f>IFERROR(__xludf.DUMMYFUNCTION("""COMPUTED_VALUE"""),"Сосновый бор, набережная томи, берёзовая роща, центр города - театры, филармония, ул. весенняя")</f>
        <v>Сосновый бор, набережная томи, берёзовая роща, центр города - театры, филармония, ул. весенняя</v>
      </c>
      <c r="L1761" s="6" t="str">
        <f>IFERROR(__xludf.DUMMYFUNCTION("""COMPUTED_VALUE"""),"Не жили красиво, так и не надо начинать.")</f>
        <v>Не жили красиво, так и не надо начинать.</v>
      </c>
      <c r="M1761" s="6" t="str">
        <f>IFERROR(__xludf.DUMMYFUNCTION("""COMPUTED_VALUE"""),"Нет")</f>
        <v>Нет</v>
      </c>
      <c r="N1761" s="6" t="str">
        <f>IFERROR(__xludf.DUMMYFUNCTION("""COMPUTED_VALUE"""),"Чистые улицы, качественные дороги, экология, низкая безработица, транспортная обеспеченность")</f>
        <v>Чистые улицы, качественные дороги, экология, низкая безработица, транспортная обеспеченность</v>
      </c>
      <c r="O1761" s="6" t="str">
        <f>IFERROR(__xludf.DUMMYFUNCTION("""COMPUTED_VALUE"""),"Отношение к экологии")</f>
        <v>Отношение к экологии</v>
      </c>
      <c r="P1761" s="6" t="str">
        <f>IFERROR(__xludf.DUMMYFUNCTION("""COMPUTED_VALUE"""),"Все42.ру, Инцидент Кемерово")</f>
        <v>Все42.ру, Инцидент Кемерово</v>
      </c>
      <c r="Q1761"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761" s="6" t="str">
        <f>IFERROR(__xludf.DUMMYFUNCTION("""COMPUTED_VALUE"""),"9 мая, День Шахтёра, День города")</f>
        <v>9 мая, День Шахтёра, День города</v>
      </c>
      <c r="S1761" s="6" t="str">
        <f>IFERROR(__xludf.DUMMYFUNCTION("""COMPUTED_VALUE"""),"Нет, не приходилось")</f>
        <v>Нет, не приходилось</v>
      </c>
      <c r="T1761" s="6" t="str">
        <f>IFERROR(__xludf.DUMMYFUNCTION("""COMPUTED_VALUE"""),"Как это не печально, гостям города интерсен пожар в Зимней вишне и Парк Ангелов.")</f>
        <v>Как это не печально, гостям города интерсен пожар в Зимней вишне и Парк Ангелов.</v>
      </c>
      <c r="U1761" s="6" t="str">
        <f>IFERROR(__xludf.DUMMYFUNCTION("""COMPUTED_VALUE"""),"Площадь Советов")</f>
        <v>Площадь Советов</v>
      </c>
      <c r="V1761" s="6" t="str">
        <f>IFERROR(__xludf.DUMMYFUNCTION("""COMPUTED_VALUE"""),"Ничего")</f>
        <v>Ничего</v>
      </c>
      <c r="W1761" s="6" t="str">
        <f>IFERROR(__xludf.DUMMYFUNCTION("""COMPUTED_VALUE"""),"Таких качеств выделить не могу")</f>
        <v>Таких качеств выделить не могу</v>
      </c>
      <c r="X1761" s="6" t="str">
        <f>IFERROR(__xludf.DUMMYFUNCTION("""COMPUTED_VALUE"""),"От швейной фабрики через парк Ангелов, Победы и Антошку, по всему проспекту советскому,  по весенней, по набережной, парк чудес, по кузнецком мосту к сосновому бору, Берёзовая роща в кировском.")</f>
        <v>От швейной фабрики через парк Ангелов, Победы и Антошку, по всему проспекту советскому,  по весенней, по набережной, парк чудес, по кузнецком мосту к сосновому бору, Берёзовая роща в кировском.</v>
      </c>
      <c r="Y1761" s="6" t="str">
        <f>IFERROR(__xludf.DUMMYFUNCTION("""COMPUTED_VALUE"""),"Пожар в Зимней вишне. Юбилей города Кемерово")</f>
        <v>Пожар в Зимней вишне. Юбилей города Кемерово</v>
      </c>
      <c r="Z1761" s="6" t="str">
        <f>IFERROR(__xludf.DUMMYFUNCTION("""COMPUTED_VALUE"""),"Открытие президентского кажетского училища")</f>
        <v>Открытие президентского кажетского училища</v>
      </c>
      <c r="AA1761" s="6" t="str">
        <f>IFERROR(__xludf.DUMMYFUNCTION("""COMPUTED_VALUE"""),"Вызывает негодование действие властей. Пытаемся ""накрасить губы"" городу, с реальными проблемами никто не борется.")</f>
        <v>Вызывает негодование действие властей. Пытаемся "накрасить губы" городу, с реальными проблемами никто не борется.</v>
      </c>
      <c r="AB1761" s="6" t="str">
        <f>IFERROR(__xludf.DUMMYFUNCTION("""COMPUTED_VALUE"""),"Всего хватает ")</f>
        <v>Всего хватает </v>
      </c>
      <c r="AC1761" s="6" t="str">
        <f>IFERROR(__xludf.DUMMYFUNCTION("""COMPUTED_VALUE"""),"Больше мероприятий для молодёжи")</f>
        <v>Больше мероприятий для молодёжи</v>
      </c>
      <c r="AD176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61" s="6" t="str">
        <f>IFERROR(__xludf.DUMMYFUNCTION("""COMPUTED_VALUE"""),"Женский")</f>
        <v>Женский</v>
      </c>
      <c r="AF1761" s="6" t="str">
        <f>IFERROR(__xludf.DUMMYFUNCTION("""COMPUTED_VALUE"""),"18-29")</f>
        <v>18-29</v>
      </c>
      <c r="AG1761" s="6"/>
      <c r="AH1761" s="6"/>
      <c r="AI1761" s="6"/>
      <c r="AJ1761" s="6"/>
      <c r="AK1761" s="6"/>
      <c r="AL1761" s="6"/>
      <c r="AM1761" s="6"/>
    </row>
    <row r="1762">
      <c r="A1762" s="6">
        <v>1761.0</v>
      </c>
      <c r="B1762" s="6" t="str">
        <f>IFERROR(__xludf.DUMMYFUNCTION("""COMPUTED_VALUE"""),"Работаю")</f>
        <v>Работаю</v>
      </c>
      <c r="C1762" s="6" t="str">
        <f>IFERROR(__xludf.DUMMYFUNCTION("""COMPUTED_VALUE"""),"Я работаю ")</f>
        <v>Я работаю </v>
      </c>
      <c r="D1762" s="6" t="str">
        <f>IFERROR(__xludf.DUMMYFUNCTION("""COMPUTED_VALUE"""),"Радуга")</f>
        <v>Радуга</v>
      </c>
      <c r="E1762" s="6" t="str">
        <f>IFERROR(__xludf.DUMMYFUNCTION("""COMPUTED_VALUE"""),"Парк")</f>
        <v>Парк</v>
      </c>
      <c r="F1762" s="6" t="str">
        <f>IFERROR(__xludf.DUMMYFUNCTION("""COMPUTED_VALUE"""),"Живу здесь с рождения, Родился здесь,но сейчас живу в другом городе")</f>
        <v>Живу здесь с рождения, Родился здесь,но сейчас живу в другом городе</v>
      </c>
      <c r="G1762" s="6" t="str">
        <f>IFERROR(__xludf.DUMMYFUNCTION("""COMPUTED_VALUE"""),"Набережная ")</f>
        <v>Набережная </v>
      </c>
      <c r="H1762" s="6" t="str">
        <f>IFERROR(__xludf.DUMMYFUNCTION("""COMPUTED_VALUE"""),"Фонтан ⛲️ драм театр 🎭 цирк 🎪 храм ⛪️ бульвар ")</f>
        <v>Фонтан ⛲️ драм театр 🎭 цирк 🎪 храм ⛪️ бульвар </v>
      </c>
      <c r="I1762" s="6" t="str">
        <f>IFERROR(__xludf.DUMMYFUNCTION("""COMPUTED_VALUE"""),"Подгарбунский")</f>
        <v>Подгарбунский</v>
      </c>
      <c r="J1762" s="6" t="str">
        <f>IFERROR(__xludf.DUMMYFUNCTION("""COMPUTED_VALUE"""),"Тулеев")</f>
        <v>Тулеев</v>
      </c>
      <c r="K1762" s="6" t="str">
        <f>IFERROR(__xludf.DUMMYFUNCTION("""COMPUTED_VALUE"""),"Краеведческий музей томская писаница ")</f>
        <v>Краеведческий музей томская писаница </v>
      </c>
      <c r="L1762" s="6" t="str">
        <f>IFERROR(__xludf.DUMMYFUNCTION("""COMPUTED_VALUE"""),"Щегловка ")</f>
        <v>Щегловка </v>
      </c>
      <c r="M1762" s="6" t="str">
        <f>IFERROR(__xludf.DUMMYFUNCTION("""COMPUTED_VALUE"""),"Не знаю ")</f>
        <v>Не знаю </v>
      </c>
      <c r="N1762" s="6" t="str">
        <f>IFERROR(__xludf.DUMMYFUNCTION("""COMPUTED_VALUE"""),"Дом работа дом удобность комфорт ")</f>
        <v>Дом работа дом удобность комфорт </v>
      </c>
      <c r="O1762" s="6" t="str">
        <f>IFERROR(__xludf.DUMMYFUNCTION("""COMPUTED_VALUE"""),"Дороги ")</f>
        <v>Дороги </v>
      </c>
      <c r="P1762" s="6" t="str">
        <f>IFERROR(__xludf.DUMMYFUNCTION("""COMPUTED_VALUE"""),"Из интернета")</f>
        <v>Из интернета</v>
      </c>
      <c r="Q1762" s="6" t="str">
        <f>IFERROR(__xludf.DUMMYFUNCTION("""COMPUTED_VALUE"""),"городская афиша (кино/театр/концерты), культурные новинки (что почитать/что послушать)")</f>
        <v>городская афиша (кино/театр/концерты), культурные новинки (что почитать/что послушать)</v>
      </c>
      <c r="R1762" s="6" t="str">
        <f>IFERROR(__xludf.DUMMYFUNCTION("""COMPUTED_VALUE"""),"Домашнии")</f>
        <v>Домашнии</v>
      </c>
      <c r="S1762" s="6" t="str">
        <f>IFERROR(__xludf.DUMMYFUNCTION("""COMPUTED_VALUE"""),"Делал рассылку по электронной почте, Обращался в редакции электронных городских СМИ, Обращался в редакции городских газет, телевидения, радио")</f>
        <v>Делал рассылку по электронной почте, Обращался в редакции электронных городских СМИ, Обращался в редакции городских газет, телевидения, радио</v>
      </c>
      <c r="T1762" s="6" t="str">
        <f>IFERROR(__xludf.DUMMYFUNCTION("""COMPUTED_VALUE"""),"В последнее время ничем!!!")</f>
        <v>В последнее время ничем!!!</v>
      </c>
      <c r="U1762" s="6" t="str">
        <f>IFERROR(__xludf.DUMMYFUNCTION("""COMPUTED_VALUE"""),"Томь")</f>
        <v>Томь</v>
      </c>
      <c r="V1762" s="6" t="str">
        <f>IFERROR(__xludf.DUMMYFUNCTION("""COMPUTED_VALUE"""),"Ничем ")</f>
        <v>Ничем </v>
      </c>
      <c r="W1762" s="6" t="str">
        <f>IFERROR(__xludf.DUMMYFUNCTION("""COMPUTED_VALUE"""),"Бедные ")</f>
        <v>Бедные </v>
      </c>
      <c r="X1762" s="6" t="str">
        <f>IFERROR(__xludf.DUMMYFUNCTION("""COMPUTED_VALUE"""),"Смешно....")</f>
        <v>Смешно....</v>
      </c>
      <c r="Y1762" s="6" t="str">
        <f>IFERROR(__xludf.DUMMYFUNCTION("""COMPUTED_VALUE"""),"Сгорела Вишня!!! ")</f>
        <v>Сгорела Вишня!!! </v>
      </c>
      <c r="Z1762" s="6" t="str">
        <f>IFERROR(__xludf.DUMMYFUNCTION("""COMPUTED_VALUE"""),"Ничем")</f>
        <v>Ничем</v>
      </c>
      <c r="AA1762" s="6" t="str">
        <f>IFERROR(__xludf.DUMMYFUNCTION("""COMPUTED_VALUE"""),"Никакие...")</f>
        <v>Никакие...</v>
      </c>
      <c r="AB1762" s="6" t="str">
        <f>IFERROR(__xludf.DUMMYFUNCTION("""COMPUTED_VALUE"""),"Никаких ")</f>
        <v>Никаких </v>
      </c>
      <c r="AC1762" s="6" t="str">
        <f>IFERROR(__xludf.DUMMYFUNCTION("""COMPUTED_VALUE"""),"Никакие ")</f>
        <v>Никакие </v>
      </c>
      <c r="AD1762"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762" s="6" t="str">
        <f>IFERROR(__xludf.DUMMYFUNCTION("""COMPUTED_VALUE"""),"Женский")</f>
        <v>Женский</v>
      </c>
      <c r="AF1762" s="6" t="str">
        <f>IFERROR(__xludf.DUMMYFUNCTION("""COMPUTED_VALUE"""),"30-44")</f>
        <v>30-44</v>
      </c>
      <c r="AG1762" s="6"/>
      <c r="AH1762" s="6"/>
      <c r="AI1762" s="6"/>
      <c r="AJ1762" s="6"/>
      <c r="AK1762" s="6"/>
      <c r="AL1762" s="6"/>
      <c r="AM1762" s="6"/>
    </row>
    <row r="1763">
      <c r="A1763" s="6">
        <v>1762.0</v>
      </c>
      <c r="B1763" s="6" t="str">
        <f>IFERROR(__xludf.DUMMYFUNCTION("""COMPUTED_VALUE"""),"Деревообработка")</f>
        <v>Деревообработка</v>
      </c>
      <c r="C1763" s="6" t="str">
        <f>IFERROR(__xludf.DUMMYFUNCTION("""COMPUTED_VALUE"""),"Боевое джиу-джитсу")</f>
        <v>Боевое джиу-джитсу</v>
      </c>
      <c r="D1763" s="6" t="str">
        <f>IFERROR(__xludf.DUMMYFUNCTION("""COMPUTED_VALUE"""),"Ленинский")</f>
        <v>Ленинский</v>
      </c>
      <c r="E1763" s="6" t="str">
        <f>IFERROR(__xludf.DUMMYFUNCTION("""COMPUTED_VALUE"""),"Бульвар строителей")</f>
        <v>Бульвар строителей</v>
      </c>
      <c r="F1763" s="6" t="str">
        <f>IFERROR(__xludf.DUMMYFUNCTION("""COMPUTED_VALUE"""),"Живу здесь с рождения")</f>
        <v>Живу здесь с рождения</v>
      </c>
      <c r="G1763" s="6" t="str">
        <f>IFERROR(__xludf.DUMMYFUNCTION("""COMPUTED_VALUE"""),"В сосновый бор")</f>
        <v>В сосновый бор</v>
      </c>
      <c r="H1763" s="6" t="str">
        <f>IFERROR(__xludf.DUMMYFUNCTION("""COMPUTED_VALUE"""),"Драмма, бор, центр, шалго, пятка")</f>
        <v>Драмма, бор, центр, шалго, пятка</v>
      </c>
      <c r="I1763" s="6" t="str">
        <f>IFERROR(__xludf.DUMMYFUNCTION("""COMPUTED_VALUE"""),"Раздвев, рутгерс")</f>
        <v>Раздвев, рутгерс</v>
      </c>
      <c r="J1763" s="6" t="str">
        <f>IFERROR(__xludf.DUMMYFUNCTION("""COMPUTED_VALUE"""),"Ничего на ум не приходит")</f>
        <v>Ничего на ум не приходит</v>
      </c>
      <c r="K1763" s="6" t="str">
        <f>IFERROR(__xludf.DUMMYFUNCTION("""COMPUTED_VALUE"""),"Сосновый бор, всякие дворики родные, места боевой славы) ")</f>
        <v>Сосновый бор, всякие дворики родные, места боевой славы) </v>
      </c>
      <c r="L1763" s="6" t="str">
        <f>IFERROR(__xludf.DUMMYFUNCTION("""COMPUTED_VALUE"""),"Надо было связаться с человеком из кеееемерова")</f>
        <v>Надо было связаться с человеком из кеееемерова</v>
      </c>
      <c r="M1763" s="6" t="str">
        <f>IFERROR(__xludf.DUMMYFUNCTION("""COMPUTED_VALUE"""),"Нет")</f>
        <v>Нет</v>
      </c>
      <c r="N1763" s="6" t="str">
        <f>IFERROR(__xludf.DUMMYFUNCTION("""COMPUTED_VALUE"""),"Чистота, правило 30,система общественного транспорта, экология, безопасность ")</f>
        <v>Чистота, правило 30,система общественного транспорта, экология, безопасность </v>
      </c>
      <c r="O1763" s="6" t="str">
        <f>IFERROR(__xludf.DUMMYFUNCTION("""COMPUTED_VALUE"""),"Отреставрировать фасады зданий как на пересечении химиков и бульвара или напротив кадетского коруса нового")</f>
        <v>Отреставрировать фасады зданий как на пересечении химиков и бульвара или напротив кадетского коруса нового</v>
      </c>
      <c r="P1763" s="6" t="str">
        <f>IFERROR(__xludf.DUMMYFUNCTION("""COMPUTED_VALUE"""),"От людей")</f>
        <v>От людей</v>
      </c>
      <c r="Q1763" s="6" t="str">
        <f>IFERROR(__xludf.DUMMYFUNCTION("""COMPUTED_VALUE"""),"городская афиша (кино/театр/концерты), интервью с местными предпринимателями, бизнес-новости (средний чек/рекламные акции/запуск новых предприятий)")</f>
        <v>городская афиша (кино/театр/концерты), интервью с местными предпринимателями, бизнес-новости (средний чек/рекламные акции/запуск новых предприятий)</v>
      </c>
      <c r="R1763" s="6" t="str">
        <f>IFERROR(__xludf.DUMMYFUNCTION("""COMPUTED_VALUE"""),"9 мая")</f>
        <v>9 мая</v>
      </c>
      <c r="S1763" s="6" t="str">
        <f>IFERROR(__xludf.DUMMYFUNCTION("""COMPUTED_VALUE"""),"Через социальные сети (Какие? Укажите в графе другое), Вк инстаграмм")</f>
        <v>Через социальные сети (Какие? Укажите в графе другое), Вк инстаграмм</v>
      </c>
      <c r="T1763" s="6" t="str">
        <f>IFERROR(__xludf.DUMMYFUNCTION("""COMPUTED_VALUE"""),"Уголь, гришковец, бг песню написал")</f>
        <v>Уголь, гришковец, бг песню написал</v>
      </c>
      <c r="U1763" s="6" t="str">
        <f>IFERROR(__xludf.DUMMYFUNCTION("""COMPUTED_VALUE"""),"Драмма, бульвар строителей")</f>
        <v>Драмма, бульвар строителей</v>
      </c>
      <c r="V1763" s="6" t="str">
        <f>IFERROR(__xludf.DUMMYFUNCTION("""COMPUTED_VALUE"""),"Полезли под землю за углем")</f>
        <v>Полезли под землю за углем</v>
      </c>
      <c r="W1763" s="6" t="str">
        <f>IFERROR(__xludf.DUMMYFUNCTION("""COMPUTED_VALUE"""),"Дружелюбие отзывчивость простота")</f>
        <v>Дружелюбие отзывчивость простота</v>
      </c>
      <c r="X1763" s="6" t="str">
        <f>IFERROR(__xludf.DUMMYFUNCTION("""COMPUTED_VALUE"""),"Площадь советов, тц я, крест и через бор на радугу")</f>
        <v>Площадь советов, тц я, крест и через бор на радугу</v>
      </c>
      <c r="Y1763" s="6" t="str">
        <f>IFERROR(__xludf.DUMMYFUNCTION("""COMPUTED_VALUE"""),"Зимняя вишня")</f>
        <v>Зимняя вишня</v>
      </c>
      <c r="Z1763" s="6" t="str">
        <f>IFERROR(__xludf.DUMMYFUNCTION("""COMPUTED_VALUE"""),"Почище стало, дизайнеры начали стараться")</f>
        <v>Почище стало, дизайнеры начали стараться</v>
      </c>
      <c r="AA1763" s="6" t="str">
        <f>IFERROR(__xludf.DUMMYFUNCTION("""COMPUTED_VALUE"""),"Лучше бы завод построили чем ледовую арену")</f>
        <v>Лучше бы завод построили чем ледовую арену</v>
      </c>
      <c r="AB1763" s="6" t="str">
        <f>IFERROR(__xludf.DUMMYFUNCTION("""COMPUTED_VALUE"""),"Музыкальных")</f>
        <v>Музыкальных</v>
      </c>
      <c r="AC1763" s="6" t="str">
        <f>IFERROR(__xludf.DUMMYFUNCTION("""COMPUTED_VALUE"""),"Концерты, любительские соревнования по грэпплингу")</f>
        <v>Концерты, любительские соревнования по грэпплингу</v>
      </c>
      <c r="AD176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63" s="6" t="str">
        <f>IFERROR(__xludf.DUMMYFUNCTION("""COMPUTED_VALUE"""),"Мужской")</f>
        <v>Мужской</v>
      </c>
      <c r="AF1763" s="6" t="str">
        <f>IFERROR(__xludf.DUMMYFUNCTION("""COMPUTED_VALUE"""),"30-44")</f>
        <v>30-44</v>
      </c>
      <c r="AG1763" s="6"/>
      <c r="AH1763" s="6"/>
      <c r="AI1763" s="6"/>
      <c r="AJ1763" s="6"/>
      <c r="AK1763" s="6"/>
      <c r="AL1763" s="6"/>
      <c r="AM1763" s="6"/>
    </row>
    <row r="1764">
      <c r="A1764" s="6">
        <v>1763.0</v>
      </c>
      <c r="B1764" s="6" t="str">
        <f>IFERROR(__xludf.DUMMYFUNCTION("""COMPUTED_VALUE"""),"Инвалид, не работаю. Но надеюсь восстановиться и вернуться к полной жизни")</f>
        <v>Инвалид, не работаю. Но надеюсь восстановиться и вернуться к полной жизни</v>
      </c>
      <c r="C1764" s="6" t="str">
        <f>IFERROR(__xludf.DUMMYFUNCTION("""COMPUTED_VALUE"""),"Спорт, тяжëлая атлетика, но пока - только ходьба")</f>
        <v>Спорт, тяжëлая атлетика, но пока - только ходьба</v>
      </c>
      <c r="D1764" s="6" t="str">
        <f>IFERROR(__xludf.DUMMYFUNCTION("""COMPUTED_VALUE"""),"Заводский. Пос. Предзаводской. ПЗП")</f>
        <v>Заводский. Пос. Предзаводской. ПЗП</v>
      </c>
      <c r="E1764" s="6" t="str">
        <f>IFERROR(__xludf.DUMMYFUNCTION("""COMPUTED_VALUE"""),"Аллея по ул Невьянской")</f>
        <v>Аллея по ул Невьянской</v>
      </c>
      <c r="F1764" s="6" t="str">
        <f>IFERROR(__xludf.DUMMYFUNCTION("""COMPUTED_VALUE"""),"Живу здесь с рождения")</f>
        <v>Живу здесь с рождения</v>
      </c>
      <c r="G1764" s="6" t="str">
        <f>IFERROR(__xludf.DUMMYFUNCTION("""COMPUTED_VALUE"""),"Набережная, центр города, красная Горка , парк Победы, Пинерский бульвар")</f>
        <v>Набережная, центр города, красная Горка , парк Победы, Пинерский бульвар</v>
      </c>
      <c r="H1764" s="6" t="str">
        <f>IFERROR(__xludf.DUMMYFUNCTION("""COMPUTED_VALUE"""),"Плохие дороги, грязь, холод,безденежье салют, арена")</f>
        <v>Плохие дороги, грязь, холод,безденежье салют, арена</v>
      </c>
      <c r="I1764" s="6" t="str">
        <f>IFERROR(__xludf.DUMMYFUNCTION("""COMPUTED_VALUE"""),"Подгорбунский, Волков Михайлов")</f>
        <v>Подгорбунский, Волков Михайлов</v>
      </c>
      <c r="J1764" s="6" t="str">
        <f>IFERROR(__xludf.DUMMYFUNCTION("""COMPUTED_VALUE"""),"Тулеев ")</f>
        <v>Тулеев </v>
      </c>
      <c r="K1764" s="6" t="str">
        <f>IFERROR(__xludf.DUMMYFUNCTION("""COMPUTED_VALUE"""),"Памятник шахтерам, вечный огонь, драмтеатр, краеведческий музей, ботанический сад ")</f>
        <v>Памятник шахтерам, вечный огонь, драмтеатр, краеведческий музей, ботанический сад </v>
      </c>
      <c r="L1764" s="6" t="str">
        <f>IFERROR(__xludf.DUMMYFUNCTION("""COMPUTED_VALUE"""),"Не потопаешь- не полопаешь. На бога надейся, а сам не плошай. На трёх вокзалах, в Москве даже карманники наш Кемеровский поезд не встречают")</f>
        <v>Не потопаешь- не полопаешь. На бога надейся, а сам не плошай. На трёх вокзалах, в Москве даже карманники наш Кемеровский поезд не встречают</v>
      </c>
      <c r="M1764" s="6" t="str">
        <f>IFERROR(__xludf.DUMMYFUNCTION("""COMPUTED_VALUE"""),"Нет")</f>
        <v>Нет</v>
      </c>
      <c r="N1764" s="6" t="str">
        <f>IFERROR(__xludf.DUMMYFUNCTION("""COMPUTED_VALUE"""),"Хорошие дороги, чистые общественные туалеты транспортная доступность, разнообразие магазинов ( а не только сети),городской ,доступный по ценам для всех спорткомплекс с бассейном, безопасность. ")</f>
        <v>Хорошие дороги, чистые общественные туалеты транспортная доступность, разнообразие магазинов ( а не только сети),городской ,доступный по ценам для всех спорткомплекс с бассейном, безопасность. </v>
      </c>
      <c r="O1764" s="6" t="str">
        <f>IFERROR(__xludf.DUMMYFUNCTION("""COMPUTED_VALUE"""),"Дать возможность развиваться среднему и малому бизнесу, обеспечив рабочие места и стабильный доход жителям")</f>
        <v>Дать возможность развиваться среднему и малому бизнесу, обеспечив рабочие места и стабильный доход жителям</v>
      </c>
      <c r="P1764" s="6" t="str">
        <f>IFERROR(__xludf.DUMMYFUNCTION("""COMPUTED_VALUE"""),"Инстаграм")</f>
        <v>Инстаграм</v>
      </c>
      <c r="Q1764" s="6" t="str">
        <f>IFERROR(__xludf.DUMMYFUNCTION("""COMPUTED_VALUE"""),"куда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v>
      </c>
      <c r="R1764" s="6" t="str">
        <f>IFERROR(__xludf.DUMMYFUNCTION("""COMPUTED_VALUE"""),"День шахтера, день города, 9 мая ")</f>
        <v>День шахтера, день города, 9 мая </v>
      </c>
      <c r="S1764" s="6" t="str">
        <f>IFERROR(__xludf.DUMMYFUNCTION("""COMPUTED_VALUE"""),"Нет, не приходилось")</f>
        <v>Нет, не приходилось</v>
      </c>
      <c r="T1764" s="6" t="str">
        <f>IFERROR(__xludf.DUMMYFUNCTION("""COMPUTED_VALUE"""),"Негативно известен. Зимняя вишня ")</f>
        <v>Негативно известен. Зимняя вишня </v>
      </c>
      <c r="U1764" s="6" t="str">
        <f>IFERROR(__xludf.DUMMYFUNCTION("""COMPUTED_VALUE"""),"Площадь Советов")</f>
        <v>Площадь Советов</v>
      </c>
      <c r="V1764" s="6" t="str">
        <f>IFERROR(__xludf.DUMMYFUNCTION("""COMPUTED_VALUE"""),"Выжили и выживают ")</f>
        <v>Выжили и выживают </v>
      </c>
      <c r="W1764" s="6" t="str">
        <f>IFERROR(__xludf.DUMMYFUNCTION("""COMPUTED_VALUE"""),"Упорные, терпеливые, но если уже доведут, то остановить сложно... ")</f>
        <v>Упорные, терпеливые, но если уже доведут, то остановить сложно... </v>
      </c>
      <c r="X1764" s="6" t="str">
        <f>IFERROR(__xludf.DUMMYFUNCTION("""COMPUTED_VALUE"""),"Пешком по ул Весенней, по набережной, затем по Кузнецкому мосту и по лесу к буквам КУЗБАСС")</f>
        <v>Пешком по ул Весенней, по набережной, затем по Кузнецкому мосту и по лесу к буквам КУЗБАСС</v>
      </c>
      <c r="Y1764" s="6" t="str">
        <f>IFERROR(__xludf.DUMMYFUNCTION("""COMPUTED_VALUE"""),"Чемпионат по хоккею ")</f>
        <v>Чемпионат по хоккею </v>
      </c>
      <c r="Z1764" s="6" t="str">
        <f>IFERROR(__xludf.DUMMYFUNCTION("""COMPUTED_VALUE"""),"Нету")</f>
        <v>Нету</v>
      </c>
      <c r="AA1764" s="6" t="str">
        <f>IFERROR(__xludf.DUMMYFUNCTION("""COMPUTED_VALUE"""),"Зимняя Вишня, а потом каждый день какая нибудь хрень")</f>
        <v>Зимняя Вишня, а потом каждый день какая нибудь хрень</v>
      </c>
      <c r="AB1764" s="6" t="str">
        <f>IFERROR(__xludf.DUMMYFUNCTION("""COMPUTED_VALUE"""),"Правозащитных, профсоюзов")</f>
        <v>Правозащитных, профсоюзов</v>
      </c>
      <c r="AC1764" s="6" t="str">
        <f>IFERROR(__xludf.DUMMYFUNCTION("""COMPUTED_VALUE"""),"Ярмарки, концерты, спортивные мероприятия ")</f>
        <v>Ярмарки, концерты, спортивные мероприятия </v>
      </c>
      <c r="AD176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64" s="6" t="str">
        <f>IFERROR(__xludf.DUMMYFUNCTION("""COMPUTED_VALUE"""),"Женский")</f>
        <v>Женский</v>
      </c>
      <c r="AF1764" s="6" t="str">
        <f>IFERROR(__xludf.DUMMYFUNCTION("""COMPUTED_VALUE"""),"30-44")</f>
        <v>30-44</v>
      </c>
      <c r="AG1764" s="6"/>
      <c r="AH1764" s="6"/>
      <c r="AI1764" s="6"/>
      <c r="AJ1764" s="6"/>
      <c r="AK1764" s="6"/>
      <c r="AL1764" s="6"/>
      <c r="AM1764" s="6"/>
    </row>
    <row r="1765">
      <c r="A1765" s="6">
        <v>1764.0</v>
      </c>
      <c r="B1765" s="6" t="str">
        <f>IFERROR(__xludf.DUMMYFUNCTION("""COMPUTED_VALUE"""),"Я на пенсии, но продолжаю заниматься благотворительностью.")</f>
        <v>Я на пенсии, но продолжаю заниматься благотворительностью.</v>
      </c>
      <c r="C1765" s="6" t="str">
        <f>IFERROR(__xludf.DUMMYFUNCTION("""COMPUTED_VALUE"""),"Я автолюбитель,люблю дороги, поездки в разные города")</f>
        <v>Я автолюбитель,люблю дороги, поездки в разные города</v>
      </c>
      <c r="D1765" s="6" t="str">
        <f>IFERROR(__xludf.DUMMYFUNCTION("""COMPUTED_VALUE"""),"Южный. Так и называю. Жили в центре и собираемся опять переехать туда")</f>
        <v>Южный. Так и называю. Жили в центре и собираемся опять переехать туда</v>
      </c>
      <c r="E1765" s="6" t="str">
        <f>IFERROR(__xludf.DUMMYFUNCTION("""COMPUTED_VALUE"""),"Церковь, б.Патриотов,ну вот и собственно все")</f>
        <v>Церковь, б.Патриотов,ну вот и собственно все</v>
      </c>
      <c r="F1765" s="6" t="str">
        <f>IFERROR(__xludf.DUMMYFUNCTION("""COMPUTED_VALUE"""),"Переехал сюда из другого места (откуда? укажите в графе другое), Из г.Гурьевск. Вышла замуж за кемеровчанина. Но давно люблю этот город, училась здесь в КГИК.")</f>
        <v>Переехал сюда из другого места (откуда? укажите в графе другое), Из г.Гурьевск. Вышла замуж за кемеровчанина. Но давно люблю этот город, училась здесь в КГИК.</v>
      </c>
      <c r="G1765" s="6" t="str">
        <f>IFERROR(__xludf.DUMMYFUNCTION("""COMPUTED_VALUE"""),"Конечно же Набережная, кафешки, ресторан ""Прованс"", ТЦ, по возможности филапмония, театры")</f>
        <v>Конечно же Набережная, кафешки, ресторан "Прованс", ТЦ, по возможности филапмония, театры</v>
      </c>
      <c r="H1765" s="6" t="str">
        <f>IFERROR(__xludf.DUMMYFUNCTION("""COMPUTED_VALUE"""),"Любимый. Зеленый.Родной.Липовый (много лип, потрясающих своим ароматом) Уютный.")</f>
        <v>Любимый. Зеленый.Родной.Липовый (много лип, потрясающих своим ароматом) Уютный.</v>
      </c>
      <c r="I1765" s="6" t="str">
        <f>IFERROR(__xludf.DUMMYFUNCTION("""COMPUTED_VALUE"""),"Мартемьянов, Двужильный, ")</f>
        <v>Мартемьянов, Двужильный, </v>
      </c>
      <c r="J1765" s="6" t="str">
        <f>IFERROR(__xludf.DUMMYFUNCTION("""COMPUTED_VALUE"""),"Кислюк.Тулеев, Шрайбер")</f>
        <v>Кислюк.Тулеев, Шрайбер</v>
      </c>
      <c r="K1765" s="6" t="str">
        <f>IFERROR(__xludf.DUMMYFUNCTION("""COMPUTED_VALUE"""),"Набережная,пл.Советов,Музеи,Красную Горку,Пирамидальные тополя,Вечный огонь")</f>
        <v>Набережная,пл.Советов,Музеи,Красную Горку,Пирамидальные тополя,Вечный огонь</v>
      </c>
      <c r="L1765" s="6" t="str">
        <f>IFERROR(__xludf.DUMMYFUNCTION("""COMPUTED_VALUE"""),"Не знаю таковых")</f>
        <v>Не знаю таковых</v>
      </c>
      <c r="M1765" s="6" t="str">
        <f>IFERROR(__xludf.DUMMYFUNCTION("""COMPUTED_VALUE"""),"Нет")</f>
        <v>Нет</v>
      </c>
      <c r="N1765" s="6" t="str">
        <f>IFERROR(__xludf.DUMMYFUNCTION("""COMPUTED_VALUE"""),"Их немного. Озеленение города, много цветов, бассейны, фитнес-центры. Развлекательных центров побольше, летние кафешки")</f>
        <v>Их немного. Озеленение города, много цветов, бассейны, фитнес-центры. Развлекательных центров побольше, летние кафешки</v>
      </c>
      <c r="O1765" s="6" t="str">
        <f>IFERROR(__xludf.DUMMYFUNCTION("""COMPUTED_VALUE"""),"Экологию.")</f>
        <v>Экологию.</v>
      </c>
      <c r="P1765" s="6" t="str">
        <f>IFERROR(__xludf.DUMMYFUNCTION("""COMPUTED_VALUE"""),"Инстаграм, ТВ")</f>
        <v>Инстаграм, ТВ</v>
      </c>
      <c r="Q176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765" s="6" t="str">
        <f>IFERROR(__xludf.DUMMYFUNCTION("""COMPUTED_VALUE"""),"День Победы, День города.")</f>
        <v>День Победы, День города.</v>
      </c>
      <c r="S1765" s="6" t="str">
        <f>IFERROR(__xludf.DUMMYFUNCTION("""COMPUTED_VALUE"""),"Нет, не приходилось")</f>
        <v>Нет, не приходилось</v>
      </c>
      <c r="T1765" s="6" t="str">
        <f>IFERROR(__xludf.DUMMYFUNCTION("""COMPUTED_VALUE"""),"Уникальности особой нет. Для меня лично, это река Томь")</f>
        <v>Уникальности особой нет. Для меня лично, это река Томь</v>
      </c>
      <c r="U1765" s="6" t="str">
        <f>IFERROR(__xludf.DUMMYFUNCTION("""COMPUTED_VALUE"""),"Цум, Весенька, Театр Драмы, Музей, Парк Чудес")</f>
        <v>Цум, Весенька, Театр Драмы, Музей, Парк Чудес</v>
      </c>
      <c r="V1765" s="6" t="str">
        <f>IFERROR(__xludf.DUMMYFUNCTION("""COMPUTED_VALUE"""),"Многт чего в разное время")</f>
        <v>Многт чего в разное время</v>
      </c>
      <c r="W1765" s="6" t="str">
        <f>IFERROR(__xludf.DUMMYFUNCTION("""COMPUTED_VALUE"""),"Разные, но как и все сибиряки- сдержанны, неулыбчивы, неприветливы, грубы. Так хочется, чтобы было по другому")</f>
        <v>Разные, но как и все сибиряки- сдержанны, неулыбчивы, неприветливы, грубы. Так хочется, чтобы было по другому</v>
      </c>
      <c r="X1765" s="6" t="str">
        <f>IFERROR(__xludf.DUMMYFUNCTION("""COMPUTED_VALUE"""),"Весенняя, Набережная, Парк")</f>
        <v>Весенняя, Набережная, Парк</v>
      </c>
      <c r="Y1765" s="6" t="str">
        <f>IFERROR(__xludf.DUMMYFUNCTION("""COMPUTED_VALUE"""),"Чемпионат мира по хокею с шайбой")</f>
        <v>Чемпионат мира по хокею с шайбой</v>
      </c>
      <c r="Z1765" s="6" t="str">
        <f>IFERROR(__xludf.DUMMYFUNCTION("""COMPUTED_VALUE"""),"Особо не почувствовала")</f>
        <v>Особо не почувствовала</v>
      </c>
      <c r="AA1765" s="6" t="str">
        <f>IFERROR(__xludf.DUMMYFUNCTION("""COMPUTED_VALUE"""),"Это последние несанкционированные митинги, в поддержку Навального")</f>
        <v>Это последние несанкционированные митинги, в поддержку Навального</v>
      </c>
      <c r="AB1765" s="6" t="str">
        <f>IFERROR(__xludf.DUMMYFUNCTION("""COMPUTED_VALUE"""),"Сообщеста театральных деятелей, работников искусства, творческих объединенийЭтт ")</f>
        <v>Сообщеста театральных деятелей, работников искусства, творческих объединенийЭтт </v>
      </c>
      <c r="AC1765" s="6" t="str">
        <f>IFERROR(__xludf.DUMMYFUNCTION("""COMPUTED_VALUE"""),"Концерты мировых звезд, всевозможные флэшмобы, ночных мероприятий, уличных кинотеатров, брать примеры с больших городов и применять на Кемерово")</f>
        <v>Концерты мировых звезд, всевозможные флэшмобы, ночных мероприятий, уличных кинотеатров, брать примеры с больших городов и применять на Кемерово</v>
      </c>
      <c r="AD176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765" s="6" t="str">
        <f>IFERROR(__xludf.DUMMYFUNCTION("""COMPUTED_VALUE"""),"Женский")</f>
        <v>Женский</v>
      </c>
      <c r="AF1765" s="6" t="str">
        <f>IFERROR(__xludf.DUMMYFUNCTION("""COMPUTED_VALUE"""),"старше 55")</f>
        <v>старше 55</v>
      </c>
      <c r="AG1765" s="6"/>
      <c r="AH1765" s="6"/>
      <c r="AI1765" s="6"/>
      <c r="AJ1765" s="6"/>
      <c r="AK1765" s="6"/>
      <c r="AL1765" s="6"/>
      <c r="AM1765" s="6"/>
    </row>
    <row r="1766">
      <c r="A1766" s="6">
        <v>1765.0</v>
      </c>
      <c r="B1766" s="6" t="str">
        <f>IFERROR(__xludf.DUMMYFUNCTION("""COMPUTED_VALUE"""),"Монтажник с.в.к.")</f>
        <v>Монтажник с.в.к.</v>
      </c>
      <c r="C1766" s="6" t="str">
        <f>IFERROR(__xludf.DUMMYFUNCTION("""COMPUTED_VALUE"""),"Нет")</f>
        <v>Нет</v>
      </c>
      <c r="D1766" s="6" t="str">
        <f>IFERROR(__xludf.DUMMYFUNCTION("""COMPUTED_VALUE"""),"Заводские, Южный. ")</f>
        <v>Заводские, Южный. </v>
      </c>
      <c r="E1766" s="6" t="str">
        <f>IFERROR(__xludf.DUMMYFUNCTION("""COMPUTED_VALUE"""),"Ул. Патриотов. ")</f>
        <v>Ул. Патриотов. </v>
      </c>
      <c r="F1766" s="6" t="str">
        <f>IFERROR(__xludf.DUMMYFUNCTION("""COMPUTED_VALUE"""),"Живу здесь с рождения")</f>
        <v>Живу здесь с рождения</v>
      </c>
      <c r="G1766" s="6" t="str">
        <f>IFERROR(__xludf.DUMMYFUNCTION("""COMPUTED_VALUE"""),"Р. ТОМЬ, озеро Красное, бр. СТРОИТЕЛЕЙ. ")</f>
        <v>Р. ТОМЬ, озеро Красное, бр. СТРОИТЕЛЕЙ. </v>
      </c>
      <c r="H1766" s="6" t="str">
        <f>IFERROR(__xludf.DUMMYFUNCTION("""COMPUTED_VALUE"""),"Дым стоит зимой, Снег грязный, летом жарко, любимый город. ")</f>
        <v>Дым стоит зимой, Снег грязный, летом жарко, любимый город. </v>
      </c>
      <c r="I1766" s="6" t="str">
        <f>IFERROR(__xludf.DUMMYFUNCTION("""COMPUTED_VALUE"""),"Леонов, Бабанский, Тулеев. ")</f>
        <v>Леонов, Бабанский, Тулеев. </v>
      </c>
      <c r="J1766" s="6" t="str">
        <f>IFERROR(__xludf.DUMMYFUNCTION("""COMPUTED_VALUE"""),"Незнаю")</f>
        <v>Незнаю</v>
      </c>
      <c r="K1766" s="6" t="str">
        <f>IFERROR(__xludf.DUMMYFUNCTION("""COMPUTED_VALUE"""),"Набережную томи, сосновый бор, площадь Пушкина, улица весенняя. ")</f>
        <v>Набережную томи, сосновый бор, площадь Пушкина, улица весенняя. </v>
      </c>
      <c r="L1766" s="6" t="str">
        <f>IFERROR(__xludf.DUMMYFUNCTION("""COMPUTED_VALUE"""),"Кемерово не склоняется, здесь нашли уголь, приезжал Гагарин, бегемот купался в р. ИСКТИМКА. ")</f>
        <v>Кемерово не склоняется, здесь нашли уголь, приезжал Гагарин, бегемот купался в р. ИСКТИМКА. </v>
      </c>
      <c r="M1766" s="6" t="str">
        <f>IFERROR(__xludf.DUMMYFUNCTION("""COMPUTED_VALUE"""),"Три поросенка, общежития на пр. Октябрьском, Тухачи, Южный ни каму не нужный, Плойка 5поликлиника, Мурло, швейка, фабричка.")</f>
        <v>Три поросенка, общежития на пр. Октябрьском, Тухачи, Южный ни каму не нужный, Плойка 5поликлиника, Мурло, швейка, фабричка.</v>
      </c>
      <c r="N1766" s="6" t="str">
        <f>IFERROR(__xludf.DUMMYFUNCTION("""COMPUTED_VALUE"""),"Есть кафе, парки, гор.сад. Много магазинов, набережная томи. ")</f>
        <v>Есть кафе, парки, гор.сад. Много магазинов, набережная томи. </v>
      </c>
      <c r="O1766" s="6" t="str">
        <f>IFERROR(__xludf.DUMMYFUNCTION("""COMPUTED_VALUE"""),"Поменяеть план застройки районов, новыми кварталам жилых домов. ")</f>
        <v>Поменяеть план застройки районов, новыми кварталам жилых домов. </v>
      </c>
      <c r="P1766" s="6" t="str">
        <f>IFERROR(__xludf.DUMMYFUNCTION("""COMPUTED_VALUE"""),"Везде понемногу. ")</f>
        <v>Везде понемногу. </v>
      </c>
      <c r="Q1766" s="6" t="str">
        <f>IFERROR(__xludf.DUMMYFUNCTION("""COMPUTED_VALUE"""),"культурные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1766" s="6" t="str">
        <f>IFERROR(__xludf.DUMMYFUNCTION("""COMPUTED_VALUE"""),"День шахтерам. ")</f>
        <v>День шахтерам. </v>
      </c>
      <c r="S1766" s="6" t="str">
        <f>IFERROR(__xludf.DUMMYFUNCTION("""COMPUTED_VALUE"""),"Нет, не приходилось")</f>
        <v>Нет, не приходилось</v>
      </c>
      <c r="T1766" s="6" t="str">
        <f>IFERROR(__xludf.DUMMYFUNCTION("""COMPUTED_VALUE"""),"Да ни чем. ")</f>
        <v>Да ни чем. </v>
      </c>
      <c r="U1766" s="6" t="str">
        <f>IFERROR(__xludf.DUMMYFUNCTION("""COMPUTED_VALUE"""),"Надпись кузбасс на горе. ")</f>
        <v>Надпись кузбасс на горе. </v>
      </c>
      <c r="V1766" s="6" t="str">
        <f>IFERROR(__xludf.DUMMYFUNCTION("""COMPUTED_VALUE"""),"В СССР построили заводы, создали рабочие меставозвели дома, а в современном ещё нет. ")</f>
        <v>В СССР построили заводы, создали рабочие меставозвели дома, а в современном ещё нет. </v>
      </c>
      <c r="W1766" s="6" t="str">
        <f>IFERROR(__xludf.DUMMYFUNCTION("""COMPUTED_VALUE"""),"Спокойные, опрятные, красивые. ")</f>
        <v>Спокойные, опрятные, красивые. </v>
      </c>
      <c r="X1766" s="6" t="str">
        <f>IFERROR(__xludf.DUMMYFUNCTION("""COMPUTED_VALUE"""),"Набережная горсада, ул. Весенняя площадь советов, пр октябрьский, бульвар строителей, оз. Красное, р томь. ")</f>
        <v>Набережная горсада, ул. Весенняя площадь советов, пр октябрьский, бульвар строителей, оз. Красное, р томь. </v>
      </c>
      <c r="Y1766" s="6" t="str">
        <f>IFERROR(__xludf.DUMMYFUNCTION("""COMPUTED_VALUE"""),"Незнаю. ")</f>
        <v>Незнаю. </v>
      </c>
      <c r="Z1766" s="6" t="str">
        <f>IFERROR(__xludf.DUMMYFUNCTION("""COMPUTED_VALUE"""),"Кадетский корпус построили, зделали несколько дорожный развязок. ")</f>
        <v>Кадетский корпус построили, зделали несколько дорожный развязок. </v>
      </c>
      <c r="AA1766" s="6" t="str">
        <f>IFERROR(__xludf.DUMMYFUNCTION("""COMPUTED_VALUE"""),"Кароновирус, пожар в Зимней Вишне. ")</f>
        <v>Кароновирус, пожар в Зимней Вишне. </v>
      </c>
      <c r="AB1766" s="6" t="str">
        <f>IFERROR(__xludf.DUMMYFUNCTION("""COMPUTED_VALUE"""),"По исследованию  состояния зданий. ")</f>
        <v>По исследованию  состояния зданий. </v>
      </c>
      <c r="AC1766" s="6" t="str">
        <f>IFERROR(__xludf.DUMMYFUNCTION("""COMPUTED_VALUE"""),"
Зделать больше мест для отдыха. ")</f>
        <v>
Зделать больше мест для отдыха. </v>
      </c>
      <c r="AD176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66" s="6" t="str">
        <f>IFERROR(__xludf.DUMMYFUNCTION("""COMPUTED_VALUE"""),"Мужской")</f>
        <v>Мужской</v>
      </c>
      <c r="AF1766" s="6" t="str">
        <f>IFERROR(__xludf.DUMMYFUNCTION("""COMPUTED_VALUE"""),"30-44")</f>
        <v>30-44</v>
      </c>
      <c r="AG1766" s="6"/>
      <c r="AH1766" s="6"/>
      <c r="AI1766" s="6"/>
      <c r="AJ1766" s="6"/>
      <c r="AK1766" s="6"/>
      <c r="AL1766" s="6"/>
      <c r="AM1766" s="6"/>
    </row>
    <row r="1767">
      <c r="A1767" s="6">
        <v>1766.0</v>
      </c>
      <c r="B1767" s="6" t="str">
        <f>IFERROR(__xludf.DUMMYFUNCTION("""COMPUTED_VALUE"""),"Пенсионерка")</f>
        <v>Пенсионерка</v>
      </c>
      <c r="C1767" s="6" t="str">
        <f>IFERROR(__xludf.DUMMYFUNCTION("""COMPUTED_VALUE"""),"Очень люблю плавать в моем любимом бассейне Лазурный")</f>
        <v>Очень люблю плавать в моем любимом бассейне Лазурный</v>
      </c>
      <c r="D1767" s="6" t="str">
        <f>IFERROR(__xludf.DUMMYFUNCTION("""COMPUTED_VALUE"""),"Ленинский район")</f>
        <v>Ленинский район</v>
      </c>
      <c r="E1767" s="6" t="str">
        <f>IFERROR(__xludf.DUMMYFUNCTION("""COMPUTED_VALUE"""),"Кадетский корпус")</f>
        <v>Кадетский корпус</v>
      </c>
      <c r="F1767" s="6" t="str">
        <f>IFERROR(__xludf.DUMMYFUNCTION("""COMPUTED_VALUE"""),"Живу здесь с рождения")</f>
        <v>Живу здесь с рождения</v>
      </c>
      <c r="G1767" s="6" t="str">
        <f>IFERROR(__xludf.DUMMYFUNCTION("""COMPUTED_VALUE"""),"Гуляю возле кадетского корпуса Зимой на лыжах в сосновом бору.Ходила в бассейн Лазурный")</f>
        <v>Гуляю возле кадетского корпуса Зимой на лыжах в сосновом бору.Ходила в бассейн Лазурный</v>
      </c>
      <c r="H1767" s="6" t="str">
        <f>IFERROR(__xludf.DUMMYFUNCTION("""COMPUTED_VALUE"""),"Сибирский,уютный,шахтерский,кедровый,сосновый край")</f>
        <v>Сибирский,уютный,шахтерский,кедровый,сосновый край</v>
      </c>
      <c r="I1767" s="6" t="str">
        <f>IFERROR(__xludf.DUMMYFUNCTION("""COMPUTED_VALUE"""),"Тулеев,Штоколов,Леонов,Рудгерс")</f>
        <v>Тулеев,Штоколов,Леонов,Рудгерс</v>
      </c>
      <c r="J1767" s="6" t="str">
        <f>IFERROR(__xludf.DUMMYFUNCTION("""COMPUTED_VALUE"""),"Цивелев")</f>
        <v>Цивелев</v>
      </c>
      <c r="K1767" s="6" t="str">
        <f>IFERROR(__xludf.DUMMYFUNCTION("""COMPUTED_VALUE"""),"Томская писаница,кедровый бор,сосновый бор")</f>
        <v>Томская писаница,кедровый бор,сосновый бор</v>
      </c>
      <c r="L1767" s="6" t="str">
        <f>IFERROR(__xludf.DUMMYFUNCTION("""COMPUTED_VALUE"""),"Весна год кормит")</f>
        <v>Весна год кормит</v>
      </c>
      <c r="M1767" s="6" t="str">
        <f>IFERROR(__xludf.DUMMYFUNCTION("""COMPUTED_VALUE"""),"Нет")</f>
        <v>Нет</v>
      </c>
      <c r="N1767" s="6" t="str">
        <f>IFERROR(__xludf.DUMMYFUNCTION("""COMPUTED_VALUE"""),"Маленький,уютный,комфортный,тихий")</f>
        <v>Маленький,уютный,комфортный,тихий</v>
      </c>
      <c r="O1767" s="6" t="str">
        <f>IFERROR(__xludf.DUMMYFUNCTION("""COMPUTED_VALUE"""),"Построить Аквопарк")</f>
        <v>Построить Аквопарк</v>
      </c>
      <c r="P1767" s="6" t="str">
        <f>IFERROR(__xludf.DUMMYFUNCTION("""COMPUTED_VALUE"""),"Гугл")</f>
        <v>Гугл</v>
      </c>
      <c r="Q1767"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767" s="6" t="str">
        <f>IFERROR(__xludf.DUMMYFUNCTION("""COMPUTED_VALUE"""),"Новый год на площади Советов,9мая,день шахтеров")</f>
        <v>Новый год на площади Советов,9мая,день шахтеров</v>
      </c>
      <c r="S1767" s="6" t="str">
        <f>IFERROR(__xludf.DUMMYFUNCTION("""COMPUTED_VALUE"""),"Нет, не приходилось")</f>
        <v>Нет, не приходилось</v>
      </c>
      <c r="T1767" s="6" t="str">
        <f>IFERROR(__xludf.DUMMYFUNCTION("""COMPUTED_VALUE"""),"Наши люди Кемеровчане")</f>
        <v>Наши люди Кемеровчане</v>
      </c>
      <c r="U1767" s="6" t="str">
        <f>IFERROR(__xludf.DUMMYFUNCTION("""COMPUTED_VALUE"""),"Драм театр")</f>
        <v>Драм театр</v>
      </c>
      <c r="V1767" s="6" t="str">
        <f>IFERROR(__xludf.DUMMYFUNCTION("""COMPUTED_VALUE"""),"Ничего не сделали!!! Нужны субботники .каждый житель города должен навести порядок в своем дворе")</f>
        <v>Ничего не сделали!!! Нужны субботники .каждый житель города должен навести порядок в своем дворе</v>
      </c>
      <c r="W1767" s="6" t="str">
        <f>IFERROR(__xludf.DUMMYFUNCTION("""COMPUTED_VALUE"""),"Сильные духом,открытые,контактные")</f>
        <v>Сильные духом,открытые,контактные</v>
      </c>
      <c r="X1767" s="6" t="str">
        <f>IFERROR(__xludf.DUMMYFUNCTION("""COMPUTED_VALUE"""),"Возле Кадетского корпусы к озеру Красному")</f>
        <v>Возле Кадетского корпусы к озеру Красному</v>
      </c>
      <c r="Y1767" s="6" t="str">
        <f>IFERROR(__xludf.DUMMYFUNCTION("""COMPUTED_VALUE"""),"Рок фестиваль два года назад летом")</f>
        <v>Рок фестиваль два года назад летом</v>
      </c>
      <c r="Z1767" s="6" t="str">
        <f>IFERROR(__xludf.DUMMYFUNCTION("""COMPUTED_VALUE"""),"Праздник два года назад рядом с Лапландией ")</f>
        <v>Праздник два года назад рядом с Лапландией </v>
      </c>
      <c r="AA1767" s="6" t="str">
        <f>IFERROR(__xludf.DUMMYFUNCTION("""COMPUTED_VALUE"""),"Пожар в Зимней вишне")</f>
        <v>Пожар в Зимней вишне</v>
      </c>
      <c r="AB1767" s="6" t="str">
        <f>IFERROR(__xludf.DUMMYFUNCTION("""COMPUTED_VALUE"""),"Группы здоровья для пенсионеров")</f>
        <v>Группы здоровья для пенсионеров</v>
      </c>
      <c r="AC1767" s="6" t="str">
        <f>IFERROR(__xludf.DUMMYFUNCTION("""COMPUTED_VALUE"""),"Концерты и салюты")</f>
        <v>Концерты и салюты</v>
      </c>
      <c r="AD176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67" s="6" t="str">
        <f>IFERROR(__xludf.DUMMYFUNCTION("""COMPUTED_VALUE"""),"Женский")</f>
        <v>Женский</v>
      </c>
      <c r="AF1767" s="6" t="str">
        <f>IFERROR(__xludf.DUMMYFUNCTION("""COMPUTED_VALUE"""),"старше 55")</f>
        <v>старше 55</v>
      </c>
      <c r="AG1767" s="6"/>
      <c r="AH1767" s="6"/>
      <c r="AI1767" s="6"/>
      <c r="AJ1767" s="6"/>
      <c r="AK1767" s="6"/>
      <c r="AL1767" s="6"/>
      <c r="AM1767" s="6"/>
    </row>
    <row r="1768">
      <c r="A1768" s="6">
        <v>1767.0</v>
      </c>
      <c r="B1768" s="6" t="str">
        <f>IFERROR(__xludf.DUMMYFUNCTION("""COMPUTED_VALUE"""),"Работа на производстве")</f>
        <v>Работа на производстве</v>
      </c>
      <c r="C1768" s="6" t="str">
        <f>IFERROR(__xludf.DUMMYFUNCTION("""COMPUTED_VALUE"""),"Работа с програмами по обработке видео")</f>
        <v>Работа с програмами по обработке видео</v>
      </c>
      <c r="D1768" s="6" t="str">
        <f>IFERROR(__xludf.DUMMYFUNCTION("""COMPUTED_VALUE"""),"Центр")</f>
        <v>Центр</v>
      </c>
      <c r="E1768" s="6" t="str">
        <f>IFERROR(__xludf.DUMMYFUNCTION("""COMPUTED_VALUE"""),"Кузбасс арена, ледовый дворец, новая набережная")</f>
        <v>Кузбасс арена, ледовый дворец, новая набережная</v>
      </c>
      <c r="F1768" s="6" t="str">
        <f>IFERROR(__xludf.DUMMYFUNCTION("""COMPUTED_VALUE"""),"Живу здесь с рождения")</f>
        <v>Живу здесь с рождения</v>
      </c>
      <c r="G1768" s="6" t="str">
        <f>IFERROR(__xludf.DUMMYFUNCTION("""COMPUTED_VALUE"""),"Ресторан, кафе")</f>
        <v>Ресторан, кафе</v>
      </c>
      <c r="H1768" s="6" t="str">
        <f>IFERROR(__xludf.DUMMYFUNCTION("""COMPUTED_VALUE"""),"Уголь, производство, серые тона, лапландия, лесная поляна, плохая экология, плохо с работой")</f>
        <v>Уголь, производство, серые тона, лапландия, лесная поляна, плохая экология, плохо с работой</v>
      </c>
      <c r="I1768" s="6" t="str">
        <f>IFERROR(__xludf.DUMMYFUNCTION("""COMPUTED_VALUE"""),"Гена Букин")</f>
        <v>Гена Букин</v>
      </c>
      <c r="J1768" s="6" t="str">
        <f>IFERROR(__xludf.DUMMYFUNCTION("""COMPUTED_VALUE"""),"Уверен что они с администрации")</f>
        <v>Уверен что они с администрации</v>
      </c>
      <c r="K1768" s="6" t="str">
        <f>IFERROR(__xludf.DUMMYFUNCTION("""COMPUTED_VALUE"""),"У нас таких нет, но после того как закончат набережную на московском (если переход пешеходный сделают), показал бы ( если кто приедет)")</f>
        <v>У нас таких нет, но после того как закончат набережную на московском (если переход пешеходный сделают), показал бы ( если кто приедет)</v>
      </c>
      <c r="L1768" s="6" t="str">
        <f>IFERROR(__xludf.DUMMYFUNCTION("""COMPUTED_VALUE"""),"Нет ответа")</f>
        <v>Нет ответа</v>
      </c>
      <c r="M1768" s="6" t="str">
        <f>IFERROR(__xludf.DUMMYFUNCTION("""COMPUTED_VALUE"""),"""И так сойдет""")</f>
        <v>"И так сойдет"</v>
      </c>
      <c r="N1768" s="6" t="str">
        <f>IFERROR(__xludf.DUMMYFUNCTION("""COMPUTED_VALUE"""),"Чистота, возможность передвигаться пешком без припятствий (переходы, тротуары, и т.д.)")</f>
        <v>Чистота, возможность передвигаться пешком без припятствий (переходы, тротуары, и т.д.)</v>
      </c>
      <c r="O1768" s="6" t="str">
        <f>IFERROR(__xludf.DUMMYFUNCTION("""COMPUTED_VALUE"""),"Создать объекты ( СОВРЕМЕННЫЕ музеи, аквапарки, парки с атракционами современными и т.д) для привлечения людей не только с кемеровской области, что бы они здесь деньги оставляли и делали экономику")</f>
        <v>Создать объекты ( СОВРЕМЕННЫЕ музеи, аквапарки, парки с атракционами современными и т.д) для привлечения людей не только с кемеровской области, что бы они здесь деньги оставляли и делали экономику</v>
      </c>
      <c r="P1768" s="6" t="str">
        <f>IFERROR(__xludf.DUMMYFUNCTION("""COMPUTED_VALUE"""),"Инстаграм")</f>
        <v>Инстаграм</v>
      </c>
      <c r="Q1768" s="6" t="str">
        <f>IFERROR(__xludf.DUMMYFUNCTION("""COMPUTED_VALUE"""),"где вкусно поесть/открытие новых кафе/ресторанов, городская афиша (кино/театр/концерты)")</f>
        <v>где вкусно поесть/открытие новых кафе/ресторанов, городская афиша (кино/театр/концерты)</v>
      </c>
      <c r="R1768" s="6" t="str">
        <f>IFERROR(__xludf.DUMMYFUNCTION("""COMPUTED_VALUE"""),"Даже не знаю")</f>
        <v>Даже не знаю</v>
      </c>
      <c r="S1768" s="6" t="str">
        <f>IFERROR(__xludf.DUMMYFUNCTION("""COMPUTED_VALUE"""),"Нет, не приходилось")</f>
        <v>Нет, не приходилось</v>
      </c>
      <c r="T1768" s="6" t="str">
        <f>IFERROR(__xludf.DUMMYFUNCTION("""COMPUTED_VALUE"""),"Сейчас это новая набережная на московском, ну и когда то елка была за 16млн")</f>
        <v>Сейчас это новая набережная на московском, ну и когда то елка была за 16млн</v>
      </c>
      <c r="U1768" s="6" t="str">
        <f>IFERROR(__xludf.DUMMYFUNCTION("""COMPUTED_VALUE"""),"Площадь советов")</f>
        <v>Площадь советов</v>
      </c>
      <c r="V1768" s="6" t="str">
        <f>IFERROR(__xludf.DUMMYFUNCTION("""COMPUTED_VALUE"""),"Работали")</f>
        <v>Работали</v>
      </c>
      <c r="W1768" s="6" t="str">
        <f>IFERROR(__xludf.DUMMYFUNCTION("""COMPUTED_VALUE"""),"Удовлетворительные, есть воспитанные и нет, в целом хорошо, не столько много пафоса как у некоторых, да и откуда в кемерово пафос")</f>
        <v>Удовлетворительные, есть воспитанные и нет, в целом хорошо, не столько много пафоса как у некоторых, да и откуда в кемерово пафос</v>
      </c>
      <c r="X1768" s="6" t="str">
        <f>IFERROR(__xludf.DUMMYFUNCTION("""COMPUTED_VALUE"""),"Зимой советский, летом много (парки, весенняя, набережная и т.д.)")</f>
        <v>Зимой советский, летом много (парки, весенняя, набережная и т.д.)</v>
      </c>
      <c r="Y1768" s="6" t="str">
        <f>IFERROR(__xludf.DUMMYFUNCTION("""COMPUTED_VALUE"""),"Начал вроде как развиваться наконец то ( но это громко сказано. Строят много в последнее время)")</f>
        <v>Начал вроде как развиваться наконец то ( но это громко сказано. Строят много в последнее время)</v>
      </c>
      <c r="Z1768" s="6" t="str">
        <f>IFERROR(__xludf.DUMMYFUNCTION("""COMPUTED_VALUE"""),"Не припомню")</f>
        <v>Не припомню</v>
      </c>
      <c r="AA1768" s="6" t="str">
        <f>IFERROR(__xludf.DUMMYFUNCTION("""COMPUTED_VALUE"""),"Не припомню")</f>
        <v>Не припомню</v>
      </c>
      <c r="AB1768" s="6" t="str">
        <f>IFERROR(__xludf.DUMMYFUNCTION("""COMPUTED_VALUE"""),"Молодежных движений ( позитивных)")</f>
        <v>Молодежных движений ( позитивных)</v>
      </c>
      <c r="AC1768" s="6" t="str">
        <f>IFERROR(__xludf.DUMMYFUNCTION("""COMPUTED_VALUE"""),"Творческие и не только (aвто мото шоу, концерты современных исполнителей и т.д, что бы люди специально на них приезжали")</f>
        <v>Творческие и не только (aвто мото шоу, концерты современных исполнителей и т.д, что бы люди специально на них приезжали</v>
      </c>
      <c r="AD1768" s="6" t="str">
        <f>IFERROR(__xludf.DUMMYFUNCTION("""COMPUTED_VALUE"""),"Для этого есть специально обученые люди, я в организации проектов без опыта.")</f>
        <v>Для этого есть специально обученые люди, я в организации проектов без опыта.</v>
      </c>
      <c r="AE1768" s="6" t="str">
        <f>IFERROR(__xludf.DUMMYFUNCTION("""COMPUTED_VALUE"""),"Мужской")</f>
        <v>Мужской</v>
      </c>
      <c r="AF1768" s="6" t="str">
        <f>IFERROR(__xludf.DUMMYFUNCTION("""COMPUTED_VALUE"""),"30-44")</f>
        <v>30-44</v>
      </c>
      <c r="AG1768" s="6"/>
      <c r="AH1768" s="6"/>
      <c r="AI1768" s="6"/>
      <c r="AJ1768" s="6"/>
      <c r="AK1768" s="6"/>
      <c r="AL1768" s="6"/>
      <c r="AM1768" s="6"/>
    </row>
    <row r="1769">
      <c r="A1769" s="6">
        <v>1768.0</v>
      </c>
      <c r="B1769" s="6" t="str">
        <f>IFERROR(__xludf.DUMMYFUNCTION("""COMPUTED_VALUE"""),"Врач")</f>
        <v>Врач</v>
      </c>
      <c r="C1769" s="6" t="str">
        <f>IFERROR(__xludf.DUMMYFUNCTION("""COMPUTED_VALUE"""),"Фитнес")</f>
        <v>Фитнес</v>
      </c>
      <c r="D1769" s="6" t="str">
        <f>IFERROR(__xludf.DUMMYFUNCTION("""COMPUTED_VALUE"""),"Южный")</f>
        <v>Южный</v>
      </c>
      <c r="E1769" s="6" t="str">
        <f>IFERROR(__xludf.DUMMYFUNCTION("""COMPUTED_VALUE"""),"Церковь")</f>
        <v>Церковь</v>
      </c>
      <c r="F1769" s="6" t="str">
        <f>IFERROR(__xludf.DUMMYFUNCTION("""COMPUTED_VALUE"""),"Живу здесь с рождения")</f>
        <v>Живу здесь с рождения</v>
      </c>
      <c r="G1769" s="6" t="str">
        <f>IFERROR(__xludf.DUMMYFUNCTION("""COMPUTED_VALUE"""),"Томская писапица  , парк чудес,набережная , территория церкви ""утоли мои печали""")</f>
        <v>Томская писапица  , парк чудес,набережная , территория церкви "утоли мои печали"</v>
      </c>
      <c r="H1769" s="6" t="str">
        <f>IFERROR(__xludf.DUMMYFUNCTION("""COMPUTED_VALUE"""),"Шахтерская столица, площадь  советов ,красная горка ,кузнецкий мост, главпочтамп")</f>
        <v>Шахтерская столица, площадь  советов ,красная горка ,кузнецкий мост, главпочтамп</v>
      </c>
      <c r="I1769" s="6" t="str">
        <f>IFERROR(__xludf.DUMMYFUNCTION("""COMPUTED_VALUE"""),"Михайло Волков, Юрий двужильный,вера волошина")</f>
        <v>Михайло Волков, Юрий двужильный,вера волошина</v>
      </c>
      <c r="J1769" s="6" t="str">
        <f>IFERROR(__xludf.DUMMYFUNCTION("""COMPUTED_VALUE"""),"Леонов  ")</f>
        <v>Леонов  </v>
      </c>
      <c r="K1769" s="6" t="str">
        <f>IFERROR(__xludf.DUMMYFUNCTION("""COMPUTED_VALUE"""),"Памятник шахтёрам,  Томская писаница, город-спутник лесная поляна")</f>
        <v>Памятник шахтёрам,  Томская писаница, город-спутник лесная поляна</v>
      </c>
      <c r="L1769" s="6" t="str">
        <f>IFERROR(__xludf.DUMMYFUNCTION("""COMPUTED_VALUE"""),"Не знаю ")</f>
        <v>Не знаю </v>
      </c>
      <c r="M1769" s="6" t="str">
        <f>IFERROR(__xludf.DUMMYFUNCTION("""COMPUTED_VALUE"""),"Нет")</f>
        <v>Нет</v>
      </c>
      <c r="N1769" s="6" t="str">
        <f>IFERROR(__xludf.DUMMYFUNCTION("""COMPUTED_VALUE"""),"Инфраструктура, парки,свекры, хорошие дороги, чистые улицы, места для массовых мероприятий:концертов, выставок, фестивалей ")</f>
        <v>Инфраструктура, парки,свекры, хорошие дороги, чистые улицы, места для массовых мероприятий:концертов, выставок, фестивалей </v>
      </c>
      <c r="O1769" s="6" t="str">
        <f>IFERROR(__xludf.DUMMYFUNCTION("""COMPUTED_VALUE"""),"Объездная дорога")</f>
        <v>Объездная дорога</v>
      </c>
      <c r="P1769" s="6" t="str">
        <f>IFERROR(__xludf.DUMMYFUNCTION("""COMPUTED_VALUE"""),"Инстаграмм,телевидение")</f>
        <v>Инстаграмм,телевидение</v>
      </c>
      <c r="Q1769"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769" s="6" t="str">
        <f>IFERROR(__xludf.DUMMYFUNCTION("""COMPUTED_VALUE"""),"9 мая, день города")</f>
        <v>9 мая, день города</v>
      </c>
      <c r="S1769" s="6" t="str">
        <f>IFERROR(__xludf.DUMMYFUNCTION("""COMPUTED_VALUE"""),"Нет, не приходилось")</f>
        <v>Нет, не приходилось</v>
      </c>
      <c r="T1769" s="6" t="str">
        <f>IFERROR(__xludf.DUMMYFUNCTION("""COMPUTED_VALUE"""),"Музей заповедник красная горка, город спутник лесная поляна ")</f>
        <v>Музей заповедник красная горка, город спутник лесная поляна </v>
      </c>
      <c r="U1769" s="6" t="str">
        <f>IFERROR(__xludf.DUMMYFUNCTION("""COMPUTED_VALUE"""),"Площадь советов, парк победы, улица весенняя, парк чудес")</f>
        <v>Площадь советов, парк победы, улица весенняя, парк чудес</v>
      </c>
      <c r="V1769" s="6" t="str">
        <f>IFERROR(__xludf.DUMMYFUNCTION("""COMPUTED_VALUE"""),"Не знаю")</f>
        <v>Не знаю</v>
      </c>
      <c r="W1769" s="6" t="str">
        <f>IFERROR(__xludf.DUMMYFUNCTION("""COMPUTED_VALUE"""),"Простые , хмурые, угрюмые")</f>
        <v>Простые , хмурые, угрюмые</v>
      </c>
      <c r="X1769" s="6" t="str">
        <f>IFERROR(__xludf.DUMMYFUNCTION("""COMPUTED_VALUE"""),"Проспект советский, Набережная,весенняя  , филармония, парк антошка")</f>
        <v>Проспект советский, Набережная,весенняя  , филармония, парк антошка</v>
      </c>
      <c r="Y1769" s="6" t="str">
        <f>IFERROR(__xludf.DUMMYFUNCTION("""COMPUTED_VALUE"""),"Чемпионат мира по хоккею с мячом/бэнди/")</f>
        <v>Чемпионат мира по хоккею с мячом/бэнди/</v>
      </c>
      <c r="Z1769" s="6" t="str">
        <f>IFERROR(__xludf.DUMMYFUNCTION("""COMPUTED_VALUE"""),"Обновление кинотеатра юбилейный, новая новогодняя елка на площади советов")</f>
        <v>Обновление кинотеатра юбилейный, новая новогодняя елка на площади советов</v>
      </c>
      <c r="AA1769" s="6" t="str">
        <f>IFERROR(__xludf.DUMMYFUNCTION("""COMPUTED_VALUE"""),"Пожар в зимней вишне")</f>
        <v>Пожар в зимней вишне</v>
      </c>
      <c r="AB1769" s="6" t="str">
        <f>IFERROR(__xludf.DUMMYFUNCTION("""COMPUTED_VALUE"""),"Не знаю")</f>
        <v>Не знаю</v>
      </c>
      <c r="AC1769" s="6" t="str">
        <f>IFERROR(__xludf.DUMMYFUNCTION("""COMPUTED_VALUE"""),"Бесплатные Выставки , фестивали, ярмарки,концерты")</f>
        <v>Бесплатные Выставки , фестивали, ярмарки,концерты</v>
      </c>
      <c r="AD176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69" s="6" t="str">
        <f>IFERROR(__xludf.DUMMYFUNCTION("""COMPUTED_VALUE"""),"Женский")</f>
        <v>Женский</v>
      </c>
      <c r="AF1769" s="6" t="str">
        <f>IFERROR(__xludf.DUMMYFUNCTION("""COMPUTED_VALUE"""),"30-44")</f>
        <v>30-44</v>
      </c>
      <c r="AG1769" s="6"/>
      <c r="AH1769" s="6"/>
      <c r="AI1769" s="6"/>
      <c r="AJ1769" s="6"/>
      <c r="AK1769" s="6"/>
      <c r="AL1769" s="6"/>
      <c r="AM1769" s="6"/>
    </row>
    <row r="1770">
      <c r="A1770" s="6">
        <v>1769.0</v>
      </c>
      <c r="B1770" s="6" t="str">
        <f>IFERROR(__xludf.DUMMYFUNCTION("""COMPUTED_VALUE"""),"учеба")</f>
        <v>учеба</v>
      </c>
      <c r="C1770" s="6" t="str">
        <f>IFERROR(__xludf.DUMMYFUNCTION("""COMPUTED_VALUE"""),"танцы")</f>
        <v>танцы</v>
      </c>
      <c r="D1770" s="6" t="str">
        <f>IFERROR(__xludf.DUMMYFUNCTION("""COMPUTED_VALUE"""),"кировский ")</f>
        <v>кировский </v>
      </c>
      <c r="E1770" s="6" t="str">
        <f>IFERROR(__xludf.DUMMYFUNCTION("""COMPUTED_VALUE"""),"набережная")</f>
        <v>набережная</v>
      </c>
      <c r="F1770" s="6" t="str">
        <f>IFERROR(__xludf.DUMMYFUNCTION("""COMPUTED_VALUE"""),"Живу здесь с рождения")</f>
        <v>Живу здесь с рождения</v>
      </c>
      <c r="G1770" s="6" t="str">
        <f>IFERROR(__xludf.DUMMYFUNCTION("""COMPUTED_VALUE"""),"21 микрорайон")</f>
        <v>21 микрорайон</v>
      </c>
      <c r="H1770" s="6" t="str">
        <f>IFERROR(__xludf.DUMMYFUNCTION("""COMPUTED_VALUE"""),"неэкологичный, разносторонний, развивающийся, отдаленный, активный ")</f>
        <v>неэкологичный, разносторонний, развивающийся, отдаленный, активный </v>
      </c>
      <c r="I1770" s="6" t="str">
        <f>IFERROR(__xludf.DUMMYFUNCTION("""COMPUTED_VALUE"""),"Волков ")</f>
        <v>Волков </v>
      </c>
      <c r="J1770" s="6" t="str">
        <f>IFERROR(__xludf.DUMMYFUNCTION("""COMPUTED_VALUE"""),"Цивилев ")</f>
        <v>Цивилев </v>
      </c>
      <c r="K1770" s="6" t="str">
        <f>IFERROR(__xludf.DUMMYFUNCTION("""COMPUTED_VALUE"""),"парк ангелов")</f>
        <v>парк ангелов</v>
      </c>
      <c r="L1770" s="6" t="str">
        <f>IFERROR(__xludf.DUMMYFUNCTION("""COMPUTED_VALUE"""),".")</f>
        <v>.</v>
      </c>
      <c r="M1770" s="6" t="str">
        <f>IFERROR(__xludf.DUMMYFUNCTION("""COMPUTED_VALUE"""),"ягода виктория")</f>
        <v>ягода виктория</v>
      </c>
      <c r="N1770" s="6" t="str">
        <f>IFERROR(__xludf.DUMMYFUNCTION("""COMPUTED_VALUE"""),"хорошая дорога, чистый воздух, аптеки , школы, садики в шаговой доступности, богатый выбор развлечений с семьей, высокая зарплата")</f>
        <v>хорошая дорога, чистый воздух, аптеки , школы, садики в шаговой доступности, богатый выбор развлечений с семьей, высокая зарплата</v>
      </c>
      <c r="O1770" s="6" t="str">
        <f>IFERROR(__xludf.DUMMYFUNCTION("""COMPUTED_VALUE"""),"экология ")</f>
        <v>экология </v>
      </c>
      <c r="P1770" s="6" t="str">
        <f>IFERROR(__xludf.DUMMYFUNCTION("""COMPUTED_VALUE"""),"инстаграм ")</f>
        <v>инстаграм </v>
      </c>
      <c r="Q1770"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1770" s="6" t="str">
        <f>IFERROR(__xludf.DUMMYFUNCTION("""COMPUTED_VALUE"""),"день города")</f>
        <v>день города</v>
      </c>
      <c r="S1770" s="6" t="str">
        <f>IFERROR(__xludf.DUMMYFUNCTION("""COMPUTED_VALUE"""),"Нет, не приходилось")</f>
        <v>Нет, не приходилось</v>
      </c>
      <c r="T1770" s="6" t="str">
        <f>IFERROR(__xludf.DUMMYFUNCTION("""COMPUTED_VALUE"""),"добыча угля")</f>
        <v>добыча угля</v>
      </c>
      <c r="U1770" s="6" t="str">
        <f>IFERROR(__xludf.DUMMYFUNCTION("""COMPUTED_VALUE"""),"площадь советов")</f>
        <v>площадь советов</v>
      </c>
      <c r="V1770" s="6" t="str">
        <f>IFERROR(__xludf.DUMMYFUNCTION("""COMPUTED_VALUE"""),"развитие ")</f>
        <v>развитие </v>
      </c>
      <c r="W1770" s="6" t="str">
        <f>IFERROR(__xludf.DUMMYFUNCTION("""COMPUTED_VALUE"""),"веселые")</f>
        <v>веселые</v>
      </c>
      <c r="X1770" s="6" t="str">
        <f>IFERROR(__xludf.DUMMYFUNCTION("""COMPUTED_VALUE"""),"парк чудес, набережная, площадь советов, парк ангелов, бульвар строителей")</f>
        <v>парк чудес, набережная, площадь советов, парк ангелов, бульвар строителей</v>
      </c>
      <c r="Y1770" s="6" t="str">
        <f>IFERROR(__xludf.DUMMYFUNCTION("""COMPUTED_VALUE"""),".")</f>
        <v>.</v>
      </c>
      <c r="Z1770" s="6" t="str">
        <f>IFERROR(__xludf.DUMMYFUNCTION("""COMPUTED_VALUE"""),"общественные праздники")</f>
        <v>общественные праздники</v>
      </c>
      <c r="AA1770" s="6" t="str">
        <f>IFERROR(__xludf.DUMMYFUNCTION("""COMPUTED_VALUE"""),"пожар зимней вишни")</f>
        <v>пожар зимней вишни</v>
      </c>
      <c r="AB1770" s="6" t="str">
        <f>IFERROR(__xludf.DUMMYFUNCTION("""COMPUTED_VALUE"""),".")</f>
        <v>.</v>
      </c>
      <c r="AC1770" s="6" t="str">
        <f>IFERROR(__xludf.DUMMYFUNCTION("""COMPUTED_VALUE"""),".")</f>
        <v>.</v>
      </c>
      <c r="AD177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770" s="6" t="str">
        <f>IFERROR(__xludf.DUMMYFUNCTION("""COMPUTED_VALUE"""),"Женский")</f>
        <v>Женский</v>
      </c>
      <c r="AF1770" s="6" t="str">
        <f>IFERROR(__xludf.DUMMYFUNCTION("""COMPUTED_VALUE"""),"18-29")</f>
        <v>18-29</v>
      </c>
      <c r="AG1770" s="6"/>
      <c r="AH1770" s="6"/>
      <c r="AI1770" s="6"/>
      <c r="AJ1770" s="6"/>
      <c r="AK1770" s="6"/>
      <c r="AL1770" s="6"/>
      <c r="AM1770" s="6"/>
    </row>
    <row r="1771">
      <c r="A1771" s="6">
        <v>1770.0</v>
      </c>
      <c r="B1771" s="6" t="str">
        <f>IFERROR(__xludf.DUMMYFUNCTION("""COMPUTED_VALUE"""),"Пенсионер ")</f>
        <v>Пенсионер </v>
      </c>
      <c r="C1771" s="6" t="str">
        <f>IFERROR(__xludf.DUMMYFUNCTION("""COMPUTED_VALUE"""),"Активный отдых ")</f>
        <v>Активный отдых </v>
      </c>
      <c r="D1771" s="6" t="str">
        <f>IFERROR(__xludf.DUMMYFUNCTION("""COMPUTED_VALUE"""),"Кировский ")</f>
        <v>Кировский </v>
      </c>
      <c r="E1771" s="6" t="str">
        <f>IFERROR(__xludf.DUMMYFUNCTION("""COMPUTED_VALUE"""),"Набережная, ДК Кировского района ")</f>
        <v>Набережная, ДК Кировского района </v>
      </c>
      <c r="F1771" s="6" t="str">
        <f>IFERROR(__xludf.DUMMYFUNCTION("""COMPUTED_VALUE"""),"Переехал сюда из другого места (откуда? укажите в графе другое), Ленинский район ")</f>
        <v>Переехал сюда из другого места (откуда? укажите в графе другое), Ленинский район </v>
      </c>
      <c r="G1771" s="6" t="str">
        <f>IFERROR(__xludf.DUMMYFUNCTION("""COMPUTED_VALUE"""),"Кировская набережная, ТОМСКАЯ ПИСАНИЦА, ул. Весенняя, б-р Строителей")</f>
        <v>Кировская набережная, ТОМСКАЯ ПИСАНИЦА, ул. Весенняя, б-р Строителей</v>
      </c>
      <c r="H1771" s="6" t="str">
        <f>IFERROR(__xludf.DUMMYFUNCTION("""COMPUTED_VALUE"""),"Родина, учёба, работа, пенсия, дети ")</f>
        <v>Родина, учёба, работа, пенсия, дети </v>
      </c>
      <c r="I1771" s="6" t="str">
        <f>IFERROR(__xludf.DUMMYFUNCTION("""COMPUTED_VALUE"""),"Себальт Рутгерс,  Алексей Леонов, Вера Волошина.")</f>
        <v>Себальт Рутгерс,  Алексей Леонов, Вера Волошина.</v>
      </c>
      <c r="J1771" s="6" t="str">
        <f>IFERROR(__xludf.DUMMYFUNCTION("""COMPUTED_VALUE"""),"Виталий Раздаев")</f>
        <v>Виталий Раздаев</v>
      </c>
      <c r="K1771" s="6" t="str">
        <f>IFERROR(__xludf.DUMMYFUNCTION("""COMPUTED_VALUE"""),"Старая пристань на красной горке")</f>
        <v>Старая пристань на красной горке</v>
      </c>
      <c r="L1771" s="6" t="str">
        <f>IFERROR(__xludf.DUMMYFUNCTION("""COMPUTED_VALUE"""),"Трудности не изнуряют, а закаляют")</f>
        <v>Трудности не изнуряют, а закаляют</v>
      </c>
      <c r="M1771" s="6" t="str">
        <f>IFERROR(__xludf.DUMMYFUNCTION("""COMPUTED_VALUE"""),"Знаю конечно,  просто я к ним привык и они мне кажутся обыденными. ")</f>
        <v>Знаю конечно,  просто я к ним привык и они мне кажутся обыденными. </v>
      </c>
      <c r="N1771" s="6" t="str">
        <f>IFERROR(__xludf.DUMMYFUNCTION("""COMPUTED_VALUE"""),"Рабочие места, зоны отдыха и спорта.")</f>
        <v>Рабочие места, зоны отдыха и спорта.</v>
      </c>
      <c r="O1771" s="6" t="str">
        <f>IFERROR(__xludf.DUMMYFUNCTION("""COMPUTED_VALUE"""),"Создать новые рабочие места,  построить объездную дорогу вокруг гор. Кемерово .")</f>
        <v>Создать новые рабочие места,  построить объездную дорогу вокруг гор. Кемерово .</v>
      </c>
      <c r="P1771" s="6" t="str">
        <f>IFERROR(__xludf.DUMMYFUNCTION("""COMPUTED_VALUE"""),"Google,  yandex")</f>
        <v>Google,  yandex</v>
      </c>
      <c r="Q1771" s="6" t="str">
        <f>IFERROR(__xludf.DUMMYFUNCTION("""COMPUTED_VALUE"""),"куда пойти в свободное время,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"&amp;"(напишите в разделе Другое свои предложения)")</f>
        <v>куда пойти в свободное время,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771" s="6" t="str">
        <f>IFERROR(__xludf.DUMMYFUNCTION("""COMPUTED_VALUE"""),"День Победы 9 мая ")</f>
        <v>День Победы 9 мая </v>
      </c>
      <c r="S1771" s="6" t="str">
        <f>IFERROR(__xludf.DUMMYFUNCTION("""COMPUTED_VALUE"""),"Нет, не приходилось")</f>
        <v>Нет, не приходилось</v>
      </c>
      <c r="T1771" s="6" t="str">
        <f>IFERROR(__xludf.DUMMYFUNCTION("""COMPUTED_VALUE"""),"К сожалению только углём")</f>
        <v>К сожалению только углём</v>
      </c>
      <c r="U1771" s="6" t="str">
        <f>IFERROR(__xludf.DUMMYFUNCTION("""COMPUTED_VALUE"""),"Драматический театр ")</f>
        <v>Драматический театр </v>
      </c>
      <c r="V1771" s="6" t="str">
        <f>IFERROR(__xludf.DUMMYFUNCTION("""COMPUTED_VALUE"""),"Строили и развивали город ")</f>
        <v>Строили и развивали город </v>
      </c>
      <c r="W1771" s="6" t="str">
        <f>IFERROR(__xludf.DUMMYFUNCTION("""COMPUTED_VALUE"""),"Люди умеющие добиваться поставленной цели")</f>
        <v>Люди умеющие добиваться поставленной цели</v>
      </c>
      <c r="X1771" s="6" t="str">
        <f>IFERROR(__xludf.DUMMYFUNCTION("""COMPUTED_VALUE"""),"Улица Весенняя ")</f>
        <v>Улица Весенняя </v>
      </c>
      <c r="Y1771" s="6" t="str">
        <f>IFERROR(__xludf.DUMMYFUNCTION("""COMPUTED_VALUE"""),"Победа над фашизмом ")</f>
        <v>Победа над фашизмом </v>
      </c>
      <c r="Z1771" s="6" t="str">
        <f>IFERROR(__xludf.DUMMYFUNCTION("""COMPUTED_VALUE"""),"Последние два года кемеровчане были на самоизоляции, что здесь позитивного? ")</f>
        <v>Последние два года кемеровчане были на самоизоляции, что здесь позитивного? </v>
      </c>
      <c r="AA1771" s="6" t="str">
        <f>IFERROR(__xludf.DUMMYFUNCTION("""COMPUTED_VALUE"""),"COVID19")</f>
        <v>COVID19</v>
      </c>
      <c r="AB1771" s="6" t="str">
        <f>IFERROR(__xludf.DUMMYFUNCTION("""COMPUTED_VALUE"""),"Нет таких")</f>
        <v>Нет таких</v>
      </c>
      <c r="AC1771" s="6" t="str">
        <f>IFERROR(__xludf.DUMMYFUNCTION("""COMPUTED_VALUE"""),"Мероприятия по отмене масок")</f>
        <v>Мероприятия по отмене масок</v>
      </c>
      <c r="AD177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71" s="6" t="str">
        <f>IFERROR(__xludf.DUMMYFUNCTION("""COMPUTED_VALUE"""),"Мужской")</f>
        <v>Мужской</v>
      </c>
      <c r="AF1771" s="6" t="str">
        <f>IFERROR(__xludf.DUMMYFUNCTION("""COMPUTED_VALUE"""),"45-55")</f>
        <v>45-55</v>
      </c>
      <c r="AG1771" s="6"/>
      <c r="AH1771" s="6"/>
      <c r="AI1771" s="6"/>
      <c r="AJ1771" s="6"/>
      <c r="AK1771" s="6"/>
      <c r="AL1771" s="6"/>
      <c r="AM1771" s="6"/>
    </row>
    <row r="1772">
      <c r="A1772" s="6">
        <v>1771.0</v>
      </c>
      <c r="B1772" s="6" t="str">
        <f>IFERROR(__xludf.DUMMYFUNCTION("""COMPUTED_VALUE"""),"Разнорабочий")</f>
        <v>Разнорабочий</v>
      </c>
      <c r="C1772" s="6" t="str">
        <f>IFERROR(__xludf.DUMMYFUNCTION("""COMPUTED_VALUE"""),"Рыбалка, дача")</f>
        <v>Рыбалка, дача</v>
      </c>
      <c r="D1772" s="6" t="str">
        <f>IFERROR(__xludf.DUMMYFUNCTION("""COMPUTED_VALUE"""),"Центральный")</f>
        <v>Центральный</v>
      </c>
      <c r="E1772" s="6" t="str">
        <f>IFERROR(__xludf.DUMMYFUNCTION("""COMPUTED_VALUE"""),"Площадь Советов")</f>
        <v>Площадь Советов</v>
      </c>
      <c r="F1772" s="6" t="str">
        <f>IFERROR(__xludf.DUMMYFUNCTION("""COMPUTED_VALUE"""),"Живу здесь с рождения")</f>
        <v>Живу здесь с рождения</v>
      </c>
      <c r="G1772" s="6" t="str">
        <f>IFERROR(__xludf.DUMMYFUNCTION("""COMPUTED_VALUE"""),"Набережная, у. Весенняя, парк ")</f>
        <v>Набережная, у. Весенняя, парк </v>
      </c>
      <c r="H1772" s="6" t="str">
        <f>IFERROR(__xludf.DUMMYFUNCTION("""COMPUTED_VALUE"""),"уголь, снег, грязь")</f>
        <v>уголь, снег, грязь</v>
      </c>
      <c r="I1772" s="6" t="str">
        <f>IFERROR(__xludf.DUMMYFUNCTION("""COMPUTED_VALUE"""),"Леонов, Волков")</f>
        <v>Леонов, Волков</v>
      </c>
      <c r="J1772" s="6" t="str">
        <f>IFERROR(__xludf.DUMMYFUNCTION("""COMPUTED_VALUE"""),"Тулеев")</f>
        <v>Тулеев</v>
      </c>
      <c r="K1772" s="6" t="str">
        <f>IFERROR(__xludf.DUMMYFUNCTION("""COMPUTED_VALUE"""),"Памятник шахтеру, бор, Томская писаница")</f>
        <v>Памятник шахтеру, бор, Томская писаница</v>
      </c>
      <c r="L1772" s="6" t="str">
        <f>IFERROR(__xludf.DUMMYFUNCTION("""COMPUTED_VALUE"""),"не знаю")</f>
        <v>не знаю</v>
      </c>
      <c r="M1772" s="6" t="str">
        <f>IFERROR(__xludf.DUMMYFUNCTION("""COMPUTED_VALUE"""),"не знаю")</f>
        <v>не знаю</v>
      </c>
      <c r="N1772" s="6" t="str">
        <f>IFERROR(__xludf.DUMMYFUNCTION("""COMPUTED_VALUE"""),"чистота улиц, спортивные объекты, экология, дороги, парковки")</f>
        <v>чистота улиц, спортивные объекты, экология, дороги, парковки</v>
      </c>
      <c r="O1772" s="6" t="str">
        <f>IFERROR(__xludf.DUMMYFUNCTION("""COMPUTED_VALUE"""),"Экологию")</f>
        <v>Экологию</v>
      </c>
      <c r="P1772" s="6" t="str">
        <f>IFERROR(__xludf.DUMMYFUNCTION("""COMPUTED_VALUE"""),"яндекс новости, вк")</f>
        <v>яндекс новости, вк</v>
      </c>
      <c r="Q1772" s="6" t="str">
        <f>IFERROR(__xludf.DUMMYFUNCTION("""COMPUTED_VALUE"""),"куда пойти в свободное время")</f>
        <v>куда пойти в свободное время</v>
      </c>
      <c r="R1772" s="6" t="str">
        <f>IFERROR(__xludf.DUMMYFUNCTION("""COMPUTED_VALUE"""),"нет таких")</f>
        <v>нет таких</v>
      </c>
      <c r="S1772" s="6" t="str">
        <f>IFERROR(__xludf.DUMMYFUNCTION("""COMPUTED_VALUE"""),"Нет, не приходилось")</f>
        <v>Нет, не приходилось</v>
      </c>
      <c r="T1772" s="6" t="str">
        <f>IFERROR(__xludf.DUMMYFUNCTION("""COMPUTED_VALUE"""),"шахты")</f>
        <v>шахты</v>
      </c>
      <c r="U1772" s="6" t="str">
        <f>IFERROR(__xludf.DUMMYFUNCTION("""COMPUTED_VALUE"""),"Площадь Советов")</f>
        <v>Площадь Советов</v>
      </c>
      <c r="V1772" s="6" t="str">
        <f>IFERROR(__xludf.DUMMYFUNCTION("""COMPUTED_VALUE"""),"Построили город")</f>
        <v>Построили город</v>
      </c>
      <c r="W1772" s="6" t="str">
        <f>IFERROR(__xludf.DUMMYFUNCTION("""COMPUTED_VALUE"""),"Стойкие")</f>
        <v>Стойкие</v>
      </c>
      <c r="X1772" s="6" t="str">
        <f>IFERROR(__xludf.DUMMYFUNCTION("""COMPUTED_VALUE"""),"Набережная")</f>
        <v>Набережная</v>
      </c>
      <c r="Y1772" s="6" t="str">
        <f>IFERROR(__xludf.DUMMYFUNCTION("""COMPUTED_VALUE"""),"не знаю")</f>
        <v>не знаю</v>
      </c>
      <c r="Z1772" s="6" t="str">
        <f>IFERROR(__xludf.DUMMYFUNCTION("""COMPUTED_VALUE"""),"-")</f>
        <v>-</v>
      </c>
      <c r="AA1772" s="6" t="str">
        <f>IFERROR(__xludf.DUMMYFUNCTION("""COMPUTED_VALUE"""),"Зимняя Вишня")</f>
        <v>Зимняя Вишня</v>
      </c>
      <c r="AB1772" s="6" t="str">
        <f>IFERROR(__xludf.DUMMYFUNCTION("""COMPUTED_VALUE"""),"не знаю")</f>
        <v>не знаю</v>
      </c>
      <c r="AC1772" s="6" t="str">
        <f>IFERROR(__xludf.DUMMYFUNCTION("""COMPUTED_VALUE"""),"Аквапарк")</f>
        <v>Аквапарк</v>
      </c>
      <c r="AD177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72" s="6" t="str">
        <f>IFERROR(__xludf.DUMMYFUNCTION("""COMPUTED_VALUE"""),"Мужской")</f>
        <v>Мужской</v>
      </c>
      <c r="AF1772" s="6" t="str">
        <f>IFERROR(__xludf.DUMMYFUNCTION("""COMPUTED_VALUE"""),"30-44")</f>
        <v>30-44</v>
      </c>
      <c r="AG1772" s="6"/>
      <c r="AH1772" s="6"/>
      <c r="AI1772" s="6"/>
      <c r="AJ1772" s="6"/>
      <c r="AK1772" s="6"/>
      <c r="AL1772" s="6"/>
      <c r="AM1772" s="6"/>
    </row>
    <row r="1773">
      <c r="A1773" s="6">
        <v>1772.0</v>
      </c>
      <c r="B1773" s="6" t="str">
        <f>IFERROR(__xludf.DUMMYFUNCTION("""COMPUTED_VALUE"""),"Экономика")</f>
        <v>Экономика</v>
      </c>
      <c r="C1773" s="6" t="str">
        <f>IFERROR(__xludf.DUMMYFUNCTION("""COMPUTED_VALUE"""),"Спорт")</f>
        <v>Спорт</v>
      </c>
      <c r="D1773" s="6" t="str">
        <f>IFERROR(__xludf.DUMMYFUNCTION("""COMPUTED_VALUE"""),"Южный")</f>
        <v>Южный</v>
      </c>
      <c r="E1773" s="6" t="str">
        <f>IFERROR(__xludf.DUMMYFUNCTION("""COMPUTED_VALUE"""),"Аллея, стелла Юрия Гагарина")</f>
        <v>Аллея, стелла Юрия Гагарина</v>
      </c>
      <c r="F1773" s="6" t="str">
        <f>IFERROR(__xludf.DUMMYFUNCTION("""COMPUTED_VALUE"""),"Живу здесь с рождения")</f>
        <v>Живу здесь с рождения</v>
      </c>
      <c r="G1773" s="6" t="str">
        <f>IFERROR(__xludf.DUMMYFUNCTION("""COMPUTED_VALUE"""),"Стадион Химмик")</f>
        <v>Стадион Химмик</v>
      </c>
      <c r="H1773" s="6" t="str">
        <f>IFERROR(__xludf.DUMMYFUNCTION("""COMPUTED_VALUE"""),"Большой, серый, грязный, неуютный, заброшенный")</f>
        <v>Большой, серый, грязный, неуютный, заброшенный</v>
      </c>
      <c r="I1773" s="6" t="str">
        <f>IFERROR(__xludf.DUMMYFUNCTION("""COMPUTED_VALUE"""),"Незнаю")</f>
        <v>Незнаю</v>
      </c>
      <c r="J1773" s="6" t="str">
        <f>IFERROR(__xludf.DUMMYFUNCTION("""COMPUTED_VALUE"""),"Незнаю")</f>
        <v>Незнаю</v>
      </c>
      <c r="K1773" s="6" t="str">
        <f>IFERROR(__xludf.DUMMYFUNCTION("""COMPUTED_VALUE"""),"Руки матери, горящее сердце")</f>
        <v>Руки матери, горящее сердце</v>
      </c>
      <c r="L1773" s="6" t="str">
        <f>IFERROR(__xludf.DUMMYFUNCTION("""COMPUTED_VALUE"""),"Сто одежек и все без застежек")</f>
        <v>Сто одежек и все без застежек</v>
      </c>
      <c r="M1773" s="6" t="str">
        <f>IFERROR(__xludf.DUMMYFUNCTION("""COMPUTED_VALUE"""),"Нет")</f>
        <v>Нет</v>
      </c>
      <c r="N1773" s="6" t="str">
        <f>IFERROR(__xludf.DUMMYFUNCTION("""COMPUTED_VALUE"""),"Есть почти все виды транспорта, много магазинов, парки, набережная, чистота")</f>
        <v>Есть почти все виды транспорта, много магазинов, парки, набережная, чистота</v>
      </c>
      <c r="O1773" s="6" t="str">
        <f>IFERROR(__xludf.DUMMYFUNCTION("""COMPUTED_VALUE"""),"Навести чистоту")</f>
        <v>Навести чистоту</v>
      </c>
      <c r="P1773" s="6" t="str">
        <f>IFERROR(__xludf.DUMMYFUNCTION("""COMPUTED_VALUE"""),"Инстаграм")</f>
        <v>Инстаграм</v>
      </c>
      <c r="Q1773"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773" s="6" t="str">
        <f>IFERROR(__xludf.DUMMYFUNCTION("""COMPUTED_VALUE"""),"День города")</f>
        <v>День города</v>
      </c>
      <c r="S1773" s="6" t="str">
        <f>IFERROR(__xludf.DUMMYFUNCTION("""COMPUTED_VALUE"""),"Нет, не приходилось")</f>
        <v>Нет, не приходилось</v>
      </c>
      <c r="T1773" s="6" t="str">
        <f>IFERROR(__xludf.DUMMYFUNCTION("""COMPUTED_VALUE"""),"Ни чем")</f>
        <v>Ни чем</v>
      </c>
      <c r="U1773" s="6" t="str">
        <f>IFERROR(__xludf.DUMMYFUNCTION("""COMPUTED_VALUE"""),"Вокзал")</f>
        <v>Вокзал</v>
      </c>
      <c r="V1773" s="6" t="str">
        <f>IFERROR(__xludf.DUMMYFUNCTION("""COMPUTED_VALUE"""),"Занимались архитектурой города")</f>
        <v>Занимались архитектурой города</v>
      </c>
      <c r="W1773" s="6" t="str">
        <f>IFERROR(__xludf.DUMMYFUNCTION("""COMPUTED_VALUE"""),"Озлобленные")</f>
        <v>Озлобленные</v>
      </c>
      <c r="X1773" s="6" t="str">
        <f>IFERROR(__xludf.DUMMYFUNCTION("""COMPUTED_VALUE"""),"Набережная")</f>
        <v>Набережная</v>
      </c>
      <c r="Y1773" s="6" t="str">
        <f>IFERROR(__xludf.DUMMYFUNCTION("""COMPUTED_VALUE"""),"Незнаю")</f>
        <v>Незнаю</v>
      </c>
      <c r="Z1773" s="6" t="str">
        <f>IFERROR(__xludf.DUMMYFUNCTION("""COMPUTED_VALUE"""),"Елка, ")</f>
        <v>Елка, </v>
      </c>
      <c r="AA1773" s="6" t="str">
        <f>IFERROR(__xludf.DUMMYFUNCTION("""COMPUTED_VALUE"""),"Таких нкт")</f>
        <v>Таких нкт</v>
      </c>
      <c r="AB1773" s="6" t="str">
        <f>IFERROR(__xludf.DUMMYFUNCTION("""COMPUTED_VALUE"""),"Хватает")</f>
        <v>Хватает</v>
      </c>
      <c r="AC1773" s="6" t="str">
        <f>IFERROR(__xludf.DUMMYFUNCTION("""COMPUTED_VALUE"""),"Концерты")</f>
        <v>Концерты</v>
      </c>
      <c r="AD177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73" s="6" t="str">
        <f>IFERROR(__xludf.DUMMYFUNCTION("""COMPUTED_VALUE"""),"Женский")</f>
        <v>Женский</v>
      </c>
      <c r="AF1773" s="6" t="str">
        <f>IFERROR(__xludf.DUMMYFUNCTION("""COMPUTED_VALUE"""),"30-44")</f>
        <v>30-44</v>
      </c>
      <c r="AG1773" s="6"/>
      <c r="AH1773" s="6"/>
      <c r="AI1773" s="6"/>
      <c r="AJ1773" s="6"/>
      <c r="AK1773" s="6"/>
      <c r="AL1773" s="6"/>
      <c r="AM1773" s="6"/>
    </row>
    <row r="1774">
      <c r="A1774" s="6">
        <v>1773.0</v>
      </c>
      <c r="B1774" s="6" t="str">
        <f>IFERROR(__xludf.DUMMYFUNCTION("""COMPUTED_VALUE"""),"Учусь")</f>
        <v>Учусь</v>
      </c>
      <c r="C1774" s="6" t="str">
        <f>IFERROR(__xludf.DUMMYFUNCTION("""COMPUTED_VALUE"""),"Ищу людей(Лиза Алерт) ")</f>
        <v>Ищу людей(Лиза Алерт) </v>
      </c>
      <c r="D1774" s="6" t="str">
        <f>IFERROR(__xludf.DUMMYFUNCTION("""COMPUTED_VALUE"""),"Кировский. Самый тихий из всех")</f>
        <v>Кировский. Самый тихий из всех</v>
      </c>
      <c r="E1774" s="6" t="str">
        <f>IFERROR(__xludf.DUMMYFUNCTION("""COMPUTED_VALUE"""),"Набережная, берёзовая роща")</f>
        <v>Набережная, берёзовая роща</v>
      </c>
      <c r="F1774" s="6" t="str">
        <f>IFERROR(__xludf.DUMMYFUNCTION("""COMPUTED_VALUE"""),"Живу здесь с рождения")</f>
        <v>Живу здесь с рождения</v>
      </c>
      <c r="G1774" s="6" t="str">
        <f>IFERROR(__xludf.DUMMYFUNCTION("""COMPUTED_VALUE"""),"Набережная кировского района")</f>
        <v>Набережная кировского района</v>
      </c>
      <c r="H1774" s="6" t="str">
        <f>IFERROR(__xludf.DUMMYFUNCTION("""COMPUTED_VALUE"""),"Тихий, угольный, грязный местами, много достопримечательностей")</f>
        <v>Тихий, угольный, грязный местами, много достопримечательностей</v>
      </c>
      <c r="I1774" s="6" t="str">
        <f>IFERROR(__xludf.DUMMYFUNCTION("""COMPUTED_VALUE"""),"Леонова, Егоров")</f>
        <v>Леонова, Егоров</v>
      </c>
      <c r="J1774" s="6" t="str">
        <f>IFERROR(__xludf.DUMMYFUNCTION("""COMPUTED_VALUE"""),"Аман Гумирович Тулеев")</f>
        <v>Аман Гумирович Тулеев</v>
      </c>
      <c r="K1774" s="6" t="str">
        <f>IFERROR(__xludf.DUMMYFUNCTION("""COMPUTED_VALUE"""),"Завод Прогресс")</f>
        <v>Завод Прогресс</v>
      </c>
      <c r="L1774" s="6" t="str">
        <f>IFERROR(__xludf.DUMMYFUNCTION("""COMPUTED_VALUE"""),"За нас за вас и за Кузбасс ")</f>
        <v>За нас за вас и за Кузбасс </v>
      </c>
      <c r="M1774" s="6" t="str">
        <f>IFERROR(__xludf.DUMMYFUNCTION("""COMPUTED_VALUE"""),"За нас за вас и за Кузбасс ")</f>
        <v>За нас за вас и за Кузбасс </v>
      </c>
      <c r="N1774" s="6" t="str">
        <f>IFERROR(__xludf.DUMMYFUNCTION("""COMPUTED_VALUE"""),"Чистота, тишина, красота, доступно")</f>
        <v>Чистота, тишина, красота, доступно</v>
      </c>
      <c r="O1774" s="6" t="str">
        <f>IFERROR(__xludf.DUMMYFUNCTION("""COMPUTED_VALUE"""),"Березовую рощу")</f>
        <v>Березовую рощу</v>
      </c>
      <c r="P1774" s="6" t="str">
        <f>IFERROR(__xludf.DUMMYFUNCTION("""COMPUTED_VALUE"""),"Интернет, телевидение")</f>
        <v>Интернет, телевидение</v>
      </c>
      <c r="Q1774"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774" s="6" t="str">
        <f>IFERROR(__xludf.DUMMYFUNCTION("""COMPUTED_VALUE"""),"День города, 9 мая")</f>
        <v>День города, 9 мая</v>
      </c>
      <c r="S1774" s="6" t="str">
        <f>IFERROR(__xludf.DUMMYFUNCTION("""COMPUTED_VALUE"""),"Нет, не приходилось")</f>
        <v>Нет, не приходилось</v>
      </c>
      <c r="T1774" s="6" t="str">
        <f>IFERROR(__xludf.DUMMYFUNCTION("""COMPUTED_VALUE"""),"Уголь")</f>
        <v>Уголь</v>
      </c>
      <c r="U1774" s="6" t="str">
        <f>IFERROR(__xludf.DUMMYFUNCTION("""COMPUTED_VALUE"""),"Площадь Советов")</f>
        <v>Площадь Советов</v>
      </c>
      <c r="V1774" s="6" t="str">
        <f>IFERROR(__xludf.DUMMYFUNCTION("""COMPUTED_VALUE"""),"Ничего ")</f>
        <v>Ничего </v>
      </c>
      <c r="W1774" s="6" t="str">
        <f>IFERROR(__xludf.DUMMYFUNCTION("""COMPUTED_VALUE"""),"Добрые, отзывчивые, спокойные")</f>
        <v>Добрые, отзывчивые, спокойные</v>
      </c>
      <c r="X1774" s="6" t="str">
        <f>IFERROR(__xludf.DUMMYFUNCTION("""COMPUTED_VALUE"""),"От набережной до бульвара Строителей")</f>
        <v>От набережной до бульвара Строителей</v>
      </c>
      <c r="Y1774" s="6" t="str">
        <f>IFERROR(__xludf.DUMMYFUNCTION("""COMPUTED_VALUE"""),"Сгорел Трц Зимняя Вишня")</f>
        <v>Сгорел Трц Зимняя Вишня</v>
      </c>
      <c r="Z1774" s="6" t="str">
        <f>IFERROR(__xludf.DUMMYFUNCTION("""COMPUTED_VALUE"""),"День города")</f>
        <v>День города</v>
      </c>
      <c r="AA1774" s="6" t="str">
        <f>IFERROR(__xludf.DUMMYFUNCTION("""COMPUTED_VALUE"""),"Зимняя вишня")</f>
        <v>Зимняя вишня</v>
      </c>
      <c r="AB1774" s="6" t="str">
        <f>IFERROR(__xludf.DUMMYFUNCTION("""COMPUTED_VALUE"""),"Всего хватает")</f>
        <v>Всего хватает</v>
      </c>
      <c r="AC1774" s="6" t="str">
        <f>IFERROR(__xludf.DUMMYFUNCTION("""COMPUTED_VALUE"""),"Субботники")</f>
        <v>Субботники</v>
      </c>
      <c r="AD177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774" s="6" t="str">
        <f>IFERROR(__xludf.DUMMYFUNCTION("""COMPUTED_VALUE"""),"Женский")</f>
        <v>Женский</v>
      </c>
      <c r="AF1774" s="6" t="str">
        <f>IFERROR(__xludf.DUMMYFUNCTION("""COMPUTED_VALUE"""),"18-29")</f>
        <v>18-29</v>
      </c>
      <c r="AG1774" s="6"/>
      <c r="AH1774" s="6"/>
      <c r="AI1774" s="6"/>
      <c r="AJ1774" s="6"/>
      <c r="AK1774" s="6"/>
      <c r="AL1774" s="6"/>
      <c r="AM1774" s="6"/>
    </row>
    <row r="1775">
      <c r="A1775" s="6">
        <v>1774.0</v>
      </c>
      <c r="B1775" s="6" t="str">
        <f>IFERROR(__xludf.DUMMYFUNCTION("""COMPUTED_VALUE"""),"Служащий")</f>
        <v>Служащий</v>
      </c>
      <c r="C1775" s="6" t="str">
        <f>IFERROR(__xludf.DUMMYFUNCTION("""COMPUTED_VALUE"""),"Музыка, спорт")</f>
        <v>Музыка, спорт</v>
      </c>
      <c r="D1775" s="6" t="str">
        <f>IFERROR(__xludf.DUMMYFUNCTION("""COMPUTED_VALUE"""),"Центр")</f>
        <v>Центр</v>
      </c>
      <c r="E1775" s="6" t="str">
        <f>IFERROR(__xludf.DUMMYFUNCTION("""COMPUTED_VALUE"""),"Театральная площадь, Советский проспект, Набережная")</f>
        <v>Театральная площадь, Советский проспект, Набережная</v>
      </c>
      <c r="F1775" s="6" t="str">
        <f>IFERROR(__xludf.DUMMYFUNCTION("""COMPUTED_VALUE"""),"Живу здесь с рождения")</f>
        <v>Живу здесь с рождения</v>
      </c>
      <c r="G1775" s="6" t="str">
        <f>IFERROR(__xludf.DUMMYFUNCTION("""COMPUTED_VALUE"""),"Набережная, сосновый бор")</f>
        <v>Набережная, сосновый бор</v>
      </c>
      <c r="H1775" s="6" t="str">
        <f>IFERROR(__xludf.DUMMYFUNCTION("""COMPUTED_VALUE"""),"Зеленый, уютный")</f>
        <v>Зеленый, уютный</v>
      </c>
      <c r="I1775" s="6" t="str">
        <f>IFERROR(__xludf.DUMMYFUNCTION("""COMPUTED_VALUE"""),"Волков")</f>
        <v>Волков</v>
      </c>
      <c r="J1775" s="6" t="str">
        <f>IFERROR(__xludf.DUMMYFUNCTION("""COMPUTED_VALUE"""),"-")</f>
        <v>-</v>
      </c>
      <c r="K1775" s="6" t="str">
        <f>IFERROR(__xludf.DUMMYFUNCTION("""COMPUTED_VALUE"""),"Набережная, красная горка")</f>
        <v>Набережная, красная горка</v>
      </c>
      <c r="L1775" s="6" t="str">
        <f>IFERROR(__xludf.DUMMYFUNCTION("""COMPUTED_VALUE"""),"Песня Человек из Кемерово)")</f>
        <v>Песня Человек из Кемерово)</v>
      </c>
      <c r="M1775" s="6" t="str">
        <f>IFERROR(__xludf.DUMMYFUNCTION("""COMPUTED_VALUE"""),"нет")</f>
        <v>нет</v>
      </c>
      <c r="N1775" s="6" t="str">
        <f>IFERROR(__xludf.DUMMYFUNCTION("""COMPUTED_VALUE"""),"Нет пробок, чисто, уютно")</f>
        <v>Нет пробок, чисто, уютно</v>
      </c>
      <c r="O1775" s="6" t="str">
        <f>IFERROR(__xludf.DUMMYFUNCTION("""COMPUTED_VALUE"""),"Грязный город")</f>
        <v>Грязный город</v>
      </c>
      <c r="P1775" s="6" t="str">
        <f>IFERROR(__xludf.DUMMYFUNCTION("""COMPUTED_VALUE"""),"Соцсети")</f>
        <v>Соцсети</v>
      </c>
      <c r="Q1775" s="6" t="str">
        <f>IFERROR(__xludf.DUMMYFUNCTION("""COMPUTED_VALUE"""),"куда пойти в свободное время, культурные новинки (что почитать/что послушать)")</f>
        <v>куда пойти в свободное время, культурные новинки (что почитать/что послушать)</v>
      </c>
      <c r="R1775" s="6" t="str">
        <f>IFERROR(__xludf.DUMMYFUNCTION("""COMPUTED_VALUE"""),"День города")</f>
        <v>День города</v>
      </c>
      <c r="S1775" s="6" t="str">
        <f>IFERROR(__xludf.DUMMYFUNCTION("""COMPUTED_VALUE"""),"Нет, не приходилось")</f>
        <v>Нет, не приходилось</v>
      </c>
      <c r="T1775" s="6" t="str">
        <f>IFERROR(__xludf.DUMMYFUNCTION("""COMPUTED_VALUE"""),"Столица Кузбасса")</f>
        <v>Столица Кузбасса</v>
      </c>
      <c r="U1775" s="6" t="str">
        <f>IFERROR(__xludf.DUMMYFUNCTION("""COMPUTED_VALUE"""),"Площадь Советов")</f>
        <v>Площадь Советов</v>
      </c>
      <c r="V1775" s="6" t="str">
        <f>IFERROR(__xludf.DUMMYFUNCTION("""COMPUTED_VALUE"""),"не знаю")</f>
        <v>не знаю</v>
      </c>
      <c r="W1775" s="6" t="str">
        <f>IFERROR(__xludf.DUMMYFUNCTION("""COMPUTED_VALUE"""),"Хмурые")</f>
        <v>Хмурые</v>
      </c>
      <c r="X1775" s="6" t="str">
        <f>IFERROR(__xludf.DUMMYFUNCTION("""COMPUTED_VALUE"""),"Лесная поляна, набережная")</f>
        <v>Лесная поляна, набережная</v>
      </c>
      <c r="Y1775" s="6" t="str">
        <f>IFERROR(__xludf.DUMMYFUNCTION("""COMPUTED_VALUE"""),"не знаю")</f>
        <v>не знаю</v>
      </c>
      <c r="Z1775" s="6" t="str">
        <f>IFERROR(__xludf.DUMMYFUNCTION("""COMPUTED_VALUE"""),"Строительство новых объектов")</f>
        <v>Строительство новых объектов</v>
      </c>
      <c r="AA1775" s="6" t="str">
        <f>IFERROR(__xludf.DUMMYFUNCTION("""COMPUTED_VALUE"""),"пожар в Зимней вишне")</f>
        <v>пожар в Зимней вишне</v>
      </c>
      <c r="AB1775" s="6" t="str">
        <f>IFERROR(__xludf.DUMMYFUNCTION("""COMPUTED_VALUE"""),"всего хватает")</f>
        <v>всего хватает</v>
      </c>
      <c r="AC1775" s="6" t="str">
        <f>IFERROR(__xludf.DUMMYFUNCTION("""COMPUTED_VALUE"""),"Музыкальные концерты")</f>
        <v>Музыкальные концерты</v>
      </c>
      <c r="AD1775" s="6" t="str">
        <f>IFERROR(__xludf.DUMMYFUNCTION("""COMPUTED_VALUE"""),"затрудняюсь")</f>
        <v>затрудняюсь</v>
      </c>
      <c r="AE1775" s="6" t="str">
        <f>IFERROR(__xludf.DUMMYFUNCTION("""COMPUTED_VALUE"""),"Мужской")</f>
        <v>Мужской</v>
      </c>
      <c r="AF1775" s="6" t="str">
        <f>IFERROR(__xludf.DUMMYFUNCTION("""COMPUTED_VALUE"""),"30-44")</f>
        <v>30-44</v>
      </c>
      <c r="AG1775" s="6"/>
      <c r="AH1775" s="6"/>
      <c r="AI1775" s="6"/>
      <c r="AJ1775" s="6"/>
      <c r="AK1775" s="6"/>
      <c r="AL1775" s="6"/>
      <c r="AM1775" s="6"/>
    </row>
    <row r="1776">
      <c r="A1776" s="6">
        <v>1775.0</v>
      </c>
      <c r="B1776" s="6" t="str">
        <f>IFERROR(__xludf.DUMMYFUNCTION("""COMPUTED_VALUE"""),"IT-сфера")</f>
        <v>IT-сфера</v>
      </c>
      <c r="C1776" s="6" t="str">
        <f>IFERROR(__xludf.DUMMYFUNCTION("""COMPUTED_VALUE"""),"Спорт, кулинария")</f>
        <v>Спорт, кулинария</v>
      </c>
      <c r="D1776" s="6" t="str">
        <f>IFERROR(__xludf.DUMMYFUNCTION("""COMPUTED_VALUE"""),"Рудничный, называю ""Радуга""")</f>
        <v>Рудничный, называю "Радуга"</v>
      </c>
      <c r="E1776" s="6" t="str">
        <f>IFERROR(__xludf.DUMMYFUNCTION("""COMPUTED_VALUE"""),"Сосновый бор, Серебряный бор")</f>
        <v>Сосновый бор, Серебряный бор</v>
      </c>
      <c r="F1776" s="6" t="str">
        <f>IFERROR(__xludf.DUMMYFUNCTION("""COMPUTED_VALUE"""),"Переехал сюда из другого места (откуда? укажите в графе другое), Переехал из Новокузнецка, по работе")</f>
        <v>Переехал сюда из другого места (откуда? укажите в графе другое), Переехал из Новокузнецка, по работе</v>
      </c>
      <c r="G1776" s="6" t="str">
        <f>IFERROR(__xludf.DUMMYFUNCTION("""COMPUTED_VALUE"""),"В рестораны, спортзал, спа-салоны, кинотеатры")</f>
        <v>В рестораны, спортзал, спа-салоны, кинотеатры</v>
      </c>
      <c r="H1776" s="6" t="str">
        <f>IFERROR(__xludf.DUMMYFUNCTION("""COMPUTED_VALUE"""),"Компактный, сдержанный, пыльный, ухоженный, консервативный")</f>
        <v>Компактный, сдержанный, пыльный, ухоженный, консервативный</v>
      </c>
      <c r="I1776" s="6" t="str">
        <f>IFERROR(__xludf.DUMMYFUNCTION("""COMPUTED_VALUE"""),"Михайло Волков")</f>
        <v>Михайло Волков</v>
      </c>
      <c r="J1776" s="6" t="str">
        <f>IFERROR(__xludf.DUMMYFUNCTION("""COMPUTED_VALUE"""),"Владимир Михайлов, Вячеслав Иваненко, Александр Деревягин")</f>
        <v>Владимир Михайлов, Вячеслав Иваненко, Александр Деревягин</v>
      </c>
      <c r="K1776" s="6" t="str">
        <f>IFERROR(__xludf.DUMMYFUNCTION("""COMPUTED_VALUE"""),"Ресторан ""Забой"", набережная, музей ""Красная горка*")</f>
        <v>Ресторан "Забой", набережная, музей "Красная горка*</v>
      </c>
      <c r="L1776" s="6" t="str">
        <f>IFERROR(__xludf.DUMMYFUNCTION("""COMPUTED_VALUE"""),"Песня Гребенщикова ""Человек из Кемерово""")</f>
        <v>Песня Гребенщикова "Человек из Кемерово"</v>
      </c>
      <c r="M1776" s="6" t="str">
        <f>IFERROR(__xludf.DUMMYFUNCTION("""COMPUTED_VALUE"""),"Нет")</f>
        <v>Нет</v>
      </c>
      <c r="N1776" s="6" t="str">
        <f>IFERROR(__xludf.DUMMYFUNCTION("""COMPUTED_VALUE"""),"Транспортная доступность, безопасность, развитая инфраструктура (магазины, общепит, медицинские и сервисные услуги, спортивные сооружения), экология, растущее количество уютных пешеходных зон с озеленением, развитый пригород")</f>
        <v>Транспортная доступность, безопасность, развитая инфраструктура (магазины, общепит, медицинские и сервисные услуги, спортивные сооружения), экология, растущее количество уютных пешеходных зон с озеленением, развитый пригород</v>
      </c>
      <c r="O1776" s="6" t="str">
        <f>IFERROR(__xludf.DUMMYFUNCTION("""COMPUTED_VALUE"""),"Решить вопрос с объездной дорогой")</f>
        <v>Решить вопрос с объездной дорогой</v>
      </c>
      <c r="P1776" s="6" t="str">
        <f>IFERROR(__xludf.DUMMYFUNCTION("""COMPUTED_VALUE"""),"a42, ngs42.ru, skyscrapercity.com")</f>
        <v>a42, ngs42.ru, skyscrapercity.com</v>
      </c>
      <c r="Q1776" s="6" t="str">
        <f>IFERROR(__xludf.DUMMYFUNCTION("""COMPUTED_VALUE"""),"где вкусно поесть/открытие новых кафе/ресторанов, интервью с местными предпринимателями, бизнес-новости (средний чек/рекламные акции/запуск новых предприятий)")</f>
        <v>где вкусно поесть/открытие новых кафе/ресторанов, интервью с местными предпринимателями, бизнес-новости (средний чек/рекламные акции/запуск новых предприятий)</v>
      </c>
      <c r="R1776" s="6" t="str">
        <f>IFERROR(__xludf.DUMMYFUNCTION("""COMPUTED_VALUE"""),"День города")</f>
        <v>День города</v>
      </c>
      <c r="S1776" s="6" t="str">
        <f>IFERROR(__xludf.DUMMYFUNCTION("""COMPUTED_VALUE"""),"Нет, не приходилось")</f>
        <v>Нет, не приходилось</v>
      </c>
      <c r="T1776" s="6" t="str">
        <f>IFERROR(__xludf.DUMMYFUNCTION("""COMPUTED_VALUE"""),"Сосновый бор")</f>
        <v>Сосновый бор</v>
      </c>
      <c r="U1776" s="6" t="str">
        <f>IFERROR(__xludf.DUMMYFUNCTION("""COMPUTED_VALUE"""),"Набережная, ул. Весенняя")</f>
        <v>Набережная, ул. Весенняя</v>
      </c>
      <c r="V1776" s="6" t="str">
        <f>IFERROR(__xludf.DUMMYFUNCTION("""COMPUTED_VALUE"""),"Создали компактный город, сохранив Сосновый бор")</f>
        <v>Создали компактный город, сохранив Сосновый бор</v>
      </c>
      <c r="W1776" s="6" t="str">
        <f>IFERROR(__xludf.DUMMYFUNCTION("""COMPUTED_VALUE"""),"Открытость, сдержанность, молчаливость, терпеливость")</f>
        <v>Открытость, сдержанность, молчаливость, терпеливость</v>
      </c>
      <c r="X1776" s="6" t="str">
        <f>IFERROR(__xludf.DUMMYFUNCTION("""COMPUTED_VALUE"""),"Ул. Весенняя - Набережная - бульвар Строителей - ресторан ""Забой""")</f>
        <v>Ул. Весенняя - Набережная - бульвар Строителей - ресторан "Забой"</v>
      </c>
      <c r="Y1776" s="6" t="str">
        <f>IFERROR(__xludf.DUMMYFUNCTION("""COMPUTED_VALUE"""),"Не знаю")</f>
        <v>Не знаю</v>
      </c>
      <c r="Z1776" s="6" t="str">
        <f>IFERROR(__xludf.DUMMYFUNCTION("""COMPUTED_VALUE"""),"Отремонтировали проспект Шахтеров")</f>
        <v>Отремонтировали проспект Шахтеров</v>
      </c>
      <c r="AA1776" s="6" t="str">
        <f>IFERROR(__xludf.DUMMYFUNCTION("""COMPUTED_VALUE"""),"Строительство однотипных домов от СДС")</f>
        <v>Строительство однотипных домов от СДС</v>
      </c>
      <c r="AB1776" s="6" t="str">
        <f>IFERROR(__xludf.DUMMYFUNCTION("""COMPUTED_VALUE"""),"Неформальных объединений предпринимателей")</f>
        <v>Неформальных объединений предпринимателей</v>
      </c>
      <c r="AC1776" s="6" t="str">
        <f>IFERROR(__xludf.DUMMYFUNCTION("""COMPUTED_VALUE"""),"Встреч инициативных групп микрорайонов с мэром и его заместителями")</f>
        <v>Встреч инициативных групп микрорайонов с мэром и его заместителями</v>
      </c>
      <c r="AD1776"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776" s="6" t="str">
        <f>IFERROR(__xludf.DUMMYFUNCTION("""COMPUTED_VALUE"""),"Мужской")</f>
        <v>Мужской</v>
      </c>
      <c r="AF1776" s="6" t="str">
        <f>IFERROR(__xludf.DUMMYFUNCTION("""COMPUTED_VALUE"""),"30-44")</f>
        <v>30-44</v>
      </c>
      <c r="AG1776" s="6"/>
      <c r="AH1776" s="6"/>
      <c r="AI1776" s="6"/>
      <c r="AJ1776" s="6"/>
      <c r="AK1776" s="6"/>
      <c r="AL1776" s="6"/>
      <c r="AM1776" s="6"/>
    </row>
    <row r="1777">
      <c r="A1777" s="6">
        <v>1776.0</v>
      </c>
      <c r="B1777" s="6" t="str">
        <f>IFERROR(__xludf.DUMMYFUNCTION("""COMPUTED_VALUE"""),"Пенсионер")</f>
        <v>Пенсионер</v>
      </c>
      <c r="C1777" s="6" t="str">
        <f>IFERROR(__xludf.DUMMYFUNCTION("""COMPUTED_VALUE"""),"Фитнес")</f>
        <v>Фитнес</v>
      </c>
      <c r="D1777" s="6" t="str">
        <f>IFERROR(__xludf.DUMMYFUNCTION("""COMPUTED_VALUE"""),"Верхний бульвар")</f>
        <v>Верхний бульвар</v>
      </c>
      <c r="E1777" s="6" t="str">
        <f>IFERROR(__xludf.DUMMYFUNCTION("""COMPUTED_VALUE"""),"Бульвар Строителей")</f>
        <v>Бульвар Строителей</v>
      </c>
      <c r="F1777" s="6" t="str">
        <f>IFERROR(__xludf.DUMMYFUNCTION("""COMPUTED_VALUE"""),"Переехал сюда из другого места (откуда? укажите в графе другое), Приехала на учебу в 1981 г.и осталась")</f>
        <v>Переехал сюда из другого места (откуда? укажите в графе другое), Приехала на учебу в 1981 г.и осталась</v>
      </c>
      <c r="G1777" s="6" t="str">
        <f>IFERROR(__xludf.DUMMYFUNCTION("""COMPUTED_VALUE"""),"В центр, бульвар Строителей, Лапландии, д. Сухово ""Лазурный берег""")</f>
        <v>В центр, бульвар Строителей, Лапландии, д. Сухово "Лазурный берег"</v>
      </c>
      <c r="H1777" s="6" t="str">
        <f>IFERROR(__xludf.DUMMYFUNCTION("""COMPUTED_VALUE"""),"Смог, грязь, скука, тупик, серость")</f>
        <v>Смог, грязь, скука, тупик, серость</v>
      </c>
      <c r="I1777" s="6" t="str">
        <f>IFERROR(__xludf.DUMMYFUNCTION("""COMPUTED_VALUE"""),"Беляев, М. Волков, Подгорбунский")</f>
        <v>Беляев, М. Волков, Подгорбунский</v>
      </c>
      <c r="J1777" s="6" t="str">
        <f>IFERROR(__xludf.DUMMYFUNCTION("""COMPUTED_VALUE"""),"Михайлов, ")</f>
        <v>Михайлов, </v>
      </c>
      <c r="K1777" s="6" t="str">
        <f>IFERROR(__xludf.DUMMYFUNCTION("""COMPUTED_VALUE"""),"Лесную поляну")</f>
        <v>Лесную поляну</v>
      </c>
      <c r="L1777" s="6" t="str">
        <f>IFERROR(__xludf.DUMMYFUNCTION("""COMPUTED_VALUE"""),"Кемерово - аппендикс. ")</f>
        <v>Кемерово - аппендикс. </v>
      </c>
      <c r="M1777" s="6" t="str">
        <f>IFERROR(__xludf.DUMMYFUNCTION("""COMPUTED_VALUE"""),"""Лапа""- Лапландии ")</f>
        <v>"Лапа"- Лапландии </v>
      </c>
      <c r="N1777" s="6" t="str">
        <f>IFERROR(__xludf.DUMMYFUNCTION("""COMPUTED_VALUE"""),"1Хорошие дороги ( и во дворах) 
2.Покрашенные фасады хрущевок и 9-этажек
3.Нормальный транспорт и  расписание
4.Отсутствие безвкусных рекламных щитов а ля ""я люблю Кемерово"" и прочие. 
5. Наличие современных спорт площадок и стадионов при школах и двора"&amp;"х ( не с потрескавшимся асфальтом, а с нормальным покрытием) 
")</f>
        <v>1Хорошие дороги ( и во дворах) 
2.Покрашенные фасады хрущевок и 9-этажек
3.Нормальный транспорт и  расписание
4.Отсутствие безвкусных рекламных щитов а ля "я люблю Кемерово" и прочие. 
5. Наличие современных спорт площадок и стадионов при школах и дворах ( не с потрескавшимся асфальтом, а с нормальным покрытием) 
</v>
      </c>
      <c r="O1777" s="6" t="str">
        <f>IFERROR(__xludf.DUMMYFUNCTION("""COMPUTED_VALUE"""),"Не тратить деньги на ерунду, типа ёлки, а благоустроить дороги , газоны, поддерживать чистоту")</f>
        <v>Не тратить деньги на ерунду, типа ёлки, а благоустроить дороги , газоны, поддерживать чистоту</v>
      </c>
      <c r="P1777" s="6" t="str">
        <f>IFERROR(__xludf.DUMMYFUNCTION("""COMPUTED_VALUE"""),"Сиб. Депо")</f>
        <v>Сиб. Депо</v>
      </c>
      <c r="Q1777" s="6" t="str">
        <f>IFERROR(__xludf.DUMMYFUNCTION("""COMPUTED_VALUE"""),"где вкусно поесть/открытие новых кафе/ресторанов, интервью с местными предпринимателями, результаты местных исследований (рейтинги/аналитика/тенденции)")</f>
        <v>где вкусно поесть/открытие новых кафе/ресторанов, интервью с местными предпринимателями, результаты местных исследований (рейтинги/аналитика/тенденции)</v>
      </c>
      <c r="R1777" s="6" t="str">
        <f>IFERROR(__xludf.DUMMYFUNCTION("""COMPUTED_VALUE"""),"Никакие. Всем на низком уровне")</f>
        <v>Никакие. Всем на низком уровне</v>
      </c>
      <c r="S1777" s="6" t="str">
        <f>IFERROR(__xludf.DUMMYFUNCTION("""COMPUTED_VALUE"""),"Нет, не приходилось, Обращался в редакции электронных городских СМИ")</f>
        <v>Нет, не приходилось, Обращался в редакции электронных городских СМИ</v>
      </c>
      <c r="T1777" s="6" t="str">
        <f>IFERROR(__xludf.DUMMYFUNCTION("""COMPUTED_VALUE"""),"Печально известен ""Зимней вишней"", ужасной экологией. Из положительного - "" Лесная поляна""")</f>
        <v>Печально известен "Зимней вишней", ужасной экологией. Из положительного - " Лесная поляна"</v>
      </c>
      <c r="U1777" s="6" t="str">
        <f>IFERROR(__xludf.DUMMYFUNCTION("""COMPUTED_VALUE"""),"Район Драмы")</f>
        <v>Район Драмы</v>
      </c>
      <c r="V1777" s="6" t="str">
        <f>IFERROR(__xludf.DUMMYFUNCTION("""COMPUTED_VALUE"""),"Построили уйму предприятий")</f>
        <v>Построили уйму предприятий</v>
      </c>
      <c r="W1777" s="6" t="str">
        <f>IFERROR(__xludf.DUMMYFUNCTION("""COMPUTED_VALUE"""),"Усталость, уныние, неудовлетворенность жизнью")</f>
        <v>Усталость, уныние, неудовлетворенность жизнью</v>
      </c>
      <c r="X1777" s="6" t="str">
        <f>IFERROR(__xludf.DUMMYFUNCTION("""COMPUTED_VALUE"""),"Лесная поляна")</f>
        <v>Лесная поляна</v>
      </c>
      <c r="Y1777" s="6" t="str">
        <f>IFERROR(__xludf.DUMMYFUNCTION("""COMPUTED_VALUE"""),"Видимо, открытие угольных месторождений. Из культурных - выступление Хворостовского")</f>
        <v>Видимо, открытие угольных месторождений. Из культурных - выступление Хворостовского</v>
      </c>
      <c r="Z1777" s="6" t="str">
        <f>IFERROR(__xludf.DUMMYFUNCTION("""COMPUTED_VALUE"""),"Преображение Московского пр-та ")</f>
        <v>Преображение Московского пр-та </v>
      </c>
      <c r="AA1777" s="6" t="str">
        <f>IFERROR(__xludf.DUMMYFUNCTION("""COMPUTED_VALUE"""),"Пожар в ""Зимней вишне""")</f>
        <v>Пожар в "Зимней вишне"</v>
      </c>
      <c r="AB1777" s="6" t="str">
        <f>IFERROR(__xludf.DUMMYFUNCTION("""COMPUTED_VALUE"""),"Профсоюзов")</f>
        <v>Профсоюзов</v>
      </c>
      <c r="AC1777" s="6" t="str">
        <f>IFERROR(__xludf.DUMMYFUNCTION("""COMPUTED_VALUE"""),"Для пожилых людей за 70. ")</f>
        <v>Для пожилых людей за 70. </v>
      </c>
      <c r="AD177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77" s="6" t="str">
        <f>IFERROR(__xludf.DUMMYFUNCTION("""COMPUTED_VALUE"""),"Женский")</f>
        <v>Женский</v>
      </c>
      <c r="AF1777" s="6" t="str">
        <f>IFERROR(__xludf.DUMMYFUNCTION("""COMPUTED_VALUE"""),"старше 55")</f>
        <v>старше 55</v>
      </c>
      <c r="AG1777" s="6"/>
      <c r="AH1777" s="6"/>
      <c r="AI1777" s="6"/>
      <c r="AJ1777" s="6"/>
      <c r="AK1777" s="6"/>
      <c r="AL1777" s="6"/>
      <c r="AM1777" s="6"/>
    </row>
    <row r="1778">
      <c r="A1778" s="6">
        <v>1777.0</v>
      </c>
      <c r="B1778" s="6" t="str">
        <f>IFERROR(__xludf.DUMMYFUNCTION("""COMPUTED_VALUE"""),"ИТ")</f>
        <v>ИТ</v>
      </c>
      <c r="C1778" s="6" t="str">
        <f>IFERROR(__xludf.DUMMYFUNCTION("""COMPUTED_VALUE"""),"Велосипед")</f>
        <v>Велосипед</v>
      </c>
      <c r="D1778" s="6" t="str">
        <f>IFERROR(__xludf.DUMMYFUNCTION("""COMPUTED_VALUE"""),"Заводский")</f>
        <v>Заводский</v>
      </c>
      <c r="E1778" s="6" t="str">
        <f>IFERROR(__xludf.DUMMYFUNCTION("""COMPUTED_VALUE"""),"Нет таких")</f>
        <v>Нет таких</v>
      </c>
      <c r="F1778" s="6" t="str">
        <f>IFERROR(__xludf.DUMMYFUNCTION("""COMPUTED_VALUE"""),"Живу здесь с рождения")</f>
        <v>Живу здесь с рождения</v>
      </c>
      <c r="G1778" s="6" t="str">
        <f>IFERROR(__xludf.DUMMYFUNCTION("""COMPUTED_VALUE"""),"Центр города, сосновый бор")</f>
        <v>Центр города, сосновый бор</v>
      </c>
      <c r="H1778" s="6" t="str">
        <f>IFERROR(__xludf.DUMMYFUNCTION("""COMPUTED_VALUE"""),"Уголь, смог, разрезы")</f>
        <v>Уголь, смог, разрезы</v>
      </c>
      <c r="I1778" s="6" t="str">
        <f>IFERROR(__xludf.DUMMYFUNCTION("""COMPUTED_VALUE"""),"Алексей Леонов")</f>
        <v>Алексей Леонов</v>
      </c>
      <c r="J1778" s="6" t="str">
        <f>IFERROR(__xludf.DUMMYFUNCTION("""COMPUTED_VALUE"""),"Евгений Гришковец")</f>
        <v>Евгений Гришковец</v>
      </c>
      <c r="K1778" s="6" t="str">
        <f>IFERROR(__xludf.DUMMYFUNCTION("""COMPUTED_VALUE"""),"Набережная реки, памятник шахтеру")</f>
        <v>Набережная реки, памятник шахтеру</v>
      </c>
      <c r="L1778" s="6" t="str">
        <f>IFERROR(__xludf.DUMMYFUNCTION("""COMPUTED_VALUE"""),"-")</f>
        <v>-</v>
      </c>
      <c r="M1778" s="6" t="str">
        <f>IFERROR(__xludf.DUMMYFUNCTION("""COMPUTED_VALUE"""),"""Кемерово не склоняется""")</f>
        <v>"Кемерово не склоняется"</v>
      </c>
      <c r="N1778" s="6" t="str">
        <f>IFERROR(__xludf.DUMMYFUNCTION("""COMPUTED_VALUE"""),"Инфраструктура, доступность, чистота, экология, транспорт")</f>
        <v>Инфраструктура, доступность, чистота, экология, транспорт</v>
      </c>
      <c r="O1778" s="6" t="str">
        <f>IFERROR(__xludf.DUMMYFUNCTION("""COMPUTED_VALUE"""),"Организация нормального общественного транспорта, ограничение автомобилей в центре")</f>
        <v>Организация нормального общественного транспорта, ограничение автомобилей в центре</v>
      </c>
      <c r="P1778" s="6" t="str">
        <f>IFERROR(__xludf.DUMMYFUNCTION("""COMPUTED_VALUE"""),"ВК типичный кемерово")</f>
        <v>ВК типичный кемерово</v>
      </c>
      <c r="Q1778"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778" s="6" t="str">
        <f>IFERROR(__xludf.DUMMYFUNCTION("""COMPUTED_VALUE"""),"День города, день шахтера")</f>
        <v>День города, день шахтера</v>
      </c>
      <c r="S1778" s="6" t="str">
        <f>IFERROR(__xludf.DUMMYFUNCTION("""COMPUTED_VALUE"""),"Нет, не приходилось")</f>
        <v>Нет, не приходилось</v>
      </c>
      <c r="T1778" s="6" t="str">
        <f>IFERROR(__xludf.DUMMYFUNCTION("""COMPUTED_VALUE"""),"Центр угольного региона, небольшой уютный город")</f>
        <v>Центр угольного региона, небольшой уютный город</v>
      </c>
      <c r="U1778" s="6" t="str">
        <f>IFERROR(__xludf.DUMMYFUNCTION("""COMPUTED_VALUE"""),"Центр города")</f>
        <v>Центр города</v>
      </c>
      <c r="V1778" s="6" t="str">
        <f>IFERROR(__xludf.DUMMYFUNCTION("""COMPUTED_VALUE"""),"Довоенная и послевоенная застройка. Далее началась позорная застройка панельными хрущевками")</f>
        <v>Довоенная и послевоенная застройка. Далее началась позорная застройка панельными хрущевками</v>
      </c>
      <c r="W1778" s="6" t="str">
        <f>IFERROR(__xludf.DUMMYFUNCTION("""COMPUTED_VALUE"""),"-")</f>
        <v>-</v>
      </c>
      <c r="X1778" s="6" t="str">
        <f>IFERROR(__xludf.DUMMYFUNCTION("""COMPUTED_VALUE"""),"Советский, горсад, набережная, красная, советский")</f>
        <v>Советский, горсад, набережная, красная, советский</v>
      </c>
      <c r="Y1778" s="6" t="str">
        <f>IFERROR(__xludf.DUMMYFUNCTION("""COMPUTED_VALUE"""),"-")</f>
        <v>-</v>
      </c>
      <c r="Z1778" s="6" t="str">
        <f>IFERROR(__xludf.DUMMYFUNCTION("""COMPUTED_VALUE"""),"Началась стройка новой набережной")</f>
        <v>Началась стройка новой набережной</v>
      </c>
      <c r="AA1778" s="6" t="str">
        <f>IFERROR(__xludf.DUMMYFUNCTION("""COMPUTED_VALUE"""),"-")</f>
        <v>-</v>
      </c>
      <c r="AB1778" s="6" t="str">
        <f>IFERROR(__xludf.DUMMYFUNCTION("""COMPUTED_VALUE"""),"-")</f>
        <v>-</v>
      </c>
      <c r="AC1778" s="6" t="str">
        <f>IFERROR(__xludf.DUMMYFUNCTION("""COMPUTED_VALUE"""),"-")</f>
        <v>-</v>
      </c>
      <c r="AD177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78" s="6" t="str">
        <f>IFERROR(__xludf.DUMMYFUNCTION("""COMPUTED_VALUE"""),"Мужской")</f>
        <v>Мужской</v>
      </c>
      <c r="AF1778" s="6" t="str">
        <f>IFERROR(__xludf.DUMMYFUNCTION("""COMPUTED_VALUE"""),"30-44")</f>
        <v>30-44</v>
      </c>
      <c r="AG1778" s="6"/>
      <c r="AH1778" s="6"/>
      <c r="AI1778" s="6"/>
      <c r="AJ1778" s="6"/>
      <c r="AK1778" s="6"/>
      <c r="AL1778" s="6"/>
      <c r="AM1778" s="6"/>
    </row>
    <row r="1779">
      <c r="A1779" s="6">
        <v>1778.0</v>
      </c>
      <c r="B1779" s="6" t="str">
        <f>IFERROR(__xludf.DUMMYFUNCTION("""COMPUTED_VALUE"""),"Пенсионер")</f>
        <v>Пенсионер</v>
      </c>
      <c r="C1779" s="6" t="str">
        <f>IFERROR(__xludf.DUMMYFUNCTION("""COMPUTED_VALUE"""),"Нет")</f>
        <v>Нет</v>
      </c>
      <c r="D1779" s="6" t="str">
        <f>IFERROR(__xludf.DUMMYFUNCTION("""COMPUTED_VALUE"""),"На границе Ленинского и Центрального")</f>
        <v>На границе Ленинского и Центрального</v>
      </c>
      <c r="E1779" s="6" t="str">
        <f>IFERROR(__xludf.DUMMYFUNCTION("""COMPUTED_VALUE"""),"Парк им. В. Волошиной, киноцннтр Юбилейный... ТРК Лапландия.")</f>
        <v>Парк им. В. Волошиной, киноцннтр Юбилейный... ТРК Лапландия.</v>
      </c>
      <c r="F1779" s="6" t="str">
        <f>IFERROR(__xludf.DUMMYFUNCTION("""COMPUTED_VALUE"""),"Родился здесь,но сейчас живу в другом городе")</f>
        <v>Родился здесь,но сейчас живу в другом городе</v>
      </c>
      <c r="G1779" s="6" t="str">
        <f>IFERROR(__xludf.DUMMYFUNCTION("""COMPUTED_VALUE"""),"Парки, сквер у кадетского училища, бульвар Строителей...")</f>
        <v>Парки, сквер у кадетского училища, бульвар Строителей...</v>
      </c>
      <c r="H1779" s="6" t="str">
        <f>IFERROR(__xludf.DUMMYFUNCTION("""COMPUTED_VALUE"""),"Шум, пыль, безскомеечность, мало тени летом, автоприоритет...")</f>
        <v>Шум, пыль, безскомеечность, мало тени летом, автоприоритет...</v>
      </c>
      <c r="I1779" s="6" t="str">
        <f>IFERROR(__xludf.DUMMYFUNCTION("""COMPUTED_VALUE"""),"А вот никого не знаю")</f>
        <v>А вот никого не знаю</v>
      </c>
      <c r="J1779" s="6" t="str">
        <f>IFERROR(__xludf.DUMMYFUNCTION("""COMPUTED_VALUE"""),"Леонов, Тулеев")</f>
        <v>Леонов, Тулеев</v>
      </c>
      <c r="K1779" s="6" t="str">
        <f>IFERROR(__xludf.DUMMYFUNCTION("""COMPUTED_VALUE"""),"Центр: Весенняя, Набережная, кадетское училище, памятник МЧС у крытого рынка, район филармонии, сквер памяти Зимняя вишня, бульвар Строителей")</f>
        <v>Центр: Весенняя, Набережная, кадетское училище, памятник МЧС у крытого рынка, район филармонии, сквер памяти Зимняя вишня, бульвар Строителей</v>
      </c>
      <c r="L1779" s="6" t="str">
        <f>IFERROR(__xludf.DUMMYFUNCTION("""COMPUTED_VALUE"""),"Не знаю")</f>
        <v>Не знаю</v>
      </c>
      <c r="M1779" s="6" t="str">
        <f>IFERROR(__xludf.DUMMYFUNCTION("""COMPUTED_VALUE"""),"Нет")</f>
        <v>Нет</v>
      </c>
      <c r="N1779" s="6" t="str">
        <f>IFERROR(__xludf.DUMMYFUNCTION("""COMPUTED_VALUE"""),"Отсутствие шума хотя бы ночью летом, забота о людях без авто: скверы, тень, доступная среда, удобство передвижения по городу на транспорте (больше городского тр-а), учебные заведения, медобслуживание без очередей.")</f>
        <v>Отсутствие шума хотя бы ночью летом, забота о людях без авто: скверы, тень, доступная среда, удобство передвижения по городу на транспорте (больше городского тр-а), учебные заведения, медобслуживание без очередей.</v>
      </c>
      <c r="O1779" s="6" t="str">
        <f>IFERROR(__xludf.DUMMYFUNCTION("""COMPUTED_VALUE"""),"Пыль убрать и шум")</f>
        <v>Пыль убрать и шум</v>
      </c>
      <c r="P1779" s="6" t="str">
        <f>IFERROR(__xludf.DUMMYFUNCTION("""COMPUTED_VALUE"""),"Инстаграм, яндекс")</f>
        <v>Инстаграм, яндекс</v>
      </c>
      <c r="Q1779" s="6" t="str">
        <f>IFERROR(__xludf.DUMMYFUNCTION("""COMPUTED_VALUE"""),"куда пойти в свободное время, городская афиша (кино/театр/концерты), интервью с местными политиками, интервью с местными творческими личностями, новости про новые профессии/куда поступать/вакансии")</f>
        <v>куда пойти в свободное время, городская афиша (кино/театр/концерты), интервью с местными политиками, интервью с местными творческими личностями, новости про новые профессии/куда поступать/вакансии</v>
      </c>
      <c r="R1779" s="6" t="str">
        <f>IFERROR(__xludf.DUMMYFUNCTION("""COMPUTED_VALUE"""),"День города, День Победы")</f>
        <v>День города, День Победы</v>
      </c>
      <c r="S1779" s="6" t="str">
        <f>IFERROR(__xludf.DUMMYFUNCTION("""COMPUTED_VALUE"""),"Нет, не приходилось")</f>
        <v>Нет, не приходилось</v>
      </c>
      <c r="T1779" s="6" t="str">
        <f>IFERROR(__xludf.DUMMYFUNCTION("""COMPUTED_VALUE"""),"Шахтами и углём. Про уникальность не знаю.")</f>
        <v>Шахтами и углём. Про уникальность не знаю.</v>
      </c>
      <c r="U1779" s="6" t="str">
        <f>IFERROR(__xludf.DUMMYFUNCTION("""COMPUTED_VALUE"""),"Театры")</f>
        <v>Театры</v>
      </c>
      <c r="V1779" s="6" t="str">
        <f>IFERROR(__xludf.DUMMYFUNCTION("""COMPUTED_VALUE"""),"Строят, благоустраивают. Раньше развивался Кемерово, а сейчас на месте предприятий торговые центры. Наверное, такое количество тц нужно, чтоб было где работать, но развитие городу они не приносят.")</f>
        <v>Строят, благоустраивают. Раньше развивался Кемерово, а сейчас на месте предприятий торговые центры. Наверное, такое количество тц нужно, чтоб было где работать, но развитие городу они не приносят.</v>
      </c>
      <c r="W1779" s="6" t="str">
        <f>IFERROR(__xludf.DUMMYFUNCTION("""COMPUTED_VALUE"""),"Трудолюбивый, предпреимчивый....")</f>
        <v>Трудолюбивый, предпреимчивый....</v>
      </c>
      <c r="X1779" s="6" t="str">
        <f>IFERROR(__xludf.DUMMYFUNCTION("""COMPUTED_VALUE"""),"Центр: театры, площадь Советов, Набережная, площадь Пушкина (испортили грудой автомобилей)")</f>
        <v>Центр: театры, площадь Советов, Набережная, площадь Пушкина (испортили грудой автомобилей)</v>
      </c>
      <c r="Y1779" s="6" t="str">
        <f>IFERROR(__xludf.DUMMYFUNCTION("""COMPUTED_VALUE"""),"---")</f>
        <v>---</v>
      </c>
      <c r="Z1779" s="6" t="str">
        <f>IFERROR(__xludf.DUMMYFUNCTION("""COMPUTED_VALUE"""),"--- рок концерт на Октябрьском пр-е в честь строительной компании.")</f>
        <v>--- рок концерт на Октябрьском пр-е в честь строительной компании.</v>
      </c>
      <c r="AA1779" s="6" t="str">
        <f>IFERROR(__xludf.DUMMYFUNCTION("""COMPUTED_VALUE"""),"---")</f>
        <v>---</v>
      </c>
      <c r="AB1779" s="6" t="str">
        <f>IFERROR(__xludf.DUMMYFUNCTION("""COMPUTED_VALUE"""),"--- помощь людям ухаживающим за лежачими больными!! Мне оч. не хватает!")</f>
        <v>--- помощь людям ухаживающим за лежачими больными!! Мне оч. не хватает!</v>
      </c>
      <c r="AC1779" s="6" t="str">
        <f>IFERROR(__xludf.DUMMYFUNCTION("""COMPUTED_VALUE"""),"Выставки")</f>
        <v>Выставки</v>
      </c>
      <c r="AD177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79" s="6" t="str">
        <f>IFERROR(__xludf.DUMMYFUNCTION("""COMPUTED_VALUE"""),"Женский")</f>
        <v>Женский</v>
      </c>
      <c r="AF1779" s="6" t="str">
        <f>IFERROR(__xludf.DUMMYFUNCTION("""COMPUTED_VALUE"""),"старше 55")</f>
        <v>старше 55</v>
      </c>
      <c r="AG1779" s="6"/>
      <c r="AH1779" s="6"/>
      <c r="AI1779" s="6"/>
      <c r="AJ1779" s="6"/>
      <c r="AK1779" s="6"/>
      <c r="AL1779" s="6"/>
      <c r="AM1779" s="6"/>
    </row>
    <row r="1780">
      <c r="A1780" s="6">
        <v>1779.0</v>
      </c>
      <c r="B1780" s="6" t="str">
        <f>IFERROR(__xludf.DUMMYFUNCTION("""COMPUTED_VALUE"""),"Госслужащая")</f>
        <v>Госслужащая</v>
      </c>
      <c r="C1780" s="6" t="str">
        <f>IFERROR(__xludf.DUMMYFUNCTION("""COMPUTED_VALUE"""),"Чтение, кулинария")</f>
        <v>Чтение, кулинария</v>
      </c>
      <c r="D1780" s="6" t="str">
        <f>IFERROR(__xludf.DUMMYFUNCTION("""COMPUTED_VALUE"""),"Южный")</f>
        <v>Южный</v>
      </c>
      <c r="E1780" s="6" t="str">
        <f>IFERROR(__xludf.DUMMYFUNCTION("""COMPUTED_VALUE"""),"Бульвар патриотов")</f>
        <v>Бульвар патриотов</v>
      </c>
      <c r="F1780" s="6" t="str">
        <f>IFERROR(__xludf.DUMMYFUNCTION("""COMPUTED_VALUE"""),"Живу здесь с рождения")</f>
        <v>Живу здесь с рождения</v>
      </c>
      <c r="G1780" s="6" t="str">
        <f>IFERROR(__xludf.DUMMYFUNCTION("""COMPUTED_VALUE"""),"Набережная")</f>
        <v>Набережная</v>
      </c>
      <c r="H1780" s="6" t="str">
        <f>IFERROR(__xludf.DUMMYFUNCTION("""COMPUTED_VALUE"""),"Свет, простор, блеск, неон, асфальт")</f>
        <v>Свет, простор, блеск, неон, асфальт</v>
      </c>
      <c r="I1780" s="6" t="str">
        <f>IFERROR(__xludf.DUMMYFUNCTION("""COMPUTED_VALUE"""),"Михайло волков")</f>
        <v>Михайло волков</v>
      </c>
      <c r="J1780" s="6" t="str">
        <f>IFERROR(__xludf.DUMMYFUNCTION("""COMPUTED_VALUE"""),"Михайлов Владимир, бывший мэр")</f>
        <v>Михайлов Владимир, бывший мэр</v>
      </c>
      <c r="K1780" s="6" t="str">
        <f>IFERROR(__xludf.DUMMYFUNCTION("""COMPUTED_VALUE"""),"Набережная, красная горка")</f>
        <v>Набережная, красная горка</v>
      </c>
      <c r="L1780" s="6" t="str">
        <f>IFERROR(__xludf.DUMMYFUNCTION("""COMPUTED_VALUE"""),"Не знаю")</f>
        <v>Не знаю</v>
      </c>
      <c r="M1780" s="6" t="str">
        <f>IFERROR(__xludf.DUMMYFUNCTION("""COMPUTED_VALUE"""),"Вам по 17му маршруту до конечной")</f>
        <v>Вам по 17му маршруту до конечной</v>
      </c>
      <c r="N1780" s="6" t="str">
        <f>IFERROR(__xludf.DUMMYFUNCTION("""COMPUTED_VALUE"""),"Чистота, транспорт, магазины, детские площадки, места разлечений")</f>
        <v>Чистота, транспорт, магазины, детские площадки, места разлечений</v>
      </c>
      <c r="O1780" s="6" t="str">
        <f>IFERROR(__xludf.DUMMYFUNCTION("""COMPUTED_VALUE"""),"Отремонтировать больницы")</f>
        <v>Отремонтировать больницы</v>
      </c>
      <c r="P1780" s="6" t="str">
        <f>IFERROR(__xludf.DUMMYFUNCTION("""COMPUTED_VALUE"""),"Инстаграм, интернет, Яндекс новости")</f>
        <v>Инстаграм, интернет, Яндекс новости</v>
      </c>
      <c r="Q1780" s="6" t="str">
        <f>IFERROR(__xludf.DUMMYFUNCTION("""COMPUTED_VALUE"""),"городская афиша (кино/театр/концерты), бизнес-новости (средний чек/рекламные акции/запуск новых предприятий)")</f>
        <v>городская афиша (кино/театр/концерты), бизнес-новости (средний чек/рекламные акции/запуск новых предприятий)</v>
      </c>
      <c r="R1780" s="6" t="str">
        <f>IFERROR(__xludf.DUMMYFUNCTION("""COMPUTED_VALUE"""),"День города")</f>
        <v>День города</v>
      </c>
      <c r="S1780" s="6" t="str">
        <f>IFERROR(__xludf.DUMMYFUNCTION("""COMPUTED_VALUE"""),"Нет, не приходилось")</f>
        <v>Нет, не приходилось</v>
      </c>
      <c r="T1780" s="6" t="str">
        <f>IFERROR(__xludf.DUMMYFUNCTION("""COMPUTED_VALUE"""),"Ничего")</f>
        <v>Ничего</v>
      </c>
      <c r="U1780" s="6" t="str">
        <f>IFERROR(__xludf.DUMMYFUNCTION("""COMPUTED_VALUE"""),"Площадь советов")</f>
        <v>Площадь советов</v>
      </c>
      <c r="V1780" s="6" t="str">
        <f>IFERROR(__xludf.DUMMYFUNCTION("""COMPUTED_VALUE"""),"Ничего")</f>
        <v>Ничего</v>
      </c>
      <c r="W1780" s="6" t="str">
        <f>IFERROR(__xludf.DUMMYFUNCTION("""COMPUTED_VALUE"""),"Как и во всем остальном мире. Добрые. Разные.")</f>
        <v>Как и во всем остальном мире. Добрые. Разные.</v>
      </c>
      <c r="X1780" s="6" t="str">
        <f>IFERROR(__xludf.DUMMYFUNCTION("""COMPUTED_VALUE"""),"Набережная")</f>
        <v>Набережная</v>
      </c>
      <c r="Y1780" s="6" t="str">
        <f>IFERROR(__xludf.DUMMYFUNCTION("""COMPUTED_VALUE"""),"Не знаю")</f>
        <v>Не знаю</v>
      </c>
      <c r="Z1780" s="6" t="str">
        <f>IFERROR(__xludf.DUMMYFUNCTION("""COMPUTED_VALUE"""),"Салюты")</f>
        <v>Салюты</v>
      </c>
      <c r="AA1780" s="6" t="str">
        <f>IFERROR(__xludf.DUMMYFUNCTION("""COMPUTED_VALUE"""),"Отношение к уходу за городом городских служб")</f>
        <v>Отношение к уходу за городом городских служб</v>
      </c>
      <c r="AB1780" s="6" t="str">
        <f>IFERROR(__xludf.DUMMYFUNCTION("""COMPUTED_VALUE"""),"Не знаю")</f>
        <v>Не знаю</v>
      </c>
      <c r="AC1780" s="6" t="str">
        <f>IFERROR(__xludf.DUMMYFUNCTION("""COMPUTED_VALUE"""),"Выставки, спектакли хоошие")</f>
        <v>Выставки, спектакли хоошие</v>
      </c>
      <c r="AD178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80" s="6" t="str">
        <f>IFERROR(__xludf.DUMMYFUNCTION("""COMPUTED_VALUE"""),"Женский")</f>
        <v>Женский</v>
      </c>
      <c r="AF1780" s="6" t="str">
        <f>IFERROR(__xludf.DUMMYFUNCTION("""COMPUTED_VALUE"""),"45-55")</f>
        <v>45-55</v>
      </c>
      <c r="AG1780" s="6"/>
      <c r="AH1780" s="6"/>
      <c r="AI1780" s="6"/>
      <c r="AJ1780" s="6"/>
      <c r="AK1780" s="6"/>
      <c r="AL1780" s="6"/>
      <c r="AM1780" s="6"/>
    </row>
    <row r="1781">
      <c r="A1781" s="6">
        <v>1780.0</v>
      </c>
      <c r="B1781" s="6" t="str">
        <f>IFERROR(__xludf.DUMMYFUNCTION("""COMPUTED_VALUE"""),"В декрете")</f>
        <v>В декрете</v>
      </c>
      <c r="C1781" s="6" t="str">
        <f>IFERROR(__xludf.DUMMYFUNCTION("""COMPUTED_VALUE"""),"Теннис")</f>
        <v>Теннис</v>
      </c>
      <c r="D1781" s="6" t="str">
        <f>IFERROR(__xludf.DUMMYFUNCTION("""COMPUTED_VALUE"""),"Южный")</f>
        <v>Южный</v>
      </c>
      <c r="E1781" s="6" t="str">
        <f>IFERROR(__xludf.DUMMYFUNCTION("""COMPUTED_VALUE"""),"Бульвар патриотов")</f>
        <v>Бульвар патриотов</v>
      </c>
      <c r="F1781" s="6" t="str">
        <f>IFERROR(__xludf.DUMMYFUNCTION("""COMPUTED_VALUE"""),"Переехал сюда из другого места (откуда? укажите в графе другое), Северск ")</f>
        <v>Переехал сюда из другого места (откуда? укажите в графе другое), Северск </v>
      </c>
      <c r="G1781" s="6" t="str">
        <f>IFERROR(__xludf.DUMMYFUNCTION("""COMPUTED_VALUE"""),"Парк чудес, бульвар строителей, Кузбасский парк, притомье, томская писанница")</f>
        <v>Парк чудес, бульвар строителей, Кузбасский парк, притомье, томская писанница</v>
      </c>
      <c r="H1781" s="6" t="str">
        <f>IFERROR(__xludf.DUMMYFUNCTION("""COMPUTED_VALUE"""),"Уголь, грязь, пыль, онкология, холод")</f>
        <v>Уголь, грязь, пыль, онкология, холод</v>
      </c>
      <c r="I1781" s="6" t="str">
        <f>IFERROR(__xludf.DUMMYFUNCTION("""COMPUTED_VALUE"""),"Леонов")</f>
        <v>Леонов</v>
      </c>
      <c r="J1781" s="6" t="str">
        <f>IFERROR(__xludf.DUMMYFUNCTION("""COMPUTED_VALUE"""),"Тулеев")</f>
        <v>Тулеев</v>
      </c>
      <c r="K1781" s="6" t="str">
        <f>IFERROR(__xludf.DUMMYFUNCTION("""COMPUTED_VALUE"""),"Парк в лесной Поляне, набережная ")</f>
        <v>Парк в лесной Поляне, набережная </v>
      </c>
      <c r="L1781" s="6" t="str">
        <f>IFERROR(__xludf.DUMMYFUNCTION("""COMPUTED_VALUE"""),"-")</f>
        <v>-</v>
      </c>
      <c r="M1781" s="6" t="str">
        <f>IFERROR(__xludf.DUMMYFUNCTION("""COMPUTED_VALUE"""),"Нет")</f>
        <v>Нет</v>
      </c>
      <c r="N1781" s="6" t="str">
        <f>IFERROR(__xludf.DUMMYFUNCTION("""COMPUTED_VALUE"""),"Мало пробок")</f>
        <v>Мало пробок</v>
      </c>
      <c r="O1781" s="6" t="str">
        <f>IFERROR(__xludf.DUMMYFUNCTION("""COMPUTED_VALUE"""),"Решить что-нибудь с экологией, дышать не чем")</f>
        <v>Решить что-нибудь с экологией, дышать не чем</v>
      </c>
      <c r="P1781" s="6" t="str">
        <f>IFERROR(__xludf.DUMMYFUNCTION("""COMPUTED_VALUE"""),"Ако")</f>
        <v>Ако</v>
      </c>
      <c r="Q1781"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781" s="6" t="str">
        <f>IFERROR(__xludf.DUMMYFUNCTION("""COMPUTED_VALUE"""),"День победы")</f>
        <v>День победы</v>
      </c>
      <c r="S1781" s="6" t="str">
        <f>IFERROR(__xludf.DUMMYFUNCTION("""COMPUTED_VALUE"""),"Нет, не приходилось")</f>
        <v>Нет, не приходилось</v>
      </c>
      <c r="T1781" s="6" t="str">
        <f>IFERROR(__xludf.DUMMYFUNCTION("""COMPUTED_VALUE"""),"Богат углем")</f>
        <v>Богат углем</v>
      </c>
      <c r="U1781" s="6" t="str">
        <f>IFERROR(__xludf.DUMMYFUNCTION("""COMPUTED_VALUE"""),"Парк жукова")</f>
        <v>Парк жукова</v>
      </c>
      <c r="V1781" s="6" t="str">
        <f>IFERROR(__xludf.DUMMYFUNCTION("""COMPUTED_VALUE"""),"-")</f>
        <v>-</v>
      </c>
      <c r="W1781" s="6" t="str">
        <f>IFERROR(__xludf.DUMMYFUNCTION("""COMPUTED_VALUE"""),"-")</f>
        <v>-</v>
      </c>
      <c r="X1781" s="6" t="str">
        <f>IFERROR(__xludf.DUMMYFUNCTION("""COMPUTED_VALUE"""),"-")</f>
        <v>-</v>
      </c>
      <c r="Y1781" s="6" t="str">
        <f>IFERROR(__xludf.DUMMYFUNCTION("""COMPUTED_VALUE"""),"-")</f>
        <v>-</v>
      </c>
      <c r="Z1781" s="6" t="str">
        <f>IFERROR(__xludf.DUMMYFUNCTION("""COMPUTED_VALUE"""),"-")</f>
        <v>-</v>
      </c>
      <c r="AA1781" s="6" t="str">
        <f>IFERROR(__xludf.DUMMYFUNCTION("""COMPUTED_VALUE"""),"-")</f>
        <v>-</v>
      </c>
      <c r="AB1781" s="6" t="str">
        <f>IFERROR(__xludf.DUMMYFUNCTION("""COMPUTED_VALUE"""),"-")</f>
        <v>-</v>
      </c>
      <c r="AC1781" s="6" t="str">
        <f>IFERROR(__xludf.DUMMYFUNCTION("""COMPUTED_VALUE"""),"-")</f>
        <v>-</v>
      </c>
      <c r="AD178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81" s="6" t="str">
        <f>IFERROR(__xludf.DUMMYFUNCTION("""COMPUTED_VALUE"""),"Женский")</f>
        <v>Женский</v>
      </c>
      <c r="AF1781" s="6" t="str">
        <f>IFERROR(__xludf.DUMMYFUNCTION("""COMPUTED_VALUE"""),"18-29")</f>
        <v>18-29</v>
      </c>
      <c r="AG1781" s="6"/>
      <c r="AH1781" s="6"/>
      <c r="AI1781" s="6"/>
      <c r="AJ1781" s="6"/>
      <c r="AK1781" s="6"/>
      <c r="AL1781" s="6"/>
      <c r="AM1781" s="6"/>
    </row>
    <row r="1782">
      <c r="A1782" s="6">
        <v>1781.0</v>
      </c>
      <c r="B1782" s="6" t="str">
        <f>IFERROR(__xludf.DUMMYFUNCTION("""COMPUTED_VALUE"""),"Работа ")</f>
        <v>Работа </v>
      </c>
      <c r="C1782" s="6" t="str">
        <f>IFERROR(__xludf.DUMMYFUNCTION("""COMPUTED_VALUE"""),"Нет")</f>
        <v>Нет</v>
      </c>
      <c r="D1782" s="6" t="str">
        <f>IFERROR(__xludf.DUMMYFUNCTION("""COMPUTED_VALUE"""),"Заводский ")</f>
        <v>Заводский </v>
      </c>
      <c r="E1782" s="6" t="str">
        <f>IFERROR(__xludf.DUMMYFUNCTION("""COMPUTED_VALUE"""),"Не знаю ")</f>
        <v>Не знаю </v>
      </c>
      <c r="F1782" s="6" t="str">
        <f>IFERROR(__xludf.DUMMYFUNCTION("""COMPUTED_VALUE"""),"Переехал сюда из другого места (откуда? укажите в графе другое), Сургут")</f>
        <v>Переехал сюда из другого места (откуда? укажите в графе другое), Сургут</v>
      </c>
      <c r="G1782" s="6" t="str">
        <f>IFERROR(__xludf.DUMMYFUNCTION("""COMPUTED_VALUE"""),"В магазин рядом с домом, иногда на набережную")</f>
        <v>В магазин рядом с домом, иногда на набережную</v>
      </c>
      <c r="H1782" s="6" t="str">
        <f>IFERROR(__xludf.DUMMYFUNCTION("""COMPUTED_VALUE"""),"Площадь Волкова, Собор")</f>
        <v>Площадь Волкова, Собор</v>
      </c>
      <c r="I1782" s="6" t="str">
        <f>IFERROR(__xludf.DUMMYFUNCTION("""COMPUTED_VALUE"""),"М. Волков, но это для всего Кузбасса")</f>
        <v>М. Волков, но это для всего Кузбасса</v>
      </c>
      <c r="J1782" s="6" t="str">
        <f>IFERROR(__xludf.DUMMYFUNCTION("""COMPUTED_VALUE"""),"Ведущий на НТВ с г. Кемерово ")</f>
        <v>Ведущий на НТВ с г. Кемерово </v>
      </c>
      <c r="K1782" s="6" t="str">
        <f>IFERROR(__xludf.DUMMYFUNCTION("""COMPUTED_VALUE"""),"Мы гуляли по ул. Советской, набережной ")</f>
        <v>Мы гуляли по ул. Советской, набережной </v>
      </c>
      <c r="L1782" s="6" t="str">
        <f>IFERROR(__xludf.DUMMYFUNCTION("""COMPUTED_VALUE"""),"""дыра"", ""ты че ещё не уехала?"", ""нет работы""")</f>
        <v>"дыра", "ты че ещё не уехала?", "нет работы"</v>
      </c>
      <c r="M1782" s="6" t="str">
        <f>IFERROR(__xludf.DUMMYFUNCTION("""COMPUTED_VALUE"""),"Нет")</f>
        <v>Нет</v>
      </c>
      <c r="N1782" s="6" t="str">
        <f>IFERROR(__xludf.DUMMYFUNCTION("""COMPUTED_VALUE"""),"Изучая экономические учения, есть такое направление кейнсианство, так вот чтобы все процветало, нужно увеличить покупательную способность населения!!!
Будет работа, будет высокая зп, люди смогут покупать больше, компании будут получать прибыль и платить н"&amp;"алоги, и казна будет расти! И жить будет комфортно всем! ")</f>
        <v>Изучая экономические учения, есть такое направление кейнсианство, так вот чтобы все процветало, нужно увеличить покупательную способность населения!!!
Будет работа, будет высокая зп, люди смогут покупать больше, компании будут получать прибыль и платить налоги, и казна будет расти! И жить будет комфортно всем! </v>
      </c>
      <c r="O1782" s="6" t="str">
        <f>IFERROR(__xludf.DUMMYFUNCTION("""COMPUTED_VALUE"""),"Все! Медицина, образование, строить заводы, чтобы люди работали, починить двор на ул. СИБИРЯКОВ-ГВАРДЕЙЦЕВ 12, потому что там полный ужас, машин в городе все больше, парковать негде, дороги не расширяют и не думают, что кол-во машин увеличивается, про мос"&amp;"т я вообще молчу, который по документам уже построен между металлплощадкой и елыкаево! У кого-то воды нет нормальной в кемеровском округе. Просто зайдите в ЧП Кемерово и читайте, что нужно делать в первую очередь! Разруха в 80% области ")</f>
        <v>Все! Медицина, образование, строить заводы, чтобы люди работали, починить двор на ул. СИБИРЯКОВ-ГВАРДЕЙЦЕВ 12, потому что там полный ужас, машин в городе все больше, парковать негде, дороги не расширяют и не думают, что кол-во машин увеличивается, про мост я вообще молчу, который по документам уже построен между металлплощадкой и елыкаево! У кого-то воды нет нормальной в кемеровском округе. Просто зайдите в ЧП Кемерово и читайте, что нужно делать в первую очередь! Разруха в 80% области </v>
      </c>
      <c r="P1782" s="6" t="str">
        <f>IFERROR(__xludf.DUMMYFUNCTION("""COMPUTED_VALUE"""),"Соц сети :вк, инстаграм ")</f>
        <v>Соц сети :вк, инстаграм </v>
      </c>
      <c r="Q1782" s="6" t="str">
        <f>IFERROR(__xludf.DUMMYFUNCTION("""COMPUTED_VALUE"""),"где вкусно поесть/открытие новых кафе/ресторанов,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782" s="6" t="str">
        <f>IFERROR(__xludf.DUMMYFUNCTION("""COMPUTED_VALUE"""),"Никакие")</f>
        <v>Никакие</v>
      </c>
      <c r="S1782" s="6" t="str">
        <f>IFERROR(__xludf.DUMMYFUNCTION("""COMPUTED_VALUE"""),"Нет, не приходилось")</f>
        <v>Нет, не приходилось</v>
      </c>
      <c r="T1782" s="6" t="str">
        <f>IFERROR(__xludf.DUMMYFUNCTION("""COMPUTED_VALUE"""),"Пожаром в Зимней Вишни.... Всё. ")</f>
        <v>Пожаром в Зимней Вишни.... Всё. </v>
      </c>
      <c r="U1782" s="6" t="str">
        <f>IFERROR(__xludf.DUMMYFUNCTION("""COMPUTED_VALUE"""),"Площадь Советов")</f>
        <v>Площадь Советов</v>
      </c>
      <c r="V1782" s="6" t="str">
        <f>IFERROR(__xludf.DUMMYFUNCTION("""COMPUTED_VALUE"""),"Не знаю, в основном все уехали ")</f>
        <v>Не знаю, в основном все уехали </v>
      </c>
      <c r="W1782" s="6" t="str">
        <f>IFERROR(__xludf.DUMMYFUNCTION("""COMPUTED_VALUE"""),"Терпиливые! ")</f>
        <v>Терпиливые! </v>
      </c>
      <c r="X1782" s="6" t="str">
        <f>IFERROR(__xludf.DUMMYFUNCTION("""COMPUTED_VALUE"""),"Пр-т Советский, только во дворы не заходите, а то кусок стены отвалится ")</f>
        <v>Пр-т Советский, только во дворы не заходите, а то кусок стены отвалится </v>
      </c>
      <c r="Y1782" s="6" t="str">
        <f>IFERROR(__xludf.DUMMYFUNCTION("""COMPUTED_VALUE"""),"Хоккей с мячом в 2000 каком-то году ")</f>
        <v>Хоккей с мячом в 2000 каком-то году </v>
      </c>
      <c r="Z1782" s="6" t="str">
        <f>IFERROR(__xludf.DUMMYFUNCTION("""COMPUTED_VALUE"""),"В 2018 праздник на площади (Гагарина и тимати пели) ")</f>
        <v>В 2018 праздник на площади (Гагарина и тимати пели) </v>
      </c>
      <c r="AA1782" s="6" t="str">
        <f>IFERROR(__xludf.DUMMYFUNCTION("""COMPUTED_VALUE"""),"Каждое утро! Состояние двора и дороги на ул Сибиряков-Гвардейцев 12, вот просто ради интереса загляните туда! Ук Гарант+ вообще безразлична к жалобам всего дома!!!")</f>
        <v>Каждое утро! Состояние двора и дороги на ул Сибиряков-Гвардейцев 12, вот просто ради интереса загляните туда! Ук Гарант+ вообще безразлична к жалобам всего дома!!!</v>
      </c>
      <c r="AB1782" s="6" t="str">
        <f>IFERROR(__xludf.DUMMYFUNCTION("""COMPUTED_VALUE"""),"Не хватает сообществ г. Кемерово с добрыми новостями. ")</f>
        <v>Не хватает сообществ г. Кемерово с добрыми новостями. </v>
      </c>
      <c r="AC1782" s="6" t="str">
        <f>IFERROR(__xludf.DUMMYFUNCTION("""COMPUTED_VALUE"""),"Лично мне нужно мероприятие посвящённое ремонту дороги во дворе Ул. СИБИРЯКОВ-ГВАРДЕЙЦЕВ 12. ")</f>
        <v>Лично мне нужно мероприятие посвящённое ремонту дороги во дворе Ул. СИБИРЯКОВ-ГВАРДЕЙЦЕВ 12. </v>
      </c>
      <c r="AD178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782" s="6" t="str">
        <f>IFERROR(__xludf.DUMMYFUNCTION("""COMPUTED_VALUE"""),"Женский")</f>
        <v>Женский</v>
      </c>
      <c r="AF1782" s="6" t="str">
        <f>IFERROR(__xludf.DUMMYFUNCTION("""COMPUTED_VALUE"""),"18-29")</f>
        <v>18-29</v>
      </c>
      <c r="AG1782" s="6"/>
      <c r="AH1782" s="6"/>
      <c r="AI1782" s="6"/>
      <c r="AJ1782" s="6"/>
      <c r="AK1782" s="6"/>
      <c r="AL1782" s="6"/>
      <c r="AM1782" s="6"/>
    </row>
    <row r="1783">
      <c r="A1783" s="6">
        <v>1782.0</v>
      </c>
      <c r="B1783" s="6" t="str">
        <f>IFERROR(__xludf.DUMMYFUNCTION("""COMPUTED_VALUE"""),"Работа")</f>
        <v>Работа</v>
      </c>
      <c r="C1783" s="6" t="str">
        <f>IFERROR(__xludf.DUMMYFUNCTION("""COMPUTED_VALUE"""),"Рисование ")</f>
        <v>Рисование </v>
      </c>
      <c r="D1783" s="6" t="str">
        <f>IFERROR(__xludf.DUMMYFUNCTION("""COMPUTED_VALUE"""),"Заводский")</f>
        <v>Заводский</v>
      </c>
      <c r="E1783" s="6" t="str">
        <f>IFERROR(__xludf.DUMMYFUNCTION("""COMPUTED_VALUE"""),"Никаких")</f>
        <v>Никаких</v>
      </c>
      <c r="F1783" s="6" t="str">
        <f>IFERROR(__xludf.DUMMYFUNCTION("""COMPUTED_VALUE"""),"Живу здесь с рождения")</f>
        <v>Живу здесь с рождения</v>
      </c>
      <c r="G1783" s="6" t="str">
        <f>IFERROR(__xludf.DUMMYFUNCTION("""COMPUTED_VALUE"""),"Парки/скверы")</f>
        <v>Парки/скверы</v>
      </c>
      <c r="H1783" s="6" t="str">
        <f>IFERROR(__xludf.DUMMYFUNCTION("""COMPUTED_VALUE"""),"Смог, торговые центры (не в лучшем смысле), дом, пыль, мусор")</f>
        <v>Смог, торговые центры (не в лучшем смысле), дом, пыль, мусор</v>
      </c>
      <c r="I1783" s="6" t="str">
        <f>IFERROR(__xludf.DUMMYFUNCTION("""COMPUTED_VALUE"""),"Не знаю")</f>
        <v>Не знаю</v>
      </c>
      <c r="J1783" s="6" t="str">
        <f>IFERROR(__xludf.DUMMYFUNCTION("""COMPUTED_VALUE"""),"Не знаю")</f>
        <v>Не знаю</v>
      </c>
      <c r="K1783" s="6" t="str">
        <f>IFERROR(__xludf.DUMMYFUNCTION("""COMPUTED_VALUE"""),"Никаких")</f>
        <v>Никаких</v>
      </c>
      <c r="L1783" s="6" t="str">
        <f>IFERROR(__xludf.DUMMYFUNCTION("""COMPUTED_VALUE"""),"Не знаю ")</f>
        <v>Не знаю </v>
      </c>
      <c r="M1783" s="6" t="str">
        <f>IFERROR(__xludf.DUMMYFUNCTION("""COMPUTED_VALUE"""),"Нет")</f>
        <v>Нет</v>
      </c>
      <c r="N1783" s="6" t="str">
        <f>IFERROR(__xludf.DUMMYFUNCTION("""COMPUTED_VALUE"""),"Чистота, свежий воздух, развитая инфраструктура")</f>
        <v>Чистота, свежий воздух, развитая инфраструктура</v>
      </c>
      <c r="O1783" s="6" t="str">
        <f>IFERROR(__xludf.DUMMYFUNCTION("""COMPUTED_VALUE"""),"Навести порядок в частных секторах и дворах жилых домов, благоустроить боры под прогулки и отдых, пустить больше транспорта в отдельные районы ")</f>
        <v>Навести порядок в частных секторах и дворах жилых домов, благоустроить боры под прогулки и отдых, пустить больше транспорта в отдельные районы </v>
      </c>
      <c r="P1783" s="6" t="str">
        <f>IFERROR(__xludf.DUMMYFUNCTION("""COMPUTED_VALUE"""),"Вконтакте")</f>
        <v>Вконтакте</v>
      </c>
      <c r="Q1783"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1783" s="6" t="str">
        <f>IFERROR(__xludf.DUMMYFUNCTION("""COMPUTED_VALUE"""),"Никакие")</f>
        <v>Никакие</v>
      </c>
      <c r="S1783" s="6" t="str">
        <f>IFERROR(__xludf.DUMMYFUNCTION("""COMPUTED_VALUE"""),"Нет, не приходилось")</f>
        <v>Нет, не приходилось</v>
      </c>
      <c r="T1783" s="6" t="str">
        <f>IFERROR(__xludf.DUMMYFUNCTION("""COMPUTED_VALUE"""),"Не знаю ")</f>
        <v>Не знаю </v>
      </c>
      <c r="U1783" s="6" t="str">
        <f>IFERROR(__xludf.DUMMYFUNCTION("""COMPUTED_VALUE"""),"Набережная")</f>
        <v>Набережная</v>
      </c>
      <c r="V1783" s="6" t="str">
        <f>IFERROR(__xludf.DUMMYFUNCTION("""COMPUTED_VALUE"""),"Не знаю ")</f>
        <v>Не знаю </v>
      </c>
      <c r="W1783" s="6" t="str">
        <f>IFERROR(__xludf.DUMMYFUNCTION("""COMPUTED_VALUE"""),"Алкоголизм, много мусорят, иногда попадаются невоспитаные люди, но в целом контингент приятный")</f>
        <v>Алкоголизм, много мусорят, иногда попадаются невоспитаные люди, но в целом контингент приятный</v>
      </c>
      <c r="X1783" s="6" t="str">
        <f>IFERROR(__xludf.DUMMYFUNCTION("""COMPUTED_VALUE"""),"От цирка до набережной по Ленина и через парки")</f>
        <v>От цирка до набережной по Ленина и через парки</v>
      </c>
      <c r="Y1783" s="6" t="str">
        <f>IFERROR(__xludf.DUMMYFUNCTION("""COMPUTED_VALUE"""),"Не знаю ")</f>
        <v>Не знаю </v>
      </c>
      <c r="Z1783" s="6" t="str">
        <f>IFERROR(__xludf.DUMMYFUNCTION("""COMPUTED_VALUE"""),"Никаких")</f>
        <v>Никаких</v>
      </c>
      <c r="AA1783" s="6" t="str">
        <f>IFERROR(__xludf.DUMMYFUNCTION("""COMPUTED_VALUE"""),"Отсутствие транспорта в нужный момент")</f>
        <v>Отсутствие транспорта в нужный момент</v>
      </c>
      <c r="AB1783" s="6" t="str">
        <f>IFERROR(__xludf.DUMMYFUNCTION("""COMPUTED_VALUE"""),"Не знаю ")</f>
        <v>Не знаю </v>
      </c>
      <c r="AC1783" s="6" t="str">
        <f>IFERROR(__xludf.DUMMYFUNCTION("""COMPUTED_VALUE"""),"Не знаю ")</f>
        <v>Не знаю </v>
      </c>
      <c r="AD178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83" s="6" t="str">
        <f>IFERROR(__xludf.DUMMYFUNCTION("""COMPUTED_VALUE"""),"Женский")</f>
        <v>Женский</v>
      </c>
      <c r="AF1783" s="6" t="str">
        <f>IFERROR(__xludf.DUMMYFUNCTION("""COMPUTED_VALUE"""),"18-29")</f>
        <v>18-29</v>
      </c>
      <c r="AG1783" s="6"/>
      <c r="AH1783" s="6"/>
      <c r="AI1783" s="6"/>
      <c r="AJ1783" s="6"/>
      <c r="AK1783" s="6"/>
      <c r="AL1783" s="6"/>
      <c r="AM1783" s="6"/>
    </row>
    <row r="1784">
      <c r="A1784" s="6">
        <v>1783.0</v>
      </c>
      <c r="B1784" s="6" t="str">
        <f>IFERROR(__xludf.DUMMYFUNCTION("""COMPUTED_VALUE"""),"Госслужащий")</f>
        <v>Госслужащий</v>
      </c>
      <c r="C1784" s="6" t="str">
        <f>IFERROR(__xludf.DUMMYFUNCTION("""COMPUTED_VALUE"""),"Йога ")</f>
        <v>Йога </v>
      </c>
      <c r="D1784" s="6" t="str">
        <f>IFERROR(__xludf.DUMMYFUNCTION("""COMPUTED_VALUE"""),"Ленинский, эко")</f>
        <v>Ленинский, эко</v>
      </c>
      <c r="E1784" s="6" t="str">
        <f>IFERROR(__xludf.DUMMYFUNCTION("""COMPUTED_VALUE"""),"Храм святой троицы")</f>
        <v>Храм святой троицы</v>
      </c>
      <c r="F1784" s="6" t="str">
        <f>IFERROR(__xludf.DUMMYFUNCTION("""COMPUTED_VALUE"""),"Живу здесь с рождения")</f>
        <v>Живу здесь с рождения</v>
      </c>
      <c r="G1784" s="6" t="str">
        <f>IFERROR(__xludf.DUMMYFUNCTION("""COMPUTED_VALUE"""),"Кедровый Бор ")</f>
        <v>Кедровый Бор </v>
      </c>
      <c r="H1784" s="6" t="str">
        <f>IFERROR(__xludf.DUMMYFUNCTION("""COMPUTED_VALUE"""),"Уютный, компактный, чистый, красивый и родной")</f>
        <v>Уютный, компактный, чистый, красивый и родной</v>
      </c>
      <c r="I1784" s="6" t="str">
        <f>IFERROR(__xludf.DUMMYFUNCTION("""COMPUTED_VALUE"""),"Волков,  Бобров, Барбараш, Курехин, Сафохин ")</f>
        <v>Волков,  Бобров, Барбараш, Курехин, Сафохин </v>
      </c>
      <c r="J1784" s="6" t="str">
        <f>IFERROR(__xludf.DUMMYFUNCTION("""COMPUTED_VALUE"""),"Печеркина Ирина Александровна")</f>
        <v>Печеркина Ирина Александровна</v>
      </c>
      <c r="K1784" s="6" t="str">
        <f>IFERROR(__xludf.DUMMYFUNCTION("""COMPUTED_VALUE"""),"Красная горка, церковь Ксении Блаженной ")</f>
        <v>Красная горка, церковь Ксении Блаженной </v>
      </c>
      <c r="L1784" s="6" t="str">
        <f>IFERROR(__xludf.DUMMYFUNCTION("""COMPUTED_VALUE"""),"Не имей сто рублей, а имей сто рублей")</f>
        <v>Не имей сто рублей, а имей сто рублей</v>
      </c>
      <c r="M1784" s="6" t="str">
        <f>IFERROR(__xludf.DUMMYFUNCTION("""COMPUTED_VALUE"""),"Нет")</f>
        <v>Нет</v>
      </c>
      <c r="N1784" s="6" t="str">
        <f>IFERROR(__xludf.DUMMYFUNCTION("""COMPUTED_VALUE"""),"Экология, озеленение,  качество дорог, организация движения,  безопасность.")</f>
        <v>Экология, озеленение,  качество дорог, организация движения,  безопасность.</v>
      </c>
      <c r="O1784" s="6" t="str">
        <f>IFERROR(__xludf.DUMMYFUNCTION("""COMPUTED_VALUE"""),"Фасады зданий в ленинском районе")</f>
        <v>Фасады зданий в ленинском районе</v>
      </c>
      <c r="P1784" s="6" t="str">
        <f>IFERROR(__xludf.DUMMYFUNCTION("""COMPUTED_VALUE"""),"Интернет , Инстограм ")</f>
        <v>Интернет , Инстограм </v>
      </c>
      <c r="Q1784" s="6" t="str">
        <f>IFERROR(__xludf.DUMMYFUNCTION("""COMPUTED_VALUE"""),"городская афиша (кино/театр/концерты)")</f>
        <v>городская афиша (кино/театр/концерты)</v>
      </c>
      <c r="R1784" s="6" t="str">
        <f>IFERROR(__xludf.DUMMYFUNCTION("""COMPUTED_VALUE"""),"9 мая")</f>
        <v>9 мая</v>
      </c>
      <c r="S1784" s="6" t="str">
        <f>IFERROR(__xludf.DUMMYFUNCTION("""COMPUTED_VALUE"""),"Нет, не приходилось")</f>
        <v>Нет, не приходилось</v>
      </c>
      <c r="T1784" s="6" t="str">
        <f>IFERROR(__xludf.DUMMYFUNCTION("""COMPUTED_VALUE"""),"Красная горка")</f>
        <v>Красная горка</v>
      </c>
      <c r="U1784" s="6" t="str">
        <f>IFERROR(__xludf.DUMMYFUNCTION("""COMPUTED_VALUE"""),"Набережная")</f>
        <v>Набережная</v>
      </c>
      <c r="V1784" s="6" t="str">
        <f>IFERROR(__xludf.DUMMYFUNCTION("""COMPUTED_VALUE"""),"Детьми")</f>
        <v>Детьми</v>
      </c>
      <c r="W1784" s="6" t="str">
        <f>IFERROR(__xludf.DUMMYFUNCTION("""COMPUTED_VALUE"""),"Добрые и отзывчивые")</f>
        <v>Добрые и отзывчивые</v>
      </c>
      <c r="X1784" s="6" t="str">
        <f>IFERROR(__xludf.DUMMYFUNCTION("""COMPUTED_VALUE"""),"Пр. Советский")</f>
        <v>Пр. Советский</v>
      </c>
      <c r="Y1784" s="6" t="str">
        <f>IFERROR(__xludf.DUMMYFUNCTION("""COMPUTED_VALUE"""),"300 летие")</f>
        <v>300 летие</v>
      </c>
      <c r="Z1784" s="6" t="str">
        <f>IFERROR(__xludf.DUMMYFUNCTION("""COMPUTED_VALUE"""),"Преображение  города")</f>
        <v>Преображение  города</v>
      </c>
      <c r="AA1784" s="6" t="str">
        <f>IFERROR(__xludf.DUMMYFUNCTION("""COMPUTED_VALUE"""),"Нет")</f>
        <v>Нет</v>
      </c>
      <c r="AB1784" s="6" t="str">
        <f>IFERROR(__xludf.DUMMYFUNCTION("""COMPUTED_VALUE"""),"Нет таких")</f>
        <v>Нет таких</v>
      </c>
      <c r="AC1784" s="6" t="str">
        <f>IFERROR(__xludf.DUMMYFUNCTION("""COMPUTED_VALUE"""),"Аквапарк")</f>
        <v>Аквапарк</v>
      </c>
      <c r="AD178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84" s="6" t="str">
        <f>IFERROR(__xludf.DUMMYFUNCTION("""COMPUTED_VALUE"""),"Женский")</f>
        <v>Женский</v>
      </c>
      <c r="AF1784" s="6" t="str">
        <f>IFERROR(__xludf.DUMMYFUNCTION("""COMPUTED_VALUE"""),"45-55")</f>
        <v>45-55</v>
      </c>
      <c r="AG1784" s="6"/>
      <c r="AH1784" s="6"/>
      <c r="AI1784" s="6"/>
      <c r="AJ1784" s="6"/>
      <c r="AK1784" s="6"/>
      <c r="AL1784" s="6"/>
      <c r="AM1784" s="6"/>
    </row>
    <row r="1785">
      <c r="A1785" s="6">
        <v>1784.0</v>
      </c>
      <c r="B1785" s="6" t="str">
        <f>IFERROR(__xludf.DUMMYFUNCTION("""COMPUTED_VALUE"""),"Мама в декрете")</f>
        <v>Мама в декрете</v>
      </c>
      <c r="C1785" s="6" t="str">
        <f>IFERROR(__xludf.DUMMYFUNCTION("""COMPUTED_VALUE"""),"Люблю готовить и дачу")</f>
        <v>Люблю готовить и дачу</v>
      </c>
      <c r="D1785" s="6" t="str">
        <f>IFERROR(__xludf.DUMMYFUNCTION("""COMPUTED_VALUE"""),"Южный")</f>
        <v>Южный</v>
      </c>
      <c r="E1785" s="6" t="str">
        <f>IFERROR(__xludf.DUMMYFUNCTION("""COMPUTED_VALUE"""),"Церковь утоли мои печали")</f>
        <v>Церковь утоли мои печали</v>
      </c>
      <c r="F1785" s="6" t="str">
        <f>IFERROR(__xludf.DUMMYFUNCTION("""COMPUTED_VALUE"""),"Переехал сюда из другого места (откуда? укажите в графе другое), Поступила в 2002 в кемтипп и осталась")</f>
        <v>Переехал сюда из другого места (откуда? укажите в графе другое), Поступила в 2002 в кемтипп и осталась</v>
      </c>
      <c r="G1785" s="6" t="str">
        <f>IFERROR(__xludf.DUMMYFUNCTION("""COMPUTED_VALUE"""),"Набережная, парк чудес, бульвар строителей")</f>
        <v>Набережная, парк чудес, бульвар строителей</v>
      </c>
      <c r="H1785" s="6" t="str">
        <f>IFERROR(__xludf.DUMMYFUNCTION("""COMPUTED_VALUE"""),"Площадь советов, набережная, цирк, бульвар, Южный")</f>
        <v>Площадь советов, набережная, цирк, бульвар, Южный</v>
      </c>
      <c r="I1785" s="6" t="str">
        <f>IFERROR(__xludf.DUMMYFUNCTION("""COMPUTED_VALUE"""),"Леонов, Волошина, Тюленин, Двужильный, Тухачевский")</f>
        <v>Леонов, Волошина, Тюленин, Двужильный, Тухачевский</v>
      </c>
      <c r="J1785" s="6" t="str">
        <f>IFERROR(__xludf.DUMMYFUNCTION("""COMPUTED_VALUE"""),"Михайлов - эксмэр города")</f>
        <v>Михайлов - эксмэр города</v>
      </c>
      <c r="K1785" s="6" t="str">
        <f>IFERROR(__xludf.DUMMYFUNCTION("""COMPUTED_VALUE"""),"Новые памятники, где находятся помню, боюсь в названиях ошибусь ")</f>
        <v>Новые памятники, где находятся помню, боюсь в названиях ошибусь </v>
      </c>
      <c r="L1785" s="6" t="str">
        <f>IFERROR(__xludf.DUMMYFUNCTION("""COMPUTED_VALUE"""),"Затрудняюсь")</f>
        <v>Затрудняюсь</v>
      </c>
      <c r="M1785" s="6" t="str">
        <f>IFERROR(__xludf.DUMMYFUNCTION("""COMPUTED_VALUE"""),"Не вспомню")</f>
        <v>Не вспомню</v>
      </c>
      <c r="N1785" s="6" t="str">
        <f>IFERROR(__xludf.DUMMYFUNCTION("""COMPUTED_VALUE"""),"Чистый, гостеприимный, уютный, развивающийся, комфортный")</f>
        <v>Чистый, гостеприимный, уютный, развивающийся, комфортный</v>
      </c>
      <c r="O1785" s="6" t="str">
        <f>IFERROR(__xludf.DUMMYFUNCTION("""COMPUTED_VALUE"""),"Больше уделять чистоте и порядку, строить детские поликлиники, сады")</f>
        <v>Больше уделять чистоте и порядку, строить детские поликлиники, сады</v>
      </c>
      <c r="P1785" s="6" t="str">
        <f>IFERROR(__xludf.DUMMYFUNCTION("""COMPUTED_VALUE"""),"Новости, интернет")</f>
        <v>Новости, интернет</v>
      </c>
      <c r="Q1785" s="6" t="str">
        <f>IFERROR(__xludf.DUMMYFUNCTION("""COMPUTED_VALUE"""),"куда пойти в свободное время, городская афиша (кино/театр/концерты), интервью с местными политиками, бизнес-новости (средний чек/рекламные акции/запуск новых предприятий), результаты местных исследований (рейтинги/аналитика/тенденции), интервью с эксперта"&amp;"ми на разные темы (напишите в разделе Другое свои предложения)")</f>
        <v>куда пойти в свободное время, городская афиша (кино/театр/концерты), интервью с местными политиками,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785" s="6" t="str">
        <f>IFERROR(__xludf.DUMMYFUNCTION("""COMPUTED_VALUE"""),"День победы,шахтера, города")</f>
        <v>День победы,шахтера, города</v>
      </c>
      <c r="S1785" s="6" t="str">
        <f>IFERROR(__xludf.DUMMYFUNCTION("""COMPUTED_VALUE"""),"Нет, не приходилось")</f>
        <v>Нет, не приходилось</v>
      </c>
      <c r="T1785" s="6" t="str">
        <f>IFERROR(__xludf.DUMMYFUNCTION("""COMPUTED_VALUE"""),"Пожар в зимней вишне и это ужасно")</f>
        <v>Пожар в зимней вишне и это ужасно</v>
      </c>
      <c r="U1785" s="6" t="str">
        <f>IFERROR(__xludf.DUMMYFUNCTION("""COMPUTED_VALUE"""),"Площадь советов")</f>
        <v>Площадь советов</v>
      </c>
      <c r="V1785" s="6" t="str">
        <f>IFERROR(__xludf.DUMMYFUNCTION("""COMPUTED_VALUE"""),"Строят и развивают")</f>
        <v>Строят и развивают</v>
      </c>
      <c r="W1785" s="6" t="str">
        <f>IFERROR(__xludf.DUMMYFUNCTION("""COMPUTED_VALUE"""),"Простые дружелюбные ")</f>
        <v>Простые дружелюбные </v>
      </c>
      <c r="X1785" s="6" t="str">
        <f>IFERROR(__xludf.DUMMYFUNCTION("""COMPUTED_VALUE"""),"Прогулка по старому центру")</f>
        <v>Прогулка по старому центру</v>
      </c>
      <c r="Y1785" s="6" t="str">
        <f>IFERROR(__xludf.DUMMYFUNCTION("""COMPUTED_VALUE"""),"Затрудняюсь ответить")</f>
        <v>Затрудняюсь ответить</v>
      </c>
      <c r="Z1785" s="6" t="str">
        <f>IFERROR(__xludf.DUMMYFUNCTION("""COMPUTED_VALUE"""),"Открытие кадетского училища")</f>
        <v>Открытие кадетского училища</v>
      </c>
      <c r="AA1785" s="6" t="str">
        <f>IFERROR(__xludf.DUMMYFUNCTION("""COMPUTED_VALUE"""),"Пожар в зимней вишне")</f>
        <v>Пожар в зимней вишне</v>
      </c>
      <c r="AB1785" s="6" t="str">
        <f>IFERROR(__xludf.DUMMYFUNCTION("""COMPUTED_VALUE"""),"Мне всего достаточно")</f>
        <v>Мне всего достаточно</v>
      </c>
      <c r="AC1785" s="6" t="str">
        <f>IFERROR(__xludf.DUMMYFUNCTION("""COMPUTED_VALUE"""),"Больше культурных мероприятий для детей и молодежи")</f>
        <v>Больше культурных мероприятий для детей и молодежи</v>
      </c>
      <c r="AD1785" s="6" t="str">
        <f>IFERROR(__xludf.DUMMYFUNCTION("""COMPUTED_VALUE"""),"Не готов принимать личное участие (укажите, пожалуйста, причину в поле «Другое»), Грудной ребенок")</f>
        <v>Не готов принимать личное участие (укажите, пожалуйста, причину в поле «Другое»), Грудной ребенок</v>
      </c>
      <c r="AE1785" s="6" t="str">
        <f>IFERROR(__xludf.DUMMYFUNCTION("""COMPUTED_VALUE"""),"Женский")</f>
        <v>Женский</v>
      </c>
      <c r="AF1785" s="6" t="str">
        <f>IFERROR(__xludf.DUMMYFUNCTION("""COMPUTED_VALUE"""),"30-44")</f>
        <v>30-44</v>
      </c>
      <c r="AG1785" s="6"/>
      <c r="AH1785" s="6"/>
      <c r="AI1785" s="6"/>
      <c r="AJ1785" s="6"/>
      <c r="AK1785" s="6"/>
      <c r="AL1785" s="6"/>
      <c r="AM1785" s="6"/>
    </row>
    <row r="1786">
      <c r="A1786" s="6">
        <v>1785.0</v>
      </c>
      <c r="B1786" s="6" t="str">
        <f>IFERROR(__xludf.DUMMYFUNCTION("""COMPUTED_VALUE"""),"Воспитатель МБДОУ ")</f>
        <v>Воспитатель МБДОУ </v>
      </c>
      <c r="C1786" s="6" t="str">
        <f>IFERROR(__xludf.DUMMYFUNCTION("""COMPUTED_VALUE"""),"Бильярд")</f>
        <v>Бильярд</v>
      </c>
      <c r="D1786" s="6" t="str">
        <f>IFERROR(__xludf.DUMMYFUNCTION("""COMPUTED_VALUE"""),"Граница Центрального и Ленинского иайонов")</f>
        <v>Граница Центрального и Ленинского иайонов</v>
      </c>
      <c r="E1786" s="6" t="str">
        <f>IFERROR(__xludf.DUMMYFUNCTION("""COMPUTED_VALUE"""),"Кадетский корпус, баня Бодрость")</f>
        <v>Кадетский корпус, баня Бодрость</v>
      </c>
      <c r="F1786" s="6" t="str">
        <f>IFERROR(__xludf.DUMMYFUNCTION("""COMPUTED_VALUE"""),"Переехал сюда из другого места (откуда? укажите в графе другое), Более 30ти лет назад переехала из города Междуреченск. ")</f>
        <v>Переехал сюда из другого места (откуда? укажите в графе другое), Более 30ти лет назад переехала из города Междуреченск. </v>
      </c>
      <c r="G1786" s="6" t="str">
        <f>IFERROR(__xludf.DUMMYFUNCTION("""COMPUTED_VALUE"""),"С мужем любим гулять по новому Московскому проспекту, по бульвар Строителей. ")</f>
        <v>С мужем любим гулять по новому Московскому проспекту, по бульвар Строителей. </v>
      </c>
      <c r="H1786" s="6" t="str">
        <f>IFERROR(__xludf.DUMMYFUNCTION("""COMPUTED_VALUE"""),"Набережная, Весенняя, Лапландия, парк Жукова, гора Люскус")</f>
        <v>Набережная, Весенняя, Лапландия, парк Жукова, гора Люскус</v>
      </c>
      <c r="I1786" s="6" t="str">
        <f>IFERROR(__xludf.DUMMYFUNCTION("""COMPUTED_VALUE"""),"Михайло Волков")</f>
        <v>Михайло Волков</v>
      </c>
      <c r="J1786" s="6" t="str">
        <f>IFERROR(__xludf.DUMMYFUNCTION("""COMPUTED_VALUE"""),"Наш губернатор)) С его приходом город просто не узнать👌")</f>
        <v>Наш губернатор)) С его приходом город просто не узнать👌</v>
      </c>
      <c r="K1786" s="6" t="str">
        <f>IFERROR(__xludf.DUMMYFUNCTION("""COMPUTED_VALUE"""),"В основном это центр нашего города,   стройка нового Притомского проспекта ")</f>
        <v>В основном это центр нашего города,   стройка нового Притомского проспекта </v>
      </c>
      <c r="L1786" s="6" t="str">
        <f>IFERROR(__xludf.DUMMYFUNCTION("""COMPUTED_VALUE"""),"Честно 🤔не знаю ")</f>
        <v>Честно 🤔не знаю </v>
      </c>
      <c r="M1786" s="6" t="str">
        <f>IFERROR(__xludf.DUMMYFUNCTION("""COMPUTED_VALUE"""),"Нет")</f>
        <v>Нет</v>
      </c>
      <c r="N1786" s="6" t="str">
        <f>IFERROR(__xludf.DUMMYFUNCTION("""COMPUTED_VALUE"""),"Дороги, детские площадки, парковки, парки, пляж")</f>
        <v>Дороги, детские площадки, парковки, парки, пляж</v>
      </c>
      <c r="O1786" s="6" t="str">
        <f>IFERROR(__xludf.DUMMYFUNCTION("""COMPUTED_VALUE"""),"Во дворах сделать комфортные детские площадки, скоро лето, а детям гулять негде. СибДепо")</f>
        <v>Во дворах сделать комфортные детские площадки, скоро лето, а детям гулять негде. СибДепо</v>
      </c>
      <c r="P1786" s="6" t="str">
        <f>IFERROR(__xludf.DUMMYFUNCTION("""COMPUTED_VALUE"""),"СибДепо, телеканал Кузбасс ")</f>
        <v>СибДепо, телеканал Кузбасс </v>
      </c>
      <c r="Q1786" s="6" t="str">
        <f>IFERROR(__xludf.DUMMYFUNCTION("""COMPUTED_VALUE"""),"куда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f>
        <v>куда пойти в свободное время, культурные новинки (что почитать/что послушать), интервью с экспертами на разные темы (напишите в разделе Другое свои предложения)</v>
      </c>
      <c r="R1786" s="6" t="str">
        <f>IFERROR(__xludf.DUMMYFUNCTION("""COMPUTED_VALUE"""),"День города ")</f>
        <v>День города </v>
      </c>
      <c r="S1786" s="6" t="str">
        <f>IFERROR(__xludf.DUMMYFUNCTION("""COMPUTED_VALUE"""),"Нет, не приходилось")</f>
        <v>Нет, не приходилось</v>
      </c>
      <c r="T1786" s="6" t="str">
        <f>IFERROR(__xludf.DUMMYFUNCTION("""COMPUTED_VALUE"""),"Столица Кузбасса ")</f>
        <v>Столица Кузбасса </v>
      </c>
      <c r="U1786" s="6" t="str">
        <f>IFERROR(__xludf.DUMMYFUNCTION("""COMPUTED_VALUE"""),"Улица Весенняя ")</f>
        <v>Улица Весенняя </v>
      </c>
      <c r="V1786" s="6" t="str">
        <f>IFERROR(__xludf.DUMMYFUNCTION("""COMPUTED_VALUE"""),"Совершенствовали его. ")</f>
        <v>Совершенствовали его. </v>
      </c>
      <c r="W1786" s="6" t="str">
        <f>IFERROR(__xludf.DUMMYFUNCTION("""COMPUTED_VALUE"""),"К сожалению, сейчас стали нервные и раздраженные. Город расцветает, а многие хотят, чтобы деньги им в карман шли. ")</f>
        <v>К сожалению, сейчас стали нервные и раздраженные. Город расцветает, а многие хотят, чтобы деньги им в карман шли. </v>
      </c>
      <c r="X1786" s="6" t="str">
        <f>IFERROR(__xludf.DUMMYFUNCTION("""COMPUTED_VALUE"""),"Ну конечно же моя любимая улица Весенняя 👌")</f>
        <v>Ну конечно же моя любимая улица Весенняя 👌</v>
      </c>
      <c r="Y1786" s="6" t="str">
        <f>IFERROR(__xludf.DUMMYFUNCTION("""COMPUTED_VALUE"""),"К сожалению, на ум ничего не приходит ")</f>
        <v>К сожалению, на ум ничего не приходит </v>
      </c>
      <c r="Z1786" s="6" t="str">
        <f>IFERROR(__xludf.DUMMYFUNCTION("""COMPUTED_VALUE"""),"Пандемия затмила все позитивное")</f>
        <v>Пандемия затмила все позитивное</v>
      </c>
      <c r="AA1786" s="6" t="str">
        <f>IFERROR(__xludf.DUMMYFUNCTION("""COMPUTED_VALUE"""),"Пожар Зимней вишни. Это наша беда и позор очень надолго. ")</f>
        <v>Пожар Зимней вишни. Это наша беда и позор очень надолго. </v>
      </c>
      <c r="AB1786" s="6" t="str">
        <f>IFERROR(__xludf.DUMMYFUNCTION("""COMPUTED_VALUE"""),"Не могу ответить ")</f>
        <v>Не могу ответить </v>
      </c>
      <c r="AC1786" s="6" t="str">
        <f>IFERROR(__xludf.DUMMYFUNCTION("""COMPUTED_VALUE"""),"Карнавальные шествия😁")</f>
        <v>Карнавальные шествия😁</v>
      </c>
      <c r="AD178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786" s="6" t="str">
        <f>IFERROR(__xludf.DUMMYFUNCTION("""COMPUTED_VALUE"""),"Женский")</f>
        <v>Женский</v>
      </c>
      <c r="AF1786" s="6" t="str">
        <f>IFERROR(__xludf.DUMMYFUNCTION("""COMPUTED_VALUE"""),"45-55")</f>
        <v>45-55</v>
      </c>
      <c r="AG1786" s="6"/>
      <c r="AH1786" s="6"/>
      <c r="AI1786" s="6"/>
      <c r="AJ1786" s="6"/>
      <c r="AK1786" s="6"/>
      <c r="AL1786" s="6"/>
      <c r="AM1786" s="6"/>
    </row>
    <row r="1787">
      <c r="A1787" s="6">
        <v>1786.0</v>
      </c>
      <c r="B1787" s="6" t="str">
        <f>IFERROR(__xludf.DUMMYFUNCTION("""COMPUTED_VALUE"""),"Работаю, учусь ")</f>
        <v>Работаю, учусь </v>
      </c>
      <c r="C1787" s="6" t="str">
        <f>IFERROR(__xludf.DUMMYFUNCTION("""COMPUTED_VALUE"""),"Искусство, живопись ")</f>
        <v>Искусство, живопись </v>
      </c>
      <c r="D1787" s="6" t="str">
        <f>IFERROR(__xludf.DUMMYFUNCTION("""COMPUTED_VALUE"""),"В центральном, центр ")</f>
        <v>В центральном, центр </v>
      </c>
      <c r="E1787" s="6" t="str">
        <f>IFERROR(__xludf.DUMMYFUNCTION("""COMPUTED_VALUE"""),"Весенняя улица, театр драмы, набережная ")</f>
        <v>Весенняя улица, театр драмы, набережная </v>
      </c>
      <c r="F1787" s="6" t="str">
        <f>IFERROR(__xludf.DUMMYFUNCTION("""COMPUTED_VALUE"""),"Переехал сюда из другого места (откуда? укажите в графе другое), Из Березовского приехала учиться ")</f>
        <v>Переехал сюда из другого места (откуда? укажите в графе другое), Из Березовского приехала учиться </v>
      </c>
      <c r="G1787" s="6" t="str">
        <f>IFERROR(__xludf.DUMMYFUNCTION("""COMPUTED_VALUE"""),"Гуляю по старому центру ")</f>
        <v>Гуляю по старому центру </v>
      </c>
      <c r="H1787" s="6" t="str">
        <f>IFERROR(__xludf.DUMMYFUNCTION("""COMPUTED_VALUE"""),"Старый центр, река, левый и правый берег ")</f>
        <v>Старый центр, река, левый и правый берег </v>
      </c>
      <c r="I1787" s="6" t="str">
        <f>IFERROR(__xludf.DUMMYFUNCTION("""COMPUTED_VALUE"""),"Борис Бурмистров ")</f>
        <v>Борис Бурмистров </v>
      </c>
      <c r="J1787" s="6" t="str">
        <f>IFERROR(__xludf.DUMMYFUNCTION("""COMPUTED_VALUE"""),"Гришковец, Тюпа, Ходанен, Сидорин ")</f>
        <v>Гришковец, Тюпа, Ходанен, Сидорин </v>
      </c>
      <c r="K1787" s="6" t="str">
        <f>IFERROR(__xludf.DUMMYFUNCTION("""COMPUTED_VALUE"""),"Улица Кирова, Весенняя, театр драмы, театр для детей и молодёжи, набережная ")</f>
        <v>Улица Кирова, Весенняя, театр драмы, театр для детей и молодёжи, набережная </v>
      </c>
      <c r="L1787" s="6" t="str">
        <f>IFERROR(__xludf.DUMMYFUNCTION("""COMPUTED_VALUE"""),". ")</f>
        <v>. </v>
      </c>
      <c r="M1787" s="6" t="str">
        <f>IFERROR(__xludf.DUMMYFUNCTION("""COMPUTED_VALUE"""),"Нет")</f>
        <v>Нет</v>
      </c>
      <c r="N1787" s="6" t="str">
        <f>IFERROR(__xludf.DUMMYFUNCTION("""COMPUTED_VALUE"""),"Транспортная развязка, круглосуточный магазины и аптеки в шаговой доступности, общественный транспорт до 23:00, пешеходные тропы, точки открытого вайфая, розетки у лавочек")</f>
        <v>Транспортная развязка, круглосуточный магазины и аптеки в шаговой доступности, общественный транспорт до 23:00, пешеходные тропы, точки открытого вайфая, розетки у лавочек</v>
      </c>
      <c r="O1787" s="6" t="str">
        <f>IFERROR(__xludf.DUMMYFUNCTION("""COMPUTED_VALUE"""),"Общественный транспорт-маршрутки до 23:00, особенно в летнее время ")</f>
        <v>Общественный транспорт-маршрутки до 23:00, особенно в летнее время </v>
      </c>
      <c r="P1787" s="6" t="str">
        <f>IFERROR(__xludf.DUMMYFUNCTION("""COMPUTED_VALUE"""),"Афиша Кемерово ")</f>
        <v>Афиша Кемерово </v>
      </c>
      <c r="Q1787"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v>
      </c>
      <c r="R1787" s="6" t="str">
        <f>IFERROR(__xludf.DUMMYFUNCTION("""COMPUTED_VALUE"""),"День города, день победы ")</f>
        <v>День города, день победы </v>
      </c>
      <c r="S1787" s="6" t="str">
        <f>IFERROR(__xludf.DUMMYFUNCTION("""COMPUTED_VALUE"""),"Нет, не приходилось")</f>
        <v>Нет, не приходилось</v>
      </c>
      <c r="T1787" s="6" t="str">
        <f>IFERROR(__xludf.DUMMYFUNCTION("""COMPUTED_VALUE"""),"Угольная промышленность")</f>
        <v>Угольная промышленность</v>
      </c>
      <c r="U1787" s="6" t="str">
        <f>IFERROR(__xludf.DUMMYFUNCTION("""COMPUTED_VALUE"""),"Старый центр - улица Весенняя, пр-т Советский, улица Кирова ")</f>
        <v>Старый центр - улица Весенняя, пр-т Советский, улица Кирова </v>
      </c>
      <c r="V1787" s="6" t="str">
        <f>IFERROR(__xludf.DUMMYFUNCTION("""COMPUTED_VALUE"""),"Ничего ")</f>
        <v>Ничего </v>
      </c>
      <c r="W1787" s="6" t="str">
        <f>IFERROR(__xludf.DUMMYFUNCTION("""COMPUTED_VALUE"""),"Завистливые, замкнутые, осуждающие ")</f>
        <v>Завистливые, замкнутые, осуждающие </v>
      </c>
      <c r="X1787" s="6" t="str">
        <f>IFERROR(__xludf.DUMMYFUNCTION("""COMPUTED_VALUE"""),"Старый центр ")</f>
        <v>Старый центр </v>
      </c>
      <c r="Y1787" s="6" t="str">
        <f>IFERROR(__xludf.DUMMYFUNCTION("""COMPUTED_VALUE"""),". ")</f>
        <v>. </v>
      </c>
      <c r="Z1787" s="6" t="str">
        <f>IFERROR(__xludf.DUMMYFUNCTION("""COMPUTED_VALUE"""),". ")</f>
        <v>. </v>
      </c>
      <c r="AA1787" s="6" t="str">
        <f>IFERROR(__xludf.DUMMYFUNCTION("""COMPUTED_VALUE"""),"Пожар в Зимней Вишне и последующий митинг")</f>
        <v>Пожар в Зимней Вишне и последующий митинг</v>
      </c>
      <c r="AB1787" s="6" t="str">
        <f>IFERROR(__xludf.DUMMYFUNCTION("""COMPUTED_VALUE"""),". ")</f>
        <v>. </v>
      </c>
      <c r="AC1787" s="6" t="str">
        <f>IFERROR(__xludf.DUMMYFUNCTION("""COMPUTED_VALUE"""),". ")</f>
        <v>. </v>
      </c>
      <c r="AD1787"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787" s="6" t="str">
        <f>IFERROR(__xludf.DUMMYFUNCTION("""COMPUTED_VALUE"""),"Женский")</f>
        <v>Женский</v>
      </c>
      <c r="AF1787" s="6" t="str">
        <f>IFERROR(__xludf.DUMMYFUNCTION("""COMPUTED_VALUE"""),"18-29")</f>
        <v>18-29</v>
      </c>
      <c r="AG1787" s="6"/>
      <c r="AH1787" s="6"/>
      <c r="AI1787" s="6"/>
      <c r="AJ1787" s="6"/>
      <c r="AK1787" s="6"/>
      <c r="AL1787" s="6"/>
      <c r="AM1787" s="6"/>
    </row>
    <row r="1788">
      <c r="A1788" s="6">
        <v>1787.0</v>
      </c>
      <c r="B1788" s="6" t="str">
        <f>IFERROR(__xludf.DUMMYFUNCTION("""COMPUTED_VALUE"""),"Гл.экономист")</f>
        <v>Гл.экономист</v>
      </c>
      <c r="C1788" s="6" t="str">
        <f>IFERROR(__xludf.DUMMYFUNCTION("""COMPUTED_VALUE"""),"Огород,цветы")</f>
        <v>Огород,цветы</v>
      </c>
      <c r="D1788" s="6" t="str">
        <f>IFERROR(__xludf.DUMMYFUNCTION("""COMPUTED_VALUE"""),"Жр Пионер")</f>
        <v>Жр Пионер</v>
      </c>
      <c r="E1788" s="6" t="str">
        <f>IFERROR(__xludf.DUMMYFUNCTION("""COMPUTED_VALUE"""),"Нет ")</f>
        <v>Нет </v>
      </c>
      <c r="F1788" s="6" t="str">
        <f>IFERROR(__xludf.DUMMYFUNCTION("""COMPUTED_VALUE"""),"Переехал сюда из другого места (откуда? укажите в графе другое), Мыски")</f>
        <v>Переехал сюда из другого места (откуда? укажите в графе другое), Мыски</v>
      </c>
      <c r="G1788" s="6" t="str">
        <f>IFERROR(__xludf.DUMMYFUNCTION("""COMPUTED_VALUE"""),"Гор.сад")</f>
        <v>Гор.сад</v>
      </c>
      <c r="H1788" s="6" t="str">
        <f>IFERROR(__xludf.DUMMYFUNCTION("""COMPUTED_VALUE"""),"Гор.сад,Филармония,фонтан,Драмтеатр,Променад")</f>
        <v>Гор.сад,Филармония,фонтан,Драмтеатр,Променад</v>
      </c>
      <c r="I1788" s="6" t="str">
        <f>IFERROR(__xludf.DUMMYFUNCTION("""COMPUTED_VALUE"""),"Волков")</f>
        <v>Волков</v>
      </c>
      <c r="J1788" s="6" t="str">
        <f>IFERROR(__xludf.DUMMYFUNCTION("""COMPUTED_VALUE"""),"Леонов")</f>
        <v>Леонов</v>
      </c>
      <c r="K1788" s="6" t="str">
        <f>IFERROR(__xludf.DUMMYFUNCTION("""COMPUTED_VALUE"""),"Томская писаница")</f>
        <v>Томская писаница</v>
      </c>
      <c r="L1788" s="6" t="str">
        <f>IFERROR(__xludf.DUMMYFUNCTION("""COMPUTED_VALUE"""),"Затрудняюсь")</f>
        <v>Затрудняюсь</v>
      </c>
      <c r="M1788" s="6" t="str">
        <f>IFERROR(__xludf.DUMMYFUNCTION("""COMPUTED_VALUE"""),"Нет")</f>
        <v>Нет</v>
      </c>
      <c r="N1788" s="6" t="str">
        <f>IFERROR(__xludf.DUMMYFUNCTION("""COMPUTED_VALUE"""),"Быстро и комфортно добираться дом -работа(на данный момент почти каждый день застреваем на переезде),озеленение,чистота в городе,чистый воздух,красивые здания.")</f>
        <v>Быстро и комфортно добираться дом -работа(на данный момент почти каждый день застреваем на переезде),озеленение,чистота в городе,чистый воздух,красивые здания.</v>
      </c>
      <c r="O1788" s="6" t="str">
        <f>IFERROR(__xludf.DUMMYFUNCTION("""COMPUTED_VALUE"""),"Улучшить дороги ,не центр и основные проспекты имею в виду.Ремонт зданий")</f>
        <v>Улучшить дороги ,не центр и основные проспекты имею в виду.Ремонт зданий</v>
      </c>
      <c r="P1788" s="6" t="str">
        <f>IFERROR(__xludf.DUMMYFUNCTION("""COMPUTED_VALUE"""),"Новости,инстограм")</f>
        <v>Новости,инстограм</v>
      </c>
      <c r="Q1788" s="6" t="str">
        <f>IFERROR(__xludf.DUMMYFUNCTION("""COMPUTED_VALUE"""),"городская афиша (кино/театр/концерты), интервью с местными политиками, интервью с экспертами на разные темы (напишите в разделе Другое свои предложения)")</f>
        <v>городская афиша (кино/театр/концерты), интервью с местными политиками, интервью с экспертами на разные темы (напишите в разделе Другое свои предложения)</v>
      </c>
      <c r="R1788" s="6" t="str">
        <f>IFERROR(__xludf.DUMMYFUNCTION("""COMPUTED_VALUE"""),"День города,9мая")</f>
        <v>День города,9мая</v>
      </c>
      <c r="S1788" s="6" t="str">
        <f>IFERROR(__xludf.DUMMYFUNCTION("""COMPUTED_VALUE"""),"Нет, не приходилось")</f>
        <v>Нет, не приходилось</v>
      </c>
      <c r="T1788" s="6" t="str">
        <f>IFERROR(__xludf.DUMMYFUNCTION("""COMPUTED_VALUE"""),"Знаменит наверное трагическим событием(((")</f>
        <v>Знаменит наверное трагическим событием(((</v>
      </c>
      <c r="U1788" s="6" t="str">
        <f>IFERROR(__xludf.DUMMYFUNCTION("""COMPUTED_VALUE"""),"Пл.Кирова,городской сад")</f>
        <v>Пл.Кирова,городской сад</v>
      </c>
      <c r="V1788" s="6" t="str">
        <f>IFERROR(__xludf.DUMMYFUNCTION("""COMPUTED_VALUE"""),"Парки,скверы,театры")</f>
        <v>Парки,скверы,театры</v>
      </c>
      <c r="W1788" s="6" t="str">
        <f>IFERROR(__xludf.DUMMYFUNCTION("""COMPUTED_VALUE"""),"Последнее время опустошенные")</f>
        <v>Последнее время опустошенные</v>
      </c>
      <c r="X1788" s="6" t="str">
        <f>IFERROR(__xludf.DUMMYFUNCTION("""COMPUTED_VALUE"""),"Центр (Кирова,Весенняя)")</f>
        <v>Центр (Кирова,Весенняя)</v>
      </c>
      <c r="Y1788" s="6" t="str">
        <f>IFERROR(__xludf.DUMMYFUNCTION("""COMPUTED_VALUE"""),"Затрудняюсь ответить")</f>
        <v>Затрудняюсь ответить</v>
      </c>
      <c r="Z1788" s="6" t="str">
        <f>IFERROR(__xludf.DUMMYFUNCTION("""COMPUTED_VALUE"""),"Обновление города")</f>
        <v>Обновление города</v>
      </c>
      <c r="AA1788" s="6" t="str">
        <f>IFERROR(__xludf.DUMMYFUNCTION("""COMPUTED_VALUE"""),"Не припомню")</f>
        <v>Не припомню</v>
      </c>
      <c r="AB1788" s="6" t="str">
        <f>IFERROR(__xludf.DUMMYFUNCTION("""COMPUTED_VALUE"""),"Занятость подростков")</f>
        <v>Занятость подростков</v>
      </c>
      <c r="AC1788" s="6" t="str">
        <f>IFERROR(__xludf.DUMMYFUNCTION("""COMPUTED_VALUE"""),"Культурные мероприятия")</f>
        <v>Культурные мероприятия</v>
      </c>
      <c r="AD178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788" s="6" t="str">
        <f>IFERROR(__xludf.DUMMYFUNCTION("""COMPUTED_VALUE"""),"Женский")</f>
        <v>Женский</v>
      </c>
      <c r="AF1788" s="6" t="str">
        <f>IFERROR(__xludf.DUMMYFUNCTION("""COMPUTED_VALUE"""),"30-44")</f>
        <v>30-44</v>
      </c>
      <c r="AG1788" s="6"/>
      <c r="AH1788" s="6"/>
      <c r="AI1788" s="6"/>
      <c r="AJ1788" s="6"/>
      <c r="AK1788" s="6"/>
      <c r="AL1788" s="6"/>
      <c r="AM1788" s="6"/>
    </row>
    <row r="1789">
      <c r="A1789" s="6">
        <v>1788.0</v>
      </c>
      <c r="B1789" s="6" t="str">
        <f>IFERROR(__xludf.DUMMYFUNCTION("""COMPUTED_VALUE"""),"Водитель газели")</f>
        <v>Водитель газели</v>
      </c>
      <c r="C1789" s="6" t="str">
        <f>IFERROR(__xludf.DUMMYFUNCTION("""COMPUTED_VALUE"""),"Футбол")</f>
        <v>Футбол</v>
      </c>
      <c r="D1789" s="6" t="str">
        <f>IFERROR(__xludf.DUMMYFUNCTION("""COMPUTED_VALUE"""),"Южный 
Лучший район Кемерово")</f>
        <v>Южный 
Лучший район Кемерово</v>
      </c>
      <c r="E1789" s="6" t="str">
        <f>IFERROR(__xludf.DUMMYFUNCTION("""COMPUTED_VALUE"""),"Памятник Гагарину ")</f>
        <v>Памятник Гагарину </v>
      </c>
      <c r="F1789" s="6" t="str">
        <f>IFERROR(__xludf.DUMMYFUNCTION("""COMPUTED_VALUE"""),"Живу здесь с рождения")</f>
        <v>Живу здесь с рождения</v>
      </c>
      <c r="G1789" s="6" t="str">
        <f>IFERROR(__xludf.DUMMYFUNCTION("""COMPUTED_VALUE"""),"Набережная")</f>
        <v>Набережная</v>
      </c>
      <c r="H1789" s="6" t="str">
        <f>IFERROR(__xludf.DUMMYFUNCTION("""COMPUTED_VALUE"""),"Экология, мусор, стройка, грязь, лес ")</f>
        <v>Экология, мусор, стройка, грязь, лес </v>
      </c>
      <c r="I1789" s="6" t="str">
        <f>IFERROR(__xludf.DUMMYFUNCTION("""COMPUTED_VALUE"""),"Леонов ")</f>
        <v>Леонов </v>
      </c>
      <c r="J1789" s="6" t="str">
        <f>IFERROR(__xludf.DUMMYFUNCTION("""COMPUTED_VALUE"""),"Нету ")</f>
        <v>Нету </v>
      </c>
      <c r="K1789" s="6" t="str">
        <f>IFERROR(__xludf.DUMMYFUNCTION("""COMPUTED_VALUE"""),"Вечный огонь")</f>
        <v>Вечный огонь</v>
      </c>
      <c r="L1789" s="6" t="str">
        <f>IFERROR(__xludf.DUMMYFUNCTION("""COMPUTED_VALUE"""),"....")</f>
        <v>....</v>
      </c>
      <c r="M1789" s="6" t="str">
        <f>IFERROR(__xludf.DUMMYFUNCTION("""COMPUTED_VALUE"""),"Чё")</f>
        <v>Чё</v>
      </c>
      <c r="N1789" s="6" t="str">
        <f>IFERROR(__xludf.DUMMYFUNCTION("""COMPUTED_VALUE"""),"Чистота в городе, хорошая экология ")</f>
        <v>Чистота в городе, хорошая экология </v>
      </c>
      <c r="O1789" s="6" t="str">
        <f>IFERROR(__xludf.DUMMYFUNCTION("""COMPUTED_VALUE"""),"Экологию")</f>
        <v>Экологию</v>
      </c>
      <c r="P1789" s="6" t="str">
        <f>IFERROR(__xludf.DUMMYFUNCTION("""COMPUTED_VALUE"""),"Инстаграм")</f>
        <v>Инстаграм</v>
      </c>
      <c r="Q1789" s="6" t="str">
        <f>IFERROR(__xludf.DUMMYFUNCTION("""COMPUTED_VALUE"""),"куда пойти в свободное время, интервью с местными творческими личностями, бизнес-новости (средний чек/рекламные акции/запуск новых предприятий)")</f>
        <v>куда пойти в свободное время, интервью с местными творческими личностями, бизнес-новости (средний чек/рекламные акции/запуск новых предприятий)</v>
      </c>
      <c r="R1789" s="6" t="str">
        <f>IFERROR(__xludf.DUMMYFUNCTION("""COMPUTED_VALUE"""),"День города, 9 мая ")</f>
        <v>День города, 9 мая </v>
      </c>
      <c r="S1789" s="6" t="str">
        <f>IFERROR(__xludf.DUMMYFUNCTION("""COMPUTED_VALUE"""),"Нет, не приходилось")</f>
        <v>Нет, не приходилось</v>
      </c>
      <c r="T1789" s="6" t="str">
        <f>IFERROR(__xludf.DUMMYFUNCTION("""COMPUTED_VALUE"""),"Зимняя вишня")</f>
        <v>Зимняя вишня</v>
      </c>
      <c r="U1789" s="6" t="str">
        <f>IFERROR(__xludf.DUMMYFUNCTION("""COMPUTED_VALUE"""),"Проспект Советский ")</f>
        <v>Проспект Советский </v>
      </c>
      <c r="V1789" s="6" t="str">
        <f>IFERROR(__xludf.DUMMYFUNCTION("""COMPUTED_VALUE"""),"Не знаю")</f>
        <v>Не знаю</v>
      </c>
      <c r="W1789" s="6" t="str">
        <f>IFERROR(__xludf.DUMMYFUNCTION("""COMPUTED_VALUE"""),"Сильные и храбрые люди ")</f>
        <v>Сильные и храбрые люди </v>
      </c>
      <c r="X1789" s="6" t="str">
        <f>IFERROR(__xludf.DUMMYFUNCTION("""COMPUTED_VALUE"""),"Весь центр ")</f>
        <v>Весь центр </v>
      </c>
      <c r="Y1789" s="6" t="str">
        <f>IFERROR(__xludf.DUMMYFUNCTION("""COMPUTED_VALUE"""),"Зимняя вишня")</f>
        <v>Зимняя вишня</v>
      </c>
      <c r="Z1789" s="6" t="str">
        <f>IFERROR(__xludf.DUMMYFUNCTION("""COMPUTED_VALUE"""),"Ничего не было ")</f>
        <v>Ничего не было </v>
      </c>
      <c r="AA1789" s="6" t="str">
        <f>IFERROR(__xludf.DUMMYFUNCTION("""COMPUTED_VALUE"""),"Не было ")</f>
        <v>Не было </v>
      </c>
      <c r="AB1789" s="6" t="str">
        <f>IFERROR(__xludf.DUMMYFUNCTION("""COMPUTED_VALUE"""),"Автомобильных ")</f>
        <v>Автомобильных </v>
      </c>
      <c r="AC1789" s="6" t="str">
        <f>IFERROR(__xludf.DUMMYFUNCTION("""COMPUTED_VALUE"""),"Дешёвый бензин ")</f>
        <v>Дешёвый бензин </v>
      </c>
      <c r="AD178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89" s="6" t="str">
        <f>IFERROR(__xludf.DUMMYFUNCTION("""COMPUTED_VALUE"""),"Мужской")</f>
        <v>Мужской</v>
      </c>
      <c r="AF1789" s="6" t="str">
        <f>IFERROR(__xludf.DUMMYFUNCTION("""COMPUTED_VALUE"""),"18-29")</f>
        <v>18-29</v>
      </c>
      <c r="AG1789" s="6"/>
      <c r="AH1789" s="6"/>
      <c r="AI1789" s="6"/>
      <c r="AJ1789" s="6"/>
      <c r="AK1789" s="6"/>
      <c r="AL1789" s="6"/>
      <c r="AM1789" s="6"/>
    </row>
    <row r="1790">
      <c r="A1790" s="6">
        <v>1789.0</v>
      </c>
      <c r="B1790" s="6" t="str">
        <f>IFERROR(__xludf.DUMMYFUNCTION("""COMPUTED_VALUE"""),"Участковый ")</f>
        <v>Участковый </v>
      </c>
      <c r="C1790" s="6" t="str">
        <f>IFERROR(__xludf.DUMMYFUNCTION("""COMPUTED_VALUE"""),"Отдыхать ")</f>
        <v>Отдыхать </v>
      </c>
      <c r="D1790" s="6" t="str">
        <f>IFERROR(__xludf.DUMMYFUNCTION("""COMPUTED_VALUE"""),"Грязный центр")</f>
        <v>Грязный центр</v>
      </c>
      <c r="E1790" s="6" t="str">
        <f>IFERROR(__xludf.DUMMYFUNCTION("""COMPUTED_VALUE"""),"Бычки, по всюду)")</f>
        <v>Бычки, по всюду)</v>
      </c>
      <c r="F1790" s="6" t="str">
        <f>IFERROR(__xludf.DUMMYFUNCTION("""COMPUTED_VALUE"""),"Живу здесь с рождения")</f>
        <v>Живу здесь с рождения</v>
      </c>
      <c r="G1790" s="6" t="str">
        <f>IFERROR(__xludf.DUMMYFUNCTION("""COMPUTED_VALUE"""),"На набережную,  старую и неопрятную")</f>
        <v>На набережную,  старую и неопрятную</v>
      </c>
      <c r="H1790" s="6" t="str">
        <f>IFERROR(__xludf.DUMMYFUNCTION("""COMPUTED_VALUE"""),"Грязь, пыль, дым, ""хорошие"" дороги, деревня")</f>
        <v>Грязь, пыль, дым, "хорошие" дороги, деревня</v>
      </c>
      <c r="I1790" s="6" t="str">
        <f>IFERROR(__xludf.DUMMYFUNCTION("""COMPUTED_VALUE"""),"Зачем этот вопрос вообще? Тут памятники то не моют толком , а вопросы такие задают.")</f>
        <v>Зачем этот вопрос вообще? Тут памятники то не моют толком , а вопросы такие задают.</v>
      </c>
      <c r="J1790" s="6" t="str">
        <f>IFERROR(__xludf.DUMMYFUNCTION("""COMPUTED_VALUE"""),"Тупой вопрос.")</f>
        <v>Тупой вопрос.</v>
      </c>
      <c r="K1790" s="6" t="str">
        <f>IFERROR(__xludf.DUMMYFUNCTION("""COMPUTED_VALUE"""),"Кедровый бор, мини статуя свободы.")</f>
        <v>Кедровый бор, мини статуя свободы.</v>
      </c>
      <c r="L1790" s="6" t="str">
        <f>IFERROR(__xludf.DUMMYFUNCTION("""COMPUTED_VALUE"""),"Ни себе ни людям ")</f>
        <v>Ни себе ни людям </v>
      </c>
      <c r="M1790" s="6" t="str">
        <f>IFERROR(__xludf.DUMMYFUNCTION("""COMPUTED_VALUE"""),"Сфотать ")</f>
        <v>Сфотать </v>
      </c>
      <c r="N1790" s="6" t="str">
        <f>IFERROR(__xludf.DUMMYFUNCTION("""COMPUTED_VALUE"""),"Мотивация для работников, и все станет прекрасно ")</f>
        <v>Мотивация для работников, и все станет прекрасно </v>
      </c>
      <c r="O1790" s="6" t="str">
        <f>IFERROR(__xludf.DUMMYFUNCTION("""COMPUTED_VALUE"""),"Да порядок хотя бы навести ")</f>
        <v>Да порядок хотя бы навести </v>
      </c>
      <c r="P1790" s="6" t="str">
        <f>IFERROR(__xludf.DUMMYFUNCTION("""COMPUTED_VALUE"""),"Инстаграм ")</f>
        <v>Инстаграм </v>
      </c>
      <c r="Q1790" s="6" t="str">
        <f>IFERROR(__xludf.DUMMYFUNCTION("""COMPUTED_VALUE"""),"новости про новые профессии/куда поступать/вакансии, интервью с экспертами на разные темы (напишите в разделе Другое свои предложения)")</f>
        <v>новости про новые профессии/куда поступать/вакансии, интервью с экспертами на разные темы (напишите в разделе Другое свои предложения)</v>
      </c>
      <c r="R1790" s="6" t="str">
        <f>IFERROR(__xludf.DUMMYFUNCTION("""COMPUTED_VALUE"""),"Хах,то когда на день победы не пускают людей посмотреть поближе , и унылый салютик в несколько миллионов рублей, лучше дома посидеть.")</f>
        <v>Хах,то когда на день победы не пускают людей посмотреть поближе , и унылый салютик в несколько миллионов рублей, лучше дома посидеть.</v>
      </c>
      <c r="S1790" s="6" t="str">
        <f>IFERROR(__xludf.DUMMYFUNCTION("""COMPUTED_VALUE"""),"Нет, не приходилось")</f>
        <v>Нет, не приходилось</v>
      </c>
      <c r="T1790" s="6" t="str">
        <f>IFERROR(__xludf.DUMMYFUNCTION("""COMPUTED_VALUE"""),"Ничего, грязный город, изживает себя,  все бегут, даже пару лет назад,  чище на много было, и люди толпами гуляли")</f>
        <v>Ничего, грязный город, изживает себя,  все бегут, даже пару лет назад,  чище на много было, и люди толпами гуляли</v>
      </c>
      <c r="U1790" s="6" t="str">
        <f>IFERROR(__xludf.DUMMYFUNCTION("""COMPUTED_VALUE"""),"Буквы кузбасс")</f>
        <v>Буквы кузбасс</v>
      </c>
      <c r="V1790" s="6" t="str">
        <f>IFERROR(__xludf.DUMMYFUNCTION("""COMPUTED_VALUE"""),"Ничего ")</f>
        <v>Ничего </v>
      </c>
      <c r="W1790" s="6" t="str">
        <f>IFERROR(__xludf.DUMMYFUNCTION("""COMPUTED_VALUE"""),"Как и все ")</f>
        <v>Как и все </v>
      </c>
      <c r="X1790" s="6" t="str">
        <f>IFERROR(__xludf.DUMMYFUNCTION("""COMPUTED_VALUE"""),"На свалке гулять без разницы в каком направлении ")</f>
        <v>На свалке гулять без разницы в каком направлении </v>
      </c>
      <c r="Y1790" s="6" t="str">
        <f>IFERROR(__xludf.DUMMYFUNCTION("""COMPUTED_VALUE"""),"Мост кузнецкий построили , ещё бы парочку ")</f>
        <v>Мост кузнецкий построили , ещё бы парочку </v>
      </c>
      <c r="Z1790" s="6" t="str">
        <f>IFERROR(__xludf.DUMMYFUNCTION("""COMPUTED_VALUE"""),"Да какой тут позитив, когда за маски штрафуют")</f>
        <v>Да какой тут позитив, когда за маски штрафуют</v>
      </c>
      <c r="AA1790" s="6" t="str">
        <f>IFERROR(__xludf.DUMMYFUNCTION("""COMPUTED_VALUE"""),"Все обыденно, сплошной негатив")</f>
        <v>Все обыденно, сплошной негатив</v>
      </c>
      <c r="AB1790" s="6" t="str">
        <f>IFERROR(__xludf.DUMMYFUNCTION("""COMPUTED_VALUE"""),"Сообществ дворников ")</f>
        <v>Сообществ дворников </v>
      </c>
      <c r="AC1790" s="6" t="str">
        <f>IFERROR(__xludf.DUMMYFUNCTION("""COMPUTED_VALUE"""),"Фантан отключать хотя бы в 03-00 ч, так как молодёжь гуляет до утра, потому что днем ей гулять запрещено ")</f>
        <v>Фантан отключать хотя бы в 03-00 ч, так как молодёжь гуляет до утра, потому что днем ей гулять запрещено </v>
      </c>
      <c r="AD179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90" s="6" t="str">
        <f>IFERROR(__xludf.DUMMYFUNCTION("""COMPUTED_VALUE"""),"Мужской")</f>
        <v>Мужской</v>
      </c>
      <c r="AF1790" s="6" t="str">
        <f>IFERROR(__xludf.DUMMYFUNCTION("""COMPUTED_VALUE"""),"30-44")</f>
        <v>30-44</v>
      </c>
      <c r="AG1790" s="6"/>
      <c r="AH1790" s="6"/>
      <c r="AI1790" s="6"/>
      <c r="AJ1790" s="6"/>
      <c r="AK1790" s="6"/>
      <c r="AL1790" s="6"/>
      <c r="AM1790" s="6"/>
    </row>
    <row r="1791">
      <c r="A1791" s="6">
        <v>1790.0</v>
      </c>
      <c r="B1791" s="6" t="str">
        <f>IFERROR(__xludf.DUMMYFUNCTION("""COMPUTED_VALUE"""),"Врач")</f>
        <v>Врач</v>
      </c>
      <c r="C1791" s="6" t="str">
        <f>IFERROR(__xludf.DUMMYFUNCTION("""COMPUTED_VALUE"""),"Нумезмат")</f>
        <v>Нумезмат</v>
      </c>
      <c r="D1791" s="6" t="str">
        <f>IFERROR(__xludf.DUMMYFUNCTION("""COMPUTED_VALUE"""),"63 года жила в Кировском, сейчас в Центральном")</f>
        <v>63 года жила в Кировском, сейчас в Центральном</v>
      </c>
      <c r="E1791" s="6" t="str">
        <f>IFERROR(__xludf.DUMMYFUNCTION("""COMPUTED_VALUE"""),"Школа 82, улица Леонова")</f>
        <v>Школа 82, улица Леонова</v>
      </c>
      <c r="F1791" s="6" t="str">
        <f>IFERROR(__xludf.DUMMYFUNCTION("""COMPUTED_VALUE"""),"Живу здесь с рождения")</f>
        <v>Живу здесь с рождения</v>
      </c>
      <c r="G1791" s="6" t="str">
        <f>IFERROR(__xludf.DUMMYFUNCTION("""COMPUTED_VALUE"""),"Набережные, парки, сосновый бор")</f>
        <v>Набережные, парки, сосновый бор</v>
      </c>
      <c r="H1791" s="6" t="str">
        <f>IFERROR(__xludf.DUMMYFUNCTION("""COMPUTED_VALUE"""),"Современный, красивый, молодой, зеленый, на сегодня многоэтажный, а в некоторых местах "" деревня Кемерово""")</f>
        <v>Современный, красивый, молодой, зеленый, на сегодня многоэтажный, а в некоторых местах " деревня Кемерово"</v>
      </c>
      <c r="I1791" s="6" t="str">
        <f>IFERROR(__xludf.DUMMYFUNCTION("""COMPUTED_VALUE"""),"Михайло Волков, Вера Волошина, 
В. Мартемьянов")</f>
        <v>Михайло Волков, Вера Волошина, 
В. Мартемьянов</v>
      </c>
      <c r="J1791" s="6" t="str">
        <f>IFERROR(__xludf.DUMMYFUNCTION("""COMPUTED_VALUE"""),"Мэры нашего города, А.Г. Тулеев, горожане в честь которых названы улицы города Заузелков, Александров.")</f>
        <v>Мэры нашего города, А.Г. Тулеев, горожане в честь которых названы улицы города Заузелков, Александров.</v>
      </c>
      <c r="K1791" s="6" t="str">
        <f>IFERROR(__xludf.DUMMYFUNCTION("""COMPUTED_VALUE"""),"Думаю, что достопримечательности будут официальные")</f>
        <v>Думаю, что достопримечательности будут официальные</v>
      </c>
      <c r="L1791" s="6" t="str">
        <f>IFERROR(__xludf.DUMMYFUNCTION("""COMPUTED_VALUE"""),"Во времена когда работали все предприятия расположенные по обоим берегам реки Томь, говорили, что Кемерово- город молодых и веселых... (дальше грусно).  Почему веселых? Потому что, когда ветер дует с левого берега на правый радуются левобережные, а когда "&amp;"наоборт, веселятся правобережные. А почему молодых? Так от сильной загазованности больше 40 лет не живут... Сейчас конечно чище воздух нашего города, но в памяти те тяжелые времена хранятся.")</f>
        <v>Во времена когда работали все предприятия расположенные по обоим берегам реки Томь, говорили, что Кемерово- город молодых и веселых... (дальше грусно).  Почему веселых? Потому что, когда ветер дует с левого берега на правый радуются левобережные, а когда наоборт, веселятся правобережные. А почему молодых? Так от сильной загазованности больше 40 лет не живут... Сейчас конечно чище воздух нашего города, но в памяти те тяжелые времена хранятся.</v>
      </c>
      <c r="M1791" s="6" t="str">
        <f>IFERROR(__xludf.DUMMYFUNCTION("""COMPUTED_VALUE"""),"У меня таких нет.")</f>
        <v>У меня таких нет.</v>
      </c>
      <c r="N1791" s="6" t="str">
        <f>IFERROR(__xludf.DUMMYFUNCTION("""COMPUTED_VALUE"""),"Достаточно хорошо организовано: транспортное сообщение, особенно с 2021г.; служба ЖКХ; всегда можно организовать досуг; есть где заняться спортом; при необходимости доступна любая необходимая медицинская помощь.")</f>
        <v>Достаточно хорошо организовано: транспортное сообщение, особенно с 2021г.; служба ЖКХ; всегда можно организовать досуг; есть где заняться спортом; при необходимости доступна любая необходимая медицинская помощь.</v>
      </c>
      <c r="O1791" s="6" t="str">
        <f>IFERROR(__xludf.DUMMYFUNCTION("""COMPUTED_VALUE"""),"Мне, как уроженцу Кировского района, хотелось бы увидеть облагороженной часть березовой рощи, которая находится между улицами Леонова и Инициативная")</f>
        <v>Мне, как уроженцу Кировского района, хотелось бы увидеть облагороженной часть березовой рощи, которая находится между улицами Леонова и Инициативная</v>
      </c>
      <c r="P1791" s="6" t="str">
        <f>IFERROR(__xludf.DUMMYFUNCTION("""COMPUTED_VALUE"""),"СМИ,  НОВЫЕ РЕКЛАМНЫЕ ЭКРАНЫ")</f>
        <v>СМИ,  НОВЫЕ РЕКЛАМНЫЕ ЭКРАНЫ</v>
      </c>
      <c r="Q1791"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791" s="6" t="str">
        <f>IFERROR(__xludf.DUMMYFUNCTION("""COMPUTED_VALUE"""),"Наша семья считает важными все общегородские поаздники")</f>
        <v>Наша семья считает важными все общегородские поаздники</v>
      </c>
      <c r="S1791" s="6" t="str">
        <f>IFERROR(__xludf.DUMMYFUNCTION("""COMPUTED_VALUE"""),"Обращался в редакции городских газет, телевидения, радио")</f>
        <v>Обращался в редакции городских газет, телевидения, радио</v>
      </c>
      <c r="T1791" s="6" t="str">
        <f>IFERROR(__xludf.DUMMYFUNCTION("""COMPUTED_VALUE"""),"Центр, шахтерская столица КУЗБАССА, так знают больше, может быть в этом его уникальность")</f>
        <v>Центр, шахтерская столица КУЗБАССА, так знают больше, может быть в этом его уникальность</v>
      </c>
      <c r="U1791" s="6" t="str">
        <f>IFERROR(__xludf.DUMMYFUNCTION("""COMPUTED_VALUE"""),"Театральная площадь с фонтаном, ул. Весенняя. В Кировском районе ул. 40 лет Октября")</f>
        <v>Театральная площадь с фонтаном, ул. Весенняя. В Кировском районе ул. 40 лет Октября</v>
      </c>
      <c r="V1791" s="6" t="str">
        <f>IFERROR(__xludf.DUMMYFUNCTION("""COMPUTED_VALUE"""),"Сейчас в городе много разных памятников, которые не дадут будущим поколениям забыть связанные с прошлым даты, события и людей")</f>
        <v>Сейчас в городе много разных памятников, которые не дадут будущим поколениям забыть связанные с прошлым даты, события и людей</v>
      </c>
      <c r="W1791" s="6" t="str">
        <f>IFERROR(__xludf.DUMMYFUNCTION("""COMPUTED_VALUE"""),"Доброжелательные, гостеприимные,  заботливые, активные, счастливые как и все кузбассовцы и россияне")</f>
        <v>Доброжелательные, гостеприимные,  заботливые, активные, счастливые как и все кузбассовцы и россияне</v>
      </c>
      <c r="X1791" s="6" t="str">
        <f>IFERROR(__xludf.DUMMYFUNCTION("""COMPUTED_VALUE"""),"Площадь Советов-филармония-набережная-  Красная горка")</f>
        <v>Площадь Советов-филармония-набережная-  Красная горка</v>
      </c>
      <c r="Y1791" s="6" t="str">
        <f>IFERROR(__xludf.DUMMYFUNCTION("""COMPUTED_VALUE"""),"Для меня очень памятное событие- это памятник кузбассовцам павшим в боях ВОВ с вечным огнем, где, будучи школьниками, мы стояли на посту 1 и в стужу и в зной")</f>
        <v>Для меня очень памятное событие- это памятник кузбассовцам павшим в боях ВОВ с вечным огнем, где, будучи школьниками, мы стояли на посту 1 и в стужу и в зной</v>
      </c>
      <c r="Z1791" s="6" t="str">
        <f>IFERROR(__xludf.DUMMYFUNCTION("""COMPUTED_VALUE"""),"Нравится, что , наконец-то центр города будет приведен в должный порядок")</f>
        <v>Нравится, что , наконец-то центр города будет приведен в должный порядок</v>
      </c>
      <c r="AA1791" s="6" t="str">
        <f>IFERROR(__xludf.DUMMYFUNCTION("""COMPUTED_VALUE"""),"Таких не было.")</f>
        <v>Таких не было.</v>
      </c>
      <c r="AB1791" s="6" t="str">
        <f>IFERROR(__xludf.DUMMYFUNCTION("""COMPUTED_VALUE"""),"Мне достаточно.")</f>
        <v>Мне достаточно.</v>
      </c>
      <c r="AC1791" s="6" t="str">
        <f>IFERROR(__xludf.DUMMYFUNCTION("""COMPUTED_VALUE"""),"На мой взгляд событий и мероприятий в городе организуют много, но нет доступной информации для всех категорий кемеровчан")</f>
        <v>На мой взгляд событий и мероприятий в городе организуют много, но нет доступной информации для всех категорий кемеровчан</v>
      </c>
      <c r="AD179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91" s="6" t="str">
        <f>IFERROR(__xludf.DUMMYFUNCTION("""COMPUTED_VALUE"""),"Женский")</f>
        <v>Женский</v>
      </c>
      <c r="AF1791" s="6" t="str">
        <f>IFERROR(__xludf.DUMMYFUNCTION("""COMPUTED_VALUE"""),"старше 55")</f>
        <v>старше 55</v>
      </c>
      <c r="AG1791" s="6"/>
      <c r="AH1791" s="6"/>
      <c r="AI1791" s="6"/>
      <c r="AJ1791" s="6"/>
      <c r="AK1791" s="6"/>
      <c r="AL1791" s="6"/>
      <c r="AM1791" s="6"/>
    </row>
    <row r="1792">
      <c r="A1792" s="6">
        <v>1791.0</v>
      </c>
      <c r="B1792" s="6" t="str">
        <f>IFERROR(__xludf.DUMMYFUNCTION("""COMPUTED_VALUE"""),"Продажами")</f>
        <v>Продажами</v>
      </c>
      <c r="C1792" s="6" t="str">
        <f>IFERROR(__xludf.DUMMYFUNCTION("""COMPUTED_VALUE"""),"Нет")</f>
        <v>Нет</v>
      </c>
      <c r="D1792" s="6" t="str">
        <f>IFERROR(__xludf.DUMMYFUNCTION("""COMPUTED_VALUE"""),"Южный ")</f>
        <v>Южный </v>
      </c>
      <c r="E1792" s="6" t="str">
        <f>IFERROR(__xludf.DUMMYFUNCTION("""COMPUTED_VALUE"""),"Улица патриотов")</f>
        <v>Улица патриотов</v>
      </c>
      <c r="F1792" s="6" t="str">
        <f>IFERROR(__xludf.DUMMYFUNCTION("""COMPUTED_VALUE"""),"Живу здесь с рождения")</f>
        <v>Живу здесь с рождения</v>
      </c>
      <c r="G1792" s="6" t="str">
        <f>IFERROR(__xludf.DUMMYFUNCTION("""COMPUTED_VALUE"""),"Набережная, комсомольский парк")</f>
        <v>Набережная, комсомольский парк</v>
      </c>
      <c r="H1792" s="6" t="str">
        <f>IFERROR(__xludf.DUMMYFUNCTION("""COMPUTED_VALUE"""),"Томь, уголь, Тулеев, родина, серость")</f>
        <v>Томь, уголь, Тулеев, родина, серость</v>
      </c>
      <c r="I1792" s="6" t="str">
        <f>IFERROR(__xludf.DUMMYFUNCTION("""COMPUTED_VALUE"""),"Тулеев Аман гумирович")</f>
        <v>Тулеев Аман гумирович</v>
      </c>
      <c r="J1792" s="6" t="str">
        <f>IFERROR(__xludf.DUMMYFUNCTION("""COMPUTED_VALUE"""),"Тулеев Аман гумирович")</f>
        <v>Тулеев Аман гумирович</v>
      </c>
      <c r="K1792" s="6" t="str">
        <f>IFERROR(__xludf.DUMMYFUNCTION("""COMPUTED_VALUE"""),"Южный, центральный район, тетр драмы, музей изо")</f>
        <v>Южный, центральный район, тетр драмы, музей изо</v>
      </c>
      <c r="L1792" s="6" t="str">
        <f>IFERROR(__xludf.DUMMYFUNCTION("""COMPUTED_VALUE"""),"Южный - не кому не нужный")</f>
        <v>Южный - не кому не нужный</v>
      </c>
      <c r="M1792" s="6" t="str">
        <f>IFERROR(__xludf.DUMMYFUNCTION("""COMPUTED_VALUE"""),"Нет")</f>
        <v>Нет</v>
      </c>
      <c r="N1792" s="6" t="str">
        <f>IFERROR(__xludf.DUMMYFUNCTION("""COMPUTED_VALUE"""),"Чистота, озеленение, транспотрт, тратуары для бега, велосипедов")</f>
        <v>Чистота, озеленение, транспотрт, тратуары для бега, велосипедов</v>
      </c>
      <c r="O1792" s="6" t="str">
        <f>IFERROR(__xludf.DUMMYFUNCTION("""COMPUTED_VALUE"""),"Медицина, построить заводы и производство, транспорт, убрать пив точки")</f>
        <v>Медицина, построить заводы и производство, транспорт, убрать пив точки</v>
      </c>
      <c r="P1792" s="6" t="str">
        <f>IFERROR(__xludf.DUMMYFUNCTION("""COMPUTED_VALUE"""),"От людей в соцсетях")</f>
        <v>От людей в соцсетях</v>
      </c>
      <c r="Q179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предпринимателями, новости про новые профессии/куда поступать/вакансии, бизнес-новости (средний чек/рекламные акции/з"&amp;"апуск новых предприятий),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792" s="6" t="str">
        <f>IFERROR(__xludf.DUMMYFUNCTION("""COMPUTED_VALUE"""),"Субботник")</f>
        <v>Субботник</v>
      </c>
      <c r="S1792" s="6" t="str">
        <f>IFERROR(__xludf.DUMMYFUNCTION("""COMPUTED_VALUE"""),"Нет, не приходилось")</f>
        <v>Нет, не приходилось</v>
      </c>
      <c r="T1792" s="6" t="str">
        <f>IFERROR(__xludf.DUMMYFUNCTION("""COMPUTED_VALUE"""),"Людьми")</f>
        <v>Людьми</v>
      </c>
      <c r="U1792" s="6" t="str">
        <f>IFERROR(__xludf.DUMMYFUNCTION("""COMPUTED_VALUE"""),"Площадь советов")</f>
        <v>Площадь советов</v>
      </c>
      <c r="V1792" s="6" t="str">
        <f>IFERROR(__xludf.DUMMYFUNCTION("""COMPUTED_VALUE"""),"Трудились")</f>
        <v>Трудились</v>
      </c>
      <c r="W1792" s="6" t="str">
        <f>IFERROR(__xludf.DUMMYFUNCTION("""COMPUTED_VALUE"""),"Уставшие и не добрые")</f>
        <v>Уставшие и не добрые</v>
      </c>
      <c r="X1792" s="6" t="str">
        <f>IFERROR(__xludf.DUMMYFUNCTION("""COMPUTED_VALUE"""),"Набережная")</f>
        <v>Набережная</v>
      </c>
      <c r="Y1792" s="6" t="str">
        <f>IFERROR(__xludf.DUMMYFUNCTION("""COMPUTED_VALUE"""),"Зимняя вишня, смена губернатора")</f>
        <v>Зимняя вишня, смена губернатора</v>
      </c>
      <c r="Z1792" s="6" t="str">
        <f>IFERROR(__xludf.DUMMYFUNCTION("""COMPUTED_VALUE"""),"Снос зданий")</f>
        <v>Снос зданий</v>
      </c>
      <c r="AA1792" s="6" t="str">
        <f>IFERROR(__xludf.DUMMYFUNCTION("""COMPUTED_VALUE"""),"Масочный режим в трамвае")</f>
        <v>Масочный режим в трамвае</v>
      </c>
      <c r="AB1792" s="6" t="str">
        <f>IFERROR(__xludf.DUMMYFUNCTION("""COMPUTED_VALUE"""),"ЛФК для пенсионеров, клубы здоровья")</f>
        <v>ЛФК для пенсионеров, клубы здоровья</v>
      </c>
      <c r="AC1792" s="6" t="str">
        <f>IFERROR(__xludf.DUMMYFUNCTION("""COMPUTED_VALUE"""),"Больше спортивных мероприятий")</f>
        <v>Больше спортивных мероприятий</v>
      </c>
      <c r="AD1792" s="6" t="str">
        <f>IFERROR(__xludf.DUMMYFUNCTION("""COMPUTED_VALUE"""),"Не готов принимать личное участие (укажите, пожалуйста, причину в поле «Другое»), Болею")</f>
        <v>Не готов принимать личное участие (укажите, пожалуйста, причину в поле «Другое»), Болею</v>
      </c>
      <c r="AE1792" s="6" t="str">
        <f>IFERROR(__xludf.DUMMYFUNCTION("""COMPUTED_VALUE"""),"Женский")</f>
        <v>Женский</v>
      </c>
      <c r="AF1792" s="6" t="str">
        <f>IFERROR(__xludf.DUMMYFUNCTION("""COMPUTED_VALUE"""),"45-55")</f>
        <v>45-55</v>
      </c>
      <c r="AG1792" s="6"/>
      <c r="AH1792" s="6"/>
      <c r="AI1792" s="6"/>
      <c r="AJ1792" s="6"/>
      <c r="AK1792" s="6"/>
      <c r="AL1792" s="6"/>
      <c r="AM1792" s="6"/>
    </row>
    <row r="1793">
      <c r="A1793" s="6">
        <v>1792.0</v>
      </c>
      <c r="B1793" s="6" t="str">
        <f>IFERROR(__xludf.DUMMYFUNCTION("""COMPUTED_VALUE"""),"Продажа")</f>
        <v>Продажа</v>
      </c>
      <c r="C1793" s="6" t="str">
        <f>IFERROR(__xludf.DUMMYFUNCTION("""COMPUTED_VALUE"""),"Нет")</f>
        <v>Нет</v>
      </c>
      <c r="D1793" s="6" t="str">
        <f>IFERROR(__xludf.DUMMYFUNCTION("""COMPUTED_VALUE"""),"Южный")</f>
        <v>Южный</v>
      </c>
      <c r="E1793" s="6" t="str">
        <f>IFERROR(__xludf.DUMMYFUNCTION("""COMPUTED_VALUE"""),"Набережная комсомольский парк")</f>
        <v>Набережная комсомольский парк</v>
      </c>
      <c r="F1793" s="6" t="str">
        <f>IFERROR(__xludf.DUMMYFUNCTION("""COMPUTED_VALUE"""),"Живу здесь с рождения")</f>
        <v>Живу здесь с рождения</v>
      </c>
      <c r="G1793" s="6" t="str">
        <f>IFERROR(__xludf.DUMMYFUNCTION("""COMPUTED_VALUE"""),"Набережная комсомольский парк")</f>
        <v>Набережная комсомольский парк</v>
      </c>
      <c r="H1793" s="6" t="str">
        <f>IFERROR(__xludf.DUMMYFUNCTION("""COMPUTED_VALUE"""),"Томь уголь Тулеев родина серость")</f>
        <v>Томь уголь Тулеев родина серость</v>
      </c>
      <c r="I1793" s="6" t="str">
        <f>IFERROR(__xludf.DUMMYFUNCTION("""COMPUTED_VALUE"""),"Тулеев Аман гумирович")</f>
        <v>Тулеев Аман гумирович</v>
      </c>
      <c r="J1793" s="6" t="str">
        <f>IFERROR(__xludf.DUMMYFUNCTION("""COMPUTED_VALUE"""),"Тулеев Аман гумирович")</f>
        <v>Тулеев Аман гумирович</v>
      </c>
      <c r="K1793" s="6" t="str">
        <f>IFERROR(__xludf.DUMMYFUNCTION("""COMPUTED_VALUE"""),"Набережная, драм театр, музей")</f>
        <v>Набережная, драм театр, музей</v>
      </c>
      <c r="L1793" s="6" t="str">
        <f>IFERROR(__xludf.DUMMYFUNCTION("""COMPUTED_VALUE"""),"Южный- не нужный")</f>
        <v>Южный- не нужный</v>
      </c>
      <c r="M1793" s="6" t="str">
        <f>IFERROR(__xludf.DUMMYFUNCTION("""COMPUTED_VALUE"""),"Нет")</f>
        <v>Нет</v>
      </c>
      <c r="N1793" s="6" t="str">
        <f>IFERROR(__xludf.DUMMYFUNCTION("""COMPUTED_VALUE"""),"Озеленение, транспорт, чистота,тишина туалеты")</f>
        <v>Озеленение, транспорт, чистота,тишина туалеты</v>
      </c>
      <c r="O1793" s="6" t="str">
        <f>IFERROR(__xludf.DUMMYFUNCTION("""COMPUTED_VALUE"""),"Медицина, построить заводы и производство,транспорт, убрать пивнушки")</f>
        <v>Медицина, построить заводы и производство,транспорт, убрать пивнушки</v>
      </c>
      <c r="P1793" s="6" t="str">
        <f>IFERROR(__xludf.DUMMYFUNCTION("""COMPUTED_VALUE"""),"Люди из соцсетей")</f>
        <v>Люди из соцсетей</v>
      </c>
      <c r="Q1793" s="6" t="str">
        <f>IFERROR(__xludf.DUMMYFUNCTION("""COMPUTED_VALUE"""),"интервью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1793" s="6" t="str">
        <f>IFERROR(__xludf.DUMMYFUNCTION("""COMPUTED_VALUE"""),"Субботник")</f>
        <v>Субботник</v>
      </c>
      <c r="S1793" s="6" t="str">
        <f>IFERROR(__xludf.DUMMYFUNCTION("""COMPUTED_VALUE"""),"Нет, не приходилось")</f>
        <v>Нет, не приходилось</v>
      </c>
      <c r="T1793" s="6" t="str">
        <f>IFERROR(__xludf.DUMMYFUNCTION("""COMPUTED_VALUE"""),"Зимняя вишня и парк ангелов")</f>
        <v>Зимняя вишня и парк ангелов</v>
      </c>
      <c r="U1793" s="6" t="str">
        <f>IFERROR(__xludf.DUMMYFUNCTION("""COMPUTED_VALUE"""),"Площадь советов")</f>
        <v>Площадь советов</v>
      </c>
      <c r="V1793" s="6" t="str">
        <f>IFERROR(__xludf.DUMMYFUNCTION("""COMPUTED_VALUE"""),"Трудились")</f>
        <v>Трудились</v>
      </c>
      <c r="W1793" s="6" t="str">
        <f>IFERROR(__xludf.DUMMYFUNCTION("""COMPUTED_VALUE"""),"Не добрые")</f>
        <v>Не добрые</v>
      </c>
      <c r="X1793" s="6" t="str">
        <f>IFERROR(__xludf.DUMMYFUNCTION("""COMPUTED_VALUE"""),"Набережная")</f>
        <v>Набережная</v>
      </c>
      <c r="Y1793" s="6" t="str">
        <f>IFERROR(__xludf.DUMMYFUNCTION("""COMPUTED_VALUE"""),"Смена губернатора")</f>
        <v>Смена губернатора</v>
      </c>
      <c r="Z1793" s="6" t="str">
        <f>IFERROR(__xludf.DUMMYFUNCTION("""COMPUTED_VALUE"""),"Снос зданий")</f>
        <v>Снос зданий</v>
      </c>
      <c r="AA1793" s="6" t="str">
        <f>IFERROR(__xludf.DUMMYFUNCTION("""COMPUTED_VALUE"""),"Масочный режим в трамвае")</f>
        <v>Масочный режим в трамвае</v>
      </c>
      <c r="AB1793" s="6" t="str">
        <f>IFERROR(__xludf.DUMMYFUNCTION("""COMPUTED_VALUE"""),"ЛФК для пенсионеров и группы здоровья")</f>
        <v>ЛФК для пенсионеров и группы здоровья</v>
      </c>
      <c r="AC1793" s="6" t="str">
        <f>IFERROR(__xludf.DUMMYFUNCTION("""COMPUTED_VALUE"""),"Спортивные")</f>
        <v>Спортивные</v>
      </c>
      <c r="AD1793" s="6" t="str">
        <f>IFERROR(__xludf.DUMMYFUNCTION("""COMPUTED_VALUE"""),"Не готов принимать личное участие (укажите, пожалуйста, причину в поле «Другое»), Болею")</f>
        <v>Не готов принимать личное участие (укажите, пожалуйста, причину в поле «Другое»), Болею</v>
      </c>
      <c r="AE1793" s="6" t="str">
        <f>IFERROR(__xludf.DUMMYFUNCTION("""COMPUTED_VALUE"""),"Женский")</f>
        <v>Женский</v>
      </c>
      <c r="AF1793" s="6" t="str">
        <f>IFERROR(__xludf.DUMMYFUNCTION("""COMPUTED_VALUE"""),"45-55")</f>
        <v>45-55</v>
      </c>
      <c r="AG1793" s="6"/>
      <c r="AH1793" s="6"/>
      <c r="AI1793" s="6"/>
      <c r="AJ1793" s="6"/>
      <c r="AK1793" s="6"/>
      <c r="AL1793" s="6"/>
      <c r="AM1793" s="6"/>
    </row>
    <row r="1794">
      <c r="A1794" s="6">
        <v>1793.0</v>
      </c>
      <c r="B1794" s="6" t="str">
        <f>IFERROR(__xludf.DUMMYFUNCTION("""COMPUTED_VALUE"""),"Работаю")</f>
        <v>Работаю</v>
      </c>
      <c r="C1794" s="6" t="str">
        <f>IFERROR(__xludf.DUMMYFUNCTION("""COMPUTED_VALUE"""),"Нет")</f>
        <v>Нет</v>
      </c>
      <c r="D1794" s="6" t="str">
        <f>IFERROR(__xludf.DUMMYFUNCTION("""COMPUTED_VALUE"""),"Ленинградский")</f>
        <v>Ленинградский</v>
      </c>
      <c r="E1794" s="6" t="str">
        <f>IFERROR(__xludf.DUMMYFUNCTION("""COMPUTED_VALUE"""),"Бульвар строителей")</f>
        <v>Бульвар строителей</v>
      </c>
      <c r="F1794" s="6" t="str">
        <f>IFERROR(__xludf.DUMMYFUNCTION("""COMPUTED_VALUE"""),"Переехал сюда из другого места (откуда? укажите в графе другое), П. Центральный")</f>
        <v>Переехал сюда из другого места (откуда? укажите в графе другое), П. Центральный</v>
      </c>
      <c r="G1794" s="6" t="str">
        <f>IFERROR(__xludf.DUMMYFUNCTION("""COMPUTED_VALUE"""),"Бульвар строителей")</f>
        <v>Бульвар строителей</v>
      </c>
      <c r="H1794" s="6" t="str">
        <f>IFERROR(__xludf.DUMMYFUNCTION("""COMPUTED_VALUE"""),"Леонов, бульвар, парк Жукова, Томь, набережная")</f>
        <v>Леонов, бульвар, парк Жукова, Томь, набережная</v>
      </c>
      <c r="I1794" s="6" t="str">
        <f>IFERROR(__xludf.DUMMYFUNCTION("""COMPUTED_VALUE"""),"Леонов")</f>
        <v>Леонов</v>
      </c>
      <c r="J1794" s="6" t="str">
        <f>IFERROR(__xludf.DUMMYFUNCTION("""COMPUTED_VALUE"""),"Их нет")</f>
        <v>Их нет</v>
      </c>
      <c r="K1794" s="6" t="str">
        <f>IFERROR(__xludf.DUMMYFUNCTION("""COMPUTED_VALUE"""),"У нас таких нет")</f>
        <v>У нас таких нет</v>
      </c>
      <c r="L1794" s="6" t="str">
        <f>IFERROR(__xludf.DUMMYFUNCTION("""COMPUTED_VALUE"""),"Нет")</f>
        <v>Нет</v>
      </c>
      <c r="M1794" s="6" t="str">
        <f>IFERROR(__xludf.DUMMYFUNCTION("""COMPUTED_VALUE"""),"Нет")</f>
        <v>Нет</v>
      </c>
      <c r="N1794" s="6" t="str">
        <f>IFERROR(__xludf.DUMMYFUNCTION("""COMPUTED_VALUE"""),"Транспорт, стадион Химик, бассейн Лазурный, ")</f>
        <v>Транспорт, стадион Химик, бассейн Лазурный, </v>
      </c>
      <c r="O1794" s="6" t="str">
        <f>IFERROR(__xludf.DUMMYFUNCTION("""COMPUTED_VALUE"""),"Дворовые территории. Яма на яме, нет детских площадок, а если есть, то полный ужас!!!")</f>
        <v>Дворовые территории. Яма на яме, нет детских площадок, а если есть, то полный ужас!!!</v>
      </c>
      <c r="P1794" s="6" t="str">
        <f>IFERROR(__xludf.DUMMYFUNCTION("""COMPUTED_VALUE"""),"Новости телеканал 2, интернет")</f>
        <v>Новости телеканал 2, интернет</v>
      </c>
      <c r="Q1794" s="6" t="str">
        <f>IFERROR(__xludf.DUMMYFUNCTION("""COMPUTED_VALUE"""),"куда пойти в свободное время, городская афиша (кино/театр/концерты)")</f>
        <v>куда пойти в свободное время, городская афиша (кино/театр/концерты)</v>
      </c>
      <c r="R1794" s="6" t="str">
        <f>IFERROR(__xludf.DUMMYFUNCTION("""COMPUTED_VALUE"""),"День города, день шахтёров, день победы")</f>
        <v>День города, день шахтёров, день победы</v>
      </c>
      <c r="S1794" s="6" t="str">
        <f>IFERROR(__xludf.DUMMYFUNCTION("""COMPUTED_VALUE"""),"Нет, не приходилось")</f>
        <v>Нет, не приходилось</v>
      </c>
      <c r="T1794" s="6" t="str">
        <f>IFERROR(__xludf.DUMMYFUNCTION("""COMPUTED_VALUE"""),"Известен добычей угля")</f>
        <v>Известен добычей угля</v>
      </c>
      <c r="U1794" s="6" t="str">
        <f>IFERROR(__xludf.DUMMYFUNCTION("""COMPUTED_VALUE"""),"Памятник Ленину")</f>
        <v>Памятник Ленину</v>
      </c>
      <c r="V1794" s="6" t="str">
        <f>IFERROR(__xludf.DUMMYFUNCTION("""COMPUTED_VALUE"""),"-")</f>
        <v>-</v>
      </c>
      <c r="W1794" s="6" t="str">
        <f>IFERROR(__xludf.DUMMYFUNCTION("""COMPUTED_VALUE"""),"Злые, не улыбчивые")</f>
        <v>Злые, не улыбчивые</v>
      </c>
      <c r="X1794" s="6" t="str">
        <f>IFERROR(__xludf.DUMMYFUNCTION("""COMPUTED_VALUE"""),"Набережная")</f>
        <v>Набережная</v>
      </c>
      <c r="Y1794" s="6" t="str">
        <f>IFERROR(__xludf.DUMMYFUNCTION("""COMPUTED_VALUE"""),"Создан парк Жукова")</f>
        <v>Создан парк Жукова</v>
      </c>
      <c r="Z1794" s="6" t="str">
        <f>IFERROR(__xludf.DUMMYFUNCTION("""COMPUTED_VALUE"""),"-")</f>
        <v>-</v>
      </c>
      <c r="AA1794" s="6" t="str">
        <f>IFERROR(__xludf.DUMMYFUNCTION("""COMPUTED_VALUE"""),"Закрытие бассейна Лазурный")</f>
        <v>Закрытие бассейна Лазурный</v>
      </c>
      <c r="AB1794" s="6" t="str">
        <f>IFERROR(__xludf.DUMMYFUNCTION("""COMPUTED_VALUE"""),"По благоустройству дворов, по организации детского досуга")</f>
        <v>По благоустройству дворов, по организации детского досуга</v>
      </c>
      <c r="AC1794" s="6" t="str">
        <f>IFERROR(__xludf.DUMMYFUNCTION("""COMPUTED_VALUE"""),"Аквапарк, бассейн 50 метровый, убрать из городы проезжающие большегрузные машины")</f>
        <v>Аквапарк, бассейн 50 метровый, убрать из городы проезжающие большегрузные машины</v>
      </c>
      <c r="AD179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94" s="6" t="str">
        <f>IFERROR(__xludf.DUMMYFUNCTION("""COMPUTED_VALUE"""),"Женский")</f>
        <v>Женский</v>
      </c>
      <c r="AF1794" s="6" t="str">
        <f>IFERROR(__xludf.DUMMYFUNCTION("""COMPUTED_VALUE"""),"30-44")</f>
        <v>30-44</v>
      </c>
      <c r="AG1794" s="6"/>
      <c r="AH1794" s="6"/>
      <c r="AI1794" s="6"/>
      <c r="AJ1794" s="6"/>
      <c r="AK1794" s="6"/>
      <c r="AL1794" s="6"/>
      <c r="AM1794" s="6"/>
    </row>
    <row r="1795">
      <c r="A1795" s="6">
        <v>1794.0</v>
      </c>
      <c r="B1795" s="6" t="str">
        <f>IFERROR(__xludf.DUMMYFUNCTION("""COMPUTED_VALUE"""),"Сфера автобизнеса")</f>
        <v>Сфера автобизнеса</v>
      </c>
      <c r="C1795" s="6" t="str">
        <f>IFERROR(__xludf.DUMMYFUNCTION("""COMPUTED_VALUE"""),"Отдых на природе")</f>
        <v>Отдых на природе</v>
      </c>
      <c r="D1795" s="6" t="str">
        <f>IFERROR(__xludf.DUMMYFUNCTION("""COMPUTED_VALUE"""),"Центральный. Самый комфортный в городе ")</f>
        <v>Центральный. Самый комфортный в городе </v>
      </c>
      <c r="E1795" s="6" t="str">
        <f>IFERROR(__xludf.DUMMYFUNCTION("""COMPUTED_VALUE"""),"Ул Весенняя, набережная р. Томь")</f>
        <v>Ул Весенняя, набережная р. Томь</v>
      </c>
      <c r="F1795" s="6" t="str">
        <f>IFERROR(__xludf.DUMMYFUNCTION("""COMPUTED_VALUE"""),"Переехал сюда из другого места (откуда? укажите в графе другое), Г. Юрга")</f>
        <v>Переехал сюда из другого места (откуда? укажите в графе другое), Г. Юрга</v>
      </c>
      <c r="G1795" s="6" t="str">
        <f>IFERROR(__xludf.DUMMYFUNCTION("""COMPUTED_VALUE"""),"Прогулка по центральным улицам (Весенняя,Набережная,Советский)")</f>
        <v>Прогулка по центральным улицам (Весенняя,Набережная,Советский)</v>
      </c>
      <c r="H1795" s="6" t="str">
        <f>IFERROR(__xludf.DUMMYFUNCTION("""COMPUTED_VALUE"""),"Хорошие дороги, чистые улицы, грязный воздух, мало прогулочных мест, мало мест для отдыха")</f>
        <v>Хорошие дороги, чистые улицы, грязный воздух, мало прогулочных мест, мало мест для отдыха</v>
      </c>
      <c r="I1795" s="6" t="str">
        <f>IFERROR(__xludf.DUMMYFUNCTION("""COMPUTED_VALUE"""),"Леонов")</f>
        <v>Леонов</v>
      </c>
      <c r="J1795" s="6" t="str">
        <f>IFERROR(__xludf.DUMMYFUNCTION("""COMPUTED_VALUE"""),"Гришковец")</f>
        <v>Гришковец</v>
      </c>
      <c r="K1795" s="6" t="str">
        <f>IFERROR(__xludf.DUMMYFUNCTION("""COMPUTED_VALUE"""),"Сосновый бор,но он неухожен")</f>
        <v>Сосновый бор,но он неухожен</v>
      </c>
      <c r="L1795" s="6" t="str">
        <f>IFERROR(__xludf.DUMMYFUNCTION("""COMPUTED_VALUE"""),"Человек из Кемерово (суровые люди)")</f>
        <v>Человек из Кемерово (суровые люди)</v>
      </c>
      <c r="M1795" s="6" t="str">
        <f>IFERROR(__xludf.DUMMYFUNCTION("""COMPUTED_VALUE""")," ")</f>
        <v> </v>
      </c>
      <c r="N1795" s="6" t="str">
        <f>IFERROR(__xludf.DUMMYFUNCTION("""COMPUTED_VALUE"""),"Красивая архитектура, чистые улицы, досуговые центры, хорошие дороги, места для прогулок")</f>
        <v>Красивая архитектура, чистые улицы, досуговые центры, хорошие дороги, места для прогулок</v>
      </c>
      <c r="O1795" s="6" t="str">
        <f>IFERROR(__xludf.DUMMYFUNCTION("""COMPUTED_VALUE"""),"Больше досуговых цетров")</f>
        <v>Больше досуговых цетров</v>
      </c>
      <c r="P1795" s="6" t="str">
        <f>IFERROR(__xludf.DUMMYFUNCTION("""COMPUTED_VALUE""")," ")</f>
        <v> </v>
      </c>
      <c r="Q1795"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бизнес-новости (средний чек/рекламные акции/запуск нов"&amp;"ых предприятий),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795" s="6" t="str">
        <f>IFERROR(__xludf.DUMMYFUNCTION("""COMPUTED_VALUE"""),"Любые праздники для отдыха всей семьей")</f>
        <v>Любые праздники для отдыха всей семьей</v>
      </c>
      <c r="S1795" s="6" t="str">
        <f>IFERROR(__xludf.DUMMYFUNCTION("""COMPUTED_VALUE"""),"Нет, не приходилось")</f>
        <v>Нет, не приходилось</v>
      </c>
      <c r="T1795" s="6" t="str">
        <f>IFERROR(__xludf.DUMMYFUNCTION("""COMPUTED_VALUE"""),"Хорошие дороги,много зелени")</f>
        <v>Хорошие дороги,много зелени</v>
      </c>
      <c r="U1795" s="6" t="str">
        <f>IFERROR(__xludf.DUMMYFUNCTION("""COMPUTED_VALUE"""),"Ул советская")</f>
        <v>Ул советская</v>
      </c>
      <c r="V1795" s="6" t="str">
        <f>IFERROR(__xludf.DUMMYFUNCTION("""COMPUTED_VALUE""")," ")</f>
        <v> </v>
      </c>
      <c r="W1795" s="6" t="str">
        <f>IFERROR(__xludf.DUMMYFUNCTION("""COMPUTED_VALUE"""),"Неприветливые, несервисные")</f>
        <v>Неприветливые, несервисные</v>
      </c>
      <c r="X1795" s="6" t="str">
        <f>IFERROR(__xludf.DUMMYFUNCTION("""COMPUTED_VALUE"""),"Центральная часть города")</f>
        <v>Центральная часть города</v>
      </c>
      <c r="Y1795" s="6" t="str">
        <f>IFERROR(__xludf.DUMMYFUNCTION("""COMPUTED_VALUE"""),"Чемпионат мира по хоккею с мячом")</f>
        <v>Чемпионат мира по хоккею с мячом</v>
      </c>
      <c r="Z1795" s="6" t="str">
        <f>IFERROR(__xludf.DUMMYFUNCTION("""COMPUTED_VALUE"""),"Строительство набережной на приморском проспекте")</f>
        <v>Строительство набережной на приморском проспекте</v>
      </c>
      <c r="AA1795" s="6" t="str">
        <f>IFERROR(__xludf.DUMMYFUNCTION("""COMPUTED_VALUE""")," ")</f>
        <v> </v>
      </c>
      <c r="AB1795" s="6" t="str">
        <f>IFERROR(__xludf.DUMMYFUNCTION("""COMPUTED_VALUE"""),"Для семейного времяпрепровождения")</f>
        <v>Для семейного времяпрепровождения</v>
      </c>
      <c r="AC1795" s="6" t="str">
        <f>IFERROR(__xludf.DUMMYFUNCTION("""COMPUTED_VALUE"""),"Фестивали, открытые концерты")</f>
        <v>Фестивали, открытые концерты</v>
      </c>
      <c r="AD179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795" s="6" t="str">
        <f>IFERROR(__xludf.DUMMYFUNCTION("""COMPUTED_VALUE"""),"Женский")</f>
        <v>Женский</v>
      </c>
      <c r="AF1795" s="6" t="str">
        <f>IFERROR(__xludf.DUMMYFUNCTION("""COMPUTED_VALUE"""),"30-44")</f>
        <v>30-44</v>
      </c>
      <c r="AG1795" s="6"/>
      <c r="AH1795" s="6"/>
      <c r="AI1795" s="6"/>
      <c r="AJ1795" s="6"/>
      <c r="AK1795" s="6"/>
      <c r="AL1795" s="6"/>
      <c r="AM1795" s="6"/>
    </row>
    <row r="1796">
      <c r="A1796" s="6">
        <v>1795.0</v>
      </c>
      <c r="B1796" s="6" t="str">
        <f>IFERROR(__xludf.DUMMYFUNCTION("""COMPUTED_VALUE"""),"Туниядец")</f>
        <v>Туниядец</v>
      </c>
      <c r="C1796" s="6" t="str">
        <f>IFERROR(__xludf.DUMMYFUNCTION("""COMPUTED_VALUE"""),"Туниядство ")</f>
        <v>Туниядство </v>
      </c>
      <c r="D1796" s="6" t="str">
        <f>IFERROR(__xludf.DUMMYFUNCTION("""COMPUTED_VALUE"""),"Радуга")</f>
        <v>Радуга</v>
      </c>
      <c r="E1796" s="6" t="str">
        <f>IFERROR(__xludf.DUMMYFUNCTION("""COMPUTED_VALUE"""),"Сосновый бор")</f>
        <v>Сосновый бор</v>
      </c>
      <c r="F1796" s="6" t="str">
        <f>IFERROR(__xludf.DUMMYFUNCTION("""COMPUTED_VALUE"""),"Живу здесь с рождения")</f>
        <v>Живу здесь с рождения</v>
      </c>
      <c r="G1796" s="6" t="str">
        <f>IFERROR(__xludf.DUMMYFUNCTION("""COMPUTED_VALUE"""),"В бор")</f>
        <v>В бор</v>
      </c>
      <c r="H1796" s="6" t="str">
        <f>IFERROR(__xludf.DUMMYFUNCTION("""COMPUTED_VALUE"""),"К, е, м, е, р, о, в, о")</f>
        <v>К, е, м, е, р, о, в, о</v>
      </c>
      <c r="I1796" s="6" t="str">
        <f>IFERROR(__xludf.DUMMYFUNCTION("""COMPUTED_VALUE"""),"Не знаю таких")</f>
        <v>Не знаю таких</v>
      </c>
      <c r="J1796" s="6" t="str">
        <f>IFERROR(__xludf.DUMMYFUNCTION("""COMPUTED_VALUE"""),"Нет таких")</f>
        <v>Нет таких</v>
      </c>
      <c r="K1796" s="6" t="str">
        <f>IFERROR(__xludf.DUMMYFUNCTION("""COMPUTED_VALUE"""),"Бор")</f>
        <v>Бор</v>
      </c>
      <c r="L1796" s="6" t="str">
        <f>IFERROR(__xludf.DUMMYFUNCTION("""COMPUTED_VALUE"""),"Нет ")</f>
        <v>Нет </v>
      </c>
      <c r="M1796" s="6" t="str">
        <f>IFERROR(__xludf.DUMMYFUNCTION("""COMPUTED_VALUE"""),"Нет")</f>
        <v>Нет</v>
      </c>
      <c r="N1796" s="6" t="str">
        <f>IFERROR(__xludf.DUMMYFUNCTION("""COMPUTED_VALUE"""),"Нет")</f>
        <v>Нет</v>
      </c>
      <c r="O1796" s="6" t="str">
        <f>IFERROR(__xludf.DUMMYFUNCTION("""COMPUTED_VALUE"""),"Людей")</f>
        <v>Людей</v>
      </c>
      <c r="P1796" s="6" t="str">
        <f>IFERROR(__xludf.DUMMYFUNCTION("""COMPUTED_VALUE"""),"Из газеты")</f>
        <v>Из газеты</v>
      </c>
      <c r="Q1796" s="6" t="str">
        <f>IFERROR(__xludf.DUMMYFUNCTION("""COMPUTED_VALUE"""),"Нет ")</f>
        <v>Нет </v>
      </c>
      <c r="R1796" s="6" t="str">
        <f>IFERROR(__xludf.DUMMYFUNCTION("""COMPUTED_VALUE"""),"Мой др")</f>
        <v>Мой др</v>
      </c>
      <c r="S1796" s="6" t="str">
        <f>IFERROR(__xludf.DUMMYFUNCTION("""COMPUTED_VALUE"""),"Нет, не приходилось")</f>
        <v>Нет, не приходилось</v>
      </c>
      <c r="T1796" s="6" t="str">
        <f>IFERROR(__xludf.DUMMYFUNCTION("""COMPUTED_VALUE"""),"Уголь")</f>
        <v>Уголь</v>
      </c>
      <c r="U1796" s="6" t="str">
        <f>IFERROR(__xludf.DUMMYFUNCTION("""COMPUTED_VALUE"""),"Красная горка")</f>
        <v>Красная горка</v>
      </c>
      <c r="V1796" s="6" t="str">
        <f>IFERROR(__xludf.DUMMYFUNCTION("""COMPUTED_VALUE"""),"Ничего")</f>
        <v>Ничего</v>
      </c>
      <c r="W1796" s="6" t="str">
        <f>IFERROR(__xludf.DUMMYFUNCTION("""COMPUTED_VALUE"""),"Никакие")</f>
        <v>Никакие</v>
      </c>
      <c r="X1796" s="6" t="str">
        <f>IFERROR(__xludf.DUMMYFUNCTION("""COMPUTED_VALUE"""),"В бор")</f>
        <v>В бор</v>
      </c>
      <c r="Y1796" s="6" t="str">
        <f>IFERROR(__xludf.DUMMYFUNCTION("""COMPUTED_VALUE"""),"Нет такого")</f>
        <v>Нет такого</v>
      </c>
      <c r="Z1796" s="6" t="str">
        <f>IFERROR(__xludf.DUMMYFUNCTION("""COMPUTED_VALUE"""),"Мой др")</f>
        <v>Мой др</v>
      </c>
      <c r="AA1796" s="6" t="str">
        <f>IFERROR(__xludf.DUMMYFUNCTION("""COMPUTED_VALUE"""),"Зимняя вишня ")</f>
        <v>Зимняя вишня </v>
      </c>
      <c r="AB1796" s="6" t="str">
        <f>IFERROR(__xludf.DUMMYFUNCTION("""COMPUTED_VALUE"""),"Лгбт")</f>
        <v>Лгбт</v>
      </c>
      <c r="AC1796" s="6" t="str">
        <f>IFERROR(__xludf.DUMMYFUNCTION("""COMPUTED_VALUE"""),"Футбол")</f>
        <v>Футбол</v>
      </c>
      <c r="AD1796"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796" s="6" t="str">
        <f>IFERROR(__xludf.DUMMYFUNCTION("""COMPUTED_VALUE"""),"Женский")</f>
        <v>Женский</v>
      </c>
      <c r="AF1796" s="6" t="str">
        <f>IFERROR(__xludf.DUMMYFUNCTION("""COMPUTED_VALUE"""),"старше 55")</f>
        <v>старше 55</v>
      </c>
      <c r="AG1796" s="6"/>
      <c r="AH1796" s="6"/>
      <c r="AI1796" s="6"/>
      <c r="AJ1796" s="6"/>
      <c r="AK1796" s="6"/>
      <c r="AL1796" s="6"/>
      <c r="AM1796" s="6"/>
    </row>
    <row r="1797">
      <c r="A1797" s="6">
        <v>1796.0</v>
      </c>
      <c r="B1797" s="6" t="str">
        <f>IFERROR(__xludf.DUMMYFUNCTION("""COMPUTED_VALUE"""),"Инженер")</f>
        <v>Инженер</v>
      </c>
      <c r="C1797" s="6" t="str">
        <f>IFERROR(__xludf.DUMMYFUNCTION("""COMPUTED_VALUE"""),"Вязание")</f>
        <v>Вязание</v>
      </c>
      <c r="D1797" s="6" t="str">
        <f>IFERROR(__xludf.DUMMYFUNCTION("""COMPUTED_VALUE"""),"Южный ")</f>
        <v>Южный </v>
      </c>
      <c r="E1797" s="6" t="str">
        <f>IFERROR(__xludf.DUMMYFUNCTION("""COMPUTED_VALUE"""),"Аллея патриотов")</f>
        <v>Аллея патриотов</v>
      </c>
      <c r="F1797" s="6" t="str">
        <f>IFERROR(__xludf.DUMMYFUNCTION("""COMPUTED_VALUE"""),"Живу здесь с рождения")</f>
        <v>Живу здесь с рождения</v>
      </c>
      <c r="G1797" s="6" t="str">
        <f>IFERROR(__xludf.DUMMYFUNCTION("""COMPUTED_VALUE"""),"В сосновый бор, на озеро красное")</f>
        <v>В сосновый бор, на озеро красное</v>
      </c>
      <c r="H1797" s="6" t="str">
        <f>IFERROR(__xludf.DUMMYFUNCTION("""COMPUTED_VALUE"""),"Любимый родной столица кузбасс центр ")</f>
        <v>Любимый родной столица кузбасс центр </v>
      </c>
      <c r="I1797" s="6" t="str">
        <f>IFERROR(__xludf.DUMMYFUNCTION("""COMPUTED_VALUE"""),"Волков михайло ")</f>
        <v>Волков михайло </v>
      </c>
      <c r="J1797" s="6" t="str">
        <f>IFERROR(__xludf.DUMMYFUNCTION("""COMPUTED_VALUE"""),"Цивилев")</f>
        <v>Цивилев</v>
      </c>
      <c r="K1797" s="6" t="str">
        <f>IFERROR(__xludf.DUMMYFUNCTION("""COMPUTED_VALUE"""),"Надпись Кузбасс, памятник шахтёрам")</f>
        <v>Надпись Кузбасс, памятник шахтёрам</v>
      </c>
      <c r="L1797" s="6" t="str">
        <f>IFERROR(__xludf.DUMMYFUNCTION("""COMPUTED_VALUE"""),"На недельку до 2го я уеду в Кемерово ")</f>
        <v>На недельку до 2го я уеду в Кемерово </v>
      </c>
      <c r="M1797" s="6" t="str">
        <f>IFERROR(__xludf.DUMMYFUNCTION("""COMPUTED_VALUE"""),"Поварешка,  мультифора")</f>
        <v>Поварешка,  мультифора</v>
      </c>
      <c r="N1797" s="6" t="str">
        <f>IFERROR(__xludf.DUMMYFUNCTION("""COMPUTED_VALUE"""),"Хорошие дороги, чистота,  зелень,  наличие парков, детских и юношеских площадок ")</f>
        <v>Хорошие дороги, чистота,  зелень,  наличие парков, детских и юношеских площадок </v>
      </c>
      <c r="O1797" s="6" t="str">
        <f>IFERROR(__xludf.DUMMYFUNCTION("""COMPUTED_VALUE"""),"Экологию")</f>
        <v>Экологию</v>
      </c>
      <c r="P1797" s="6" t="str">
        <f>IFERROR(__xludf.DUMMYFUNCTION("""COMPUTED_VALUE"""),"Инстаграмм ")</f>
        <v>Инстаграмм </v>
      </c>
      <c r="Q1797" s="6" t="str">
        <f>IFERROR(__xludf.DUMMYFUNCTION("""COMPUTED_VALUE"""),"куда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f>
        <v>куда пойти в свободное время, городская афиша (кино/театр/концерты), криминальные новости (происшествия/преступления), новости про новые профессии/куда поступать/вакансии</v>
      </c>
      <c r="R1797" s="6" t="str">
        <f>IFERROR(__xludf.DUMMYFUNCTION("""COMPUTED_VALUE"""),"9 мая, день города, Жень шахтёра,  новый год")</f>
        <v>9 мая, день города, Жень шахтёра,  новый год</v>
      </c>
      <c r="S1797" s="6" t="str">
        <f>IFERROR(__xludf.DUMMYFUNCTION("""COMPUTED_VALUE"""),"Нет, не приходилось")</f>
        <v>Нет, не приходилось</v>
      </c>
      <c r="T1797" s="6" t="str">
        <f>IFERROR(__xludf.DUMMYFUNCTION("""COMPUTED_VALUE"""),"Зимняя вишня")</f>
        <v>Зимняя вишня</v>
      </c>
      <c r="U1797" s="6" t="str">
        <f>IFERROR(__xludf.DUMMYFUNCTION("""COMPUTED_VALUE"""),"Весенняя ул")</f>
        <v>Весенняя ул</v>
      </c>
      <c r="V1797" s="6" t="str">
        <f>IFERROR(__xludf.DUMMYFUNCTION("""COMPUTED_VALUE"""),"Светофоры, дороги, ")</f>
        <v>Светофоры, дороги, </v>
      </c>
      <c r="W1797" s="6" t="str">
        <f>IFERROR(__xludf.DUMMYFUNCTION("""COMPUTED_VALUE"""),"Более менее приличные и улыбчивые ")</f>
        <v>Более менее приличные и улыбчивые </v>
      </c>
      <c r="X1797" s="6" t="str">
        <f>IFERROR(__xludf.DUMMYFUNCTION("""COMPUTED_VALUE"""),"Нет такого")</f>
        <v>Нет такого</v>
      </c>
      <c r="Y1797" s="6" t="str">
        <f>IFERROR(__xludf.DUMMYFUNCTION("""COMPUTED_VALUE"""),"Зимняя 🍒")</f>
        <v>Зимняя 🍒</v>
      </c>
      <c r="Z1797" s="6" t="str">
        <f>IFERROR(__xludf.DUMMYFUNCTION("""COMPUTED_VALUE"""),"Строительство аэропорта, кадетки, освоение  московского ")</f>
        <v>Строительство аэропорта, кадетки, освоение  московского </v>
      </c>
      <c r="AA1797" s="6" t="str">
        <f>IFERROR(__xludf.DUMMYFUNCTION("""COMPUTED_VALUE"""),"Аквапарк запретили")</f>
        <v>Аквапарк запретили</v>
      </c>
      <c r="AB1797" s="6" t="str">
        <f>IFERROR(__xludf.DUMMYFUNCTION("""COMPUTED_VALUE"""),"Эко")</f>
        <v>Эко</v>
      </c>
      <c r="AC1797" s="6" t="str">
        <f>IFERROR(__xludf.DUMMYFUNCTION("""COMPUTED_VALUE"""),"Освещение города, иллюминации")</f>
        <v>Освещение города, иллюминации</v>
      </c>
      <c r="AD179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797" s="6" t="str">
        <f>IFERROR(__xludf.DUMMYFUNCTION("""COMPUTED_VALUE"""),"Женский")</f>
        <v>Женский</v>
      </c>
      <c r="AF1797" s="6" t="str">
        <f>IFERROR(__xludf.DUMMYFUNCTION("""COMPUTED_VALUE"""),"30-44")</f>
        <v>30-44</v>
      </c>
      <c r="AG1797" s="6"/>
      <c r="AH1797" s="6"/>
      <c r="AI1797" s="6"/>
      <c r="AJ1797" s="6"/>
      <c r="AK1797" s="6"/>
      <c r="AL1797" s="6"/>
      <c r="AM1797" s="6"/>
    </row>
    <row r="1798">
      <c r="A1798" s="6">
        <v>1797.0</v>
      </c>
      <c r="B1798" s="6" t="str">
        <f>IFERROR(__xludf.DUMMYFUNCTION("""COMPUTED_VALUE"""),"Работаю")</f>
        <v>Работаю</v>
      </c>
      <c r="C1798" s="6" t="str">
        <f>IFERROR(__xludf.DUMMYFUNCTION("""COMPUTED_VALUE"""),"Каллиграфия")</f>
        <v>Каллиграфия</v>
      </c>
      <c r="D1798" s="6" t="str">
        <f>IFERROR(__xludf.DUMMYFUNCTION("""COMPUTED_VALUE"""),"Лесная поляна")</f>
        <v>Лесная поляна</v>
      </c>
      <c r="E1798" s="6" t="str">
        <f>IFERROR(__xludf.DUMMYFUNCTION("""COMPUTED_VALUE"""),"Бульвар Осенний")</f>
        <v>Бульвар Осенний</v>
      </c>
      <c r="F1798" s="6" t="str">
        <f>IFERROR(__xludf.DUMMYFUNCTION("""COMPUTED_VALUE"""),"5 лет")</f>
        <v>5 лет</v>
      </c>
      <c r="G1798" s="6" t="str">
        <f>IFERROR(__xludf.DUMMYFUNCTION("""COMPUTED_VALUE"""),"Гуляю по бульвару Осеннему")</f>
        <v>Гуляю по бульвару Осеннему</v>
      </c>
      <c r="H1798" s="6" t="str">
        <f>IFERROR(__xludf.DUMMYFUNCTION("""COMPUTED_VALUE"""),"Уголь, холод, Сибирь, пыль, край света")</f>
        <v>Уголь, холод, Сибирь, пыль, край света</v>
      </c>
      <c r="I1798" s="6" t="str">
        <f>IFERROR(__xludf.DUMMYFUNCTION("""COMPUTED_VALUE"""),"Волков")</f>
        <v>Волков</v>
      </c>
      <c r="J1798" s="6" t="str">
        <f>IFERROR(__xludf.DUMMYFUNCTION("""COMPUTED_VALUE"""),"Тулеев")</f>
        <v>Тулеев</v>
      </c>
      <c r="K1798" s="6" t="str">
        <f>IFERROR(__xludf.DUMMYFUNCTION("""COMPUTED_VALUE"""),"Лесная Поляна")</f>
        <v>Лесная Поляна</v>
      </c>
      <c r="L1798" s="6" t="str">
        <f>IFERROR(__xludf.DUMMYFUNCTION("""COMPUTED_VALUE"""),"Белая зима - невыносима, зелёная зима - ещё можно терпеть.")</f>
        <v>Белая зима - невыносима, зелёная зима - ещё можно терпеть.</v>
      </c>
      <c r="M1798" s="6" t="str">
        <f>IFERROR(__xludf.DUMMYFUNCTION("""COMPUTED_VALUE"""),"Нет")</f>
        <v>Нет</v>
      </c>
      <c r="N1798" s="6" t="str">
        <f>IFERROR(__xludf.DUMMYFUNCTION("""COMPUTED_VALUE"""),"Нет сдэсовких человейников, нет пыли, есть туалеты, есть дворы для прогулки с детьми, малая скученность населения")</f>
        <v>Нет сдэсовких человейников, нет пыли, есть туалеты, есть дворы для прогулки с детьми, малая скученность населения</v>
      </c>
      <c r="O1798" s="6" t="str">
        <f>IFERROR(__xludf.DUMMYFUNCTION("""COMPUTED_VALUE"""),"Отношение к простым людям со стороны правящей ""элиты"".")</f>
        <v>Отношение к простым людям со стороны правящей "элиты".</v>
      </c>
      <c r="P1798" s="6" t="str">
        <f>IFERROR(__xludf.DUMMYFUNCTION("""COMPUTED_VALUE"""),"В Инстанрамме")</f>
        <v>В Инстанрамме</v>
      </c>
      <c r="Q1798" s="6" t="str">
        <f>IFERROR(__xludf.DUMMYFUNCTION("""COMPUTED_VALUE"""),"Скорость вымирания населения")</f>
        <v>Скорость вымирания населения</v>
      </c>
      <c r="R1798" s="6" t="str">
        <f>IFERROR(__xludf.DUMMYFUNCTION("""COMPUTED_VALUE"""),"В которых меньше формализма")</f>
        <v>В которых меньше формализма</v>
      </c>
      <c r="S1798" s="6" t="str">
        <f>IFERROR(__xludf.DUMMYFUNCTION("""COMPUTED_VALUE"""),"Нет, не приходилось")</f>
        <v>Нет, не приходилось</v>
      </c>
      <c r="T1798" s="6" t="str">
        <f>IFERROR(__xludf.DUMMYFUNCTION("""COMPUTED_VALUE"""),"Знаменит Тулеевым, известен после пожара в Зимней Вишне")</f>
        <v>Знаменит Тулеевым, известен после пожара в Зимней Вишне</v>
      </c>
      <c r="U1798" s="6" t="str">
        <f>IFERROR(__xludf.DUMMYFUNCTION("""COMPUTED_VALUE"""),"Ленин на площади, а за ним герб с двуглавым орлом")</f>
        <v>Ленин на площади, а за ним герб с двуглавым орлом</v>
      </c>
      <c r="V1798" s="6" t="str">
        <f>IFERROR(__xludf.DUMMYFUNCTION("""COMPUTED_VALUE"""),"Уголь и промышленность в военные и послевоенные годы")</f>
        <v>Уголь и промышленность в военные и послевоенные годы</v>
      </c>
      <c r="W1798" s="6" t="str">
        <f>IFERROR(__xludf.DUMMYFUNCTION("""COMPUTED_VALUE"""),"Много потомков ссыльных преступников")</f>
        <v>Много потомков ссыльных преступников</v>
      </c>
      <c r="X1798" s="6" t="str">
        <f>IFERROR(__xludf.DUMMYFUNCTION("""COMPUTED_VALUE"""),"Один - набережная")</f>
        <v>Один - набережная</v>
      </c>
      <c r="Y1798" s="6" t="str">
        <f>IFERROR(__xludf.DUMMYFUNCTION("""COMPUTED_VALUE"""),"Никакого")</f>
        <v>Никакого</v>
      </c>
      <c r="Z1798" s="6" t="str">
        <f>IFERROR(__xludf.DUMMYFUNCTION("""COMPUTED_VALUE"""),"Никаких")</f>
        <v>Никаких</v>
      </c>
      <c r="AA1798" s="6" t="str">
        <f>IFERROR(__xludf.DUMMYFUNCTION("""COMPUTED_VALUE"""),"Превращения России в колонию, откат назад на 100 лет снова в капитализм")</f>
        <v>Превращения России в колонию, откат назад на 100 лет снова в капитализм</v>
      </c>
      <c r="AB1798" s="6" t="str">
        <f>IFERROR(__xludf.DUMMYFUNCTION("""COMPUTED_VALUE"""),"Для подростков 12 - 17 лет")</f>
        <v>Для подростков 12 - 17 лет</v>
      </c>
      <c r="AC1798" s="6" t="str">
        <f>IFERROR(__xludf.DUMMYFUNCTION("""COMPUTED_VALUE"""),"Клубы и бесплатные спортсекции")</f>
        <v>Клубы и бесплатные спортсекции</v>
      </c>
      <c r="AD1798"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798" s="6" t="str">
        <f>IFERROR(__xludf.DUMMYFUNCTION("""COMPUTED_VALUE"""),"Мужской")</f>
        <v>Мужской</v>
      </c>
      <c r="AF1798" s="6" t="str">
        <f>IFERROR(__xludf.DUMMYFUNCTION("""COMPUTED_VALUE"""),"45-55")</f>
        <v>45-55</v>
      </c>
      <c r="AG1798" s="6"/>
      <c r="AH1798" s="6"/>
      <c r="AI1798" s="6"/>
      <c r="AJ1798" s="6"/>
      <c r="AK1798" s="6"/>
      <c r="AL1798" s="6"/>
      <c r="AM1798" s="6"/>
    </row>
    <row r="1799">
      <c r="A1799" s="6">
        <v>1798.0</v>
      </c>
      <c r="B1799" s="6" t="str">
        <f>IFERROR(__xludf.DUMMYFUNCTION("""COMPUTED_VALUE"""),"Видеомейкер")</f>
        <v>Видеомейкер</v>
      </c>
      <c r="C1799" s="6" t="str">
        <f>IFERROR(__xludf.DUMMYFUNCTION("""COMPUTED_VALUE"""),"Видео, языки")</f>
        <v>Видео, языки</v>
      </c>
      <c r="D1799" s="6" t="str">
        <f>IFERROR(__xludf.DUMMYFUNCTION("""COMPUTED_VALUE"""),"Металлка")</f>
        <v>Металлка</v>
      </c>
      <c r="E1799" s="6" t="str">
        <f>IFERROR(__xludf.DUMMYFUNCTION("""COMPUTED_VALUE"""),"Суховский стадион")</f>
        <v>Суховский стадион</v>
      </c>
      <c r="F1799" s="6" t="str">
        <f>IFERROR(__xludf.DUMMYFUNCTION("""COMPUTED_VALUE"""),"Переехал сюда из другого места (откуда? укажите в графе другое), Анжеро-Судженск ")</f>
        <v>Переехал сюда из другого места (откуда? укажите в графе другое), Анжеро-Судженск </v>
      </c>
      <c r="G1799" s="6" t="str">
        <f>IFERROR(__xludf.DUMMYFUNCTION("""COMPUTED_VALUE"""),"Притомская набережная ")</f>
        <v>Притомская набережная </v>
      </c>
      <c r="H1799" s="6" t="str">
        <f>IFERROR(__xludf.DUMMYFUNCTION("""COMPUTED_VALUE"""),"Уголь, набережная, весенька, студенчество, ")</f>
        <v>Уголь, набережная, весенька, студенчество, </v>
      </c>
      <c r="I1799" s="6" t="str">
        <f>IFERROR(__xludf.DUMMYFUNCTION("""COMPUTED_VALUE"""),"Рутгерс, Лохем, и те, кто сделали Весеннюю и Набережную")</f>
        <v>Рутгерс, Лохем, и те, кто сделали Весеннюю и Набережную</v>
      </c>
      <c r="J1799" s="6" t="str">
        <f>IFERROR(__xludf.DUMMYFUNCTION("""COMPUTED_VALUE"""),"Честно, я не знаю их имён ")</f>
        <v>Честно, я не знаю их имён </v>
      </c>
      <c r="K1799" s="6" t="str">
        <f>IFERROR(__xludf.DUMMYFUNCTION("""COMPUTED_VALUE"""),"Кировский (прогресс, школа Ван Лохема, дома колбасы), набережную, лесную поляну, зимой ёлку за 18 миллионов ")</f>
        <v>Кировский (прогресс, школа Ван Лохема, дома колбасы), набережную, лесную поляну, зимой ёлку за 18 миллионов </v>
      </c>
      <c r="L1799" s="6" t="str">
        <f>IFERROR(__xludf.DUMMYFUNCTION("""COMPUTED_VALUE"""),"Где родился, там и пригодился")</f>
        <v>Где родился, там и пригодился</v>
      </c>
      <c r="M1799" s="6" t="str">
        <f>IFERROR(__xludf.DUMMYFUNCTION("""COMPUTED_VALUE"""),"Черемша, мультифорка, валенки, (шахтовый сленг)")</f>
        <v>Черемша, мультифорка, валенки, (шахтовый сленг)</v>
      </c>
      <c r="N1799" s="6" t="str">
        <f>IFERROR(__xludf.DUMMYFUNCTION("""COMPUTED_VALUE"""),"Экология, красивая архитектура, доступный транспорт, места для всевозможных тусовок, активности")</f>
        <v>Экология, красивая архитектура, доступный транспорт, места для всевозможных тусовок, активности</v>
      </c>
      <c r="O1799" s="6" t="str">
        <f>IFERROR(__xludf.DUMMYFUNCTION("""COMPUTED_VALUE"""),"Экология ")</f>
        <v>Экология </v>
      </c>
      <c r="P1799" s="6" t="str">
        <f>IFERROR(__xludf.DUMMYFUNCTION("""COMPUTED_VALUE"""),"Яндекс новости, сплетни на работе ")</f>
        <v>Яндекс новости, сплетни на работе </v>
      </c>
      <c r="Q1799" s="6" t="str">
        <f>IFERROR(__xludf.DUMMYFUNCTION("""COMPUTED_VALUE"""),"куда пойти в свободное время, интервью с местными творческими личностями, интервью с местными предпринимателями")</f>
        <v>куда пойти в свободное время, интервью с местными творческими личностями, интервью с местными предпринимателями</v>
      </c>
      <c r="R1799" s="6" t="str">
        <f>IFERROR(__xludf.DUMMYFUNCTION("""COMPUTED_VALUE"""),"Самый близкий - День города")</f>
        <v>Самый близкий - День города</v>
      </c>
      <c r="S1799" s="6" t="str">
        <f>IFERROR(__xludf.DUMMYFUNCTION("""COMPUTED_VALUE"""),"Через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Вконтакте")</f>
        <v>Через социальные сети (Какие? Укажите в графе другое), Обращался в редакции электронных городских СМИ, Обращался в редакции городских газет, телевидения, радио, Вконтакте</v>
      </c>
      <c r="T1799" s="6" t="str">
        <f>IFERROR(__xludf.DUMMYFUNCTION("""COMPUTED_VALUE"""),"Уголь, Человек из Кемерово, ВК Кузбасс, Гришковец")</f>
        <v>Уголь, Человек из Кемерово, ВК Кузбасс, Гришковец</v>
      </c>
      <c r="U1799" s="6" t="str">
        <f>IFERROR(__xludf.DUMMYFUNCTION("""COMPUTED_VALUE"""),"Площадь Советов - Ленин")</f>
        <v>Площадь Советов - Ленин</v>
      </c>
      <c r="V1799" s="6" t="str">
        <f>IFERROR(__xludf.DUMMYFUNCTION("""COMPUTED_VALUE"""),"Сохранили архитектуру старого центра")</f>
        <v>Сохранили архитектуру старого центра</v>
      </c>
      <c r="W1799" s="6" t="str">
        <f>IFERROR(__xludf.DUMMYFUNCTION("""COMPUTED_VALUE"""),"Стеснительные")</f>
        <v>Стеснительные</v>
      </c>
      <c r="X1799" s="6" t="str">
        <f>IFERROR(__xludf.DUMMYFUNCTION("""COMPUTED_VALUE"""),"Набережная-Весенняя-Ноградская-Филармония")</f>
        <v>Набережная-Весенняя-Ноградская-Филармония</v>
      </c>
      <c r="Y1799" s="6" t="str">
        <f>IFERROR(__xludf.DUMMYFUNCTION("""COMPUTED_VALUE"""),"АИК Кузбасс ")</f>
        <v>АИК Кузбасс </v>
      </c>
      <c r="Z1799" s="6" t="str">
        <f>IFERROR(__xludf.DUMMYFUNCTION("""COMPUTED_VALUE"""),"Концерт Стройсервис")</f>
        <v>Концерт Стройсервис</v>
      </c>
      <c r="AA1799" s="6" t="str">
        <f>IFERROR(__xludf.DUMMYFUNCTION("""COMPUTED_VALUE"""),"Застройка притомского, создания там культурного и других кластеров, вместо восстановления Кировского района")</f>
        <v>Застройка притомского, создания там культурного и других кластеров, вместо восстановления Кировского района</v>
      </c>
      <c r="AB1799" s="6" t="str">
        <f>IFERROR(__xludf.DUMMYFUNCTION("""COMPUTED_VALUE"""),"Языковые сообщества")</f>
        <v>Языковые сообщества</v>
      </c>
      <c r="AC1799" s="6" t="str">
        <f>IFERROR(__xludf.DUMMYFUNCTION("""COMPUTED_VALUE"""),"Пляжные вечеринки на острове, где набережная. Различные фестивали для привлечения молодёжи. Спортивные соревнования с участием известных спортсменов ")</f>
        <v>Пляжные вечеринки на острове, где набережная. Различные фестивали для привлечения молодёжи. Спортивные соревнования с участием известных спортсменов </v>
      </c>
      <c r="AD1799"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Видеотворчество")</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Видеотворчество</v>
      </c>
      <c r="AE1799" s="6" t="str">
        <f>IFERROR(__xludf.DUMMYFUNCTION("""COMPUTED_VALUE"""),"Мужской")</f>
        <v>Мужской</v>
      </c>
      <c r="AF1799" s="6" t="str">
        <f>IFERROR(__xludf.DUMMYFUNCTION("""COMPUTED_VALUE"""),"18-29")</f>
        <v>18-29</v>
      </c>
      <c r="AG1799" s="6"/>
      <c r="AH1799" s="6"/>
      <c r="AI1799" s="6"/>
      <c r="AJ1799" s="6"/>
      <c r="AK1799" s="6"/>
      <c r="AL1799" s="6"/>
      <c r="AM1799" s="6"/>
    </row>
    <row r="1800">
      <c r="A1800" s="6">
        <v>1799.0</v>
      </c>
      <c r="B1800" s="6" t="str">
        <f>IFERROR(__xludf.DUMMYFUNCTION("""COMPUTED_VALUE"""),"Декрет")</f>
        <v>Декрет</v>
      </c>
      <c r="C1800" s="6" t="str">
        <f>IFERROR(__xludf.DUMMYFUNCTION("""COMPUTED_VALUE"""),"Макияж")</f>
        <v>Макияж</v>
      </c>
      <c r="D1800" s="6" t="str">
        <f>IFERROR(__xludf.DUMMYFUNCTION("""COMPUTED_VALUE"""),"Южный")</f>
        <v>Южный</v>
      </c>
      <c r="E1800" s="6" t="str">
        <f>IFERROR(__xludf.DUMMYFUNCTION("""COMPUTED_VALUE"""),"Аллея Патриотов
Памятник Гагарину
")</f>
        <v>Аллея Патриотов
Памятник Гагарину
</v>
      </c>
      <c r="F1800" s="6" t="str">
        <f>IFERROR(__xludf.DUMMYFUNCTION("""COMPUTED_VALUE"""),"Живу здесь с рождения")</f>
        <v>Живу здесь с рождения</v>
      </c>
      <c r="G1800" s="6" t="str">
        <f>IFERROR(__xludf.DUMMYFUNCTION("""COMPUTED_VALUE"""),"Драмтеатр
Площадь Советов
Площадь Пушкина
Аллея ул. Весенняя
Набережная
Бульвар Строителей
Бульвар Пионерский
Бор
Красная горка
Парк Веры Волошиной
Парк Чудес")</f>
        <v>Драмтеатр
Площадь Советов
Площадь Пушкина
Аллея ул. Весенняя
Набережная
Бульвар Строителей
Бульвар Пионерский
Бор
Красная горка
Парк Веры Волошиной
Парк Чудес</v>
      </c>
      <c r="H1800" s="6" t="str">
        <f>IFERROR(__xludf.DUMMYFUNCTION("""COMPUTED_VALUE"""),"Уголь
Смог
Химпром
Гришковец
Зимняя вишня")</f>
        <v>Уголь
Смог
Химпром
Гришковец
Зимняя вишня</v>
      </c>
      <c r="I1800" s="6" t="str">
        <f>IFERROR(__xludf.DUMMYFUNCTION("""COMPUTED_VALUE"""),"Гришковец
Малышева
Михайло Волков
Леонов")</f>
        <v>Гришковец
Малышева
Михайло Волков
Леонов</v>
      </c>
      <c r="J1800" s="6" t="str">
        <f>IFERROR(__xludf.DUMMYFUNCTION("""COMPUTED_VALUE"""),"Гришковец
Малышева")</f>
        <v>Гришковец
Малышева</v>
      </c>
      <c r="K1800" s="6" t="str">
        <f>IFERROR(__xludf.DUMMYFUNCTION("""COMPUTED_VALUE"""),"Музей Краеведческий")</f>
        <v>Музей Краеведческий</v>
      </c>
      <c r="L1800" s="6" t="str">
        <f>IFERROR(__xludf.DUMMYFUNCTION("""COMPUTED_VALUE"""),"Незнаю")</f>
        <v>Незнаю</v>
      </c>
      <c r="M1800" s="6" t="str">
        <f>IFERROR(__xludf.DUMMYFUNCTION("""COMPUTED_VALUE"""),"Нет")</f>
        <v>Нет</v>
      </c>
      <c r="N1800" s="6" t="str">
        <f>IFERROR(__xludf.DUMMYFUNCTION("""COMPUTED_VALUE"""),"Транспортное сообщение
Аэропорт
Жд вокзал
")</f>
        <v>Транспортное сообщение
Аэропорт
Жд вокзал
</v>
      </c>
      <c r="O1800" s="6" t="str">
        <f>IFERROR(__xludf.DUMMYFUNCTION("""COMPUTED_VALUE"""),"Дороги ремонт
Увеличить парковочные зоны спальных районов
Увеличить количество детских площадок с резиновым покрытием
Увеличить количество нерегулируемых пешеходных переходов
Убрать с аллей прокат машинок")</f>
        <v>Дороги ремонт
Увеличить парковочные зоны спальных районов
Увеличить количество детских площадок с резиновым покрытием
Увеличить количество нерегулируемых пешеходных переходов
Убрать с аллей прокат машинок</v>
      </c>
      <c r="P1800" s="6" t="str">
        <f>IFERROR(__xludf.DUMMYFUNCTION("""COMPUTED_VALUE"""),"Инмтаграм")</f>
        <v>Инмтаграм</v>
      </c>
      <c r="Q1800"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800" s="6" t="str">
        <f>IFERROR(__xludf.DUMMYFUNCTION("""COMPUTED_VALUE"""),"Ни какие")</f>
        <v>Ни какие</v>
      </c>
      <c r="S1800" s="6" t="str">
        <f>IFERROR(__xludf.DUMMYFUNCTION("""COMPUTED_VALUE"""),"Нет, не приходилось")</f>
        <v>Нет, не приходилось</v>
      </c>
      <c r="T1800" s="6" t="str">
        <f>IFERROR(__xludf.DUMMYFUNCTION("""COMPUTED_VALUE"""),"Ни-че-го")</f>
        <v>Ни-че-го</v>
      </c>
      <c r="U1800" s="6" t="str">
        <f>IFERROR(__xludf.DUMMYFUNCTION("""COMPUTED_VALUE"""),"Набережная")</f>
        <v>Набережная</v>
      </c>
      <c r="V1800" s="6" t="str">
        <f>IFERROR(__xludf.DUMMYFUNCTION("""COMPUTED_VALUE"""),"Ничего")</f>
        <v>Ничего</v>
      </c>
      <c r="W1800" s="6" t="str">
        <f>IFERROR(__xludf.DUMMYFUNCTION("""COMPUTED_VALUE"""),"Бедные")</f>
        <v>Бедные</v>
      </c>
      <c r="X1800" s="6" t="str">
        <f>IFERROR(__xludf.DUMMYFUNCTION("""COMPUTED_VALUE"""),"Пр. Ленина")</f>
        <v>Пр. Ленина</v>
      </c>
      <c r="Y1800" s="6" t="str">
        <f>IFERROR(__xludf.DUMMYFUNCTION("""COMPUTED_VALUE"""),"Зимняя вишня пожар")</f>
        <v>Зимняя вишня пожар</v>
      </c>
      <c r="Z1800" s="6" t="str">
        <f>IFERROR(__xludf.DUMMYFUNCTION("""COMPUTED_VALUE"""),"Спектакль Гришковца")</f>
        <v>Спектакль Гришковца</v>
      </c>
      <c r="AA1800" s="6" t="str">
        <f>IFERROR(__xludf.DUMMYFUNCTION("""COMPUTED_VALUE"""),"Пожар зимняя вишня")</f>
        <v>Пожар зимняя вишня</v>
      </c>
      <c r="AB1800" s="6" t="str">
        <f>IFERROR(__xludf.DUMMYFUNCTION("""COMPUTED_VALUE"""),"Хорошего парка аттракционов
Скейт парков")</f>
        <v>Хорошего парка аттракционов
Скейт парков</v>
      </c>
      <c r="AC1800" s="6" t="str">
        <f>IFERROR(__xludf.DUMMYFUNCTION("""COMPUTED_VALUE"""),"Детских мероприятий на свежем воздухе
Концертов в парках")</f>
        <v>Детских мероприятий на свежем воздухе
Концертов в парках</v>
      </c>
      <c r="AD180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00" s="6" t="str">
        <f>IFERROR(__xludf.DUMMYFUNCTION("""COMPUTED_VALUE"""),"Женский")</f>
        <v>Женский</v>
      </c>
      <c r="AF1800" s="6" t="str">
        <f>IFERROR(__xludf.DUMMYFUNCTION("""COMPUTED_VALUE"""),"30-44")</f>
        <v>30-44</v>
      </c>
      <c r="AG1800" s="6"/>
      <c r="AH1800" s="6"/>
      <c r="AI1800" s="6"/>
      <c r="AJ1800" s="6"/>
      <c r="AK1800" s="6"/>
      <c r="AL1800" s="6"/>
      <c r="AM1800" s="6"/>
    </row>
    <row r="1801">
      <c r="A1801" s="6">
        <v>1800.0</v>
      </c>
      <c r="B1801" s="6" t="str">
        <f>IFERROR(__xludf.DUMMYFUNCTION("""COMPUTED_VALUE"""),"Руководитель ")</f>
        <v>Руководитель </v>
      </c>
      <c r="C1801" s="6" t="str">
        <f>IFERROR(__xludf.DUMMYFUNCTION("""COMPUTED_VALUE"""),"Рыбалка")</f>
        <v>Рыбалка</v>
      </c>
      <c r="D1801" s="6" t="str">
        <f>IFERROR(__xludf.DUMMYFUNCTION("""COMPUTED_VALUE"""),"Заводский, называем ""Предвокзал""")</f>
        <v>Заводский, называем "Предвокзал"</v>
      </c>
      <c r="E1801" s="6" t="str">
        <f>IFERROR(__xludf.DUMMYFUNCTION("""COMPUTED_VALUE"""),"Весенняя, Кирова")</f>
        <v>Весенняя, Кирова</v>
      </c>
      <c r="F1801" s="6" t="str">
        <f>IFERROR(__xludf.DUMMYFUNCTION("""COMPUTED_VALUE"""),"Живу здесь с рождения")</f>
        <v>Живу здесь с рождения</v>
      </c>
      <c r="G1801" s="6" t="str">
        <f>IFERROR(__xludf.DUMMYFUNCTION("""COMPUTED_VALUE"""),"Набережная")</f>
        <v>Набережная</v>
      </c>
      <c r="H1801" s="6" t="str">
        <f>IFERROR(__xludf.DUMMYFUNCTION("""COMPUTED_VALUE"""),"Заводы, уголь, копоть, Тулеев, Искитимка")</f>
        <v>Заводы, уголь, копоть, Тулеев, Искитимка</v>
      </c>
      <c r="I1801" s="6" t="str">
        <f>IFERROR(__xludf.DUMMYFUNCTION("""COMPUTED_VALUE"""),"Тулеев")</f>
        <v>Тулеев</v>
      </c>
      <c r="J1801" s="6" t="str">
        <f>IFERROR(__xludf.DUMMYFUNCTION("""COMPUTED_VALUE"""),"Гриневич Эдуард Викторович, Курилов Константин Семёнович много лет был главным врачом онкологии, зам.губернатора по здравоохранению")</f>
        <v>Гриневич Эдуард Викторович, Курилов Константин Семёнович много лет был главным врачом онкологии, зам.губернатора по здравоохранению</v>
      </c>
      <c r="K1801" s="6" t="str">
        <f>IFERROR(__xludf.DUMMYFUNCTION("""COMPUTED_VALUE"""),"Набережная, надпись Кузбасс и вечный огонь")</f>
        <v>Набережная, надпись Кузбасс и вечный огонь</v>
      </c>
      <c r="L1801" s="6" t="str">
        <f>IFERROR(__xludf.DUMMYFUNCTION("""COMPUTED_VALUE"""),"Мы вечная Щегловка")</f>
        <v>Мы вечная Щегловка</v>
      </c>
      <c r="M1801" s="6" t="str">
        <f>IFERROR(__xludf.DUMMYFUNCTION("""COMPUTED_VALUE"""),"Нет")</f>
        <v>Нет</v>
      </c>
      <c r="N1801" s="6" t="str">
        <f>IFERROR(__xludf.DUMMYFUNCTION("""COMPUTED_VALUE"""),"Понятное расположение улиц")</f>
        <v>Понятное расположение улиц</v>
      </c>
      <c r="O1801" s="6" t="str">
        <f>IFERROR(__xludf.DUMMYFUNCTION("""COMPUTED_VALUE"""),"Отношение горожан к городу")</f>
        <v>Отношение горожан к городу</v>
      </c>
      <c r="P1801" s="6" t="str">
        <f>IFERROR(__xludf.DUMMYFUNCTION("""COMPUTED_VALUE"""),"Инстаграм")</f>
        <v>Инстаграм</v>
      </c>
      <c r="Q1801"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бизнес-новости "&amp;"(средний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интервью с местными политиками,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v>
      </c>
      <c r="R1801" s="6" t="str">
        <f>IFERROR(__xludf.DUMMYFUNCTION("""COMPUTED_VALUE"""),"День города")</f>
        <v>День города</v>
      </c>
      <c r="S1801" s="6" t="str">
        <f>IFERROR(__xludf.DUMMYFUNCTION("""COMPUTED_VALUE"""),"Писал и расклеивал объявления/афиши, Обращался в редакции городских газет, телевидения, радио")</f>
        <v>Писал и расклеивал объявления/афиши, Обращался в редакции городских газет, телевидения, радио</v>
      </c>
      <c r="T1801" s="6" t="str">
        <f>IFERROR(__xludf.DUMMYFUNCTION("""COMPUTED_VALUE"""),"Кемерово известен только углем и ""Зимней Вишней""")</f>
        <v>Кемерово известен только углем и "Зимней Вишней"</v>
      </c>
      <c r="U1801" s="6" t="str">
        <f>IFERROR(__xludf.DUMMYFUNCTION("""COMPUTED_VALUE"""),"Площадь советов")</f>
        <v>Площадь советов</v>
      </c>
      <c r="V1801" s="6" t="str">
        <f>IFERROR(__xludf.DUMMYFUNCTION("""COMPUTED_VALUE"""),"Превратили деревню в город")</f>
        <v>Превратили деревню в город</v>
      </c>
      <c r="W1801" s="6" t="str">
        <f>IFERROR(__xludf.DUMMYFUNCTION("""COMPUTED_VALUE"""),"Злые, обиженные, негативные и вечно ноют")</f>
        <v>Злые, обиженные, негативные и вечно ноют</v>
      </c>
      <c r="X1801" s="6" t="str">
        <f>IFERROR(__xludf.DUMMYFUNCTION("""COMPUTED_VALUE"""),"Набережная")</f>
        <v>Набережная</v>
      </c>
      <c r="Y1801" s="6" t="str">
        <f>IFERROR(__xludf.DUMMYFUNCTION("""COMPUTED_VALUE"""),"Пожар в ТЦ, теперь про Кемерово знает вся страна")</f>
        <v>Пожар в ТЦ, теперь про Кемерово знает вся страна</v>
      </c>
      <c r="Z1801" s="6" t="str">
        <f>IFERROR(__xludf.DUMMYFUNCTION("""COMPUTED_VALUE"""),"Нет такого")</f>
        <v>Нет такого</v>
      </c>
      <c r="AA1801" s="6" t="str">
        <f>IFERROR(__xludf.DUMMYFUNCTION("""COMPUTED_VALUE"""),"Ухудшение качества жизни связанное с отсутствием развития для горожан")</f>
        <v>Ухудшение качества жизни связанное с отсутствием развития для горожан</v>
      </c>
      <c r="AB1801" s="6" t="str">
        <f>IFERROR(__xludf.DUMMYFUNCTION("""COMPUTED_VALUE"""),"Достаточно")</f>
        <v>Достаточно</v>
      </c>
      <c r="AC1801" s="6" t="str">
        <f>IFERROR(__xludf.DUMMYFUNCTION("""COMPUTED_VALUE"""),"Меньше ТЦ, больше спортивно-оздоровительных центров и хотелось бы наконец-то Аквапарк")</f>
        <v>Меньше ТЦ, больше спортивно-оздоровительных центров и хотелось бы наконец-то Аквапарк</v>
      </c>
      <c r="AD180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Хотелось бы повысить финансовую грамотность населения, помочь справиться с труднос"&amp;"тями ")</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Хотелось бы повысить финансовую грамотность населения, помочь справиться с трудностями </v>
      </c>
      <c r="AE1801" s="6" t="str">
        <f>IFERROR(__xludf.DUMMYFUNCTION("""COMPUTED_VALUE"""),"Женский")</f>
        <v>Женский</v>
      </c>
      <c r="AF1801" s="6" t="str">
        <f>IFERROR(__xludf.DUMMYFUNCTION("""COMPUTED_VALUE"""),"30-44")</f>
        <v>30-44</v>
      </c>
      <c r="AG1801" s="6"/>
      <c r="AH1801" s="6"/>
      <c r="AI1801" s="6"/>
      <c r="AJ1801" s="6"/>
      <c r="AK1801" s="6"/>
      <c r="AL1801" s="6"/>
      <c r="AM1801" s="6"/>
    </row>
    <row r="1802">
      <c r="A1802" s="6">
        <v>1801.0</v>
      </c>
      <c r="B1802" s="6" t="str">
        <f>IFERROR(__xludf.DUMMYFUNCTION("""COMPUTED_VALUE"""),"Домохозяйка в декрете ")</f>
        <v>Домохозяйка в декрете </v>
      </c>
      <c r="C1802" s="6" t="str">
        <f>IFERROR(__xludf.DUMMYFUNCTION("""COMPUTED_VALUE"""),"Нет ")</f>
        <v>Нет </v>
      </c>
      <c r="D1802" s="6" t="str">
        <f>IFERROR(__xludf.DUMMYFUNCTION("""COMPUTED_VALUE"""),"Кировский, Кирыч ")</f>
        <v>Кировский, Кирыч </v>
      </c>
      <c r="E1802" s="6" t="str">
        <f>IFERROR(__xludf.DUMMYFUNCTION("""COMPUTED_VALUE"""),"Набережная ")</f>
        <v>Набережная </v>
      </c>
      <c r="F1802" s="6" t="str">
        <f>IFERROR(__xludf.DUMMYFUNCTION("""COMPUTED_VALUE"""),"Родился здесь,но сейчас живу в другом городе")</f>
        <v>Родился здесь,но сейчас живу в другом городе</v>
      </c>
      <c r="G1802" s="6" t="str">
        <f>IFERROR(__xludf.DUMMYFUNCTION("""COMPUTED_VALUE"""),"ТРЦ ""Лапландия "" ТРЦ  ""я"", набережная ")</f>
        <v>ТРЦ "Лапландия " ТРЦ  "я", набережная </v>
      </c>
      <c r="H1802" s="6" t="str">
        <f>IFERROR(__xludf.DUMMYFUNCTION("""COMPUTED_VALUE"""),"Красная Горка, Кинотеатр Юбилейный, бульвар строителей, шахтеры, промышленность ")</f>
        <v>Красная Горка, Кинотеатр Юбилейный, бульвар строителей, шахтеры, промышленность </v>
      </c>
      <c r="I1802" s="6" t="str">
        <f>IFERROR(__xludf.DUMMYFUNCTION("""COMPUTED_VALUE"""),"Михайло Волков ")</f>
        <v>Михайло Волков </v>
      </c>
      <c r="J1802" s="6" t="str">
        <f>IFERROR(__xludf.DUMMYFUNCTION("""COMPUTED_VALUE"""),"Не Знаю таких ")</f>
        <v>Не Знаю таких </v>
      </c>
      <c r="K1802" s="6" t="str">
        <f>IFERROR(__xludf.DUMMYFUNCTION("""COMPUTED_VALUE"""),"Из официальных надо ещё подумать что можно показать ")</f>
        <v>Из официальных надо ещё подумать что можно показать </v>
      </c>
      <c r="L1802" s="6" t="str">
        <f>IFERROR(__xludf.DUMMYFUNCTION("""COMPUTED_VALUE"""),"История про бабушку с пионерского бульвара которая в 90-х продавала пирожки с человечиной ")</f>
        <v>История про бабушку с пионерского бульвара которая в 90-х продавала пирожки с человечиной </v>
      </c>
      <c r="M1802" s="6" t="str">
        <f>IFERROR(__xludf.DUMMYFUNCTION("""COMPUTED_VALUE"""),"Мультифора, стоять на Сибиряках , Швейка, Транчик , ")</f>
        <v>Мультифора, стоять на Сибиряках , Швейка, Транчик , </v>
      </c>
      <c r="N1802" s="6" t="str">
        <f>IFERROR(__xludf.DUMMYFUNCTION("""COMPUTED_VALUE"""),"Хороший асфальт везде;Низкая загруженность дорог транспортом ; места /вакансии для устройства на хорошо оплачиваемую ОФИЦИАЛЬНУЮ работу; низкие цены ;качественное обслуживание жкх")</f>
        <v>Хороший асфальт везде;Низкая загруженность дорог транспортом ; места /вакансии для устройства на хорошо оплачиваемую ОФИЦИАЛЬНУЮ работу; низкие цены ;качественное обслуживание жкх</v>
      </c>
      <c r="O1802" s="6" t="str">
        <f>IFERROR(__xludf.DUMMYFUNCTION("""COMPUTED_VALUE"""),"Расширить и добавить новые производства в разных сферах деятельности (прим:сельское хозяйство) ")</f>
        <v>Расширить и добавить новые производства в разных сферах деятельности (прим:сельское хозяйство) </v>
      </c>
      <c r="P1802" s="6" t="str">
        <f>IFERROR(__xludf.DUMMYFUNCTION("""COMPUTED_VALUE"""),"сообщество Инцидент Кемерово")</f>
        <v>сообщество Инцидент Кемерово</v>
      </c>
      <c r="Q1802" s="6" t="str">
        <f>IFERROR(__xludf.DUMMYFUNCTION("""COMPUTED_VALUE"""),"где вкусно поесть/открытие новых кафе/ресторанов, городская афиша (кино/театр/концерты), интервью с местными творческими личностями, криминальные новости (происшествия/преступления), новости про новые профессии/куда поступать/вакансии")</f>
        <v>где вкусно поесть/открытие новых кафе/ресторанов, городская афиша (кино/театр/концерты), интервью с местными творческими личностями, криминальные новости (происшествия/преступления), новости про новые профессии/куда поступать/вакансии</v>
      </c>
      <c r="R1802" s="6" t="str">
        <f>IFERROR(__xludf.DUMMYFUNCTION("""COMPUTED_VALUE"""),"День города ")</f>
        <v>День города </v>
      </c>
      <c r="S1802" s="6" t="str">
        <f>IFERROR(__xludf.DUMMYFUNCTION("""COMPUTED_VALUE"""),"Нет, не приходилось")</f>
        <v>Нет, не приходилось</v>
      </c>
      <c r="T1802" s="6" t="str">
        <f>IFERROR(__xludf.DUMMYFUNCTION("""COMPUTED_VALUE"""),"Знаменит стал после пожара в Зимней Вишне, а так кроме добычи угля ничем не славится. Для жителей города уникальны только личные воспоминания связанные с городом. ")</f>
        <v>Знаменит стал после пожара в Зимней Вишне, а так кроме добычи угля ничем не славится. Для жителей города уникальны только личные воспоминания связанные с городом. </v>
      </c>
      <c r="U1802" s="6" t="str">
        <f>IFERROR(__xludf.DUMMYFUNCTION("""COMPUTED_VALUE"""),"Любая точка проспекта Ленина(парк Ангелов,Искитимский мост,Кинотеатр Юбилейный) ")</f>
        <v>Любая точка проспекта Ленина(парк Ангелов,Искитимский мост,Кинотеатр Юбилейный) </v>
      </c>
      <c r="V1802" s="6" t="str">
        <f>IFERROR(__xludf.DUMMYFUNCTION("""COMPUTED_VALUE"""),"Расширили город, построили производства ")</f>
        <v>Расширили город, построили производства </v>
      </c>
      <c r="W1802" s="6" t="str">
        <f>IFERROR(__xludf.DUMMYFUNCTION("""COMPUTED_VALUE"""),"Наглые, борзые но добрые в душе и отзывчивые ")</f>
        <v>Наглые, борзые но добрые в душе и отзывчивые </v>
      </c>
      <c r="X1802" s="6" t="str">
        <f>IFERROR(__xludf.DUMMYFUNCTION("""COMPUTED_VALUE"""),"Через парк на Искитимскомм мосту к набережной ")</f>
        <v>Через парк на Искитимскомм мосту к набережной </v>
      </c>
      <c r="Y1802" s="6" t="str">
        <f>IFERROR(__xludf.DUMMYFUNCTION("""COMPUTED_VALUE"""),"Не знаю ")</f>
        <v>Не знаю </v>
      </c>
      <c r="Z1802" s="6" t="str">
        <f>IFERROR(__xludf.DUMMYFUNCTION("""COMPUTED_VALUE"""),"День города")</f>
        <v>День города</v>
      </c>
      <c r="AA1802" s="6" t="str">
        <f>IFERROR(__xludf.DUMMYFUNCTION("""COMPUTED_VALUE"""),"Случай с девушкой которую убил бывший , а полиция никак не отреагировала из за чего она и погибла, пожар в Зимней Вишне ")</f>
        <v>Случай с девушкой которую убил бывший , а полиция никак не отреагировала из за чего она и погибла, пожар в Зимней Вишне </v>
      </c>
      <c r="AB1802" s="6" t="str">
        <f>IFERROR(__xludf.DUMMYFUNCTION("""COMPUTED_VALUE"""),"Приюты для животных  и отлов бродячих собак, Сообщества связанные с очисткой города от мусора ")</f>
        <v>Приюты для животных  и отлов бродячих собак, Сообщества связанные с очисткой города от мусора </v>
      </c>
      <c r="AC1802" s="6" t="str">
        <f>IFERROR(__xludf.DUMMYFUNCTION("""COMPUTED_VALUE"""),"Масштабные рок концерты под открытым небом ночью, артхаусные кинотеатры, и в принципе что б любые новинки доходили до города быстрее  будь то новинки моды или искусства . 
 ")</f>
        <v>Масштабные рок концерты под открытым небом ночью, артхаусные кинотеатры, и в принципе что б любые новинки доходили до города быстрее  будь то новинки моды или искусства . 
 </v>
      </c>
      <c r="AD1802"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802" s="6" t="str">
        <f>IFERROR(__xludf.DUMMYFUNCTION("""COMPUTED_VALUE"""),"Женский")</f>
        <v>Женский</v>
      </c>
      <c r="AF1802" s="6" t="str">
        <f>IFERROR(__xludf.DUMMYFUNCTION("""COMPUTED_VALUE"""),"18-29")</f>
        <v>18-29</v>
      </c>
      <c r="AG1802" s="6"/>
      <c r="AH1802" s="6"/>
      <c r="AI1802" s="6"/>
      <c r="AJ1802" s="6"/>
      <c r="AK1802" s="6"/>
      <c r="AL1802" s="6"/>
      <c r="AM1802" s="6"/>
    </row>
    <row r="1803">
      <c r="A1803" s="6">
        <v>1802.0</v>
      </c>
      <c r="B1803" s="6" t="str">
        <f>IFERROR(__xludf.DUMMYFUNCTION("""COMPUTED_VALUE"""),"Работаю ")</f>
        <v>Работаю </v>
      </c>
      <c r="C1803" s="6" t="str">
        <f>IFERROR(__xludf.DUMMYFUNCTION("""COMPUTED_VALUE"""),"Смотреть тел. ")</f>
        <v>Смотреть тел. </v>
      </c>
      <c r="D1803" s="6" t="str">
        <f>IFERROR(__xludf.DUMMYFUNCTION("""COMPUTED_VALUE"""),"Кировский. ")</f>
        <v>Кировский. </v>
      </c>
      <c r="E1803" s="6" t="str">
        <f>IFERROR(__xludf.DUMMYFUNCTION("""COMPUTED_VALUE"""),"Берёзовая роща")</f>
        <v>Берёзовая роща</v>
      </c>
      <c r="F1803" s="6" t="str">
        <f>IFERROR(__xludf.DUMMYFUNCTION("""COMPUTED_VALUE"""),"Живу здесь с рождения")</f>
        <v>Живу здесь с рождения</v>
      </c>
      <c r="G1803" s="6" t="str">
        <f>IFERROR(__xludf.DUMMYFUNCTION("""COMPUTED_VALUE"""),"Берёзовая роща и набережная ")</f>
        <v>Берёзовая роща и набережная </v>
      </c>
      <c r="H1803" s="6" t="str">
        <f>IFERROR(__xludf.DUMMYFUNCTION("""COMPUTED_VALUE"""),"Родной, любимый, классный, обустрленный, строишейся. ")</f>
        <v>Родной, любимый, классный, обустрленный, строишейся. </v>
      </c>
      <c r="I1803" s="6" t="str">
        <f>IFERROR(__xludf.DUMMYFUNCTION("""COMPUTED_VALUE"""),"Леонов, волков. ")</f>
        <v>Леонов, волков. </v>
      </c>
      <c r="J1803" s="6" t="str">
        <f>IFERROR(__xludf.DUMMYFUNCTION("""COMPUTED_VALUE"""),"Тулеев. ")</f>
        <v>Тулеев. </v>
      </c>
      <c r="K1803" s="6" t="str">
        <f>IFERROR(__xludf.DUMMYFUNCTION("""COMPUTED_VALUE"""),"Красная горка. Томская писаница")</f>
        <v>Красная горка. Томская писаница</v>
      </c>
      <c r="L1803" s="6" t="str">
        <f>IFERROR(__xludf.DUMMYFUNCTION("""COMPUTED_VALUE"""),".......... ")</f>
        <v>.......... </v>
      </c>
      <c r="M1803" s="6" t="str">
        <f>IFERROR(__xludf.DUMMYFUNCTION("""COMPUTED_VALUE"""),"Нет")</f>
        <v>Нет</v>
      </c>
      <c r="N1803" s="6" t="str">
        <f>IFERROR(__xludf.DUMMYFUNCTION("""COMPUTED_VALUE"""),"Ещё не придумала. ")</f>
        <v>Ещё не придумала. </v>
      </c>
      <c r="O1803" s="6" t="str">
        <f>IFERROR(__xludf.DUMMYFUNCTION("""COMPUTED_VALUE"""),"Побольше зелёных зон")</f>
        <v>Побольше зелёных зон</v>
      </c>
      <c r="P1803" s="6" t="str">
        <f>IFERROR(__xludf.DUMMYFUNCTION("""COMPUTED_VALUE"""),"Из телевизора")</f>
        <v>Из телевизора</v>
      </c>
      <c r="Q1803"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пост"&amp;"упать/вакансии,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1803" s="6" t="str">
        <f>IFERROR(__xludf.DUMMYFUNCTION("""COMPUTED_VALUE"""),"Все")</f>
        <v>Все</v>
      </c>
      <c r="S1803" s="6" t="str">
        <f>IFERROR(__xludf.DUMMYFUNCTION("""COMPUTED_VALUE"""),"Нет, не приходилось")</f>
        <v>Нет, не приходилось</v>
      </c>
      <c r="T1803" s="6" t="str">
        <f>IFERROR(__xludf.DUMMYFUNCTION("""COMPUTED_VALUE"""),"Все ")</f>
        <v>Все </v>
      </c>
      <c r="U1803" s="6" t="str">
        <f>IFERROR(__xludf.DUMMYFUNCTION("""COMPUTED_VALUE"""),"Площадь советов. ")</f>
        <v>Площадь советов. </v>
      </c>
      <c r="V1803" s="6" t="str">
        <f>IFERROR(__xludf.DUMMYFUNCTION("""COMPUTED_VALUE"""),"Незнаю")</f>
        <v>Незнаю</v>
      </c>
      <c r="W1803" s="6" t="str">
        <f>IFERROR(__xludf.DUMMYFUNCTION("""COMPUTED_VALUE"""),"Доброжилательные")</f>
        <v>Доброжилательные</v>
      </c>
      <c r="X1803" s="6" t="str">
        <f>IFERROR(__xludf.DUMMYFUNCTION("""COMPUTED_VALUE"""),"По советскому проспекту. ")</f>
        <v>По советскому проспекту. </v>
      </c>
      <c r="Y1803" s="6" t="str">
        <f>IFERROR(__xludf.DUMMYFUNCTION("""COMPUTED_VALUE"""),"Ремонт ")</f>
        <v>Ремонт </v>
      </c>
      <c r="Z1803" s="6" t="str">
        <f>IFERROR(__xludf.DUMMYFUNCTION("""COMPUTED_VALUE"""),"Салют. ")</f>
        <v>Салют. </v>
      </c>
      <c r="AA1803" s="6" t="str">
        <f>IFERROR(__xludf.DUMMYFUNCTION("""COMPUTED_VALUE"""),"Пробки. ")</f>
        <v>Пробки. </v>
      </c>
      <c r="AB1803" s="6" t="str">
        <f>IFERROR(__xludf.DUMMYFUNCTION("""COMPUTED_VALUE"""),"Незнаю")</f>
        <v>Незнаю</v>
      </c>
      <c r="AC1803" s="6" t="str">
        <f>IFERROR(__xludf.DUMMYFUNCTION("""COMPUTED_VALUE"""),"Больше уличных мероприятий. ")</f>
        <v>Больше уличных мероприятий. </v>
      </c>
      <c r="AD180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803" s="6" t="str">
        <f>IFERROR(__xludf.DUMMYFUNCTION("""COMPUTED_VALUE"""),"Женский")</f>
        <v>Женский</v>
      </c>
      <c r="AF1803" s="6" t="str">
        <f>IFERROR(__xludf.DUMMYFUNCTION("""COMPUTED_VALUE"""),"45-55")</f>
        <v>45-55</v>
      </c>
      <c r="AG1803" s="6"/>
      <c r="AH1803" s="6"/>
      <c r="AI1803" s="6"/>
      <c r="AJ1803" s="6"/>
      <c r="AK1803" s="6"/>
      <c r="AL1803" s="6"/>
      <c r="AM1803" s="6"/>
    </row>
    <row r="1804">
      <c r="A1804" s="6">
        <v>1803.0</v>
      </c>
      <c r="B1804" s="6" t="str">
        <f>IFERROR(__xludf.DUMMYFUNCTION("""COMPUTED_VALUE"""),"Ип")</f>
        <v>Ип</v>
      </c>
      <c r="C1804" s="6" t="str">
        <f>IFERROR(__xludf.DUMMYFUNCTION("""COMPUTED_VALUE"""),"Дача")</f>
        <v>Дача</v>
      </c>
      <c r="D1804" s="6" t="str">
        <f>IFERROR(__xludf.DUMMYFUNCTION("""COMPUTED_VALUE"""),"Заводской ")</f>
        <v>Заводской </v>
      </c>
      <c r="E1804" s="6" t="str">
        <f>IFERROR(__xludf.DUMMYFUNCTION("""COMPUTED_VALUE"""),"Швейная фабрика ")</f>
        <v>Швейная фабрика </v>
      </c>
      <c r="F1804" s="6" t="str">
        <f>IFERROR(__xludf.DUMMYFUNCTION("""COMPUTED_VALUE"""),"Живу здесь с рождения")</f>
        <v>Живу здесь с рождения</v>
      </c>
      <c r="G1804" s="6" t="str">
        <f>IFERROR(__xludf.DUMMYFUNCTION("""COMPUTED_VALUE"""),"Набережная томи")</f>
        <v>Набережная томи</v>
      </c>
      <c r="H1804" s="6" t="str">
        <f>IFERROR(__xludf.DUMMYFUNCTION("""COMPUTED_VALUE"""),"Уголь..моногород. безработица. Азот...большие цены на недвижимость. ")</f>
        <v>Уголь..моногород. безработица. Азот...большие цены на недвижимость. </v>
      </c>
      <c r="I1804" s="6" t="str">
        <f>IFERROR(__xludf.DUMMYFUNCTION("""COMPUTED_VALUE"""),"Фёдоров...")</f>
        <v>Фёдоров...</v>
      </c>
      <c r="J1804" s="6" t="str">
        <f>IFERROR(__xludf.DUMMYFUNCTION("""COMPUTED_VALUE"""),"Тулеев. Михайлов.....")</f>
        <v>Тулеев. Михайлов.....</v>
      </c>
      <c r="K1804" s="6" t="str">
        <f>IFERROR(__xludf.DUMMYFUNCTION("""COMPUTED_VALUE"""),"Томская писаница ")</f>
        <v>Томская писаница </v>
      </c>
      <c r="L1804" s="6" t="str">
        <f>IFERROR(__xludf.DUMMYFUNCTION("""COMPUTED_VALUE"""),"Не знаю ")</f>
        <v>Не знаю </v>
      </c>
      <c r="M1804" s="6" t="str">
        <f>IFERROR(__xludf.DUMMYFUNCTION("""COMPUTED_VALUE"""),"Не знаю ")</f>
        <v>Не знаю </v>
      </c>
      <c r="N1804" s="6" t="str">
        <f>IFERROR(__xludf.DUMMYFUNCTION("""COMPUTED_VALUE"""),"Работа...дороги...доступные цены на жильё. ")</f>
        <v>Работа...дороги...доступные цены на жильё. </v>
      </c>
      <c r="O1804" s="6" t="str">
        <f>IFERROR(__xludf.DUMMYFUNCTION("""COMPUTED_VALUE"""),"Защита граждан и их прав...лучшею работу полиции.")</f>
        <v>Защита граждан и их прав...лучшею работу полиции.</v>
      </c>
      <c r="P1804" s="6" t="str">
        <f>IFERROR(__xludf.DUMMYFUNCTION("""COMPUTED_VALUE"""),"Инстограм. Новости  42 по тв..")</f>
        <v>Инстограм. Новости  42 по тв..</v>
      </c>
      <c r="Q1804" s="6" t="str">
        <f>IFERROR(__xludf.DUMMYFUNCTION("""COMPUTED_VALUE"""),"интервью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f>
        <v>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804" s="6" t="str">
        <f>IFERROR(__xludf.DUMMYFUNCTION("""COMPUTED_VALUE"""),"9 мая...день шахтёра. ")</f>
        <v>9 мая...день шахтёра. </v>
      </c>
      <c r="S1804" s="6" t="str">
        <f>IFERROR(__xludf.DUMMYFUNCTION("""COMPUTED_VALUE"""),"Нет, не приходилось")</f>
        <v>Нет, не приходилось</v>
      </c>
      <c r="T1804" s="6" t="str">
        <f>IFERROR(__xludf.DUMMYFUNCTION("""COMPUTED_VALUE"""),"Башенные цены на все...криминал. ")</f>
        <v>Башенные цены на все...криминал. </v>
      </c>
      <c r="U1804" s="6" t="str">
        <f>IFERROR(__xludf.DUMMYFUNCTION("""COMPUTED_VALUE"""),"Швейка ")</f>
        <v>Швейка </v>
      </c>
      <c r="V1804" s="6" t="str">
        <f>IFERROR(__xludf.DUMMYFUNCTION("""COMPUTED_VALUE"""),"Строили город....")</f>
        <v>Строили город....</v>
      </c>
      <c r="W1804" s="6" t="str">
        <f>IFERROR(__xludf.DUMMYFUNCTION("""COMPUTED_VALUE"""),"Работяги ")</f>
        <v>Работяги </v>
      </c>
      <c r="X1804" s="6" t="str">
        <f>IFERROR(__xludf.DUMMYFUNCTION("""COMPUTED_VALUE"""),"Не знаю")</f>
        <v>Не знаю</v>
      </c>
      <c r="Y1804" s="6" t="str">
        <f>IFERROR(__xludf.DUMMYFUNCTION("""COMPUTED_VALUE"""),"Чемпионат по бэнди.....")</f>
        <v>Чемпионат по бэнди.....</v>
      </c>
      <c r="Z1804" s="6" t="str">
        <f>IFERROR(__xludf.DUMMYFUNCTION("""COMPUTED_VALUE"""),"Ремонт и благоустройство дорог и дворовых территории ")</f>
        <v>Ремонт и благоустройство дорог и дворовых территории </v>
      </c>
      <c r="AA1804" s="6" t="str">
        <f>IFERROR(__xludf.DUMMYFUNCTION("""COMPUTED_VALUE"""),"Зимняя вишня...баня на крыше многоэтажке...")</f>
        <v>Зимняя вишня...баня на крыше многоэтажке...</v>
      </c>
      <c r="AB1804" s="6" t="str">
        <f>IFERROR(__xludf.DUMMYFUNCTION("""COMPUTED_VALUE"""),"Затрудняюсь ответить")</f>
        <v>Затрудняюсь ответить</v>
      </c>
      <c r="AC1804" s="6" t="str">
        <f>IFERROR(__xludf.DUMMYFUNCTION("""COMPUTED_VALUE"""),"Субботники.высадка деревьев...озеленение...")</f>
        <v>Субботники.высадка деревьев...озеленение...</v>
      </c>
      <c r="AD180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804" s="6" t="str">
        <f>IFERROR(__xludf.DUMMYFUNCTION("""COMPUTED_VALUE"""),"Женский")</f>
        <v>Женский</v>
      </c>
      <c r="AF1804" s="6" t="str">
        <f>IFERROR(__xludf.DUMMYFUNCTION("""COMPUTED_VALUE"""),"45-55")</f>
        <v>45-55</v>
      </c>
      <c r="AG1804" s="6"/>
      <c r="AH1804" s="6"/>
      <c r="AI1804" s="6"/>
      <c r="AJ1804" s="6"/>
      <c r="AK1804" s="6"/>
      <c r="AL1804" s="6"/>
      <c r="AM1804" s="6"/>
    </row>
    <row r="1805">
      <c r="A1805" s="6">
        <v>1804.0</v>
      </c>
      <c r="B1805" s="6" t="str">
        <f>IFERROR(__xludf.DUMMYFUNCTION("""COMPUTED_VALUE"""),"Безоаботная")</f>
        <v>Безоаботная</v>
      </c>
      <c r="C1805" s="6" t="str">
        <f>IFERROR(__xludf.DUMMYFUNCTION("""COMPUTED_VALUE"""),"Петь")</f>
        <v>Петь</v>
      </c>
      <c r="D1805" s="6" t="str">
        <f>IFERROR(__xludf.DUMMYFUNCTION("""COMPUTED_VALUE"""),"Кировский")</f>
        <v>Кировский</v>
      </c>
      <c r="E1805" s="6" t="str">
        <f>IFERROR(__xludf.DUMMYFUNCTION("""COMPUTED_VALUE"""),"Набережная Березовая Роща, сквер Леонова")</f>
        <v>Набережная Березовая Роща, сквер Леонова</v>
      </c>
      <c r="F1805" s="6" t="str">
        <f>IFERROR(__xludf.DUMMYFUNCTION("""COMPUTED_VALUE"""),"Переехал сюда из другого места (откуда? укажите в графе другое), Переехала с Белово 11 лет назад")</f>
        <v>Переехал сюда из другого места (откуда? укажите в графе другое), Переехала с Белово 11 лет назад</v>
      </c>
      <c r="G1805" s="6" t="str">
        <f>IFERROR(__xludf.DUMMYFUNCTION("""COMPUTED_VALUE"""),"Притомская набережная")</f>
        <v>Притомская набережная</v>
      </c>
      <c r="H1805" s="6" t="str">
        <f>IFERROR(__xludf.DUMMYFUNCTION("""COMPUTED_VALUE"""),"Грязь, пыль,мусор, ямы на дорогах, алкаши")</f>
        <v>Грязь, пыль,мусор, ямы на дорогах, алкаши</v>
      </c>
      <c r="I1805" s="6" t="str">
        <f>IFERROR(__xludf.DUMMYFUNCTION("""COMPUTED_VALUE"""),"Малышева Елена, Евгений Гришковец")</f>
        <v>Малышева Елена, Евгений Гришковец</v>
      </c>
      <c r="J1805" s="6" t="str">
        <f>IFERROR(__xludf.DUMMYFUNCTION("""COMPUTED_VALUE"""),"Тулеев")</f>
        <v>Тулеев</v>
      </c>
      <c r="K1805" s="6" t="str">
        <f>IFERROR(__xludf.DUMMYFUNCTION("""COMPUTED_VALUE"""),"Буквы КУЗБАСС ")</f>
        <v>Буквы КУЗБАСС </v>
      </c>
      <c r="L1805" s="6" t="str">
        <f>IFERROR(__xludf.DUMMYFUNCTION("""COMPUTED_VALUE"""),"Не знаю")</f>
        <v>Не знаю</v>
      </c>
      <c r="M1805" s="6" t="str">
        <f>IFERROR(__xludf.DUMMYFUNCTION("""COMPUTED_VALUE"""),"Нет")</f>
        <v>Нет</v>
      </c>
      <c r="N1805" s="6" t="str">
        <f>IFERROR(__xludf.DUMMYFUNCTION("""COMPUTED_VALUE"""),"Чистота, ухоженные дворы, отсутствие безработицы, достойный уровень оплаты труда, реализованные соц программы")</f>
        <v>Чистота, ухоженные дворы, отсутствие безработицы, достойный уровень оплаты труда, реализованные соц программы</v>
      </c>
      <c r="O1805" s="6" t="str">
        <f>IFERROR(__xludf.DUMMYFUNCTION("""COMPUTED_VALUE"""),"Администрацию")</f>
        <v>Администрацию</v>
      </c>
      <c r="P1805" s="6" t="str">
        <f>IFERROR(__xludf.DUMMYFUNCTION("""COMPUTED_VALUE"""),"Инстаграмм")</f>
        <v>Инстаграмм</v>
      </c>
      <c r="Q1805" s="6" t="str">
        <f>IFERROR(__xludf.DUMMYFUNCTION("""COMPUTED_VALUE"""),"криминальные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f>
        <v>криминальные новости (происшествия/преступления), новости про новые профессии/куда поступать/вакансии, результаты местных исследований (рейтинги/аналитика/тенденции)</v>
      </c>
      <c r="R1805" s="6" t="str">
        <f>IFERROR(__xludf.DUMMYFUNCTION("""COMPUTED_VALUE"""),"День шахтера")</f>
        <v>День шахтера</v>
      </c>
      <c r="S1805" s="6" t="str">
        <f>IFERROR(__xludf.DUMMYFUNCTION("""COMPUTED_VALUE"""),"Обращался в редакции электронных городских СМИ")</f>
        <v>Обращался в редакции электронных городских СМИ</v>
      </c>
      <c r="T1805" s="6" t="str">
        <f>IFERROR(__xludf.DUMMYFUNCTION("""COMPUTED_VALUE"""),"Самая дорогая новогодняя пока в 3019 году, трагедия в Зимней Вишне")</f>
        <v>Самая дорогая новогодняя пока в 3019 году, трагедия в Зимней Вишне</v>
      </c>
      <c r="U1805" s="6" t="str">
        <f>IFERROR(__xludf.DUMMYFUNCTION("""COMPUTED_VALUE"""),"Нулевой км")</f>
        <v>Нулевой км</v>
      </c>
      <c r="V1805" s="6" t="str">
        <f>IFERROR(__xludf.DUMMYFUNCTION("""COMPUTED_VALUE"""),"Позволили увеличить рост взяточнимтву и воровству")</f>
        <v>Позволили увеличить рост взяточнимтву и воровству</v>
      </c>
      <c r="W1805" s="6" t="str">
        <f>IFERROR(__xludf.DUMMYFUNCTION("""COMPUTED_VALUE"""),"Злые,алчные, голодные, нищие интеллектом,ленивые")</f>
        <v>Злые,алчные, голодные, нищие интеллектом,ленивые</v>
      </c>
      <c r="X1805" s="6" t="str">
        <f>IFERROR(__xludf.DUMMYFUNCTION("""COMPUTED_VALUE"""),"Набережная в центре, театр драмы,музей Красная Горка")</f>
        <v>Набережная в центре, театр драмы,музей Красная Горка</v>
      </c>
      <c r="Y1805" s="6" t="str">
        <f>IFERROR(__xludf.DUMMYFUNCTION("""COMPUTED_VALUE"""),"Пожар в зимней вишне")</f>
        <v>Пожар в зимней вишне</v>
      </c>
      <c r="Z1805" s="6" t="str">
        <f>IFERROR(__xludf.DUMMYFUNCTION("""COMPUTED_VALUE"""),"Нет таких")</f>
        <v>Нет таких</v>
      </c>
      <c r="AA1805" s="6" t="str">
        <f>IFERROR(__xludf.DUMMYFUNCTION("""COMPUTED_VALUE"""),"Нет таких")</f>
        <v>Нет таких</v>
      </c>
      <c r="AB1805" s="6" t="str">
        <f>IFERROR(__xludf.DUMMYFUNCTION("""COMPUTED_VALUE"""),"Затрудняюсь ответить ")</f>
        <v>Затрудняюсь ответить </v>
      </c>
      <c r="AC1805" s="6" t="str">
        <f>IFERROR(__xludf.DUMMYFUNCTION("""COMPUTED_VALUE"""),"Праздники, городские мероприятия, флэшмобы")</f>
        <v>Праздники, городские мероприятия, флэшмобы</v>
      </c>
      <c r="AD1805"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805" s="6" t="str">
        <f>IFERROR(__xludf.DUMMYFUNCTION("""COMPUTED_VALUE"""),"Мужской")</f>
        <v>Мужской</v>
      </c>
      <c r="AF1805" s="6" t="str">
        <f>IFERROR(__xludf.DUMMYFUNCTION("""COMPUTED_VALUE"""),"18-29")</f>
        <v>18-29</v>
      </c>
      <c r="AG1805" s="6"/>
      <c r="AH1805" s="6"/>
      <c r="AI1805" s="6"/>
      <c r="AJ1805" s="6"/>
      <c r="AK1805" s="6"/>
      <c r="AL1805" s="6"/>
      <c r="AM1805" s="6"/>
    </row>
    <row r="1806">
      <c r="A1806" s="6">
        <v>1805.0</v>
      </c>
      <c r="B1806" s="6" t="str">
        <f>IFERROR(__xludf.DUMMYFUNCTION("""COMPUTED_VALUE"""),"Врач")</f>
        <v>Врач</v>
      </c>
      <c r="C1806" s="6" t="str">
        <f>IFERROR(__xludf.DUMMYFUNCTION("""COMPUTED_VALUE"""),"Велосипед ")</f>
        <v>Велосипед </v>
      </c>
      <c r="D1806" s="6" t="str">
        <f>IFERROR(__xludf.DUMMYFUNCTION("""COMPUTED_VALUE"""),"Бульвар (Ленинский район ")</f>
        <v>Бульвар (Ленинский район </v>
      </c>
      <c r="E1806" s="6" t="str">
        <f>IFERROR(__xludf.DUMMYFUNCTION("""COMPUTED_VALUE"""),"Бульвар Строителей, старый ботанический сад ")</f>
        <v>Бульвар Строителей, старый ботанический сад </v>
      </c>
      <c r="F1806" s="6" t="str">
        <f>IFERROR(__xludf.DUMMYFUNCTION("""COMPUTED_VALUE"""),"Переехал сюда из другого места (откуда? укажите в графе другое), Ленинск- кузнецкий ")</f>
        <v>Переехал сюда из другого места (откуда? укажите в графе другое), Ленинск- кузнецкий </v>
      </c>
      <c r="G1806" s="6" t="str">
        <f>IFERROR(__xludf.DUMMYFUNCTION("""COMPUTED_VALUE"""),"Бульвар Строителей, парк на пр- те Химиков, старый ботанический сад, Люскус ")</f>
        <v>Бульвар Строителей, парк на пр- те Химиков, старый ботанический сад, Люскус </v>
      </c>
      <c r="H1806" s="6" t="str">
        <f>IFERROR(__xludf.DUMMYFUNCTION("""COMPUTED_VALUE"""),"Уголь, ")</f>
        <v>Уголь, </v>
      </c>
      <c r="I1806" s="6" t="str">
        <f>IFERROR(__xludf.DUMMYFUNCTION("""COMPUTED_VALUE"""),"Рутгерс ")</f>
        <v>Рутгерс </v>
      </c>
      <c r="J1806" s="6" t="str">
        <f>IFERROR(__xludf.DUMMYFUNCTION("""COMPUTED_VALUE"""),"Джон Вайдман ")</f>
        <v>Джон Вайдман </v>
      </c>
      <c r="K1806" s="6" t="str">
        <f>IFERROR(__xludf.DUMMYFUNCTION("""COMPUTED_VALUE"""),"Старый ботанический сад ")</f>
        <v>Старый ботанический сад </v>
      </c>
      <c r="L1806" s="6" t="str">
        <f>IFERROR(__xludf.DUMMYFUNCTION("""COMPUTED_VALUE"""),"Салтыков- Щедрин и его рассказы ы целом ")</f>
        <v>Салтыков- Щедрин и его рассказы ы целом </v>
      </c>
      <c r="M1806" s="6" t="str">
        <f>IFERROR(__xludf.DUMMYFUNCTION("""COMPUTED_VALUE"""),"В Кемерово или в Кемерове? ")</f>
        <v>В Кемерово или в Кемерове? </v>
      </c>
      <c r="N1806" s="6" t="str">
        <f>IFERROR(__xludf.DUMMYFUNCTION("""COMPUTED_VALUE"""),"Озеленение города, парки, децентрализация рабочих помещений. ")</f>
        <v>Озеленение города, парки, децентрализация рабочих помещений. </v>
      </c>
      <c r="O1806" s="6" t="str">
        <f>IFERROR(__xludf.DUMMYFUNCTION("""COMPUTED_VALUE"""),"Децентрализировать рабочую зону. ")</f>
        <v>Децентрализировать рабочую зону. </v>
      </c>
      <c r="P1806" s="6" t="str">
        <f>IFERROR(__xludf.DUMMYFUNCTION("""COMPUTED_VALUE"""),"Вк, инстаграм ")</f>
        <v>Вк, инстаграм </v>
      </c>
      <c r="Q1806"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1806" s="6" t="str">
        <f>IFERROR(__xludf.DUMMYFUNCTION("""COMPUTED_VALUE"""),"Мне важен каждый день. ")</f>
        <v>Мне важен каждый день. </v>
      </c>
      <c r="S1806" s="6" t="str">
        <f>IFERROR(__xludf.DUMMYFUNCTION("""COMPUTED_VALUE"""),"Нет, не приходилось")</f>
        <v>Нет, не приходилось</v>
      </c>
      <c r="T1806" s="6" t="str">
        <f>IFERROR(__xludf.DUMMYFUNCTION("""COMPUTED_VALUE"""),"Кемерово, как город не имеет уникальности. Уникальность создаётся в природе Кузбасса ")</f>
        <v>Кемерово, как город не имеет уникальности. Уникальность создаётся в природе Кузбасса </v>
      </c>
      <c r="U1806" s="6" t="str">
        <f>IFERROR(__xludf.DUMMYFUNCTION("""COMPUTED_VALUE"""),"Не могу ответить ")</f>
        <v>Не могу ответить </v>
      </c>
      <c r="V1806" s="6" t="str">
        <f>IFERROR(__xludf.DUMMYFUNCTION("""COMPUTED_VALUE"""),"Сделали мост между островами ")</f>
        <v>Сделали мост между островами </v>
      </c>
      <c r="W1806" s="6" t="str">
        <f>IFERROR(__xludf.DUMMYFUNCTION("""COMPUTED_VALUE"""),"Люди России ")</f>
        <v>Люди России </v>
      </c>
      <c r="X1806" s="6" t="str">
        <f>IFERROR(__xludf.DUMMYFUNCTION("""COMPUTED_VALUE"""),"Бульвар Строителей ")</f>
        <v>Бульвар Строителей </v>
      </c>
      <c r="Y1806" s="6" t="str">
        <f>IFERROR(__xludf.DUMMYFUNCTION("""COMPUTED_VALUE"""),"Не могу ответить ")</f>
        <v>Не могу ответить </v>
      </c>
      <c r="Z1806" s="6" t="str">
        <f>IFERROR(__xludf.DUMMYFUNCTION("""COMPUTED_VALUE"""),"Реконструкция бульвара Строителей, строительство жилых домов, парк Ангелов ")</f>
        <v>Реконструкция бульвара Строителей, строительство жилых домов, парк Ангелов </v>
      </c>
      <c r="AA1806" s="6" t="str">
        <f>IFERROR(__xludf.DUMMYFUNCTION("""COMPUTED_VALUE"""),"Новости о строительстве шахты в зоне Лесной поляны. ")</f>
        <v>Новости о строительстве шахты в зоне Лесной поляны. </v>
      </c>
      <c r="AB1806" s="6" t="str">
        <f>IFERROR(__xludf.DUMMYFUNCTION("""COMPUTED_VALUE"""),"Сообществ хватает, не хватает людей ")</f>
        <v>Сообществ хватает, не хватает людей </v>
      </c>
      <c r="AC1806" s="6" t="str">
        <f>IFERROR(__xludf.DUMMYFUNCTION("""COMPUTED_VALUE"""),"Ведение компаний по популяризации науки, культуры. ")</f>
        <v>Ведение компаний по популяризации науки, культуры. </v>
      </c>
      <c r="AD1806"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806" s="6" t="str">
        <f>IFERROR(__xludf.DUMMYFUNCTION("""COMPUTED_VALUE"""),"Мужской")</f>
        <v>Мужской</v>
      </c>
      <c r="AF1806" s="6" t="str">
        <f>IFERROR(__xludf.DUMMYFUNCTION("""COMPUTED_VALUE"""),"18-29")</f>
        <v>18-29</v>
      </c>
      <c r="AG1806" s="6"/>
      <c r="AH1806" s="6"/>
      <c r="AI1806" s="6"/>
      <c r="AJ1806" s="6"/>
      <c r="AK1806" s="6"/>
      <c r="AL1806" s="6"/>
      <c r="AM1806" s="6"/>
    </row>
    <row r="1807">
      <c r="A1807" s="6">
        <v>1806.0</v>
      </c>
      <c r="B1807" s="6" t="str">
        <f>IFERROR(__xludf.DUMMYFUNCTION("""COMPUTED_VALUE"""),"Работаю воспитателем")</f>
        <v>Работаю воспитателем</v>
      </c>
      <c r="C1807" s="6" t="str">
        <f>IFERROR(__xludf.DUMMYFUNCTION("""COMPUTED_VALUE"""),"Вышивка, вязание ")</f>
        <v>Вышивка, вязание </v>
      </c>
      <c r="D1807" s="6" t="str">
        <f>IFERROR(__xludf.DUMMYFUNCTION("""COMPUTED_VALUE"""),"Южный ")</f>
        <v>Южный </v>
      </c>
      <c r="E1807" s="6" t="str">
        <f>IFERROR(__xludf.DUMMYFUNCTION("""COMPUTED_VALUE"""),"Бульвар Патриотов")</f>
        <v>Бульвар Патриотов</v>
      </c>
      <c r="F1807" s="6" t="str">
        <f>IFERROR(__xludf.DUMMYFUNCTION("""COMPUTED_VALUE"""),"Живу здесь с рождения")</f>
        <v>Живу здесь с рождения</v>
      </c>
      <c r="G1807" s="6" t="str">
        <f>IFERROR(__xludf.DUMMYFUNCTION("""COMPUTED_VALUE"""),"Разные")</f>
        <v>Разные</v>
      </c>
      <c r="H1807" s="6" t="str">
        <f>IFERROR(__xludf.DUMMYFUNCTION("""COMPUTED_VALUE"""),"Шахтер, химия, люди,  цветы")</f>
        <v>Шахтер, химия, люди,  цветы</v>
      </c>
      <c r="I1807" s="6" t="str">
        <f>IFERROR(__xludf.DUMMYFUNCTION("""COMPUTED_VALUE"""),"Мартемьянов, Юров, Леонов,  Волошина, Волков")</f>
        <v>Мартемьянов, Юров, Леонов,  Волошина, Волков</v>
      </c>
      <c r="J1807" s="6" t="str">
        <f>IFERROR(__xludf.DUMMYFUNCTION("""COMPUTED_VALUE"""),"Михайлов")</f>
        <v>Михайлов</v>
      </c>
      <c r="K1807" s="6" t="str">
        <f>IFERROR(__xludf.DUMMYFUNCTION("""COMPUTED_VALUE"""),"Красная горка, памятник шахтёру,  набережная")</f>
        <v>Красная горка, памятник шахтёру,  набережная</v>
      </c>
      <c r="L1807" s="6" t="str">
        <f>IFERROR(__xludf.DUMMYFUNCTION("""COMPUTED_VALUE"""),"-")</f>
        <v>-</v>
      </c>
      <c r="M1807" s="6" t="str">
        <f>IFERROR(__xludf.DUMMYFUNCTION("""COMPUTED_VALUE"""),"-")</f>
        <v>-</v>
      </c>
      <c r="N1807" s="6" t="str">
        <f>IFERROR(__xludf.DUMMYFUNCTION("""COMPUTED_VALUE"""),"Дороги, медицина,  образование, театры, люди")</f>
        <v>Дороги, медицина,  образование, театры, люди</v>
      </c>
      <c r="O1807" s="6" t="str">
        <f>IFERROR(__xludf.DUMMYFUNCTION("""COMPUTED_VALUE"""),"Отношение властей к проблемам горожан")</f>
        <v>Отношение властей к проблемам горожан</v>
      </c>
      <c r="P1807" s="6" t="str">
        <f>IFERROR(__xludf.DUMMYFUNCTION("""COMPUTED_VALUE"""),"Новости по тв")</f>
        <v>Новости по тв</v>
      </c>
      <c r="Q1807" s="6" t="str">
        <f>IFERROR(__xludf.DUMMYFUNCTION("""COMPUTED_VALUE"""),"Просто новости ")</f>
        <v>Просто новости </v>
      </c>
      <c r="R1807" s="6" t="str">
        <f>IFERROR(__xludf.DUMMYFUNCTION("""COMPUTED_VALUE"""),"9 мая")</f>
        <v>9 мая</v>
      </c>
      <c r="S1807" s="6" t="str">
        <f>IFERROR(__xludf.DUMMYFUNCTION("""COMPUTED_VALUE"""),"Нет, не приходилось")</f>
        <v>Нет, не приходилось</v>
      </c>
      <c r="T1807" s="6" t="str">
        <f>IFERROR(__xludf.DUMMYFUNCTION("""COMPUTED_VALUE"""),"Людьми")</f>
        <v>Людьми</v>
      </c>
      <c r="U1807" s="6" t="str">
        <f>IFERROR(__xludf.DUMMYFUNCTION("""COMPUTED_VALUE"""),"Театральная площадь ")</f>
        <v>Театральная площадь </v>
      </c>
      <c r="V1807" s="6" t="str">
        <f>IFERROR(__xludf.DUMMYFUNCTION("""COMPUTED_VALUE"""),"-")</f>
        <v>-</v>
      </c>
      <c r="W1807" s="6" t="str">
        <f>IFERROR(__xludf.DUMMYFUNCTION("""COMPUTED_VALUE"""),"Разные ")</f>
        <v>Разные </v>
      </c>
      <c r="X1807" s="6" t="str">
        <f>IFERROR(__xludf.DUMMYFUNCTION("""COMPUTED_VALUE"""),"Пр. Советский- Весенняя")</f>
        <v>Пр. Советский- Весенняя</v>
      </c>
      <c r="Y1807" s="6" t="str">
        <f>IFERROR(__xludf.DUMMYFUNCTION("""COMPUTED_VALUE"""),"Не знаю.")</f>
        <v>Не знаю.</v>
      </c>
      <c r="Z1807" s="6" t="str">
        <f>IFERROR(__xludf.DUMMYFUNCTION("""COMPUTED_VALUE"""),"-")</f>
        <v>-</v>
      </c>
      <c r="AA1807" s="6" t="str">
        <f>IFERROR(__xludf.DUMMYFUNCTION("""COMPUTED_VALUE"""),"Много мероприятий посвящённых 300 летию Кузбасса ")</f>
        <v>Много мероприятий посвящённых 300 летию Кузбасса </v>
      </c>
      <c r="AB1807" s="6" t="str">
        <f>IFERROR(__xludf.DUMMYFUNCTION("""COMPUTED_VALUE"""),"-")</f>
        <v>-</v>
      </c>
      <c r="AC1807" s="6" t="str">
        <f>IFERROR(__xludf.DUMMYFUNCTION("""COMPUTED_VALUE"""),"Не знаю ")</f>
        <v>Не знаю </v>
      </c>
      <c r="AD180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07" s="6" t="str">
        <f>IFERROR(__xludf.DUMMYFUNCTION("""COMPUTED_VALUE"""),"Женский")</f>
        <v>Женский</v>
      </c>
      <c r="AF1807" s="6" t="str">
        <f>IFERROR(__xludf.DUMMYFUNCTION("""COMPUTED_VALUE"""),"45-55")</f>
        <v>45-55</v>
      </c>
      <c r="AG1807" s="6"/>
      <c r="AH1807" s="6"/>
      <c r="AI1807" s="6"/>
      <c r="AJ1807" s="6"/>
      <c r="AK1807" s="6"/>
      <c r="AL1807" s="6"/>
      <c r="AM1807" s="6"/>
    </row>
    <row r="1808">
      <c r="A1808" s="6">
        <v>1807.0</v>
      </c>
      <c r="B1808" s="6" t="str">
        <f>IFERROR(__xludf.DUMMYFUNCTION("""COMPUTED_VALUE"""),"Пенсионер")</f>
        <v>Пенсионер</v>
      </c>
      <c r="C1808" s="6" t="str">
        <f>IFERROR(__xludf.DUMMYFUNCTION("""COMPUTED_VALUE"""),"Велосипед")</f>
        <v>Велосипед</v>
      </c>
      <c r="D1808" s="6" t="str">
        <f>IFERROR(__xludf.DUMMYFUNCTION("""COMPUTED_VALUE"""),"Южный район")</f>
        <v>Южный район</v>
      </c>
      <c r="E1808" s="6" t="str">
        <f>IFERROR(__xludf.DUMMYFUNCTION("""COMPUTED_VALUE"""),"Площадь Гагарина")</f>
        <v>Площадь Гагарина</v>
      </c>
      <c r="F1808" s="6" t="str">
        <f>IFERROR(__xludf.DUMMYFUNCTION("""COMPUTED_VALUE"""),"Живу здесь с рождения")</f>
        <v>Живу здесь с рождения</v>
      </c>
      <c r="G1808" s="6" t="str">
        <f>IFERROR(__xludf.DUMMYFUNCTION("""COMPUTED_VALUE"""),"Набережная, Комсомольский парк")</f>
        <v>Набережная, Комсомольский парк</v>
      </c>
      <c r="H1808" s="6" t="str">
        <f>IFERROR(__xludf.DUMMYFUNCTION("""COMPUTED_VALUE"""),"Мой город, город детства, родной город, ")</f>
        <v>Мой город, город детства, родной город, </v>
      </c>
      <c r="I1808" s="6" t="str">
        <f>IFERROR(__xludf.DUMMYFUNCTION("""COMPUTED_VALUE"""),"Волков")</f>
        <v>Волков</v>
      </c>
      <c r="J1808" s="6" t="str">
        <f>IFERROR(__xludf.DUMMYFUNCTION("""COMPUTED_VALUE"""),"Тулеев, Леонов, Цивилев")</f>
        <v>Тулеев, Леонов, Цивилев</v>
      </c>
      <c r="K1808" s="6" t="str">
        <f>IFERROR(__xludf.DUMMYFUNCTION("""COMPUTED_VALUE"""),"Красная горка")</f>
        <v>Красная горка</v>
      </c>
      <c r="L1808" s="6" t="str">
        <f>IFERROR(__xludf.DUMMYFUNCTION("""COMPUTED_VALUE"""),"Мал золотник, да дорог")</f>
        <v>Мал золотник, да дорог</v>
      </c>
      <c r="M1808" s="6" t="str">
        <f>IFERROR(__xludf.DUMMYFUNCTION("""COMPUTED_VALUE"""),"Пицца по-кемеровски")</f>
        <v>Пицца по-кемеровски</v>
      </c>
      <c r="N1808" s="6" t="str">
        <f>IFERROR(__xludf.DUMMYFUNCTION("""COMPUTED_VALUE"""),"Хорошие дороги, наличие ухоженный парков и скверов, наличие велосипедный дорожек, народные праздники, много озеленения, ухоженные дворы домов, обновлённые фасады домов. ")</f>
        <v>Хорошие дороги, наличие ухоженный парков и скверов, наличие велосипедный дорожек, народные праздники, много озеленения, ухоженные дворы домов, обновлённые фасады домов. </v>
      </c>
      <c r="O1808" s="6" t="str">
        <f>IFERROR(__xludf.DUMMYFUNCTION("""COMPUTED_VALUE"""),"Обновить фасады домов")</f>
        <v>Обновить фасады домов</v>
      </c>
      <c r="P1808" s="6" t="str">
        <f>IFERROR(__xludf.DUMMYFUNCTION("""COMPUTED_VALUE"""),"Телепрограммы местного телевидения, инстаграмм. ")</f>
        <v>Телепрограммы местного телевидения, инстаграмм. </v>
      </c>
      <c r="Q1808"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808" s="6" t="str">
        <f>IFERROR(__xludf.DUMMYFUNCTION("""COMPUTED_VALUE"""),"День города, масленница")</f>
        <v>День города, масленница</v>
      </c>
      <c r="S1808" s="6" t="str">
        <f>IFERROR(__xludf.DUMMYFUNCTION("""COMPUTED_VALUE"""),"Нет, не приходилось")</f>
        <v>Нет, не приходилось</v>
      </c>
      <c r="T1808" s="6" t="str">
        <f>IFERROR(__xludf.DUMMYFUNCTION("""COMPUTED_VALUE"""),"Красная горка, шахты, уголь")</f>
        <v>Красная горка, шахты, уголь</v>
      </c>
      <c r="U1808" s="6" t="str">
        <f>IFERROR(__xludf.DUMMYFUNCTION("""COMPUTED_VALUE"""),"Площадь Советов")</f>
        <v>Площадь Советов</v>
      </c>
      <c r="V1808" s="6" t="str">
        <f>IFERROR(__xludf.DUMMYFUNCTION("""COMPUTED_VALUE"""),"Построили новый мост и лучший район города - Лесная поляна")</f>
        <v>Построили новый мост и лучший район города - Лесная поляна</v>
      </c>
      <c r="W1808" s="6" t="str">
        <f>IFERROR(__xludf.DUMMYFUNCTION("""COMPUTED_VALUE"""),"Разные")</f>
        <v>Разные</v>
      </c>
      <c r="X1808" s="6" t="str">
        <f>IFERROR(__xludf.DUMMYFUNCTION("""COMPUTED_VALUE"""),"Пока набережная Томи")</f>
        <v>Пока набережная Томи</v>
      </c>
      <c r="Y1808" s="6" t="str">
        <f>IFERROR(__xludf.DUMMYFUNCTION("""COMPUTED_VALUE"""),"Затрудняюсь ответить")</f>
        <v>Затрудняюсь ответить</v>
      </c>
      <c r="Z1808" s="6" t="str">
        <f>IFERROR(__xludf.DUMMYFUNCTION("""COMPUTED_VALUE"""),"Шествие дедморозов")</f>
        <v>Шествие дедморозов</v>
      </c>
      <c r="AA1808" s="6" t="str">
        <f>IFERROR(__xludf.DUMMYFUNCTION("""COMPUTED_VALUE"""),"Затрудняюсь ответить")</f>
        <v>Затрудняюсь ответить</v>
      </c>
      <c r="AB1808" s="6" t="str">
        <f>IFERROR(__xludf.DUMMYFUNCTION("""COMPUTED_VALUE"""),"Затрудняюсь ответить")</f>
        <v>Затрудняюсь ответить</v>
      </c>
      <c r="AC1808" s="6" t="str">
        <f>IFERROR(__xludf.DUMMYFUNCTION("""COMPUTED_VALUE"""),"Больше разных праздников с участием жителей")</f>
        <v>Больше разных праздников с участием жителей</v>
      </c>
      <c r="AD180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08" s="6" t="str">
        <f>IFERROR(__xludf.DUMMYFUNCTION("""COMPUTED_VALUE"""),"Женский")</f>
        <v>Женский</v>
      </c>
      <c r="AF1808" s="6" t="str">
        <f>IFERROR(__xludf.DUMMYFUNCTION("""COMPUTED_VALUE"""),"старше 55")</f>
        <v>старше 55</v>
      </c>
      <c r="AG1808" s="6"/>
      <c r="AH1808" s="6"/>
      <c r="AI1808" s="6"/>
      <c r="AJ1808" s="6"/>
      <c r="AK1808" s="6"/>
      <c r="AL1808" s="6"/>
      <c r="AM1808" s="6"/>
    </row>
    <row r="1809">
      <c r="A1809" s="6">
        <v>1808.0</v>
      </c>
      <c r="B1809" s="6" t="str">
        <f>IFERROR(__xludf.DUMMYFUNCTION("""COMPUTED_VALUE"""),"Монтажник")</f>
        <v>Монтажник</v>
      </c>
      <c r="C1809" s="6" t="str">
        <f>IFERROR(__xludf.DUMMYFUNCTION("""COMPUTED_VALUE"""),"Рыбалка")</f>
        <v>Рыбалка</v>
      </c>
      <c r="D1809" s="6" t="str">
        <f>IFERROR(__xludf.DUMMYFUNCTION("""COMPUTED_VALUE"""),"Ленинский ")</f>
        <v>Ленинский </v>
      </c>
      <c r="E1809" s="6" t="str">
        <f>IFERROR(__xludf.DUMMYFUNCTION("""COMPUTED_VALUE"""),"Мечеть, Леруа Мерлен) Лента , ну и Бульвар Строителей преображенный ")</f>
        <v>Мечеть, Леруа Мерлен) Лента , ну и Бульвар Строителей преображенный </v>
      </c>
      <c r="F1809" s="6" t="str">
        <f>IFERROR(__xludf.DUMMYFUNCTION("""COMPUTED_VALUE"""),"Живу здесь с рождения")</f>
        <v>Живу здесь с рождения</v>
      </c>
      <c r="G1809" s="6" t="str">
        <f>IFERROR(__xludf.DUMMYFUNCTION("""COMPUTED_VALUE"""),"Бор")</f>
        <v>Бор</v>
      </c>
      <c r="H1809" s="6" t="str">
        <f>IFERROR(__xludf.DUMMYFUNCTION("""COMPUTED_VALUE"""),"Простор, стройка, завод, ветер, дом")</f>
        <v>Простор, стройка, завод, ветер, дом</v>
      </c>
      <c r="I1809" s="6" t="str">
        <f>IFERROR(__xludf.DUMMYFUNCTION("""COMPUTED_VALUE"""),"Балибалов")</f>
        <v>Балибалов</v>
      </c>
      <c r="J1809" s="6" t="str">
        <f>IFERROR(__xludf.DUMMYFUNCTION("""COMPUTED_VALUE"""),"Середюк")</f>
        <v>Середюк</v>
      </c>
      <c r="K1809" s="6" t="str">
        <f>IFERROR(__xludf.DUMMYFUNCTION("""COMPUTED_VALUE"""),"Набережная, красная горка, ботанический сад, Весенняя")</f>
        <v>Набережная, красная горка, ботанический сад, Весенняя</v>
      </c>
      <c r="L1809" s="6" t="str">
        <f>IFERROR(__xludf.DUMMYFUNCTION("""COMPUTED_VALUE"""),"Не наебёшь- не проживёшь")</f>
        <v>Не наебёшь- не проживёшь</v>
      </c>
      <c r="M1809" s="6" t="str">
        <f>IFERROR(__xludf.DUMMYFUNCTION("""COMPUTED_VALUE"""),"Не склоняю принципиально название города, всем известную черемшу называю колбой) объезд и дальний путь называю в Салтымаково через Бабанаково)")</f>
        <v>Не склоняю принципиально название города, всем известную черемшу называю колбой) объезд и дальний путь называю в Салтымаково через Бабанаково)</v>
      </c>
      <c r="N1809" s="6" t="str">
        <f>IFERROR(__xludf.DUMMYFUNCTION("""COMPUTED_VALUE"""),"Воздух, отсутствие дорожных заторов, наличие мест общественного отдыха, доступность жилья, наличие учебных заведений.")</f>
        <v>Воздух, отсутствие дорожных заторов, наличие мест общественного отдыха, доступность жилья, наличие учебных заведений.</v>
      </c>
      <c r="O1809" s="6" t="str">
        <f>IFERROR(__xludf.DUMMYFUNCTION("""COMPUTED_VALUE"""),"Отношение к городу")</f>
        <v>Отношение к городу</v>
      </c>
      <c r="P1809" s="6" t="str">
        <f>IFERROR(__xludf.DUMMYFUNCTION("""COMPUTED_VALUE"""),"Слухи, и возможно Инстаграмм ")</f>
        <v>Слухи, и возможно Инстаграмм </v>
      </c>
      <c r="Q1809" s="6" t="str">
        <f>IFERROR(__xludf.DUMMYFUNCTION("""COMPUTED_VALUE"""),"куда пойти в свободное время, криминальные новости (происшествия/преступления), интервью с экспертами на разные темы (напишите в разделе Другое свои предложения)")</f>
        <v>куда пойти в свободное время, криминальные новости (происшествия/преступления), интервью с экспертами на разные темы (напишите в разделе Другое свои предложения)</v>
      </c>
      <c r="R1809" s="6" t="str">
        <f>IFERROR(__xludf.DUMMYFUNCTION("""COMPUTED_VALUE"""),"9 мая")</f>
        <v>9 мая</v>
      </c>
      <c r="S1809" s="6" t="str">
        <f>IFERROR(__xludf.DUMMYFUNCTION("""COMPUTED_VALUE"""),"Нет, не приходилось")</f>
        <v>Нет, не приходилось</v>
      </c>
      <c r="T1809" s="6" t="str">
        <f>IFERROR(__xludf.DUMMYFUNCTION("""COMPUTED_VALUE"""),"Индивидуальность архитектуры")</f>
        <v>Индивидуальность архитектуры</v>
      </c>
      <c r="U1809" s="6" t="str">
        <f>IFERROR(__xludf.DUMMYFUNCTION("""COMPUTED_VALUE"""),"Фонтан у драмтеатра")</f>
        <v>Фонтан у драмтеатра</v>
      </c>
      <c r="V1809" s="6" t="str">
        <f>IFERROR(__xludf.DUMMYFUNCTION("""COMPUTED_VALUE"""),"Кто то все, а кто то ничего")</f>
        <v>Кто то все, а кто то ничего</v>
      </c>
      <c r="W1809" s="6" t="str">
        <f>IFERROR(__xludf.DUMMYFUNCTION("""COMPUTED_VALUE"""),"Четкая речь, черствость или черезмерная участность")</f>
        <v>Четкая речь, черствость или черезмерная участность</v>
      </c>
      <c r="X1809" s="6" t="str">
        <f>IFERROR(__xludf.DUMMYFUNCTION("""COMPUTED_VALUE"""),"От памятника Лобсангу где подорожник, по набережной, потом через горсад по Кирова, Советский до фонтана, потом направо по весенней до площади Волкова, парк Ангелов, затем уточки на Искитимке)")</f>
        <v>От памятника Лобсангу где подорожник, по набережной, потом через горсад по Кирова, Советский до фонтана, потом направо по весенней до площади Волкова, парк Ангелов, затем уточки на Искитимке)</v>
      </c>
      <c r="Y1809" s="6" t="str">
        <f>IFERROR(__xludf.DUMMYFUNCTION("""COMPUTED_VALUE"""),"Без комментариев")</f>
        <v>Без комментариев</v>
      </c>
      <c r="Z1809" s="6" t="str">
        <f>IFERROR(__xludf.DUMMYFUNCTION("""COMPUTED_VALUE"""),"Без комментариев")</f>
        <v>Без комментариев</v>
      </c>
      <c r="AA1809" s="6" t="str">
        <f>IFERROR(__xludf.DUMMYFUNCTION("""COMPUTED_VALUE"""),"Без комментариев")</f>
        <v>Без комментариев</v>
      </c>
      <c r="AB1809" s="6" t="str">
        <f>IFERROR(__xludf.DUMMYFUNCTION("""COMPUTED_VALUE"""),"Всех хватает, по моим интересам есть всё.")</f>
        <v>Всех хватает, по моим интересам есть всё.</v>
      </c>
      <c r="AC1809" s="6" t="str">
        <f>IFERROR(__xludf.DUMMYFUNCTION("""COMPUTED_VALUE"""),"Без комментариев")</f>
        <v>Без комментариев</v>
      </c>
      <c r="AD180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09" s="6" t="str">
        <f>IFERROR(__xludf.DUMMYFUNCTION("""COMPUTED_VALUE"""),"Мужской")</f>
        <v>Мужской</v>
      </c>
      <c r="AF1809" s="6" t="str">
        <f>IFERROR(__xludf.DUMMYFUNCTION("""COMPUTED_VALUE"""),"30-44")</f>
        <v>30-44</v>
      </c>
      <c r="AG1809" s="6"/>
      <c r="AH1809" s="6"/>
      <c r="AI1809" s="6"/>
      <c r="AJ1809" s="6"/>
      <c r="AK1809" s="6"/>
      <c r="AL1809" s="6"/>
      <c r="AM1809" s="6"/>
    </row>
    <row r="1810">
      <c r="A1810" s="6">
        <v>1809.0</v>
      </c>
      <c r="B1810" s="6" t="str">
        <f>IFERROR(__xludf.DUMMYFUNCTION("""COMPUTED_VALUE"""),"Бухгалтер ")</f>
        <v>Бухгалтер </v>
      </c>
      <c r="C1810" s="6" t="str">
        <f>IFERROR(__xludf.DUMMYFUNCTION("""COMPUTED_VALUE"""),"Вяжу")</f>
        <v>Вяжу</v>
      </c>
      <c r="D1810" s="6" t="str">
        <f>IFERROR(__xludf.DUMMYFUNCTION("""COMPUTED_VALUE"""),"Мой Южный ")</f>
        <v>Мой Южный </v>
      </c>
      <c r="E1810" s="6" t="str">
        <f>IFERROR(__xludf.DUMMYFUNCTION("""COMPUTED_VALUE"""),"Улицы героев Великой отечественной войны ")</f>
        <v>Улицы героев Великой отечественной войны </v>
      </c>
      <c r="F1810" s="6" t="str">
        <f>IFERROR(__xludf.DUMMYFUNCTION("""COMPUTED_VALUE"""),"Переехал сюда из другого места (откуда? укажите в графе другое), С Украины переехали на ПМЖ в 2002 году")</f>
        <v>Переехал сюда из другого места (откуда? укажите в графе другое), С Украины переехали на ПМЖ в 2002 году</v>
      </c>
      <c r="G1810" s="6" t="str">
        <f>IFERROR(__xludf.DUMMYFUNCTION("""COMPUTED_VALUE"""),"Набережная")</f>
        <v>Набережная</v>
      </c>
      <c r="H1810" s="6" t="str">
        <f>IFERROR(__xludf.DUMMYFUNCTION("""COMPUTED_VALUE"""),"Чистый, мой, родной, дом, шахтерская слава ")</f>
        <v>Чистый, мой, родной, дом, шахтерская слава </v>
      </c>
      <c r="I1810" s="6" t="str">
        <f>IFERROR(__xludf.DUMMYFUNCTION("""COMPUTED_VALUE"""),"Волков")</f>
        <v>Волков</v>
      </c>
      <c r="J1810" s="6" t="str">
        <f>IFERROR(__xludf.DUMMYFUNCTION("""COMPUTED_VALUE"""),"Тулеев, шахтёры, Федяев")</f>
        <v>Тулеев, шахтёры, Федяев</v>
      </c>
      <c r="K1810" s="6" t="str">
        <f>IFERROR(__xludf.DUMMYFUNCTION("""COMPUTED_VALUE"""),"Томская писаница")</f>
        <v>Томская писаница</v>
      </c>
      <c r="L1810" s="6" t="str">
        <f>IFERROR(__xludf.DUMMYFUNCTION("""COMPUTED_VALUE"""),"Не знаю")</f>
        <v>Не знаю</v>
      </c>
      <c r="M1810" s="6" t="str">
        <f>IFERROR(__xludf.DUMMYFUNCTION("""COMPUTED_VALUE"""),"Нет")</f>
        <v>Нет</v>
      </c>
      <c r="N1810" s="6" t="str">
        <f>IFERROR(__xludf.DUMMYFUNCTION("""COMPUTED_VALUE"""),"Доступная инфраструктура, достаточное наличие детских садов, школ, поликлиник и мест досуга, парки и скверы ")</f>
        <v>Доступная инфраструктура, достаточное наличие детских садов, школ, поликлиник и мест досуга, парки и скверы </v>
      </c>
      <c r="O1810" s="6" t="str">
        <f>IFERROR(__xludf.DUMMYFUNCTION("""COMPUTED_VALUE"""),"Благоустройство дворов, больше насаждений, решить проблему с многолетним недостроем, который портит вид")</f>
        <v>Благоустройство дворов, больше насаждений, решить проблему с многолетним недостроем, который портит вид</v>
      </c>
      <c r="P1810" s="6" t="str">
        <f>IFERROR(__xludf.DUMMYFUNCTION("""COMPUTED_VALUE"""),"Телевизор, инстаграм, работа")</f>
        <v>Телевизор, инстаграм, работа</v>
      </c>
      <c r="Q1810"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1810" s="6" t="str">
        <f>IFERROR(__xludf.DUMMYFUNCTION("""COMPUTED_VALUE"""),"9 мая, День города, Новый год")</f>
        <v>9 мая, День города, Новый год</v>
      </c>
      <c r="S1810" s="6" t="str">
        <f>IFERROR(__xludf.DUMMYFUNCTION("""COMPUTED_VALUE"""),"Нет, не приходилось")</f>
        <v>Нет, не приходилось</v>
      </c>
      <c r="T1810" s="6" t="str">
        <f>IFERROR(__xludf.DUMMYFUNCTION("""COMPUTED_VALUE"""),"Уникальная природа, шахтерский край ")</f>
        <v>Уникальная природа, шахтерский край </v>
      </c>
      <c r="U1810" s="6" t="str">
        <f>IFERROR(__xludf.DUMMYFUNCTION("""COMPUTED_VALUE"""),"Вокзал, площадь Советов, Бульвар")</f>
        <v>Вокзал, площадь Советов, Бульвар</v>
      </c>
      <c r="V1810" s="6" t="str">
        <f>IFERROR(__xludf.DUMMYFUNCTION("""COMPUTED_VALUE"""),"Трудились ")</f>
        <v>Трудились </v>
      </c>
      <c r="W1810" s="6" t="str">
        <f>IFERROR(__xludf.DUMMYFUNCTION("""COMPUTED_VALUE"""),"Не знаю ")</f>
        <v>Не знаю </v>
      </c>
      <c r="X1810" s="6" t="str">
        <f>IFERROR(__xludf.DUMMYFUNCTION("""COMPUTED_VALUE"""),"Круто было бы на водном трамвайчике по реке летом ")</f>
        <v>Круто было бы на водном трамвайчике по реке летом </v>
      </c>
      <c r="Y1810" s="6" t="str">
        <f>IFERROR(__xludf.DUMMYFUNCTION("""COMPUTED_VALUE"""),"когда Кемерово стал городом ")</f>
        <v>когда Кемерово стал городом </v>
      </c>
      <c r="Z1810" s="6" t="str">
        <f>IFERROR(__xludf.DUMMYFUNCTION("""COMPUTED_VALUE"""),"Празднование Дня шахтёра, выступление хора Турецкого на площади, да много всего... ")</f>
        <v>Празднование Дня шахтёра, выступление хора Турецкого на площади, да много всего... </v>
      </c>
      <c r="AA1810" s="6" t="str">
        <f>IFERROR(__xludf.DUMMYFUNCTION("""COMPUTED_VALUE"""),"Суд над виновниками трагедии в Зимней вишне ")</f>
        <v>Суд над виновниками трагедии в Зимней вишне </v>
      </c>
      <c r="AB1810" s="6" t="str">
        <f>IFERROR(__xludf.DUMMYFUNCTION("""COMPUTED_VALUE"""),"Мне всего хватает ")</f>
        <v>Мне всего хватает </v>
      </c>
      <c r="AC1810" s="6" t="str">
        <f>IFERROR(__xludf.DUMMYFUNCTION("""COMPUTED_VALUE"""),"Праздники национальных кухонь, больше спортивных и музыкальных мероприятий ")</f>
        <v>Праздники национальных кухонь, больше спортивных и музыкальных мероприятий </v>
      </c>
      <c r="AD1810"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1810" s="6" t="str">
        <f>IFERROR(__xludf.DUMMYFUNCTION("""COMPUTED_VALUE"""),"Женский")</f>
        <v>Женский</v>
      </c>
      <c r="AF1810" s="6" t="str">
        <f>IFERROR(__xludf.DUMMYFUNCTION("""COMPUTED_VALUE"""),"45-55")</f>
        <v>45-55</v>
      </c>
      <c r="AG1810" s="6"/>
      <c r="AH1810" s="6"/>
      <c r="AI1810" s="6"/>
      <c r="AJ1810" s="6"/>
      <c r="AK1810" s="6"/>
      <c r="AL1810" s="6"/>
      <c r="AM1810" s="6"/>
    </row>
    <row r="1811">
      <c r="A1811" s="6">
        <v>1810.0</v>
      </c>
      <c r="B1811" s="6" t="str">
        <f>IFERROR(__xludf.DUMMYFUNCTION("""COMPUTED_VALUE"""),"Образование, преподаватель")</f>
        <v>Образование, преподаватель</v>
      </c>
      <c r="C1811" s="6" t="str">
        <f>IFERROR(__xludf.DUMMYFUNCTION("""COMPUTED_VALUE"""),"Вязание")</f>
        <v>Вязание</v>
      </c>
      <c r="D1811" s="6" t="str">
        <f>IFERROR(__xludf.DUMMYFUNCTION("""COMPUTED_VALUE"""),"Заводский. Центр")</f>
        <v>Заводский. Центр</v>
      </c>
      <c r="E1811" s="6" t="str">
        <f>IFERROR(__xludf.DUMMYFUNCTION("""COMPUTED_VALUE"""),"Парки, р.Искитимка")</f>
        <v>Парки, р.Искитимка</v>
      </c>
      <c r="F1811" s="6" t="str">
        <f>IFERROR(__xludf.DUMMYFUNCTION("""COMPUTED_VALUE"""),"Живу здесь с рождения")</f>
        <v>Живу здесь с рождения</v>
      </c>
      <c r="G1811" s="6" t="str">
        <f>IFERROR(__xludf.DUMMYFUNCTION("""COMPUTED_VALUE"""),"Городской парк")</f>
        <v>Городской парк</v>
      </c>
      <c r="H1811" s="6" t="str">
        <f>IFERROR(__xludf.DUMMYFUNCTION("""COMPUTED_VALUE"""),"Дом, моё, детство, одноклассники, коллеги")</f>
        <v>Дом, моё, детство, одноклассники, коллеги</v>
      </c>
      <c r="I1811" s="6" t="str">
        <f>IFERROR(__xludf.DUMMYFUNCTION("""COMPUTED_VALUE"""),"Владимир Михайлов")</f>
        <v>Владимир Михайлов</v>
      </c>
      <c r="J1811" s="6" t="str">
        <f>IFERROR(__xludf.DUMMYFUNCTION("""COMPUTED_VALUE"""),"Скромнее надо быть")</f>
        <v>Скромнее надо быть</v>
      </c>
      <c r="K1811" s="6" t="str">
        <f>IFERROR(__xludf.DUMMYFUNCTION("""COMPUTED_VALUE"""),"Скульптура ""дитя на ладошке"", смотровая площадке на Красной горке, зона отдыха на Лесной поляне")</f>
        <v>Скульптура "дитя на ладошке", смотровая площадке на Красной горке, зона отдыха на Лесной поляне</v>
      </c>
      <c r="L1811" s="6" t="str">
        <f>IFERROR(__xludf.DUMMYFUNCTION("""COMPUTED_VALUE"""),"Меньше народу - больше кислорода, насильно мил не будешь, Родину не выбирают")</f>
        <v>Меньше народу - больше кислорода, насильно мил не будешь, Родину не выбирают</v>
      </c>
      <c r="M1811" s="6" t="str">
        <f>IFERROR(__xludf.DUMMYFUNCTION("""COMPUTED_VALUE"""),"Виктория (клубника), на ""Швейке""")</f>
        <v>Виктория (клубника), на "Швейке"</v>
      </c>
      <c r="N1811" s="6" t="str">
        <f>IFERROR(__xludf.DUMMYFUNCTION("""COMPUTED_VALUE"""),"1.Логистика транспорта
2. Движение без ""пробок""
3. Зелёный город летом
4. Чистые дороги, остановки,дворы зимой
5. Экология")</f>
        <v>1.Логистика транспорта
2. Движение без "пробок"
3. Зелёный город летом
4. Чистые дороги, остановки,дворы зимой
5. Экология</v>
      </c>
      <c r="O1811" s="6" t="str">
        <f>IFERROR(__xludf.DUMMYFUNCTION("""COMPUTED_VALUE"""),"Экологию")</f>
        <v>Экологию</v>
      </c>
      <c r="P1811" s="6" t="str">
        <f>IFERROR(__xludf.DUMMYFUNCTION("""COMPUTED_VALUE"""),"Яндекс новости, Инстаграм")</f>
        <v>Яндекс новости, Инстаграм</v>
      </c>
      <c r="Q1811"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политиками,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интервью с местными политиками, бизнес-новости (средний чек/рекламные акции/запуск новых предприятий)</v>
      </c>
      <c r="R1811" s="6" t="str">
        <f>IFERROR(__xludf.DUMMYFUNCTION("""COMPUTED_VALUE"""),"День города, 
Новый год")</f>
        <v>День города, 
Новый год</v>
      </c>
      <c r="S1811" s="6" t="str">
        <f>IFERROR(__xludf.DUMMYFUNCTION("""COMPUTED_VALUE"""),"Писал и расклеивал объявления/афиши, Делал рассылку по электронной почте, Обращался в редакции электронных городских СМИ")</f>
        <v>Писал и расклеивал объявления/афиши, Делал рассылку по электронной почте, Обращался в редакции электронных городских СМИ</v>
      </c>
      <c r="T1811" s="6" t="str">
        <f>IFERROR(__xludf.DUMMYFUNCTION("""COMPUTED_VALUE"""),"К сажалению, только уголь")</f>
        <v>К сажалению, только уголь</v>
      </c>
      <c r="U1811" s="6" t="str">
        <f>IFERROR(__xludf.DUMMYFUNCTION("""COMPUTED_VALUE"""),"Городской парк, театр, большой фантан,площадь для пешеходов")</f>
        <v>Городской парк, театр, большой фантан,площадь для пешеходов</v>
      </c>
      <c r="V1811" s="6" t="str">
        <f>IFERROR(__xludf.DUMMYFUNCTION("""COMPUTED_VALUE"""),"В каждом поколении есть свои звёздочки и наш город не исключение")</f>
        <v>В каждом поколении есть свои звёздочки и наш город не исключение</v>
      </c>
      <c r="W1811" s="6" t="str">
        <f>IFERROR(__xludf.DUMMYFUNCTION("""COMPUTED_VALUE"""),"Нытики")</f>
        <v>Нытики</v>
      </c>
      <c r="X1811" s="6" t="str">
        <f>IFERROR(__xludf.DUMMYFUNCTION("""COMPUTED_VALUE"""),"Парк Антошка, парк Жукова, филармония, городской парк, ул.Весенняя")</f>
        <v>Парк Антошка, парк Жукова, филармония, городской парк, ул.Весенняя</v>
      </c>
      <c r="Y1811" s="6" t="str">
        <f>IFERROR(__xludf.DUMMYFUNCTION("""COMPUTED_VALUE"""),"На моей памати - это чемпионат мира по хоккею с мячом")</f>
        <v>На моей памати - это чемпионат мира по хоккею с мячом</v>
      </c>
      <c r="Z1811" s="6" t="str">
        <f>IFERROR(__xludf.DUMMYFUNCTION("""COMPUTED_VALUE"""),"Ёлка за 18 млн.руб., открытие кадетского корпуса")</f>
        <v>Ёлка за 18 млн.руб., открытие кадетского корпуса</v>
      </c>
      <c r="AA1811" s="6" t="str">
        <f>IFERROR(__xludf.DUMMYFUNCTION("""COMPUTED_VALUE"""),"Зимняя вишня")</f>
        <v>Зимняя вишня</v>
      </c>
      <c r="AB1811" s="6" t="str">
        <f>IFERROR(__xludf.DUMMYFUNCTION("""COMPUTED_VALUE"""),"Зелёный патруль")</f>
        <v>Зелёный патруль</v>
      </c>
      <c r="AC1811" s="6" t="str">
        <f>IFERROR(__xludf.DUMMYFUNCTION("""COMPUTED_VALUE"""),"Детские фестивали творчества и самодеятельности, мероприятия на уровне страны и сибирского региона, форумы по отраслям ")</f>
        <v>Детские фестивали творчества и самодеятельности, мероприятия на уровне страны и сибирского региона, форумы по отраслям </v>
      </c>
      <c r="AD181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811" s="6" t="str">
        <f>IFERROR(__xludf.DUMMYFUNCTION("""COMPUTED_VALUE"""),"Женский")</f>
        <v>Женский</v>
      </c>
      <c r="AF1811" s="6" t="str">
        <f>IFERROR(__xludf.DUMMYFUNCTION("""COMPUTED_VALUE"""),"45-55")</f>
        <v>45-55</v>
      </c>
      <c r="AG1811" s="6"/>
      <c r="AH1811" s="6"/>
      <c r="AI1811" s="6"/>
      <c r="AJ1811" s="6"/>
      <c r="AK1811" s="6"/>
      <c r="AL1811" s="6"/>
      <c r="AM1811" s="6"/>
    </row>
    <row r="1812">
      <c r="A1812" s="6">
        <v>1811.0</v>
      </c>
      <c r="B1812" s="6" t="str">
        <f>IFERROR(__xludf.DUMMYFUNCTION("""COMPUTED_VALUE"""),"Экономист")</f>
        <v>Экономист</v>
      </c>
      <c r="C1812" s="6" t="str">
        <f>IFERROR(__xludf.DUMMYFUNCTION("""COMPUTED_VALUE"""),"Йога")</f>
        <v>Йога</v>
      </c>
      <c r="D1812" s="6" t="str">
        <f>IFERROR(__xludf.DUMMYFUNCTION("""COMPUTED_VALUE"""),"Заводский! За вокзалом🙃")</f>
        <v>Заводский! За вокзалом🙃</v>
      </c>
      <c r="E1812" s="6" t="str">
        <f>IFERROR(__xludf.DUMMYFUNCTION("""COMPUTED_VALUE"""),"Дворец молодёжи, Азот! ")</f>
        <v>Дворец молодёжи, Азот! </v>
      </c>
      <c r="F1812" s="6" t="str">
        <f>IFERROR(__xludf.DUMMYFUNCTION("""COMPUTED_VALUE"""),"Живу здесь с рождения")</f>
        <v>Живу здесь с рождения</v>
      </c>
      <c r="G1812" s="6" t="str">
        <f>IFERROR(__xludf.DUMMYFUNCTION("""COMPUTED_VALUE"""),"Парк чудес, набережная, ул. Весенняя, бульвар Строителей")</f>
        <v>Парк чудес, набережная, ул. Весенняя, бульвар Строителей</v>
      </c>
      <c r="H1812" s="6" t="str">
        <f>IFERROR(__xludf.DUMMYFUNCTION("""COMPUTED_VALUE"""),"Промышленный, угольный, молодой, строящийся, стремящийся")</f>
        <v>Промышленный, угольный, молодой, строящийся, стремящийся</v>
      </c>
      <c r="I1812" s="6" t="str">
        <f>IFERROR(__xludf.DUMMYFUNCTION("""COMPUTED_VALUE"""),"Михайло Волков, Алексей Леонов, Вера Волошина")</f>
        <v>Михайло Волков, Алексей Леонов, Вера Волошина</v>
      </c>
      <c r="J1812" s="6" t="str">
        <f>IFERROR(__xludf.DUMMYFUNCTION("""COMPUTED_VALUE"""),"Мэр Михайлов, Малышева, Евгений Гришковец, Алена Бабенко")</f>
        <v>Мэр Михайлов, Малышева, Евгений Гришковец, Алена Бабенко</v>
      </c>
      <c r="K1812" s="6" t="str">
        <f>IFERROR(__xludf.DUMMYFUNCTION("""COMPUTED_VALUE"""),"Красная Горка, сквер Лесная сказка, Сосновый бор, Кузбасский парк, парк Ангелов")</f>
        <v>Красная Горка, сквер Лесная сказка, Сосновый бор, Кузбасский парк, парк Ангелов</v>
      </c>
      <c r="L1812" s="6" t="str">
        <f>IFERROR(__xludf.DUMMYFUNCTION("""COMPUTED_VALUE"""),"Незнаю")</f>
        <v>Незнаю</v>
      </c>
      <c r="M1812" s="6" t="str">
        <f>IFERROR(__xludf.DUMMYFUNCTION("""COMPUTED_VALUE"""),"Маленько, чё к чему, барагозить")</f>
        <v>Маленько, чё к чему, барагозить</v>
      </c>
      <c r="N1812" s="6" t="str">
        <f>IFERROR(__xludf.DUMMYFUNCTION("""COMPUTED_VALUE"""),"Много мест для отдыха ( парков, скверов), детские площадки, место для купания летом ( взрослые/дети), бассейны, доступность кафе для детей и взрослых ( без спиртного) ")</f>
        <v>Много мест для отдыха ( парков, скверов), детские площадки, место для купания летом ( взрослые/дети), бассейны, доступность кафе для детей и взрослых ( без спиртного) </v>
      </c>
      <c r="O1812" s="6" t="str">
        <f>IFERROR(__xludf.DUMMYFUNCTION("""COMPUTED_VALUE"""),"Открытые контейнеры для мусора, заменить на закрытые! Спилить старые деревья в частном секторе Заводского р-на; Набережная требует капитального ремонта")</f>
        <v>Открытые контейнеры для мусора, заменить на закрытые! Спилить старые деревья в частном секторе Заводского р-на; Набережная требует капитального ремонта</v>
      </c>
      <c r="P1812" s="6" t="str">
        <f>IFERROR(__xludf.DUMMYFUNCTION("""COMPUTED_VALUE"""),"Инстаграме")</f>
        <v>Инстаграме</v>
      </c>
      <c r="Q181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ак"&amp;"ции/запуск новых предприятий),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812" s="6" t="str">
        <f>IFERROR(__xludf.DUMMYFUNCTION("""COMPUTED_VALUE"""),"9 мая: день города, день шахтера, новый год")</f>
        <v>9 мая: день города, день шахтера, новый год</v>
      </c>
      <c r="S1812" s="6" t="str">
        <f>IFERROR(__xludf.DUMMYFUNCTION("""COMPUTED_VALUE"""),"Нет, не приходилось")</f>
        <v>Нет, не приходилось</v>
      </c>
      <c r="T1812" s="6" t="str">
        <f>IFERROR(__xludf.DUMMYFUNCTION("""COMPUTED_VALUE"""),"Промышленными предприятиями, углем")</f>
        <v>Промышленными предприятиями, углем</v>
      </c>
      <c r="U1812" s="6" t="str">
        <f>IFERROR(__xludf.DUMMYFUNCTION("""COMPUTED_VALUE"""),"Площадь Советов, бульвар Строителей")</f>
        <v>Площадь Советов, бульвар Строителей</v>
      </c>
      <c r="V1812" s="6" t="str">
        <f>IFERROR(__xludf.DUMMYFUNCTION("""COMPUTED_VALUE"""),"Строительство Азота, Коксохимзавода, Химпрома, механического завода, хладокомбинат, хлебзавода и т. д")</f>
        <v>Строительство Азота, Коксохимзавода, Химпрома, механического завода, хладокомбинат, хлебзавода и т. д</v>
      </c>
      <c r="W1812" s="6" t="str">
        <f>IFERROR(__xludf.DUMMYFUNCTION("""COMPUTED_VALUE"""),"Добрые, простые, готовые прийти на помощь")</f>
        <v>Добрые, простые, готовые прийти на помощь</v>
      </c>
      <c r="X1812" s="6" t="str">
        <f>IFERROR(__xludf.DUMMYFUNCTION("""COMPUTED_VALUE"""),"Лесная Поляна, Томская Писаница")</f>
        <v>Лесная Поляна, Томская Писаница</v>
      </c>
      <c r="Y1812" s="6" t="str">
        <f>IFERROR(__xludf.DUMMYFUNCTION("""COMPUTED_VALUE"""),"Затрудняюсь выделить")</f>
        <v>Затрудняюсь выделить</v>
      </c>
      <c r="Z1812" s="6" t="str">
        <f>IFERROR(__xludf.DUMMYFUNCTION("""COMPUTED_VALUE"""),"Открытие Ботанического сада  на Лесной Поляне, парка Ангелов")</f>
        <v>Открытие Ботанического сада  на Лесной Поляне, парка Ангелов</v>
      </c>
      <c r="AA1812" s="6" t="str">
        <f>IFERROR(__xludf.DUMMYFUNCTION("""COMPUTED_VALUE"""),"Это вопросы экологии, загазованности. Отсутствие честной информации ")</f>
        <v>Это вопросы экологии, загазованности. Отсутствие честной информации </v>
      </c>
      <c r="AB1812" s="6" t="str">
        <f>IFERROR(__xludf.DUMMYFUNCTION("""COMPUTED_VALUE"""),"Затрудняюсь")</f>
        <v>Затрудняюсь</v>
      </c>
      <c r="AC1812" s="6" t="str">
        <f>IFERROR(__xludf.DUMMYFUNCTION("""COMPUTED_VALUE"""),"Больше информации о проведении мероприятий в выходные дни! , куда можно пойти с детьми, доступность анимации для детей! Детских комнат, кинотеатр под открытым небом, выступление музыкальных коллективов в парках")</f>
        <v>Больше информации о проведении мероприятий в выходные дни! , куда можно пойти с детьми, доступность анимации для детей! Детских комнат, кинотеатр под открытым небом, выступление музыкальных коллективов в парках</v>
      </c>
      <c r="AD181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812" s="6" t="str">
        <f>IFERROR(__xludf.DUMMYFUNCTION("""COMPUTED_VALUE"""),"Женский")</f>
        <v>Женский</v>
      </c>
      <c r="AF1812" s="6" t="str">
        <f>IFERROR(__xludf.DUMMYFUNCTION("""COMPUTED_VALUE"""),"45-55")</f>
        <v>45-55</v>
      </c>
      <c r="AG1812" s="6"/>
      <c r="AH1812" s="6"/>
      <c r="AI1812" s="6"/>
      <c r="AJ1812" s="6"/>
      <c r="AK1812" s="6"/>
      <c r="AL1812" s="6"/>
      <c r="AM1812" s="6"/>
    </row>
    <row r="1813">
      <c r="A1813" s="6">
        <v>1812.0</v>
      </c>
      <c r="B1813" s="6" t="str">
        <f>IFERROR(__xludf.DUMMYFUNCTION("""COMPUTED_VALUE"""),"Повар")</f>
        <v>Повар</v>
      </c>
      <c r="C1813" s="6" t="str">
        <f>IFERROR(__xludf.DUMMYFUNCTION("""COMPUTED_VALUE"""),"Рисовать")</f>
        <v>Рисовать</v>
      </c>
      <c r="D1813" s="6" t="str">
        <f>IFERROR(__xludf.DUMMYFUNCTION("""COMPUTED_VALUE"""),"ФПК")</f>
        <v>ФПК</v>
      </c>
      <c r="E1813" s="6" t="str">
        <f>IFERROR(__xludf.DUMMYFUNCTION("""COMPUTED_VALUE"""),"Гринвич, аллея восмерка.")</f>
        <v>Гринвич, аллея восмерка.</v>
      </c>
      <c r="F1813" s="6" t="str">
        <f>IFERROR(__xludf.DUMMYFUNCTION("""COMPUTED_VALUE"""),"Живу здесь с рождения")</f>
        <v>Живу здесь с рождения</v>
      </c>
      <c r="G1813" s="6" t="str">
        <f>IFERROR(__xludf.DUMMYFUNCTION("""COMPUTED_VALUE"""),"Центр города, сосновый бор, бульвар, комсомольский парк")</f>
        <v>Центр города, сосновый бор, бульвар, комсомольский парк</v>
      </c>
      <c r="H1813" s="6" t="str">
        <f>IFERROR(__xludf.DUMMYFUNCTION("""COMPUTED_VALUE"""),"Уголь, родина, друзья, теоецентр, собор.")</f>
        <v>Уголь, родина, друзья, теоецентр, собор.</v>
      </c>
      <c r="I1813" s="6" t="str">
        <f>IFERROR(__xludf.DUMMYFUNCTION("""COMPUTED_VALUE"""),"Евгений Гришковец, Алексей Леонов, Виктор Логинов")</f>
        <v>Евгений Гришковец, Алексей Леонов, Виктор Логинов</v>
      </c>
      <c r="J1813" s="6" t="str">
        <f>IFERROR(__xludf.DUMMYFUNCTION("""COMPUTED_VALUE"""),"Щербинин Евгений Иванович")</f>
        <v>Щербинин Евгений Иванович</v>
      </c>
      <c r="K1813" s="6" t="str">
        <f>IFERROR(__xludf.DUMMYFUNCTION("""COMPUTED_VALUE"""),"Березовая роща")</f>
        <v>Березовая роща</v>
      </c>
      <c r="L1813" s="6" t="str">
        <f>IFERROR(__xludf.DUMMYFUNCTION("""COMPUTED_VALUE"""),"Погода в Кемерово почти не отличается погодой Новосибирска")</f>
        <v>Погода в Кемерово почти не отличается погодой Новосибирска</v>
      </c>
      <c r="M1813" s="6" t="str">
        <f>IFERROR(__xludf.DUMMYFUNCTION("""COMPUTED_VALUE"""),"Омлет по-кемеровски")</f>
        <v>Омлет по-кемеровски</v>
      </c>
      <c r="N1813" s="6" t="str">
        <f>IFERROR(__xludf.DUMMYFUNCTION("""COMPUTED_VALUE"""),"Широкие улицы, доступность мазагинов, ланшафт, месное радио, речка томь")</f>
        <v>Широкие улицы, доступность мазагинов, ланшафт, месное радио, речка томь</v>
      </c>
      <c r="O1813" s="6" t="str">
        <f>IFERROR(__xludf.DUMMYFUNCTION("""COMPUTED_VALUE"""),"Экологию")</f>
        <v>Экологию</v>
      </c>
      <c r="P1813" s="6" t="str">
        <f>IFERROR(__xludf.DUMMYFUNCTION("""COMPUTED_VALUE"""),"Теоевидиние, радио")</f>
        <v>Теоевидиние, радио</v>
      </c>
      <c r="Q1813"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криминальные новости (происшествия/преступления)"&amp;", новости про новые профессии/куда поступать/вакансии, бизнес-новости (средний чек/рекламные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813" s="6" t="str">
        <f>IFERROR(__xludf.DUMMYFUNCTION("""COMPUTED_VALUE"""),"День города")</f>
        <v>День города</v>
      </c>
      <c r="S1813" s="6" t="str">
        <f>IFERROR(__xludf.DUMMYFUNCTION("""COMPUTED_VALUE"""),"Делал рассылку по электронной почте, Обращался в редакции электронных городских СМИ")</f>
        <v>Делал рассылку по электронной почте, Обращался в редакции электронных городских СМИ</v>
      </c>
      <c r="T1813" s="6" t="str">
        <f>IFERROR(__xludf.DUMMYFUNCTION("""COMPUTED_VALUE"""),"Стройплошадки")</f>
        <v>Стройплошадки</v>
      </c>
      <c r="U1813" s="6" t="str">
        <f>IFERROR(__xludf.DUMMYFUNCTION("""COMPUTED_VALUE"""),"Площадь советов")</f>
        <v>Площадь советов</v>
      </c>
      <c r="V1813" s="6" t="str">
        <f>IFERROR(__xludf.DUMMYFUNCTION("""COMPUTED_VALUE"""),"Добыча угля")</f>
        <v>Добыча угля</v>
      </c>
      <c r="W1813" s="6" t="str">
        <f>IFERROR(__xludf.DUMMYFUNCTION("""COMPUTED_VALUE"""),"Меркантильные")</f>
        <v>Меркантильные</v>
      </c>
      <c r="X1813" s="6" t="str">
        <f>IFERROR(__xludf.DUMMYFUNCTION("""COMPUTED_VALUE"""),"Пр. Ленина")</f>
        <v>Пр. Ленина</v>
      </c>
      <c r="Y1813" s="6" t="str">
        <f>IFERROR(__xludf.DUMMYFUNCTION("""COMPUTED_VALUE"""),"Чемпионат мира по хокею с мячом ")</f>
        <v>Чемпионат мира по хокею с мячом </v>
      </c>
      <c r="Z1813" s="6" t="str">
        <f>IFERROR(__xludf.DUMMYFUNCTION("""COMPUTED_VALUE"""),"Кресный ход")</f>
        <v>Кресный ход</v>
      </c>
      <c r="AA1813" s="6" t="str">
        <f>IFERROR(__xludf.DUMMYFUNCTION("""COMPUTED_VALUE"""),"Ограбление")</f>
        <v>Ограбление</v>
      </c>
      <c r="AB1813" s="6" t="str">
        <f>IFERROR(__xludf.DUMMYFUNCTION("""COMPUTED_VALUE"""),"Дом науки")</f>
        <v>Дом науки</v>
      </c>
      <c r="AC1813" s="6" t="str">
        <f>IFERROR(__xludf.DUMMYFUNCTION("""COMPUTED_VALUE"""),"Разные")</f>
        <v>Разные</v>
      </c>
      <c r="AD181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дл"&amp;"я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813" s="6" t="str">
        <f>IFERROR(__xludf.DUMMYFUNCTION("""COMPUTED_VALUE"""),"Мужской")</f>
        <v>Мужской</v>
      </c>
      <c r="AF1813" s="6" t="str">
        <f>IFERROR(__xludf.DUMMYFUNCTION("""COMPUTED_VALUE"""),"30-44")</f>
        <v>30-44</v>
      </c>
      <c r="AG1813" s="6"/>
      <c r="AH1813" s="6"/>
      <c r="AI1813" s="6"/>
      <c r="AJ1813" s="6"/>
      <c r="AK1813" s="6"/>
      <c r="AL1813" s="6"/>
      <c r="AM1813" s="6"/>
    </row>
    <row r="1814">
      <c r="A1814" s="6">
        <v>1813.0</v>
      </c>
      <c r="B1814" s="6" t="str">
        <f>IFERROR(__xludf.DUMMYFUNCTION("""COMPUTED_VALUE"""),"Медицина")</f>
        <v>Медицина</v>
      </c>
      <c r="C1814" s="6" t="str">
        <f>IFERROR(__xludf.DUMMYFUNCTION("""COMPUTED_VALUE"""),"Да")</f>
        <v>Да</v>
      </c>
      <c r="D1814" s="6" t="str">
        <f>IFERROR(__xludf.DUMMYFUNCTION("""COMPUTED_VALUE"""),"Радуга")</f>
        <v>Радуга</v>
      </c>
      <c r="E1814" s="6" t="str">
        <f>IFERROR(__xludf.DUMMYFUNCTION("""COMPUTED_VALUE"""),"Бор")</f>
        <v>Бор</v>
      </c>
      <c r="F1814" s="6" t="str">
        <f>IFERROR(__xludf.DUMMYFUNCTION("""COMPUTED_VALUE"""),"Живу здесь с рождения")</f>
        <v>Живу здесь с рождения</v>
      </c>
      <c r="G1814" s="6" t="str">
        <f>IFERROR(__xludf.DUMMYFUNCTION("""COMPUTED_VALUE"""),"Бор")</f>
        <v>Бор</v>
      </c>
      <c r="H1814" s="6" t="str">
        <f>IFERROR(__xludf.DUMMYFUNCTION("""COMPUTED_VALUE"""),"Уголь ,шахтер,бор сосны кедры")</f>
        <v>Уголь ,шахтер,бор сосны кедры</v>
      </c>
      <c r="I1814" s="6" t="str">
        <f>IFERROR(__xludf.DUMMYFUNCTION("""COMPUTED_VALUE"""),"Волков")</f>
        <v>Волков</v>
      </c>
      <c r="J1814" s="6" t="str">
        <f>IFERROR(__xludf.DUMMYFUNCTION("""COMPUTED_VALUE"""),"Леонов ,Михайлов (бывший мер ) Тулеев")</f>
        <v>Леонов ,Михайлов (бывший мер ) Тулеев</v>
      </c>
      <c r="K1814" s="6" t="str">
        <f>IFERROR(__xludf.DUMMYFUNCTION("""COMPUTED_VALUE"""),"Томская писаница")</f>
        <v>Томская писаница</v>
      </c>
      <c r="L1814" s="6" t="str">
        <f>IFERROR(__xludf.DUMMYFUNCTION("""COMPUTED_VALUE"""),"Не знаю")</f>
        <v>Не знаю</v>
      </c>
      <c r="M1814" s="6" t="str">
        <f>IFERROR(__xludf.DUMMYFUNCTION("""COMPUTED_VALUE"""),"Не знаю")</f>
        <v>Не знаю</v>
      </c>
      <c r="N1814" s="6" t="str">
        <f>IFERROR(__xludf.DUMMYFUNCTION("""COMPUTED_VALUE"""),"Чистый город ,парки ,озеленение ,детские площадки,места отдыха ")</f>
        <v>Чистый город ,парки ,озеленение ,детские площадки,места отдыха </v>
      </c>
      <c r="O1814" s="6" t="str">
        <f>IFERROR(__xludf.DUMMYFUNCTION("""COMPUTED_VALUE"""),"Помыть дороги ,покрасить ограждения ")</f>
        <v>Помыть дороги ,покрасить ограждения </v>
      </c>
      <c r="P1814" s="6" t="str">
        <f>IFERROR(__xludf.DUMMYFUNCTION("""COMPUTED_VALUE"""),"Инстаграм, Фейсбук ,новости Кузбасса")</f>
        <v>Инстаграм, Фейсбук ,новости Кузбасса</v>
      </c>
      <c r="Q1814" s="6" t="str">
        <f>IFERROR(__xludf.DUMMYFUNCTION("""COMPUTED_VALUE"""),"городская афиша (кино/театр/концерты), интервью с местными политиками, интервью с местными творческими личностями")</f>
        <v>городская афиша (кино/театр/концерты), интервью с местными политиками, интервью с местными творческими личностями</v>
      </c>
      <c r="R1814" s="6" t="str">
        <f>IFERROR(__xludf.DUMMYFUNCTION("""COMPUTED_VALUE"""),"День города ")</f>
        <v>День города </v>
      </c>
      <c r="S1814" s="6" t="str">
        <f>IFERROR(__xludf.DUMMYFUNCTION("""COMPUTED_VALUE"""),"Нет, не приходилось")</f>
        <v>Нет, не приходилось</v>
      </c>
      <c r="T1814" s="6" t="str">
        <f>IFERROR(__xludf.DUMMYFUNCTION("""COMPUTED_VALUE"""),"Угольная промышленность")</f>
        <v>Угольная промышленность</v>
      </c>
      <c r="U1814" s="6" t="str">
        <f>IFERROR(__xludf.DUMMYFUNCTION("""COMPUTED_VALUE"""),"Улица Весенняя ,вечный огонь")</f>
        <v>Улица Весенняя ,вечный огонь</v>
      </c>
      <c r="V1814" s="6" t="str">
        <f>IFERROR(__xludf.DUMMYFUNCTION("""COMPUTED_VALUE"""),"Ни чего ")</f>
        <v>Ни чего </v>
      </c>
      <c r="W1814" s="6" t="str">
        <f>IFERROR(__xludf.DUMMYFUNCTION("""COMPUTED_VALUE"""),"Немного озлобленные")</f>
        <v>Немного озлобленные</v>
      </c>
      <c r="X1814" s="6" t="str">
        <f>IFERROR(__xludf.DUMMYFUNCTION("""COMPUTED_VALUE"""),"Улица Весенняя")</f>
        <v>Улица Весенняя</v>
      </c>
      <c r="Y1814" s="6" t="str">
        <f>IFERROR(__xludf.DUMMYFUNCTION("""COMPUTED_VALUE"""),"Не знаю")</f>
        <v>Не знаю</v>
      </c>
      <c r="Z1814" s="6" t="str">
        <f>IFERROR(__xludf.DUMMYFUNCTION("""COMPUTED_VALUE"""),"День города")</f>
        <v>День города</v>
      </c>
      <c r="AA1814" s="6" t="str">
        <f>IFERROR(__xludf.DUMMYFUNCTION("""COMPUTED_VALUE"""),"Закрытия лазурного")</f>
        <v>Закрытия лазурного</v>
      </c>
      <c r="AB1814" s="6" t="str">
        <f>IFERROR(__xludf.DUMMYFUNCTION("""COMPUTED_VALUE"""),"Всех хватат")</f>
        <v>Всех хватат</v>
      </c>
      <c r="AC1814" s="6" t="str">
        <f>IFERROR(__xludf.DUMMYFUNCTION("""COMPUTED_VALUE"""),"И так хватает")</f>
        <v>И так хватает</v>
      </c>
      <c r="AD181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14" s="6" t="str">
        <f>IFERROR(__xludf.DUMMYFUNCTION("""COMPUTED_VALUE"""),"Женский")</f>
        <v>Женский</v>
      </c>
      <c r="AF1814" s="6" t="str">
        <f>IFERROR(__xludf.DUMMYFUNCTION("""COMPUTED_VALUE"""),"45-55")</f>
        <v>45-55</v>
      </c>
      <c r="AG1814" s="6"/>
      <c r="AH1814" s="6"/>
      <c r="AI1814" s="6"/>
      <c r="AJ1814" s="6"/>
      <c r="AK1814" s="6"/>
      <c r="AL1814" s="6"/>
      <c r="AM1814" s="6"/>
    </row>
    <row r="1815">
      <c r="A1815" s="6">
        <v>1814.0</v>
      </c>
      <c r="B1815" s="6" t="str">
        <f>IFERROR(__xludf.DUMMYFUNCTION("""COMPUTED_VALUE"""),"Студент")</f>
        <v>Студент</v>
      </c>
      <c r="C1815" s="6" t="str">
        <f>IFERROR(__xludf.DUMMYFUNCTION("""COMPUTED_VALUE"""),"Чтение ")</f>
        <v>Чтение </v>
      </c>
      <c r="D1815" s="6" t="str">
        <f>IFERROR(__xludf.DUMMYFUNCTION("""COMPUTED_VALUE"""),"Южный ")</f>
        <v>Южный </v>
      </c>
      <c r="E1815" s="6" t="str">
        <f>IFERROR(__xludf.DUMMYFUNCTION("""COMPUTED_VALUE"""),"Никаких")</f>
        <v>Никаких</v>
      </c>
      <c r="F1815" s="6" t="str">
        <f>IFERROR(__xludf.DUMMYFUNCTION("""COMPUTED_VALUE"""),"Живу здесь с рождения")</f>
        <v>Живу здесь с рождения</v>
      </c>
      <c r="G1815" s="6" t="str">
        <f>IFERROR(__xludf.DUMMYFUNCTION("""COMPUTED_VALUE"""),"В центр города ")</f>
        <v>В центр города </v>
      </c>
      <c r="H1815" s="6" t="str">
        <f>IFERROR(__xludf.DUMMYFUNCTION("""COMPUTED_VALUE"""),"Скучный, грязный, ")</f>
        <v>Скучный, грязный, </v>
      </c>
      <c r="I1815" s="6" t="str">
        <f>IFERROR(__xludf.DUMMYFUNCTION("""COMPUTED_VALUE"""),"Вера Волошина, Юрий Двужильный ")</f>
        <v>Вера Волошина, Юрий Двужильный </v>
      </c>
      <c r="J1815" s="6" t="str">
        <f>IFERROR(__xludf.DUMMYFUNCTION("""COMPUTED_VALUE"""),"Не знаю ")</f>
        <v>Не знаю </v>
      </c>
      <c r="K1815" s="6" t="str">
        <f>IFERROR(__xludf.DUMMYFUNCTION("""COMPUTED_VALUE"""),"Набережная")</f>
        <v>Набережная</v>
      </c>
      <c r="L1815" s="6" t="str">
        <f>IFERROR(__xludf.DUMMYFUNCTION("""COMPUTED_VALUE"""),"Не знаю ")</f>
        <v>Не знаю </v>
      </c>
      <c r="M1815" s="6" t="str">
        <f>IFERROR(__xludf.DUMMYFUNCTION("""COMPUTED_VALUE"""),"Нет")</f>
        <v>Нет</v>
      </c>
      <c r="N1815" s="6" t="str">
        <f>IFERROR(__xludf.DUMMYFUNCTION("""COMPUTED_VALUE"""),"Чистота, приятный вид, интересные места и мероприятия ")</f>
        <v>Чистота, приятный вид, интересные места и мероприятия </v>
      </c>
      <c r="O1815" s="6" t="str">
        <f>IFERROR(__xludf.DUMMYFUNCTION("""COMPUTED_VALUE"""),"Снести старые дома и построить новые ")</f>
        <v>Снести старые дома и построить новые </v>
      </c>
      <c r="P1815" s="6" t="str">
        <f>IFERROR(__xludf.DUMMYFUNCTION("""COMPUTED_VALUE"""),"ВКонтакте ")</f>
        <v>ВКонтакте </v>
      </c>
      <c r="Q1815"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1815" s="6" t="str">
        <f>IFERROR(__xludf.DUMMYFUNCTION("""COMPUTED_VALUE"""),"9 мая")</f>
        <v>9 мая</v>
      </c>
      <c r="S1815" s="6" t="str">
        <f>IFERROR(__xludf.DUMMYFUNCTION("""COMPUTED_VALUE"""),"Нет, не приходилось")</f>
        <v>Нет, не приходилось</v>
      </c>
      <c r="T1815" s="6" t="str">
        <f>IFERROR(__xludf.DUMMYFUNCTION("""COMPUTED_VALUE"""),"Уголь")</f>
        <v>Уголь</v>
      </c>
      <c r="U1815" s="6" t="str">
        <f>IFERROR(__xludf.DUMMYFUNCTION("""COMPUTED_VALUE"""),"Набережная ")</f>
        <v>Набережная </v>
      </c>
      <c r="V1815" s="6" t="str">
        <f>IFERROR(__xludf.DUMMYFUNCTION("""COMPUTED_VALUE"""),"Не знаю")</f>
        <v>Не знаю</v>
      </c>
      <c r="W1815" s="6" t="str">
        <f>IFERROR(__xludf.DUMMYFUNCTION("""COMPUTED_VALUE"""),"Злые")</f>
        <v>Злые</v>
      </c>
      <c r="X1815" s="6" t="str">
        <f>IFERROR(__xludf.DUMMYFUNCTION("""COMPUTED_VALUE"""),"Набережная ")</f>
        <v>Набережная </v>
      </c>
      <c r="Y1815" s="6" t="str">
        <f>IFERROR(__xludf.DUMMYFUNCTION("""COMPUTED_VALUE"""),"Не знаю ")</f>
        <v>Не знаю </v>
      </c>
      <c r="Z1815" s="6" t="str">
        <f>IFERROR(__xludf.DUMMYFUNCTION("""COMPUTED_VALUE"""),"Никаких")</f>
        <v>Никаких</v>
      </c>
      <c r="AA1815" s="6" t="str">
        <f>IFERROR(__xludf.DUMMYFUNCTION("""COMPUTED_VALUE"""),"Зимняя Вишня ")</f>
        <v>Зимняя Вишня </v>
      </c>
      <c r="AB1815" s="6" t="str">
        <f>IFERROR(__xludf.DUMMYFUNCTION("""COMPUTED_VALUE"""),"Не знаю ")</f>
        <v>Не знаю </v>
      </c>
      <c r="AC1815" s="6" t="str">
        <f>IFERROR(__xludf.DUMMYFUNCTION("""COMPUTED_VALUE"""),"Уличные концерты, клубы по интересам")</f>
        <v>Уличные концерты, клубы по интересам</v>
      </c>
      <c r="AD181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15" s="6" t="str">
        <f>IFERROR(__xludf.DUMMYFUNCTION("""COMPUTED_VALUE"""),"Женский")</f>
        <v>Женский</v>
      </c>
      <c r="AF1815" s="6" t="str">
        <f>IFERROR(__xludf.DUMMYFUNCTION("""COMPUTED_VALUE"""),"18-29")</f>
        <v>18-29</v>
      </c>
      <c r="AG1815" s="6"/>
      <c r="AH1815" s="6"/>
      <c r="AI1815" s="6"/>
      <c r="AJ1815" s="6"/>
      <c r="AK1815" s="6"/>
      <c r="AL1815" s="6"/>
      <c r="AM1815" s="6"/>
    </row>
    <row r="1816">
      <c r="A1816" s="6">
        <v>1815.0</v>
      </c>
      <c r="B1816" s="6" t="str">
        <f>IFERROR(__xludf.DUMMYFUNCTION("""COMPUTED_VALUE"""),"Индивидуальный предприниматель")</f>
        <v>Индивидуальный предприниматель</v>
      </c>
      <c r="C1816" s="6" t="str">
        <f>IFERROR(__xludf.DUMMYFUNCTION("""COMPUTED_VALUE"""),"Нет")</f>
        <v>Нет</v>
      </c>
      <c r="D1816" s="6" t="str">
        <f>IFERROR(__xludf.DUMMYFUNCTION("""COMPUTED_VALUE"""),"ФПК")</f>
        <v>ФПК</v>
      </c>
      <c r="E1816" s="6" t="str">
        <f>IFERROR(__xludf.DUMMYFUNCTION("""COMPUTED_VALUE"""),"Гринвич")</f>
        <v>Гринвич</v>
      </c>
      <c r="F1816" s="6" t="str">
        <f>IFERROR(__xludf.DUMMYFUNCTION("""COMPUTED_VALUE"""),"Живу здесь с рождения")</f>
        <v>Живу здесь с рождения</v>
      </c>
      <c r="G1816" s="6" t="str">
        <f>IFERROR(__xludf.DUMMYFUNCTION("""COMPUTED_VALUE"""),"Центр, сосновый бор, парк напротив 2го Променада, парк юности, набережная кировского района, парк новорожденных около 99 школы ФПК.")</f>
        <v>Центр, сосновый бор, парк напротив 2го Променада, парк юности, набережная кировского района, парк новорожденных около 99 школы ФПК.</v>
      </c>
      <c r="H1816" s="6" t="str">
        <f>IFERROR(__xludf.DUMMYFUNCTION("""COMPUTED_VALUE"""),"Компактный, родной, сибирский, чистый, любимый.")</f>
        <v>Компактный, родной, сибирский, чистый, любимый.</v>
      </c>
      <c r="I1816" s="6" t="str">
        <f>IFERROR(__xludf.DUMMYFUNCTION("""COMPUTED_VALUE"""),"Михайло Волков, Рутгерс, Владимир Михайлов, А. Тулеев")</f>
        <v>Михайло Волков, Рутгерс, Владимир Михайлов, А. Тулеев</v>
      </c>
      <c r="J1816" s="6" t="str">
        <f>IFERROR(__xludf.DUMMYFUNCTION("""COMPUTED_VALUE"""),"Владимир Михайлов, А. Тулеев")</f>
        <v>Владимир Михайлов, А. Тулеев</v>
      </c>
      <c r="K1816" s="6" t="str">
        <f>IFERROR(__xludf.DUMMYFUNCTION("""COMPUTED_VALUE"""),"Томская писаница, ""Лазурный берег"", территория санатория ""Кедровый бор"".")</f>
        <v>Томская писаница, "Лазурный берег", территория санатория "Кедровый бор".</v>
      </c>
      <c r="L1816" s="6" t="str">
        <f>IFERROR(__xludf.DUMMYFUNCTION("""COMPUTED_VALUE"""),"Не знаю")</f>
        <v>Не знаю</v>
      </c>
      <c r="M1816" s="6" t="str">
        <f>IFERROR(__xludf.DUMMYFUNCTION("""COMPUTED_VALUE"""),"Нет")</f>
        <v>Нет</v>
      </c>
      <c r="N1816" s="6" t="str">
        <f>IFERROR(__xludf.DUMMYFUNCTION("""COMPUTED_VALUE"""),"Чистота, хорошие ровные дороги, ухоженные дворы, много зеленых насаждений, парков, озер, прудов для прогулок.")</f>
        <v>Чистота, хорошие ровные дороги, ухоженные дворы, много зеленых насаждений, парков, озер, прудов для прогулок.</v>
      </c>
      <c r="O1816" s="6" t="str">
        <f>IFERROR(__xludf.DUMMYFUNCTION("""COMPUTED_VALUE"""),"Озеленить город, посадить больше деревьев, разбить новые парки. Бассейны построить, их очень мало.")</f>
        <v>Озеленить город, посадить больше деревьев, разбить новые парки. Бассейны построить, их очень мало.</v>
      </c>
      <c r="P1816" s="6" t="str">
        <f>IFERROR(__xludf.DUMMYFUNCTION("""COMPUTED_VALUE"""),"Из ТВ передач ВГТРК ""Кузбасс"".")</f>
        <v>Из ТВ передач ВГТРК "Кузбасс".</v>
      </c>
      <c r="Q1816"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v>
      </c>
      <c r="R1816" s="6" t="str">
        <f>IFERROR(__xludf.DUMMYFUNCTION("""COMPUTED_VALUE"""),"Никакие")</f>
        <v>Никакие</v>
      </c>
      <c r="S1816" s="6" t="str">
        <f>IFERROR(__xludf.DUMMYFUNCTION("""COMPUTED_VALUE"""),"Нет, не приходилось")</f>
        <v>Нет, не приходилось</v>
      </c>
      <c r="T1816" s="6" t="str">
        <f>IFERROR(__xludf.DUMMYFUNCTION("""COMPUTED_VALUE"""),"Плохим загазованным воздухом, пожарами.")</f>
        <v>Плохим загазованным воздухом, пожарами.</v>
      </c>
      <c r="U1816" s="6" t="str">
        <f>IFERROR(__xludf.DUMMYFUNCTION("""COMPUTED_VALUE"""),"Почтамт")</f>
        <v>Почтамт</v>
      </c>
      <c r="V1816" s="6" t="str">
        <f>IFERROR(__xludf.DUMMYFUNCTION("""COMPUTED_VALUE"""),"Построили город, создали его инфраструктуру.")</f>
        <v>Построили город, создали его инфраструктуру.</v>
      </c>
      <c r="W1816" s="6" t="str">
        <f>IFERROR(__xludf.DUMMYFUNCTION("""COMPUTED_VALUE"""),"Злые очень, не дружелюбные, не терпимые, не толерантные.")</f>
        <v>Злые очень, не дружелюбные, не терпимые, не толерантные.</v>
      </c>
      <c r="X1816" s="6" t="str">
        <f>IFERROR(__xludf.DUMMYFUNCTION("""COMPUTED_VALUE"""),"Улица Весенняя, улица Островского, набережная.")</f>
        <v>Улица Весенняя, улица Островского, набережная.</v>
      </c>
      <c r="Y1816" s="6" t="str">
        <f>IFERROR(__xludf.DUMMYFUNCTION("""COMPUTED_VALUE"""),"Никакое.")</f>
        <v>Никакое.</v>
      </c>
      <c r="Z1816" s="6" t="str">
        <f>IFERROR(__xludf.DUMMYFUNCTION("""COMPUTED_VALUE"""),"Никакие.")</f>
        <v>Никакие.</v>
      </c>
      <c r="AA1816" s="6" t="str">
        <f>IFERROR(__xludf.DUMMYFUNCTION("""COMPUTED_VALUE"""),"Никакие.")</f>
        <v>Никакие.</v>
      </c>
      <c r="AB1816" s="6" t="str">
        <f>IFERROR(__xludf.DUMMYFUNCTION("""COMPUTED_VALUE"""),"Не знаю.")</f>
        <v>Не знаю.</v>
      </c>
      <c r="AC1816" s="6" t="str">
        <f>IFERROR(__xludf.DUMMYFUNCTION("""COMPUTED_VALUE"""),"Городу необходимо посадить больше деревьев, это ""легкие"" города. ")</f>
        <v>Городу необходимо посадить больше деревьев, это "легкие" города. </v>
      </c>
      <c r="AD181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16" s="6" t="str">
        <f>IFERROR(__xludf.DUMMYFUNCTION("""COMPUTED_VALUE"""),"Женский")</f>
        <v>Женский</v>
      </c>
      <c r="AF1816" s="6" t="str">
        <f>IFERROR(__xludf.DUMMYFUNCTION("""COMPUTED_VALUE"""),"45-55")</f>
        <v>45-55</v>
      </c>
      <c r="AG1816" s="6"/>
      <c r="AH1816" s="6"/>
      <c r="AI1816" s="6"/>
      <c r="AJ1816" s="6"/>
      <c r="AK1816" s="6"/>
      <c r="AL1816" s="6"/>
      <c r="AM1816" s="6"/>
    </row>
    <row r="1817">
      <c r="A1817" s="6">
        <v>1816.0</v>
      </c>
      <c r="B1817" s="6" t="str">
        <f>IFERROR(__xludf.DUMMYFUNCTION("""COMPUTED_VALUE"""),"Спорт")</f>
        <v>Спорт</v>
      </c>
      <c r="C1817" s="6" t="str">
        <f>IFERROR(__xludf.DUMMYFUNCTION("""COMPUTED_VALUE"""),"Лыжи")</f>
        <v>Лыжи</v>
      </c>
      <c r="D1817" s="6" t="str">
        <f>IFERROR(__xludf.DUMMYFUNCTION("""COMPUTED_VALUE"""),"Кировский")</f>
        <v>Кировский</v>
      </c>
      <c r="E1817" s="6" t="str">
        <f>IFERROR(__xludf.DUMMYFUNCTION("""COMPUTED_VALUE"""),"Набережная. Берёзовая роща. ")</f>
        <v>Набережная. Берёзовая роща. </v>
      </c>
      <c r="F1817" s="6" t="str">
        <f>IFERROR(__xludf.DUMMYFUNCTION("""COMPUTED_VALUE"""),"Переехал сюда из другого места (откуда? укажите в графе другое), Анжеро судженск")</f>
        <v>Переехал сюда из другого места (откуда? укажите в графе другое), Анжеро судженск</v>
      </c>
      <c r="G1817" s="6" t="str">
        <f>IFERROR(__xludf.DUMMYFUNCTION("""COMPUTED_VALUE"""),"Набережная")</f>
        <v>Набережная</v>
      </c>
      <c r="H1817" s="6" t="str">
        <f>IFERROR(__xludf.DUMMYFUNCTION("""COMPUTED_VALUE"""),"Родной. Приятный. Лучшей. ")</f>
        <v>Родной. Приятный. Лучшей. </v>
      </c>
      <c r="I1817" s="6" t="str">
        <f>IFERROR(__xludf.DUMMYFUNCTION("""COMPUTED_VALUE"""),"Леонов. Ушаков. Матросов ")</f>
        <v>Леонов. Ушаков. Матросов </v>
      </c>
      <c r="J1817" s="6" t="str">
        <f>IFERROR(__xludf.DUMMYFUNCTION("""COMPUTED_VALUE"""),"Цивелев. ")</f>
        <v>Цивелев. </v>
      </c>
      <c r="K1817" s="6" t="str">
        <f>IFERROR(__xludf.DUMMYFUNCTION("""COMPUTED_VALUE"""),"Памятник шахтёра. Красная горка. ")</f>
        <v>Памятник шахтёра. Красная горка. </v>
      </c>
      <c r="L1817" s="6" t="str">
        <f>IFERROR(__xludf.DUMMYFUNCTION("""COMPUTED_VALUE"""),"Не знаю. ")</f>
        <v>Не знаю. </v>
      </c>
      <c r="M1817" s="6" t="str">
        <f>IFERROR(__xludf.DUMMYFUNCTION("""COMPUTED_VALUE"""),"Люди из Кемерово. ")</f>
        <v>Люди из Кемерово. </v>
      </c>
      <c r="N1817" s="6" t="str">
        <f>IFERROR(__xludf.DUMMYFUNCTION("""COMPUTED_VALUE"""),"Бульвар строителей. Парк чудес. Центр на фонтане. ")</f>
        <v>Бульвар строителей. Парк чудес. Центр на фонтане. </v>
      </c>
      <c r="O1817" s="6" t="str">
        <f>IFERROR(__xludf.DUMMYFUNCTION("""COMPUTED_VALUE"""),"Кировский не забывать. ")</f>
        <v>Кировский не забывать. </v>
      </c>
      <c r="P1817" s="6" t="str">
        <f>IFERROR(__xludf.DUMMYFUNCTION("""COMPUTED_VALUE"""),"Инстаграм. ")</f>
        <v>Инстаграм. </v>
      </c>
      <c r="Q1817" s="6" t="str">
        <f>IFERROR(__xludf.DUMMYFUNCTION("""COMPUTED_VALUE"""),"интервью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817" s="6" t="str">
        <f>IFERROR(__xludf.DUMMYFUNCTION("""COMPUTED_VALUE"""),"День шахтёра. ")</f>
        <v>День шахтёра. </v>
      </c>
      <c r="S1817" s="6" t="str">
        <f>IFERROR(__xludf.DUMMYFUNCTION("""COMPUTED_VALUE"""),"Нет, не приходилось")</f>
        <v>Нет, не приходилось</v>
      </c>
      <c r="T1817" s="6" t="str">
        <f>IFERROR(__xludf.DUMMYFUNCTION("""COMPUTED_VALUE"""),"Лесная поляна. ")</f>
        <v>Лесная поляна. </v>
      </c>
      <c r="U1817" s="6" t="str">
        <f>IFERROR(__xludf.DUMMYFUNCTION("""COMPUTED_VALUE"""),"Парк Жукова. ")</f>
        <v>Парк Жукова. </v>
      </c>
      <c r="V1817" s="6" t="str">
        <f>IFERROR(__xludf.DUMMYFUNCTION("""COMPUTED_VALUE"""),"Они строили город. Заводы. ")</f>
        <v>Они строили город. Заводы. </v>
      </c>
      <c r="W1817" s="6" t="str">
        <f>IFERROR(__xludf.DUMMYFUNCTION("""COMPUTED_VALUE"""),"Отзывчивые. ")</f>
        <v>Отзывчивые. </v>
      </c>
      <c r="X1817" s="6" t="str">
        <f>IFERROR(__xludf.DUMMYFUNCTION("""COMPUTED_VALUE"""),"По весенний. ")</f>
        <v>По весенний. </v>
      </c>
      <c r="Y1817" s="6" t="str">
        <f>IFERROR(__xludf.DUMMYFUNCTION("""COMPUTED_VALUE"""),"Музей краеведчиский. ")</f>
        <v>Музей краеведчиский. </v>
      </c>
      <c r="Z1817" s="6" t="str">
        <f>IFERROR(__xludf.DUMMYFUNCTION("""COMPUTED_VALUE"""),"Красивые школы и детские сады. Ледовый дворец. ")</f>
        <v>Красивые школы и детские сады. Ледовый дворец. </v>
      </c>
      <c r="AA1817" s="6" t="str">
        <f>IFERROR(__xludf.DUMMYFUNCTION("""COMPUTED_VALUE"""),"Город расцветает. А многим не нравится. Обидно. ")</f>
        <v>Город расцветает. А многим не нравится. Обидно. </v>
      </c>
      <c r="AB1817" s="6" t="str">
        <f>IFERROR(__xludf.DUMMYFUNCTION("""COMPUTED_VALUE"""),"В Кировском нет лыжного проката. ")</f>
        <v>В Кировском нет лыжного проката. </v>
      </c>
      <c r="AC1817" s="6" t="str">
        <f>IFERROR(__xludf.DUMMYFUNCTION("""COMPUTED_VALUE"""),"Участвовать в жизни города. ")</f>
        <v>Участвовать в жизни города. </v>
      </c>
      <c r="AD181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817" s="6" t="str">
        <f>IFERROR(__xludf.DUMMYFUNCTION("""COMPUTED_VALUE"""),"Женский")</f>
        <v>Женский</v>
      </c>
      <c r="AF1817" s="6" t="str">
        <f>IFERROR(__xludf.DUMMYFUNCTION("""COMPUTED_VALUE"""),"старше 55")</f>
        <v>старше 55</v>
      </c>
      <c r="AG1817" s="6"/>
      <c r="AH1817" s="6"/>
      <c r="AI1817" s="6"/>
      <c r="AJ1817" s="6"/>
      <c r="AK1817" s="6"/>
      <c r="AL1817" s="6"/>
      <c r="AM1817" s="6"/>
    </row>
    <row r="1818">
      <c r="A1818" s="6">
        <v>1817.0</v>
      </c>
      <c r="B1818" s="6" t="str">
        <f>IFERROR(__xludf.DUMMYFUNCTION("""COMPUTED_VALUE"""),"Преподаю")</f>
        <v>Преподаю</v>
      </c>
      <c r="C1818" s="6" t="str">
        <f>IFERROR(__xludf.DUMMYFUNCTION("""COMPUTED_VALUE"""),"Спорт")</f>
        <v>Спорт</v>
      </c>
      <c r="D1818" s="6" t="str">
        <f>IFERROR(__xludf.DUMMYFUNCTION("""COMPUTED_VALUE"""),"Рудничный/ радуга ")</f>
        <v>Рудничный/ радуга </v>
      </c>
      <c r="E1818" s="6" t="str">
        <f>IFERROR(__xludf.DUMMYFUNCTION("""COMPUTED_VALUE"""),"Памятник шахтерам, красная горка,")</f>
        <v>Памятник шахтерам, красная горка,</v>
      </c>
      <c r="F1818" s="6" t="str">
        <f>IFERROR(__xludf.DUMMYFUNCTION("""COMPUTED_VALUE"""),"Переехал сюда из другого места (откуда? укажите в графе другое), Юрга")</f>
        <v>Переехал сюда из другого места (откуда? укажите в графе другое), Юрга</v>
      </c>
      <c r="G1818" s="6" t="str">
        <f>IFERROR(__xludf.DUMMYFUNCTION("""COMPUTED_VALUE"""),"Центр,набережная, ")</f>
        <v>Центр,набережная, </v>
      </c>
      <c r="H1818" s="6" t="str">
        <f>IFERROR(__xludf.DUMMYFUNCTION("""COMPUTED_VALUE"""),"Туман,  угольная пыль,  набережная, волейбол, Кузбасс ")</f>
        <v>Туман,  угольная пыль,  набережная, волейбол, Кузбасс </v>
      </c>
      <c r="I1818" s="6" t="str">
        <f>IFERROR(__xludf.DUMMYFUNCTION("""COMPUTED_VALUE"""),"Волков,  тулеев, немецкий архитектор который строил центр, больше не знаю ")</f>
        <v>Волков,  тулеев, немецкий архитектор который строил центр, больше не знаю </v>
      </c>
      <c r="J1818" s="6" t="str">
        <f>IFERROR(__xludf.DUMMYFUNCTION("""COMPUTED_VALUE"""),"А такие есть?")</f>
        <v>А такие есть?</v>
      </c>
      <c r="K1818" s="6" t="str">
        <f>IFERROR(__xludf.DUMMYFUNCTION("""COMPUTED_VALUE"""),"Лесная поляна, красная горка,  памятник шахтерам ")</f>
        <v>Лесная поляна, красная горка,  памятник шахтерам </v>
      </c>
      <c r="L1818" s="6" t="str">
        <f>IFERROR(__xludf.DUMMYFUNCTION("""COMPUTED_VALUE"""),"Они не приличные ")</f>
        <v>Они не приличные </v>
      </c>
      <c r="M1818" s="6" t="str">
        <f>IFERROR(__xludf.DUMMYFUNCTION("""COMPUTED_VALUE"""),"Кемрово ")</f>
        <v>Кемрово </v>
      </c>
      <c r="N1818" s="6" t="str">
        <f>IFERROR(__xludf.DUMMYFUNCTION("""COMPUTED_VALUE"""),"Чисто,  экологично, тихо, безопасно,  дружелюбно ")</f>
        <v>Чисто,  экологично, тихо, безопасно,  дружелюбно </v>
      </c>
      <c r="O1818" s="6" t="str">
        <f>IFERROR(__xludf.DUMMYFUNCTION("""COMPUTED_VALUE"""),"Экологию ")</f>
        <v>Экологию </v>
      </c>
      <c r="P1818" s="6" t="str">
        <f>IFERROR(__xludf.DUMMYFUNCTION("""COMPUTED_VALUE"""),"А42, Яндекс,  гугл ")</f>
        <v>А42, Яндекс,  гугл </v>
      </c>
      <c r="Q1818" s="6" t="str">
        <f>IFERROR(__xludf.DUMMYFUNCTION("""COMPUTED_VALUE"""),"куда пойти в свободное время, городская афиша (кино/театр/концерты), Спорт и сопутствующие темы спорта, экология города, культурный досуга ")</f>
        <v>куда пойти в свободное время, городская афиша (кино/театр/концерты), Спорт и сопутствующие темы спорта, экология города, культурный досуга </v>
      </c>
      <c r="R1818" s="6" t="str">
        <f>IFERROR(__xludf.DUMMYFUNCTION("""COMPUTED_VALUE"""),"9 мая, новый год,  день города ")</f>
        <v>9 мая, новый год,  день города </v>
      </c>
      <c r="S1818" s="6" t="str">
        <f>IFERROR(__xludf.DUMMYFUNCTION("""COMPUTED_VALUE"""),"Делал рассылку по электронной почте, Обращался в редакции электронных городских СМИ, Организовывал мероприятия федерального округа")</f>
        <v>Делал рассылку по электронной почте, Обращался в редакции электронных городских СМИ, Организовывал мероприятия федерального округа</v>
      </c>
      <c r="T1818" s="6" t="str">
        <f>IFERROR(__xludf.DUMMYFUNCTION("""COMPUTED_VALUE"""),"Знаменит спортивными успехами,  и к сожалению трагическими событиями ")</f>
        <v>Знаменит спортивными успехами,  и к сожалению трагическими событиями </v>
      </c>
      <c r="U1818" s="6" t="str">
        <f>IFERROR(__xludf.DUMMYFUNCTION("""COMPUTED_VALUE"""),"Красная горка,  лесная поляна,  металплощадка ")</f>
        <v>Красная горка,  лесная поляна,  металплощадка </v>
      </c>
      <c r="V1818" s="6" t="str">
        <f>IFERROR(__xludf.DUMMYFUNCTION("""COMPUTED_VALUE"""),"Построили и возвели то что мы имеем ")</f>
        <v>Построили и возвели то что мы имеем </v>
      </c>
      <c r="W1818" s="6" t="str">
        <f>IFERROR(__xludf.DUMMYFUNCTION("""COMPUTED_VALUE"""),"В большинстве своём доброжелательные люди, но со своим гонором в зависимости от района проживания.  ")</f>
        <v>В большинстве своём доброжелательные люди, но со своим гонором в зависимости от района проживания.  </v>
      </c>
      <c r="X1818" s="6" t="str">
        <f>IFERROR(__xludf.DUMMYFUNCTION("""COMPUTED_VALUE"""),"Лесная поляна ")</f>
        <v>Лесная поляна </v>
      </c>
      <c r="Y1818" s="6" t="str">
        <f>IFERROR(__xludf.DUMMYFUNCTION("""COMPUTED_VALUE"""),"Чемпионат мира по хоккею с мячом, мы чемпионы России по волейболу. ")</f>
        <v>Чемпионат мира по хоккею с мячом, мы чемпионы России по волейболу. </v>
      </c>
      <c r="Z1818" s="6" t="str">
        <f>IFERROR(__xludf.DUMMYFUNCTION("""COMPUTED_VALUE"""),"Волейбол Кузбасс чемпион ")</f>
        <v>Волейбол Кузбасс чемпион </v>
      </c>
      <c r="AA1818" s="6" t="str">
        <f>IFERROR(__xludf.DUMMYFUNCTION("""COMPUTED_VALUE"""),"Всем известный пожар в зимней вишне, закрытие бассейна")</f>
        <v>Всем известный пожар в зимней вишне, закрытие бассейна</v>
      </c>
      <c r="AB1818" s="6" t="str">
        <f>IFERROR(__xludf.DUMMYFUNCTION("""COMPUTED_VALUE"""),"Мало спортивной инфраструктуры,  не развиты Кировский и рудничный районы, нет досуга для молодёжи в рудничном и ленинском районе.  ")</f>
        <v>Мало спортивной инфраструктуры,  не развиты Кировский и рудничный районы, нет досуга для молодёжи в рудничном и ленинском районе.  </v>
      </c>
      <c r="AC1818" s="6" t="str">
        <f>IFERROR(__xludf.DUMMYFUNCTION("""COMPUTED_VALUE"""),"Необходимо развивать детский спорт,  больше детских турниров, чемпионатов. Воспитывать патриотизм чувство благодарности предкам за мирное время. ")</f>
        <v>Необходимо развивать детский спорт,  больше детских турниров, чемпионатов. Воспитывать патриотизм чувство благодарности предкам за мирное время. </v>
      </c>
      <c r="AD181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818" s="6" t="str">
        <f>IFERROR(__xludf.DUMMYFUNCTION("""COMPUTED_VALUE"""),"Мужской")</f>
        <v>Мужской</v>
      </c>
      <c r="AF1818" s="6" t="str">
        <f>IFERROR(__xludf.DUMMYFUNCTION("""COMPUTED_VALUE"""),"30-44")</f>
        <v>30-44</v>
      </c>
      <c r="AG1818" s="6"/>
      <c r="AH1818" s="6"/>
      <c r="AI1818" s="6"/>
      <c r="AJ1818" s="6"/>
      <c r="AK1818" s="6"/>
      <c r="AL1818" s="6"/>
      <c r="AM1818" s="6"/>
    </row>
    <row r="1819">
      <c r="A1819" s="6">
        <v>1818.0</v>
      </c>
      <c r="B1819" s="6" t="str">
        <f>IFERROR(__xludf.DUMMYFUNCTION("""COMPUTED_VALUE"""),"Воспитатель")</f>
        <v>Воспитатель</v>
      </c>
      <c r="C1819" s="6" t="str">
        <f>IFERROR(__xludf.DUMMYFUNCTION("""COMPUTED_VALUE"""),"Рукоделие: вышивка крестом и бисером. ")</f>
        <v>Рукоделие: вышивка крестом и бисером. </v>
      </c>
      <c r="D1819" s="6" t="str">
        <f>IFERROR(__xludf.DUMMYFUNCTION("""COMPUTED_VALUE"""),"Центральный. ")</f>
        <v>Центральный. </v>
      </c>
      <c r="E1819" s="6" t="str">
        <f>IFERROR(__xludf.DUMMYFUNCTION("""COMPUTED_VALUE"""),"Набережная, Парк Антошка, ул. Весеняя ")</f>
        <v>Набережная, Парк Антошка, ул. Весеняя </v>
      </c>
      <c r="F1819" s="6" t="str">
        <f>IFERROR(__xludf.DUMMYFUNCTION("""COMPUTED_VALUE"""),"Живу здесь с рождения")</f>
        <v>Живу здесь с рождения</v>
      </c>
      <c r="G1819" s="6" t="str">
        <f>IFERROR(__xludf.DUMMYFUNCTION("""COMPUTED_VALUE"""),"Гуляем в парке возле дома ")</f>
        <v>Гуляем в парке возле дома </v>
      </c>
      <c r="H1819" s="6" t="str">
        <f>IFERROR(__xludf.DUMMYFUNCTION("""COMPUTED_VALUE"""),"Кузбасс, Уголь, Цивилев, Инстаграмм, Плохая экология. ")</f>
        <v>Кузбасс, Уголь, Цивилев, Инстаграмм, Плохая экология. </v>
      </c>
      <c r="I1819" s="6" t="str">
        <f>IFERROR(__xludf.DUMMYFUNCTION("""COMPUTED_VALUE"""),"Леонов А. А., Машков В., Малышева, Вера Волошина, Юрий Двужильный. ")</f>
        <v>Леонов А. А., Машков В., Малышева, Вера Волошина, Юрий Двужильный. </v>
      </c>
      <c r="J1819" s="6" t="str">
        <f>IFERROR(__xludf.DUMMYFUNCTION("""COMPUTED_VALUE"""),"Бобров, Середюк ")</f>
        <v>Бобров, Середюк </v>
      </c>
      <c r="K1819" s="6" t="str">
        <f>IFERROR(__xludf.DUMMYFUNCTION("""COMPUTED_VALUE"""),"Парк Агнелов, Крест, набережную реки Томь. ")</f>
        <v>Парк Агнелов, Крест, набережную реки Томь. </v>
      </c>
      <c r="L1819" s="6" t="str">
        <f>IFERROR(__xludf.DUMMYFUNCTION("""COMPUTED_VALUE"""),"Затрудняюсь ответить ")</f>
        <v>Затрудняюсь ответить </v>
      </c>
      <c r="M1819" s="6" t="str">
        <f>IFERROR(__xludf.DUMMYFUNCTION("""COMPUTED_VALUE"""),"Встретиться на кресте. ")</f>
        <v>Встретиться на кресте. </v>
      </c>
      <c r="N1819" s="6" t="str">
        <f>IFERROR(__xludf.DUMMYFUNCTION("""COMPUTED_VALUE"""),"Хорошая экология, достаточный уровень зарплаты, развитая экономика, социальная поддержка. ")</f>
        <v>Хорошая экология, достаточный уровень зарплаты, развитая экономика, социальная поддержка. </v>
      </c>
      <c r="O1819" s="6" t="str">
        <f>IFERROR(__xludf.DUMMYFUNCTION("""COMPUTED_VALUE"""),"Экологию! Дышать не чем! Постоянная загазованность города, выбросы от заводов в атмосферу. ")</f>
        <v>Экологию! Дышать не чем! Постоянная загазованность города, выбросы от заводов в атмосферу. </v>
      </c>
      <c r="P1819" s="6" t="str">
        <f>IFERROR(__xludf.DUMMYFUNCTION("""COMPUTED_VALUE"""),"Инстарамм")</f>
        <v>Инстарамм</v>
      </c>
      <c r="Q1819" s="6" t="str">
        <f>IFERROR(__xludf.DUMMYFUNCTION("""COMPUTED_VALUE"""),"куда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 и"&amp;"нтервью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819" s="6" t="str">
        <f>IFERROR(__xludf.DUMMYFUNCTION("""COMPUTED_VALUE"""),"Мне нравятся все праздники, которые проводят у нас в городе. ")</f>
        <v>Мне нравятся все праздники, которые проводят у нас в городе. </v>
      </c>
      <c r="S1819" s="6" t="str">
        <f>IFERROR(__xludf.DUMMYFUNCTION("""COMPUTED_VALUE"""),"Делал рассылку по электронной почте")</f>
        <v>Делал рассылку по электронной почте</v>
      </c>
      <c r="T1819" s="6" t="str">
        <f>IFERROR(__xludf.DUMMYFUNCTION("""COMPUTED_VALUE"""),"Згаменит трагедией в Зимней Вишне. ")</f>
        <v>Згаменит трагедией в Зимней Вишне. </v>
      </c>
      <c r="U1819" s="6" t="str">
        <f>IFERROR(__xludf.DUMMYFUNCTION("""COMPUTED_VALUE"""),"Площадь советов. ")</f>
        <v>Площадь советов. </v>
      </c>
      <c r="V1819" s="6" t="str">
        <f>IFERROR(__xludf.DUMMYFUNCTION("""COMPUTED_VALUE"""),"Если каждый человек будет хорошо и ответственно выполнять свою работу, уважать и понимать цену чужого труда, тогда наш город будет благоустроенее, дворы будут чище, люди в больницах и поликлиниках начнут получать реальную помощь и многие другие сферы нала"&amp;"диться! ")</f>
        <v>Если каждый человек будет хорошо и ответственно выполнять свою работу, уважать и понимать цену чужого труда, тогда наш город будет благоустроенее, дворы будут чище, люди в больницах и поликлиниках начнут получать реальную помощь и многие другие сферы наладиться! </v>
      </c>
      <c r="W1819" s="6" t="str">
        <f>IFERROR(__xludf.DUMMYFUNCTION("""COMPUTED_VALUE"""),"Честные, открытые, терпеливые.")</f>
        <v>Честные, открытые, терпеливые.</v>
      </c>
      <c r="X1819" s="6" t="str">
        <f>IFERROR(__xludf.DUMMYFUNCTION("""COMPUTED_VALUE"""),"Цирк - парк Антошка - парк Победы - филармония - площадь Советов - пр. Советский - ул. Весеняя - Набережная реки Томь. ")</f>
        <v>Цирк - парк Антошка - парк Победы - филармония - площадь Советов - пр. Советский - ул. Весеняя - Набережная реки Томь. </v>
      </c>
      <c r="Y1819" s="6" t="str">
        <f>IFERROR(__xludf.DUMMYFUNCTION("""COMPUTED_VALUE"""),"Затрудняюсь ответить ")</f>
        <v>Затрудняюсь ответить </v>
      </c>
      <c r="Z1819" s="6" t="str">
        <f>IFERROR(__xludf.DUMMYFUNCTION("""COMPUTED_VALUE"""),"Концерт на площади Советов хора Пятницкого")</f>
        <v>Концерт на площади Советов хора Пятницкого</v>
      </c>
      <c r="AA1819" s="6" t="str">
        <f>IFERROR(__xludf.DUMMYFUNCTION("""COMPUTED_VALUE"""),"Пожар в Зимней Вишне ")</f>
        <v>Пожар в Зимней Вишне </v>
      </c>
      <c r="AB1819" s="6" t="str">
        <f>IFERROR(__xludf.DUMMYFUNCTION("""COMPUTED_VALUE"""),"Затрудняюсь ответить ")</f>
        <v>Затрудняюсь ответить </v>
      </c>
      <c r="AC1819" s="6" t="str">
        <f>IFERROR(__xludf.DUMMYFUNCTION("""COMPUTED_VALUE"""),"Затрудняюсь ответить ")</f>
        <v>Затрудняюсь ответить </v>
      </c>
      <c r="AD181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19" s="6" t="str">
        <f>IFERROR(__xludf.DUMMYFUNCTION("""COMPUTED_VALUE"""),"Женский")</f>
        <v>Женский</v>
      </c>
      <c r="AF1819" s="6" t="str">
        <f>IFERROR(__xludf.DUMMYFUNCTION("""COMPUTED_VALUE"""),"30-44")</f>
        <v>30-44</v>
      </c>
      <c r="AG1819" s="6"/>
      <c r="AH1819" s="6"/>
      <c r="AI1819" s="6"/>
      <c r="AJ1819" s="6"/>
      <c r="AK1819" s="6"/>
      <c r="AL1819" s="6"/>
      <c r="AM1819" s="6"/>
    </row>
    <row r="1820">
      <c r="A1820" s="6">
        <v>1819.0</v>
      </c>
      <c r="B1820" s="6" t="str">
        <f>IFERROR(__xludf.DUMMYFUNCTION("""COMPUTED_VALUE"""),"Работаю")</f>
        <v>Работаю</v>
      </c>
      <c r="C1820" s="6" t="str">
        <f>IFERROR(__xludf.DUMMYFUNCTION("""COMPUTED_VALUE"""),"Нет")</f>
        <v>Нет</v>
      </c>
      <c r="D1820" s="6" t="str">
        <f>IFERROR(__xludf.DUMMYFUNCTION("""COMPUTED_VALUE"""),"В Завадском. Тихий, спокойный район. ")</f>
        <v>В Завадском. Тихий, спокойный район. </v>
      </c>
      <c r="E1820" s="6" t="str">
        <f>IFERROR(__xludf.DUMMYFUNCTION("""COMPUTED_VALUE"""),"По сути никаких. ")</f>
        <v>По сути никаких. </v>
      </c>
      <c r="F1820" s="6" t="str">
        <f>IFERROR(__xludf.DUMMYFUNCTION("""COMPUTED_VALUE"""),"Живу здесь с рождения")</f>
        <v>Живу здесь с рождения</v>
      </c>
      <c r="G1820" s="6" t="str">
        <f>IFERROR(__xludf.DUMMYFUNCTION("""COMPUTED_VALUE"""),"В свобное время пытаюсь выехать с семьёй за город, подальше от вредного воздуха, суеты. И потом в городе очень мало развлекательных программ для семей. ")</f>
        <v>В свобное время пытаюсь выехать с семьёй за город, подальше от вредного воздуха, суеты. И потом в городе очень мало развлекательных программ для семей. </v>
      </c>
      <c r="H1820" s="6" t="str">
        <f>IFERROR(__xludf.DUMMYFUNCTION("""COMPUTED_VALUE"""),"Грязь, смог, мусор, скука, ")</f>
        <v>Грязь, смог, мусор, скука, </v>
      </c>
      <c r="I1820" s="6" t="str">
        <f>IFERROR(__xludf.DUMMYFUNCTION("""COMPUTED_VALUE"""),"Вера Волошина, Леонов, Виктор Логинов, Малышева. ")</f>
        <v>Вера Волошина, Леонов, Виктор Логинов, Малышева. </v>
      </c>
      <c r="J1820" s="6" t="str">
        <f>IFERROR(__xludf.DUMMYFUNCTION("""COMPUTED_VALUE"""),"А что такие люди есть? ")</f>
        <v>А что такие люди есть? </v>
      </c>
      <c r="K1820" s="6" t="str">
        <f>IFERROR(__xludf.DUMMYFUNCTION("""COMPUTED_VALUE"""),"Ул. Весенняя с Драмтеатром, парк им. Жукова, Набережная, Красная горка. ")</f>
        <v>Ул. Весенняя с Драмтеатром, парк им. Жукова, Набережная, Красная горка. </v>
      </c>
      <c r="L1820" s="6" t="str">
        <f>IFERROR(__xludf.DUMMYFUNCTION("""COMPUTED_VALUE"""),"Город, в котором я живу, — это город возможностей. Можно уехать, например.")</f>
        <v>Город, в котором я живу, — это город возможностей. Можно уехать, например.</v>
      </c>
      <c r="M1820" s="6" t="str">
        <f>IFERROR(__xludf.DUMMYFUNCTION("""COMPUTED_VALUE"""),"Нет. ")</f>
        <v>Нет. </v>
      </c>
      <c r="N1820" s="6" t="str">
        <f>IFERROR(__xludf.DUMMYFUNCTION("""COMPUTED_VALUE"""),"Безопасность как в самом городе, так и в школах, садах и самое главное на дорогах!!! ")</f>
        <v>Безопасность как в самом городе, так и в школах, садах и самое главное на дорогах!!! </v>
      </c>
      <c r="O1820" s="6" t="str">
        <f>IFERROR(__xludf.DUMMYFUNCTION("""COMPUTED_VALUE"""),"Объездную дорогу для грузового транспорта")</f>
        <v>Объездную дорогу для грузового транспорта</v>
      </c>
      <c r="P1820" s="6" t="str">
        <f>IFERROR(__xludf.DUMMYFUNCTION("""COMPUTED_VALUE"""),"ВКонтакте, Телеграм, Инстаграм. ")</f>
        <v>ВКонтакте, Телеграм, Инстаграм. </v>
      </c>
      <c r="Q1820" s="6" t="str">
        <f>IFERROR(__xludf.DUMMYFUNCTION("""COMPUTED_VALUE"""),"куда пойти в свободное время,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f>
        <v>куда пойти в свободное время, интервью с местными творческими личностями, криминальные новости (происшествия/преступления), результаты местных исследований (рейтинги/аналитика/тенденции)</v>
      </c>
      <c r="R1820" s="6" t="str">
        <f>IFERROR(__xludf.DUMMYFUNCTION("""COMPUTED_VALUE"""),"День города")</f>
        <v>День города</v>
      </c>
      <c r="S1820" s="6" t="str">
        <f>IFERROR(__xludf.DUMMYFUNCTION("""COMPUTED_VALUE"""),"Нет, не приходилось")</f>
        <v>Нет, не приходилось</v>
      </c>
      <c r="T1820" s="6" t="str">
        <f>IFERROR(__xludf.DUMMYFUNCTION("""COMPUTED_VALUE"""),"Думаю тем, что в центре города расположен большой сосновый Бор. ")</f>
        <v>Думаю тем, что в центре города расположен большой сосновый Бор. </v>
      </c>
      <c r="U1820" s="6" t="str">
        <f>IFERROR(__xludf.DUMMYFUNCTION("""COMPUTED_VALUE"""),"Сосновый Бор. ")</f>
        <v>Сосновый Бор. </v>
      </c>
      <c r="V1820" s="6" t="str">
        <f>IFERROR(__xludf.DUMMYFUNCTION("""COMPUTED_VALUE"""),"Раньше многое чего сделали, а сейчас в основном всё портят и уничтожают. И чем тут гордится? ")</f>
        <v>Раньше многое чего сделали, а сейчас в основном всё портят и уничтожают. И чем тут гордится? </v>
      </c>
      <c r="W1820" s="6" t="str">
        <f>IFERROR(__xludf.DUMMYFUNCTION("""COMPUTED_VALUE"""),"Отзывчивые, доброжелательные,помогут в трудную минуту (таких людей мало, это далеко не про каждого). ")</f>
        <v>Отзывчивые, доброжелательные,помогут в трудную минуту (таких людей мало, это далеко не про каждого). </v>
      </c>
      <c r="X1820" s="6" t="str">
        <f>IFERROR(__xludf.DUMMYFUNCTION("""COMPUTED_VALUE"""),"От вокзала до бульвара строителей 🤣")</f>
        <v>От вокзала до бульвара строителей 🤣</v>
      </c>
      <c r="Y1820" s="6" t="str">
        <f>IFERROR(__xludf.DUMMYFUNCTION("""COMPUTED_VALUE"""),"Переименование из Щегловска в Кемерово, забастовка шахтерев, пожар ТРК ""Зимняя Вишня"". ")</f>
        <v>Переименование из Щегловска в Кемерово, забастовка шахтерев, пожар ТРК "Зимняя Вишня". </v>
      </c>
      <c r="Z1820" s="6" t="str">
        <f>IFERROR(__xludf.DUMMYFUNCTION("""COMPUTED_VALUE"""),"рок-концерт ""Герои мирового рока""")</f>
        <v>рок-концерт "Герои мирового рока"</v>
      </c>
      <c r="AA1820" s="6" t="str">
        <f>IFERROR(__xludf.DUMMYFUNCTION("""COMPUTED_VALUE"""),"Пожар в ТРК ""Зимняя Вишня"" ")</f>
        <v>Пожар в ТРК "Зимняя Вишня" </v>
      </c>
      <c r="AB1820" s="6" t="str">
        <f>IFERROR(__xludf.DUMMYFUNCTION("""COMPUTED_VALUE"""),"Патриотический. ")</f>
        <v>Патриотический. </v>
      </c>
      <c r="AC1820" s="6" t="str">
        <f>IFERROR(__xludf.DUMMYFUNCTION("""COMPUTED_VALUE"""),"Больше семейных мероприятий да и вообще чтобы можно было с детьми сходить и провести время. ")</f>
        <v>Больше семейных мероприятий да и вообще чтобы можно было с детьми сходить и провести время. </v>
      </c>
      <c r="AD182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20" s="6" t="str">
        <f>IFERROR(__xludf.DUMMYFUNCTION("""COMPUTED_VALUE"""),"Женский")</f>
        <v>Женский</v>
      </c>
      <c r="AF1820" s="6" t="str">
        <f>IFERROR(__xludf.DUMMYFUNCTION("""COMPUTED_VALUE"""),"30-44")</f>
        <v>30-44</v>
      </c>
      <c r="AG1820" s="6"/>
      <c r="AH1820" s="6"/>
      <c r="AI1820" s="6"/>
      <c r="AJ1820" s="6"/>
      <c r="AK1820" s="6"/>
      <c r="AL1820" s="6"/>
      <c r="AM1820" s="6"/>
    </row>
    <row r="1821">
      <c r="A1821" s="6">
        <v>1820.0</v>
      </c>
      <c r="B1821" s="6" t="str">
        <f>IFERROR(__xludf.DUMMYFUNCTION("""COMPUTED_VALUE"""),"Врач")</f>
        <v>Врач</v>
      </c>
      <c r="C1821" s="6" t="str">
        <f>IFERROR(__xludf.DUMMYFUNCTION("""COMPUTED_VALUE"""),"Спорт")</f>
        <v>Спорт</v>
      </c>
      <c r="D1821" s="6" t="str">
        <f>IFERROR(__xludf.DUMMYFUNCTION("""COMPUTED_VALUE"""),"Ленинский")</f>
        <v>Ленинский</v>
      </c>
      <c r="E1821" s="6" t="str">
        <f>IFERROR(__xludf.DUMMYFUNCTION("""COMPUTED_VALUE"""),"Бульвар Строителей ")</f>
        <v>Бульвар Строителей </v>
      </c>
      <c r="F1821"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821" s="6" t="str">
        <f>IFERROR(__xludf.DUMMYFUNCTION("""COMPUTED_VALUE"""),"Бульвар строителей ")</f>
        <v>Бульвар строителей </v>
      </c>
      <c r="H1821" s="6" t="str">
        <f>IFERROR(__xludf.DUMMYFUNCTION("""COMPUTED_VALUE"""),"Шахта, шахтёр, смог, дороги, плохая экология")</f>
        <v>Шахта, шахтёр, смог, дороги, плохая экология</v>
      </c>
      <c r="I1821" s="6" t="str">
        <f>IFERROR(__xludf.DUMMYFUNCTION("""COMPUTED_VALUE"""),"Волков, Леонов, Тулеев")</f>
        <v>Волков, Леонов, Тулеев</v>
      </c>
      <c r="J1821" s="6" t="str">
        <f>IFERROR(__xludf.DUMMYFUNCTION("""COMPUTED_VALUE"""),"Тулеев")</f>
        <v>Тулеев</v>
      </c>
      <c r="K1821" s="6" t="str">
        <f>IFERROR(__xludf.DUMMYFUNCTION("""COMPUTED_VALUE"""),"Зимняя Вишня, Красная Горка, Томская Писанница, кедровый бор")</f>
        <v>Зимняя Вишня, Красная Горка, Томская Писанница, кедровый бор</v>
      </c>
      <c r="L1821" s="6" t="str">
        <f>IFERROR(__xludf.DUMMYFUNCTION("""COMPUTED_VALUE"""),"Не знаю ")</f>
        <v>Не знаю </v>
      </c>
      <c r="M1821" s="6" t="str">
        <f>IFERROR(__xludf.DUMMYFUNCTION("""COMPUTED_VALUE"""),"Не знаю ")</f>
        <v>Не знаю </v>
      </c>
      <c r="N1821" s="6" t="str">
        <f>IFERROR(__xludf.DUMMYFUNCTION("""COMPUTED_VALUE"""),"Мало пробок, не большой город")</f>
        <v>Мало пробок, не большой город</v>
      </c>
      <c r="O1821" s="6" t="str">
        <f>IFERROR(__xludf.DUMMYFUNCTION("""COMPUTED_VALUE"""),"Экологию")</f>
        <v>Экологию</v>
      </c>
      <c r="P1821" s="6" t="str">
        <f>IFERROR(__xludf.DUMMYFUNCTION("""COMPUTED_VALUE"""),"Интернет ")</f>
        <v>Интернет </v>
      </c>
      <c r="Q1821" s="6" t="str">
        <f>IFERROR(__xludf.DUMMYFUNCTION("""COMPUTED_VALUE"""),"криминальные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f>
        <v>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1821" s="6" t="str">
        <f>IFERROR(__xludf.DUMMYFUNCTION("""COMPUTED_VALUE"""),"9 мая, 12 июня")</f>
        <v>9 мая, 12 июня</v>
      </c>
      <c r="S1821" s="6" t="str">
        <f>IFERROR(__xludf.DUMMYFUNCTION("""COMPUTED_VALUE"""),"Нет, не приходилось")</f>
        <v>Нет, не приходилось</v>
      </c>
      <c r="T1821" s="6" t="str">
        <f>IFERROR(__xludf.DUMMYFUNCTION("""COMPUTED_VALUE"""),"АЛЕКСЕЙ ЛЕОНОВ")</f>
        <v>АЛЕКСЕЙ ЛЕОНОВ</v>
      </c>
      <c r="U1821" s="6" t="str">
        <f>IFERROR(__xludf.DUMMYFUNCTION("""COMPUTED_VALUE"""),"Вокзал")</f>
        <v>Вокзал</v>
      </c>
      <c r="V1821" s="6" t="str">
        <f>IFERROR(__xludf.DUMMYFUNCTION("""COMPUTED_VALUE"""),"Добывали уголь")</f>
        <v>Добывали уголь</v>
      </c>
      <c r="W1821" s="6" t="str">
        <f>IFERROR(__xludf.DUMMYFUNCTION("""COMPUTED_VALUE"""),"Злые")</f>
        <v>Злые</v>
      </c>
      <c r="X1821" s="6" t="str">
        <f>IFERROR(__xludf.DUMMYFUNCTION("""COMPUTED_VALUE"""),"Центр")</f>
        <v>Центр</v>
      </c>
      <c r="Y1821" s="6" t="str">
        <f>IFERROR(__xludf.DUMMYFUNCTION("""COMPUTED_VALUE"""),"Нашли уголь")</f>
        <v>Нашли уголь</v>
      </c>
      <c r="Z1821" s="6" t="str">
        <f>IFERROR(__xludf.DUMMYFUNCTION("""COMPUTED_VALUE"""),"Строика")</f>
        <v>Строика</v>
      </c>
      <c r="AA1821" s="6" t="str">
        <f>IFERROR(__xludf.DUMMYFUNCTION("""COMPUTED_VALUE"""),"Зимняя Вишня ")</f>
        <v>Зимняя Вишня </v>
      </c>
      <c r="AB1821" s="6" t="str">
        <f>IFERROR(__xludf.DUMMYFUNCTION("""COMPUTED_VALUE"""),"Не знаю ")</f>
        <v>Не знаю </v>
      </c>
      <c r="AC1821" s="6" t="str">
        <f>IFERROR(__xludf.DUMMYFUNCTION("""COMPUTED_VALUE"""),"Аквапарк ")</f>
        <v>Аквапарк </v>
      </c>
      <c r="AD182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21" s="6" t="str">
        <f>IFERROR(__xludf.DUMMYFUNCTION("""COMPUTED_VALUE"""),"Женский")</f>
        <v>Женский</v>
      </c>
      <c r="AF1821" s="6" t="str">
        <f>IFERROR(__xludf.DUMMYFUNCTION("""COMPUTED_VALUE"""),"45-55")</f>
        <v>45-55</v>
      </c>
      <c r="AG1821" s="6"/>
      <c r="AH1821" s="6"/>
      <c r="AI1821" s="6"/>
      <c r="AJ1821" s="6"/>
      <c r="AK1821" s="6"/>
      <c r="AL1821" s="6"/>
      <c r="AM1821" s="6"/>
    </row>
    <row r="1822">
      <c r="A1822" s="6">
        <v>1821.0</v>
      </c>
      <c r="B1822" s="6" t="str">
        <f>IFERROR(__xludf.DUMMYFUNCTION("""COMPUTED_VALUE"""),"Офисный работник")</f>
        <v>Офисный работник</v>
      </c>
      <c r="C1822" s="6" t="str">
        <f>IFERROR(__xludf.DUMMYFUNCTION("""COMPUTED_VALUE"""),"спорт")</f>
        <v>спорт</v>
      </c>
      <c r="D1822" s="6" t="str">
        <f>IFERROR(__xludf.DUMMYFUNCTION("""COMPUTED_VALUE"""),"Заводский")</f>
        <v>Заводский</v>
      </c>
      <c r="E1822" s="6" t="str">
        <f>IFERROR(__xludf.DUMMYFUNCTION("""COMPUTED_VALUE"""),"Парк возле Гринвича, парк Ангелов")</f>
        <v>Парк возле Гринвича, парк Ангелов</v>
      </c>
      <c r="F1822" s="6" t="str">
        <f>IFERROR(__xludf.DUMMYFUNCTION("""COMPUTED_VALUE"""),"Живу здесь с рождения")</f>
        <v>Живу здесь с рождения</v>
      </c>
      <c r="G1822" s="6" t="str">
        <f>IFERROR(__xludf.DUMMYFUNCTION("""COMPUTED_VALUE"""),"Сосновый бор, бары, кафе, гуляю везде")</f>
        <v>Сосновый бор, бары, кафе, гуляю везде</v>
      </c>
      <c r="H1822" s="6" t="str">
        <f>IFERROR(__xludf.DUMMYFUNCTION("""COMPUTED_VALUE"""),"смог, грязь, уголь, заводы")</f>
        <v>смог, грязь, уголь, заводы</v>
      </c>
      <c r="I1822" s="6" t="str">
        <f>IFERROR(__xludf.DUMMYFUNCTION("""COMPUTED_VALUE"""),"Леонов, Бобров, Мартемьянов, Федоров")</f>
        <v>Леонов, Бобров, Мартемьянов, Федоров</v>
      </c>
      <c r="J1822" s="6" t="str">
        <f>IFERROR(__xludf.DUMMYFUNCTION("""COMPUTED_VALUE"""),"Тулеев")</f>
        <v>Тулеев</v>
      </c>
      <c r="K1822" s="6" t="str">
        <f>IFERROR(__xludf.DUMMYFUNCTION("""COMPUTED_VALUE"""),"Томская Писаница")</f>
        <v>Томская Писаница</v>
      </c>
      <c r="L1822" s="6" t="str">
        <f>IFERROR(__xludf.DUMMYFUNCTION("""COMPUTED_VALUE"""),"нет таких")</f>
        <v>нет таких</v>
      </c>
      <c r="M1822" s="6" t="str">
        <f>IFERROR(__xludf.DUMMYFUNCTION("""COMPUTED_VALUE"""),"нет")</f>
        <v>нет</v>
      </c>
      <c r="N1822" s="6" t="str">
        <f>IFERROR(__xludf.DUMMYFUNCTION("""COMPUTED_VALUE"""),"транспорт, чистота, парки, культура, стабильность")</f>
        <v>транспорт, чистота, парки, культура, стабильность</v>
      </c>
      <c r="O1822" s="6" t="str">
        <f>IFERROR(__xludf.DUMMYFUNCTION("""COMPUTED_VALUE"""),"Воздух и грязь")</f>
        <v>Воздух и грязь</v>
      </c>
      <c r="P1822" s="6" t="str">
        <f>IFERROR(__xludf.DUMMYFUNCTION("""COMPUTED_VALUE"""),"яндекс новости, инстаграм")</f>
        <v>яндекс новости, инстаграм</v>
      </c>
      <c r="Q1822"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822" s="6" t="str">
        <f>IFERROR(__xludf.DUMMYFUNCTION("""COMPUTED_VALUE"""),"День города")</f>
        <v>День города</v>
      </c>
      <c r="S1822" s="6" t="str">
        <f>IFERROR(__xludf.DUMMYFUNCTION("""COMPUTED_VALUE"""),"Нет, не приходилось")</f>
        <v>Нет, не приходилось</v>
      </c>
      <c r="T1822" s="6" t="str">
        <f>IFERROR(__xludf.DUMMYFUNCTION("""COMPUTED_VALUE"""),"Добыча угля")</f>
        <v>Добыча угля</v>
      </c>
      <c r="U1822" s="6" t="str">
        <f>IFERROR(__xludf.DUMMYFUNCTION("""COMPUTED_VALUE"""),"Площадь Советов")</f>
        <v>Площадь Советов</v>
      </c>
      <c r="V1822" s="6" t="str">
        <f>IFERROR(__xludf.DUMMYFUNCTION("""COMPUTED_VALUE"""),"не знаю")</f>
        <v>не знаю</v>
      </c>
      <c r="W1822" s="6" t="str">
        <f>IFERROR(__xludf.DUMMYFUNCTION("""COMPUTED_VALUE"""),"разные")</f>
        <v>разные</v>
      </c>
      <c r="X1822" s="6" t="str">
        <f>IFERROR(__xludf.DUMMYFUNCTION("""COMPUTED_VALUE"""),"Набережная, Площадь Советов")</f>
        <v>Набережная, Площадь Советов</v>
      </c>
      <c r="Y1822" s="6" t="str">
        <f>IFERROR(__xludf.DUMMYFUNCTION("""COMPUTED_VALUE"""),"не знаю")</f>
        <v>не знаю</v>
      </c>
      <c r="Z1822" s="6" t="str">
        <f>IFERROR(__xludf.DUMMYFUNCTION("""COMPUTED_VALUE"""),"нету таких")</f>
        <v>нету таких</v>
      </c>
      <c r="AA1822" s="6" t="str">
        <f>IFERROR(__xludf.DUMMYFUNCTION("""COMPUTED_VALUE"""),"Зимняя вишня")</f>
        <v>Зимняя вишня</v>
      </c>
      <c r="AB1822" s="6" t="str">
        <f>IFERROR(__xludf.DUMMYFUNCTION("""COMPUTED_VALUE"""),"Общественно полезных")</f>
        <v>Общественно полезных</v>
      </c>
      <c r="AC1822" s="6" t="str">
        <f>IFERROR(__xludf.DUMMYFUNCTION("""COMPUTED_VALUE"""),"аналогично с предыдущим вопросом")</f>
        <v>аналогично с предыдущим вопросом</v>
      </c>
      <c r="AD1822" s="6" t="str">
        <f>IFERROR(__xludf.DUMMYFUNCTION("""COMPUTED_VALUE"""),"Не готов принимать личное участие (укажите, пожалуйста, причину в поле «Другое»), мало свободного времени")</f>
        <v>Не готов принимать личное участие (укажите, пожалуйста, причину в поле «Другое»), мало свободного времени</v>
      </c>
      <c r="AE1822" s="6" t="str">
        <f>IFERROR(__xludf.DUMMYFUNCTION("""COMPUTED_VALUE"""),"Мужской")</f>
        <v>Мужской</v>
      </c>
      <c r="AF1822" s="6" t="str">
        <f>IFERROR(__xludf.DUMMYFUNCTION("""COMPUTED_VALUE"""),"30-44")</f>
        <v>30-44</v>
      </c>
      <c r="AG1822" s="6"/>
      <c r="AH1822" s="6"/>
      <c r="AI1822" s="6"/>
      <c r="AJ1822" s="6"/>
      <c r="AK1822" s="6"/>
      <c r="AL1822" s="6"/>
      <c r="AM1822" s="6"/>
    </row>
    <row r="1823">
      <c r="A1823" s="6">
        <v>1822.0</v>
      </c>
      <c r="B1823" s="6" t="str">
        <f>IFERROR(__xludf.DUMMYFUNCTION("""COMPUTED_VALUE"""),"Студент ")</f>
        <v>Студент </v>
      </c>
      <c r="C1823" s="6" t="str">
        <f>IFERROR(__xludf.DUMMYFUNCTION("""COMPUTED_VALUE"""),"Нет")</f>
        <v>Нет</v>
      </c>
      <c r="D1823" s="6" t="str">
        <f>IFERROR(__xludf.DUMMYFUNCTION("""COMPUTED_VALUE"""),"Заводский(ФПК)")</f>
        <v>Заводский(ФПК)</v>
      </c>
      <c r="E1823" s="6" t="str">
        <f>IFERROR(__xludf.DUMMYFUNCTION("""COMPUTED_VALUE"""),"Гостиный двор (Гринвич)")</f>
        <v>Гостиный двор (Гринвич)</v>
      </c>
      <c r="F1823" s="6" t="str">
        <f>IFERROR(__xludf.DUMMYFUNCTION("""COMPUTED_VALUE"""),"Живу здесь с рождения")</f>
        <v>Живу здесь с рождения</v>
      </c>
      <c r="G1823" s="6" t="str">
        <f>IFERROR(__xludf.DUMMYFUNCTION("""COMPUTED_VALUE"""),"Центральный район,Ленинский район(бульвар строителей)")</f>
        <v>Центральный район,Ленинский район(бульвар строителей)</v>
      </c>
      <c r="H1823" s="6" t="str">
        <f>IFERROR(__xludf.DUMMYFUNCTION("""COMPUTED_VALUE"""),"Красивый,грязный,уютный,родной,просторный ")</f>
        <v>Красивый,грязный,уютный,родной,просторный </v>
      </c>
      <c r="I1823" s="6" t="str">
        <f>IFERROR(__xludf.DUMMYFUNCTION("""COMPUTED_VALUE"""),"Леонов ")</f>
        <v>Леонов </v>
      </c>
      <c r="J1823" s="6" t="str">
        <f>IFERROR(__xludf.DUMMYFUNCTION("""COMPUTED_VALUE"""),"-")</f>
        <v>-</v>
      </c>
      <c r="K1823" s="6" t="str">
        <f>IFERROR(__xludf.DUMMYFUNCTION("""COMPUTED_VALUE"""),"Шашлычки на левом берегу ")</f>
        <v>Шашлычки на левом берегу </v>
      </c>
      <c r="L1823" s="6" t="str">
        <f>IFERROR(__xludf.DUMMYFUNCTION("""COMPUTED_VALUE"""),"В Кемерово круто,в Кемерово снег ,в Кемерово круто в минус сорокет ")</f>
        <v>В Кемерово круто,в Кемерово снег ,в Кемерово круто в минус сорокет </v>
      </c>
      <c r="M1823" s="6" t="str">
        <f>IFERROR(__xludf.DUMMYFUNCTION("""COMPUTED_VALUE"""),"Нет")</f>
        <v>Нет</v>
      </c>
      <c r="N1823" s="6" t="str">
        <f>IFERROR(__xludf.DUMMYFUNCTION("""COMPUTED_VALUE"""),"Чистота,наличие красивых мест отдыха,доступность различных услуг,наличие хороших магазинов,доступность жилья.")</f>
        <v>Чистота,наличие красивых мест отдыха,доступность различных услуг,наличие хороших магазинов,доступность жилья.</v>
      </c>
      <c r="O1823" s="6" t="str">
        <f>IFERROR(__xludf.DUMMYFUNCTION("""COMPUTED_VALUE"""),"Сделать его более чистым ")</f>
        <v>Сделать его более чистым </v>
      </c>
      <c r="P1823" s="6" t="str">
        <f>IFERROR(__xludf.DUMMYFUNCTION("""COMPUTED_VALUE"""),"Группы ВКонтакте ,а42,сибдепо.")</f>
        <v>Группы ВКонтакте ,а42,сибдепо.</v>
      </c>
      <c r="Q1823" s="6" t="str">
        <f>IFERROR(__xludf.DUMMYFUNCTION("""COMPUTED_VALUE"""),"где вкусно поесть/открытие новых кафе/ресторанов, новости про новые профессии/куда поступать/вакансии, бизнес-новости (средний чек/рекламные акции/запуск новых предприятий)")</f>
        <v>где вкусно поесть/открытие новых кафе/ресторанов, новости про новые профессии/куда поступать/вакансии, бизнес-новости (средний чек/рекламные акции/запуск новых предприятий)</v>
      </c>
      <c r="R1823" s="6" t="str">
        <f>IFERROR(__xludf.DUMMYFUNCTION("""COMPUTED_VALUE"""),"Интересным кажется день города ")</f>
        <v>Интересным кажется день города </v>
      </c>
      <c r="S1823" s="6" t="str">
        <f>IFERROR(__xludf.DUMMYFUNCTION("""COMPUTED_VALUE"""),"Писал и расклеивал объявления/афиши")</f>
        <v>Писал и расклеивал объявления/афиши</v>
      </c>
      <c r="T1823" s="6" t="str">
        <f>IFERROR(__xludf.DUMMYFUNCTION("""COMPUTED_VALUE"""),"В Кузбассе «есть йети»")</f>
        <v>В Кузбассе «есть йети»</v>
      </c>
      <c r="U1823" s="6" t="str">
        <f>IFERROR(__xludf.DUMMYFUNCTION("""COMPUTED_VALUE"""),"Надпись «Кузбасс»")</f>
        <v>Надпись «Кузбасс»</v>
      </c>
      <c r="V1823" s="6" t="str">
        <f>IFERROR(__xludf.DUMMYFUNCTION("""COMPUTED_VALUE"""),"Добыча угля ")</f>
        <v>Добыча угля </v>
      </c>
      <c r="W1823" s="6" t="str">
        <f>IFERROR(__xludf.DUMMYFUNCTION("""COMPUTED_VALUE"""),"Они добрые ,но грустные ")</f>
        <v>Они добрые ,но грустные </v>
      </c>
      <c r="X1823" s="6" t="str">
        <f>IFERROR(__xludf.DUMMYFUNCTION("""COMPUTED_VALUE"""),"Конечно же нужно посетить центр,посмотреть на надпись Кузбасс ,прогуляться в бору и съездить в шашлычку)")</f>
        <v>Конечно же нужно посетить центр,посмотреть на надпись Кузбасс ,прогуляться в бору и съездить в шашлычку)</v>
      </c>
      <c r="Y1823" s="6" t="str">
        <f>IFERROR(__xludf.DUMMYFUNCTION("""COMPUTED_VALUE"""),"-")</f>
        <v>-</v>
      </c>
      <c r="Z1823" s="6" t="str">
        <f>IFERROR(__xludf.DUMMYFUNCTION("""COMPUTED_VALUE"""),"Стройка новых объектов ")</f>
        <v>Стройка новых объектов </v>
      </c>
      <c r="AA1823" s="6" t="str">
        <f>IFERROR(__xludf.DUMMYFUNCTION("""COMPUTED_VALUE"""),"Упадок в медицине ")</f>
        <v>Упадок в медицине </v>
      </c>
      <c r="AB1823" s="6" t="str">
        <f>IFERROR(__xludf.DUMMYFUNCTION("""COMPUTED_VALUE"""),"-")</f>
        <v>-</v>
      </c>
      <c r="AC1823" s="6" t="str">
        <f>IFERROR(__xludf.DUMMYFUNCTION("""COMPUTED_VALUE"""),"-")</f>
        <v>-</v>
      </c>
      <c r="AD182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23" s="6" t="str">
        <f>IFERROR(__xludf.DUMMYFUNCTION("""COMPUTED_VALUE"""),"Мужской")</f>
        <v>Мужской</v>
      </c>
      <c r="AF1823" s="6" t="str">
        <f>IFERROR(__xludf.DUMMYFUNCTION("""COMPUTED_VALUE"""),"18-29")</f>
        <v>18-29</v>
      </c>
      <c r="AG1823" s="6"/>
      <c r="AH1823" s="6"/>
      <c r="AI1823" s="6"/>
      <c r="AJ1823" s="6"/>
      <c r="AK1823" s="6"/>
      <c r="AL1823" s="6"/>
      <c r="AM1823" s="6"/>
    </row>
    <row r="1824">
      <c r="A1824" s="6">
        <v>1823.0</v>
      </c>
      <c r="B1824" s="6" t="str">
        <f>IFERROR(__xludf.DUMMYFUNCTION("""COMPUTED_VALUE"""),"Студент")</f>
        <v>Студент</v>
      </c>
      <c r="C1824" s="6" t="str">
        <f>IFERROR(__xludf.DUMMYFUNCTION("""COMPUTED_VALUE"""),"Картинг")</f>
        <v>Картинг</v>
      </c>
      <c r="D1824" s="6" t="str">
        <f>IFERROR(__xludf.DUMMYFUNCTION("""COMPUTED_VALUE"""),"Южный-южка ")</f>
        <v>Южный-южка </v>
      </c>
      <c r="E1824" s="6" t="str">
        <f>IFERROR(__xludf.DUMMYFUNCTION("""COMPUTED_VALUE"""),"Лента, патриотов(аллея)")</f>
        <v>Лента, патриотов(аллея)</v>
      </c>
      <c r="F1824" s="6" t="str">
        <f>IFERROR(__xludf.DUMMYFUNCTION("""COMPUTED_VALUE"""),"Живу здесь с рождения")</f>
        <v>Живу здесь с рождения</v>
      </c>
      <c r="G1824" s="6" t="str">
        <f>IFERROR(__xludf.DUMMYFUNCTION("""COMPUTED_VALUE"""),"Лента, аллея")</f>
        <v>Лента, аллея</v>
      </c>
      <c r="H1824" s="6" t="str">
        <f>IFERROR(__xludf.DUMMYFUNCTION("""COMPUTED_VALUE"""),"Деревня, неэкологичный, маленький, деревня, родной")</f>
        <v>Деревня, неэкологичный, маленький, деревня, родной</v>
      </c>
      <c r="I1824" s="6" t="str">
        <f>IFERROR(__xludf.DUMMYFUNCTION("""COMPUTED_VALUE"""),"Михайло Волков")</f>
        <v>Михайло Волков</v>
      </c>
      <c r="J1824" s="6" t="str">
        <f>IFERROR(__xludf.DUMMYFUNCTION("""COMPUTED_VALUE"""),"Тулеев")</f>
        <v>Тулеев</v>
      </c>
      <c r="K1824" s="6" t="str">
        <f>IFERROR(__xludf.DUMMYFUNCTION("""COMPUTED_VALUE"""),"Красная горка, драмтеатр, набережная")</f>
        <v>Красная горка, драмтеатр, набережная</v>
      </c>
      <c r="L1824" s="6" t="str">
        <f>IFERROR(__xludf.DUMMYFUNCTION("""COMPUTED_VALUE"""),"-")</f>
        <v>-</v>
      </c>
      <c r="M1824" s="6" t="str">
        <f>IFERROR(__xludf.DUMMYFUNCTION("""COMPUTED_VALUE"""),"-")</f>
        <v>-</v>
      </c>
      <c r="N1824" s="6" t="str">
        <f>IFERROR(__xludf.DUMMYFUNCTION("""COMPUTED_VALUE"""),"Количество авто, экология, близость жизненно-необходимых магазинов, услуг, количество развлечений, интересных мест где можно погулять, места работы.")</f>
        <v>Количество авто, экология, близость жизненно-необходимых магазинов, услуг, количество развлечений, интересных мест где можно погулять, места работы.</v>
      </c>
      <c r="O1824" s="6" t="str">
        <f>IFERROR(__xludf.DUMMYFUNCTION("""COMPUTED_VALUE"""),"Экологию")</f>
        <v>Экологию</v>
      </c>
      <c r="P1824" s="6" t="str">
        <f>IFERROR(__xludf.DUMMYFUNCTION("""COMPUTED_VALUE"""),"ВКонтакте - тематические группы")</f>
        <v>ВКонтакте - тематические группы</v>
      </c>
      <c r="Q1824"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824" s="6" t="str">
        <f>IFERROR(__xludf.DUMMYFUNCTION("""COMPUTED_VALUE"""),"День шахтера")</f>
        <v>День шахтера</v>
      </c>
      <c r="S1824" s="6" t="str">
        <f>IFERROR(__xludf.DUMMYFUNCTION("""COMPUTED_VALUE"""),"Нет, не приходилось")</f>
        <v>Нет, не приходилось</v>
      </c>
      <c r="T1824" s="6" t="str">
        <f>IFERROR(__xludf.DUMMYFUNCTION("""COMPUTED_VALUE"""),"Углём, больше ничем ")</f>
        <v>Углём, больше ничем </v>
      </c>
      <c r="U1824" s="6" t="str">
        <f>IFERROR(__xludf.DUMMYFUNCTION("""COMPUTED_VALUE"""),"Площадь советов ")</f>
        <v>Площадь советов </v>
      </c>
      <c r="V1824" s="6" t="str">
        <f>IFERROR(__xludf.DUMMYFUNCTION("""COMPUTED_VALUE"""),"-")</f>
        <v>-</v>
      </c>
      <c r="W1824" s="6" t="str">
        <f>IFERROR(__xludf.DUMMYFUNCTION("""COMPUTED_VALUE"""),"Люди разные, но очень много пьяниц, а так же хватает очень интересных и умных людей")</f>
        <v>Люди разные, но очень много пьяниц, а так же хватает очень интересных и умных людей</v>
      </c>
      <c r="X1824" s="6" t="str">
        <f>IFERROR(__xludf.DUMMYFUNCTION("""COMPUTED_VALUE"""),"Цирк-филармония-площадь советов-драмтеатр-набережная, бульвар строителей")</f>
        <v>Цирк-филармония-площадь советов-драмтеатр-набережная, бульвар строителей</v>
      </c>
      <c r="Y1824" s="6" t="str">
        <f>IFERROR(__xludf.DUMMYFUNCTION("""COMPUTED_VALUE"""),"-")</f>
        <v>-</v>
      </c>
      <c r="Z1824" s="6" t="str">
        <f>IFERROR(__xludf.DUMMYFUNCTION("""COMPUTED_VALUE"""),"Улучшение качества дорог, реконструирование бульвара строителей, постройка спорт комплекса на притомском")</f>
        <v>Улучшение качества дорог, реконструирование бульвара строителей, постройка спорт комплекса на притомском</v>
      </c>
      <c r="AA1824" s="6" t="str">
        <f>IFERROR(__xludf.DUMMYFUNCTION("""COMPUTED_VALUE"""),"Зимняя вишня, смог постоянный зимой")</f>
        <v>Зимняя вишня, смог постоянный зимой</v>
      </c>
      <c r="AB1824" s="6" t="str">
        <f>IFERROR(__xludf.DUMMYFUNCTION("""COMPUTED_VALUE"""),"-")</f>
        <v>-</v>
      </c>
      <c r="AC1824" s="6" t="str">
        <f>IFERROR(__xludf.DUMMYFUNCTION("""COMPUTED_VALUE"""),"Гонки различного рода")</f>
        <v>Гонки различного рода</v>
      </c>
      <c r="AD1824" s="6" t="str">
        <f>IFERROR(__xludf.DUMMYFUNCTION("""COMPUTED_VALUE"""),"Участника: Поучаствовать в обсуждении улучшений, собраниях горожан;, Не готов принимать личное участие (укажите, пожалуйста, причину в поле «Другое»)")</f>
        <v>Участника: Поучаствовать в обсуждении улучшений, собраниях горожан;, Не готов принимать личное участие (укажите, пожалуйста, причину в поле «Другое»)</v>
      </c>
      <c r="AE1824" s="6" t="str">
        <f>IFERROR(__xludf.DUMMYFUNCTION("""COMPUTED_VALUE"""),"Мужской")</f>
        <v>Мужской</v>
      </c>
      <c r="AF1824" s="6" t="str">
        <f>IFERROR(__xludf.DUMMYFUNCTION("""COMPUTED_VALUE"""),"18-29")</f>
        <v>18-29</v>
      </c>
      <c r="AG1824" s="6"/>
      <c r="AH1824" s="6"/>
      <c r="AI1824" s="6"/>
      <c r="AJ1824" s="6"/>
      <c r="AK1824" s="6"/>
      <c r="AL1824" s="6"/>
      <c r="AM1824" s="6"/>
    </row>
    <row r="1825">
      <c r="A1825" s="6">
        <v>1824.0</v>
      </c>
      <c r="B1825" s="6" t="str">
        <f>IFERROR(__xludf.DUMMYFUNCTION("""COMPUTED_VALUE"""),"Домохозяйка, мама")</f>
        <v>Домохозяйка, мама</v>
      </c>
      <c r="C1825" s="6" t="str">
        <f>IFERROR(__xludf.DUMMYFUNCTION("""COMPUTED_VALUE"""),"Свечное дело")</f>
        <v>Свечное дело</v>
      </c>
      <c r="D1825" s="6" t="str">
        <f>IFERROR(__xludf.DUMMYFUNCTION("""COMPUTED_VALUE"""),"Радуга. Рудничный район")</f>
        <v>Радуга. Рудничный район</v>
      </c>
      <c r="E1825" s="6" t="str">
        <f>IFERROR(__xludf.DUMMYFUNCTION("""COMPUTED_VALUE"""),"Церковь, торговые центры рио, север, радуга")</f>
        <v>Церковь, торговые центры рио, север, радуга</v>
      </c>
      <c r="F1825" s="6" t="str">
        <f>IFERROR(__xludf.DUMMYFUNCTION("""COMPUTED_VALUE"""),"Переехал сюда из другого места (откуда? укажите в графе другое), Из Прокопьевска, в 2007 году приехала в Кемерово")</f>
        <v>Переехал сюда из другого места (откуда? укажите в графе другое), Из Прокопьевска, в 2007 году приехала в Кемерово</v>
      </c>
      <c r="G1825" s="6" t="str">
        <f>IFERROR(__xludf.DUMMYFUNCTION("""COMPUTED_VALUE"""),"В парк чудес, на лесную поляну, в ботанический сад")</f>
        <v>В парк чудес, на лесную поляну, в ботанический сад</v>
      </c>
      <c r="H1825" s="6" t="str">
        <f>IFERROR(__xludf.DUMMYFUNCTION("""COMPUTED_VALUE"""),"Дорогущая елка, плохой общепит, неразвитый туризм, хорошие дороги")</f>
        <v>Дорогущая елка, плохой общепит, неразвитый туризм, хорошие дороги</v>
      </c>
      <c r="I1825" s="6" t="str">
        <f>IFERROR(__xludf.DUMMYFUNCTION("""COMPUTED_VALUE"""),"Михайло Волков")</f>
        <v>Михайло Волков</v>
      </c>
      <c r="J1825" s="6" t="str">
        <f>IFERROR(__xludf.DUMMYFUNCTION("""COMPUTED_VALUE"""),"Цивилев")</f>
        <v>Цивилев</v>
      </c>
      <c r="K1825" s="6" t="str">
        <f>IFERROR(__xludf.DUMMYFUNCTION("""COMPUTED_VALUE"""),"Не знаю, особо нечего показывать, по набережной прошлись бы. Еще бы свозила на Томскую Писаницу")</f>
        <v>Не знаю, особо нечего показывать, по набережной прошлись бы. Еще бы свозила на Томскую Писаницу</v>
      </c>
      <c r="L1825" s="6" t="str">
        <f>IFERROR(__xludf.DUMMYFUNCTION("""COMPUTED_VALUE"""),"Не знаю")</f>
        <v>Не знаю</v>
      </c>
      <c r="M1825" s="6" t="str">
        <f>IFERROR(__xludf.DUMMYFUNCTION("""COMPUTED_VALUE"""),"Кемерун")</f>
        <v>Кемерун</v>
      </c>
      <c r="N1825" s="6" t="str">
        <f>IFERROR(__xludf.DUMMYFUNCTION("""COMPUTED_VALUE"""),"Безопасность, туризм, открытые концерты и фестивали, доступность инфраструктуры и транспорта, различные мероприятия для молодежи")</f>
        <v>Безопасность, туризм, открытые концерты и фестивали, доступность инфраструктуры и транспорта, различные мероприятия для молодежи</v>
      </c>
      <c r="O1825" s="6" t="str">
        <f>IFERROR(__xludf.DUMMYFUNCTION("""COMPUTED_VALUE"""),"Сделать доступный и хороший общепит, особенно в центре города! Чаще проводить открытые фестивали и концерты, как например летом 2019 года Герои мирового рока! Было очень круто")</f>
        <v>Сделать доступный и хороший общепит, особенно в центре города! Чаще проводить открытые фестивали и концерты, как например летом 2019 года Герои мирового рока! Было очень круто</v>
      </c>
      <c r="P1825" s="6" t="str">
        <f>IFERROR(__xludf.DUMMYFUNCTION("""COMPUTED_VALUE"""),"Инстаграм")</f>
        <v>Инстаграм</v>
      </c>
      <c r="Q1825"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825" s="6" t="str">
        <f>IFERROR(__xludf.DUMMYFUNCTION("""COMPUTED_VALUE"""),"День Победы")</f>
        <v>День Победы</v>
      </c>
      <c r="S1825" s="6" t="str">
        <f>IFERROR(__xludf.DUMMYFUNCTION("""COMPUTED_VALUE"""),"Нет, не приходилось")</f>
        <v>Нет, не приходилось</v>
      </c>
      <c r="T1825" s="6" t="str">
        <f>IFERROR(__xludf.DUMMYFUNCTION("""COMPUTED_VALUE"""),"Что здесь был открыт каменный уголь")</f>
        <v>Что здесь был открыт каменный уголь</v>
      </c>
      <c r="U1825" s="6" t="str">
        <f>IFERROR(__xludf.DUMMYFUNCTION("""COMPUTED_VALUE"""),"Площадь Советов")</f>
        <v>Площадь Советов</v>
      </c>
      <c r="V1825" s="6" t="str">
        <f>IFERROR(__xludf.DUMMYFUNCTION("""COMPUTED_VALUE"""),"Не знаю")</f>
        <v>Не знаю</v>
      </c>
      <c r="W1825" s="6" t="str">
        <f>IFERROR(__xludf.DUMMYFUNCTION("""COMPUTED_VALUE"""),"Обычные люди, не злые, но и не слишком приветливые")</f>
        <v>Обычные люди, не злые, но и не слишком приветливые</v>
      </c>
      <c r="X1825" s="6" t="str">
        <f>IFERROR(__xludf.DUMMYFUNCTION("""COMPUTED_VALUE"""),"От драмтеатра к вечному огню, по набережной в парк чудес")</f>
        <v>От драмтеатра к вечному огню, по набережной в парк чудес</v>
      </c>
      <c r="Y1825" s="6" t="str">
        <f>IFERROR(__xludf.DUMMYFUNCTION("""COMPUTED_VALUE"""),"Найден каменный уголь")</f>
        <v>Найден каменный уголь</v>
      </c>
      <c r="Z1825" s="6" t="str">
        <f>IFERROR(__xludf.DUMMYFUNCTION("""COMPUTED_VALUE"""),"Герои мирового рока")</f>
        <v>Герои мирового рока</v>
      </c>
      <c r="AA1825" s="6" t="str">
        <f>IFERROR(__xludf.DUMMYFUNCTION("""COMPUTED_VALUE"""),"Зимняя вишня")</f>
        <v>Зимняя вишня</v>
      </c>
      <c r="AB1825" s="6" t="str">
        <f>IFERROR(__xludf.DUMMYFUNCTION("""COMPUTED_VALUE"""),"Для многодетных мам,  например. Также не хватает арт площадок типа Клумбы, доступного караоке не хватает, рок заведений")</f>
        <v>Для многодетных мам,  например. Также не хватает арт площадок типа Клумбы, доступного караоке не хватает, рок заведений</v>
      </c>
      <c r="AC1825" s="6" t="str">
        <f>IFERROR(__xludf.DUMMYFUNCTION("""COMPUTED_VALUE"""),"Летние фестивали")</f>
        <v>Летние фестивали</v>
      </c>
      <c r="AD1825"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825" s="6" t="str">
        <f>IFERROR(__xludf.DUMMYFUNCTION("""COMPUTED_VALUE"""),"Женский")</f>
        <v>Женский</v>
      </c>
      <c r="AF1825" s="6" t="str">
        <f>IFERROR(__xludf.DUMMYFUNCTION("""COMPUTED_VALUE"""),"30-44")</f>
        <v>30-44</v>
      </c>
      <c r="AG1825" s="6"/>
      <c r="AH1825" s="6"/>
      <c r="AI1825" s="6"/>
      <c r="AJ1825" s="6"/>
      <c r="AK1825" s="6"/>
      <c r="AL1825" s="6"/>
      <c r="AM1825" s="6"/>
    </row>
    <row r="1826">
      <c r="A1826" s="6">
        <v>1825.0</v>
      </c>
      <c r="B1826" s="6" t="str">
        <f>IFERROR(__xludf.DUMMYFUNCTION("""COMPUTED_VALUE"""),"Медицинский работник")</f>
        <v>Медицинский работник</v>
      </c>
      <c r="C1826" s="6" t="str">
        <f>IFERROR(__xludf.DUMMYFUNCTION("""COMPUTED_VALUE"""),"Делаю топиарии, бисероплетение.")</f>
        <v>Делаю топиарии, бисероплетение.</v>
      </c>
      <c r="D1826" s="6" t="str">
        <f>IFERROR(__xludf.DUMMYFUNCTION("""COMPUTED_VALUE"""),"В центральном")</f>
        <v>В центральном</v>
      </c>
      <c r="E1826" s="6" t="str">
        <f>IFERROR(__xludf.DUMMYFUNCTION("""COMPUTED_VALUE"""),"Площадь советов")</f>
        <v>Площадь советов</v>
      </c>
      <c r="F1826" s="6" t="str">
        <f>IFERROR(__xludf.DUMMYFUNCTION("""COMPUTED_VALUE"""),"Живу здесь с рождения")</f>
        <v>Живу здесь с рождения</v>
      </c>
      <c r="G1826" s="6" t="str">
        <f>IFERROR(__xludf.DUMMYFUNCTION("""COMPUTED_VALUE"""),"Парки, кинотеатры, кафе.")</f>
        <v>Парки, кинотеатры, кафе.</v>
      </c>
      <c r="H1826" s="6" t="str">
        <f>IFERROR(__xludf.DUMMYFUNCTION("""COMPUTED_VALUE"""),"Шахтерский край")</f>
        <v>Шахтерский край</v>
      </c>
      <c r="I1826" s="6" t="str">
        <f>IFERROR(__xludf.DUMMYFUNCTION("""COMPUTED_VALUE"""),"Леонов")</f>
        <v>Леонов</v>
      </c>
      <c r="J1826" s="6" t="str">
        <f>IFERROR(__xludf.DUMMYFUNCTION("""COMPUTED_VALUE"""),"Аман Гумирович Тулеев")</f>
        <v>Аман Гумирович Тулеев</v>
      </c>
      <c r="K1826" s="6" t="str">
        <f>IFERROR(__xludf.DUMMYFUNCTION("""COMPUTED_VALUE"""),"Красная горка, музей заповедник Томская писаница")</f>
        <v>Красная горка, музей заповедник Томская писаница</v>
      </c>
      <c r="L1826" s="6" t="str">
        <f>IFERROR(__xludf.DUMMYFUNCTION("""COMPUTED_VALUE"""),"Уголек, как золото: и блестит и ценится ")</f>
        <v>Уголек, как золото: и блестит и ценится </v>
      </c>
      <c r="M1826" s="6" t="str">
        <f>IFERROR(__xludf.DUMMYFUNCTION("""COMPUTED_VALUE"""),"Калба, бурагозить, до талого, тормазок")</f>
        <v>Калба, бурагозить, до талого, тормазок</v>
      </c>
      <c r="N1826" s="6" t="str">
        <f>IFERROR(__xludf.DUMMYFUNCTION("""COMPUTED_VALUE"""),"Чистота, экология, ровные дороги, безопасность.")</f>
        <v>Чистота, экология, ровные дороги, безопасность.</v>
      </c>
      <c r="O1826" s="6" t="str">
        <f>IFERROR(__xludf.DUMMYFUNCTION("""COMPUTED_VALUE"""),"Чистота города и чистый воздух!!!")</f>
        <v>Чистота города и чистый воздух!!!</v>
      </c>
      <c r="P1826" s="6" t="str">
        <f>IFERROR(__xludf.DUMMYFUNCTION("""COMPUTED_VALUE"""),"Новости")</f>
        <v>Новости</v>
      </c>
      <c r="Q1826"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v>
      </c>
      <c r="R1826" s="6" t="str">
        <f>IFERROR(__xludf.DUMMYFUNCTION("""COMPUTED_VALUE"""),"День города и день шахтера")</f>
        <v>День города и день шахтера</v>
      </c>
      <c r="S1826" s="6" t="str">
        <f>IFERROR(__xludf.DUMMYFUNCTION("""COMPUTED_VALUE"""),"Нет, не приходилось")</f>
        <v>Нет, не приходилось</v>
      </c>
      <c r="T1826" s="6" t="str">
        <f>IFERROR(__xludf.DUMMYFUNCTION("""COMPUTED_VALUE"""),"Химическими отраслями, угольными, машиностроением.Мемориал Славы воинов-кузбассовцев,Монумент «Память шахтерам Кузбасса».")</f>
        <v>Химическими отраслями, угольными, машиностроением.Мемориал Славы воинов-кузбассовцев,Монумент «Память шахтерам Кузбасса».</v>
      </c>
      <c r="U1826" s="6" t="str">
        <f>IFERROR(__xludf.DUMMYFUNCTION("""COMPUTED_VALUE"""),"Площадь советов")</f>
        <v>Площадь советов</v>
      </c>
      <c r="V1826" s="6" t="str">
        <f>IFERROR(__xludf.DUMMYFUNCTION("""COMPUTED_VALUE"""),"Не знаю")</f>
        <v>Не знаю</v>
      </c>
      <c r="W1826" s="6" t="str">
        <f>IFERROR(__xludf.DUMMYFUNCTION("""COMPUTED_VALUE"""),"Равнодушные,люди-дела, живут сегодняшним днем.")</f>
        <v>Равнодушные,люди-дела, живут сегодняшним днем.</v>
      </c>
      <c r="X1826" s="6" t="str">
        <f>IFERROR(__xludf.DUMMYFUNCTION("""COMPUTED_VALUE"""),"Красная горка- Томская писаница")</f>
        <v>Красная горка- Томская писаница</v>
      </c>
      <c r="Y1826" s="6" t="str">
        <f>IFERROR(__xludf.DUMMYFUNCTION("""COMPUTED_VALUE"""),"были реконструированы и электрифицированы шахты")</f>
        <v>были реконструированы и электрифицированы шахты</v>
      </c>
      <c r="Z1826" s="6" t="str">
        <f>IFERROR(__xludf.DUMMYFUNCTION("""COMPUTED_VALUE"""),"9 мая")</f>
        <v>9 мая</v>
      </c>
      <c r="AA1826" s="6" t="str">
        <f>IFERROR(__xludf.DUMMYFUNCTION("""COMPUTED_VALUE"""),"Не знаю")</f>
        <v>Не знаю</v>
      </c>
      <c r="AB1826" s="6" t="str">
        <f>IFERROR(__xludf.DUMMYFUNCTION("""COMPUTED_VALUE"""),"нормального качества и количества общественного транспорта. ")</f>
        <v>нормального качества и количества общественного транспорта. </v>
      </c>
      <c r="AC1826" s="6" t="str">
        <f>IFERROR(__xludf.DUMMYFUNCTION("""COMPUTED_VALUE"""),"Не знаю")</f>
        <v>Не знаю</v>
      </c>
      <c r="AD182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26" s="6" t="str">
        <f>IFERROR(__xludf.DUMMYFUNCTION("""COMPUTED_VALUE"""),"Женский")</f>
        <v>Женский</v>
      </c>
      <c r="AF1826" s="6" t="str">
        <f>IFERROR(__xludf.DUMMYFUNCTION("""COMPUTED_VALUE"""),"30-44")</f>
        <v>30-44</v>
      </c>
      <c r="AG1826" s="6"/>
      <c r="AH1826" s="6"/>
      <c r="AI1826" s="6"/>
      <c r="AJ1826" s="6"/>
      <c r="AK1826" s="6"/>
      <c r="AL1826" s="6"/>
      <c r="AM1826" s="6"/>
    </row>
    <row r="1827">
      <c r="A1827" s="6">
        <v>1826.0</v>
      </c>
      <c r="B1827" s="6" t="str">
        <f>IFERROR(__xludf.DUMMYFUNCTION("""COMPUTED_VALUE"""),"1) Инженер по ремонту вычислительной техники. 2) репортажный спортивный фотограф")</f>
        <v>1) Инженер по ремонту вычислительной техники. 2) репортажный спортивный фотограф</v>
      </c>
      <c r="C1827" s="6" t="str">
        <f>IFERROR(__xludf.DUMMYFUNCTION("""COMPUTED_VALUE"""),"Фотография ")</f>
        <v>Фотография </v>
      </c>
      <c r="D1827" s="6" t="str">
        <f>IFERROR(__xludf.DUMMYFUNCTION("""COMPUTED_VALUE"""),"Ленинский")</f>
        <v>Ленинский</v>
      </c>
      <c r="E1827" s="6" t="str">
        <f>IFERROR(__xludf.DUMMYFUNCTION("""COMPUTED_VALUE"""),"Бульвар строителей, кадетский корпус")</f>
        <v>Бульвар строителей, кадетский корпус</v>
      </c>
      <c r="F1827" s="6" t="str">
        <f>IFERROR(__xludf.DUMMYFUNCTION("""COMPUTED_VALUE"""),"Живу здесь с рождения")</f>
        <v>Живу здесь с рождения</v>
      </c>
      <c r="G1827" s="6" t="str">
        <f>IFERROR(__xludf.DUMMYFUNCTION("""COMPUTED_VALUE"""),"На набережную")</f>
        <v>На набережную</v>
      </c>
      <c r="H1827" s="6" t="str">
        <f>IFERROR(__xludf.DUMMYFUNCTION("""COMPUTED_VALUE"""),"Индустриальный, будущий центр Сибири, развивающийся, зелёный, спортивный.")</f>
        <v>Индустриальный, будущий центр Сибири, развивающийся, зелёный, спортивный.</v>
      </c>
      <c r="I1827" s="6" t="str">
        <f>IFERROR(__xludf.DUMMYFUNCTION("""COMPUTED_VALUE"""),"Леонов А.А., Толстиков Я.Г., Раздаев В.А.")</f>
        <v>Леонов А.А., Толстиков Я.Г., Раздаев В.А.</v>
      </c>
      <c r="J1827" s="6" t="str">
        <f>IFERROR(__xludf.DUMMYFUNCTION("""COMPUTED_VALUE"""),"Зубицкий Б.Д. ")</f>
        <v>Зубицкий Б.Д. </v>
      </c>
      <c r="K1827" s="6" t="str">
        <f>IFERROR(__xludf.DUMMYFUNCTION("""COMPUTED_VALUE"""),"Музей красная горка")</f>
        <v>Музей красная горка</v>
      </c>
      <c r="L1827" s="6" t="str">
        <f>IFERROR(__xludf.DUMMYFUNCTION("""COMPUTED_VALUE"""),"Незнаю")</f>
        <v>Незнаю</v>
      </c>
      <c r="M1827" s="6" t="str">
        <f>IFERROR(__xludf.DUMMYFUNCTION("""COMPUTED_VALUE"""),"Незнаю")</f>
        <v>Незнаю</v>
      </c>
      <c r="N1827" s="6" t="str">
        <f>IFERROR(__xludf.DUMMYFUNCTION("""COMPUTED_VALUE"""),"Компактный, близкое расположение магазинов, наличие разнообразия  ресторанов, сервисов еды и доставки. ")</f>
        <v>Компактный, близкое расположение магазинов, наличие разнообразия  ресторанов, сервисов еды и доставки. </v>
      </c>
      <c r="O1827" s="6" t="str">
        <f>IFERROR(__xludf.DUMMYFUNCTION("""COMPUTED_VALUE"""),"Убрать частный сектор  в расположении города и построить современные и архитектурно строительные здания.")</f>
        <v>Убрать частный сектор  в расположении города и построить современные и архитектурно строительные здания.</v>
      </c>
      <c r="P1827" s="6" t="str">
        <f>IFERROR(__xludf.DUMMYFUNCTION("""COMPUTED_VALUE"""),"Инстаграм")</f>
        <v>Инстаграм</v>
      </c>
      <c r="Q1827"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f>
        <v>где вкусно поесть/открытие новых кафе/ресторанов, городская афиша (кино/театр/концерты), культурные новинки (что почитать/что послушать)</v>
      </c>
      <c r="R1827" s="6" t="str">
        <f>IFERROR(__xludf.DUMMYFUNCTION("""COMPUTED_VALUE"""),"Новый год, день города, день шахтёра.")</f>
        <v>Новый год, день города, день шахтёра.</v>
      </c>
      <c r="S1827" s="6" t="str">
        <f>IFERROR(__xludf.DUMMYFUNCTION("""COMPUTED_VALUE"""),"Был организатором мастер класса по свадебной фотографии")</f>
        <v>Был организатором мастер класса по свадебной фотографии</v>
      </c>
      <c r="T1827" s="6" t="str">
        <f>IFERROR(__xludf.DUMMYFUNCTION("""COMPUTED_VALUE"""),"Шахтерская столица")</f>
        <v>Шахтерская столица</v>
      </c>
      <c r="U1827" s="6" t="str">
        <f>IFERROR(__xludf.DUMMYFUNCTION("""COMPUTED_VALUE"""),"Набережная реки Томь")</f>
        <v>Набережная реки Томь</v>
      </c>
      <c r="V1827" s="6" t="str">
        <f>IFERROR(__xludf.DUMMYFUNCTION("""COMPUTED_VALUE"""),"Строили шахты и создавали металлургические заводы ")</f>
        <v>Строили шахты и создавали металлургические заводы </v>
      </c>
      <c r="W1827" s="6" t="str">
        <f>IFERROR(__xludf.DUMMYFUNCTION("""COMPUTED_VALUE"""),"Созидательные, дружественные, сибирские и иногда суровы))")</f>
        <v>Созидательные, дружественные, сибирские и иногда суровы))</v>
      </c>
      <c r="X1827" s="6" t="str">
        <f>IFERROR(__xludf.DUMMYFUNCTION("""COMPUTED_VALUE"""),"Набережная, новая будущая набережная на притомском проспекте с Московской площадью..")</f>
        <v>Набережная, новая будущая набережная на притомском проспекте с Московской площадью..</v>
      </c>
      <c r="Y1827" s="6" t="str">
        <f>IFERROR(__xludf.DUMMYFUNCTION("""COMPUTED_VALUE"""),"Рок концерт с симфоническим оркестром от Стройсервиса в 2019 году")</f>
        <v>Рок концерт с симфоническим оркестром от Стройсервиса в 2019 году</v>
      </c>
      <c r="Z1827" s="6" t="str">
        <f>IFERROR(__xludf.DUMMYFUNCTION("""COMPUTED_VALUE"""),"День города 2019,  рок концерт.")</f>
        <v>День города 2019,  рок концерт.</v>
      </c>
      <c r="AA1827" s="6" t="str">
        <f>IFERROR(__xludf.DUMMYFUNCTION("""COMPUTED_VALUE"""),"Пожар Зимней вишни")</f>
        <v>Пожар Зимней вишни</v>
      </c>
      <c r="AB1827" s="6" t="str">
        <f>IFERROR(__xludf.DUMMYFUNCTION("""COMPUTED_VALUE"""),"Спортивных")</f>
        <v>Спортивных</v>
      </c>
      <c r="AC1827" s="6" t="str">
        <f>IFERROR(__xludf.DUMMYFUNCTION("""COMPUTED_VALUE"""),"Спортивно-массовые мероприятия федерального и регионального значения ")</f>
        <v>Спортивно-массовые мероприятия федерального и регионального значения </v>
      </c>
      <c r="AD182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827" s="6" t="str">
        <f>IFERROR(__xludf.DUMMYFUNCTION("""COMPUTED_VALUE"""),"Мужской")</f>
        <v>Мужской</v>
      </c>
      <c r="AF1827" s="6" t="str">
        <f>IFERROR(__xludf.DUMMYFUNCTION("""COMPUTED_VALUE"""),"30-44")</f>
        <v>30-44</v>
      </c>
      <c r="AG1827" s="6"/>
      <c r="AH1827" s="6"/>
      <c r="AI1827" s="6"/>
      <c r="AJ1827" s="6"/>
      <c r="AK1827" s="6"/>
      <c r="AL1827" s="6"/>
      <c r="AM1827" s="6"/>
    </row>
    <row r="1828">
      <c r="A1828" s="6">
        <v>1827.0</v>
      </c>
      <c r="B1828" s="6" t="str">
        <f>IFERROR(__xludf.DUMMYFUNCTION("""COMPUTED_VALUE"""),"Заполняю опросы")</f>
        <v>Заполняю опросы</v>
      </c>
      <c r="C1828" s="6" t="str">
        <f>IFERROR(__xludf.DUMMYFUNCTION("""COMPUTED_VALUE"""),"Люблю ходить")</f>
        <v>Люблю ходить</v>
      </c>
      <c r="D1828" s="6" t="str">
        <f>IFERROR(__xludf.DUMMYFUNCTION("""COMPUTED_VALUE"""),"Кольцо")</f>
        <v>Кольцо</v>
      </c>
      <c r="E1828" s="6" t="str">
        <f>IFERROR(__xludf.DUMMYFUNCTION("""COMPUTED_VALUE"""),"Ларек с шаурмой и магазином под треугольной крышей. Пивко продают по ночам.")</f>
        <v>Ларек с шаурмой и магазином под треугольной крышей. Пивко продают по ночам.</v>
      </c>
      <c r="F1828"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828" s="6" t="str">
        <f>IFERROR(__xludf.DUMMYFUNCTION("""COMPUTED_VALUE"""),"В магнит")</f>
        <v>В магнит</v>
      </c>
      <c r="H1828" s="6" t="str">
        <f>IFERROR(__xludf.DUMMYFUNCTION("""COMPUTED_VALUE"""),"Немного чище чем Новосибирск пять")</f>
        <v>Немного чище чем Новосибирск пять</v>
      </c>
      <c r="I1828" s="6" t="str">
        <f>IFERROR(__xludf.DUMMYFUNCTION("""COMPUTED_VALUE"""),"Я назову, а вы придумаете нарисовать их портреты на хрущевках.")</f>
        <v>Я назову, а вы придумаете нарисовать их портреты на хрущевках.</v>
      </c>
      <c r="J1828" s="6" t="str">
        <f>IFERROR(__xludf.DUMMYFUNCTION("""COMPUTED_VALUE"""),"Серьезно? ")</f>
        <v>Серьезно? </v>
      </c>
      <c r="K1828" s="6" t="str">
        <f>IFERROR(__xludf.DUMMYFUNCTION("""COMPUTED_VALUE"""),"Космонавт на набережной. Ой, его снесли.")</f>
        <v>Космонавт на набережной. Ой, его снесли.</v>
      </c>
      <c r="L1828" s="6" t="str">
        <f>IFERROR(__xludf.DUMMYFUNCTION("""COMPUTED_VALUE""")," Нет")</f>
        <v> Нет</v>
      </c>
      <c r="M1828" s="6" t="str">
        <f>IFERROR(__xludf.DUMMYFUNCTION("""COMPUTED_VALUE"""),"Если такой вопрос возникает - значит их нет")</f>
        <v>Если такой вопрос возникает - значит их нет</v>
      </c>
      <c r="N1828" s="6" t="str">
        <f>IFERROR(__xludf.DUMMYFUNCTION("""COMPUTED_VALUE"""),"Чисто, помыто, прибрано, подметено, отремонтировано.")</f>
        <v>Чисто, помыто, прибрано, подметено, отремонтировано.</v>
      </c>
      <c r="O1828" s="6" t="str">
        <f>IFERROR(__xludf.DUMMYFUNCTION("""COMPUTED_VALUE"""),"Бордюры на дорогах.")</f>
        <v>Бордюры на дорогах.</v>
      </c>
      <c r="P1828" s="6" t="str">
        <f>IFERROR(__xludf.DUMMYFUNCTION("""COMPUTED_VALUE"""),"Ниоткуда")</f>
        <v>Ниоткуда</v>
      </c>
      <c r="Q1828" s="6" t="str">
        <f>IFERROR(__xludf.DUMMYFUNCTION("""COMPUTED_VALUE"""),"Ещё один раздел на все42 все-равно никто не будет читать. Не тратьте время")</f>
        <v>Ещё один раздел на все42 все-равно никто не будет читать. Не тратьте время</v>
      </c>
      <c r="R1828" s="6" t="str">
        <f>IFERROR(__xludf.DUMMYFUNCTION("""COMPUTED_VALUE"""),"День цветения тюльпанов")</f>
        <v>День цветения тюльпанов</v>
      </c>
      <c r="S1828" s="6" t="str">
        <f>IFERROR(__xludf.DUMMYFUNCTION("""COMPUTED_VALUE"""),"Нет, не приходилось")</f>
        <v>Нет, не приходилось</v>
      </c>
      <c r="T1828" s="6" t="str">
        <f>IFERROR(__xludf.DUMMYFUNCTION("""COMPUTED_VALUE"""),"Единственный город России, где не был Варламов")</f>
        <v>Единственный город России, где не был Варламов</v>
      </c>
      <c r="U1828" s="6" t="str">
        <f>IFERROR(__xludf.DUMMYFUNCTION("""COMPUTED_VALUE"""),"Ну центр")</f>
        <v>Ну центр</v>
      </c>
      <c r="V1828" s="6" t="str">
        <f>IFERROR(__xludf.DUMMYFUNCTION("""COMPUTED_VALUE"""),"Уехали и где-то что-то сделали, видимо")</f>
        <v>Уехали и где-то что-то сделали, видимо</v>
      </c>
      <c r="W1828" s="6" t="str">
        <f>IFERROR(__xludf.DUMMYFUNCTION("""COMPUTED_VALUE"""),"Точно такие же, как любые другие жители этой страны.")</f>
        <v>Точно такие же, как любые другие жители этой страны.</v>
      </c>
      <c r="X1828" s="6" t="str">
        <f>IFERROR(__xludf.DUMMYFUNCTION("""COMPUTED_VALUE"""),"Никто не приезжает в город, чтобы пройти по маршруту из брошюрки.")</f>
        <v>Никто не приезжает в город, чтобы пройти по маршруту из брошюрки.</v>
      </c>
      <c r="Y1828" s="6" t="str">
        <f>IFERROR(__xludf.DUMMYFUNCTION("""COMPUTED_VALUE"""),"Конечно же объявление обратного отсчёта до трехсотлетия Кузбасса!1!!")</f>
        <v>Конечно же объявление обратного отсчёта до трехсотлетия Кузбасса!1!!</v>
      </c>
      <c r="Z1828" s="6" t="str">
        <f>IFERROR(__xludf.DUMMYFUNCTION("""COMPUTED_VALUE"""),"Снег растаял")</f>
        <v>Снег растаял</v>
      </c>
      <c r="AA1828" s="6" t="str">
        <f>IFERROR(__xludf.DUMMYFUNCTION("""COMPUTED_VALUE"""),"Грязь растаяла")</f>
        <v>Грязь растаяла</v>
      </c>
      <c r="AB1828" s="6" t="str">
        <f>IFERROR(__xludf.DUMMYFUNCTION("""COMPUTED_VALUE"""),"Сообщества дворников-перфекционистов.")</f>
        <v>Сообщества дворников-перфекционистов.</v>
      </c>
      <c r="AC1828" s="6" t="str">
        <f>IFERROR(__xludf.DUMMYFUNCTION("""COMPUTED_VALUE"""),"Торжественное открытие островков безопасности на Ленина.")</f>
        <v>Торжественное открытие островков безопасности на Ленина.</v>
      </c>
      <c r="AD1828" s="6" t="str">
        <f>IFERROR(__xludf.DUMMYFUNCTION("""COMPUTED_VALUE"""),"Готов лично убрать ментовские заборы с площади советов.")</f>
        <v>Готов лично убрать ментовские заборы с площади советов.</v>
      </c>
      <c r="AE1828" s="6" t="str">
        <f>IFERROR(__xludf.DUMMYFUNCTION("""COMPUTED_VALUE"""),"Мужской")</f>
        <v>Мужской</v>
      </c>
      <c r="AF1828" s="6" t="str">
        <f>IFERROR(__xludf.DUMMYFUNCTION("""COMPUTED_VALUE"""),"18-29")</f>
        <v>18-29</v>
      </c>
      <c r="AG1828" s="6"/>
      <c r="AH1828" s="6"/>
      <c r="AI1828" s="6"/>
      <c r="AJ1828" s="6"/>
      <c r="AK1828" s="6"/>
      <c r="AL1828" s="6"/>
      <c r="AM1828" s="6"/>
    </row>
    <row r="1829">
      <c r="A1829" s="6">
        <v>1828.0</v>
      </c>
      <c r="B1829" s="6" t="str">
        <f>IFERROR(__xludf.DUMMYFUNCTION("""COMPUTED_VALUE"""),"Учусь")</f>
        <v>Учусь</v>
      </c>
      <c r="C1829" s="6" t="str">
        <f>IFERROR(__xludf.DUMMYFUNCTION("""COMPUTED_VALUE"""),"Музыка")</f>
        <v>Музыка</v>
      </c>
      <c r="D1829" s="6" t="str">
        <f>IFERROR(__xludf.DUMMYFUNCTION("""COMPUTED_VALUE"""),"Ленинский, шалго")</f>
        <v>Ленинский, шалго</v>
      </c>
      <c r="E1829" s="6" t="str">
        <f>IFERROR(__xludf.DUMMYFUNCTION("""COMPUTED_VALUE"""),"Фонтан, лента, бульвар")</f>
        <v>Фонтан, лента, бульвар</v>
      </c>
      <c r="F1829" s="6" t="str">
        <f>IFERROR(__xludf.DUMMYFUNCTION("""COMPUTED_VALUE"""),"Живу здесь с рождения")</f>
        <v>Живу здесь с рождения</v>
      </c>
      <c r="G1829" s="6" t="str">
        <f>IFERROR(__xludf.DUMMYFUNCTION("""COMPUTED_VALUE"""),"Центр")</f>
        <v>Центр</v>
      </c>
      <c r="H1829" s="6" t="str">
        <f>IFERROR(__xludf.DUMMYFUNCTION("""COMPUTED_VALUE"""),"Бабка, грязь, ауешники, бескультурье, пиво")</f>
        <v>Бабка, грязь, ауешники, бескультурье, пиво</v>
      </c>
      <c r="I1829" s="6" t="str">
        <f>IFERROR(__xludf.DUMMYFUNCTION("""COMPUTED_VALUE"""),"Леонов")</f>
        <v>Леонов</v>
      </c>
      <c r="J1829" s="6" t="str">
        <f>IFERROR(__xludf.DUMMYFUNCTION("""COMPUTED_VALUE"""),"Леонов")</f>
        <v>Леонов</v>
      </c>
      <c r="K1829" s="6" t="str">
        <f>IFERROR(__xludf.DUMMYFUNCTION("""COMPUTED_VALUE"""),"Притомский, бульвар, весенька, старый мост, парк ангелов")</f>
        <v>Притомский, бульвар, весенька, старый мост, парк ангелов</v>
      </c>
      <c r="L1829" s="6" t="str">
        <f>IFERROR(__xludf.DUMMYFUNCTION("""COMPUTED_VALUE"""),"Что")</f>
        <v>Что</v>
      </c>
      <c r="M1829" s="6" t="str">
        <f>IFERROR(__xludf.DUMMYFUNCTION("""COMPUTED_VALUE"""),"Го на ленту")</f>
        <v>Го на ленту</v>
      </c>
      <c r="N1829" s="6" t="str">
        <f>IFERROR(__xludf.DUMMYFUNCTION("""COMPUTED_VALUE"""),"Современность, чистота, культура, молодежь и много хороших достопримечательностей")</f>
        <v>Современность, чистота, культура, молодежь и много хороших достопримечательностей</v>
      </c>
      <c r="O1829" s="6" t="str">
        <f>IFERROR(__xludf.DUMMYFUNCTION("""COMPUTED_VALUE"""),"Контенгент ")</f>
        <v>Контенгент </v>
      </c>
      <c r="P1829" s="6" t="str">
        <f>IFERROR(__xludf.DUMMYFUNCTION("""COMPUTED_VALUE"""),"Инст")</f>
        <v>Инст</v>
      </c>
      <c r="Q1829"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f>
        <v>куда пойти в свободное время, где вкусно поесть/открытие новых кафе/ресторанов, криминальные новости (происшествия/преступления)</v>
      </c>
      <c r="R1829" s="6" t="str">
        <f>IFERROR(__xludf.DUMMYFUNCTION("""COMPUTED_VALUE"""),"День города и 9 мая")</f>
        <v>День города и 9 мая</v>
      </c>
      <c r="S1829" s="6" t="str">
        <f>IFERROR(__xludf.DUMMYFUNCTION("""COMPUTED_VALUE"""),"Нет, не приходилось")</f>
        <v>Нет, не приходилось</v>
      </c>
      <c r="T1829" s="6" t="str">
        <f>IFERROR(__xludf.DUMMYFUNCTION("""COMPUTED_VALUE"""),"Зимняя вишня, экология и количество онко. Больных")</f>
        <v>Зимняя вишня, экология и количество онко. Больных</v>
      </c>
      <c r="U1829" s="6" t="str">
        <f>IFERROR(__xludf.DUMMYFUNCTION("""COMPUTED_VALUE"""),"Весенняя улица ")</f>
        <v>Весенняя улица </v>
      </c>
      <c r="V1829" s="6" t="str">
        <f>IFERROR(__xludf.DUMMYFUNCTION("""COMPUTED_VALUE"""),"Изменили бы внешний вид города и экологию ")</f>
        <v>Изменили бы внешний вид города и экологию </v>
      </c>
      <c r="W1829" s="6" t="str">
        <f>IFERROR(__xludf.DUMMYFUNCTION("""COMPUTED_VALUE"""),"Чёрствость")</f>
        <v>Чёрствость</v>
      </c>
      <c r="X1829" s="6" t="str">
        <f>IFERROR(__xludf.DUMMYFUNCTION("""COMPUTED_VALUE"""),"С центра до старого моста")</f>
        <v>С центра до старого моста</v>
      </c>
      <c r="Y1829" s="6" t="str">
        <f>IFERROR(__xludf.DUMMYFUNCTION("""COMPUTED_VALUE"""),".")</f>
        <v>.</v>
      </c>
      <c r="Z1829" s="6" t="str">
        <f>IFERROR(__xludf.DUMMYFUNCTION("""COMPUTED_VALUE"""),".")</f>
        <v>.</v>
      </c>
      <c r="AA1829" s="6" t="str">
        <f>IFERROR(__xludf.DUMMYFUNCTION("""COMPUTED_VALUE"""),".")</f>
        <v>.</v>
      </c>
      <c r="AB1829" s="6" t="str">
        <f>IFERROR(__xludf.DUMMYFUNCTION("""COMPUTED_VALUE"""),".")</f>
        <v>.</v>
      </c>
      <c r="AC1829" s="6" t="str">
        <f>IFERROR(__xludf.DUMMYFUNCTION("""COMPUTED_VALUE"""),".")</f>
        <v>.</v>
      </c>
      <c r="AD1829"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829" s="6" t="str">
        <f>IFERROR(__xludf.DUMMYFUNCTION("""COMPUTED_VALUE"""),"Женский")</f>
        <v>Женский</v>
      </c>
      <c r="AF1829" s="6" t="str">
        <f>IFERROR(__xludf.DUMMYFUNCTION("""COMPUTED_VALUE"""),"18-29")</f>
        <v>18-29</v>
      </c>
      <c r="AG1829" s="6"/>
      <c r="AH1829" s="6"/>
      <c r="AI1829" s="6"/>
      <c r="AJ1829" s="6"/>
      <c r="AK1829" s="6"/>
      <c r="AL1829" s="6"/>
      <c r="AM1829" s="6"/>
    </row>
    <row r="1830">
      <c r="A1830" s="6">
        <v>1829.0</v>
      </c>
      <c r="B1830" s="6" t="str">
        <f>IFERROR(__xludf.DUMMYFUNCTION("""COMPUTED_VALUE"""),"учитель")</f>
        <v>учитель</v>
      </c>
      <c r="C1830" s="6" t="str">
        <f>IFERROR(__xludf.DUMMYFUNCTION("""COMPUTED_VALUE"""),"история, архитектура, автотуризм")</f>
        <v>история, архитектура, автотуризм</v>
      </c>
      <c r="D1830" s="6" t="str">
        <f>IFERROR(__xludf.DUMMYFUNCTION("""COMPUTED_VALUE"""),"Ленинский")</f>
        <v>Ленинский</v>
      </c>
      <c r="E1830" s="6" t="str">
        <f>IFERROR(__xludf.DUMMYFUNCTION("""COMPUTED_VALUE"""),"Бульвар Строителей")</f>
        <v>Бульвар Строителей</v>
      </c>
      <c r="F1830" s="6" t="str">
        <f>IFERROR(__xludf.DUMMYFUNCTION("""COMPUTED_VALUE"""),"Живу здесь с рождения")</f>
        <v>Живу здесь с рождения</v>
      </c>
      <c r="G1830" s="6" t="str">
        <f>IFERROR(__xludf.DUMMYFUNCTION("""COMPUTED_VALUE"""),"Центр города, бор, Жургавань, Комсомольский парк, Бульвар Строителей")</f>
        <v>Центр города, бор, Жургавань, Комсомольский парк, Бульвар Строителей</v>
      </c>
      <c r="H1830" s="6" t="str">
        <f>IFERROR(__xludf.DUMMYFUNCTION("""COMPUTED_VALUE"""),"Шахтёрский город, город химиков и машиностроителей, бор, р. Томь, пр. Шахтёров")</f>
        <v>Шахтёрский город, город химиков и машиностроителей, бор, р. Томь, пр. Шахтёров</v>
      </c>
      <c r="I1830" s="6" t="str">
        <f>IFERROR(__xludf.DUMMYFUNCTION("""COMPUTED_VALUE"""),"Михайло Волков, Мартемьянов, Вера Волошина, Рутгерс, Федорович, А.А. Леонов, Балибалов")</f>
        <v>Михайло Волков, Мартемьянов, Вера Волошина, Рутгерс, Федорович, А.А. Леонов, Балибалов</v>
      </c>
      <c r="J1830" s="6" t="str">
        <f>IFERROR(__xludf.DUMMYFUNCTION("""COMPUTED_VALUE"""),"А.И. Мартынов, Я.А. Шер,")</f>
        <v>А.И. Мартынов, Я.А. Шер,</v>
      </c>
      <c r="K1830" s="6" t="str">
        <f>IFERROR(__xludf.DUMMYFUNCTION("""COMPUTED_VALUE"""),"Ул. Н. Островского, Набережная реки Томь с мемориалом у вечного огня, пл. Советов, ДК Шахтёров с парком близ него, пр. Советский до пр. Кузнецкого, Кемеровский жд вокзал и площадь у вокзала, Красная горка, Кемеровский бор, бульвар Строителей")</f>
        <v>Ул. Н. Островского, Набережная реки Томь с мемориалом у вечного огня, пл. Советов, ДК Шахтёров с парком близ него, пр. Советский до пр. Кузнецкого, Кемеровский жд вокзал и площадь у вокзала, Красная горка, Кемеровский бор, бульвар Строителей</v>
      </c>
      <c r="L1830" s="6" t="str">
        <f>IFERROR(__xludf.DUMMYFUNCTION("""COMPUTED_VALUE"""),"Кто никогда не красит ресницы, а они всегда чёрные? (шахтёры). Город, в котором постоянно уничтожают памятники, но при этом их становится всё больше.")</f>
        <v>Кто никогда не красит ресницы, а они всегда чёрные? (шахтёры). Город, в котором постоянно уничтожают памятники, но при этом их становится всё больше.</v>
      </c>
      <c r="M1830" s="6" t="str">
        <f>IFERROR(__xludf.DUMMYFUNCTION("""COMPUTED_VALUE"""),"?")</f>
        <v>?</v>
      </c>
      <c r="N1830" s="6" t="str">
        <f>IFERROR(__xludf.DUMMYFUNCTION("""COMPUTED_VALUE"""),"1. Муниципальные бесплатные парковки, желательно многоэтажные или подземные;
2. Наличие зелёных зон в каждом районе в зоне доступности для всех его жителей;
3. Комплексное жилищное строительство: жилые дома с детскими площадками и парковками из расчёта 1 "&amp;"парковочное место на квартиру; школа; детский сад-ясли; при обеспеченности квартала магазинами, аптеками, кафе в шаговой доступности; наличие учреждений дополнительного образования для детей и спортивных площадок в шаговой доступности, а также спортивных "&amp;"комплексов  из расчёта 1 на микрорайон;
4.  Грамотная логистика по всему городу. Наличие параллельных улиц, предназначенных для проезда транспорта по разным направлениям. Наличие объездных дорог для транзитного транспорта;
5. Экология. Контроль за промышл"&amp;"енными объектами, с точки зрения защиты окружающей среды; грамотная утилизация мусора по современным стандартам с раздельным его сбором. Обеспечение чистоты улиц и дворов, в том числе благодаря жёсткому контролю за выездом автотранспорта с объектов строит"&amp;"ельства.")</f>
        <v>1. Муниципальные бесплатные парковки, желательно многоэтажные или подземные;
2. Наличие зелёных зон в каждом районе в зоне доступности для всех его жителей;
3. Комплексное жилищное строительство: жилые дома с детскими площадками и парковками из расчёта 1 парковочное место на квартиру; школа; детский сад-ясли; при обеспеченности квартала магазинами, аптеками, кафе в шаговой доступности; наличие учреждений дополнительного образования для детей и спортивных площадок в шаговой доступности, а также спортивных комплексов  из расчёта 1 на микрорайон;
4.  Грамотная логистика по всему городу. Наличие параллельных улиц, предназначенных для проезда транспорта по разным направлениям. Наличие объездных дорог для транзитного транспорта;
5. Экология. Контроль за промышленными объектами, с точки зрения защиты окружающей среды; грамотная утилизация мусора по современным стандартам с раздельным его сбором. Обеспечение чистоты улиц и дворов, в том числе благодаря жёсткому контролю за выездом автотранспорта с объектов строительства.</v>
      </c>
      <c r="O1830" s="6" t="str">
        <f>IFERROR(__xludf.DUMMYFUNCTION("""COMPUTED_VALUE"""),"Должен быть генеральный план строительства и развития города принятый после гласного обсуждения.")</f>
        <v>Должен быть генеральный план строительства и развития города принятый после гласного обсуждения.</v>
      </c>
      <c r="P1830" s="6" t="str">
        <f>IFERROR(__xludf.DUMMYFUNCTION("""COMPUTED_VALUE"""),"Интернет газета ""Мой город""; ГТРК ""Кузбасс""; соцсети: ВК, Одноклассники (различные группы).")</f>
        <v>Интернет газета "Мой город"; ГТРК "Кузбасс"; соцсети: ВК, Одноклассники (различные группы).</v>
      </c>
      <c r="Q1830" s="6" t="str">
        <f>IFERROR(__xludf.DUMMYFUNCTION("""COMPUTED_VALUE"""),"интервью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v>
      </c>
      <c r="R1830" s="6" t="str">
        <f>IFERROR(__xludf.DUMMYFUNCTION("""COMPUTED_VALUE"""),"День шахтёра")</f>
        <v>День шахтёра</v>
      </c>
      <c r="S1830" s="6" t="str">
        <f>IFERROR(__xludf.DUMMYFUNCTION("""COMPUTED_VALUE"""),"Через социальные сети (Какие? Укажите в графе другое)")</f>
        <v>Через социальные сети (Какие? Укажите в графе другое)</v>
      </c>
      <c r="T1830" s="6" t="str">
        <f>IFERROR(__xludf.DUMMYFUNCTION("""COMPUTED_VALUE"""),"Кемерово - столица Кузбасса. Здесь был открыт впервые в России уголь Михайло Волковым. Кемерово был научным и промышленным центром Западной Сибири, вторым по значению после Новосибирска. Сейчас он утратил свой такой статус.")</f>
        <v>Кемерово - столица Кузбасса. Здесь был открыт впервые в России уголь Михайло Волковым. Кемерово был научным и промышленным центром Западной Сибири, вторым по значению после Новосибирска. Сейчас он утратил свой такой статус.</v>
      </c>
      <c r="U1830" s="6" t="str">
        <f>IFERROR(__xludf.DUMMYFUNCTION("""COMPUTED_VALUE"""),"Современный культурно-досуговый и образовательный центр - это бульвар Строителей. 
Традиционный - это площадь Советов, с прилегающими  к нему улицами и скверами. Конечно памятник В.И. Ленину (скульптор Кербель).
Исторический - это район Красной горки до н"&amp;"ачала пр. Шахтёров с Дворцом Культуры Шахтёров.")</f>
        <v>Современный культурно-досуговый и образовательный центр - это бульвар Строителей. 
Традиционный - это площадь Советов, с прилегающими  к нему улицами и скверами. Конечно памятник В.И. Ленину (скульптор Кербель).
Исторический - это район Красной горки до начала пр. Шахтёров с Дворцом Культуры Шахтёров.</v>
      </c>
      <c r="V1830" s="6" t="str">
        <f>IFERROR(__xludf.DUMMYFUNCTION("""COMPUTED_VALUE"""),"Это труд всех поколений горожан, во всех сферах и отраслях. В том числе безвозмездный труд на субботниках и воскресниках ради будущих поколений.")</f>
        <v>Это труд всех поколений горожан, во всех сферах и отраслях. В том числе безвозмездный труд на субботниках и воскресниках ради будущих поколений.</v>
      </c>
      <c r="W1830" s="6" t="str">
        <f>IFERROR(__xludf.DUMMYFUNCTION("""COMPUTED_VALUE"""),"Такие же как и все нормальные люди. Не хуже и не лучше, чем в других городах и посёлках нашей страны. Единственно, хотелось бы, чтоб было больше привязанности к родной земле, больше ответственности за её будущее. А это зависит от воспитания и деятельности"&amp;" руководства области, города и страны.")</f>
        <v>Такие же как и все нормальные люди. Не хуже и не лучше, чем в других городах и посёлках нашей страны. Единственно, хотелось бы, чтоб было больше привязанности к родной земле, больше ответственности за её будущее. А это зависит от воспитания и деятельности руководства области, города и страны.</v>
      </c>
      <c r="X1830" s="6" t="str">
        <f>IFERROR(__xludf.DUMMYFUNCTION("""COMPUTED_VALUE"""),"От площади у двух вокзалов, по пр. Ленина  до парка Ангелов, далее по другой стороне улицы до ул. Дзержинского. По ней до площади Волкова и переход на ул Весеннюю. Далее от Драмтеатра до Областной филармонии. Проход через ул Ермака на ул. Арочную, с заход"&amp;"ом к памятнику Пушкину. Потом по ул. Н.Островского до ул. Весенней. Дойти до Набережной и прогуляться до ""Орбиты"". Спуститься к реке Томь и пройти вдоль воды опять до памятника героям Кузбассовцам. Поклониться вечному огню. Потом по набережной дойди до "&amp;"горсада - ""Парка чудес"". От туда дойти до моста и по мосту перейти в район Красной горки. Подняться к памятнику Шахтёрам (творение Эрнста Неизвестного). Дойти до музея АИК ""Кузбасс"". Пройти мимо стадиона ""Шахтёр"" до пр. Шахтёров. Этот участок следуе"&amp;"т ещё облагородить. Потом зайти в ДК Шахтёров и из него пойти в бор. Дойти до места, где стоит надпись КУЗБАСС и оглядеть город с этой точки. На этот маршрут потребуется целый день и в конце маршрута можно увидеть вечерний город с высоты.")</f>
        <v>От площади у двух вокзалов, по пр. Ленина  до парка Ангелов, далее по другой стороне улицы до ул. Дзержинского. По ней до площади Волкова и переход на ул Весеннюю. Далее от Драмтеатра до Областной филармонии. Проход через ул Ермака на ул. Арочную, с заходом к памятнику Пушкину. Потом по ул. Н.Островского до ул. Весенней. Дойти до Набережной и прогуляться до "Орбиты". Спуститься к реке Томь и пройти вдоль воды опять до памятника героям Кузбассовцам. Поклониться вечному огню. Потом по набережной дойди до горсада - "Парка чудес". От туда дойти до моста и по мосту перейти в район Красной горки. Подняться к памятнику Шахтёрам (творение Эрнста Неизвестного). Дойти до музея АИК "Кузбасс". Пройти мимо стадиона "Шахтёр" до пр. Шахтёров. Этот участок следует ещё облагородить. Потом зайти в ДК Шахтёров и из него пойти в бор. Дойти до места, где стоит надпись КУЗБАСС и оглядеть город с этой точки. На этот маршрут потребуется целый день и в конце маршрута можно увидеть вечерний город с высоты.</v>
      </c>
      <c r="Y1830" s="6" t="str">
        <f>IFERROR(__xludf.DUMMYFUNCTION("""COMPUTED_VALUE"""),"Сгорел деревянный цирк на ул. Кирова, где выступал Юрий Никулин, Олег Попов и Карандаш. Это была трагедия для многих горожан, но и непонятный казус. Потом появился новый прекрасный цирк за Искитимским мостом. Но это так, воспоминание из детства. Но скорее"&amp;" всего это всё-таки появление АИК ""Кузбасс"", с которого и началось развитие современного города. Это уникальное явление в Отечественной истории и истории нашего края.")</f>
        <v>Сгорел деревянный цирк на ул. Кирова, где выступал Юрий Никулин, Олег Попов и Карандаш. Это была трагедия для многих горожан, но и непонятный казус. Потом появился новый прекрасный цирк за Искитимским мостом. Но это так, воспоминание из детства. Но скорее всего это всё-таки появление АИК "Кузбасс", с которого и началось развитие современного города. Это уникальное явление в Отечественной истории и истории нашего края.</v>
      </c>
      <c r="Z1830" s="6" t="str">
        <f>IFERROR(__xludf.DUMMYFUNCTION("""COMPUTED_VALUE"""),"Открытие обновлённого бульвара Строителей. Бурное строительство вдоль Притомского проспекта.")</f>
        <v>Открытие обновлённого бульвара Строителей. Бурное строительство вдоль Притомского проспекта.</v>
      </c>
      <c r="AA1830" s="6" t="str">
        <f>IFERROR(__xludf.DUMMYFUNCTION("""COMPUTED_VALUE"""),"Хоть это было и раньше, но не отпускает ""Зимняя вишня"". Возмутила попытка начать застройку территории бора. Бор - Это уникальное достояние нашего города которое для нас сохранили предшествующие поколения. Мы им за это должны быть благодарны.")</f>
        <v>Хоть это было и раньше, но не отпускает "Зимняя вишня". Возмутила попытка начать застройку территории бора. Бор - Это уникальное достояние нашего города которое для нас сохранили предшествующие поколения. Мы им за это должны быть благодарны.</v>
      </c>
      <c r="AB1830" s="6" t="str">
        <f>IFERROR(__xludf.DUMMYFUNCTION("""COMPUTED_VALUE"""),"Архитектурный общественный надзор, Общество ревнителей Кузнецкой старины. Кто не понял, Кузбасс, Кемеровскую область ещё называют исторически ""Кузнецкая земля"". А нам есть, что сберегать.")</f>
        <v>Архитектурный общественный надзор, Общество ревнителей Кузнецкой старины. Кто не понял, Кузбасс, Кемеровскую область ещё называют исторически "Кузнецкая земля". А нам есть, что сберегать.</v>
      </c>
      <c r="AC1830" s="6" t="str">
        <f>IFERROR(__xludf.DUMMYFUNCTION("""COMPUTED_VALUE"""),"День города совместить с 12 июня было бы не плохо. И проводить его ярче. Как день суверенитета  РФ большинство людей этот день не воспринимает.")</f>
        <v>День города совместить с 12 июня было бы не плохо. И проводить его ярче. Как день суверенитета  РФ большинство людей этот день не воспринимает.</v>
      </c>
      <c r="AD1830"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Коммуникатора: Готов задействовать свои знакомства для приглашения потенциально заинтересованных участников, Я историк, краевед, учитель истории и обществознания. Увлекался  и увлекаюсь историей архитектуры, в том числе и г"&amp;"ородских ландшафтов.")</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Я историк, краевед, учитель истории и обществознания. Увлекался  и увлекаюсь историей архитектуры, в том числе и городских ландшафтов.</v>
      </c>
      <c r="AE1830" s="6" t="str">
        <f>IFERROR(__xludf.DUMMYFUNCTION("""COMPUTED_VALUE"""),"Мужской")</f>
        <v>Мужской</v>
      </c>
      <c r="AF1830" s="6" t="str">
        <f>IFERROR(__xludf.DUMMYFUNCTION("""COMPUTED_VALUE"""),"старше 55")</f>
        <v>старше 55</v>
      </c>
      <c r="AG1830" s="6"/>
      <c r="AH1830" s="6"/>
      <c r="AI1830" s="6"/>
      <c r="AJ1830" s="6"/>
      <c r="AK1830" s="6"/>
      <c r="AL1830" s="6"/>
      <c r="AM1830" s="6"/>
    </row>
    <row r="1831">
      <c r="A1831" s="6">
        <v>1830.0</v>
      </c>
      <c r="B1831" s="6" t="str">
        <f>IFERROR(__xludf.DUMMYFUNCTION("""COMPUTED_VALUE"""),"Продавец")</f>
        <v>Продавец</v>
      </c>
      <c r="C1831" s="6" t="str">
        <f>IFERROR(__xludf.DUMMYFUNCTION("""COMPUTED_VALUE"""),"Вязание")</f>
        <v>Вязание</v>
      </c>
      <c r="D1831" s="6" t="str">
        <f>IFERROR(__xludf.DUMMYFUNCTION("""COMPUTED_VALUE"""),"Радуга 🌈")</f>
        <v>Радуга 🌈</v>
      </c>
      <c r="E1831" s="6" t="str">
        <f>IFERROR(__xludf.DUMMYFUNCTION("""COMPUTED_VALUE"""),"Сквер матери и ребенка, сосновый и серебряный бор")</f>
        <v>Сквер матери и ребенка, сосновый и серебряный бор</v>
      </c>
      <c r="F1831" s="6" t="str">
        <f>IFERROR(__xludf.DUMMYFUNCTION("""COMPUTED_VALUE"""),"Живу здесь с рождения")</f>
        <v>Живу здесь с рождения</v>
      </c>
      <c r="G1831" s="6" t="str">
        <f>IFERROR(__xludf.DUMMYFUNCTION("""COMPUTED_VALUE"""),"Сосновый бор, горсад, детские площадки")</f>
        <v>Сосновый бор, горсад, детские площадки</v>
      </c>
      <c r="H1831" s="6" t="str">
        <f>IFERROR(__xludf.DUMMYFUNCTION("""COMPUTED_VALUE"""),"Дом,прогулка, уголь, йети, Тайга")</f>
        <v>Дом,прогулка, уголь, йети, Тайга</v>
      </c>
      <c r="I1831" s="6" t="str">
        <f>IFERROR(__xludf.DUMMYFUNCTION("""COMPUTED_VALUE"""),"Леонов, Волошина,Смирнов,")</f>
        <v>Леонов, Волошина,Смирнов,</v>
      </c>
      <c r="J1831" s="6" t="str">
        <f>IFERROR(__xludf.DUMMYFUNCTION("""COMPUTED_VALUE"""),"Гришковец, Тулеев")</f>
        <v>Гришковец, Тулеев</v>
      </c>
      <c r="K1831" s="6" t="str">
        <f>IFERROR(__xludf.DUMMYFUNCTION("""COMPUTED_VALUE"""),"Парк ангелов, сосновый бор, весенняя улица")</f>
        <v>Парк ангелов, сосновый бор, весенняя улица</v>
      </c>
      <c r="L1831" s="6" t="str">
        <f>IFERROR(__xludf.DUMMYFUNCTION("""COMPUTED_VALUE"""),"История промышленного роста города в начале двадцатого века, иностранные колонии в то же время")</f>
        <v>История промышленного роста города в начале двадцатого века, иностранные колонии в то же время</v>
      </c>
      <c r="M1831" s="6" t="str">
        <f>IFERROR(__xludf.DUMMYFUNCTION("""COMPUTED_VALUE"""),"Слова используемые только в Кузбассе, такие как колба,мультифора")</f>
        <v>Слова используемые только в Кузбассе, такие как колба,мультифора</v>
      </c>
      <c r="N1831" s="6" t="str">
        <f>IFERROR(__xludf.DUMMYFUNCTION("""COMPUTED_VALUE"""),"Доступность Городской среды для людей с ограниченными возможностями, стариков и людей с детьми, безопасность дорожного движения, наличие магазинов больниц школ и детских садов в шаговой доступности, большое количество детских площадок и парков, чистые ули"&amp;"цы и дворы")</f>
        <v>Доступность Городской среды для людей с ограниченными возможностями, стариков и людей с детьми, безопасность дорожного движения, наличие магазинов больниц школ и детских садов в шаговой доступности, большое количество детских площадок и парков, чистые улицы и дворы</v>
      </c>
      <c r="O1831" s="6" t="str">
        <f>IFERROR(__xludf.DUMMYFUNCTION("""COMPUTED_VALUE"""),"Доступность Городской среды для людей с ограниченными возможностями, стариков и людей с детьми")</f>
        <v>Доступность Городской среды для людей с ограниченными возможностями, стариков и людей с детьми</v>
      </c>
      <c r="P1831" s="6" t="str">
        <f>IFERROR(__xludf.DUMMYFUNCTION("""COMPUTED_VALUE"""),"Интернет, Инстаграм")</f>
        <v>Интернет, Инстаграм</v>
      </c>
      <c r="Q1831" s="6" t="str">
        <f>IFERROR(__xludf.DUMMYFUNCTION("""COMPUTED_VALUE"""),"куда пойти в свободное время, городская афиша (кино/театр/концерты), 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результаты местных ис"&amp;"следований (рейтинги/аналитика/тенденции)")</f>
        <v>куда пойти в свободное время, городская афиша (кино/театр/концерты), 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831" s="6" t="str">
        <f>IFERROR(__xludf.DUMMYFUNCTION("""COMPUTED_VALUE"""),"День шахтера, новый год")</f>
        <v>День шахтера, новый год</v>
      </c>
      <c r="S1831" s="6" t="str">
        <f>IFERROR(__xludf.DUMMYFUNCTION("""COMPUTED_VALUE"""),"Нет, не приходилось")</f>
        <v>Нет, не приходилось</v>
      </c>
      <c r="T1831" s="6" t="str">
        <f>IFERROR(__xludf.DUMMYFUNCTION("""COMPUTED_VALUE"""),"Центральный район, в нем много исторических зданий и парков")</f>
        <v>Центральный район, в нем много исторических зданий и парков</v>
      </c>
      <c r="U1831" s="6" t="str">
        <f>IFERROR(__xludf.DUMMYFUNCTION("""COMPUTED_VALUE"""),"Район драмтеатра")</f>
        <v>Район драмтеатра</v>
      </c>
      <c r="V1831" s="6" t="str">
        <f>IFERROR(__xludf.DUMMYFUNCTION("""COMPUTED_VALUE"""),"Сохранили сосновый бор, построили красивый исторический центр")</f>
        <v>Сохранили сосновый бор, построили красивый исторический центр</v>
      </c>
      <c r="W1831" s="6" t="str">
        <f>IFERROR(__xludf.DUMMYFUNCTION("""COMPUTED_VALUE"""),"Прямолинейность, честность")</f>
        <v>Прямолинейность, честность</v>
      </c>
      <c r="X1831" s="6" t="str">
        <f>IFERROR(__xludf.DUMMYFUNCTION("""COMPUTED_VALUE"""),"В районе драмтеатра")</f>
        <v>В районе драмтеатра</v>
      </c>
      <c r="Y1831" s="6" t="str">
        <f>IFERROR(__xludf.DUMMYFUNCTION("""COMPUTED_VALUE"""),"Концерт within temptation")</f>
        <v>Концерт within temptation</v>
      </c>
      <c r="Z1831" s="6" t="str">
        <f>IFERROR(__xludf.DUMMYFUNCTION("""COMPUTED_VALUE"""),"Концерт within temptation, день города")</f>
        <v>Концерт within temptation, день города</v>
      </c>
      <c r="AA1831" s="6" t="str">
        <f>IFERROR(__xludf.DUMMYFUNCTION("""COMPUTED_VALUE"""),"Конфликт связанный с бассейном в центральном районе")</f>
        <v>Конфликт связанный с бассейном в центральном районе</v>
      </c>
      <c r="AB1831" s="6" t="str">
        <f>IFERROR(__xludf.DUMMYFUNCTION("""COMPUTED_VALUE"""),"Велосипедные, культурные")</f>
        <v>Велосипедные, культурные</v>
      </c>
      <c r="AC1831" s="6" t="str">
        <f>IFERROR(__xludf.DUMMYFUNCTION("""COMPUTED_VALUE"""),"Концерты известных музыкальных групп")</f>
        <v>Концерты известных музыкальных групп</v>
      </c>
      <c r="AD1831" s="6" t="str">
        <f>IFERROR(__xludf.DUMMYFUNCTION("""COMPUTED_VALUE"""),"Не готов принимать личное участие (укажите, пожалуйста, причину в поле «Другое»), Некогда")</f>
        <v>Не готов принимать личное участие (укажите, пожалуйста, причину в поле «Другое»), Некогда</v>
      </c>
      <c r="AE1831" s="6" t="str">
        <f>IFERROR(__xludf.DUMMYFUNCTION("""COMPUTED_VALUE"""),"Женский")</f>
        <v>Женский</v>
      </c>
      <c r="AF1831" s="6" t="str">
        <f>IFERROR(__xludf.DUMMYFUNCTION("""COMPUTED_VALUE"""),"30-44")</f>
        <v>30-44</v>
      </c>
      <c r="AG1831" s="6"/>
      <c r="AH1831" s="6"/>
      <c r="AI1831" s="6"/>
      <c r="AJ1831" s="6"/>
      <c r="AK1831" s="6"/>
      <c r="AL1831" s="6"/>
      <c r="AM1831" s="6"/>
    </row>
    <row r="1832">
      <c r="A1832" s="6">
        <v>1831.0</v>
      </c>
      <c r="B1832" s="6" t="str">
        <f>IFERROR(__xludf.DUMMYFUNCTION("""COMPUTED_VALUE"""),"Пенсионер")</f>
        <v>Пенсионер</v>
      </c>
      <c r="C1832" s="6" t="str">
        <f>IFERROR(__xludf.DUMMYFUNCTION("""COMPUTED_VALUE"""),"Много чего")</f>
        <v>Много чего</v>
      </c>
      <c r="D1832" s="6" t="str">
        <f>IFERROR(__xludf.DUMMYFUNCTION("""COMPUTED_VALUE"""),"Лесная поляна")</f>
        <v>Лесная поляна</v>
      </c>
      <c r="E1832" s="6" t="str">
        <f>IFERROR(__xludf.DUMMYFUNCTION("""COMPUTED_VALUE"""),"Там стоит олень")</f>
        <v>Там стоит олень</v>
      </c>
      <c r="F1832"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1832" s="6" t="str">
        <f>IFERROR(__xludf.DUMMYFUNCTION("""COMPUTED_VALUE"""),"Гуляю по аллее которая идёт до школы N85")</f>
        <v>Гуляю по аллее которая идёт до школы N85</v>
      </c>
      <c r="H1832" s="6" t="str">
        <f>IFERROR(__xludf.DUMMYFUNCTION("""COMPUTED_VALUE"""),"Европа, сказка,мечта,красота, вдохновение")</f>
        <v>Европа, сказка,мечта,красота, вдохновение</v>
      </c>
      <c r="I1832" s="6" t="str">
        <f>IFERROR(__xludf.DUMMYFUNCTION("""COMPUTED_VALUE"""),"Не знаю")</f>
        <v>Не знаю</v>
      </c>
      <c r="J1832" s="6" t="str">
        <f>IFERROR(__xludf.DUMMYFUNCTION("""COMPUTED_VALUE"""),"Не знаю")</f>
        <v>Не знаю</v>
      </c>
      <c r="K1832" s="6" t="str">
        <f>IFERROR(__xludf.DUMMYFUNCTION("""COMPUTED_VALUE"""),"Библиотека на курьих ножках на улице")</f>
        <v>Библиотека на курьих ножках на улице</v>
      </c>
      <c r="L1832" s="6" t="str">
        <f>IFERROR(__xludf.DUMMYFUNCTION("""COMPUTED_VALUE"""),"Не знаю")</f>
        <v>Не знаю</v>
      </c>
      <c r="M1832" s="6" t="str">
        <f>IFERROR(__xludf.DUMMYFUNCTION("""COMPUTED_VALUE"""),"Осенька")</f>
        <v>Осенька</v>
      </c>
      <c r="N1832" s="6" t="str">
        <f>IFERROR(__xludf.DUMMYFUNCTION("""COMPUTED_VALUE"""),"Чистота, инфраструктура, обслуга, транспорт, досуг")</f>
        <v>Чистота, инфраструктура, обслуга, транспорт, досуг</v>
      </c>
      <c r="O1832" s="6" t="str">
        <f>IFERROR(__xludf.DUMMYFUNCTION("""COMPUTED_VALUE"""),"Продуктовые магазины на первых этажах( шум) ")</f>
        <v>Продуктовые магазины на первых этажах( шум) </v>
      </c>
      <c r="P1832" s="6" t="str">
        <f>IFERROR(__xludf.DUMMYFUNCTION("""COMPUTED_VALUE"""),"Газета, интернет ( форум леснополянцы)")</f>
        <v>Газета, интернет ( форум леснополянцы)</v>
      </c>
      <c r="Q1832" s="6" t="str">
        <f>IFERROR(__xludf.DUMMYFUNCTION("""COMPUTED_VALUE"""),"бизнес-новости (средний чек/рекламные акции/запуск новых предприятий)")</f>
        <v>бизнес-новости (средний чек/рекламные акции/запуск новых предприятий)</v>
      </c>
      <c r="R1832" s="6" t="str">
        <f>IFERROR(__xludf.DUMMYFUNCTION("""COMPUTED_VALUE"""),"Не знаю")</f>
        <v>Не знаю</v>
      </c>
      <c r="S1832" s="6" t="str">
        <f>IFERROR(__xludf.DUMMYFUNCTION("""COMPUTED_VALUE"""),"Нет, не приходилось")</f>
        <v>Нет, не приходилось</v>
      </c>
      <c r="T1832" s="6" t="str">
        <f>IFERROR(__xludf.DUMMYFUNCTION("""COMPUTED_VALUE"""),"Районом Лесная поляна")</f>
        <v>Районом Лесная поляна</v>
      </c>
      <c r="U1832" s="6" t="str">
        <f>IFERROR(__xludf.DUMMYFUNCTION("""COMPUTED_VALUE"""),"Не знаю")</f>
        <v>Не знаю</v>
      </c>
      <c r="V1832" s="6" t="str">
        <f>IFERROR(__xludf.DUMMYFUNCTION("""COMPUTED_VALUE"""),"Не знаю")</f>
        <v>Не знаю</v>
      </c>
      <c r="W1832" s="6" t="str">
        <f>IFERROR(__xludf.DUMMYFUNCTION("""COMPUTED_VALUE"""),"Грамотные")</f>
        <v>Грамотные</v>
      </c>
      <c r="X1832" s="6" t="str">
        <f>IFERROR(__xludf.DUMMYFUNCTION("""COMPUTED_VALUE"""),"Набережная")</f>
        <v>Набережная</v>
      </c>
      <c r="Y1832" s="6" t="str">
        <f>IFERROR(__xludf.DUMMYFUNCTION("""COMPUTED_VALUE"""),"Не знаю ")</f>
        <v>Не знаю </v>
      </c>
      <c r="Z1832" s="6" t="str">
        <f>IFERROR(__xludf.DUMMYFUNCTION("""COMPUTED_VALUE"""),"Не помню")</f>
        <v>Не помню</v>
      </c>
      <c r="AA1832" s="6" t="str">
        <f>IFERROR(__xludf.DUMMYFUNCTION("""COMPUTED_VALUE"""),"Прием в больнице в Кировском р- не")</f>
        <v>Прием в больнице в Кировском р- не</v>
      </c>
      <c r="AB1832" s="6" t="str">
        <f>IFERROR(__xludf.DUMMYFUNCTION("""COMPUTED_VALUE"""),"Не знаю")</f>
        <v>Не знаю</v>
      </c>
      <c r="AC1832" s="6" t="str">
        <f>IFERROR(__xludf.DUMMYFUNCTION("""COMPUTED_VALUE"""),"Аквапарк")</f>
        <v>Аквапарк</v>
      </c>
      <c r="AD1832" s="6" t="str">
        <f>IFERROR(__xludf.DUMMYFUNCTION("""COMPUTED_VALUE"""),"Никакого")</f>
        <v>Никакого</v>
      </c>
      <c r="AE1832" s="6" t="str">
        <f>IFERROR(__xludf.DUMMYFUNCTION("""COMPUTED_VALUE"""),"Женский")</f>
        <v>Женский</v>
      </c>
      <c r="AF1832" s="6" t="str">
        <f>IFERROR(__xludf.DUMMYFUNCTION("""COMPUTED_VALUE"""),"старше 55")</f>
        <v>старше 55</v>
      </c>
      <c r="AG1832" s="6"/>
      <c r="AH1832" s="6"/>
      <c r="AI1832" s="6"/>
      <c r="AJ1832" s="6"/>
      <c r="AK1832" s="6"/>
      <c r="AL1832" s="6"/>
      <c r="AM1832" s="6"/>
    </row>
    <row r="1833">
      <c r="A1833" s="6">
        <v>1832.0</v>
      </c>
      <c r="B1833" s="6" t="str">
        <f>IFERROR(__xludf.DUMMYFUNCTION("""COMPUTED_VALUE"""),"Прокрастинация ")</f>
        <v>Прокрастинация </v>
      </c>
      <c r="C1833" s="6" t="str">
        <f>IFERROR(__xludf.DUMMYFUNCTION("""COMPUTED_VALUE"""),"Обсуждать политические репрессии")</f>
        <v>Обсуждать политические репрессии</v>
      </c>
      <c r="D1833" s="6" t="str">
        <f>IFERROR(__xludf.DUMMYFUNCTION("""COMPUTED_VALUE"""),"Гетто на холме")</f>
        <v>Гетто на холме</v>
      </c>
      <c r="E1833" s="6" t="str">
        <f>IFERROR(__xludf.DUMMYFUNCTION("""COMPUTED_VALUE"""),"Канава с мусором")</f>
        <v>Канава с мусором</v>
      </c>
      <c r="F1833" s="6" t="str">
        <f>IFERROR(__xludf.DUMMYFUNCTION("""COMPUTED_VALUE"""),"Живу здесь с рождения")</f>
        <v>Живу здесь с рождения</v>
      </c>
      <c r="G1833" s="6" t="str">
        <f>IFERROR(__xludf.DUMMYFUNCTION("""COMPUTED_VALUE"""),"Профессионально хожу в ГЖИ ")</f>
        <v>Профессионально хожу в ГЖИ </v>
      </c>
      <c r="H1833" s="6" t="str">
        <f>IFERROR(__xludf.DUMMYFUNCTION("""COMPUTED_VALUE"""),"Грязное гетто, пристанище для проституток и наркоманов")</f>
        <v>Грязное гетто, пристанище для проституток и наркоманов</v>
      </c>
      <c r="I1833" s="6" t="str">
        <f>IFERROR(__xludf.DUMMYFUNCTION("""COMPUTED_VALUE"""),"Для Ваня - Труба, Ржавый, Чёрный, Косой, Жирный и натаха ")</f>
        <v>Для Ваня - Труба, Ржавый, Чёрный, Косой, Жирный и натаха </v>
      </c>
      <c r="J1833" s="6" t="str">
        <f>IFERROR(__xludf.DUMMYFUNCTION("""COMPUTED_VALUE"""),"Иже с ними")</f>
        <v>Иже с ними</v>
      </c>
      <c r="K1833" s="6" t="str">
        <f>IFERROR(__xludf.DUMMYFUNCTION("""COMPUTED_VALUE"""),"Загаражи, яма у вокзала, дом пиндосов")</f>
        <v>Загаражи, яма у вокзала, дом пиндосов</v>
      </c>
      <c r="L1833" s="6" t="str">
        <f>IFERROR(__xludf.DUMMYFUNCTION("""COMPUTED_VALUE"""),"Баба с возу - кобыле легче, Россия для грустных")</f>
        <v>Баба с возу - кобыле легче, Россия для грустных</v>
      </c>
      <c r="M1833" s="6" t="str">
        <f>IFERROR(__xludf.DUMMYFUNCTION("""COMPUTED_VALUE"""),"Че зыришь?! Няяя ипать! ")</f>
        <v>Че зыришь?! Няяя ипать! </v>
      </c>
      <c r="N1833" s="6" t="str">
        <f>IFERROR(__xludf.DUMMYFUNCTION("""COMPUTED_VALUE"""),"Газета и картонки. Открытые подъезды. И верните титаник ")</f>
        <v>Газета и картонки. Открытые подъезды. И верните титаник </v>
      </c>
      <c r="O1833" s="6" t="str">
        <f>IFERROR(__xludf.DUMMYFUNCTION("""COMPUTED_VALUE"""),"Он идеален")</f>
        <v>Он идеален</v>
      </c>
      <c r="P1833" s="6" t="str">
        <f>IFERROR(__xludf.DUMMYFUNCTION("""COMPUTED_VALUE"""),"От натахи и дяди Вани-Трубы")</f>
        <v>От натахи и дяди Вани-Трубы</v>
      </c>
      <c r="Q1833" s="6" t="str">
        <f>IFERROR(__xludf.DUMMYFUNCTION("""COMPUTED_VALUE"""),"криминальные новости (происшествия/преступления)")</f>
        <v>криминальные новости (происшествия/преступления)</v>
      </c>
      <c r="R1833" s="6" t="str">
        <f>IFERROR(__xludf.DUMMYFUNCTION("""COMPUTED_VALUE"""),"Опохмел!!! День шахтера")</f>
        <v>Опохмел!!! День шахтера</v>
      </c>
      <c r="S1833" s="6" t="str">
        <f>IFERROR(__xludf.DUMMYFUNCTION("""COMPUTED_VALUE"""),"Писал на заборе про натаху ")</f>
        <v>Писал на заборе про натаху </v>
      </c>
      <c r="T1833" s="6" t="str">
        <f>IFERROR(__xludf.DUMMYFUNCTION("""COMPUTED_VALUE"""),"Он находится рядом с сибом ")</f>
        <v>Он находится рядом с сибом </v>
      </c>
      <c r="U1833" s="6" t="str">
        <f>IFERROR(__xludf.DUMMYFUNCTION("""COMPUTED_VALUE"""),"Натахина шмонька - центр притяжения всего города!")</f>
        <v>Натахина шмонька - центр притяжения всего города!</v>
      </c>
      <c r="V1833" s="6" t="str">
        <f>IFERROR(__xludf.DUMMYFUNCTION("""COMPUTED_VALUE"""),"Выгнали натаху ")</f>
        <v>Выгнали натаху </v>
      </c>
      <c r="W1833" s="6" t="str">
        <f>IFERROR(__xludf.DUMMYFUNCTION("""COMPUTED_VALUE"""),"Лицемерие, озлобленность, завистливость")</f>
        <v>Лицемерие, озлобленность, завистливость</v>
      </c>
      <c r="X1833" s="6" t="str">
        <f>IFERROR(__xludf.DUMMYFUNCTION("""COMPUTED_VALUE"""),"17 маршрут")</f>
        <v>17 маршрут</v>
      </c>
      <c r="Y1833" s="6" t="str">
        <f>IFERROR(__xludf.DUMMYFUNCTION("""COMPUTED_VALUE"""),"Начали склонять название города!")</f>
        <v>Начали склонять название города!</v>
      </c>
      <c r="Z1833" s="6" t="str">
        <f>IFERROR(__xludf.DUMMYFUNCTION("""COMPUTED_VALUE"""),"Ржавый откинулся! ")</f>
        <v>Ржавый откинулся! </v>
      </c>
      <c r="AA1833" s="6" t="str">
        <f>IFERROR(__xludf.DUMMYFUNCTION("""COMPUTED_VALUE"""),"Ржавый откинулся, а натаха его не дождалась!")</f>
        <v>Ржавый откинулся, а натаха его не дождалась!</v>
      </c>
      <c r="AB1833" s="6" t="str">
        <f>IFERROR(__xludf.DUMMYFUNCTION("""COMPUTED_VALUE"""),"Клуб любителей зелёного змея и клуба философов")</f>
        <v>Клуб любителей зелёного змея и клуба философов</v>
      </c>
      <c r="AC1833" s="6" t="str">
        <f>IFERROR(__xludf.DUMMYFUNCTION("""COMPUTED_VALUE"""),"Сходка любителей финала ‘’Парфюмера’’")</f>
        <v>Сходка любителей финала ‘’Парфюмера’’</v>
      </c>
      <c r="AD183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33" s="6" t="str">
        <f>IFERROR(__xludf.DUMMYFUNCTION("""COMPUTED_VALUE"""),"Женский")</f>
        <v>Женский</v>
      </c>
      <c r="AF1833" s="6" t="str">
        <f>IFERROR(__xludf.DUMMYFUNCTION("""COMPUTED_VALUE"""),"18-29")</f>
        <v>18-29</v>
      </c>
      <c r="AG1833" s="6"/>
      <c r="AH1833" s="6"/>
      <c r="AI1833" s="6"/>
      <c r="AJ1833" s="6"/>
      <c r="AK1833" s="6"/>
      <c r="AL1833" s="6"/>
      <c r="AM1833" s="6"/>
    </row>
    <row r="1834">
      <c r="A1834" s="6">
        <v>1833.0</v>
      </c>
      <c r="B1834" s="6" t="str">
        <f>IFERROR(__xludf.DUMMYFUNCTION("""COMPUTED_VALUE"""),"Мама в декрете")</f>
        <v>Мама в декрете</v>
      </c>
      <c r="C1834" s="6" t="str">
        <f>IFERROR(__xludf.DUMMYFUNCTION("""COMPUTED_VALUE"""),"Коньки, ролики, сноуборд")</f>
        <v>Коньки, ролики, сноуборд</v>
      </c>
      <c r="D1834" s="6" t="str">
        <f>IFERROR(__xludf.DUMMYFUNCTION("""COMPUTED_VALUE"""),"Лесная поляна ")</f>
        <v>Лесная поляна </v>
      </c>
      <c r="E1834" s="6" t="str">
        <f>IFERROR(__xludf.DUMMYFUNCTION("""COMPUTED_VALUE"""),"Парк Лесная сказка ")</f>
        <v>Парк Лесная сказка </v>
      </c>
      <c r="F1834"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834" s="6" t="str">
        <f>IFERROR(__xludf.DUMMYFUNCTION("""COMPUTED_VALUE"""),"Томская писаница, Таежная заимка ")</f>
        <v>Томская писаница, Таежная заимка </v>
      </c>
      <c r="H1834" s="6" t="str">
        <f>IFERROR(__xludf.DUMMYFUNCTION("""COMPUTED_VALUE"""),"Шахтёр, Красная Горка,набережная, новостройки, чистота ")</f>
        <v>Шахтёр, Красная Горка,набережная, новостройки, чистота </v>
      </c>
      <c r="I1834" s="6" t="str">
        <f>IFERROR(__xludf.DUMMYFUNCTION("""COMPUTED_VALUE"""),"Михайло Волков, А.Г. Тулеев")</f>
        <v>Михайло Волков, А.Г. Тулеев</v>
      </c>
      <c r="J1834" s="6" t="str">
        <f>IFERROR(__xludf.DUMMYFUNCTION("""COMPUTED_VALUE"""),"Клочкова Маргарита, Елена Чин-Чин, Мария Мещерякова")</f>
        <v>Клочкова Маргарита, Елена Чин-Чин, Мария Мещерякова</v>
      </c>
      <c r="K1834" s="6" t="str">
        <f>IFERROR(__xludf.DUMMYFUNCTION("""COMPUTED_VALUE"""),"Всю Лесную поляну ")</f>
        <v>Всю Лесную поляну </v>
      </c>
      <c r="L1834" s="6" t="str">
        <f>IFERROR(__xludf.DUMMYFUNCTION("""COMPUTED_VALUE"""),"Всяк кулик своё болото хвалит 😅")</f>
        <v>Всяк кулик своё болото хвалит 😅</v>
      </c>
      <c r="M1834" s="6" t="str">
        <f>IFERROR(__xludf.DUMMYFUNCTION("""COMPUTED_VALUE"""),"Мультифора, уголёк ")</f>
        <v>Мультифора, уголёк </v>
      </c>
      <c r="N1834" s="6" t="str">
        <f>IFERROR(__xludf.DUMMYFUNCTION("""COMPUTED_VALUE"""),"Хорошие дороги, доступные парковки, комфортные прогулочные зоны, достойные заведения общепита, спортивные площадки детям ")</f>
        <v>Хорошие дороги, доступные парковки, комфортные прогулочные зоны, достойные заведения общепита, спортивные площадки детям </v>
      </c>
      <c r="O1834" s="6" t="str">
        <f>IFERROR(__xludf.DUMMYFUNCTION("""COMPUTED_VALUE"""),"Обслуживание автодорог а зимний период времени
Срочно верните Лазурный!!! Синхронистам негде тренироваться, погибает этот красивейший вид спорта у нас в регионе")</f>
        <v>Обслуживание автодорог а зимний период времени
Срочно верните Лазурный!!! Синхронистам негде тренироваться, погибает этот красивейший вид спорта у нас в регионе</v>
      </c>
      <c r="P1834" s="6" t="str">
        <f>IFERROR(__xludf.DUMMYFUNCTION("""COMPUTED_VALUE"""),"Инстаграм ")</f>
        <v>Инстаграм </v>
      </c>
      <c r="Q1834" s="6" t="str">
        <f>IFERROR(__xludf.DUMMYFUNCTION("""COMPUTED_VALUE"""),"городская афиша (кино/театр/концерты), интервью с местными творческими личностями, новости про новые профессии/куда поступать/вакансии")</f>
        <v>городская афиша (кино/театр/концерты), интервью с местными творческими личностями, новости про новые профессии/куда поступать/вакансии</v>
      </c>
      <c r="R1834" s="6" t="str">
        <f>IFERROR(__xludf.DUMMYFUNCTION("""COMPUTED_VALUE"""),"День города, день Шахтера ")</f>
        <v>День города, день Шахтера </v>
      </c>
      <c r="S1834" s="6" t="str">
        <f>IFERROR(__xludf.DUMMYFUNCTION("""COMPUTED_VALUE"""),"Нет, не приходилось")</f>
        <v>Нет, не приходилось</v>
      </c>
      <c r="T1834" s="6" t="str">
        <f>IFERROR(__xludf.DUMMYFUNCTION("""COMPUTED_VALUE"""),"Месторасположением ")</f>
        <v>Месторасположением </v>
      </c>
      <c r="U1834" s="6" t="str">
        <f>IFERROR(__xludf.DUMMYFUNCTION("""COMPUTED_VALUE"""),"Красная горка")</f>
        <v>Красная горка</v>
      </c>
      <c r="V1834" s="6" t="str">
        <f>IFERROR(__xludf.DUMMYFUNCTION("""COMPUTED_VALUE"""),"Внесли культурный вклад ")</f>
        <v>Внесли культурный вклад </v>
      </c>
      <c r="W1834" s="6" t="str">
        <f>IFERROR(__xludf.DUMMYFUNCTION("""COMPUTED_VALUE"""),"Могу про конкретный район 
Леснополянцы очень отзывчивые ")</f>
        <v>Могу про конкретный район 
Леснополянцы очень отзывчивые </v>
      </c>
      <c r="X1834" s="6" t="str">
        <f>IFERROR(__xludf.DUMMYFUNCTION("""COMPUTED_VALUE"""),"Через весь центр от Филармонии по набережной к ЦУМу ")</f>
        <v>Через весь центр от Филармонии по набережной к ЦУМу </v>
      </c>
      <c r="Y1834" s="6" t="str">
        <f>IFERROR(__xludf.DUMMYFUNCTION("""COMPUTED_VALUE"""),"Рок концерт организованный Стройсервисом ")</f>
        <v>Рок концерт организованный Стройсервисом </v>
      </c>
      <c r="Z1834" s="6" t="str">
        <f>IFERROR(__xludf.DUMMYFUNCTION("""COMPUTED_VALUE"""),"Реконструкция бульвара, строительство набережной на Притомском, строительство кластера искусств, открытие президентского кадетского училища")</f>
        <v>Реконструкция бульвара, строительство набережной на Притомском, строительство кластера искусств, открытие президентского кадетского училища</v>
      </c>
      <c r="AA1834" s="6" t="str">
        <f>IFERROR(__xludf.DUMMYFUNCTION("""COMPUTED_VALUE"""),"Зимняя вишня 
Закрытые Лазурного")</f>
        <v>Зимняя вишня 
Закрытые Лазурного</v>
      </c>
      <c r="AB1834" s="6" t="str">
        <f>IFERROR(__xludf.DUMMYFUNCTION("""COMPUTED_VALUE"""),"—")</f>
        <v>—</v>
      </c>
      <c r="AC1834" s="6" t="str">
        <f>IFERROR(__xludf.DUMMYFUNCTION("""COMPUTED_VALUE"""),"Работа с молодёжью ")</f>
        <v>Работа с молодёжью </v>
      </c>
      <c r="AD1834"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834" s="6" t="str">
        <f>IFERROR(__xludf.DUMMYFUNCTION("""COMPUTED_VALUE"""),"Женский")</f>
        <v>Женский</v>
      </c>
      <c r="AF1834" s="6" t="str">
        <f>IFERROR(__xludf.DUMMYFUNCTION("""COMPUTED_VALUE"""),"30-44")</f>
        <v>30-44</v>
      </c>
      <c r="AG1834" s="6"/>
      <c r="AH1834" s="6"/>
      <c r="AI1834" s="6"/>
      <c r="AJ1834" s="6"/>
      <c r="AK1834" s="6"/>
      <c r="AL1834" s="6"/>
      <c r="AM1834" s="6"/>
    </row>
    <row r="1835">
      <c r="A1835" s="6">
        <v>1834.0</v>
      </c>
      <c r="B1835" s="6" t="str">
        <f>IFERROR(__xludf.DUMMYFUNCTION("""COMPUTED_VALUE"""),"Декретный отпуск")</f>
        <v>Декретный отпуск</v>
      </c>
      <c r="C1835" s="6" t="str">
        <f>IFERROR(__xludf.DUMMYFUNCTION("""COMPUTED_VALUE"""),"Графический дизайн, чтение, спорт")</f>
        <v>Графический дизайн, чтение, спорт</v>
      </c>
      <c r="D1835" s="6" t="str">
        <f>IFERROR(__xludf.DUMMYFUNCTION("""COMPUTED_VALUE"""),"Ленинский, Шалготарьян")</f>
        <v>Ленинский, Шалготарьян</v>
      </c>
      <c r="E1835" s="6" t="str">
        <f>IFERROR(__xludf.DUMMYFUNCTION("""COMPUTED_VALUE"""),"Сквер Октябрьский-Ленинградский, фонтан около Нограда, мечеть")</f>
        <v>Сквер Октябрьский-Ленинградский, фонтан около Нограда, мечеть</v>
      </c>
      <c r="F1835" s="6" t="str">
        <f>IFERROR(__xludf.DUMMYFUNCTION("""COMPUTED_VALUE"""),"Переехал сюда из другого места (откуда? укажите в графе другое), Белово")</f>
        <v>Переехал сюда из другого места (откуда? укажите в графе другое), Белово</v>
      </c>
      <c r="G1835" s="6" t="str">
        <f>IFERROR(__xludf.DUMMYFUNCTION("""COMPUTED_VALUE"""),"Бульвар Строителей, около Кадетского училища, озеро Красное")</f>
        <v>Бульвар Строителей, около Кадетского училища, озеро Красное</v>
      </c>
      <c r="H1835" s="6" t="str">
        <f>IFERROR(__xludf.DUMMYFUNCTION("""COMPUTED_VALUE"""),"Набережная, проспект Советский, Политех, филармония, горсад")</f>
        <v>Набережная, проспект Советский, Политех, филармония, горсад</v>
      </c>
      <c r="I1835" s="6" t="str">
        <f>IFERROR(__xludf.DUMMYFUNCTION("""COMPUTED_VALUE"""),"Леонов, Гришковец")</f>
        <v>Леонов, Гришковец</v>
      </c>
      <c r="J1835" s="6" t="str">
        <f>IFERROR(__xludf.DUMMYFUNCTION("""COMPUTED_VALUE"""),"Затрудняюсь ответить")</f>
        <v>Затрудняюсь ответить</v>
      </c>
      <c r="K1835" s="6" t="str">
        <f>IFERROR(__xludf.DUMMYFUNCTION("""COMPUTED_VALUE"""),"Парк Кузбасский, парк Ангелов, Красная горка, Лесная Поляна, набережная")</f>
        <v>Парк Кузбасский, парк Ангелов, Красная горка, Лесная Поляна, набережная</v>
      </c>
      <c r="L1835" s="6" t="str">
        <f>IFERROR(__xludf.DUMMYFUNCTION("""COMPUTED_VALUE"""),"Из других городов люди думают ,что в Кемерово живут одни шахтеры.")</f>
        <v>Из других городов люди думают ,что в Кемерово живут одни шахтеры.</v>
      </c>
      <c r="M1835" s="6" t="str">
        <f>IFERROR(__xludf.DUMMYFUNCTION("""COMPUTED_VALUE"""),"Не знаю")</f>
        <v>Не знаю</v>
      </c>
      <c r="N1835" s="6" t="str">
        <f>IFERROR(__xludf.DUMMYFUNCTION("""COMPUTED_VALUE"""),"Чистота, чистый общественный транспорт, благоустройства, аккуратные детские площадки")</f>
        <v>Чистота, чистый общественный транспорт, благоустройства, аккуратные детские площадки</v>
      </c>
      <c r="O1835" s="6" t="str">
        <f>IFERROR(__xludf.DUMMYFUNCTION("""COMPUTED_VALUE"""),"Чтобы участковые следили за окружающей обстановкой, чтобы вандалы и подростки не портили площадки города. Общая культура хромает, подростки везде громко общаются при помощи мата, портят надписи с ""рекламой"" в телеграм наркотиков, покрасить облезлые дома"&amp;" в Шалготарьяне, отремонтировать снаружи 92 шк, покрасить дома ФПК, покрасить серые дома на проспектах Ленинградский, Ленина, Октябрьский")</f>
        <v>Чтобы участковые следили за окружающей обстановкой, чтобы вандалы и подростки не портили площадки города. Общая культура хромает, подростки везде громко общаются при помощи мата, портят надписи с "рекламой" в телеграм наркотиков, покрасить облезлые дома в Шалготарьяне, отремонтировать снаружи 92 шк, покрасить дома ФПК, покрасить серые дома на проспектах Ленинградский, Ленина, Октябрьский</v>
      </c>
      <c r="P1835" s="6" t="str">
        <f>IFERROR(__xludf.DUMMYFUNCTION("""COMPUTED_VALUE"""),"Интернет ,,все 42"", ""инцидент Кемерово,"" , ""Типичный Кемерово""")</f>
        <v>Интернет ,,все 42", "инцидент Кемерово," , "Типичный Кемерово"</v>
      </c>
      <c r="Q1835" s="6" t="str">
        <f>IFERROR(__xludf.DUMMYFUNCTION("""COMPUTED_VALUE"""),"куда пойти в свободное время, городская афиша (кино/театр/концерты),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местными творческими личностями, новости про новые профессии/куда поступать/вакансии, интервью с экспертами на разные темы (напишите в разделе Другое свои предложения)</v>
      </c>
      <c r="R1835" s="6" t="str">
        <f>IFERROR(__xludf.DUMMYFUNCTION("""COMPUTED_VALUE"""),"Никакие")</f>
        <v>Никакие</v>
      </c>
      <c r="S1835" s="6" t="str">
        <f>IFERROR(__xludf.DUMMYFUNCTION("""COMPUTED_VALUE"""),"Нет, не приходилось")</f>
        <v>Нет, не приходилось</v>
      </c>
      <c r="T1835" s="6" t="str">
        <f>IFERROR(__xludf.DUMMYFUNCTION("""COMPUTED_VALUE"""),"Столица Кузбасса, считаю что уютный город")</f>
        <v>Столица Кузбасса, считаю что уютный город</v>
      </c>
      <c r="U1835" s="6" t="str">
        <f>IFERROR(__xludf.DUMMYFUNCTION("""COMPUTED_VALUE"""),"Набережная, вечный огонь, Драматический не")</f>
        <v>Набережная, вечный огонь, Драматический не</v>
      </c>
      <c r="V1835" s="6" t="str">
        <f>IFERROR(__xludf.DUMMYFUNCTION("""COMPUTED_VALUE"""),"Создали хорошие кафедры в КузГТУ, мед академии")</f>
        <v>Создали хорошие кафедры в КузГТУ, мед академии</v>
      </c>
      <c r="W1835" s="6" t="str">
        <f>IFERROR(__xludf.DUMMYFUNCTION("""COMPUTED_VALUE"""),"Есть хорошие люди, добрые отзывчивые, есть хамы и быдловатые, есть безразличные")</f>
        <v>Есть хорошие люди, добрые отзывчивые, есть хамы и быдловатые, есть безразличные</v>
      </c>
      <c r="X1835" s="6" t="str">
        <f>IFERROR(__xludf.DUMMYFUNCTION("""COMPUTED_VALUE"""),"Набережная, парк Ангелов, лесная поляна")</f>
        <v>Набережная, парк Ангелов, лесная поляна</v>
      </c>
      <c r="Y1835" s="6" t="str">
        <f>IFERROR(__xludf.DUMMYFUNCTION("""COMPUTED_VALUE"""),"Чемпионат мира по хоккею бенди")</f>
        <v>Чемпионат мира по хоккею бенди</v>
      </c>
      <c r="Z1835" s="6" t="str">
        <f>IFERROR(__xludf.DUMMYFUNCTION("""COMPUTED_VALUE"""),"Открытие сквера Октябрьский-Ленинградский, на котором присутствовал Цивилев и искренне всем улыбался")</f>
        <v>Открытие сквера Октябрьский-Ленинградский, на котором присутствовал Цивилев и искренне всем улыбался</v>
      </c>
      <c r="AA1835" s="6" t="str">
        <f>IFERROR(__xludf.DUMMYFUNCTION("""COMPUTED_VALUE"""),"Зимняя Вишня")</f>
        <v>Зимняя Вишня</v>
      </c>
      <c r="AB1835" s="6" t="str">
        <f>IFERROR(__xludf.DUMMYFUNCTION("""COMPUTED_VALUE"""),"Не знаю")</f>
        <v>Не знаю</v>
      </c>
      <c r="AC1835" s="6" t="str">
        <f>IFERROR(__xludf.DUMMYFUNCTION("""COMPUTED_VALUE"""),"Что-то бесплатное для детей и подростков")</f>
        <v>Что-то бесплатное для детей и подростков</v>
      </c>
      <c r="AD1835"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35" s="6" t="str">
        <f>IFERROR(__xludf.DUMMYFUNCTION("""COMPUTED_VALUE"""),"Женский")</f>
        <v>Женский</v>
      </c>
      <c r="AF1835" s="6" t="str">
        <f>IFERROR(__xludf.DUMMYFUNCTION("""COMPUTED_VALUE"""),"30-44")</f>
        <v>30-44</v>
      </c>
      <c r="AG1835" s="6"/>
      <c r="AH1835" s="6"/>
      <c r="AI1835" s="6"/>
      <c r="AJ1835" s="6"/>
      <c r="AK1835" s="6"/>
      <c r="AL1835" s="6"/>
      <c r="AM1835" s="6"/>
    </row>
    <row r="1836">
      <c r="A1836" s="6">
        <v>1835.0</v>
      </c>
      <c r="B1836" s="6" t="str">
        <f>IFERROR(__xludf.DUMMYFUNCTION("""COMPUTED_VALUE"""),"Работаю")</f>
        <v>Работаю</v>
      </c>
      <c r="C1836" s="6" t="str">
        <f>IFERROR(__xludf.DUMMYFUNCTION("""COMPUTED_VALUE"""),"Вышиваю")</f>
        <v>Вышиваю</v>
      </c>
      <c r="D1836" s="6" t="str">
        <f>IFERROR(__xludf.DUMMYFUNCTION("""COMPUTED_VALUE"""),"В Центральном")</f>
        <v>В Центральном</v>
      </c>
      <c r="E1836" s="6" t="str">
        <f>IFERROR(__xludf.DUMMYFUNCTION("""COMPUTED_VALUE"""),"Площади Пушкина и Советов")</f>
        <v>Площади Пушкина и Советов</v>
      </c>
      <c r="F1836" s="6" t="str">
        <f>IFERROR(__xludf.DUMMYFUNCTION("""COMPUTED_VALUE"""),"Живу здесь с рождения")</f>
        <v>Живу здесь с рождения</v>
      </c>
      <c r="G1836" s="6" t="str">
        <f>IFERROR(__xludf.DUMMYFUNCTION("""COMPUTED_VALUE"""),"На Притомскую набережную, ул. весенняя, бор")</f>
        <v>На Притомскую набережную, ул. весенняя, бор</v>
      </c>
      <c r="H1836" s="6" t="str">
        <f>IFERROR(__xludf.DUMMYFUNCTION("""COMPUTED_VALUE"""),"Стадион Химик, кинотеатр Москва, Советский пр-т, притомская Набережная, остров, Орбита")</f>
        <v>Стадион Химик, кинотеатр Москва, Советский пр-т, притомская Набережная, остров, Орбита</v>
      </c>
      <c r="I1836" s="6" t="str">
        <f>IFERROR(__xludf.DUMMYFUNCTION("""COMPUTED_VALUE"""),"Экс мэр Михайлов")</f>
        <v>Экс мэр Михайлов</v>
      </c>
      <c r="J1836" s="6" t="str">
        <f>IFERROR(__xludf.DUMMYFUNCTION("""COMPUTED_VALUE"""),"Волейбольная команда")</f>
        <v>Волейбольная команда</v>
      </c>
      <c r="K1836" s="6" t="str">
        <f>IFERROR(__xludf.DUMMYFUNCTION("""COMPUTED_VALUE"""),"Исторический центр")</f>
        <v>Исторический центр</v>
      </c>
      <c r="L1836" s="6" t="str">
        <f>IFERROR(__xludf.DUMMYFUNCTION("""COMPUTED_VALUE"""),"Не знаю")</f>
        <v>Не знаю</v>
      </c>
      <c r="M1836" s="6" t="str">
        <f>IFERROR(__xludf.DUMMYFUNCTION("""COMPUTED_VALUE"""),"Не знаю")</f>
        <v>Не знаю</v>
      </c>
      <c r="N1836" s="6" t="str">
        <f>IFERROR(__xludf.DUMMYFUNCTION("""COMPUTED_VALUE"""),"Регулярное движение транспорта по об’ездной дороге, увеличение маршрутных автобусов или проведение троллейбусной линии, привлекать жителей при решении «воткнуть» очередной шедевр (скульптуру) к обсуждению, ограничится уже построенными церквями.")</f>
        <v>Регулярное движение транспорта по об’ездной дороге, увеличение маршрутных автобусов или проведение троллейбусной линии, привлекать жителей при решении «воткнуть» очередной шедевр (скульптуру) к обсуждению, ограничится уже построенными церквями.</v>
      </c>
      <c r="O1836" s="6" t="str">
        <f>IFERROR(__xludf.DUMMYFUNCTION("""COMPUTED_VALUE"""),"Отреставрировать кинотеатр «Москва»")</f>
        <v>Отреставрировать кинотеатр «Москва»</v>
      </c>
      <c r="P1836" s="6" t="str">
        <f>IFERROR(__xludf.DUMMYFUNCTION("""COMPUTED_VALUE"""),"Новости по телевидению, интернет")</f>
        <v>Новости по телевидению, интернет</v>
      </c>
      <c r="Q1836"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1836" s="6" t="str">
        <f>IFERROR(__xludf.DUMMYFUNCTION("""COMPUTED_VALUE"""),"Любые детские мероприятия")</f>
        <v>Любые детские мероприятия</v>
      </c>
      <c r="S1836" s="6" t="str">
        <f>IFERROR(__xludf.DUMMYFUNCTION("""COMPUTED_VALUE"""),"Нет, не приходилось")</f>
        <v>Нет, не приходилось</v>
      </c>
      <c r="T1836" s="6" t="str">
        <f>IFERROR(__xludf.DUMMYFUNCTION("""COMPUTED_VALUE"""),"Исторические места")</f>
        <v>Исторические места</v>
      </c>
      <c r="U1836" s="6" t="str">
        <f>IFERROR(__xludf.DUMMYFUNCTION("""COMPUTED_VALUE"""),"Площади Пушкина,Советов,Волкова")</f>
        <v>Площади Пушкина,Советов,Волкова</v>
      </c>
      <c r="V1836" s="6" t="str">
        <f>IFERROR(__xludf.DUMMYFUNCTION("""COMPUTED_VALUE"""),"Каждый из предыдущих ( кроме Михайлова)  сделала все для развала и от’езда молодежи из региона")</f>
        <v>Каждый из предыдущих ( кроме Михайлова)  сделала все для развала и от’езда молодежи из региона</v>
      </c>
      <c r="W1836" s="6" t="str">
        <f>IFERROR(__xludf.DUMMYFUNCTION("""COMPUTED_VALUE"""),"Доброжелательные, но не надо злить")</f>
        <v>Доброжелательные, но не надо злить</v>
      </c>
      <c r="X1836" s="6" t="str">
        <f>IFERROR(__xludf.DUMMYFUNCTION("""COMPUTED_VALUE"""),"Исторический центр ")</f>
        <v>Исторический центр </v>
      </c>
      <c r="Y1836" s="6" t="str">
        <f>IFERROR(__xludf.DUMMYFUNCTION("""COMPUTED_VALUE"""),"Забастовка шахтеров")</f>
        <v>Забастовка шахтеров</v>
      </c>
      <c r="Z1836" s="6" t="str">
        <f>IFERROR(__xludf.DUMMYFUNCTION("""COMPUTED_VALUE"""),"Победы кузбасских спортсменов")</f>
        <v>Победы кузбасских спортсменов</v>
      </c>
      <c r="AA1836" s="6" t="str">
        <f>IFERROR(__xludf.DUMMYFUNCTION("""COMPUTED_VALUE"""),"Закрытие бассейна, самовольное название новой площади, построение парка Ангелов - безвкусицах, кого привлекли в дизайнеры и на каких основаниях?!")</f>
        <v>Закрытие бассейна, самовольное название новой площади, построение парка Ангелов - безвкусицах, кого привлекли в дизайнеры и на каких основаниях?!</v>
      </c>
      <c r="AB1836" s="6" t="str">
        <f>IFERROR(__xludf.DUMMYFUNCTION("""COMPUTED_VALUE"""),"Организация выставок произведений, сделанных своими руками")</f>
        <v>Организация выставок произведений, сделанных своими руками</v>
      </c>
      <c r="AC1836" s="6" t="str">
        <f>IFERROR(__xludf.DUMMYFUNCTION("""COMPUTED_VALUE"""),"Вовлечение жителей в обсуждение  предполагаемых мероприяти")</f>
        <v>Вовлечение жителей в обсуждение  предполагаемых мероприяти</v>
      </c>
      <c r="AD183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36" s="6" t="str">
        <f>IFERROR(__xludf.DUMMYFUNCTION("""COMPUTED_VALUE"""),"Женский")</f>
        <v>Женский</v>
      </c>
      <c r="AF1836" s="6" t="str">
        <f>IFERROR(__xludf.DUMMYFUNCTION("""COMPUTED_VALUE"""),"старше 55")</f>
        <v>старше 55</v>
      </c>
      <c r="AG1836" s="6"/>
      <c r="AH1836" s="6"/>
      <c r="AI1836" s="6"/>
      <c r="AJ1836" s="6"/>
      <c r="AK1836" s="6"/>
      <c r="AL1836" s="6"/>
      <c r="AM1836" s="6"/>
    </row>
    <row r="1837">
      <c r="A1837" s="6">
        <v>1836.0</v>
      </c>
      <c r="B1837" s="6" t="str">
        <f>IFERROR(__xludf.DUMMYFUNCTION("""COMPUTED_VALUE"""),"Бизнес")</f>
        <v>Бизнес</v>
      </c>
      <c r="C1837" s="6" t="str">
        <f>IFERROR(__xludf.DUMMYFUNCTION("""COMPUTED_VALUE"""),"Керамика")</f>
        <v>Керамика</v>
      </c>
      <c r="D1837" s="6" t="str">
        <f>IFERROR(__xludf.DUMMYFUNCTION("""COMPUTED_VALUE"""),"Рудничный район- Радуга")</f>
        <v>Рудничный район- Радуга</v>
      </c>
      <c r="E1837" s="6" t="str">
        <f>IFERROR(__xludf.DUMMYFUNCTION("""COMPUTED_VALUE"""),"Бор, ДКШахтеров, Художественное училище, Музей на Красной горке,  монумент Память шахтерам Кузбасса Эрнста Неизвестного")</f>
        <v>Бор, ДКШахтеров, Художественное училище, Музей на Красной горке,  монумент Память шахтерам Кузбасса Эрнста Неизвестного</v>
      </c>
      <c r="F1837" s="6" t="str">
        <f>IFERROR(__xludf.DUMMYFUNCTION("""COMPUTED_VALUE"""),"Живу здесь с рождения")</f>
        <v>Живу здесь с рождения</v>
      </c>
      <c r="G1837" s="6" t="str">
        <f>IFERROR(__xludf.DUMMYFUNCTION("""COMPUTED_VALUE"""),"Театр детей и моложежи, кукольный театр, Филармония, гулять по Притомской набережной, Томская писаница")</f>
        <v>Театр детей и моложежи, кукольный театр, Филармония, гулять по Притомской набережной, Томская писаница</v>
      </c>
      <c r="H1837" s="6" t="str">
        <f>IFERROR(__xludf.DUMMYFUNCTION("""COMPUTED_VALUE"""),"Промышленный, химический,черное небо, уголь, ")</f>
        <v>Промышленный, химический,черное небо, уголь, </v>
      </c>
      <c r="I1837" s="6" t="str">
        <f>IFERROR(__xludf.DUMMYFUNCTION("""COMPUTED_VALUE"""),"Михайло Волков, Леонов, ")</f>
        <v>Михайло Волков, Леонов, </v>
      </c>
      <c r="J1837" s="6" t="str">
        <f>IFERROR(__xludf.DUMMYFUNCTION("""COMPUTED_VALUE"""),"Не знаю")</f>
        <v>Не знаю</v>
      </c>
      <c r="K1837" s="6" t="str">
        <f>IFERROR(__xludf.DUMMYFUNCTION("""COMPUTED_VALUE"""),"Красная горка, прогулка по ул.Весенняя и набережной, незабываемое путешествие мимо Азота( химическая мощь), театр Ложа, посещение района Лесная Поляна, набережная Кировского района,  посмотреть одно из старейших зданий в городе- Училище культуры, Томская "&amp;"писаница, прогулки по старому неразобраному мосту")</f>
        <v>Красная горка, прогулка по ул.Весенняя и набережной, незабываемое путешествие мимо Азота( химическая мощь), театр Ложа, посещение района Лесная Поляна, набережная Кировского района,  посмотреть одно из старейших зданий в городе- Училище культуры, Томская писаница, прогулки по старому неразобраному мосту</v>
      </c>
      <c r="L1837" s="6" t="str">
        <f>IFERROR(__xludf.DUMMYFUNCTION("""COMPUTED_VALUE"""),"Человек из Кемерово  Гребенщикова")</f>
        <v>Человек из Кемерово  Гребенщикова</v>
      </c>
      <c r="M1837" s="6" t="str">
        <f>IFERROR(__xludf.DUMMYFUNCTION("""COMPUTED_VALUE"""),"Нет")</f>
        <v>Нет</v>
      </c>
      <c r="N1837" s="6" t="str">
        <f>IFERROR(__xludf.DUMMYFUNCTION("""COMPUTED_VALUE"""),"Хорошая экология- чистое небо, хорошие дороги, чистота в городе- уборка мусора не только в центре города, а везде, ремонт и покраска старых домов , повышение уровня зарплат и предложение в правительство ежегодных выплат для граждан, проживающих в условиях"&amp;" северных территорий( за Уралом) как выплачивают на Аляске всем проживающим северные компенсации. Озеленение города, увеличение скверов и парков, посадить много деревьев по проспектам города. увеличение количества бюджетных мест для поступающих в ВУЗы")</f>
        <v>Хорошая экология- чистое небо, хорошие дороги, чистота в городе- уборка мусора не только в центре города, а везде, ремонт и покраска старых домов , повышение уровня зарплат и предложение в правительство ежегодных выплат для граждан, проживающих в условиях северных территорий( за Уралом) как выплачивают на Аляске всем проживающим северные компенсации. Озеленение города, увеличение скверов и парков, посадить много деревьев по проспектам города. увеличение количества бюджетных мест для поступающих в ВУЗы</v>
      </c>
      <c r="O1837" s="6" t="str">
        <f>IFERROR(__xludf.DUMMYFUNCTION("""COMPUTED_VALUE"""),"Убрать везде грязь и мусор, отремонтировать фасады и придомовые территории, заасфальтировать частный сектор, !! Озеленить город не цветами, а насадить много деревьев, а то в последнее время их только спиливают")</f>
        <v>Убрать везде грязь и мусор, отремонтировать фасады и придомовые территории, заасфальтировать частный сектор, !! Озеленить город не цветами, а насадить много деревьев, а то в последнее время их только спиливают</v>
      </c>
      <c r="P1837" s="6" t="str">
        <f>IFERROR(__xludf.DUMMYFUNCTION("""COMPUTED_VALUE"""),"Сайты с афишами города, сайты театров, Филармонии, Дома художников")</f>
        <v>Сайты с афишами города, сайты театров, Филармонии, Дома художников</v>
      </c>
      <c r="Q1837"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837" s="6" t="str">
        <f>IFERROR(__xludf.DUMMYFUNCTION("""COMPUTED_VALUE"""),"Новый год , Масленица, День Победы, День рождения Пушкина, День знаний")</f>
        <v>Новый год , Масленица, День Победы, День рождения Пушкина, День знаний</v>
      </c>
      <c r="S1837" s="6" t="str">
        <f>IFERROR(__xludf.DUMMYFUNCTION("""COMPUTED_VALUE"""),"Обращался в редакции городских газет, телевидения, радио")</f>
        <v>Обращался в редакции городских газет, телевидения, радио</v>
      </c>
      <c r="T1837" s="6" t="str">
        <f>IFERROR(__xludf.DUMMYFUNCTION("""COMPUTED_VALUE"""),"Обыкновенный промышленный город, печально знаменит пожаром в Зимней Вишне")</f>
        <v>Обыкновенный промышленный город, печально знаменит пожаром в Зимней Вишне</v>
      </c>
      <c r="U1837" s="6" t="str">
        <f>IFERROR(__xludf.DUMMYFUNCTION("""COMPUTED_VALUE"""),"Площадь рядом с Театром Драмы")</f>
        <v>Площадь рядом с Театром Драмы</v>
      </c>
      <c r="V1837" s="6" t="str">
        <f>IFERROR(__xludf.DUMMYFUNCTION("""COMPUTED_VALUE"""),"Построили за 100 лет большой город практически с нуля")</f>
        <v>Построили за 100 лет большой город практически с нуля</v>
      </c>
      <c r="W1837" s="6" t="str">
        <f>IFERROR(__xludf.DUMMYFUNCTION("""COMPUTED_VALUE"""),"Суровые, но справедливые")</f>
        <v>Суровые, но справедливые</v>
      </c>
      <c r="X1837" s="6" t="str">
        <f>IFERROR(__xludf.DUMMYFUNCTION("""COMPUTED_VALUE"""),"Набережная Кировского р-на, Красная горка, Монумент погибшим Шахтерам Кузбасса, прокатиться мимо завода Азот, потом прогулка по ул Весенней до театра Драмы и на Притомскую набережную, потом автобусом через новый мост до Лесной Поляны, финиш в кафе на бере"&amp;"гу Томи")</f>
        <v>Набережная Кировского р-на, Красная горка, Монумент погибшим Шахтерам Кузбасса, прокатиться мимо завода Азот, потом прогулка по ул Весенней до театра Драмы и на Притомскую набережную, потом автобусом через новый мост до Лесной Поляны, финиш в кафе на берегу Томи</v>
      </c>
      <c r="Y1837" s="6" t="str">
        <f>IFERROR(__xludf.DUMMYFUNCTION("""COMPUTED_VALUE"""),"Не знаю")</f>
        <v>Не знаю</v>
      </c>
      <c r="Z1837" s="6" t="str">
        <f>IFERROR(__xludf.DUMMYFUNCTION("""COMPUTED_VALUE""")," Строительство Кадетского училища и новой набережной")</f>
        <v> Строительство Кадетского училища и новой набережной</v>
      </c>
      <c r="AA1837" s="6" t="str">
        <f>IFERROR(__xludf.DUMMYFUNCTION("""COMPUTED_VALUE"""),"Не знаю")</f>
        <v>Не знаю</v>
      </c>
      <c r="AB1837" s="6" t="str">
        <f>IFERROR(__xludf.DUMMYFUNCTION("""COMPUTED_VALUE"""),"Культурных различных фестивалей, хороших выставок из главных музеев страны, ")</f>
        <v>Культурных различных фестивалей, хороших выставок из главных музеев страны, </v>
      </c>
      <c r="AC1837" s="6" t="str">
        <f>IFERROR(__xludf.DUMMYFUNCTION("""COMPUTED_VALUE"""),"Различные культурные фестивали- театральные, музыкальные и тд, развитие местных культурных центров")</f>
        <v>Различные культурные фестивали- театральные, музыкальные и тд, развитие местных культурных центров</v>
      </c>
      <c r="AD1837"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1837" s="6" t="str">
        <f>IFERROR(__xludf.DUMMYFUNCTION("""COMPUTED_VALUE"""),"Женский")</f>
        <v>Женский</v>
      </c>
      <c r="AF1837" s="6" t="str">
        <f>IFERROR(__xludf.DUMMYFUNCTION("""COMPUTED_VALUE"""),"45-55")</f>
        <v>45-55</v>
      </c>
      <c r="AG1837" s="6"/>
      <c r="AH1837" s="6"/>
      <c r="AI1837" s="6"/>
      <c r="AJ1837" s="6"/>
      <c r="AK1837" s="6"/>
      <c r="AL1837" s="6"/>
      <c r="AM1837" s="6"/>
    </row>
    <row r="1838">
      <c r="A1838" s="6">
        <v>1837.0</v>
      </c>
      <c r="B1838" s="6" t="str">
        <f>IFERROR(__xludf.DUMMYFUNCTION("""COMPUTED_VALUE"""),"Программист")</f>
        <v>Программист</v>
      </c>
      <c r="C1838" s="6" t="str">
        <f>IFERROR(__xludf.DUMMYFUNCTION("""COMPUTED_VALUE"""),"Музыка ")</f>
        <v>Музыка </v>
      </c>
      <c r="D1838" s="6" t="str">
        <f>IFERROR(__xludf.DUMMYFUNCTION("""COMPUTED_VALUE"""),"Ленинский, местами нормально")</f>
        <v>Ленинский, местами нормально</v>
      </c>
      <c r="E1838" s="6" t="str">
        <f>IFERROR(__xludf.DUMMYFUNCTION("""COMPUTED_VALUE"""),"Набережная")</f>
        <v>Набережная</v>
      </c>
      <c r="F1838" s="6" t="str">
        <f>IFERROR(__xludf.DUMMYFUNCTION("""COMPUTED_VALUE"""),"Живу здесь с рождения")</f>
        <v>Живу здесь с рождения</v>
      </c>
      <c r="G1838" s="6" t="str">
        <f>IFERROR(__xludf.DUMMYFUNCTION("""COMPUTED_VALUE"""),"В центр ")</f>
        <v>В центр </v>
      </c>
      <c r="H1838" s="6" t="str">
        <f>IFERROR(__xludf.DUMMYFUNCTION("""COMPUTED_VALUE"""),"Хрущёвки")</f>
        <v>Хрущёвки</v>
      </c>
      <c r="I1838" s="6" t="str">
        <f>IFERROR(__xludf.DUMMYFUNCTION("""COMPUTED_VALUE"""),"Это не имеет значения ")</f>
        <v>Это не имеет значения </v>
      </c>
      <c r="J1838" s="6" t="str">
        <f>IFERROR(__xludf.DUMMYFUNCTION("""COMPUTED_VALUE"""),"Ни на кого")</f>
        <v>Ни на кого</v>
      </c>
      <c r="K1838" s="6" t="str">
        <f>IFERROR(__xludf.DUMMYFUNCTION("""COMPUTED_VALUE"""),"Бары и рестораны ")</f>
        <v>Бары и рестораны </v>
      </c>
      <c r="L1838" s="6" t="str">
        <f>IFERROR(__xludf.DUMMYFUNCTION("""COMPUTED_VALUE"""),"Эту анкету составлял 90 летний?)")</f>
        <v>Эту анкету составлял 90 летний?)</v>
      </c>
      <c r="M1838" s="6" t="str">
        <f>IFERROR(__xludf.DUMMYFUNCTION("""COMPUTED_VALUE"""),"Нет")</f>
        <v>Нет</v>
      </c>
      <c r="N1838" s="6" t="str">
        <f>IFERROR(__xludf.DUMMYFUNCTION("""COMPUTED_VALUE"""),"Пока фасад домов не изменят, комфорта никакого не будет")</f>
        <v>Пока фасад домов не изменят, комфорта никакого не будет</v>
      </c>
      <c r="O1838" s="6" t="str">
        <f>IFERROR(__xludf.DUMMYFUNCTION("""COMPUTED_VALUE"""),"Сделать нормальную облицовку для страшных хрущевок и советских 9-16 этажек")</f>
        <v>Сделать нормальную облицовку для страшных хрущевок и советских 9-16 этажек</v>
      </c>
      <c r="P1838" s="6" t="str">
        <f>IFERROR(__xludf.DUMMYFUNCTION("""COMPUTED_VALUE"""),"А42")</f>
        <v>А42</v>
      </c>
      <c r="Q183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v>
      </c>
      <c r="R1838" s="6" t="str">
        <f>IFERROR(__xludf.DUMMYFUNCTION("""COMPUTED_VALUE"""),"День города, 9 мая")</f>
        <v>День города, 9 мая</v>
      </c>
      <c r="S1838" s="6" t="str">
        <f>IFERROR(__xludf.DUMMYFUNCTION("""COMPUTED_VALUE"""),"Нет, не приходилось")</f>
        <v>Нет, не приходилось</v>
      </c>
      <c r="T1838" s="6" t="str">
        <f>IFERROR(__xludf.DUMMYFUNCTION("""COMPUTED_VALUE"""),"Зимняя вишня прославила город на всю страну")</f>
        <v>Зимняя вишня прославила город на всю страну</v>
      </c>
      <c r="U1838" s="6" t="str">
        <f>IFERROR(__xludf.DUMMYFUNCTION("""COMPUTED_VALUE"""),"Фонтан на драме ")</f>
        <v>Фонтан на драме </v>
      </c>
      <c r="V1838" s="6" t="str">
        <f>IFERROR(__xludf.DUMMYFUNCTION("""COMPUTED_VALUE"""),"Ничего, кроме добычи грязного топлива")</f>
        <v>Ничего, кроме добычи грязного топлива</v>
      </c>
      <c r="W1838" s="6" t="str">
        <f>IFERROR(__xludf.DUMMYFUNCTION("""COMPUTED_VALUE"""),"Старые и новые поколения очень отличаются ")</f>
        <v>Старые и новые поколения очень отличаются </v>
      </c>
      <c r="X1838" s="6" t="str">
        <f>IFERROR(__xludf.DUMMYFUNCTION("""COMPUTED_VALUE"""),"Ленина-&gt;весенька-&gt;набережная ")</f>
        <v>Ленина-&gt;весенька-&gt;набережная </v>
      </c>
      <c r="Y1838" s="6" t="str">
        <f>IFERROR(__xludf.DUMMYFUNCTION("""COMPUTED_VALUE"""),"Никакого")</f>
        <v>Никакого</v>
      </c>
      <c r="Z1838" s="6" t="str">
        <f>IFERROR(__xludf.DUMMYFUNCTION("""COMPUTED_VALUE"""),"Строят много новых домов, лесная поляна расширяется")</f>
        <v>Строят много новых домов, лесная поляна расширяется</v>
      </c>
      <c r="AA1838" s="6" t="str">
        <f>IFERROR(__xludf.DUMMYFUNCTION("""COMPUTED_VALUE"""),"Запрещают проводить митинги")</f>
        <v>Запрещают проводить митинги</v>
      </c>
      <c r="AB1838" s="6" t="str">
        <f>IFERROR(__xludf.DUMMYFUNCTION("""COMPUTED_VALUE"""),"Молодежь сама создала себе достаточно сообществ")</f>
        <v>Молодежь сама создала себе достаточно сообществ</v>
      </c>
      <c r="AC1838" s="6" t="str">
        <f>IFERROR(__xludf.DUMMYFUNCTION("""COMPUTED_VALUE"""),"Украшать город визуально, замещать уголь газом и соблюдать общий тренд на экологию ")</f>
        <v>Украшать город визуально, замещать уголь газом и соблюдать общий тренд на экологию </v>
      </c>
      <c r="AD1838"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838" s="6" t="str">
        <f>IFERROR(__xludf.DUMMYFUNCTION("""COMPUTED_VALUE"""),"Мужской")</f>
        <v>Мужской</v>
      </c>
      <c r="AF1838" s="6" t="str">
        <f>IFERROR(__xludf.DUMMYFUNCTION("""COMPUTED_VALUE"""),"30-44")</f>
        <v>30-44</v>
      </c>
      <c r="AG1838" s="6"/>
      <c r="AH1838" s="6"/>
      <c r="AI1838" s="6"/>
      <c r="AJ1838" s="6"/>
      <c r="AK1838" s="6"/>
      <c r="AL1838" s="6"/>
      <c r="AM1838" s="6"/>
    </row>
    <row r="1839">
      <c r="A1839" s="6">
        <v>1838.0</v>
      </c>
      <c r="B1839" s="6" t="str">
        <f>IFERROR(__xludf.DUMMYFUNCTION("""COMPUTED_VALUE"""),"Пелагог")</f>
        <v>Пелагог</v>
      </c>
      <c r="C1839" s="6" t="str">
        <f>IFERROR(__xludf.DUMMYFUNCTION("""COMPUTED_VALUE"""),"Вяжу")</f>
        <v>Вяжу</v>
      </c>
      <c r="D1839" s="6" t="str">
        <f>IFERROR(__xludf.DUMMYFUNCTION("""COMPUTED_VALUE"""),"Радуга 🌈 ")</f>
        <v>Радуга 🌈 </v>
      </c>
      <c r="E1839" s="6" t="str">
        <f>IFERROR(__xludf.DUMMYFUNCTION("""COMPUTED_VALUE"""),"Т Ц 🌈")</f>
        <v>Т Ц 🌈</v>
      </c>
      <c r="F183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839" s="6" t="str">
        <f>IFERROR(__xludf.DUMMYFUNCTION("""COMPUTED_VALUE"""),"По верхней радуге , серебряный бор.")</f>
        <v>По верхней радуге , серебряный бор.</v>
      </c>
      <c r="H1839" s="6" t="str">
        <f>IFERROR(__xludf.DUMMYFUNCTION("""COMPUTED_VALUE"""),"Кузбасс, столица, шахтер, филармония, ул весенняя...")</f>
        <v>Кузбасс, столица, шахтер, филармония, ул весенняя...</v>
      </c>
      <c r="I1839" s="6" t="str">
        <f>IFERROR(__xludf.DUMMYFUNCTION("""COMPUTED_VALUE"""),"Волков, Тулеев, ")</f>
        <v>Волков, Тулеев, </v>
      </c>
      <c r="J1839" s="6" t="str">
        <f>IFERROR(__xludf.DUMMYFUNCTION("""COMPUTED_VALUE"""),"Тулеев")</f>
        <v>Тулеев</v>
      </c>
      <c r="K1839" s="6" t="str">
        <f>IFERROR(__xludf.DUMMYFUNCTION("""COMPUTED_VALUE"""),"Музей красная горка, ...")</f>
        <v>Музей красная горка, ...</v>
      </c>
      <c r="L1839" s="6" t="str">
        <f>IFERROR(__xludf.DUMMYFUNCTION("""COMPUTED_VALUE"""),"Не знаю")</f>
        <v>Не знаю</v>
      </c>
      <c r="M1839" s="6" t="str">
        <f>IFERROR(__xludf.DUMMYFUNCTION("""COMPUTED_VALUE"""),"Нет")</f>
        <v>Нет</v>
      </c>
      <c r="N1839" s="6" t="str">
        <f>IFERROR(__xludf.DUMMYFUNCTION("""COMPUTED_VALUE"""),"Доступный транспорт, хорошие дороги, озеленение, чистый воздух, чистая вода.")</f>
        <v>Доступный транспорт, хорошие дороги, озеленение, чистый воздух, чистая вода.</v>
      </c>
      <c r="O1839" s="6" t="str">
        <f>IFERROR(__xludf.DUMMYFUNCTION("""COMPUTED_VALUE"""),"Обновить канализацию и волоснабжение")</f>
        <v>Обновить канализацию и волоснабжение</v>
      </c>
      <c r="P1839" s="6" t="str">
        <f>IFERROR(__xludf.DUMMYFUNCTION("""COMPUTED_VALUE"""),"Интернет..42, ")</f>
        <v>Интернет..42, </v>
      </c>
      <c r="Q1839"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интервью с экспертами на разные темы (напишите в раз"&amp;"деле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839" s="6" t="str">
        <f>IFERROR(__xludf.DUMMYFUNCTION("""COMPUTED_VALUE"""),"День шахтера, день города, день победы.")</f>
        <v>День шахтера, день города, день победы.</v>
      </c>
      <c r="S1839" s="6" t="str">
        <f>IFERROR(__xludf.DUMMYFUNCTION("""COMPUTED_VALUE"""),"Нет, не приходилось")</f>
        <v>Нет, не приходилось</v>
      </c>
      <c r="T1839" s="6" t="str">
        <f>IFERROR(__xludf.DUMMYFUNCTION("""COMPUTED_VALUE"""),"Не знаю")</f>
        <v>Не знаю</v>
      </c>
      <c r="U1839" s="6" t="str">
        <f>IFERROR(__xludf.DUMMYFUNCTION("""COMPUTED_VALUE"""),"Памятник Волкову")</f>
        <v>Памятник Волкову</v>
      </c>
      <c r="V1839" s="6" t="str">
        <f>IFERROR(__xludf.DUMMYFUNCTION("""COMPUTED_VALUE"""),"Много чего, чистый , ухоженный вид")</f>
        <v>Много чего, чистый , ухоженный вид</v>
      </c>
      <c r="W1839" s="6" t="str">
        <f>IFERROR(__xludf.DUMMYFUNCTION("""COMPUTED_VALUE"""),"Недоаольные")</f>
        <v>Недоаольные</v>
      </c>
      <c r="X1839" s="6" t="str">
        <f>IFERROR(__xludf.DUMMYFUNCTION("""COMPUTED_VALUE"""),"Центр")</f>
        <v>Центр</v>
      </c>
      <c r="Y1839" s="6" t="str">
        <f>IFERROR(__xludf.DUMMYFUNCTION("""COMPUTED_VALUE"""),"Не знаю")</f>
        <v>Не знаю</v>
      </c>
      <c r="Z1839" s="6" t="str">
        <f>IFERROR(__xludf.DUMMYFUNCTION("""COMPUTED_VALUE"""),"Строительство спортивных площадок")</f>
        <v>Строительство спортивных площадок</v>
      </c>
      <c r="AA1839" s="6" t="str">
        <f>IFERROR(__xludf.DUMMYFUNCTION("""COMPUTED_VALUE"""),"Зимняя вишня")</f>
        <v>Зимняя вишня</v>
      </c>
      <c r="AB1839" s="6" t="str">
        <f>IFERROR(__xludf.DUMMYFUNCTION("""COMPUTED_VALUE"""),"Не знаю")</f>
        <v>Не знаю</v>
      </c>
      <c r="AC1839" s="6" t="str">
        <f>IFERROR(__xludf.DUMMYFUNCTION("""COMPUTED_VALUE"""),"Не знаю")</f>
        <v>Не знаю</v>
      </c>
      <c r="AD1839" s="6" t="str">
        <f>IFERROR(__xludf.DUMMYFUNCTION("""COMPUTED_VALUE"""),"Коммуникатора: Готов задействовать свои знакомства для приглашения потенциально заинтересованных участников")</f>
        <v>Коммуникатора: Готов задействовать свои знакомства для приглашения потенциально заинтересованных участников</v>
      </c>
      <c r="AE1839" s="6" t="str">
        <f>IFERROR(__xludf.DUMMYFUNCTION("""COMPUTED_VALUE"""),"Женский")</f>
        <v>Женский</v>
      </c>
      <c r="AF1839" s="6" t="str">
        <f>IFERROR(__xludf.DUMMYFUNCTION("""COMPUTED_VALUE"""),"45-55")</f>
        <v>45-55</v>
      </c>
      <c r="AG1839" s="6"/>
      <c r="AH1839" s="6"/>
      <c r="AI1839" s="6"/>
      <c r="AJ1839" s="6"/>
      <c r="AK1839" s="6"/>
      <c r="AL1839" s="6"/>
      <c r="AM1839" s="6"/>
    </row>
    <row r="1840">
      <c r="A1840" s="6">
        <v>1839.0</v>
      </c>
      <c r="B1840" s="6" t="str">
        <f>IFERROR(__xludf.DUMMYFUNCTION("""COMPUTED_VALUE"""),"Менеджер")</f>
        <v>Менеджер</v>
      </c>
      <c r="C1840" s="6" t="str">
        <f>IFERROR(__xludf.DUMMYFUNCTION("""COMPUTED_VALUE"""),"Туризм")</f>
        <v>Туризм</v>
      </c>
      <c r="D1840" s="6" t="str">
        <f>IFERROR(__xludf.DUMMYFUNCTION("""COMPUTED_VALUE"""),"Лененский второй променад")</f>
        <v>Лененский второй променад</v>
      </c>
      <c r="E1840" s="6" t="str">
        <f>IFERROR(__xludf.DUMMYFUNCTION("""COMPUTED_VALUE"""),"Бульвар парк аллея верхний бульвар фантан озерр")</f>
        <v>Бульвар парк аллея верхний бульвар фантан озерр</v>
      </c>
      <c r="F1840" s="6" t="str">
        <f>IFERROR(__xludf.DUMMYFUNCTION("""COMPUTED_VALUE"""),"Переехал сюда из другого места (откуда? укажите в графе другое), Из юрги")</f>
        <v>Переехал сюда из другого места (откуда? укажите в графе другое), Из юрги</v>
      </c>
      <c r="G1840" s="6" t="str">
        <f>IFERROR(__xludf.DUMMYFUNCTION("""COMPUTED_VALUE"""),"На родник шалго где ботаническийсад")</f>
        <v>На родник шалго где ботаническийсад</v>
      </c>
      <c r="H1840" s="6" t="str">
        <f>IFERROR(__xludf.DUMMYFUNCTION("""COMPUTED_VALUE"""),"Простор уют дом свобода уголь")</f>
        <v>Простор уют дом свобода уголь</v>
      </c>
      <c r="I1840" s="6" t="str">
        <f>IFERROR(__xludf.DUMMYFUNCTION("""COMPUTED_VALUE"""),"Руковишников Киров чкалов волков")</f>
        <v>Руковишников Киров чкалов волков</v>
      </c>
      <c r="J1840" s="6" t="str">
        <f>IFERROR(__xludf.DUMMYFUNCTION("""COMPUTED_VALUE"""),"Михайлов")</f>
        <v>Михайлов</v>
      </c>
      <c r="K1840" s="6" t="str">
        <f>IFERROR(__xludf.DUMMYFUNCTION("""COMPUTED_VALUE"""),"Журавлевы горы и лысая гора")</f>
        <v>Журавлевы горы и лысая гора</v>
      </c>
      <c r="L1840" s="6" t="str">
        <f>IFERROR(__xludf.DUMMYFUNCTION("""COMPUTED_VALUE"""),"Кемерово- город газовых испытаний")</f>
        <v>Кемерово- город газовых испытаний</v>
      </c>
      <c r="M1840" s="6" t="str">
        <f>IFERROR(__xludf.DUMMYFUNCTION("""COMPUTED_VALUE"""),"Кильдым, гараж для лодки на берегу")</f>
        <v>Кильдым, гараж для лодки на берегу</v>
      </c>
      <c r="N1840" s="6" t="str">
        <f>IFERROR(__xludf.DUMMYFUNCTION("""COMPUTED_VALUE"""),"Дорожная сеть, парковки, секции, школы, сады")</f>
        <v>Дорожная сеть, парковки, секции, школы, сады</v>
      </c>
      <c r="O1840" s="6" t="str">
        <f>IFERROR(__xludf.DUMMYFUNCTION("""COMPUTED_VALUE"""),"Развивать новое современное производство")</f>
        <v>Развивать новое современное производство</v>
      </c>
      <c r="P1840" s="6" t="str">
        <f>IFERROR(__xludf.DUMMYFUNCTION("""COMPUTED_VALUE"""),"Все 42")</f>
        <v>Все 42</v>
      </c>
      <c r="Q1840" s="6" t="str">
        <f>IFERROR(__xludf.DUMMYFUNCTION("""COMPUTED_VALUE"""),"интервью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f>
        <v>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v>
      </c>
      <c r="R1840" s="6" t="str">
        <f>IFERROR(__xludf.DUMMYFUNCTION("""COMPUTED_VALUE"""),"Новый год")</f>
        <v>Новый год</v>
      </c>
      <c r="S1840" s="6" t="str">
        <f>IFERROR(__xludf.DUMMYFUNCTION("""COMPUTED_VALUE"""),"Обращался в редакции городских газет, телевидения, радио")</f>
        <v>Обращался в редакции городских газет, телевидения, радио</v>
      </c>
      <c r="T1840" s="6" t="str">
        <f>IFERROR(__xludf.DUMMYFUNCTION("""COMPUTED_VALUE"""),"Промышленная история ")</f>
        <v>Промышленная история </v>
      </c>
      <c r="U1840" s="6" t="str">
        <f>IFERROR(__xludf.DUMMYFUNCTION("""COMPUTED_VALUE"""),"Бульвар строителей")</f>
        <v>Бульвар строителей</v>
      </c>
      <c r="V1840" s="6" t="str">
        <f>IFERROR(__xludf.DUMMYFUNCTION("""COMPUTED_VALUE"""),"Правельный план городского развития, правда до 90 г")</f>
        <v>Правельный план городского развития, правда до 90 г</v>
      </c>
      <c r="W1840" s="6" t="str">
        <f>IFERROR(__xludf.DUMMYFUNCTION("""COMPUTED_VALUE"""),"Добрые")</f>
        <v>Добрые</v>
      </c>
      <c r="X1840" s="6" t="str">
        <f>IFERROR(__xludf.DUMMYFUNCTION("""COMPUTED_VALUE"""),"Ворошилова, химики , бульвар, шалго")</f>
        <v>Ворошилова, химики , бульвар, шалго</v>
      </c>
      <c r="Y1840" s="6" t="str">
        <f>IFERROR(__xludf.DUMMYFUNCTION("""COMPUTED_VALUE"""),"Забастовка шахтеров")</f>
        <v>Забастовка шахтеров</v>
      </c>
      <c r="Z1840" s="6" t="str">
        <f>IFERROR(__xludf.DUMMYFUNCTION("""COMPUTED_VALUE"""),"Рок фестиваль стройсервиса")</f>
        <v>Рок фестиваль стройсервиса</v>
      </c>
      <c r="AA1840" s="6" t="str">
        <f>IFERROR(__xludf.DUMMYFUNCTION("""COMPUTED_VALUE"""),"Зимняя вишня")</f>
        <v>Зимняя вишня</v>
      </c>
      <c r="AB1840" s="6" t="str">
        <f>IFERROR(__xludf.DUMMYFUNCTION("""COMPUTED_VALUE"""),"Спортивных")</f>
        <v>Спортивных</v>
      </c>
      <c r="AC1840" s="6" t="str">
        <f>IFERROR(__xludf.DUMMYFUNCTION("""COMPUTED_VALUE"""),"Различные соревнования, спортакиады, олимпиады")</f>
        <v>Различные соревнования, спортакиады, олимпиады</v>
      </c>
      <c r="AD1840"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40" s="6" t="str">
        <f>IFERROR(__xludf.DUMMYFUNCTION("""COMPUTED_VALUE"""),"Мужской")</f>
        <v>Мужской</v>
      </c>
      <c r="AF1840" s="6" t="str">
        <f>IFERROR(__xludf.DUMMYFUNCTION("""COMPUTED_VALUE"""),"30-44")</f>
        <v>30-44</v>
      </c>
      <c r="AG1840" s="6"/>
      <c r="AH1840" s="6"/>
      <c r="AI1840" s="6"/>
      <c r="AJ1840" s="6"/>
      <c r="AK1840" s="6"/>
      <c r="AL1840" s="6"/>
      <c r="AM1840" s="6"/>
    </row>
    <row r="1841">
      <c r="A1841" s="6">
        <v>1840.0</v>
      </c>
      <c r="B1841" s="6" t="str">
        <f>IFERROR(__xludf.DUMMYFUNCTION("""COMPUTED_VALUE"""),"Образование")</f>
        <v>Образование</v>
      </c>
      <c r="C1841" s="6" t="str">
        <f>IFERROR(__xludf.DUMMYFUNCTION("""COMPUTED_VALUE"""),"Дети")</f>
        <v>Дети</v>
      </c>
      <c r="D1841" s="6" t="str">
        <f>IFERROR(__xludf.DUMMYFUNCTION("""COMPUTED_VALUE"""),"Ленинский")</f>
        <v>Ленинский</v>
      </c>
      <c r="E1841" s="6" t="str">
        <f>IFERROR(__xludf.DUMMYFUNCTION("""COMPUTED_VALUE"""),"Кузбасский парк")</f>
        <v>Кузбасский парк</v>
      </c>
      <c r="F1841" s="6" t="str">
        <f>IFERROR(__xludf.DUMMYFUNCTION("""COMPUTED_VALUE"""),"Переехал сюда из другого места (откуда? укажите в графе другое), Беловского района")</f>
        <v>Переехал сюда из другого места (откуда? укажите в графе другое), Беловского района</v>
      </c>
      <c r="G1841" s="6" t="str">
        <f>IFERROR(__xludf.DUMMYFUNCTION("""COMPUTED_VALUE"""),"Кузбасский парк, Бульвар Строителей")</f>
        <v>Кузбасский парк, Бульвар Строителей</v>
      </c>
      <c r="H1841" s="6" t="str">
        <f>IFERROR(__xludf.DUMMYFUNCTION("""COMPUTED_VALUE"""),"Уголь, река, шахтер")</f>
        <v>Уголь, река, шахтер</v>
      </c>
      <c r="I1841" s="6" t="str">
        <f>IFERROR(__xludf.DUMMYFUNCTION("""COMPUTED_VALUE"""),"Михайло Волков")</f>
        <v>Михайло Волков</v>
      </c>
      <c r="J1841" s="6" t="str">
        <f>IFERROR(__xludf.DUMMYFUNCTION("""COMPUTED_VALUE"""),"Тулеев")</f>
        <v>Тулеев</v>
      </c>
      <c r="K1841" s="6" t="str">
        <f>IFERROR(__xludf.DUMMYFUNCTION("""COMPUTED_VALUE"""),"Красная горка, набережная, Томская писанина")</f>
        <v>Красная горка, набережная, Томская писанина</v>
      </c>
      <c r="L1841" s="6" t="str">
        <f>IFERROR(__xludf.DUMMYFUNCTION("""COMPUTED_VALUE"""),"Не знаю")</f>
        <v>Не знаю</v>
      </c>
      <c r="M1841" s="6" t="str">
        <f>IFERROR(__xludf.DUMMYFUNCTION("""COMPUTED_VALUE"""),"Нет")</f>
        <v>Нет</v>
      </c>
      <c r="N1841" s="6" t="str">
        <f>IFERROR(__xludf.DUMMYFUNCTION("""COMPUTED_VALUE"""),"Малонасенность, комфортабельный, хорошие люди, расположение социальных объектов, близкие люди рядом")</f>
        <v>Малонасенность, комфортабельный, хорошие люди, расположение социальных объектов, близкие люди рядом</v>
      </c>
      <c r="O1841" s="6" t="str">
        <f>IFERROR(__xludf.DUMMYFUNCTION("""COMPUTED_VALUE"""),"Качество условия оплаты труда")</f>
        <v>Качество условия оплаты труда</v>
      </c>
      <c r="P1841" s="6" t="str">
        <f>IFERROR(__xludf.DUMMYFUNCTION("""COMPUTED_VALUE"""),"ВК группы А42, Наш регион")</f>
        <v>ВК группы А42, Наш регион</v>
      </c>
      <c r="Q1841" s="6" t="str">
        <f>IFERROR(__xludf.DUMMYFUNCTION("""COMPUTED_VALUE"""),"куда пойти в свободное время, городская афиша (кино/театр/концерты), криминальные новости (происшествия/преступления), интервью с экспертами на разные темы (напишите в разделе Другое свои предложения)")</f>
        <v>куда пойти в свободное время, городская афиша (кино/театр/концерты), криминальные новости (происшествия/преступления), интервью с экспертами на разные темы (напишите в разделе Другое свои предложения)</v>
      </c>
      <c r="R1841" s="6" t="str">
        <f>IFERROR(__xludf.DUMMYFUNCTION("""COMPUTED_VALUE"""),"День города, 9 мая")</f>
        <v>День города, 9 мая</v>
      </c>
      <c r="S1841" s="6" t="str">
        <f>IFERROR(__xludf.DUMMYFUNCTION("""COMPUTED_VALUE"""),"Нет, не приходилось")</f>
        <v>Нет, не приходилось</v>
      </c>
      <c r="T1841" s="6" t="str">
        <f>IFERROR(__xludf.DUMMYFUNCTION("""COMPUTED_VALUE"""),"Угледобывающий край")</f>
        <v>Угледобывающий край</v>
      </c>
      <c r="U1841" s="6" t="str">
        <f>IFERROR(__xludf.DUMMYFUNCTION("""COMPUTED_VALUE"""),"Площадь Советов")</f>
        <v>Площадь Советов</v>
      </c>
      <c r="V1841" s="6" t="str">
        <f>IFERROR(__xludf.DUMMYFUNCTION("""COMPUTED_VALUE"""),"Создание культурного кластера")</f>
        <v>Создание культурного кластера</v>
      </c>
      <c r="W1841" s="6" t="str">
        <f>IFERROR(__xludf.DUMMYFUNCTION("""COMPUTED_VALUE"""),"Спокойные, общительные")</f>
        <v>Спокойные, общительные</v>
      </c>
      <c r="X1841" s="6" t="str">
        <f>IFERROR(__xludf.DUMMYFUNCTION("""COMPUTED_VALUE"""),"Набережная, Красная горка, Томская писанина")</f>
        <v>Набережная, Красная горка, Томская писанина</v>
      </c>
      <c r="Y1841" s="6" t="str">
        <f>IFERROR(__xludf.DUMMYFUNCTION("""COMPUTED_VALUE"""),"300 лет Кузбассу")</f>
        <v>300 лет Кузбассу</v>
      </c>
      <c r="Z1841" s="6" t="str">
        <f>IFERROR(__xludf.DUMMYFUNCTION("""COMPUTED_VALUE"""),"Салют в честь Дня победы")</f>
        <v>Салют в честь Дня победы</v>
      </c>
      <c r="AA1841" s="6" t="str">
        <f>IFERROR(__xludf.DUMMYFUNCTION("""COMPUTED_VALUE"""),"Загрязненнный воздух")</f>
        <v>Загрязненнный воздух</v>
      </c>
      <c r="AB1841" s="6" t="str">
        <f>IFERROR(__xludf.DUMMYFUNCTION("""COMPUTED_VALUE"""),"Всего хватает")</f>
        <v>Всего хватает</v>
      </c>
      <c r="AC1841" s="6" t="str">
        <f>IFERROR(__xludf.DUMMYFUNCTION("""COMPUTED_VALUE"""),"Всего хватает")</f>
        <v>Всего хватает</v>
      </c>
      <c r="AD184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841" s="6" t="str">
        <f>IFERROR(__xludf.DUMMYFUNCTION("""COMPUTED_VALUE"""),"Женский")</f>
        <v>Женский</v>
      </c>
      <c r="AF1841" s="6" t="str">
        <f>IFERROR(__xludf.DUMMYFUNCTION("""COMPUTED_VALUE"""),"30-44")</f>
        <v>30-44</v>
      </c>
      <c r="AG1841" s="6"/>
      <c r="AH1841" s="6"/>
      <c r="AI1841" s="6"/>
      <c r="AJ1841" s="6"/>
      <c r="AK1841" s="6"/>
      <c r="AL1841" s="6"/>
      <c r="AM1841" s="6"/>
    </row>
    <row r="1842">
      <c r="A1842" s="6">
        <v>1841.0</v>
      </c>
      <c r="B1842" s="6" t="str">
        <f>IFERROR(__xludf.DUMMYFUNCTION("""COMPUTED_VALUE"""),"Учусь в 11 классе")</f>
        <v>Учусь в 11 классе</v>
      </c>
      <c r="C1842" s="6" t="str">
        <f>IFERROR(__xludf.DUMMYFUNCTION("""COMPUTED_VALUE"""),"Хатха-йога, йога в гамаках, создание видео")</f>
        <v>Хатха-йога, йога в гамаках, создание видео</v>
      </c>
      <c r="D1842" s="6" t="str">
        <f>IFERROR(__xludf.DUMMYFUNCTION("""COMPUTED_VALUE"""),"Заводский")</f>
        <v>Заводский</v>
      </c>
      <c r="E1842" s="6" t="str">
        <f>IFERROR(__xludf.DUMMYFUNCTION("""COMPUTED_VALUE"""),"Парк ангелов")</f>
        <v>Парк ангелов</v>
      </c>
      <c r="F1842" s="6" t="str">
        <f>IFERROR(__xludf.DUMMYFUNCTION("""COMPUTED_VALUE"""),"Живу здесь с рождения")</f>
        <v>Живу здесь с рождения</v>
      </c>
      <c r="G1842" s="6" t="str">
        <f>IFERROR(__xludf.DUMMYFUNCTION("""COMPUTED_VALUE"""),"Парк ангелов,  Пионерский бульвар, Парк победы, парк антошка")</f>
        <v>Парк ангелов,  Пионерский бульвар, Парк победы, парк антошка</v>
      </c>
      <c r="H1842" s="6" t="str">
        <f>IFERROR(__xludf.DUMMYFUNCTION("""COMPUTED_VALUE"""),"Зеленый, тихий, уютный")</f>
        <v>Зеленый, тихий, уютный</v>
      </c>
      <c r="I1842" s="6" t="str">
        <f>IFERROR(__xludf.DUMMYFUNCTION("""COMPUTED_VALUE"""),"-")</f>
        <v>-</v>
      </c>
      <c r="J1842" s="6" t="str">
        <f>IFERROR(__xludf.DUMMYFUNCTION("""COMPUTED_VALUE"""),"Мазур Андрей Владимирович, Екатерина, автор проекта @the.librarry")</f>
        <v>Мазур Андрей Владимирович, Екатерина, автор проекта @the.librarry</v>
      </c>
      <c r="K1842" s="6" t="str">
        <f>IFERROR(__xludf.DUMMYFUNCTION("""COMPUTED_VALUE"""),"Место, где заканчивается Пионерский бульвар и открывается вид на здание Ржд, Конституционный суд и другой берег")</f>
        <v>Место, где заканчивается Пионерский бульвар и открывается вид на здание Ржд, Конституционный суд и другой берег</v>
      </c>
      <c r="L1842" s="6" t="str">
        <f>IFERROR(__xludf.DUMMYFUNCTION("""COMPUTED_VALUE"""),"Кемеровчанин выбирает один из одного")</f>
        <v>Кемеровчанин выбирает один из одного</v>
      </c>
      <c r="M1842" s="6" t="str">
        <f>IFERROR(__xludf.DUMMYFUNCTION("""COMPUTED_VALUE"""),"Швейка, Драма")</f>
        <v>Швейка, Драма</v>
      </c>
      <c r="N1842" s="6" t="str">
        <f>IFERROR(__xludf.DUMMYFUNCTION("""COMPUTED_VALUE"""),"Безопасность, качественный общественный транспорт (не маршрутки, а трамваи и троллейбусы), чистота, отсутствие разбитого асфальта, требования к оформлению фасадов зданий: отсутствие кондиционеров, одинаковые балконы, одинаковые рекламные вывески ")</f>
        <v>Безопасность, качественный общественный транспорт (не маршрутки, а трамваи и троллейбусы), чистота, отсутствие разбитого асфальта, требования к оформлению фасадов зданий: отсутствие кондиционеров, одинаковые балконы, одинаковые рекламные вывески </v>
      </c>
      <c r="O1842" s="6" t="str">
        <f>IFERROR(__xludf.DUMMYFUNCTION("""COMPUTED_VALUE"""),"Убрать частные дома за черту города, предоставив новое жилье выселенным людям")</f>
        <v>Убрать частные дома за черту города, предоставив новое жилье выселенным людям</v>
      </c>
      <c r="P1842" s="6" t="str">
        <f>IFERROR(__xludf.DUMMYFUNCTION("""COMPUTED_VALUE"""),"Инстаграм")</f>
        <v>Инстаграм</v>
      </c>
      <c r="Q1842"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1842" s="6" t="str">
        <f>IFERROR(__xludf.DUMMYFUNCTION("""COMPUTED_VALUE"""),"Новый год")</f>
        <v>Новый год</v>
      </c>
      <c r="S1842" s="6" t="str">
        <f>IFERROR(__xludf.DUMMYFUNCTION("""COMPUTED_VALUE"""),"Нет, не приходилось")</f>
        <v>Нет, не приходилось</v>
      </c>
      <c r="T1842" s="6" t="str">
        <f>IFERROR(__xludf.DUMMYFUNCTION("""COMPUTED_VALUE"""),"Концентрацией красивых творческих людей и своей ""зеленостью""- у нас везде деревья, газоны, кустарники")</f>
        <v>Концентрацией красивых творческих людей и своей "зеленостью"- у нас везде деревья, газоны, кустарники</v>
      </c>
      <c r="U1842" s="6" t="str">
        <f>IFERROR(__xludf.DUMMYFUNCTION("""COMPUTED_VALUE"""),"Весенняя, Набережная, Площадь Советов, Ноградская")</f>
        <v>Весенняя, Набережная, Площадь Советов, Ноградская</v>
      </c>
      <c r="V1842" s="6" t="str">
        <f>IFERROR(__xludf.DUMMYFUNCTION("""COMPUTED_VALUE"""),"Занялись бизнесом, организовали арт-пространства, построили школы танцев")</f>
        <v>Занялись бизнесом, организовали арт-пространства, построили школы танцев</v>
      </c>
      <c r="W1842" s="6" t="str">
        <f>IFERROR(__xludf.DUMMYFUNCTION("""COMPUTED_VALUE"""),"Красивые, смеющиеся, творящие")</f>
        <v>Красивые, смеющиеся, творящие</v>
      </c>
      <c r="X1842" s="6" t="str">
        <f>IFERROR(__xludf.DUMMYFUNCTION("""COMPUTED_VALUE"""),"Весенняя, Набережная и выйти к Филармонии, оттуда на Пионерский бульвар ")</f>
        <v>Весенняя, Набережная и выйти к Филармонии, оттуда на Пионерский бульвар </v>
      </c>
      <c r="Y1842" s="6" t="str">
        <f>IFERROR(__xludf.DUMMYFUNCTION("""COMPUTED_VALUE"""),"-")</f>
        <v>-</v>
      </c>
      <c r="Z1842" s="6" t="str">
        <f>IFERROR(__xludf.DUMMYFUNCTION("""COMPUTED_VALUE"""),"Все, что проходило по адресу Демьяна Бедного 6 в the.librarry, создание Площади Кузбасских историй")</f>
        <v>Все, что проходило по адресу Демьяна Бедного 6 в the.librarry, создание Площади Кузбасских историй</v>
      </c>
      <c r="AA1842" s="6" t="str">
        <f>IFERROR(__xludf.DUMMYFUNCTION("""COMPUTED_VALUE"""),"Преступность")</f>
        <v>Преступность</v>
      </c>
      <c r="AB1842" s="6" t="str">
        <f>IFERROR(__xludf.DUMMYFUNCTION("""COMPUTED_VALUE"""),"Всего хватает!")</f>
        <v>Всего хватает!</v>
      </c>
      <c r="AC1842" s="6" t="str">
        <f>IFERROR(__xludf.DUMMYFUNCTION("""COMPUTED_VALUE"""),"Фестивали")</f>
        <v>Фестивали</v>
      </c>
      <c r="AD184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842" s="6" t="str">
        <f>IFERROR(__xludf.DUMMYFUNCTION("""COMPUTED_VALUE"""),"Женский")</f>
        <v>Женский</v>
      </c>
      <c r="AF1842" s="6" t="str">
        <f>IFERROR(__xludf.DUMMYFUNCTION("""COMPUTED_VALUE"""),"18-29")</f>
        <v>18-29</v>
      </c>
      <c r="AG1842" s="6"/>
      <c r="AH1842" s="6"/>
      <c r="AI1842" s="6"/>
      <c r="AJ1842" s="6"/>
      <c r="AK1842" s="6"/>
      <c r="AL1842" s="6"/>
      <c r="AM1842" s="6"/>
    </row>
    <row r="1843">
      <c r="A1843" s="6">
        <v>1842.0</v>
      </c>
      <c r="B1843" s="6" t="str">
        <f>IFERROR(__xludf.DUMMYFUNCTION("""COMPUTED_VALUE"""),"Работник торговли")</f>
        <v>Работник торговли</v>
      </c>
      <c r="C1843" s="6" t="str">
        <f>IFERROR(__xludf.DUMMYFUNCTION("""COMPUTED_VALUE"""),"Рисование")</f>
        <v>Рисование</v>
      </c>
      <c r="D1843" s="6" t="str">
        <f>IFERROR(__xludf.DUMMYFUNCTION("""COMPUTED_VALUE"""),"Центральный")</f>
        <v>Центральный</v>
      </c>
      <c r="E1843" s="6" t="str">
        <f>IFERROR(__xludf.DUMMYFUNCTION("""COMPUTED_VALUE"""),"Лапландия")</f>
        <v>Лапландия</v>
      </c>
      <c r="F1843" s="6" t="str">
        <f>IFERROR(__xludf.DUMMYFUNCTION("""COMPUTED_VALUE"""),"Живу здесь с рождения")</f>
        <v>Живу здесь с рождения</v>
      </c>
      <c r="G1843" s="6" t="str">
        <f>IFERROR(__xludf.DUMMYFUNCTION("""COMPUTED_VALUE"""),"Набережная, кадетское училище")</f>
        <v>Набережная, кадетское училище</v>
      </c>
      <c r="H1843" s="6" t="str">
        <f>IFERROR(__xludf.DUMMYFUNCTION("""COMPUTED_VALUE"""),"Стройка, плохая архитектура, скука, грязный воздух, надежда ")</f>
        <v>Стройка, плохая архитектура, скука, грязный воздух, надежда </v>
      </c>
      <c r="I1843" s="6" t="str">
        <f>IFERROR(__xludf.DUMMYFUNCTION("""COMPUTED_VALUE"""),"Леонов, гришковец")</f>
        <v>Леонов, гришковец</v>
      </c>
      <c r="J1843" s="6" t="str">
        <f>IFERROR(__xludf.DUMMYFUNCTION("""COMPUTED_VALUE"""),"-")</f>
        <v>-</v>
      </c>
      <c r="K1843" s="6" t="str">
        <f>IFERROR(__xludf.DUMMYFUNCTION("""COMPUTED_VALUE"""),"-")</f>
        <v>-</v>
      </c>
      <c r="L1843" s="6" t="str">
        <f>IFERROR(__xludf.DUMMYFUNCTION("""COMPUTED_VALUE"""),"-")</f>
        <v>-</v>
      </c>
      <c r="M1843" s="6" t="str">
        <f>IFERROR(__xludf.DUMMYFUNCTION("""COMPUTED_VALUE"""),"-")</f>
        <v>-</v>
      </c>
      <c r="N1843" s="6" t="str">
        <f>IFERROR(__xludf.DUMMYFUNCTION("""COMPUTED_VALUE"""),"Развит общепит (бары, кафе, клубы), много парков ")</f>
        <v>Развит общепит (бары, кафе, клубы), много парков </v>
      </c>
      <c r="O1843" s="6" t="str">
        <f>IFERROR(__xludf.DUMMYFUNCTION("""COMPUTED_VALUE"""),"Уволить главного архитектора за то какой позорный дизайн он согласовывает застройщику СДС! Разноцветные дома в раскраске у ребёнка - это позор!")</f>
        <v>Уволить главного архитектора за то какой позорный дизайн он согласовывает застройщику СДС! Разноцветные дома в раскраске у ребёнка - это позор!</v>
      </c>
      <c r="P1843" s="6" t="str">
        <f>IFERROR(__xludf.DUMMYFUNCTION("""COMPUTED_VALUE"""),"-")</f>
        <v>-</v>
      </c>
      <c r="Q1843" s="6" t="str">
        <f>IFERROR(__xludf.DUMMYFUNCTION("""COMPUTED_VALUE"""),"где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f>
        <v>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v>
      </c>
      <c r="R1843" s="6" t="str">
        <f>IFERROR(__xludf.DUMMYFUNCTION("""COMPUTED_VALUE"""),"-")</f>
        <v>-</v>
      </c>
      <c r="S1843" s="6" t="str">
        <f>IFERROR(__xludf.DUMMYFUNCTION("""COMPUTED_VALUE"""),"Нет, не приходилось")</f>
        <v>Нет, не приходилось</v>
      </c>
      <c r="T1843" s="6" t="str">
        <f>IFERROR(__xludf.DUMMYFUNCTION("""COMPUTED_VALUE"""),"Близостью с шерегешем")</f>
        <v>Близостью с шерегешем</v>
      </c>
      <c r="U1843" s="6" t="str">
        <f>IFERROR(__xludf.DUMMYFUNCTION("""COMPUTED_VALUE"""),"Ул. Весенняя")</f>
        <v>Ул. Весенняя</v>
      </c>
      <c r="V1843" s="6" t="str">
        <f>IFERROR(__xludf.DUMMYFUNCTION("""COMPUTED_VALUE"""),"-")</f>
        <v>-</v>
      </c>
      <c r="W1843" s="6" t="str">
        <f>IFERROR(__xludf.DUMMYFUNCTION("""COMPUTED_VALUE"""),"Угрюмые")</f>
        <v>Угрюмые</v>
      </c>
      <c r="X1843" s="6" t="str">
        <f>IFERROR(__xludf.DUMMYFUNCTION("""COMPUTED_VALUE"""),"От кадетского училища по московскому до лапландии и от вечного огня до гостиницы Кузбасс ")</f>
        <v>От кадетского училища по московскому до лапландии и от вечного огня до гостиницы Кузбасс </v>
      </c>
      <c r="Y1843" s="6" t="str">
        <f>IFERROR(__xludf.DUMMYFUNCTION("""COMPUTED_VALUE"""),"Отставка Тулеева")</f>
        <v>Отставка Тулеева</v>
      </c>
      <c r="Z1843" s="6" t="str">
        <f>IFERROR(__xludf.DUMMYFUNCTION("""COMPUTED_VALUE"""),"-")</f>
        <v>-</v>
      </c>
      <c r="AA1843" s="6" t="str">
        <f>IFERROR(__xludf.DUMMYFUNCTION("""COMPUTED_VALUE"""),"-")</f>
        <v>-</v>
      </c>
      <c r="AB1843" s="6" t="str">
        <f>IFERROR(__xludf.DUMMYFUNCTION("""COMPUTED_VALUE"""),"Молодежи")</f>
        <v>Молодежи</v>
      </c>
      <c r="AC1843" s="6" t="str">
        <f>IFERROR(__xludf.DUMMYFUNCTION("""COMPUTED_VALUE"""),"Развивать общепит")</f>
        <v>Развивать общепит</v>
      </c>
      <c r="AD184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843" s="6" t="str">
        <f>IFERROR(__xludf.DUMMYFUNCTION("""COMPUTED_VALUE"""),"Мужской")</f>
        <v>Мужской</v>
      </c>
      <c r="AF1843" s="6" t="str">
        <f>IFERROR(__xludf.DUMMYFUNCTION("""COMPUTED_VALUE"""),"30-44")</f>
        <v>30-44</v>
      </c>
      <c r="AG1843" s="6"/>
      <c r="AH1843" s="6"/>
      <c r="AI1843" s="6"/>
      <c r="AJ1843" s="6"/>
      <c r="AK1843" s="6"/>
      <c r="AL1843" s="6"/>
      <c r="AM1843" s="6"/>
    </row>
    <row r="1844">
      <c r="A1844" s="6">
        <v>1843.0</v>
      </c>
      <c r="B1844" s="6" t="str">
        <f>IFERROR(__xludf.DUMMYFUNCTION("""COMPUTED_VALUE"""),"Маркетолог")</f>
        <v>Маркетолог</v>
      </c>
      <c r="C1844" s="6" t="str">
        <f>IFERROR(__xludf.DUMMYFUNCTION("""COMPUTED_VALUE"""),"Аналитика визуальных коммуникаций ")</f>
        <v>Аналитика визуальных коммуникаций </v>
      </c>
      <c r="D1844" s="6" t="str">
        <f>IFERROR(__xludf.DUMMYFUNCTION("""COMPUTED_VALUE"""),"ФПК")</f>
        <v>ФПК</v>
      </c>
      <c r="E1844" s="6" t="str">
        <f>IFERROR(__xludf.DUMMYFUNCTION("""COMPUTED_VALUE"""),"ТРЦ Гринвич и прилигающая территория")</f>
        <v>ТРЦ Гринвич и прилигающая территория</v>
      </c>
      <c r="F1844" s="6" t="str">
        <f>IFERROR(__xludf.DUMMYFUNCTION("""COMPUTED_VALUE"""),"Живу здесь с рождения")</f>
        <v>Живу здесь с рождения</v>
      </c>
      <c r="G1844" s="6" t="str">
        <f>IFERROR(__xludf.DUMMYFUNCTION("""COMPUTED_VALUE"""),"В ближайший сквер, парк. Кинотеатр, кафе.
Или Кузбасский центр искусств ")</f>
        <v>В ближайший сквер, парк. Кинотеатр, кафе.
Или Кузбасский центр искусств </v>
      </c>
      <c r="H1844" s="6" t="str">
        <f>IFERROR(__xludf.DUMMYFUNCTION("""COMPUTED_VALUE"""),"Бетонные джунгли, затерянный в Сибири. Угольный бассейн.")</f>
        <v>Бетонные джунгли, затерянный в Сибири. Угольный бассейн.</v>
      </c>
      <c r="I1844" s="6" t="str">
        <f>IFERROR(__xludf.DUMMYFUNCTION("""COMPUTED_VALUE"""),"Леонов ")</f>
        <v>Леонов </v>
      </c>
      <c r="J1844" s="6" t="str">
        <f>IFERROR(__xludf.DUMMYFUNCTION("""COMPUTED_VALUE"""),"Лучшие покинули город")</f>
        <v>Лучшие покинули город</v>
      </c>
      <c r="K1844" s="6" t="str">
        <f>IFERROR(__xludf.DUMMYFUNCTION("""COMPUTED_VALUE"""),"Томская писаница ")</f>
        <v>Томская писаница </v>
      </c>
      <c r="L1844" s="6" t="str">
        <f>IFERROR(__xludf.DUMMYFUNCTION("""COMPUTED_VALUE"""),"Были заводы, фабрики, промышленные предприятия разных сегментов рынка. Теперь только уголь, химия и металл.")</f>
        <v>Были заводы, фабрики, промышленные предприятия разных сегментов рынка. Теперь только уголь, химия и металл.</v>
      </c>
      <c r="M1844" s="6" t="str">
        <f>IFERROR(__xludf.DUMMYFUNCTION("""COMPUTED_VALUE"""),"Нет")</f>
        <v>Нет</v>
      </c>
      <c r="N1844" s="6" t="str">
        <f>IFERROR(__xludf.DUMMYFUNCTION("""COMPUTED_VALUE"""),"Интеграция парковых зон отдыха в готовую старую застройку.")</f>
        <v>Интеграция парковых зон отдыха в готовую старую застройку.</v>
      </c>
      <c r="O1844" s="6" t="str">
        <f>IFERROR(__xludf.DUMMYFUNCTION("""COMPUTED_VALUE"""),"Начните с фасадов самых неприятных районов и дворов. Тех которые не возможно будет показать чиновникам. Так как к ним трудно подъехать. Начните с воспитания самых худших слоев населения города. Штукатурьте и красьте весь Кировский 7-8 лет подряд. А как за"&amp;"кончите, начинайте заново. Через пятнадцать лет там будут жить нормальные люди.")</f>
        <v>Начните с фасадов самых неприятных районов и дворов. Тех которые не возможно будет показать чиновникам. Так как к ним трудно подъехать. Начните с воспитания самых худших слоев населения города. Штукатурьте и красьте весь Кировский 7-8 лет подряд. А как закончите, начинайте заново. Через пятнадцать лет там будут жить нормальные люди.</v>
      </c>
      <c r="P1844" s="6" t="str">
        <f>IFERROR(__xludf.DUMMYFUNCTION("""COMPUTED_VALUE"""),"Здесь нет интересных новостей.")</f>
        <v>Здесь нет интересных новостей.</v>
      </c>
      <c r="Q1844" s="6" t="str">
        <f>IFERROR(__xludf.DUMMYFUNCTION("""COMPUTED_VALUE"""),"культурные новинки (что почитать/что послушать), Вот только культурные новинки которые отслеживаю в передовых изданиях Европы и Америки прявляются здесь через 3-5 лет. Некоторые так и не проявляются. Они просто не воспринимаются обществом из-за высокого п"&amp;"орога образованости в современном искусстве, культуре архитектуре, моде, музыке, социологии и психологии.")</f>
        <v>культурные новинки (что почитать/что послушать), Вот только культурные новинки которые отслеживаю в передовых изданиях Европы и Америки прявляются здесь через 3-5 лет. Некоторые так и не проявляются. Они просто не воспринимаются обществом из-за высокого порога образованости в современном искусстве, культуре архитектуре, моде, музыке, социологии и психологии.</v>
      </c>
      <c r="R1844" s="6" t="str">
        <f>IFERROR(__xludf.DUMMYFUNCTION("""COMPUTED_VALUE"""),"Нет таких")</f>
        <v>Нет таких</v>
      </c>
      <c r="S1844"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1844" s="6" t="str">
        <f>IFERROR(__xludf.DUMMYFUNCTION("""COMPUTED_VALUE""")," Парком ""Ангелов"" и печально известными событиями ")</f>
        <v> Парком "Ангелов" и печально известными событиями </v>
      </c>
      <c r="U1844" s="6" t="str">
        <f>IFERROR(__xludf.DUMMYFUNCTION("""COMPUTED_VALUE"""),"Драматический театр")</f>
        <v>Драматический театр</v>
      </c>
      <c r="V1844" s="6" t="str">
        <f>IFERROR(__xludf.DUMMYFUNCTION("""COMPUTED_VALUE"""),"Мало мы сделали. Мне гордится не чем.")</f>
        <v>Мало мы сделали. Мне гордится не чем.</v>
      </c>
      <c r="W1844" s="6" t="str">
        <f>IFERROR(__xludf.DUMMYFUNCTION("""COMPUTED_VALUE"""),"Стойкие ")</f>
        <v>Стойкие </v>
      </c>
      <c r="X1844" s="6" t="str">
        <f>IFERROR(__xludf.DUMMYFUNCTION("""COMPUTED_VALUE"""),"По Кировскому прогуляться. Надо быть действительно крутым.)")</f>
        <v>По Кировскому прогуляться. Надо быть действительно крутым.)</v>
      </c>
      <c r="Y1844" s="6" t="str">
        <f>IFERROR(__xludf.DUMMYFUNCTION("""COMPUTED_VALUE"""),"Не смешите.")</f>
        <v>Не смешите.</v>
      </c>
      <c r="Z1844" s="6" t="str">
        <f>IFERROR(__xludf.DUMMYFUNCTION("""COMPUTED_VALUE"""),"Много строят. Довольно качественно. Надеяться, что зрелища и хлеб заменят фабрики.")</f>
        <v>Много строят. Довольно качественно. Надеяться, что зрелища и хлеб заменят фабрики.</v>
      </c>
      <c r="AA1844" s="6" t="str">
        <f>IFERROR(__xludf.DUMMYFUNCTION("""COMPUTED_VALUE"""),"Строительство областного суда")</f>
        <v>Строительство областного суда</v>
      </c>
      <c r="AB1844" s="6" t="str">
        <f>IFERROR(__xludf.DUMMYFUNCTION("""COMPUTED_VALUE"""),"Любых, высокого уровня с федеральным образованием. И зарубежной онлайн квалификацией. Насмотренностью и смелым прогрессивным взглядом.")</f>
        <v>Любых, высокого уровня с федеральным образованием. И зарубежной онлайн квалификацией. Насмотренностью и смелым прогрессивным взглядом.</v>
      </c>
      <c r="AC1844" s="6" t="str">
        <f>IFERROR(__xludf.DUMMYFUNCTION("""COMPUTED_VALUE"""),"Мастер-классы хотя-бы Московских специалистов. А лучше Европейских. ")</f>
        <v>Мастер-классы хотя-бы Московских специалистов. А лучше Европейских. </v>
      </c>
      <c r="AD1844" s="6" t="str">
        <f>IFERROR(__xludf.DUMMYFUNCTION("""COMPUTED_VALUE"""),"Профессионала.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v>
      </c>
      <c r="AE1844" s="6" t="str">
        <f>IFERROR(__xludf.DUMMYFUNCTION("""COMPUTED_VALUE"""),"Мужской")</f>
        <v>Мужской</v>
      </c>
      <c r="AF1844" s="6" t="str">
        <f>IFERROR(__xludf.DUMMYFUNCTION("""COMPUTED_VALUE"""),"30-44")</f>
        <v>30-44</v>
      </c>
      <c r="AG1844" s="6"/>
      <c r="AH1844" s="6"/>
      <c r="AI1844" s="6"/>
      <c r="AJ1844" s="6"/>
      <c r="AK1844" s="6"/>
      <c r="AL1844" s="6"/>
      <c r="AM1844" s="6"/>
    </row>
    <row r="1845">
      <c r="A1845" s="6">
        <v>1844.0</v>
      </c>
      <c r="B1845" s="6" t="str">
        <f>IFERROR(__xludf.DUMMYFUNCTION("""COMPUTED_VALUE"""),"Ассистент вет. Врача ")</f>
        <v>Ассистент вет. Врача </v>
      </c>
      <c r="C1845" s="6" t="str">
        <f>IFERROR(__xludf.DUMMYFUNCTION("""COMPUTED_VALUE"""),"Спорт бег")</f>
        <v>Спорт бег</v>
      </c>
      <c r="D1845" s="6" t="str">
        <f>IFERROR(__xludf.DUMMYFUNCTION("""COMPUTED_VALUE"""),"Ленинский ")</f>
        <v>Ленинский </v>
      </c>
      <c r="E1845" s="6" t="str">
        <f>IFERROR(__xludf.DUMMYFUNCTION("""COMPUTED_VALUE"""),"Бульвар ")</f>
        <v>Бульвар </v>
      </c>
      <c r="F1845" s="6" t="str">
        <f>IFERROR(__xludf.DUMMYFUNCTION("""COMPUTED_VALUE"""),"Живу здесь с рождения")</f>
        <v>Живу здесь с рождения</v>
      </c>
      <c r="G1845" s="6" t="str">
        <f>IFERROR(__xludf.DUMMYFUNCTION("""COMPUTED_VALUE"""),"Бульвар, парки, трц ")</f>
        <v>Бульвар, парки, трц </v>
      </c>
      <c r="H1845" s="6" t="str">
        <f>IFERROR(__xludf.DUMMYFUNCTION("""COMPUTED_VALUE"""),"Родные, дом, детство , уют, тепло ")</f>
        <v>Родные, дом, детство , уют, тепло </v>
      </c>
      <c r="I1845" s="6" t="str">
        <f>IFERROR(__xludf.DUMMYFUNCTION("""COMPUTED_VALUE"""),"Гагарин ")</f>
        <v>Гагарин </v>
      </c>
      <c r="J1845" s="6" t="str">
        <f>IFERROR(__xludf.DUMMYFUNCTION("""COMPUTED_VALUE"""),"Не знаю ")</f>
        <v>Не знаю </v>
      </c>
      <c r="K1845" s="6" t="str">
        <f>IFERROR(__xludf.DUMMYFUNCTION("""COMPUTED_VALUE"""),"Набережная парк ангелов загородные парки хаски ленд страусиное ранчо ")</f>
        <v>Набережная парк ангелов загородные парки хаски ленд страусиное ранчо </v>
      </c>
      <c r="L1845" s="6" t="str">
        <f>IFERROR(__xludf.DUMMYFUNCTION("""COMPUTED_VALUE"""),"Не знаю ")</f>
        <v>Не знаю </v>
      </c>
      <c r="M1845" s="6" t="str">
        <f>IFERROR(__xludf.DUMMYFUNCTION("""COMPUTED_VALUE"""),"Нет")</f>
        <v>Нет</v>
      </c>
      <c r="N1845" s="6" t="str">
        <f>IFERROR(__xludf.DUMMYFUNCTION("""COMPUTED_VALUE"""),"Удобство комфорт Свежий воздух добрые люди ")</f>
        <v>Удобство комфорт Свежий воздух добрые люди </v>
      </c>
      <c r="O1845" s="6" t="str">
        <f>IFERROR(__xludf.DUMMYFUNCTION("""COMPUTED_VALUE"""),"Аквапарк большой бассейн Свежий воздух ")</f>
        <v>Аквапарк большой бассейн Свежий воздух </v>
      </c>
      <c r="P1845" s="6" t="str">
        <f>IFERROR(__xludf.DUMMYFUNCTION("""COMPUTED_VALUE"""),"Инста")</f>
        <v>Инста</v>
      </c>
      <c r="Q184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845" s="6" t="str">
        <f>IFERROR(__xludf.DUMMYFUNCTION("""COMPUTED_VALUE"""),"Таких нет ")</f>
        <v>Таких нет </v>
      </c>
      <c r="S1845" s="6" t="str">
        <f>IFERROR(__xludf.DUMMYFUNCTION("""COMPUTED_VALUE"""),"Нет, не приходилось")</f>
        <v>Нет, не приходилось</v>
      </c>
      <c r="T1845" s="6" t="str">
        <f>IFERROR(__xludf.DUMMYFUNCTION("""COMPUTED_VALUE"""),"Уголь ")</f>
        <v>Уголь </v>
      </c>
      <c r="U1845" s="6" t="str">
        <f>IFERROR(__xludf.DUMMYFUNCTION("""COMPUTED_VALUE"""),"Набережная ")</f>
        <v>Набережная </v>
      </c>
      <c r="V1845" s="6" t="str">
        <f>IFERROR(__xludf.DUMMYFUNCTION("""COMPUTED_VALUE""")," Из щегловки  деревни построили город Кемерово ")</f>
        <v> Из щегловки  деревни построили город Кемерово </v>
      </c>
      <c r="W1845" s="6" t="str">
        <f>IFERROR(__xludf.DUMMYFUNCTION("""COMPUTED_VALUE"""),"Разные ")</f>
        <v>Разные </v>
      </c>
      <c r="X1845" s="6" t="str">
        <f>IFERROR(__xludf.DUMMYFUNCTION("""COMPUTED_VALUE"""),"Набережная парк ангелов лесная поляна зоопарк ")</f>
        <v>Набережная парк ангелов лесная поляна зоопарк </v>
      </c>
      <c r="Y1845" s="6" t="str">
        <f>IFERROR(__xludf.DUMMYFUNCTION("""COMPUTED_VALUE"""),"Открытие гцс Кузбасс ")</f>
        <v>Открытие гцс Кузбасс </v>
      </c>
      <c r="Z1845" s="6" t="str">
        <f>IFERROR(__xludf.DUMMYFUNCTION("""COMPUTED_VALUE"""),"Нет таких ")</f>
        <v>Нет таких </v>
      </c>
      <c r="AA1845" s="6" t="str">
        <f>IFERROR(__xludf.DUMMYFUNCTION("""COMPUTED_VALUE"""),"Закрыли лазурный бассейн ")</f>
        <v>Закрыли лазурный бассейн </v>
      </c>
      <c r="AB1845" s="6" t="str">
        <f>IFERROR(__xludf.DUMMYFUNCTION("""COMPUTED_VALUE"""),"Бассейна большого как лазурный джакузи и саун ")</f>
        <v>Бассейна большого как лазурный джакузи и саун </v>
      </c>
      <c r="AC1845" s="6" t="str">
        <f>IFERROR(__xludf.DUMMYFUNCTION("""COMPUTED_VALUE"""),"Каждому своё ")</f>
        <v>Каждому своё </v>
      </c>
      <c r="AD184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45" s="6" t="str">
        <f>IFERROR(__xludf.DUMMYFUNCTION("""COMPUTED_VALUE"""),"Женский")</f>
        <v>Женский</v>
      </c>
      <c r="AF1845" s="6" t="str">
        <f>IFERROR(__xludf.DUMMYFUNCTION("""COMPUTED_VALUE"""),"18-29")</f>
        <v>18-29</v>
      </c>
      <c r="AG1845" s="6"/>
      <c r="AH1845" s="6"/>
      <c r="AI1845" s="6"/>
      <c r="AJ1845" s="6"/>
      <c r="AK1845" s="6"/>
      <c r="AL1845" s="6"/>
      <c r="AM1845" s="6"/>
    </row>
    <row r="1846">
      <c r="A1846" s="6">
        <v>1845.0</v>
      </c>
      <c r="B1846" s="6" t="str">
        <f>IFERROR(__xludf.DUMMYFUNCTION("""COMPUTED_VALUE"""),"Юриспруденция")</f>
        <v>Юриспруденция</v>
      </c>
      <c r="C1846" s="6" t="str">
        <f>IFERROR(__xludf.DUMMYFUNCTION("""COMPUTED_VALUE"""),"Шитье")</f>
        <v>Шитье</v>
      </c>
      <c r="D1846" s="6" t="str">
        <f>IFERROR(__xludf.DUMMYFUNCTION("""COMPUTED_VALUE"""),"ФПК")</f>
        <v>ФПК</v>
      </c>
      <c r="E1846" s="6" t="str">
        <f>IFERROR(__xludf.DUMMYFUNCTION("""COMPUTED_VALUE"""),"Нет таких мест")</f>
        <v>Нет таких мест</v>
      </c>
      <c r="F1846" s="6" t="str">
        <f>IFERROR(__xludf.DUMMYFUNCTION("""COMPUTED_VALUE"""),"Живу здесь с рождения")</f>
        <v>Живу здесь с рождения</v>
      </c>
      <c r="G1846" s="6" t="str">
        <f>IFERROR(__xludf.DUMMYFUNCTION("""COMPUTED_VALUE"""),"Улица весенняя")</f>
        <v>Улица весенняя</v>
      </c>
      <c r="H1846" s="6" t="str">
        <f>IFERROR(__xludf.DUMMYFUNCTION("""COMPUTED_VALUE"""),"Промышленность, завод, трубы, туман, грязно ")</f>
        <v>Промышленность, завод, трубы, туман, грязно </v>
      </c>
      <c r="I1846" s="6" t="str">
        <f>IFERROR(__xludf.DUMMYFUNCTION("""COMPUTED_VALUE"""),"Леонов")</f>
        <v>Леонов</v>
      </c>
      <c r="J1846" s="6" t="str">
        <f>IFERROR(__xludf.DUMMYFUNCTION("""COMPUTED_VALUE"""),"Таких не знаю")</f>
        <v>Таких не знаю</v>
      </c>
      <c r="K1846" s="6" t="str">
        <f>IFERROR(__xludf.DUMMYFUNCTION("""COMPUTED_VALUE"""),"Мне нечего показать")</f>
        <v>Мне нечего показать</v>
      </c>
      <c r="L1846" s="6" t="str">
        <f>IFERROR(__xludf.DUMMYFUNCTION("""COMPUTED_VALUE"""),"Недовольные")</f>
        <v>Недовольные</v>
      </c>
      <c r="M1846" s="6" t="str">
        <f>IFERROR(__xludf.DUMMYFUNCTION("""COMPUTED_VALUE"""),"Не знаю")</f>
        <v>Не знаю</v>
      </c>
      <c r="N1846" s="6" t="str">
        <f>IFERROR(__xludf.DUMMYFUNCTION("""COMPUTED_VALUE"""),"Чистота, красивые скверы, ремонт фасадов, детские сады в наличии, придомовая территория ухоженная")</f>
        <v>Чистота, красивые скверы, ремонт фасадов, детские сады в наличии, придомовая территория ухоженная</v>
      </c>
      <c r="O1846" s="6" t="str">
        <f>IFERROR(__xludf.DUMMYFUNCTION("""COMPUTED_VALUE"""),"Уборку")</f>
        <v>Уборку</v>
      </c>
      <c r="P1846" s="6" t="str">
        <f>IFERROR(__xludf.DUMMYFUNCTION("""COMPUTED_VALUE"""),"Не интересуюсь")</f>
        <v>Не интересуюсь</v>
      </c>
      <c r="Q1846" s="6" t="str">
        <f>IFERROR(__xludf.DUMMYFUNCTION("""COMPUTED_VALUE"""),"городская афиша (кино/театр/концерты)")</f>
        <v>городская афиша (кино/театр/концерты)</v>
      </c>
      <c r="R1846" s="6" t="str">
        <f>IFERROR(__xludf.DUMMYFUNCTION("""COMPUTED_VALUE"""),"Я их не знаю")</f>
        <v>Я их не знаю</v>
      </c>
      <c r="S1846" s="6" t="str">
        <f>IFERROR(__xludf.DUMMYFUNCTION("""COMPUTED_VALUE"""),"Нет, не приходилось")</f>
        <v>Нет, не приходилось</v>
      </c>
      <c r="T1846" s="6" t="str">
        <f>IFERROR(__xludf.DUMMYFUNCTION("""COMPUTED_VALUE"""),"Нет уникальности")</f>
        <v>Нет уникальности</v>
      </c>
      <c r="U1846" s="6" t="str">
        <f>IFERROR(__xludf.DUMMYFUNCTION("""COMPUTED_VALUE"""),"Я их не знаю")</f>
        <v>Я их не знаю</v>
      </c>
      <c r="V1846" s="6" t="str">
        <f>IFERROR(__xludf.DUMMYFUNCTION("""COMPUTED_VALUE"""),"Ничего не сделали")</f>
        <v>Ничего не сделали</v>
      </c>
      <c r="W1846" s="6" t="str">
        <f>IFERROR(__xludf.DUMMYFUNCTION("""COMPUTED_VALUE"""),"Наглые, злые")</f>
        <v>Наглые, злые</v>
      </c>
      <c r="X1846" s="6" t="str">
        <f>IFERROR(__xludf.DUMMYFUNCTION("""COMPUTED_VALUE"""),"Улица весенняя")</f>
        <v>Улица весенняя</v>
      </c>
      <c r="Y1846" s="6" t="str">
        <f>IFERROR(__xludf.DUMMYFUNCTION("""COMPUTED_VALUE"""),"Цирк сгорел")</f>
        <v>Цирк сгорел</v>
      </c>
      <c r="Z1846" s="6" t="str">
        <f>IFERROR(__xludf.DUMMYFUNCTION("""COMPUTED_VALUE"""),"Их нет")</f>
        <v>Их нет</v>
      </c>
      <c r="AA1846" s="6" t="str">
        <f>IFERROR(__xludf.DUMMYFUNCTION("""COMPUTED_VALUE"""),"Нет таких")</f>
        <v>Нет таких</v>
      </c>
      <c r="AB1846" s="6" t="str">
        <f>IFERROR(__xludf.DUMMYFUNCTION("""COMPUTED_VALUE"""),"Не знаю")</f>
        <v>Не знаю</v>
      </c>
      <c r="AC1846" s="6" t="str">
        <f>IFERROR(__xludf.DUMMYFUNCTION("""COMPUTED_VALUE"""),"Ремонт фасадов и уборка придомой территории")</f>
        <v>Ремонт фасадов и уборка придомой территории</v>
      </c>
      <c r="AD1846" s="6" t="str">
        <f>IFERROR(__xludf.DUMMYFUNCTION("""COMPUTED_VALUE"""),"Любую идею убьют на месте")</f>
        <v>Любую идею убьют на месте</v>
      </c>
      <c r="AE1846" s="6" t="str">
        <f>IFERROR(__xludf.DUMMYFUNCTION("""COMPUTED_VALUE"""),"Женский")</f>
        <v>Женский</v>
      </c>
      <c r="AF1846" s="6" t="str">
        <f>IFERROR(__xludf.DUMMYFUNCTION("""COMPUTED_VALUE"""),"30-44")</f>
        <v>30-44</v>
      </c>
      <c r="AG1846" s="6"/>
      <c r="AH1846" s="6"/>
      <c r="AI1846" s="6"/>
      <c r="AJ1846" s="6"/>
      <c r="AK1846" s="6"/>
      <c r="AL1846" s="6"/>
      <c r="AM1846" s="6"/>
    </row>
    <row r="1847">
      <c r="A1847" s="6">
        <v>1846.0</v>
      </c>
      <c r="B1847" s="6" t="str">
        <f>IFERROR(__xludf.DUMMYFUNCTION("""COMPUTED_VALUE"""),"Офисный работник")</f>
        <v>Офисный работник</v>
      </c>
      <c r="C1847" s="6" t="str">
        <f>IFERROR(__xludf.DUMMYFUNCTION("""COMPUTED_VALUE"""),"Спорт")</f>
        <v>Спорт</v>
      </c>
      <c r="D1847" s="6" t="str">
        <f>IFERROR(__xludf.DUMMYFUNCTION("""COMPUTED_VALUE"""),"Центральный")</f>
        <v>Центральный</v>
      </c>
      <c r="E1847" s="6" t="str">
        <f>IFERROR(__xludf.DUMMYFUNCTION("""COMPUTED_VALUE"""),"Площадь советов, набережная")</f>
        <v>Площадь советов, набережная</v>
      </c>
      <c r="F1847" s="6" t="str">
        <f>IFERROR(__xludf.DUMMYFUNCTION("""COMPUTED_VALUE"""),"Живу здесь с рождения")</f>
        <v>Живу здесь с рождения</v>
      </c>
      <c r="G1847" s="6" t="str">
        <f>IFERROR(__xludf.DUMMYFUNCTION("""COMPUTED_VALUE"""),"Разные места, нет предпочтений")</f>
        <v>Разные места, нет предпочтений</v>
      </c>
      <c r="H1847" s="6" t="str">
        <f>IFERROR(__xludf.DUMMYFUNCTION("""COMPUTED_VALUE"""),"Уголь, область, грязь, сибирь")</f>
        <v>Уголь, область, грязь, сибирь</v>
      </c>
      <c r="I1847" s="6" t="str">
        <f>IFERROR(__xludf.DUMMYFUNCTION("""COMPUTED_VALUE"""),"-")</f>
        <v>-</v>
      </c>
      <c r="J1847" s="6" t="str">
        <f>IFERROR(__xludf.DUMMYFUNCTION("""COMPUTED_VALUE"""),"Тулеев")</f>
        <v>Тулеев</v>
      </c>
      <c r="K1847" s="6" t="str">
        <f>IFERROR(__xludf.DUMMYFUNCTION("""COMPUTED_VALUE"""),"Набережная")</f>
        <v>Набережная</v>
      </c>
      <c r="L1847" s="6" t="str">
        <f>IFERROR(__xludf.DUMMYFUNCTION("""COMPUTED_VALUE"""),"Не знаю")</f>
        <v>Не знаю</v>
      </c>
      <c r="M1847" s="6" t="str">
        <f>IFERROR(__xludf.DUMMYFUNCTION("""COMPUTED_VALUE"""),"Нет")</f>
        <v>Нет</v>
      </c>
      <c r="N1847" s="6" t="str">
        <f>IFERROR(__xludf.DUMMYFUNCTION("""COMPUTED_VALUE"""),"Чистота, безопасности, дороги, парковки")</f>
        <v>Чистота, безопасности, дороги, парковки</v>
      </c>
      <c r="O1847" s="6" t="str">
        <f>IFERROR(__xludf.DUMMYFUNCTION("""COMPUTED_VALUE"""),"Экология")</f>
        <v>Экология</v>
      </c>
      <c r="P1847" s="6" t="str">
        <f>IFERROR(__xludf.DUMMYFUNCTION("""COMPUTED_VALUE"""),"Яндекс, вк")</f>
        <v>Яндекс, вк</v>
      </c>
      <c r="Q1847"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847" s="6" t="str">
        <f>IFERROR(__xludf.DUMMYFUNCTION("""COMPUTED_VALUE"""),"День города")</f>
        <v>День города</v>
      </c>
      <c r="S1847" s="6" t="str">
        <f>IFERROR(__xludf.DUMMYFUNCTION("""COMPUTED_VALUE"""),"Нет, не приходилось")</f>
        <v>Нет, не приходилось</v>
      </c>
      <c r="T1847" s="6" t="str">
        <f>IFERROR(__xludf.DUMMYFUNCTION("""COMPUTED_VALUE"""),"Не знаю")</f>
        <v>Не знаю</v>
      </c>
      <c r="U1847" s="6" t="str">
        <f>IFERROR(__xludf.DUMMYFUNCTION("""COMPUTED_VALUE"""),"Площадь советов")</f>
        <v>Площадь советов</v>
      </c>
      <c r="V1847" s="6" t="str">
        <f>IFERROR(__xludf.DUMMYFUNCTION("""COMPUTED_VALUE"""),"Не знаю")</f>
        <v>Не знаю</v>
      </c>
      <c r="W1847" s="6" t="str">
        <f>IFERROR(__xludf.DUMMYFUNCTION("""COMPUTED_VALUE"""),"Суровые")</f>
        <v>Суровые</v>
      </c>
      <c r="X1847" s="6" t="str">
        <f>IFERROR(__xludf.DUMMYFUNCTION("""COMPUTED_VALUE"""),"Набережная")</f>
        <v>Набережная</v>
      </c>
      <c r="Y1847" s="6" t="str">
        <f>IFERROR(__xludf.DUMMYFUNCTION("""COMPUTED_VALUE"""),"Не знаю")</f>
        <v>Не знаю</v>
      </c>
      <c r="Z1847" s="6" t="str">
        <f>IFERROR(__xludf.DUMMYFUNCTION("""COMPUTED_VALUE"""),"Нет таких")</f>
        <v>Нет таких</v>
      </c>
      <c r="AA1847" s="6" t="str">
        <f>IFERROR(__xludf.DUMMYFUNCTION("""COMPUTED_VALUE"""),"Зимняя вишня")</f>
        <v>Зимняя вишня</v>
      </c>
      <c r="AB1847" s="6" t="str">
        <f>IFERROR(__xludf.DUMMYFUNCTION("""COMPUTED_VALUE"""),"-")</f>
        <v>-</v>
      </c>
      <c r="AC1847" s="6" t="str">
        <f>IFERROR(__xludf.DUMMYFUNCTION("""COMPUTED_VALUE"""),"Спортивные")</f>
        <v>Спортивные</v>
      </c>
      <c r="AD184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47" s="6" t="str">
        <f>IFERROR(__xludf.DUMMYFUNCTION("""COMPUTED_VALUE"""),"Мужской")</f>
        <v>Мужской</v>
      </c>
      <c r="AF1847" s="6" t="str">
        <f>IFERROR(__xludf.DUMMYFUNCTION("""COMPUTED_VALUE"""),"30-44")</f>
        <v>30-44</v>
      </c>
      <c r="AG1847" s="6"/>
      <c r="AH1847" s="6"/>
      <c r="AI1847" s="6"/>
      <c r="AJ1847" s="6"/>
      <c r="AK1847" s="6"/>
      <c r="AL1847" s="6"/>
      <c r="AM1847" s="6"/>
    </row>
    <row r="1848">
      <c r="A1848" s="6">
        <v>1847.0</v>
      </c>
      <c r="B1848" s="6" t="str">
        <f>IFERROR(__xludf.DUMMYFUNCTION("""COMPUTED_VALUE"""),"Студентка")</f>
        <v>Студентка</v>
      </c>
      <c r="C1848" s="6" t="str">
        <f>IFERROR(__xludf.DUMMYFUNCTION("""COMPUTED_VALUE"""),"Рисование")</f>
        <v>Рисование</v>
      </c>
      <c r="D1848" s="6" t="str">
        <f>IFERROR(__xludf.DUMMYFUNCTION("""COMPUTED_VALUE"""),"Заводский, так и называю")</f>
        <v>Заводский, так и называю</v>
      </c>
      <c r="E1848" s="6" t="str">
        <f>IFERROR(__xludf.DUMMYFUNCTION("""COMPUTED_VALUE"""),"Парк ангелов, Гринвич")</f>
        <v>Парк ангелов, Гринвич</v>
      </c>
      <c r="F1848" s="6" t="str">
        <f>IFERROR(__xludf.DUMMYFUNCTION("""COMPUTED_VALUE"""),"Живу здесь с рождения")</f>
        <v>Живу здесь с рождения</v>
      </c>
      <c r="G1848" s="6" t="str">
        <f>IFERROR(__xludf.DUMMYFUNCTION("""COMPUTED_VALUE"""),"в центр в разные места")</f>
        <v>в центр в разные места</v>
      </c>
      <c r="H1848" s="6" t="str">
        <f>IFERROR(__xludf.DUMMYFUNCTION("""COMPUTED_VALUE"""),"уголь, дым, пробки, грязный воздух")</f>
        <v>уголь, дым, пробки, грязный воздух</v>
      </c>
      <c r="I1848" s="6" t="str">
        <f>IFERROR(__xludf.DUMMYFUNCTION("""COMPUTED_VALUE"""),"Михайлов, Леонов")</f>
        <v>Михайлов, Леонов</v>
      </c>
      <c r="J1848" s="6" t="str">
        <f>IFERROR(__xludf.DUMMYFUNCTION("""COMPUTED_VALUE"""),"Тулеев")</f>
        <v>Тулеев</v>
      </c>
      <c r="K1848" s="6" t="str">
        <f>IFERROR(__xludf.DUMMYFUNCTION("""COMPUTED_VALUE"""),"Парк Ангелов, Набережная")</f>
        <v>Парк Ангелов, Набережная</v>
      </c>
      <c r="L1848" s="6" t="str">
        <f>IFERROR(__xludf.DUMMYFUNCTION("""COMPUTED_VALUE"""),"не знаю")</f>
        <v>не знаю</v>
      </c>
      <c r="M1848" s="6" t="str">
        <f>IFERROR(__xludf.DUMMYFUNCTION("""COMPUTED_VALUE"""),"нет")</f>
        <v>нет</v>
      </c>
      <c r="N1848" s="6" t="str">
        <f>IFERROR(__xludf.DUMMYFUNCTION("""COMPUTED_VALUE"""),"экология, безопасность, активная молодежь, парки, озеленение")</f>
        <v>экология, безопасность, активная молодежь, парки, озеленение</v>
      </c>
      <c r="O1848" s="6" t="str">
        <f>IFERROR(__xludf.DUMMYFUNCTION("""COMPUTED_VALUE"""),"Экология")</f>
        <v>Экология</v>
      </c>
      <c r="P1848" s="6" t="str">
        <f>IFERROR(__xludf.DUMMYFUNCTION("""COMPUTED_VALUE"""),"афиша42, инстаграм, вк")</f>
        <v>афиша42, инстаграм, вк</v>
      </c>
      <c r="Q1848"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v>
      </c>
      <c r="R1848" s="6" t="str">
        <f>IFERROR(__xludf.DUMMYFUNCTION("""COMPUTED_VALUE"""),"нет таких")</f>
        <v>нет таких</v>
      </c>
      <c r="S1848" s="6" t="str">
        <f>IFERROR(__xludf.DUMMYFUNCTION("""COMPUTED_VALUE"""),"Делал рассылку по электронной почте")</f>
        <v>Делал рассылку по электронной почте</v>
      </c>
      <c r="T1848" s="6" t="str">
        <f>IFERROR(__xludf.DUMMYFUNCTION("""COMPUTED_VALUE"""),"Шахтерский край")</f>
        <v>Шахтерский край</v>
      </c>
      <c r="U1848" s="6" t="str">
        <f>IFERROR(__xludf.DUMMYFUNCTION("""COMPUTED_VALUE"""),"Проспект Советский")</f>
        <v>Проспект Советский</v>
      </c>
      <c r="V1848" s="6" t="str">
        <f>IFERROR(__xludf.DUMMYFUNCTION("""COMPUTED_VALUE"""),"не знаю")</f>
        <v>не знаю</v>
      </c>
      <c r="W1848" s="6" t="str">
        <f>IFERROR(__xludf.DUMMYFUNCTION("""COMPUTED_VALUE"""),"Сложный вопрос. Есть и нормальные люди и полные неадекваты. Здесь можно целое сочинение писать")</f>
        <v>Сложный вопрос. Есть и нормальные люди и полные неадекваты. Здесь можно целое сочинение писать</v>
      </c>
      <c r="X1848" s="6" t="str">
        <f>IFERROR(__xludf.DUMMYFUNCTION("""COMPUTED_VALUE"""),"Набережная, Весенняя")</f>
        <v>Набережная, Весенняя</v>
      </c>
      <c r="Y1848" s="6" t="str">
        <f>IFERROR(__xludf.DUMMYFUNCTION("""COMPUTED_VALUE"""),"Когда город стал столицей области")</f>
        <v>Когда город стал столицей области</v>
      </c>
      <c r="Z1848" s="6" t="str">
        <f>IFERROR(__xludf.DUMMYFUNCTION("""COMPUTED_VALUE"""),"Активное строительство")</f>
        <v>Активное строительство</v>
      </c>
      <c r="AA1848" s="6" t="str">
        <f>IFERROR(__xludf.DUMMYFUNCTION("""COMPUTED_VALUE"""),"Зимняя Вишня")</f>
        <v>Зимняя Вишня</v>
      </c>
      <c r="AB1848" s="6" t="str">
        <f>IFERROR(__xludf.DUMMYFUNCTION("""COMPUTED_VALUE"""),"Творческих")</f>
        <v>Творческих</v>
      </c>
      <c r="AC1848" s="6" t="str">
        <f>IFERROR(__xludf.DUMMYFUNCTION("""COMPUTED_VALUE"""),"любые для молодежи")</f>
        <v>любые для молодежи</v>
      </c>
      <c r="AD1848"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48" s="6" t="str">
        <f>IFERROR(__xludf.DUMMYFUNCTION("""COMPUTED_VALUE"""),"Женский")</f>
        <v>Женский</v>
      </c>
      <c r="AF1848" s="6" t="str">
        <f>IFERROR(__xludf.DUMMYFUNCTION("""COMPUTED_VALUE"""),"18-29")</f>
        <v>18-29</v>
      </c>
      <c r="AG1848" s="6"/>
      <c r="AH1848" s="6"/>
      <c r="AI1848" s="6"/>
      <c r="AJ1848" s="6"/>
      <c r="AK1848" s="6"/>
      <c r="AL1848" s="6"/>
      <c r="AM1848" s="6"/>
    </row>
    <row r="1849">
      <c r="A1849" s="6">
        <v>1848.0</v>
      </c>
      <c r="B1849" s="6" t="str">
        <f>IFERROR(__xludf.DUMMYFUNCTION("""COMPUTED_VALUE"""),"Работаю ")</f>
        <v>Работаю </v>
      </c>
      <c r="C1849" s="6" t="str">
        <f>IFERROR(__xludf.DUMMYFUNCTION("""COMPUTED_VALUE"""),"Цветы ")</f>
        <v>Цветы </v>
      </c>
      <c r="D1849" s="6" t="str">
        <f>IFERROR(__xludf.DUMMYFUNCTION("""COMPUTED_VALUE"""),"Кировский ")</f>
        <v>Кировский </v>
      </c>
      <c r="E1849" s="6" t="str">
        <f>IFERROR(__xludf.DUMMYFUNCTION("""COMPUTED_VALUE"""),"Набережная")</f>
        <v>Набережная</v>
      </c>
      <c r="F1849" s="6" t="str">
        <f>IFERROR(__xludf.DUMMYFUNCTION("""COMPUTED_VALUE"""),"Переехал сюда из другого места (откуда? укажите в графе другое), Тяжин")</f>
        <v>Переехал сюда из другого места (откуда? укажите в графе другое), Тяжин</v>
      </c>
      <c r="G1849" s="6" t="str">
        <f>IFERROR(__xludf.DUMMYFUNCTION("""COMPUTED_VALUE"""),"Парк чудес. Набережная ")</f>
        <v>Парк чудес. Набережная </v>
      </c>
      <c r="H1849" s="6" t="str">
        <f>IFERROR(__xludf.DUMMYFUNCTION("""COMPUTED_VALUE"""),"Плохая экология. Низкие зарплаты ")</f>
        <v>Плохая экология. Низкие зарплаты </v>
      </c>
      <c r="I1849" s="6" t="str">
        <f>IFERROR(__xludf.DUMMYFUNCTION("""COMPUTED_VALUE"""),"Затрудняюсь ")</f>
        <v>Затрудняюсь </v>
      </c>
      <c r="J1849" s="6" t="str">
        <f>IFERROR(__xludf.DUMMYFUNCTION("""COMPUTED_VALUE"""),"Нет таких ")</f>
        <v>Нет таких </v>
      </c>
      <c r="K1849" s="6" t="str">
        <f>IFERROR(__xludf.DUMMYFUNCTION("""COMPUTED_VALUE"""),"Нет таких мест пока ")</f>
        <v>Нет таких мест пока </v>
      </c>
      <c r="L1849" s="6" t="str">
        <f>IFERROR(__xludf.DUMMYFUNCTION("""COMPUTED_VALUE"""),"Смешной вопрос ")</f>
        <v>Смешной вопрос </v>
      </c>
      <c r="M1849" s="6" t="str">
        <f>IFERROR(__xludf.DUMMYFUNCTION("""COMPUTED_VALUE"""),"Нет")</f>
        <v>Нет</v>
      </c>
      <c r="N1849" s="6" t="str">
        <f>IFERROR(__xludf.DUMMYFUNCTION("""COMPUTED_VALUE"""),"Чистый воздух. Места для отдыха. Работа. Спорт площадки. Люди!! ")</f>
        <v>Чистый воздух. Места для отдыха. Работа. Спорт площадки. Люди!! </v>
      </c>
      <c r="O1849" s="6" t="str">
        <f>IFERROR(__xludf.DUMMYFUNCTION("""COMPUTED_VALUE"""),"Руководство ")</f>
        <v>Руководство </v>
      </c>
      <c r="P1849" s="6" t="str">
        <f>IFERROR(__xludf.DUMMYFUNCTION("""COMPUTED_VALUE"""),"Инстограм ")</f>
        <v>Инстограм </v>
      </c>
      <c r="Q1849" s="6" t="str">
        <f>IFERROR(__xludf.DUMMYFUNCTION("""COMPUTED_VALUE"""),"Как выжить в нашем городе ")</f>
        <v>Как выжить в нашем городе </v>
      </c>
      <c r="R1849" s="6" t="str">
        <f>IFERROR(__xludf.DUMMYFUNCTION("""COMPUTED_VALUE"""),"9мая ")</f>
        <v>9мая </v>
      </c>
      <c r="S1849" s="6" t="str">
        <f>IFERROR(__xludf.DUMMYFUNCTION("""COMPUTED_VALUE"""),"Нет, не приходилось")</f>
        <v>Нет, не приходилось</v>
      </c>
      <c r="T1849" s="6" t="str">
        <f>IFERROR(__xludf.DUMMYFUNCTION("""COMPUTED_VALUE"""),"Грязным воздухом и низкими зп")</f>
        <v>Грязным воздухом и низкими зп</v>
      </c>
      <c r="U1849" s="6" t="str">
        <f>IFERROR(__xludf.DUMMYFUNCTION("""COMPUTED_VALUE"""),"Парк Ангелов ")</f>
        <v>Парк Ангелов </v>
      </c>
      <c r="V1849" s="6" t="str">
        <f>IFERROR(__xludf.DUMMYFUNCTION("""COMPUTED_VALUE"""),"Ни особо ничего и не делаем сами.. ")</f>
        <v>Ни особо ничего и не делаем сами.. </v>
      </c>
      <c r="W1849" s="6" t="str">
        <f>IFERROR(__xludf.DUMMYFUNCTION("""COMPUTED_VALUE"""),"Стресоустойчевые")</f>
        <v>Стресоустойчевые</v>
      </c>
      <c r="X1849" s="6" t="str">
        <f>IFERROR(__xludf.DUMMYFUNCTION("""COMPUTED_VALUE"""),"Набережная ")</f>
        <v>Набережная </v>
      </c>
      <c r="Y1849" s="6" t="str">
        <f>IFERROR(__xludf.DUMMYFUNCTION("""COMPUTED_VALUE"""),"Затрудняюсь")</f>
        <v>Затрудняюсь</v>
      </c>
      <c r="Z1849" s="6" t="str">
        <f>IFERROR(__xludf.DUMMYFUNCTION("""COMPUTED_VALUE"""),"Затрудняюсь ")</f>
        <v>Затрудняюсь </v>
      </c>
      <c r="AA1849" s="6" t="str">
        <f>IFERROR(__xludf.DUMMYFUNCTION("""COMPUTED_VALUE"""),"Очень много ")</f>
        <v>Очень много </v>
      </c>
      <c r="AB1849" s="6" t="str">
        <f>IFERROR(__xludf.DUMMYFUNCTION("""COMPUTED_VALUE"""),"Нам не сообщество нужны а хорошие условия к жизни ")</f>
        <v>Нам не сообщество нужны а хорошие условия к жизни </v>
      </c>
      <c r="AC1849" s="6" t="str">
        <f>IFERROR(__xludf.DUMMYFUNCTION("""COMPUTED_VALUE"""),"Да хватает мероприятий.... Денег не хватает ")</f>
        <v>Да хватает мероприятий.... Денег не хватает </v>
      </c>
      <c r="AD184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49" s="6" t="str">
        <f>IFERROR(__xludf.DUMMYFUNCTION("""COMPUTED_VALUE"""),"Женский")</f>
        <v>Женский</v>
      </c>
      <c r="AF1849" s="6" t="str">
        <f>IFERROR(__xludf.DUMMYFUNCTION("""COMPUTED_VALUE"""),"45-55")</f>
        <v>45-55</v>
      </c>
      <c r="AG1849" s="6"/>
      <c r="AH1849" s="6"/>
      <c r="AI1849" s="6"/>
      <c r="AJ1849" s="6"/>
      <c r="AK1849" s="6"/>
      <c r="AL1849" s="6"/>
      <c r="AM1849" s="6"/>
    </row>
    <row r="1850">
      <c r="A1850" s="6">
        <v>1849.0</v>
      </c>
      <c r="B1850" s="6" t="str">
        <f>IFERROR(__xludf.DUMMYFUNCTION("""COMPUTED_VALUE"""),"Бухгалтер")</f>
        <v>Бухгалтер</v>
      </c>
      <c r="C1850" s="6" t="str">
        <f>IFERROR(__xludf.DUMMYFUNCTION("""COMPUTED_VALUE"""),"Вязание")</f>
        <v>Вязание</v>
      </c>
      <c r="D1850" s="6" t="str">
        <f>IFERROR(__xludf.DUMMYFUNCTION("""COMPUTED_VALUE"""),"Центральный")</f>
        <v>Центральный</v>
      </c>
      <c r="E1850" s="6" t="str">
        <f>IFERROR(__xludf.DUMMYFUNCTION("""COMPUTED_VALUE"""),"Парк Ангелов")</f>
        <v>Парк Ангелов</v>
      </c>
      <c r="F1850" s="6" t="str">
        <f>IFERROR(__xludf.DUMMYFUNCTION("""COMPUTED_VALUE"""),"Переехал сюда из другого места (откуда? укажите в графе другое), Прокопьевск")</f>
        <v>Переехал сюда из другого места (откуда? укажите в графе другое), Прокопьевск</v>
      </c>
      <c r="G1850" s="6" t="str">
        <f>IFERROR(__xludf.DUMMYFUNCTION("""COMPUTED_VALUE"""),"Парк Ангелов, исторический центр, набережная")</f>
        <v>Парк Ангелов, исторический центр, набережная</v>
      </c>
      <c r="H1850" s="6" t="str">
        <f>IFERROR(__xludf.DUMMYFUNCTION("""COMPUTED_VALUE"""),"Томь, Кузбасс, уголь")</f>
        <v>Томь, Кузбасс, уголь</v>
      </c>
      <c r="I1850" s="6" t="str">
        <f>IFERROR(__xludf.DUMMYFUNCTION("""COMPUTED_VALUE"""),"Леонов, Волков, Волошина")</f>
        <v>Леонов, Волков, Волошина</v>
      </c>
      <c r="J1850" s="6" t="str">
        <f>IFERROR(__xludf.DUMMYFUNCTION("""COMPUTED_VALUE"""),"не знаю")</f>
        <v>не знаю</v>
      </c>
      <c r="K1850" s="6" t="str">
        <f>IFERROR(__xludf.DUMMYFUNCTION("""COMPUTED_VALUE"""),"Набережная, Бульвар Строителей")</f>
        <v>Набережная, Бульвар Строителей</v>
      </c>
      <c r="L1850" s="6" t="str">
        <f>IFERROR(__xludf.DUMMYFUNCTION("""COMPUTED_VALUE"""),"-")</f>
        <v>-</v>
      </c>
      <c r="M1850" s="6" t="str">
        <f>IFERROR(__xludf.DUMMYFUNCTION("""COMPUTED_VALUE"""),"-")</f>
        <v>-</v>
      </c>
      <c r="N1850" s="6" t="str">
        <f>IFERROR(__xludf.DUMMYFUNCTION("""COMPUTED_VALUE"""),"Чистые улицы, транспорт, зелень")</f>
        <v>Чистые улицы, транспорт, зелень</v>
      </c>
      <c r="O1850" s="6" t="str">
        <f>IFERROR(__xludf.DUMMYFUNCTION("""COMPUTED_VALUE"""),"Экологию, парковки")</f>
        <v>Экологию, парковки</v>
      </c>
      <c r="P1850" s="6" t="str">
        <f>IFERROR(__xludf.DUMMYFUNCTION("""COMPUTED_VALUE"""),"инстаграм, вконтакте")</f>
        <v>инстаграм, вконтакте</v>
      </c>
      <c r="Q1850" s="6" t="str">
        <f>IFERROR(__xludf.DUMMYFUNCTION("""COMPUTED_VALUE"""),"городская афиша (кино/театр/концерты), интервью с местными творческими личностями, бизнес-новости (средний чек/рекламные акции/запуск новых предприятий)")</f>
        <v>городская афиша (кино/театр/концерты), интервью с местными творческими личностями, бизнес-новости (средний чек/рекламные акции/запуск новых предприятий)</v>
      </c>
      <c r="R1850" s="6" t="str">
        <f>IFERROR(__xludf.DUMMYFUNCTION("""COMPUTED_VALUE"""),"никакие")</f>
        <v>никакие</v>
      </c>
      <c r="S1850" s="6" t="str">
        <f>IFERROR(__xludf.DUMMYFUNCTION("""COMPUTED_VALUE"""),"Нет, не приходилось")</f>
        <v>Нет, не приходилось</v>
      </c>
      <c r="T1850" s="6" t="str">
        <f>IFERROR(__xludf.DUMMYFUNCTION("""COMPUTED_VALUE"""),"Угольная столица")</f>
        <v>Угольная столица</v>
      </c>
      <c r="U1850" s="6" t="str">
        <f>IFERROR(__xludf.DUMMYFUNCTION("""COMPUTED_VALUE"""),"Площадь Советов")</f>
        <v>Площадь Советов</v>
      </c>
      <c r="V1850" s="6" t="str">
        <f>IFERROR(__xludf.DUMMYFUNCTION("""COMPUTED_VALUE"""),"-")</f>
        <v>-</v>
      </c>
      <c r="W1850" s="6" t="str">
        <f>IFERROR(__xludf.DUMMYFUNCTION("""COMPUTED_VALUE"""),"Крепкие, суровые")</f>
        <v>Крепкие, суровые</v>
      </c>
      <c r="X1850" s="6" t="str">
        <f>IFERROR(__xludf.DUMMYFUNCTION("""COMPUTED_VALUE"""),"Набережная, Красная горка, Томская писанина")</f>
        <v>Набережная, Красная горка, Томская писанина</v>
      </c>
      <c r="Y1850" s="6" t="str">
        <f>IFERROR(__xludf.DUMMYFUNCTION("""COMPUTED_VALUE"""),"не знаю")</f>
        <v>не знаю</v>
      </c>
      <c r="Z1850" s="6" t="str">
        <f>IFERROR(__xludf.DUMMYFUNCTION("""COMPUTED_VALUE"""),"Ремонт набережной, ремонт дорог")</f>
        <v>Ремонт набережной, ремонт дорог</v>
      </c>
      <c r="AA1850" s="6" t="str">
        <f>IFERROR(__xludf.DUMMYFUNCTION("""COMPUTED_VALUE"""),"-")</f>
        <v>-</v>
      </c>
      <c r="AB1850" s="6" t="str">
        <f>IFERROR(__xludf.DUMMYFUNCTION("""COMPUTED_VALUE"""),"-")</f>
        <v>-</v>
      </c>
      <c r="AC1850" s="6" t="str">
        <f>IFERROR(__xludf.DUMMYFUNCTION("""COMPUTED_VALUE"""),"Культурных мероприятий")</f>
        <v>Культурных мероприятий</v>
      </c>
      <c r="AD185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50" s="6" t="str">
        <f>IFERROR(__xludf.DUMMYFUNCTION("""COMPUTED_VALUE"""),"Женский")</f>
        <v>Женский</v>
      </c>
      <c r="AF1850" s="6" t="str">
        <f>IFERROR(__xludf.DUMMYFUNCTION("""COMPUTED_VALUE"""),"30-44")</f>
        <v>30-44</v>
      </c>
      <c r="AG1850" s="6"/>
      <c r="AH1850" s="6"/>
      <c r="AI1850" s="6"/>
      <c r="AJ1850" s="6"/>
      <c r="AK1850" s="6"/>
      <c r="AL1850" s="6"/>
      <c r="AM1850" s="6"/>
    </row>
    <row r="1851">
      <c r="A1851" s="6">
        <v>1850.0</v>
      </c>
      <c r="B1851" s="6" t="str">
        <f>IFERROR(__xludf.DUMMYFUNCTION("""COMPUTED_VALUE"""),"менеджер по уюту")</f>
        <v>менеджер по уюту</v>
      </c>
      <c r="C1851" s="6" t="str">
        <f>IFERROR(__xludf.DUMMYFUNCTION("""COMPUTED_VALUE"""),"нет")</f>
        <v>нет</v>
      </c>
      <c r="D1851" s="6" t="str">
        <f>IFERROR(__xludf.DUMMYFUNCTION("""COMPUTED_VALUE"""),"Ленинском/Ленинский")</f>
        <v>Ленинском/Ленинский</v>
      </c>
      <c r="E1851" s="6" t="str">
        <f>IFERROR(__xludf.DUMMYFUNCTION("""COMPUTED_VALUE"""),"Б. Строителей и все, что на нем; парк Кузбасский и все, что в нем; оз. Красное; детская железная дорога; мечеть Мунира; памятник в честь защитников блокадного Ленинграда; храм Казанской Божьей Матери (изразцы на фасаде из Питера); губернский  центр спорта"&amp;" Кузбасс; храм Св. мученицы Татьяны")</f>
        <v>Б. Строителей и все, что на нем; парк Кузбасский и все, что в нем; оз. Красное; детская железная дорога; мечеть Мунира; памятник в честь защитников блокадного Ленинграда; храм Казанской Божьей Матери (изразцы на фасаде из Питера); губернский  центр спорта Кузбасс; храм Св. мученицы Татьяны</v>
      </c>
      <c r="F1851" s="6" t="str">
        <f>IFERROR(__xludf.DUMMYFUNCTION("""COMPUTED_VALUE"""),"Живу здесь с рождения")</f>
        <v>Живу здесь с рождения</v>
      </c>
      <c r="G1851" s="6" t="str">
        <f>IFERROR(__xludf.DUMMYFUNCTION("""COMPUTED_VALUE"""),"в  окрестностях не хожу, иногда езжу на Красную Горку. раньше гуляла до реки, потом берег застроили.")</f>
        <v>в  окрестностях не хожу, иногда езжу на Красную Горку. раньше гуляла до реки, потом берег застроили.</v>
      </c>
      <c r="H1851" s="6" t="str">
        <f>IFERROR(__xludf.DUMMYFUNCTION("""COMPUTED_VALUE"""),"Экология (плохая), горы, эмиграция населения из региона, онкология/рак, низкие доходы")</f>
        <v>Экология (плохая), горы, эмиграция населения из региона, онкология/рак, низкие доходы</v>
      </c>
      <c r="I1851" s="6" t="str">
        <f>IFERROR(__xludf.DUMMYFUNCTION("""COMPUTED_VALUE"""),"Бобров А. К,  Волошина В. Д., Волков Михайло, Д. Ю., Коломейцев А. Н., Л. А. А,, Марковцев С. Х., Мартемьянов В. Д., Мызо В. И., Рукавишников С. И., Рутгерс С. Ю., Сарыгин А.  В.,")</f>
        <v>Бобров А. К,  Волошина В. Д., Волков Михайло, Д. Ю., Коломейцев А. Н., Л. А. А,, Марковцев С. Х., Мартемьянов В. Д., Мызо В. И., Рукавишников С. И., Рутгерс С. Ю., Сарыгин А.  В.,</v>
      </c>
      <c r="J1851" s="6" t="str">
        <f>IFERROR(__xludf.DUMMYFUNCTION("""COMPUTED_VALUE"""),"Гришковец")</f>
        <v>Гришковец</v>
      </c>
      <c r="K1851" s="6" t="str">
        <f>IFERROR(__xludf.DUMMYFUNCTION("""COMPUTED_VALUE"""),"""наш парк"" на металке, Томская Писаница")</f>
        <v>"наш парк" на металке, Томская Писаница</v>
      </c>
      <c r="L1851" s="6" t="str">
        <f>IFERROR(__xludf.DUMMYFUNCTION("""COMPUTED_VALUE"""),"нет")</f>
        <v>нет</v>
      </c>
      <c r="M1851" s="6" t="str">
        <f>IFERROR(__xludf.DUMMYFUNCTION("""COMPUTED_VALUE"""),"нет")</f>
        <v>нет</v>
      </c>
      <c r="N1851" s="6" t="str">
        <f>IFERROR(__xludf.DUMMYFUNCTION("""COMPUTED_VALUE"""),"транспортное сообщение, в Ленинском р-не роза ветров")</f>
        <v>транспортное сообщение, в Ленинском р-не роза ветров</v>
      </c>
      <c r="O1851" s="6" t="str">
        <f>IFERROR(__xludf.DUMMYFUNCTION("""COMPUTED_VALUE"""),"улучшить медицину/экологию, изменить школьную программу, улучшить дороги,")</f>
        <v>улучшить медицину/экологию, изменить школьную программу, улучшить дороги,</v>
      </c>
      <c r="P1851" s="6" t="str">
        <f>IFERROR(__xludf.DUMMYFUNCTION("""COMPUTED_VALUE"""),"инстаграмм, VK, facebook")</f>
        <v>инстаграмм, VK, facebook</v>
      </c>
      <c r="Q1851" s="6" t="str">
        <f>IFERROR(__xludf.DUMMYFUNCTION("""COMPUTED_VALUE"""),"местные новости")</f>
        <v>местные новости</v>
      </c>
      <c r="R1851" s="6" t="str">
        <f>IFERROR(__xludf.DUMMYFUNCTION("""COMPUTED_VALUE"""),"никакие, не люблю очереди в магазинах. власти не дают высказывать свое мнение на мирных митингах. очень странно, что разгоняли митинги и ""шили"" административые дела за репосты, а перед Пасхой устроили ярмарки.")</f>
        <v>никакие, не люблю очереди в магазинах. власти не дают высказывать свое мнение на мирных митингах. очень странно, что разгоняли митинги и "шили" административые дела за репосты, а перед Пасхой устроили ярмарки.</v>
      </c>
      <c r="S1851" s="6" t="str">
        <f>IFERROR(__xludf.DUMMYFUNCTION("""COMPUTED_VALUE"""),"Через социальные сети (Какие? Укажите в графе другое), один раз мою запись на ФБ перепостила местная газета")</f>
        <v>Через социальные сети (Какие? Укажите в графе другое), один раз мою запись на ФБ перепостила местная газета</v>
      </c>
      <c r="T1851" s="6" t="str">
        <f>IFERROR(__xludf.DUMMYFUNCTION("""COMPUTED_VALUE"""),"зимней вишней, плохой экологией и онко заболеваниями, низким уровнем жизни")</f>
        <v>зимней вишней, плохой экологией и онко заболеваниями, низким уровнем жизни</v>
      </c>
      <c r="U1851" s="6" t="str">
        <f>IFERROR(__xludf.DUMMYFUNCTION("""COMPUTED_VALUE"""),"площадь Советов")</f>
        <v>площадь Советов</v>
      </c>
      <c r="V1851" s="6" t="str">
        <f>IFERROR(__xludf.DUMMYFUNCTION("""COMPUTED_VALUE"""),"не знаю")</f>
        <v>не знаю</v>
      </c>
      <c r="W1851" s="6" t="str">
        <f>IFERROR(__xludf.DUMMYFUNCTION("""COMPUTED_VALUE"""),"добрые. отзывчивые люди с большим сердцем")</f>
        <v>добрые. отзывчивые люди с большим сердцем</v>
      </c>
      <c r="X1851" s="6" t="str">
        <f>IFERROR(__xludf.DUMMYFUNCTION("""COMPUTED_VALUE"""),"на Томской Писанице, Красная Горка, бор на правом берегу ")</f>
        <v>на Томской Писанице, Красная Горка, бор на правом берегу </v>
      </c>
      <c r="Y1851" s="6" t="str">
        <f>IFERROR(__xludf.DUMMYFUNCTION("""COMPUTED_VALUE"""),"Преобразование села Щеглова в город Щегловск, Открыта Щегловская городская библиотека")</f>
        <v>Преобразование села Щеглова в город Щегловск, Открыта Щегловская городская библиотека</v>
      </c>
      <c r="Z1851" s="6" t="str">
        <f>IFERROR(__xludf.DUMMYFUNCTION("""COMPUTED_VALUE"""),"когда приехал Хворостовский на 9 мая")</f>
        <v>когда приехал Хворостовский на 9 мая</v>
      </c>
      <c r="AA1851" s="6" t="str">
        <f>IFERROR(__xludf.DUMMYFUNCTION("""COMPUTED_VALUE"""),"голосование на ""пеньках"" за конституцию")</f>
        <v>голосование на "пеньках" за конституцию</v>
      </c>
      <c r="AB1851" s="6" t="str">
        <f>IFERROR(__xludf.DUMMYFUNCTION("""COMPUTED_VALUE"""),"Кемерово без коррупции, оппозиционных, свобода слова")</f>
        <v>Кемерово без коррупции, оппозиционных, свобода слова</v>
      </c>
      <c r="AC1851" s="6" t="str">
        <f>IFERROR(__xludf.DUMMYFUNCTION("""COMPUTED_VALUE"""),"честные выборы...прям очень не хватает ")</f>
        <v>честные выборы...прям очень не хватает </v>
      </c>
      <c r="AD1851"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851" s="6" t="str">
        <f>IFERROR(__xludf.DUMMYFUNCTION("""COMPUTED_VALUE"""),"Женский")</f>
        <v>Женский</v>
      </c>
      <c r="AF1851" s="6" t="str">
        <f>IFERROR(__xludf.DUMMYFUNCTION("""COMPUTED_VALUE"""),"30-44")</f>
        <v>30-44</v>
      </c>
      <c r="AG1851" s="6"/>
      <c r="AH1851" s="6"/>
      <c r="AI1851" s="6"/>
      <c r="AJ1851" s="6"/>
      <c r="AK1851" s="6"/>
      <c r="AL1851" s="6"/>
      <c r="AM1851" s="6"/>
    </row>
    <row r="1852">
      <c r="A1852" s="6">
        <v>1851.0</v>
      </c>
      <c r="B1852" s="6" t="str">
        <f>IFERROR(__xludf.DUMMYFUNCTION("""COMPUTED_VALUE"""),"Ругаю власть")</f>
        <v>Ругаю власть</v>
      </c>
      <c r="C1852" s="6" t="str">
        <f>IFERROR(__xludf.DUMMYFUNCTION("""COMPUTED_VALUE"""),"Ругать власть")</f>
        <v>Ругать власть</v>
      </c>
      <c r="D1852" s="6" t="str">
        <f>IFERROR(__xludf.DUMMYFUNCTION("""COMPUTED_VALUE"""),"Поляна")</f>
        <v>Поляна</v>
      </c>
      <c r="E1852" s="6" t="str">
        <f>IFERROR(__xludf.DUMMYFUNCTION("""COMPUTED_VALUE"""),"Олень")</f>
        <v>Олень</v>
      </c>
      <c r="F1852" s="6" t="str">
        <f>IFERROR(__xludf.DUMMYFUNCTION("""COMPUTED_VALUE"""),"Переехал сюда из другого места (откуда? укажите в графе другое), Междуреченск")</f>
        <v>Переехал сюда из другого места (откуда? укажите в графе другое), Междуреченск</v>
      </c>
      <c r="G1852" s="6" t="str">
        <f>IFERROR(__xludf.DUMMYFUNCTION("""COMPUTED_VALUE"""),"За Кудыкину Гору")</f>
        <v>За Кудыкину Гору</v>
      </c>
      <c r="H1852" s="6" t="str">
        <f>IFERROR(__xludf.DUMMYFUNCTION("""COMPUTED_VALUE"""),"Уютный, родной")</f>
        <v>Уютный, родной</v>
      </c>
      <c r="I1852" s="6" t="str">
        <f>IFERROR(__xludf.DUMMYFUNCTION("""COMPUTED_VALUE"""),"Леонов")</f>
        <v>Леонов</v>
      </c>
      <c r="J1852" s="6" t="str">
        <f>IFERROR(__xludf.DUMMYFUNCTION("""COMPUTED_VALUE"""),"Михайлов")</f>
        <v>Михайлов</v>
      </c>
      <c r="K1852" s="6" t="str">
        <f>IFERROR(__xludf.DUMMYFUNCTION("""COMPUTED_VALUE"""),"Азот, кокс, полигон ТБО")</f>
        <v>Азот, кокс, полигон ТБО</v>
      </c>
      <c r="L1852" s="6" t="str">
        <f>IFERROR(__xludf.DUMMYFUNCTION("""COMPUTED_VALUE"""),"Новогодняя елка за 26 млн. Ванечка Ургант даже про нее говорил")</f>
        <v>Новогодняя елка за 26 млн. Ванечка Ургант даже про нее говорил</v>
      </c>
      <c r="M1852" s="6" t="str">
        <f>IFERROR(__xludf.DUMMYFUNCTION("""COMPUTED_VALUE"""),"Зоокузбасс. На многих машинах написано почему то....наверное людям нужен зоопарк.")</f>
        <v>Зоокузбасс. На многих машинах написано почему то....наверное людям нужен зоопарк.</v>
      </c>
      <c r="N1852" s="6" t="str">
        <f>IFERROR(__xludf.DUMMYFUNCTION("""COMPUTED_VALUE"""),"Чисто, уютно, безопасно")</f>
        <v>Чисто, уютно, безопасно</v>
      </c>
      <c r="O1852" s="6" t="str">
        <f>IFERROR(__xludf.DUMMYFUNCTION("""COMPUTED_VALUE"""),"Сменить Мэра и его команду")</f>
        <v>Сменить Мэра и его команду</v>
      </c>
      <c r="P1852" s="6" t="str">
        <f>IFERROR(__xludf.DUMMYFUNCTION("""COMPUTED_VALUE"""),"Инста, вк")</f>
        <v>Инста, вк</v>
      </c>
      <c r="Q1852"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(рейтинги/аналитика/"&amp;"тенденции)")</f>
        <v>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v>
      </c>
      <c r="R1852" s="6" t="str">
        <f>IFERROR(__xludf.DUMMYFUNCTION("""COMPUTED_VALUE"""),"9 мая. Новый Год.")</f>
        <v>9 мая. Новый Год.</v>
      </c>
      <c r="S1852" s="6" t="str">
        <f>IFERROR(__xludf.DUMMYFUNCTION("""COMPUTED_VALUE"""),"Много раз организовывал и участвовал в концертах.")</f>
        <v>Много раз организовывал и участвовал в концертах.</v>
      </c>
      <c r="T1852" s="6" t="str">
        <f>IFERROR(__xludf.DUMMYFUNCTION("""COMPUTED_VALUE"""),"Печально знаменит Историей Зимней Вишни")</f>
        <v>Печально знаменит Историей Зимней Вишни</v>
      </c>
      <c r="U1852" s="6" t="str">
        <f>IFERROR(__xludf.DUMMYFUNCTION("""COMPUTED_VALUE"""),"Старый центр. Бульвар Строителей")</f>
        <v>Старый центр. Бульвар Строителей</v>
      </c>
      <c r="V1852" s="6" t="str">
        <f>IFERROR(__xludf.DUMMYFUNCTION("""COMPUTED_VALUE"""),"Вкалывали и построили предприятия и город. Потом пришли проклятые буржуины. Большинство предприятий разграблено и закрыто, остальное присвоили буржуины.")</f>
        <v>Вкалывали и построили предприятия и город. Потом пришли проклятые буржуины. Большинство предприятий разграблено и закрыто, остальное присвоили буржуины.</v>
      </c>
      <c r="W1852" s="6" t="str">
        <f>IFERROR(__xludf.DUMMYFUNCTION("""COMPUTED_VALUE"""),"На лицо ужасные, добрые внутри (с)")</f>
        <v>На лицо ужасные, добрые внутри (с)</v>
      </c>
      <c r="X1852" s="6" t="str">
        <f>IFERROR(__xludf.DUMMYFUNCTION("""COMPUTED_VALUE"""),"Драмтеатр, аллея героев, набережная, пл Пушкина, Арочная, плозадь Советов, пр Советский. И улица бедняков в Лесной Поляне.")</f>
        <v>Драмтеатр, аллея героев, набережная, пл Пушкина, Арочная, плозадь Советов, пр Советский. И улица бедняков в Лесной Поляне.</v>
      </c>
      <c r="Y1852" s="6" t="str">
        <f>IFERROR(__xludf.DUMMYFUNCTION("""COMPUTED_VALUE"""),"Переименование Щегловска в Кемерово. Создание театра Ложа Евгения Гришковца")</f>
        <v>Переименование Щегловска в Кемерово. Создание театра Ложа Евгения Гришковца</v>
      </c>
      <c r="Z1852" s="6" t="str">
        <f>IFERROR(__xludf.DUMMYFUNCTION("""COMPUTED_VALUE"""),"Постройка новых детских садов в Лесной Поляне")</f>
        <v>Постройка новых детских садов в Лесной Поляне</v>
      </c>
      <c r="AA1852" s="6" t="str">
        <f>IFERROR(__xludf.DUMMYFUNCTION("""COMPUTED_VALUE"""),"Убийство Веры Пехтелевой. Отвратительная работа полиции. Не пускали граждан на слушания по городскому бюджету.")</f>
        <v>Убийство Веры Пехтелевой. Отвратительная работа полиции. Не пускали граждан на слушания по городскому бюджету.</v>
      </c>
      <c r="AB1852" s="6" t="str">
        <f>IFERROR(__xludf.DUMMYFUNCTION("""COMPUTED_VALUE"""),"Крепких профсоюзов и красных рабочих отрядов.")</f>
        <v>Крепких профсоюзов и красных рабочих отрядов.</v>
      </c>
      <c r="AC1852" s="6" t="str">
        <f>IFERROR(__xludf.DUMMYFUNCTION("""COMPUTED_VALUE"""),"Открытие новых рабочих мест, повышение уровня дохода простых горожан. Смена чиновников в администрации на людей работающих для народа.")</f>
        <v>Открытие новых рабочих мест, повышение уровня дохода простых горожан. Смена чиновников в администрации на людей работающих для народа.</v>
      </c>
      <c r="AD1852"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852" s="6" t="str">
        <f>IFERROR(__xludf.DUMMYFUNCTION("""COMPUTED_VALUE"""),"Мужской")</f>
        <v>Мужской</v>
      </c>
      <c r="AF1852" s="6" t="str">
        <f>IFERROR(__xludf.DUMMYFUNCTION("""COMPUTED_VALUE"""),"45-55")</f>
        <v>45-55</v>
      </c>
      <c r="AG1852" s="6"/>
      <c r="AH1852" s="6"/>
      <c r="AI1852" s="6"/>
      <c r="AJ1852" s="6"/>
      <c r="AK1852" s="6"/>
      <c r="AL1852" s="6"/>
      <c r="AM1852" s="6"/>
    </row>
    <row r="1853">
      <c r="A1853" s="6">
        <v>1852.0</v>
      </c>
      <c r="B1853" s="6" t="str">
        <f>IFERROR(__xludf.DUMMYFUNCTION("""COMPUTED_VALUE"""),"Работаю. ИП")</f>
        <v>Работаю. ИП</v>
      </c>
      <c r="C1853" s="6" t="str">
        <f>IFERROR(__xludf.DUMMYFUNCTION("""COMPUTED_VALUE"""),"Делать красоту для людей")</f>
        <v>Делать красоту для людей</v>
      </c>
      <c r="D1853" s="6" t="str">
        <f>IFERROR(__xludf.DUMMYFUNCTION("""COMPUTED_VALUE"""),"Кировский")</f>
        <v>Кировский</v>
      </c>
      <c r="E1853" s="6" t="str">
        <f>IFERROR(__xludf.DUMMYFUNCTION("""COMPUTED_VALUE"""),"Берёзовая роща")</f>
        <v>Берёзовая роща</v>
      </c>
      <c r="F1853" s="6" t="str">
        <f>IFERROR(__xludf.DUMMYFUNCTION("""COMPUTED_VALUE"""),"Живу здесь с рождения")</f>
        <v>Живу здесь с рождения</v>
      </c>
      <c r="G1853" s="6" t="str">
        <f>IFERROR(__xludf.DUMMYFUNCTION("""COMPUTED_VALUE"""),"Кировская набережная")</f>
        <v>Кировская набережная</v>
      </c>
      <c r="H1853" s="6" t="str">
        <f>IFERROR(__xludf.DUMMYFUNCTION("""COMPUTED_VALUE"""),"Идеальный, экологичный, чистый, уютный и родной ")</f>
        <v>Идеальный, экологичный, чистый, уютный и родной </v>
      </c>
      <c r="I1853" s="6" t="str">
        <f>IFERROR(__xludf.DUMMYFUNCTION("""COMPUTED_VALUE"""),"Не знаю ")</f>
        <v>Не знаю </v>
      </c>
      <c r="J1853" s="6" t="str">
        <f>IFERROR(__xludf.DUMMYFUNCTION("""COMPUTED_VALUE"""),"Не знаю ")</f>
        <v>Не знаю </v>
      </c>
      <c r="K1853" s="6" t="str">
        <f>IFERROR(__xludf.DUMMYFUNCTION("""COMPUTED_VALUE"""),"Памятник Ленина ")</f>
        <v>Памятник Ленина </v>
      </c>
      <c r="L1853" s="6" t="str">
        <f>IFERROR(__xludf.DUMMYFUNCTION("""COMPUTED_VALUE"""),"Сложно ")</f>
        <v>Сложно </v>
      </c>
      <c r="M1853" s="6" t="str">
        <f>IFERROR(__xludf.DUMMYFUNCTION("""COMPUTED_VALUE"""),"Нет")</f>
        <v>Нет</v>
      </c>
      <c r="N1853" s="6" t="str">
        <f>IFERROR(__xludf.DUMMYFUNCTION("""COMPUTED_VALUE"""),"Высокая зарплата, чистота в городе без заводов, низкие цены на жилье, не повышение цен на жкх")</f>
        <v>Высокая зарплата, чистота в городе без заводов, низкие цены на жилье, не повышение цен на жкх</v>
      </c>
      <c r="O1853" s="6" t="str">
        <f>IFERROR(__xludf.DUMMYFUNCTION("""COMPUTED_VALUE"""),"Губернатора")</f>
        <v>Губернатора</v>
      </c>
      <c r="P1853" s="6" t="str">
        <f>IFERROR(__xludf.DUMMYFUNCTION("""COMPUTED_VALUE"""),"Инцидент Кемерово ")</f>
        <v>Инцидент Кемерово </v>
      </c>
      <c r="Q1853" s="6" t="str">
        <f>IFERROR(__xludf.DUMMYFUNCTION("""COMPUTED_VALUE"""),"куда пойти в свободное время, где вкусно поесть/открытие новых кафе/ресторанов, новости про новые профессии/куда поступать/вакансии")</f>
        <v>куда пойти в свободное время, где вкусно поесть/открытие новых кафе/ресторанов, новости про новые профессии/куда поступать/вакансии</v>
      </c>
      <c r="R1853" s="6" t="str">
        <f>IFERROR(__xludf.DUMMYFUNCTION("""COMPUTED_VALUE"""),"День шахтёра, 9 мая , день города ")</f>
        <v>День шахтёра, 9 мая , день города </v>
      </c>
      <c r="S1853" s="6" t="str">
        <f>IFERROR(__xludf.DUMMYFUNCTION("""COMPUTED_VALUE"""),"Нет, не приходилось")</f>
        <v>Нет, не приходилось</v>
      </c>
      <c r="T1853" s="6" t="str">
        <f>IFERROR(__xludf.DUMMYFUNCTION("""COMPUTED_VALUE"""),"Большая угледобываемость")</f>
        <v>Большая угледобываемость</v>
      </c>
      <c r="U1853" s="6" t="str">
        <f>IFERROR(__xludf.DUMMYFUNCTION("""COMPUTED_VALUE"""),"Площадь  советов ")</f>
        <v>Площадь  советов </v>
      </c>
      <c r="V1853" s="6" t="str">
        <f>IFERROR(__xludf.DUMMYFUNCTION("""COMPUTED_VALUE"""),"Открыли кучу ненужных организаций ")</f>
        <v>Открыли кучу ненужных организаций </v>
      </c>
      <c r="W1853" s="6" t="str">
        <f>IFERROR(__xludf.DUMMYFUNCTION("""COMPUTED_VALUE"""),"Озлобленные  и бестактные люди. В них нет ничего святого и доброго, готовы сожрать друг друга от своих же проблем.")</f>
        <v>Озлобленные  и бестактные люди. В них нет ничего святого и доброго, готовы сожрать друг друга от своих же проблем.</v>
      </c>
      <c r="X1853" s="6" t="str">
        <f>IFERROR(__xludf.DUMMYFUNCTION("""COMPUTED_VALUE"""),"С вокзала до площади советов ")</f>
        <v>С вокзала до площади советов </v>
      </c>
      <c r="Y1853" s="6" t="str">
        <f>IFERROR(__xludf.DUMMYFUNCTION("""COMPUTED_VALUE"""),"Не помню ")</f>
        <v>Не помню </v>
      </c>
      <c r="Z1853" s="6" t="str">
        <f>IFERROR(__xludf.DUMMYFUNCTION("""COMPUTED_VALUE"""),"Не помню")</f>
        <v>Не помню</v>
      </c>
      <c r="AA1853" s="6" t="str">
        <f>IFERROR(__xludf.DUMMYFUNCTION("""COMPUTED_VALUE"""),"Митинг за навального. Полный идиотизм ")</f>
        <v>Митинг за навального. Полный идиотизм </v>
      </c>
      <c r="AB1853" s="6" t="str">
        <f>IFERROR(__xludf.DUMMYFUNCTION("""COMPUTED_VALUE"""),"Никаких ")</f>
        <v>Никаких </v>
      </c>
      <c r="AC1853" s="6" t="str">
        <f>IFERROR(__xludf.DUMMYFUNCTION("""COMPUTED_VALUE"""),"Их и так предостаточно ")</f>
        <v>Их и так предостаточно </v>
      </c>
      <c r="AD185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853" s="6" t="str">
        <f>IFERROR(__xludf.DUMMYFUNCTION("""COMPUTED_VALUE"""),"Женский")</f>
        <v>Женский</v>
      </c>
      <c r="AF1853" s="6" t="str">
        <f>IFERROR(__xludf.DUMMYFUNCTION("""COMPUTED_VALUE"""),"18-29")</f>
        <v>18-29</v>
      </c>
      <c r="AG1853" s="6"/>
      <c r="AH1853" s="6"/>
      <c r="AI1853" s="6"/>
      <c r="AJ1853" s="6"/>
      <c r="AK1853" s="6"/>
      <c r="AL1853" s="6"/>
      <c r="AM1853" s="6"/>
    </row>
    <row r="1854">
      <c r="A1854" s="6">
        <v>1853.0</v>
      </c>
      <c r="B1854" s="6" t="str">
        <f>IFERROR(__xludf.DUMMYFUNCTION("""COMPUTED_VALUE"""),"Инженер-топограф ")</f>
        <v>Инженер-топограф </v>
      </c>
      <c r="C1854" s="6" t="str">
        <f>IFERROR(__xludf.DUMMYFUNCTION("""COMPUTED_VALUE"""),"Прогулки, просмотр сериалов ")</f>
        <v>Прогулки, просмотр сериалов </v>
      </c>
      <c r="D1854" s="6" t="str">
        <f>IFERROR(__xludf.DUMMYFUNCTION("""COMPUTED_VALUE"""),"Лесная поляна. Называю «поляна» ")</f>
        <v>Лесная поляна. Называю «поляна» </v>
      </c>
      <c r="E1854" s="6" t="str">
        <f>IFERROR(__xludf.DUMMYFUNCTION("""COMPUTED_VALUE"""),"Прогулочные бульвары (весенний, осенний, кедровый), парк на весеннем бульваре ")</f>
        <v>Прогулочные бульвары (весенний, осенний, кедровый), парк на весеннем бульваре </v>
      </c>
      <c r="F1854" s="6" t="str">
        <f>IFERROR(__xludf.DUMMYFUNCTION("""COMPUTED_VALUE"""),"Переехал сюда из другого места (откуда? укажите в графе другое), Переехала из Ленинска-Кузнецкого. Перееехала сюда из-за близости к родному городу и родителям. Более крупный город, чем ЛК")</f>
        <v>Переехал сюда из другого места (откуда? укажите в графе другое), Переехала из Ленинска-Кузнецкого. Перееехала сюда из-за близости к родному городу и родителям. Более крупный город, чем ЛК</v>
      </c>
      <c r="G1854" s="6" t="str">
        <f>IFERROR(__xludf.DUMMYFUNCTION("""COMPUTED_VALUE"""),"Гуляю по центру(пр. Советский, ул Красная, ноградская, дзержинского, б-р Осенний, пр-т Михайлова, Тц лапландия тц я")</f>
        <v>Гуляю по центру(пр. Советский, ул Красная, ноградская, дзержинского, б-р Осенний, пр-т Михайлова, Тц лапландия тц я</v>
      </c>
      <c r="H1854" s="6" t="str">
        <f>IFERROR(__xludf.DUMMYFUNCTION("""COMPUTED_VALUE"""),"Растущий, зелёный, перегруженный (пробки), пыльный, не яркий ")</f>
        <v>Растущий, зелёный, перегруженный (пробки), пыльный, не яркий </v>
      </c>
      <c r="I1854" s="6" t="str">
        <f>IFERROR(__xludf.DUMMYFUNCTION("""COMPUTED_VALUE"""),"В. В. Михайлов, А.Г. Тулеев ")</f>
        <v>В. В. Михайлов, А.Г. Тулеев </v>
      </c>
      <c r="J1854" s="6" t="str">
        <f>IFERROR(__xludf.DUMMYFUNCTION("""COMPUTED_VALUE"""),"Затрудняюсь дать ответ ")</f>
        <v>Затрудняюсь дать ответ </v>
      </c>
      <c r="K1854" s="6" t="str">
        <f>IFERROR(__xludf.DUMMYFUNCTION("""COMPUTED_VALUE"""),"Лесная поляна, памятник шахтерской славы (на др. берегу), парк Чудес, набережная.")</f>
        <v>Лесная поляна, памятник шахтерской славы (на др. берегу), парк Чудес, набережная.</v>
      </c>
      <c r="L1854" s="6" t="str">
        <f>IFERROR(__xludf.DUMMYFUNCTION("""COMPUTED_VALUE"""),"Затрудняюсь дать ответ ")</f>
        <v>Затрудняюсь дать ответ </v>
      </c>
      <c r="M1854" s="6" t="str">
        <f>IFERROR(__xludf.DUMMYFUNCTION("""COMPUTED_VALUE"""),"Поехать на ноградскую ( в бары, клубы)")</f>
        <v>Поехать на ноградскую ( в бары, клубы)</v>
      </c>
      <c r="N1854" s="6" t="str">
        <f>IFERROR(__xludf.DUMMYFUNCTION("""COMPUTED_VALUE"""),"Чем больше зелени вокруг - тем лучше. Экологическая обстановка тоже очень важна. Доступность транспорта. Большой выбор в тц и магазинах. Низкие цены на продукты и топливо в городе. Наличие зон для отдыха (водоемы для купания и рыбалки, турбазы, зимой - лы"&amp;"жи и сноуборд (наличие мест для спуска)). ")</f>
        <v>Чем больше зелени вокруг - тем лучше. Экологическая обстановка тоже очень важна. Доступность транспорта. Большой выбор в тц и магазинах. Низкие цены на продукты и топливо в городе. Наличие зон для отдыха (водоемы для купания и рыбалки, турбазы, зимой - лыжи и сноуборд (наличие мест для спуска)). </v>
      </c>
      <c r="O1854" s="6" t="str">
        <f>IFERROR(__xludf.DUMMYFUNCTION("""COMPUTED_VALUE"""),"Добавить большеЕ количество месть отдыха и улучшить экологическую обстановку ")</f>
        <v>Добавить большеЕ количество месть отдыха и улучшить экологическую обстановку </v>
      </c>
      <c r="P1854" s="6" t="str">
        <f>IFERROR(__xludf.DUMMYFUNCTION("""COMPUTED_VALUE"""),"Блог в Инстаграм фея скидок. Блог в Инстаграм Кузбасс ньюс. От коллег на работе. ")</f>
        <v>Блог в Инстаграм фея скидок. Блог в Инстаграм Кузбасс ньюс. От коллег на работе. </v>
      </c>
      <c r="Q1854"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 результаты местных исследований (рейтинги/аналитика/тенденции)")</f>
        <v>куда пойти в свободное время, где вкусно поесть/открытие новых кафе/ресторанов, криминальные новости (происшествия/преступления), результаты местных исследований (рейтинги/аналитика/тенденции)</v>
      </c>
      <c r="R1854" s="6" t="str">
        <f>IFERROR(__xludf.DUMMYFUNCTION("""COMPUTED_VALUE"""),"Новый год, день города ")</f>
        <v>Новый год, день города </v>
      </c>
      <c r="S1854" s="6" t="str">
        <f>IFERROR(__xludf.DUMMYFUNCTION("""COMPUTED_VALUE"""),"Была работником парка Чудес, организовывала там мероприятия")</f>
        <v>Была работником парка Чудес, организовывала там мероприятия</v>
      </c>
      <c r="T1854" s="6" t="str">
        <f>IFERROR(__xludf.DUMMYFUNCTION("""COMPUTED_VALUE"""),"Столица шахтерского Края. Елка за много миллионов ))")</f>
        <v>Столица шахтерского Края. Елка за много миллионов ))</v>
      </c>
      <c r="U1854" s="6" t="str">
        <f>IFERROR(__xludf.DUMMYFUNCTION("""COMPUTED_VALUE"""),"Площадь советов, старый центр (возле стадиона)")</f>
        <v>Площадь советов, старый центр (возле стадиона)</v>
      </c>
      <c r="V1854" s="6" t="str">
        <f>IFERROR(__xludf.DUMMYFUNCTION("""COMPUTED_VALUE"""),"Усиленно занимались добычей угля в регионе. Активно занимались застройкой города и озеленением  ")</f>
        <v>Усиленно занимались добычей угля в регионе. Активно занимались застройкой города и озеленением  </v>
      </c>
      <c r="W1854" s="6" t="str">
        <f>IFERROR(__xludf.DUMMYFUNCTION("""COMPUTED_VALUE"""),"К сожалению, чаще всего это грубость. Но так же встречается и взаимовыручка ")</f>
        <v>К сожалению, чаще всего это грубость. Но так же встречается и взаимовыручка </v>
      </c>
      <c r="X1854" s="6" t="str">
        <f>IFERROR(__xludf.DUMMYFUNCTION("""COMPUTED_VALUE"""),"Автобус приехал на вокзал. Оттуда пешком ты пошёл до парка ангелов, прогулялся там, затем по 50 лет октября пошёл и рассмотрел КУЗГТУ и свернул на ул. Весенняя. По ней дошёл до драмтеатра и вверх до Тц я. Затем обратно по набережной, мимо парка чудес и ве"&amp;"рнулся к Филармонии. Там сел на маршрутку и доехал до пр Московского, прогулялся там, и пошёл к Кадетскому корпусу, и на б-р строителей. Покушал там и поехал домой  ")</f>
        <v>Автобус приехал на вокзал. Оттуда пешком ты пошёл до парка ангелов, прогулялся там, затем по 50 лет октября пошёл и рассмотрел КУЗГТУ и свернул на ул. Весенняя. По ней дошёл до драмтеатра и вверх до Тц я. Затем обратно по набережной, мимо парка чудес и вернулся к Филармонии. Там сел на маршрутку и доехал до пр Московского, прогулялся там, и пошёл к Кадетскому корпусу, и на б-р строителей. Покушал там и поехал домой  </v>
      </c>
      <c r="Y1854" s="6" t="str">
        <f>IFERROR(__xludf.DUMMYFUNCTION("""COMPUTED_VALUE"""),"Открытие президентского кадетского училища и кассационного суда ")</f>
        <v>Открытие президентского кадетского училища и кассационного суда </v>
      </c>
      <c r="Z1854" s="6" t="str">
        <f>IFERROR(__xludf.DUMMYFUNCTION("""COMPUTED_VALUE"""),"Строительство большого количества жилых домов и культурно-развлекательных, спортивных и иных центров ")</f>
        <v>Строительство большого количества жилых домов и культурно-развлекательных, спортивных и иных центров </v>
      </c>
      <c r="AA1854" s="6" t="str">
        <f>IFERROR(__xludf.DUMMYFUNCTION("""COMPUTED_VALUE"""),"Пожар в зимней вишне ")</f>
        <v>Пожар в зимней вишне </v>
      </c>
      <c r="AB1854" s="6" t="str">
        <f>IFERROR(__xludf.DUMMYFUNCTION("""COMPUTED_VALUE"""),"Сообщества, которые помогли бы поняли и найти хобби по душе, друзей и единомышленников ")</f>
        <v>Сообщества, которые помогли бы поняли и найти хобби по душе, друзей и единомышленников </v>
      </c>
      <c r="AC1854" s="6" t="str">
        <f>IFERROR(__xludf.DUMMYFUNCTION("""COMPUTED_VALUE"""),"Обычных и добрых мероприятий. Например, семейные выходные или что-то в этом духе. Парады (не на военную тему), например, когда-то проходил парад невест ")</f>
        <v>Обычных и добрых мероприятий. Например, семейные выходные или что-то в этом духе. Парады (не на военную тему), например, когда-то проходил парад невест </v>
      </c>
      <c r="AD185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854" s="6" t="str">
        <f>IFERROR(__xludf.DUMMYFUNCTION("""COMPUTED_VALUE"""),"Женский")</f>
        <v>Женский</v>
      </c>
      <c r="AF1854" s="6" t="str">
        <f>IFERROR(__xludf.DUMMYFUNCTION("""COMPUTED_VALUE"""),"18-29")</f>
        <v>18-29</v>
      </c>
      <c r="AG1854" s="6"/>
      <c r="AH1854" s="6"/>
      <c r="AI1854" s="6"/>
      <c r="AJ1854" s="6"/>
      <c r="AK1854" s="6"/>
      <c r="AL1854" s="6"/>
      <c r="AM1854" s="6"/>
    </row>
    <row r="1855">
      <c r="A1855" s="6">
        <v>1854.0</v>
      </c>
      <c r="B1855" s="6" t="str">
        <f>IFERROR(__xludf.DUMMYFUNCTION("""COMPUTED_VALUE"""),"Администратор в отеле")</f>
        <v>Администратор в отеле</v>
      </c>
      <c r="C1855" s="6" t="str">
        <f>IFERROR(__xludf.DUMMYFUNCTION("""COMPUTED_VALUE"""),"Рисование")</f>
        <v>Рисование</v>
      </c>
      <c r="D1855" s="6" t="str">
        <f>IFERROR(__xludf.DUMMYFUNCTION("""COMPUTED_VALUE"""),"Центральный")</f>
        <v>Центральный</v>
      </c>
      <c r="E1855" s="6" t="str">
        <f>IFERROR(__xludf.DUMMYFUNCTION("""COMPUTED_VALUE"""),"Много парков, тц")</f>
        <v>Много парков, тц</v>
      </c>
      <c r="F1855" s="6" t="str">
        <f>IFERROR(__xludf.DUMMYFUNCTION("""COMPUTED_VALUE"""),"Переехал сюда из другого места (откуда? укажите в графе другое), Приехала из города Сочи")</f>
        <v>Переехал сюда из другого места (откуда? укажите в графе другое), Приехала из города Сочи</v>
      </c>
      <c r="G1855" s="6" t="str">
        <f>IFERROR(__xludf.DUMMYFUNCTION("""COMPUTED_VALUE"""),"В центр, набережная, парк чудес, ул. Весенина")</f>
        <v>В центр, набережная, парк чудес, ул. Весенина</v>
      </c>
      <c r="H1855" s="6" t="str">
        <f>IFERROR(__xludf.DUMMYFUNCTION("""COMPUTED_VALUE"""),"Уголь
Туберкулёз
Снег
Относительно чисто
Много праздников")</f>
        <v>Уголь
Туберкулёз
Снег
Относительно чисто
Много праздников</v>
      </c>
      <c r="I1855" s="6" t="str">
        <f>IFERROR(__xludf.DUMMYFUNCTION("""COMPUTED_VALUE"""),"Мартьмьянов
Волошина
Леонов
Фёдоров
Панин")</f>
        <v>Мартьмьянов
Волошина
Леонов
Фёдоров
Панин</v>
      </c>
      <c r="J1855" s="6" t="str">
        <f>IFERROR(__xludf.DUMMYFUNCTION("""COMPUTED_VALUE"""),"Честно, не могу назвать. Знаю Борова, который много для археологии сделал")</f>
        <v>Честно, не могу назвать. Знаю Борова, который много для археологии сделал</v>
      </c>
      <c r="K1855" s="6" t="str">
        <f>IFERROR(__xludf.DUMMYFUNCTION("""COMPUTED_VALUE"""),"Парк ангелов, набережную, красная горка и сосновый бор")</f>
        <v>Парк ангелов, набережную, красная горка и сосновый бор</v>
      </c>
      <c r="L1855" s="6" t="str">
        <f>IFERROR(__xludf.DUMMYFUNCTION("""COMPUTED_VALUE"""),"Что нас не убивает, значит для нас сойдёт")</f>
        <v>Что нас не убивает, значит для нас сойдёт</v>
      </c>
      <c r="M1855" s="6" t="str">
        <f>IFERROR(__xludf.DUMMYFUNCTION("""COMPUTED_VALUE"""),"Маршрутка (это автобус и такси), мультифорка, маечка")</f>
        <v>Маршрутка (это автобус и такси), мультифорка, маечка</v>
      </c>
      <c r="N1855" s="6" t="str">
        <f>IFERROR(__xludf.DUMMYFUNCTION("""COMPUTED_VALUE"""),"Чистота
Хорошие дороги
Нормальные цены
Работающий транспорт и днём и ночью (хотя бы до 22 вечера, на все 4 сезона)
Безопасность")</f>
        <v>Чистота
Хорошие дороги
Нормальные цены
Работающий транспорт и днём и ночью (хотя бы до 22 вечера, на все 4 сезона)
Безопасность</v>
      </c>
      <c r="O1855" s="6" t="str">
        <f>IFERROR(__xludf.DUMMYFUNCTION("""COMPUTED_VALUE"""),"Дороги, дворы, пешеходы, время у светофор для людей")</f>
        <v>Дороги, дворы, пешеходы, время у светофор для людей</v>
      </c>
      <c r="P1855" s="6" t="str">
        <f>IFERROR(__xludf.DUMMYFUNCTION("""COMPUTED_VALUE"""),"Через рекламу, Инстаграм, ВК")</f>
        <v>Через рекламу, Инстаграм, ВК</v>
      </c>
      <c r="Q185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855" s="6" t="str">
        <f>IFERROR(__xludf.DUMMYFUNCTION("""COMPUTED_VALUE"""),"День города (обычно про это забывают из-за дня России в тот же день)")</f>
        <v>День города (обычно про это забывают из-за дня России в тот же день)</v>
      </c>
      <c r="S1855" s="6" t="str">
        <f>IFERROR(__xludf.DUMMYFUNCTION("""COMPUTED_VALUE"""),"Нет, не приходилось")</f>
        <v>Нет, не приходилось</v>
      </c>
      <c r="T1855" s="6" t="str">
        <f>IFERROR(__xludf.DUMMYFUNCTION("""COMPUTED_VALUE"""),"Зимняя вишня
Тулеев
Столица Кузбасса")</f>
        <v>Зимняя вишня
Тулеев
Столица Кузбасса</v>
      </c>
      <c r="U1855" s="6" t="str">
        <f>IFERROR(__xludf.DUMMYFUNCTION("""COMPUTED_VALUE"""),"Цирк")</f>
        <v>Цирк</v>
      </c>
      <c r="V1855" s="6" t="str">
        <f>IFERROR(__xludf.DUMMYFUNCTION("""COMPUTED_VALUE"""),"Помогали во время ВОВ")</f>
        <v>Помогали во время ВОВ</v>
      </c>
      <c r="W1855" s="6" t="str">
        <f>IFERROR(__xludf.DUMMYFUNCTION("""COMPUTED_VALUE"""),"Суровые, сильные, пофигисты")</f>
        <v>Суровые, сильные, пофигисты</v>
      </c>
      <c r="X1855" s="6" t="str">
        <f>IFERROR(__xludf.DUMMYFUNCTION("""COMPUTED_VALUE"""),"По советскому, площадь, драм театр, набережная, весенняя")</f>
        <v>По советскому, площадь, драм театр, набережная, весенняя</v>
      </c>
      <c r="Y1855" s="6" t="str">
        <f>IFERROR(__xludf.DUMMYFUNCTION("""COMPUTED_VALUE"""),"Из Щегловска превратились в Кемерово, приезд Рутгеса и Бернарду а Ван Лохема (архитектора)")</f>
        <v>Из Щегловска превратились в Кемерово, приезд Рутгеса и Бернарду а Ван Лохема (архитектора)</v>
      </c>
      <c r="Z1855" s="6" t="str">
        <f>IFERROR(__xludf.DUMMYFUNCTION("""COMPUTED_VALUE"""),"Бесплатные концерты с различными звёздами")</f>
        <v>Бесплатные концерты с различными звёздами</v>
      </c>
      <c r="AA1855" s="6" t="str">
        <f>IFERROR(__xludf.DUMMYFUNCTION("""COMPUTED_VALUE"""),"Транспорт зимой и осенью по вечерам не ездит")</f>
        <v>Транспорт зимой и осенью по вечерам не ездит</v>
      </c>
      <c r="AB1855" s="6" t="str">
        <f>IFERROR(__xludf.DUMMYFUNCTION("""COMPUTED_VALUE"""),"Клуб любителей кошек")</f>
        <v>Клуб любителей кошек</v>
      </c>
      <c r="AC1855" s="6" t="str">
        <f>IFERROR(__xludf.DUMMYFUNCTION("""COMPUTED_VALUE"""),"Различные концерты, выставки, кинопоказы")</f>
        <v>Различные концерты, выставки, кинопоказы</v>
      </c>
      <c r="AD1855"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55" s="6" t="str">
        <f>IFERROR(__xludf.DUMMYFUNCTION("""COMPUTED_VALUE"""),"Женский")</f>
        <v>Женский</v>
      </c>
      <c r="AF1855" s="6" t="str">
        <f>IFERROR(__xludf.DUMMYFUNCTION("""COMPUTED_VALUE"""),"18-29")</f>
        <v>18-29</v>
      </c>
      <c r="AG1855" s="6"/>
      <c r="AH1855" s="6"/>
      <c r="AI1855" s="6"/>
      <c r="AJ1855" s="6"/>
      <c r="AK1855" s="6"/>
      <c r="AL1855" s="6"/>
      <c r="AM1855" s="6"/>
    </row>
    <row r="1856">
      <c r="A1856" s="6">
        <v>1855.0</v>
      </c>
      <c r="B1856" s="6" t="str">
        <f>IFERROR(__xludf.DUMMYFUNCTION("""COMPUTED_VALUE"""),"Я школьник")</f>
        <v>Я школьник</v>
      </c>
      <c r="C1856" s="6" t="str">
        <f>IFERROR(__xludf.DUMMYFUNCTION("""COMPUTED_VALUE"""),"Учусь")</f>
        <v>Учусь</v>
      </c>
      <c r="D1856" s="6" t="str">
        <f>IFERROR(__xludf.DUMMYFUNCTION("""COMPUTED_VALUE"""),"Кемеровская обл тоже кемерово")</f>
        <v>Кемеровская обл тоже кемерово</v>
      </c>
      <c r="E1856" s="6" t="str">
        <f>IFERROR(__xludf.DUMMYFUNCTION("""COMPUTED_VALUE"""),"Детская жд дорога, красивые дома, красивые католические церкви, не как в москве, круче")</f>
        <v>Детская жд дорога, красивые дома, красивые католические церкви, не как в москве, круче</v>
      </c>
      <c r="F1856" s="6" t="str">
        <f>IFERROR(__xludf.DUMMYFUNCTION("""COMPUTED_VALUE"""),"Живу здесь с рождения")</f>
        <v>Живу здесь с рождения</v>
      </c>
      <c r="G1856" s="6" t="str">
        <f>IFERROR(__xludf.DUMMYFUNCTION("""COMPUTED_VALUE"""),"В городе приятно находиться, приятно посещать парки, можно зайти в тц")</f>
        <v>В городе приятно находиться, приятно посещать парки, можно зайти в тц</v>
      </c>
      <c r="H1856" s="6" t="str">
        <f>IFERROR(__xludf.DUMMYFUNCTION("""COMPUTED_VALUE"""),"Красота, краски, идеальность, современность, стиль ")</f>
        <v>Красота, краски, идеальность, современность, стиль </v>
      </c>
      <c r="I1856" s="6" t="str">
        <f>IFERROR(__xludf.DUMMYFUNCTION("""COMPUTED_VALUE"""),"Тулеев")</f>
        <v>Тулеев</v>
      </c>
      <c r="J1856" s="6" t="str">
        <f>IFERROR(__xludf.DUMMYFUNCTION("""COMPUTED_VALUE"""),"Тулеев")</f>
        <v>Тулеев</v>
      </c>
      <c r="K1856" s="6" t="str">
        <f>IFERROR(__xludf.DUMMYFUNCTION("""COMPUTED_VALUE"""),"Красивая католическая церковь с черным куполом, очень нравится, ухоженные парки, не страшно стоять и ходить по улицам в отличии грязной москвы")</f>
        <v>Красивая католическая церковь с черным куполом, очень нравится, ухоженные парки, не страшно стоять и ходить по улицам в отличии грязной москвы</v>
      </c>
      <c r="L1856" s="6" t="str">
        <f>IFERROR(__xludf.DUMMYFUNCTION("""COMPUTED_VALUE"""),"Город– отражение лица ответственного за него человека. ")</f>
        <v>Город– отражение лица ответственного за него человека. </v>
      </c>
      <c r="M1856" s="6" t="str">
        <f>IFERROR(__xludf.DUMMYFUNCTION("""COMPUTED_VALUE"""),"Много названий местных кафешек и мест где можно посидеть и погулять")</f>
        <v>Много названий местных кафешек и мест где можно посидеть и погулять</v>
      </c>
      <c r="N1856" s="6" t="str">
        <f>IFERROR(__xludf.DUMMYFUNCTION("""COMPUTED_VALUE"""),"Места где есть учеба, работа, красивый вид из окна, нет барак, давно снесены старые дома и заменены на новые, современные, ровные дороги, красивые ухоженные парки, чистые дворы, часто проводятся субботники, есть комендантский час как для детей, так и для "&amp;"взрослых ")</f>
        <v>Места где есть учеба, работа, красивый вид из окна, нет барак, давно снесены старые дома и заменены на новые, современные, ровные дороги, красивые ухоженные парки, чистые дворы, часто проводятся субботники, есть комендантский час как для детей, так и для взрослых </v>
      </c>
      <c r="O1856" s="6" t="str">
        <f>IFERROR(__xludf.DUMMYFUNCTION("""COMPUTED_VALUE"""),"Все прекрасно, но зарплаты мед.работников да и просто работников хромают. Сам город выглядит очень красиво и эстетично. Я бы добавила парочку фонтанов в парках, или просто парки. Также стоит спонсировать не макдональдсы, а отечественных производителей. Ст"&amp;"оит открыть наверное больше разных кафешек с разной едой, а не однотипной, чтобы туда тянулись люди, или то же «котокафе». ")</f>
        <v>Все прекрасно, но зарплаты мед.работников да и просто работников хромают. Сам город выглядит очень красиво и эстетично. Я бы добавила парочку фонтанов в парках, или просто парки. Также стоит спонсировать не макдональдсы, а отечественных производителей. Стоит открыть наверное больше разных кафешек с разной едой, а не однотипной, чтобы туда тянулись люди, или то же «котокафе». </v>
      </c>
      <c r="P1856" s="6" t="str">
        <f>IFERROR(__xludf.DUMMYFUNCTION("""COMPUTED_VALUE"""),"Говорят, что это очень красивый город. По фото очень изменился. Ровные дороги, вкусная еда, крутые доступные ларьки с заграничными сладостями очень радуют. ")</f>
        <v>Говорят, что это очень красивый город. По фото очень изменился. Ровные дороги, вкусная еда, крутые доступные ларьки с заграничными сладостями очень радуют. </v>
      </c>
      <c r="Q185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 Эксперты в области медицины, науки, тенденций моды, современных увлечений молодежи, как лучше вести себя с детьми")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Эксперты в области медицины, науки, тенденций моды, современных увлечений молодежи, как лучше вести себя с детьми</v>
      </c>
      <c r="R1856" s="6" t="str">
        <f>IFERROR(__xludf.DUMMYFUNCTION("""COMPUTED_VALUE"""),"Новый год, Масленица. ")</f>
        <v>Новый год, Масленица. </v>
      </c>
      <c r="S1856" s="6" t="str">
        <f>IFERROR(__xludf.DUMMYFUNCTION("""COMPUTED_VALUE"""),"Нет, не приходилось, Бывало посещала аниме-фестиваль, очень запомнился, ради них приезжаю часто с подругой))")</f>
        <v>Нет, не приходилось, Бывало посещала аниме-фестиваль, очень запомнился, ради них приезжаю часто с подругой))</v>
      </c>
      <c r="T1856" s="6" t="str">
        <f>IFERROR(__xludf.DUMMYFUNCTION("""COMPUTED_VALUE"""),"Все для жителей, город, который выглядит как город с обложки")</f>
        <v>Все для жителей, город, который выглядит как город с обложки</v>
      </c>
      <c r="U1856" s="6" t="str">
        <f>IFERROR(__xludf.DUMMYFUNCTION("""COMPUTED_VALUE"""),"Храм с черным куполом, развлекательные центры и большие тц")</f>
        <v>Храм с черным куполом, развлекательные центры и большие тц</v>
      </c>
      <c r="V1856" s="6" t="str">
        <f>IFERROR(__xludf.DUMMYFUNCTION("""COMPUTED_VALUE"""),"Организовывают подростковые мероприятия а-ля аниме-фестивалей, чтобы заинтересовать молодежь учиться в Кемерово, и не уезжать) ")</f>
        <v>Организовывают подростковые мероприятия а-ля аниме-фестивалей, чтобы заинтересовать молодежь учиться в Кемерово, и не уезжать) </v>
      </c>
      <c r="W1856" s="6" t="str">
        <f>IFERROR(__xludf.DUMMYFUNCTION("""COMPUTED_VALUE"""),"Хорошие, добрые, отзывчивые. Как-то раз заблудились с подругой, помогли добраться на автобусе до другого конца города и объяснили все)")</f>
        <v>Хорошие, добрые, отзывчивые. Как-то раз заблудились с подругой, помогли добраться на автобусе до другого конца города и объяснили все)</v>
      </c>
      <c r="X1856" s="6" t="str">
        <f>IFERROR(__xludf.DUMMYFUNCTION("""COMPUTED_VALUE"""),"Съездить в радугу, погулять по паркам, сфотографироваться возле детской жд дороги (рядом красивый холм, впервые вижу такое, необычный газон), надо добавить подобные холмики еще, выглядит экзотично. ")</f>
        <v>Съездить в радугу, погулять по паркам, сфотографироваться возле детской жд дороги (рядом красивый холм, впервые вижу такое, необычный газон), надо добавить подобные холмики еще, выглядит экзотично. </v>
      </c>
      <c r="Y1856" s="6" t="str">
        <f>IFERROR(__xludf.DUMMYFUNCTION("""COMPUTED_VALUE"""),"В Кемерово самые лучшие врачи, это знают все")</f>
        <v>В Кемерово самые лучшие врачи, это знают все</v>
      </c>
      <c r="Z1856" s="6" t="str">
        <f>IFERROR(__xludf.DUMMYFUNCTION("""COMPUTED_VALUE"""),"Город стал чище и красивее, дороги ровнее, больше и круче новых магазинов для молодежи")</f>
        <v>Город стал чище и красивее, дороги ровнее, больше и круче новых магазинов для молодежи</v>
      </c>
      <c r="AA1856" s="6" t="str">
        <f>IFERROR(__xludf.DUMMYFUNCTION("""COMPUTED_VALUE"""),"Их не было")</f>
        <v>Их не было</v>
      </c>
      <c r="AB1856" s="6" t="str">
        <f>IFERROR(__xludf.DUMMYFUNCTION("""COMPUTED_VALUE"""),"Однозначно секонхендов! ")</f>
        <v>Однозначно секонхендов! </v>
      </c>
      <c r="AC1856" s="6" t="str">
        <f>IFERROR(__xludf.DUMMYFUNCTION("""COMPUTED_VALUE"""),"Аниме-фестивали, концерты от современных исполнителей, просто посещения и мероприятия от современных личностей как например Хофманнита")</f>
        <v>Аниме-фестивали, концерты от современных исполнителей, просто посещения и мероприятия от современных личностей как например Хофманнита</v>
      </c>
      <c r="AD185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v>
      </c>
      <c r="AE1856" s="6" t="str">
        <f>IFERROR(__xludf.DUMMYFUNCTION("""COMPUTED_VALUE"""),"Женский")</f>
        <v>Женский</v>
      </c>
      <c r="AF1856" s="6" t="str">
        <f>IFERROR(__xludf.DUMMYFUNCTION("""COMPUTED_VALUE"""),"18-29")</f>
        <v>18-29</v>
      </c>
      <c r="AG1856" s="6"/>
      <c r="AH1856" s="6"/>
      <c r="AI1856" s="6"/>
      <c r="AJ1856" s="6"/>
      <c r="AK1856" s="6"/>
      <c r="AL1856" s="6"/>
      <c r="AM1856" s="6"/>
    </row>
    <row r="1857">
      <c r="A1857" s="6">
        <v>1856.0</v>
      </c>
      <c r="B1857" s="6" t="str">
        <f>IFERROR(__xludf.DUMMYFUNCTION("""COMPUTED_VALUE"""),"Работаю")</f>
        <v>Работаю</v>
      </c>
      <c r="C1857" s="6" t="str">
        <f>IFERROR(__xludf.DUMMYFUNCTION("""COMPUTED_VALUE"""),"Спорт")</f>
        <v>Спорт</v>
      </c>
      <c r="D1857" s="6" t="str">
        <f>IFERROR(__xludf.DUMMYFUNCTION("""COMPUTED_VALUE"""),"РУДНИЧНОМ (Самом чистом)")</f>
        <v>РУДНИЧНОМ (Самом чистом)</v>
      </c>
      <c r="E1857" s="6" t="str">
        <f>IFERROR(__xludf.DUMMYFUNCTION("""COMPUTED_VALUE"""),"Бор")</f>
        <v>Бор</v>
      </c>
      <c r="F1857" s="6" t="str">
        <f>IFERROR(__xludf.DUMMYFUNCTION("""COMPUTED_VALUE"""),"Переехал сюда из другого места (откуда? укажите в графе другое), Из Тайги")</f>
        <v>Переехал сюда из другого места (откуда? укажите в графе другое), Из Тайги</v>
      </c>
      <c r="G1857" s="6" t="str">
        <f>IFERROR(__xludf.DUMMYFUNCTION("""COMPUTED_VALUE"""),"Гуляю по своему Рудничному району")</f>
        <v>Гуляю по своему Рудничному району</v>
      </c>
      <c r="H1857" s="6" t="str">
        <f>IFERROR(__xludf.DUMMYFUNCTION("""COMPUTED_VALUE"""),"Город шахтеров")</f>
        <v>Город шахтеров</v>
      </c>
      <c r="I1857" s="6" t="str">
        <f>IFERROR(__xludf.DUMMYFUNCTION("""COMPUTED_VALUE"""),"Михайло Волков")</f>
        <v>Михайло Волков</v>
      </c>
      <c r="J1857" s="6" t="str">
        <f>IFERROR(__xludf.DUMMYFUNCTION("""COMPUTED_VALUE"""),"Не знаю. Горожане в большей массе ведут себя некультурно. Море разбросаных окурков, пластиковых бутылок. На замечания реагируют неадекватно. ")</f>
        <v>Не знаю. Горожане в большей массе ведут себя некультурно. Море разбросаных окурков, пластиковых бутылок. На замечания реагируют неадекватно. </v>
      </c>
      <c r="K1857" s="6" t="str">
        <f>IFERROR(__xludf.DUMMYFUNCTION("""COMPUTED_VALUE"""),"Памятник шахтеру Эрнста Неизвестного")</f>
        <v>Памятник шахтеру Эрнста Неизвестного</v>
      </c>
      <c r="L1857" s="6" t="str">
        <f>IFERROR(__xludf.DUMMYFUNCTION("""COMPUTED_VALUE"""),"Не знаю")</f>
        <v>Не знаю</v>
      </c>
      <c r="M1857" s="6" t="str">
        <f>IFERROR(__xludf.DUMMYFUNCTION("""COMPUTED_VALUE"""),"""Человек из Кемерова""")</f>
        <v>"Человек из Кемерова"</v>
      </c>
      <c r="N1857" s="6" t="str">
        <f>IFERROR(__xludf.DUMMYFUNCTION("""COMPUTED_VALUE"""),"Чистые улицы, комфортный городской транспорт, ухоженые дома")</f>
        <v>Чистые улицы, комфортный городской транспорт, ухоженые дома</v>
      </c>
      <c r="O1857" s="6" t="str">
        <f>IFERROR(__xludf.DUMMYFUNCTION("""COMPUTED_VALUE"""),"Общественный транспорт; дорожки для велосипедистов в каждом районе, а не только в центре; восстановить обшарпаные фасады зданий; уборка улиц.")</f>
        <v>Общественный транспорт; дорожки для велосипедистов в каждом районе, а не только в центре; восстановить обшарпаные фасады зданий; уборка улиц.</v>
      </c>
      <c r="P1857" s="6" t="str">
        <f>IFERROR(__xludf.DUMMYFUNCTION("""COMPUTED_VALUE"""),"Сайт администрации Кемерово")</f>
        <v>Сайт администрации Кемерово</v>
      </c>
      <c r="Q1857" s="6" t="str">
        <f>IFERROR(__xludf.DUMMYFUNCTION("""COMPUTED_VALUE"""),"интервью с местными политиками")</f>
        <v>интервью с местными политиками</v>
      </c>
      <c r="R1857" s="6" t="str">
        <f>IFERROR(__xludf.DUMMYFUNCTION("""COMPUTED_VALUE"""),"Новый год, прощание с зимой(масленица), 9 мая, день города")</f>
        <v>Новый год, прощание с зимой(масленица), 9 мая, день города</v>
      </c>
      <c r="S1857" s="6" t="str">
        <f>IFERROR(__xludf.DUMMYFUNCTION("""COMPUTED_VALUE"""),"Нет, не приходилось")</f>
        <v>Нет, не приходилось</v>
      </c>
      <c r="T1857" s="6" t="str">
        <f>IFERROR(__xludf.DUMMYFUNCTION("""COMPUTED_VALUE"""),"Залежи угля")</f>
        <v>Залежи угля</v>
      </c>
      <c r="U1857" s="6" t="str">
        <f>IFERROR(__xludf.DUMMYFUNCTION("""COMPUTED_VALUE"""),"Ул.Весенняя")</f>
        <v>Ул.Весенняя</v>
      </c>
      <c r="V1857" s="6" t="str">
        <f>IFERROR(__xludf.DUMMYFUNCTION("""COMPUTED_VALUE"""),"Работали на заводах, многие из которых сейчас закрыты")</f>
        <v>Работали на заводах, многие из которых сейчас закрыты</v>
      </c>
      <c r="W1857" s="6" t="str">
        <f>IFERROR(__xludf.DUMMYFUNCTION("""COMPUTED_VALUE"""),"Работяги")</f>
        <v>Работяги</v>
      </c>
      <c r="X1857" s="6" t="str">
        <f>IFERROR(__xludf.DUMMYFUNCTION("""COMPUTED_VALUE"""),"По набережной")</f>
        <v>По набережной</v>
      </c>
      <c r="Y1857" s="6" t="str">
        <f>IFERROR(__xludf.DUMMYFUNCTION("""COMPUTED_VALUE"""),"Приезд Мишустина")</f>
        <v>Приезд Мишустина</v>
      </c>
      <c r="Z1857" s="6" t="str">
        <f>IFERROR(__xludf.DUMMYFUNCTION("""COMPUTED_VALUE"""),"Рок концерт в честь юбилея Стройсервиса")</f>
        <v>Рок концерт в честь юбилея Стройсервиса</v>
      </c>
      <c r="AA1857" s="6" t="str">
        <f>IFERROR(__xludf.DUMMYFUNCTION("""COMPUTED_VALUE"""),"пожар в ""Зимней вишне""")</f>
        <v>пожар в "Зимней вишне"</v>
      </c>
      <c r="AB1857" s="6" t="str">
        <f>IFERROR(__xludf.DUMMYFUNCTION("""COMPUTED_VALUE"""),"Которые решают каким образом улучшить то или иное место. А то у местных архитекторов очень скудная фантазия.")</f>
        <v>Которые решают каким образом улучшить то или иное место. А то у местных архитекторов очень скудная фантазия.</v>
      </c>
      <c r="AC1857" s="6" t="str">
        <f>IFERROR(__xludf.DUMMYFUNCTION("""COMPUTED_VALUE"""),"Значительное увеличение зарплаты")</f>
        <v>Значительное увеличение зарплаты</v>
      </c>
      <c r="AD185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857" s="6" t="str">
        <f>IFERROR(__xludf.DUMMYFUNCTION("""COMPUTED_VALUE"""),"Женский")</f>
        <v>Женский</v>
      </c>
      <c r="AF1857" s="6" t="str">
        <f>IFERROR(__xludf.DUMMYFUNCTION("""COMPUTED_VALUE"""),"30-44")</f>
        <v>30-44</v>
      </c>
      <c r="AG1857" s="6"/>
      <c r="AH1857" s="6"/>
      <c r="AI1857" s="6"/>
      <c r="AJ1857" s="6"/>
      <c r="AK1857" s="6"/>
      <c r="AL1857" s="6"/>
      <c r="AM1857" s="6"/>
    </row>
    <row r="1858">
      <c r="A1858" s="6">
        <v>1857.0</v>
      </c>
      <c r="B1858" s="6" t="str">
        <f>IFERROR(__xludf.DUMMYFUNCTION("""COMPUTED_VALUE"""),"Полиция")</f>
        <v>Полиция</v>
      </c>
      <c r="C1858" s="6" t="str">
        <f>IFERROR(__xludf.DUMMYFUNCTION("""COMPUTED_VALUE"""),"Путешествовать ")</f>
        <v>Путешествовать </v>
      </c>
      <c r="D1858" s="6" t="str">
        <f>IFERROR(__xludf.DUMMYFUNCTION("""COMPUTED_VALUE"""),"Кировский ")</f>
        <v>Кировский </v>
      </c>
      <c r="E1858" s="6" t="str">
        <f>IFERROR(__xludf.DUMMYFUNCTION("""COMPUTED_VALUE"""),"Набережная ")</f>
        <v>Набережная </v>
      </c>
      <c r="F1858" s="6" t="str">
        <f>IFERROR(__xludf.DUMMYFUNCTION("""COMPUTED_VALUE"""),"Живу здесь с рождения")</f>
        <v>Живу здесь с рождения</v>
      </c>
      <c r="G1858" s="6" t="str">
        <f>IFERROR(__xludf.DUMMYFUNCTION("""COMPUTED_VALUE"""),"Сосновый борр")</f>
        <v>Сосновый борр</v>
      </c>
      <c r="H1858" s="6" t="str">
        <f>IFERROR(__xludf.DUMMYFUNCTION("""COMPUTED_VALUE"""),"Родина улица роща работа родители ")</f>
        <v>Родина улица роща работа родители </v>
      </c>
      <c r="I1858" s="6" t="str">
        <f>IFERROR(__xludf.DUMMYFUNCTION("""COMPUTED_VALUE"""),"Волков")</f>
        <v>Волков</v>
      </c>
      <c r="J1858" s="6" t="str">
        <f>IFERROR(__xludf.DUMMYFUNCTION("""COMPUTED_VALUE"""),"Тулеев")</f>
        <v>Тулеев</v>
      </c>
      <c r="K1858" s="6" t="str">
        <f>IFERROR(__xludf.DUMMYFUNCTION("""COMPUTED_VALUE"""),"Памятник шахтеру")</f>
        <v>Памятник шахтеру</v>
      </c>
      <c r="L1858" s="6" t="str">
        <f>IFERROR(__xludf.DUMMYFUNCTION("""COMPUTED_VALUE"""),"Зимняя вишня ")</f>
        <v>Зимняя вишня </v>
      </c>
      <c r="M1858" s="6" t="str">
        <f>IFERROR(__xludf.DUMMYFUNCTION("""COMPUTED_VALUE"""),"Поехали на левый ")</f>
        <v>Поехали на левый </v>
      </c>
      <c r="N1858" s="6" t="str">
        <f>IFERROR(__xludf.DUMMYFUNCTION("""COMPUTED_VALUE"""),"Работа транспорт  дороги лечение досуг ")</f>
        <v>Работа транспорт  дороги лечение досуг </v>
      </c>
      <c r="O1858" s="6" t="str">
        <f>IFERROR(__xludf.DUMMYFUNCTION("""COMPUTED_VALUE"""),"Убрать федеральную трасчу")</f>
        <v>Убрать федеральную трасчу</v>
      </c>
      <c r="P1858" s="6" t="str">
        <f>IFERROR(__xludf.DUMMYFUNCTION("""COMPUTED_VALUE"""),"Интернет.  Местные информационные порталы")</f>
        <v>Интернет.  Местные информационные порталы</v>
      </c>
      <c r="Q185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криминальные новости (происшествия/преступления)</v>
      </c>
      <c r="R1858" s="6" t="str">
        <f>IFERROR(__xludf.DUMMYFUNCTION("""COMPUTED_VALUE"""),"День шахтера ")</f>
        <v>День шахтера </v>
      </c>
      <c r="S1858" s="6" t="str">
        <f>IFERROR(__xludf.DUMMYFUNCTION("""COMPUTED_VALUE"""),"Нет, не приходилось")</f>
        <v>Нет, не приходилось</v>
      </c>
      <c r="T1858" s="6" t="str">
        <f>IFERROR(__xludf.DUMMYFUNCTION("""COMPUTED_VALUE"""),"Углем")</f>
        <v>Углем</v>
      </c>
      <c r="U1858" s="6" t="str">
        <f>IFERROR(__xludf.DUMMYFUNCTION("""COMPUTED_VALUE"""),"Набережная ")</f>
        <v>Набережная </v>
      </c>
      <c r="V1858" s="6" t="str">
        <f>IFERROR(__xludf.DUMMYFUNCTION("""COMPUTED_VALUE"""),"Построили его")</f>
        <v>Построили его</v>
      </c>
      <c r="W1858" s="6" t="str">
        <f>IFERROR(__xludf.DUMMYFUNCTION("""COMPUTED_VALUE"""),"Люди")</f>
        <v>Люди</v>
      </c>
      <c r="X1858" s="6" t="str">
        <f>IFERROR(__xludf.DUMMYFUNCTION("""COMPUTED_VALUE"""),"Набережная ")</f>
        <v>Набережная </v>
      </c>
      <c r="Y1858" s="6" t="str">
        <f>IFERROR(__xludf.DUMMYFUNCTION("""COMPUTED_VALUE"""),"Пожар зимняя вишня ")</f>
        <v>Пожар зимняя вишня </v>
      </c>
      <c r="Z1858" s="6" t="str">
        <f>IFERROR(__xludf.DUMMYFUNCTION("""COMPUTED_VALUE"""),"Нет")</f>
        <v>Нет</v>
      </c>
      <c r="AA1858" s="6" t="str">
        <f>IFERROR(__xludf.DUMMYFUNCTION("""COMPUTED_VALUE"""),"Зимняя вишня ")</f>
        <v>Зимняя вишня </v>
      </c>
      <c r="AB1858" s="6" t="str">
        <f>IFERROR(__xludf.DUMMYFUNCTION("""COMPUTED_VALUE"""),"Для рдиноких")</f>
        <v>Для рдиноких</v>
      </c>
      <c r="AC1858" s="6" t="str">
        <f>IFERROR(__xludf.DUMMYFUNCTION("""COMPUTED_VALUE"""),"Массовые мероприятия ")</f>
        <v>Массовые мероприятия </v>
      </c>
      <c r="AD185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858" s="6" t="str">
        <f>IFERROR(__xludf.DUMMYFUNCTION("""COMPUTED_VALUE"""),"Женский")</f>
        <v>Женский</v>
      </c>
      <c r="AF1858" s="6" t="str">
        <f>IFERROR(__xludf.DUMMYFUNCTION("""COMPUTED_VALUE"""),"45-55")</f>
        <v>45-55</v>
      </c>
      <c r="AG1858" s="6"/>
      <c r="AH1858" s="6"/>
      <c r="AI1858" s="6"/>
      <c r="AJ1858" s="6"/>
      <c r="AK1858" s="6"/>
      <c r="AL1858" s="6"/>
      <c r="AM1858" s="6"/>
    </row>
    <row r="1859">
      <c r="A1859" s="6">
        <v>1858.0</v>
      </c>
      <c r="B1859" s="6" t="str">
        <f>IFERROR(__xludf.DUMMYFUNCTION("""COMPUTED_VALUE"""),"Бизнес")</f>
        <v>Бизнес</v>
      </c>
      <c r="C1859" s="6" t="str">
        <f>IFERROR(__xludf.DUMMYFUNCTION("""COMPUTED_VALUE"""),"Нет")</f>
        <v>Нет</v>
      </c>
      <c r="D1859" s="6" t="str">
        <f>IFERROR(__xludf.DUMMYFUNCTION("""COMPUTED_VALUE"""),"ФАК")</f>
        <v>ФАК</v>
      </c>
      <c r="E1859" s="6" t="str">
        <f>IFERROR(__xludf.DUMMYFUNCTION("""COMPUTED_VALUE"""),"Никаких")</f>
        <v>Никаких</v>
      </c>
      <c r="F1859" s="6" t="str">
        <f>IFERROR(__xludf.DUMMYFUNCTION("""COMPUTED_VALUE"""),"Живу здесь с рождения")</f>
        <v>Живу здесь с рождения</v>
      </c>
      <c r="G1859" s="6" t="str">
        <f>IFERROR(__xludf.DUMMYFUNCTION("""COMPUTED_VALUE"""),"Езжу на дачу, или катаюсь на велосипеде")</f>
        <v>Езжу на дачу, или катаюсь на велосипеде</v>
      </c>
      <c r="H1859" s="6" t="str">
        <f>IFERROR(__xludf.DUMMYFUNCTION("""COMPUTED_VALUE"""),"Компактный, удобный, не прогрессивный")</f>
        <v>Компактный, удобный, не прогрессивный</v>
      </c>
      <c r="I1859" s="6" t="str">
        <f>IFERROR(__xludf.DUMMYFUNCTION("""COMPUTED_VALUE"""),"Леонов")</f>
        <v>Леонов</v>
      </c>
      <c r="J1859" s="6" t="str">
        <f>IFERROR(__xludf.DUMMYFUNCTION("""COMPUTED_VALUE"""),"Тулеев, но его прошлые заслуги")</f>
        <v>Тулеев, но его прошлые заслуги</v>
      </c>
      <c r="K1859" s="6" t="str">
        <f>IFERROR(__xludf.DUMMYFUNCTION("""COMPUTED_VALUE"""),"Аллея Славы, набережная, центр где елка стоит")</f>
        <v>Аллея Славы, набережная, центр где елка стоит</v>
      </c>
      <c r="L1859" s="6" t="str">
        <f>IFERROR(__xludf.DUMMYFUNCTION("""COMPUTED_VALUE"""),"Не знаю")</f>
        <v>Не знаю</v>
      </c>
      <c r="M1859" s="6" t="str">
        <f>IFERROR(__xludf.DUMMYFUNCTION("""COMPUTED_VALUE"""),"Нет")</f>
        <v>Нет</v>
      </c>
      <c r="N1859" s="6" t="str">
        <f>IFERROR(__xludf.DUMMYFUNCTION("""COMPUTED_VALUE"""),"Чистота, дороги( во дворах, велосипедные), дешевые авиа билеты, красивые места отдыха в городе, современная инфраструктура ")</f>
        <v>Чистота, дороги( во дворах, велосипедные), дешевые авиа билеты, красивые места отдыха в городе, современная инфраструктура </v>
      </c>
      <c r="O1859" s="6" t="str">
        <f>IFERROR(__xludf.DUMMYFUNCTION("""COMPUTED_VALUE"""),"1) сделать дороги
2) создать зоны отдыха: парки, у реки
3) сделать современный пляж
")</f>
        <v>1) сделать дороги
2) создать зоны отдыха: парки, у реки
3) сделать современный пляж
</v>
      </c>
      <c r="P1859" s="6" t="str">
        <f>IFERROR(__xludf.DUMMYFUNCTION("""COMPUTED_VALUE"""),"Сибдепо-сайт
Инцидент 42- инста")</f>
        <v>Сибдепо-сайт
Инцидент 42- инста</v>
      </c>
      <c r="Q1859" s="6" t="str">
        <f>IFERROR(__xludf.DUMMYFUNCTION("""COMPUTED_VALUE"""),"интервью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f>
        <v>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v>
      </c>
      <c r="R1859" s="6" t="str">
        <f>IFERROR(__xludf.DUMMYFUNCTION("""COMPUTED_VALUE"""),"Новый год ")</f>
        <v>Новый год </v>
      </c>
      <c r="S1859" s="6" t="str">
        <f>IFERROR(__xludf.DUMMYFUNCTION("""COMPUTED_VALUE"""),"Нет, не приходилось")</f>
        <v>Нет, не приходилось</v>
      </c>
      <c r="T1859" s="6" t="str">
        <f>IFERROR(__xludf.DUMMYFUNCTION("""COMPUTED_VALUE"""),"Обычный город")</f>
        <v>Обычный город</v>
      </c>
      <c r="U1859" s="6" t="str">
        <f>IFERROR(__xludf.DUMMYFUNCTION("""COMPUTED_VALUE"""),"Главпочтамт ")</f>
        <v>Главпочтамт </v>
      </c>
      <c r="V1859" s="6" t="str">
        <f>IFERROR(__xludf.DUMMYFUNCTION("""COMPUTED_VALUE"""),"Не забывали свою родину")</f>
        <v>Не забывали свою родину</v>
      </c>
      <c r="W1859" s="6" t="str">
        <f>IFERROR(__xludf.DUMMYFUNCTION("""COMPUTED_VALUE"""),"Они как и все россияне")</f>
        <v>Они как и все россияне</v>
      </c>
      <c r="X1859" s="6" t="str">
        <f>IFERROR(__xludf.DUMMYFUNCTION("""COMPUTED_VALUE"""),"Нет такого")</f>
        <v>Нет такого</v>
      </c>
      <c r="Y1859" s="6" t="str">
        <f>IFERROR(__xludf.DUMMYFUNCTION("""COMPUTED_VALUE"""),"Бенди чемпионат хоккея с мячом")</f>
        <v>Бенди чемпионат хоккея с мячом</v>
      </c>
      <c r="Z1859" s="6" t="str">
        <f>IFERROR(__xludf.DUMMYFUNCTION("""COMPUTED_VALUE"""),"Строят набережную")</f>
        <v>Строят набережную</v>
      </c>
      <c r="AA1859" s="6" t="str">
        <f>IFERROR(__xludf.DUMMYFUNCTION("""COMPUTED_VALUE"""),"Обилие пивных точек, грязных улиц, разбитых дорог")</f>
        <v>Обилие пивных точек, грязных улиц, разбитых дорог</v>
      </c>
      <c r="AB1859" s="6" t="str">
        <f>IFERROR(__xludf.DUMMYFUNCTION("""COMPUTED_VALUE"""),"Мне хватает")</f>
        <v>Мне хватает</v>
      </c>
      <c r="AC1859" s="6" t="str">
        <f>IFERROR(__xludf.DUMMYFUNCTION("""COMPUTED_VALUE"""),"Чемпионаты проводить по различным видам")</f>
        <v>Чемпионаты проводить по различным видам</v>
      </c>
      <c r="AD1859"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859" s="6" t="str">
        <f>IFERROR(__xludf.DUMMYFUNCTION("""COMPUTED_VALUE"""),"Мужской")</f>
        <v>Мужской</v>
      </c>
      <c r="AF1859" s="6" t="str">
        <f>IFERROR(__xludf.DUMMYFUNCTION("""COMPUTED_VALUE"""),"30-44")</f>
        <v>30-44</v>
      </c>
      <c r="AG1859" s="6"/>
      <c r="AH1859" s="6"/>
      <c r="AI1859" s="6"/>
      <c r="AJ1859" s="6"/>
      <c r="AK1859" s="6"/>
      <c r="AL1859" s="6"/>
      <c r="AM1859" s="6"/>
    </row>
    <row r="1860">
      <c r="A1860" s="6">
        <v>1859.0</v>
      </c>
      <c r="B1860" s="6" t="str">
        <f>IFERROR(__xludf.DUMMYFUNCTION("""COMPUTED_VALUE"""),"ученица. учусь")</f>
        <v>ученица. учусь</v>
      </c>
      <c r="C1860" s="6" t="str">
        <f>IFERROR(__xludf.DUMMYFUNCTION("""COMPUTED_VALUE"""),"да, есть. мое хобби-это танцы.")</f>
        <v>да, есть. мое хобби-это танцы.</v>
      </c>
      <c r="D1860" s="6" t="str">
        <f>IFERROR(__xludf.DUMMYFUNCTION("""COMPUTED_VALUE"""),"лесная поляна. лп")</f>
        <v>лесная поляна. лп</v>
      </c>
      <c r="E1860" s="6" t="str">
        <f>IFERROR(__xludf.DUMMYFUNCTION("""COMPUTED_VALUE"""),"часы биг бен")</f>
        <v>часы биг бен</v>
      </c>
      <c r="F1860" s="6" t="str">
        <f>IFERROR(__xludf.DUMMYFUNCTION("""COMPUTED_VALUE"""),"Переехал сюда из другого места (откуда? укажите в графе другое), ленинск-кузнецкий")</f>
        <v>Переехал сюда из другого места (откуда? укажите в графе другое), ленинск-кузнецкий</v>
      </c>
      <c r="G1860" s="6" t="str">
        <f>IFERROR(__xludf.DUMMYFUNCTION("""COMPUTED_VALUE"""),"мне нельзя выходить гулять")</f>
        <v>мне нельзя выходить гулять</v>
      </c>
      <c r="H1860" s="6" t="str">
        <f>IFERROR(__xludf.DUMMYFUNCTION("""COMPUTED_VALUE"""),"хрущев, заблуждение, луч солнышка, надежды,  покой")</f>
        <v>хрущев, заблуждение, луч солнышка, надежды,  покой</v>
      </c>
      <c r="I1860" s="6" t="str">
        <f>IFERROR(__xludf.DUMMYFUNCTION("""COMPUTED_VALUE"""),"вера волошина")</f>
        <v>вера волошина</v>
      </c>
      <c r="J1860" s="6" t="str">
        <f>IFERROR(__xludf.DUMMYFUNCTION("""COMPUTED_VALUE"""),"я не знаю ")</f>
        <v>я не знаю </v>
      </c>
      <c r="K1860" s="6" t="str">
        <f>IFERROR(__xludf.DUMMYFUNCTION("""COMPUTED_VALUE"""),"не знаю, возможно фонтан")</f>
        <v>не знаю, возможно фонтан</v>
      </c>
      <c r="L1860" s="6" t="str">
        <f>IFERROR(__xludf.DUMMYFUNCTION("""COMPUTED_VALUE"""),"сложно")</f>
        <v>сложно</v>
      </c>
      <c r="M1860" s="6" t="str">
        <f>IFERROR(__xludf.DUMMYFUNCTION("""COMPUTED_VALUE"""),"шаурма")</f>
        <v>шаурма</v>
      </c>
      <c r="N1860" s="6" t="str">
        <f>IFERROR(__xludf.DUMMYFUNCTION("""COMPUTED_VALUE"""),"социальная стабильность, торговые центры, свобода слова , хорошие учителя, умиротворение")</f>
        <v>социальная стабильность, торговые центры, свобода слова , хорошие учителя, умиротворение</v>
      </c>
      <c r="O1860" s="6" t="str">
        <f>IFERROR(__xludf.DUMMYFUNCTION("""COMPUTED_VALUE"""),"малое наличие  известных магазинов")</f>
        <v>малое наличие  известных магазинов</v>
      </c>
      <c r="P1860" s="6" t="str">
        <f>IFERROR(__xludf.DUMMYFUNCTION("""COMPUTED_VALUE"""),"крылова надежда анатольевна")</f>
        <v>крылова надежда анатольевна</v>
      </c>
      <c r="Q1860" s="6" t="str">
        <f>IFERROR(__xludf.DUMMYFUNCTION("""COMPUTED_VALUE"""),"куда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 интервью с экспе"&amp;"ртами на разные темы (напишите в разделе Другое свои предложения)")</f>
        <v>куда пойти в свободное время, городская афиша (кино/театр/концерты), культурные новинки (что почитать/что послушать), криминальные новости (происшествия/преступления),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860" s="6" t="str">
        <f>IFERROR(__xludf.DUMMYFUNCTION("""COMPUTED_VALUE"""),"новый год ")</f>
        <v>новый год </v>
      </c>
      <c r="S1860" s="6" t="str">
        <f>IFERROR(__xludf.DUMMYFUNCTION("""COMPUTED_VALUE"""),"Нет, не приходилось")</f>
        <v>Нет, не приходилось</v>
      </c>
      <c r="T1860" s="6" t="str">
        <f>IFERROR(__xludf.DUMMYFUNCTION("""COMPUTED_VALUE"""),"зимняя вишня ")</f>
        <v>зимняя вишня </v>
      </c>
      <c r="U1860" s="6" t="str">
        <f>IFERROR(__xludf.DUMMYFUNCTION("""COMPUTED_VALUE"""),"не знаю ")</f>
        <v>не знаю </v>
      </c>
      <c r="V1860" s="6" t="str">
        <f>IFERROR(__xludf.DUMMYFUNCTION("""COMPUTED_VALUE"""),"не знаю ")</f>
        <v>не знаю </v>
      </c>
      <c r="W1860" s="6" t="str">
        <f>IFERROR(__xludf.DUMMYFUNCTION("""COMPUTED_VALUE"""),"манера общения «торгуемся на базаре за трусы»")</f>
        <v>манера общения «торгуемся на базаре за трусы»</v>
      </c>
      <c r="X1860" s="6" t="str">
        <f>IFERROR(__xludf.DUMMYFUNCTION("""COMPUTED_VALUE"""),"мне нельзя выходить гулять")</f>
        <v>мне нельзя выходить гулять</v>
      </c>
      <c r="Y1860" s="6" t="str">
        <f>IFERROR(__xludf.DUMMYFUNCTION("""COMPUTED_VALUE"""),"красная горка?")</f>
        <v>красная горка?</v>
      </c>
      <c r="Z1860" s="6" t="str">
        <f>IFERROR(__xludf.DUMMYFUNCTION("""COMPUTED_VALUE"""),"праздник холли")</f>
        <v>праздник холли</v>
      </c>
      <c r="AA1860" s="6" t="str">
        <f>IFERROR(__xludf.DUMMYFUNCTION("""COMPUTED_VALUE"""),"не вызывали ")</f>
        <v>не вызывали </v>
      </c>
      <c r="AB1860" s="6" t="str">
        <f>IFERROR(__xludf.DUMMYFUNCTION("""COMPUTED_VALUE"""),"чп лесная поляна ")</f>
        <v>чп лесная поляна </v>
      </c>
      <c r="AC1860" s="6" t="str">
        <f>IFERROR(__xludf.DUMMYFUNCTION("""COMPUTED_VALUE"""),"что то помолодежней")</f>
        <v>что то помолодежней</v>
      </c>
      <c r="AD1860"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Коммуникатора: Готов задействовать свои знакомства для приглашения потенциально заинтересованных участников, Не готов принимать личное участие (укажите, пожалуйста, причину в поле «Другое»), Запустить свой предпринимательск"&amp;"ий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Не готов принимать личное участие (укажите, пожалуйста, причину в поле «Другое»), Запустить свой предпринимательский проект, организовать компанию.</v>
      </c>
      <c r="AE1860" s="6" t="str">
        <f>IFERROR(__xludf.DUMMYFUNCTION("""COMPUTED_VALUE"""),"Женский")</f>
        <v>Женский</v>
      </c>
      <c r="AF1860" s="6" t="str">
        <f>IFERROR(__xludf.DUMMYFUNCTION("""COMPUTED_VALUE"""),"18-29")</f>
        <v>18-29</v>
      </c>
      <c r="AG1860" s="6"/>
      <c r="AH1860" s="6"/>
      <c r="AI1860" s="6"/>
      <c r="AJ1860" s="6"/>
      <c r="AK1860" s="6"/>
      <c r="AL1860" s="6"/>
      <c r="AM1860" s="6"/>
    </row>
    <row r="1861">
      <c r="A1861" s="6">
        <v>1860.0</v>
      </c>
      <c r="B1861" s="6" t="str">
        <f>IFERROR(__xludf.DUMMYFUNCTION("""COMPUTED_VALUE"""),"учусь")</f>
        <v>учусь</v>
      </c>
      <c r="C1861" s="6" t="str">
        <f>IFERROR(__xludf.DUMMYFUNCTION("""COMPUTED_VALUE"""),"играю на гитаре")</f>
        <v>играю на гитаре</v>
      </c>
      <c r="D1861" s="6" t="str">
        <f>IFERROR(__xludf.DUMMYFUNCTION("""COMPUTED_VALUE"""),"кировский")</f>
        <v>кировский</v>
      </c>
      <c r="E1861" s="6" t="str">
        <f>IFERROR(__xludf.DUMMYFUNCTION("""COMPUTED_VALUE"""),"роща за больницей")</f>
        <v>роща за больницей</v>
      </c>
      <c r="F1861" s="6" t="str">
        <f>IFERROR(__xludf.DUMMYFUNCTION("""COMPUTED_VALUE"""),"Живу здесь с рождения")</f>
        <v>Живу здесь с рождения</v>
      </c>
      <c r="G1861" s="6" t="str">
        <f>IFERROR(__xludf.DUMMYFUNCTION("""COMPUTED_VALUE"""),"на учёбу хожу")</f>
        <v>на учёбу хожу</v>
      </c>
      <c r="H1861" s="6" t="str">
        <f>IFERROR(__xludf.DUMMYFUNCTION("""COMPUTED_VALUE"""),"грязный, плохие дороги, скучный")</f>
        <v>грязный, плохие дороги, скучный</v>
      </c>
      <c r="I1861" s="6" t="str">
        <f>IFERROR(__xludf.DUMMYFUNCTION("""COMPUTED_VALUE"""),"Леонов, Волков")</f>
        <v>Леонов, Волков</v>
      </c>
      <c r="J1861" s="6" t="str">
        <f>IFERROR(__xludf.DUMMYFUNCTION("""COMPUTED_VALUE"""),"нет таких")</f>
        <v>нет таких</v>
      </c>
      <c r="K1861" s="6" t="str">
        <f>IFERROR(__xludf.DUMMYFUNCTION("""COMPUTED_VALUE"""),"Лесная поляна")</f>
        <v>Лесная поляна</v>
      </c>
      <c r="L1861" s="6" t="str">
        <f>IFERROR(__xludf.DUMMYFUNCTION("""COMPUTED_VALUE"""),"-")</f>
        <v>-</v>
      </c>
      <c r="M1861" s="6" t="str">
        <f>IFERROR(__xludf.DUMMYFUNCTION("""COMPUTED_VALUE"""),"-")</f>
        <v>-</v>
      </c>
      <c r="N1861" s="6" t="str">
        <f>IFERROR(__xludf.DUMMYFUNCTION("""COMPUTED_VALUE"""),"ровные, свободные дороги. красивые дома, которые не разваливаются. квартиры большие. вместительные маршрутки. красивые и интересные места для отдыха.")</f>
        <v>ровные, свободные дороги. красивые дома, которые не разваливаются. квартиры большие. вместительные маршрутки. красивые и интересные места для отдыха.</v>
      </c>
      <c r="O1861" s="6" t="str">
        <f>IFERROR(__xludf.DUMMYFUNCTION("""COMPUTED_VALUE"""),"дороги!")</f>
        <v>дороги!</v>
      </c>
      <c r="P1861" s="6" t="str">
        <f>IFERROR(__xludf.DUMMYFUNCTION("""COMPUTED_VALUE"""),"вконтакте")</f>
        <v>вконтакте</v>
      </c>
      <c r="Q1861" s="6" t="str">
        <f>IFERROR(__xludf.DUMMYFUNCTION("""COMPUTED_VALUE"""),"куда пойти в свободное время, криминальные новости (происшествия/преступления), какие темы могут сделать лучше жизнь, если она должна сначала поменяться, а потом уже сми об это бы рассказали")</f>
        <v>куда пойти в свободное время, криминальные новости (происшествия/преступления), какие темы могут сделать лучше жизнь, если она должна сначала поменяться, а потом уже сми об это бы рассказали</v>
      </c>
      <c r="R1861" s="6" t="str">
        <f>IFERROR(__xludf.DUMMYFUNCTION("""COMPUTED_VALUE"""),"-")</f>
        <v>-</v>
      </c>
      <c r="S1861" s="6" t="str">
        <f>IFERROR(__xludf.DUMMYFUNCTION("""COMPUTED_VALUE"""),"Нет, не приходилось")</f>
        <v>Нет, не приходилось</v>
      </c>
      <c r="T1861" s="6" t="str">
        <f>IFERROR(__xludf.DUMMYFUNCTION("""COMPUTED_VALUE"""),"углём и пожаром в зимней вишне")</f>
        <v>углём и пожаром в зимней вишне</v>
      </c>
      <c r="U1861" s="6" t="str">
        <f>IFERROR(__xludf.DUMMYFUNCTION("""COMPUTED_VALUE"""),"площадь советов, хотя там нет ничего интересного")</f>
        <v>площадь советов, хотя там нет ничего интересного</v>
      </c>
      <c r="V1861" s="6" t="str">
        <f>IFERROR(__xludf.DUMMYFUNCTION("""COMPUTED_VALUE"""),"-")</f>
        <v>-</v>
      </c>
      <c r="W1861" s="6" t="str">
        <f>IFERROR(__xludf.DUMMYFUNCTION("""COMPUTED_VALUE"""),"как и все люди отдалённые от Москвы и Питера - скучные и нетерпимые к новому")</f>
        <v>как и все люди отдалённые от Москвы и Питера - скучные и нетерпимые к новому</v>
      </c>
      <c r="X1861" s="6" t="str">
        <f>IFERROR(__xludf.DUMMYFUNCTION("""COMPUTED_VALUE"""),"в лесной поляне любой маршрут, потому что там спокойно и чисто")</f>
        <v>в лесной поляне любой маршрут, потому что там спокойно и чисто</v>
      </c>
      <c r="Y1861" s="6" t="str">
        <f>IFERROR(__xludf.DUMMYFUNCTION("""COMPUTED_VALUE"""),"-")</f>
        <v>-</v>
      </c>
      <c r="Z1861" s="6" t="str">
        <f>IFERROR(__xludf.DUMMYFUNCTION("""COMPUTED_VALUE"""),"дорогу рядом с карболитовской отремонтировали, года 3 назад набережную в кировском сделали")</f>
        <v>дорогу рядом с карболитовской отремонтировали, года 3 назад набережную в кировском сделали</v>
      </c>
      <c r="AA1861" s="6" t="str">
        <f>IFERROR(__xludf.DUMMYFUNCTION("""COMPUTED_VALUE"""),"вырубка деревьев рядом с институтским мостом")</f>
        <v>вырубка деревьев рядом с институтским мостом</v>
      </c>
      <c r="AB1861" s="6" t="str">
        <f>IFERROR(__xludf.DUMMYFUNCTION("""COMPUTED_VALUE"""),"сообществ, которые помогли бы реально сделать город чище")</f>
        <v>сообществ, которые помогли бы реально сделать город чище</v>
      </c>
      <c r="AC1861" s="6" t="str">
        <f>IFERROR(__xludf.DUMMYFUNCTION("""COMPUTED_VALUE"""),"интереснее жить с деньгами, а не без. неплохо было бы заработные платы на человеческом уровне держать")</f>
        <v>интереснее жить с деньгами, а не без. неплохо было бы заработные платы на человеческом уровне держать</v>
      </c>
      <c r="AD1861" s="6" t="str">
        <f>IFERROR(__xludf.DUMMYFUNCTION("""COMPUTED_VALUE"""),"Партнера. Скинуться (деньгами, материалами, инструментом) с другими жителями на благоустройство двора, микрорайона, Не готов принимать личное участие (укажите, пожалуйста, причину в поле «Другое»), если бы люди были не такими бедными и воспитание хорошее,"&amp;" можно даже пробовать создать во всём городе такой же мир, как в лесной поляне = чистый и красивый. но кто будет это делать, если никаких мер и никакой помощи сверху не идёт")</f>
        <v>Партнера. Скинуться (деньгами, материалами, инструментом) с другими жителями на благоустройство двора, микрорайона, Не готов принимать личное участие (укажите, пожалуйста, причину в поле «Другое»), если бы люди были не такими бедными и воспитание хорошее, можно даже пробовать создать во всём городе такой же мир, как в лесной поляне = чистый и красивый. но кто будет это делать, если никаких мер и никакой помощи сверху не идёт</v>
      </c>
      <c r="AE1861" s="6" t="str">
        <f>IFERROR(__xludf.DUMMYFUNCTION("""COMPUTED_VALUE"""),"Женский")</f>
        <v>Женский</v>
      </c>
      <c r="AF1861" s="6" t="str">
        <f>IFERROR(__xludf.DUMMYFUNCTION("""COMPUTED_VALUE"""),"18-29")</f>
        <v>18-29</v>
      </c>
      <c r="AG1861" s="6"/>
      <c r="AH1861" s="6"/>
      <c r="AI1861" s="6"/>
      <c r="AJ1861" s="6"/>
      <c r="AK1861" s="6"/>
      <c r="AL1861" s="6"/>
      <c r="AM1861" s="6"/>
    </row>
    <row r="1862">
      <c r="A1862" s="6">
        <v>1861.0</v>
      </c>
      <c r="B1862" s="6" t="str">
        <f>IFERROR(__xludf.DUMMYFUNCTION("""COMPUTED_VALUE"""),"Врач")</f>
        <v>Врач</v>
      </c>
      <c r="C1862" s="6" t="str">
        <f>IFERROR(__xludf.DUMMYFUNCTION("""COMPUTED_VALUE"""),"Медицина")</f>
        <v>Медицина</v>
      </c>
      <c r="D1862" s="6" t="str">
        <f>IFERROR(__xludf.DUMMYFUNCTION("""COMPUTED_VALUE"""),"Заводский ФПК")</f>
        <v>Заводский ФПК</v>
      </c>
      <c r="E1862" s="6" t="str">
        <f>IFERROR(__xludf.DUMMYFUNCTION("""COMPUTED_VALUE"""),"Суховский ручей, дома с террасами")</f>
        <v>Суховский ручей, дома с террасами</v>
      </c>
      <c r="F1862" s="6" t="str">
        <f>IFERROR(__xludf.DUMMYFUNCTION("""COMPUTED_VALUE"""),"Живу здесь с рождения")</f>
        <v>Живу здесь с рождения</v>
      </c>
      <c r="G1862" s="6" t="str">
        <f>IFERROR(__xludf.DUMMYFUNCTION("""COMPUTED_VALUE"""),"Вдоль суховского ручья гуляю с собакой и ребенком")</f>
        <v>Вдоль суховского ручья гуляю с собакой и ребенком</v>
      </c>
      <c r="H1862" s="6" t="str">
        <f>IFERROR(__xludf.DUMMYFUNCTION("""COMPUTED_VALUE"""),"Тайга, природа, кедр, уголь, промышленность.")</f>
        <v>Тайга, природа, кедр, уголь, промышленность.</v>
      </c>
      <c r="I1862" s="6" t="str">
        <f>IFERROR(__xludf.DUMMYFUNCTION("""COMPUTED_VALUE"""),"Мартемьянов, Волков, Подгорбунский, Панин")</f>
        <v>Мартемьянов, Волков, Подгорбунский, Панин</v>
      </c>
      <c r="J1862" s="6" t="str">
        <f>IFERROR(__xludf.DUMMYFUNCTION("""COMPUTED_VALUE"""),"Гришковец")</f>
        <v>Гришковец</v>
      </c>
      <c r="K1862" s="6" t="str">
        <f>IFERROR(__xludf.DUMMYFUNCTION("""COMPUTED_VALUE"""),"Нечего у нас показывать интересного")</f>
        <v>Нечего у нас показывать интересного</v>
      </c>
      <c r="L1862" s="6" t="str">
        <f>IFERROR(__xludf.DUMMYFUNCTION("""COMPUTED_VALUE"""),"Не знаю")</f>
        <v>Не знаю</v>
      </c>
      <c r="M1862" s="6" t="str">
        <f>IFERROR(__xludf.DUMMYFUNCTION("""COMPUTED_VALUE"""),"""Шел через Топки?"" город и село Топки только у нас в области.")</f>
        <v>"Шел через Топки?" город и село Топки только у нас в области.</v>
      </c>
      <c r="N1862" s="6" t="str">
        <f>IFERROR(__xludf.DUMMYFUNCTION("""COMPUTED_VALUE"""),"Большие ТЦ, чистота, доступность и разнообразие развивающих кружков досуга как для детей так и для взрослых, наличие современной архитектуры, доступная медицина")</f>
        <v>Большие ТЦ, чистота, доступность и разнообразие развивающих кружков досуга как для детей так и для взрослых, наличие современной архитектуры, доступная медицина</v>
      </c>
      <c r="O1862" s="6" t="str">
        <f>IFERROR(__xludf.DUMMYFUNCTION("""COMPUTED_VALUE"""),"Построить современную больницу!!! 11гб на краю города устаревшая, с туалетом на этаже, нехватка помещений, поэтому там работать никто и не хочет. С современными порядками оказания помощи, при поступлении одновременно нескольких больных, нереально бегать в"&amp;" другой корпус таскать анализы. Сколько угодно можно делать ремонт, но старое двух этажное здание ни как не превратится в современную больницу.")</f>
        <v>Построить современную больницу!!! 11гб на краю города устаревшая, с туалетом на этаже, нехватка помещений, поэтому там работать никто и не хочет. С современными порядками оказания помощи, при поступлении одновременно нескольких больных, нереально бегать в другой корпус таскать анализы. Сколько угодно можно делать ремонт, но старое двух этажное здание ни как не превратится в современную больницу.</v>
      </c>
      <c r="P1862" s="6" t="str">
        <f>IFERROR(__xludf.DUMMYFUNCTION("""COMPUTED_VALUE"""),"Кузбасс онлайн, все42")</f>
        <v>Кузбасс онлайн, все42</v>
      </c>
      <c r="Q1862" s="6" t="str">
        <f>IFERROR(__xludf.DUMMYFUNCTION("""COMPUTED_VALUE"""),"городская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 Достижения медицины в городе")</f>
        <v>городская афиша (кино/театр/концерты), результаты местных исследований (рейтинги/аналитика/тенденции), интервью с экспертами на разные темы (напишите в разделе Другое свои предложения), Достижения медицины в городе</v>
      </c>
      <c r="R1862" s="6" t="str">
        <f>IFERROR(__xludf.DUMMYFUNCTION("""COMPUTED_VALUE"""),"День города, день шахтера")</f>
        <v>День города, день шахтера</v>
      </c>
      <c r="S1862" s="6" t="str">
        <f>IFERROR(__xludf.DUMMYFUNCTION("""COMPUTED_VALUE"""),"Нет, не приходилось")</f>
        <v>Нет, не приходилось</v>
      </c>
      <c r="T1862" s="6" t="str">
        <f>IFERROR(__xludf.DUMMYFUNCTION("""COMPUTED_VALUE"""),"Только трагедиями. Ничего уникального, даже похвастаться нечем когда родственники приезжают")</f>
        <v>Только трагедиями. Ничего уникального, даже похвастаться нечем когда родственники приезжают</v>
      </c>
      <c r="U1862" s="6" t="str">
        <f>IFERROR(__xludf.DUMMYFUNCTION("""COMPUTED_VALUE"""),"Улица Весенняя")</f>
        <v>Улица Весенняя</v>
      </c>
      <c r="V1862" s="6" t="str">
        <f>IFERROR(__xludf.DUMMYFUNCTION("""COMPUTED_VALUE"""),"Подгорбунский организовал многие медицинские службы")</f>
        <v>Подгорбунский организовал многие медицинские службы</v>
      </c>
      <c r="W1862" s="6" t="str">
        <f>IFERROR(__xludf.DUMMYFUNCTION("""COMPUTED_VALUE"""),"Малообразованные, культурно мало развито большинство, ленивые, депрессивные")</f>
        <v>Малообразованные, культурно мало развито большинство, ленивые, депрессивные</v>
      </c>
      <c r="X1862" s="6" t="str">
        <f>IFERROR(__xludf.DUMMYFUNCTION("""COMPUTED_VALUE"""),"Драмтеатр-весенняя-набережная-площадь Пушкина-площадь советов")</f>
        <v>Драмтеатр-весенняя-набережная-площадь Пушкина-площадь советов</v>
      </c>
      <c r="Y1862" s="6" t="str">
        <f>IFERROR(__xludf.DUMMYFUNCTION("""COMPUTED_VALUE"""),"Фестиваль ""Герои мирового рока"" нереальный концерт. Историческое- смена губернатора. Снос гаражей в центре города, благоустройство.")</f>
        <v>Фестиваль "Герои мирового рока" нереальный концерт. Историческое- смена губернатора. Снос гаражей в центре города, благоустройство.</v>
      </c>
      <c r="Z1862" s="6" t="str">
        <f>IFERROR(__xludf.DUMMYFUNCTION("""COMPUTED_VALUE"""),"Фестиваль ""Герои мирового рока""")</f>
        <v>Фестиваль "Герои мирового рока"</v>
      </c>
      <c r="AA1862" s="6" t="str">
        <f>IFERROR(__xludf.DUMMYFUNCTION("""COMPUTED_VALUE"""),"Обьеденение больниц")</f>
        <v>Обьеденение больниц</v>
      </c>
      <c r="AB1862" s="6" t="str">
        <f>IFERROR(__xludf.DUMMYFUNCTION("""COMPUTED_VALUE"""),"Контроль работы УК недостаточен")</f>
        <v>Контроль работы УК недостаточен</v>
      </c>
      <c r="AC1862" s="6" t="str">
        <f>IFERROR(__xludf.DUMMYFUNCTION("""COMPUTED_VALUE"""),"На праздники концерты более молодежные, а  не Газманов на площади. Рок фестиваль ежегодный. Возможно на природе фестиваль бардов летом, или что-то с фольклером связанно.")</f>
        <v>На праздники концерты более молодежные, а  не Газманов на площади. Рок фестиваль ежегодный. Возможно на природе фестиваль бардов летом, или что-то с фольклером связанно.</v>
      </c>
      <c r="AD186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862" s="6" t="str">
        <f>IFERROR(__xludf.DUMMYFUNCTION("""COMPUTED_VALUE"""),"Женский")</f>
        <v>Женский</v>
      </c>
      <c r="AF1862" s="6" t="str">
        <f>IFERROR(__xludf.DUMMYFUNCTION("""COMPUTED_VALUE"""),"30-44")</f>
        <v>30-44</v>
      </c>
      <c r="AG1862" s="6"/>
      <c r="AH1862" s="6"/>
      <c r="AI1862" s="6"/>
      <c r="AJ1862" s="6"/>
      <c r="AK1862" s="6"/>
      <c r="AL1862" s="6"/>
      <c r="AM1862" s="6"/>
    </row>
    <row r="1863">
      <c r="A1863" s="6">
        <v>1862.0</v>
      </c>
      <c r="B1863" s="6" t="str">
        <f>IFERROR(__xludf.DUMMYFUNCTION("""COMPUTED_VALUE"""),"Digital")</f>
        <v>Digital</v>
      </c>
      <c r="C1863" s="6" t="str">
        <f>IFERROR(__xludf.DUMMYFUNCTION("""COMPUTED_VALUE"""),"Футбол")</f>
        <v>Футбол</v>
      </c>
      <c r="D1863" s="6" t="str">
        <f>IFERROR(__xludf.DUMMYFUNCTION("""COMPUTED_VALUE"""),"Центральный")</f>
        <v>Центральный</v>
      </c>
      <c r="E1863" s="6" t="str">
        <f>IFERROR(__xludf.DUMMYFUNCTION("""COMPUTED_VALUE"""),"Их много")</f>
        <v>Их много</v>
      </c>
      <c r="F1863" s="6" t="str">
        <f>IFERROR(__xludf.DUMMYFUNCTION("""COMPUTED_VALUE"""),"Живу здесь с рождения")</f>
        <v>Живу здесь с рождения</v>
      </c>
      <c r="G1863" s="6" t="str">
        <f>IFERROR(__xludf.DUMMYFUNCTION("""COMPUTED_VALUE"""),"Центр")</f>
        <v>Центр</v>
      </c>
      <c r="H1863" s="6" t="str">
        <f>IFERROR(__xludf.DUMMYFUNCTION("""COMPUTED_VALUE"""),"Природа, родина, экология, загазованность, уголь")</f>
        <v>Природа, родина, экология, загазованность, уголь</v>
      </c>
      <c r="I1863" s="6" t="str">
        <f>IFERROR(__xludf.DUMMYFUNCTION("""COMPUTED_VALUE"""),"Михайло Волков")</f>
        <v>Михайло Волков</v>
      </c>
      <c r="J1863" s="6" t="str">
        <f>IFERROR(__xludf.DUMMYFUNCTION("""COMPUTED_VALUE"""),"Цивилёв")</f>
        <v>Цивилёв</v>
      </c>
      <c r="K1863" s="6" t="str">
        <f>IFERROR(__xludf.DUMMYFUNCTION("""COMPUTED_VALUE"""),"Старый причал")</f>
        <v>Старый причал</v>
      </c>
      <c r="L1863" s="6" t="str">
        <f>IFERROR(__xludf.DUMMYFUNCTION("""COMPUTED_VALUE"""),"-")</f>
        <v>-</v>
      </c>
      <c r="M1863" s="6" t="str">
        <f>IFERROR(__xludf.DUMMYFUNCTION("""COMPUTED_VALUE"""),"Мультфора")</f>
        <v>Мультфора</v>
      </c>
      <c r="N1863" s="6" t="str">
        <f>IFERROR(__xludf.DUMMYFUNCTION("""COMPUTED_VALUE"""),"Дороги, жилые массивы, инфраструктура, места отдыха, арзитектура")</f>
        <v>Дороги, жилые массивы, инфраструктура, места отдыха, арзитектура</v>
      </c>
      <c r="O1863" s="6" t="str">
        <f>IFERROR(__xludf.DUMMYFUNCTION("""COMPUTED_VALUE"""),"Экологию")</f>
        <v>Экологию</v>
      </c>
      <c r="P1863" s="6" t="str">
        <f>IFERROR(__xludf.DUMMYFUNCTION("""COMPUTED_VALUE"""),"ВК, Инста")</f>
        <v>ВК, Инста</v>
      </c>
      <c r="Q1863" s="6" t="str">
        <f>IFERROR(__xludf.DUMMYFUNCTION("""COMPUTED_VALUE"""),"куда пойти в свободное время, 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куда пойти в свободное время, 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1863" s="6" t="str">
        <f>IFERROR(__xludf.DUMMYFUNCTION("""COMPUTED_VALUE"""),"9 мая")</f>
        <v>9 мая</v>
      </c>
      <c r="S1863" s="6" t="str">
        <f>IFERROR(__xludf.DUMMYFUNCTION("""COMPUTED_VALUE"""),"Нет, не приходилось")</f>
        <v>Нет, не приходилось</v>
      </c>
      <c r="T1863" s="6" t="str">
        <f>IFERROR(__xludf.DUMMYFUNCTION("""COMPUTED_VALUE"""),"Уголь, Шерегеш")</f>
        <v>Уголь, Шерегеш</v>
      </c>
      <c r="U1863" s="6" t="str">
        <f>IFERROR(__xludf.DUMMYFUNCTION("""COMPUTED_VALUE"""),"Набережная")</f>
        <v>Набережная</v>
      </c>
      <c r="V1863" s="6" t="str">
        <f>IFERROR(__xludf.DUMMYFUNCTION("""COMPUTED_VALUE"""),"Ничего не сделали")</f>
        <v>Ничего не сделали</v>
      </c>
      <c r="W1863" s="6" t="str">
        <f>IFERROR(__xludf.DUMMYFUNCTION("""COMPUTED_VALUE"""),"Быдло в основном, к сожалению. Эгоисты. Не уважают других людей.")</f>
        <v>Быдло в основном, к сожалению. Эгоисты. Не уважают других людей.</v>
      </c>
      <c r="X1863" s="6" t="str">
        <f>IFERROR(__xludf.DUMMYFUNCTION("""COMPUTED_VALUE"""),"Набережная")</f>
        <v>Набережная</v>
      </c>
      <c r="Y1863" s="6" t="str">
        <f>IFERROR(__xludf.DUMMYFUNCTION("""COMPUTED_VALUE"""),"Бэнди")</f>
        <v>Бэнди</v>
      </c>
      <c r="Z1863" s="6" t="str">
        <f>IFERROR(__xludf.DUMMYFUNCTION("""COMPUTED_VALUE"""),"-")</f>
        <v>-</v>
      </c>
      <c r="AA1863" s="6" t="str">
        <f>IFERROR(__xludf.DUMMYFUNCTION("""COMPUTED_VALUE"""),"Экология")</f>
        <v>Экология</v>
      </c>
      <c r="AB1863" s="6" t="str">
        <f>IFERROR(__xludf.DUMMYFUNCTION("""COMPUTED_VALUE"""),"-")</f>
        <v>-</v>
      </c>
      <c r="AC1863" s="6" t="str">
        <f>IFERROR(__xludf.DUMMYFUNCTION("""COMPUTED_VALUE"""),"Открытые мероприятия, концерты")</f>
        <v>Открытые мероприятия, концерты</v>
      </c>
      <c r="AD186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63" s="6" t="str">
        <f>IFERROR(__xludf.DUMMYFUNCTION("""COMPUTED_VALUE"""),"Мужской")</f>
        <v>Мужской</v>
      </c>
      <c r="AF1863" s="6" t="str">
        <f>IFERROR(__xludf.DUMMYFUNCTION("""COMPUTED_VALUE"""),"18-29")</f>
        <v>18-29</v>
      </c>
      <c r="AG1863" s="6"/>
      <c r="AH1863" s="6"/>
      <c r="AI1863" s="6"/>
      <c r="AJ1863" s="6"/>
      <c r="AK1863" s="6"/>
      <c r="AL1863" s="6"/>
      <c r="AM1863" s="6"/>
    </row>
    <row r="1864">
      <c r="A1864" s="6">
        <v>1863.0</v>
      </c>
      <c r="B1864" s="6" t="str">
        <f>IFERROR(__xludf.DUMMYFUNCTION("""COMPUTED_VALUE"""),"Работаю")</f>
        <v>Работаю</v>
      </c>
      <c r="C1864" s="6" t="str">
        <f>IFERROR(__xludf.DUMMYFUNCTION("""COMPUTED_VALUE"""),"Путешествия")</f>
        <v>Путешествия</v>
      </c>
      <c r="D1864" s="6" t="str">
        <f>IFERROR(__xludf.DUMMYFUNCTION("""COMPUTED_VALUE"""),"Кировский")</f>
        <v>Кировский</v>
      </c>
      <c r="E1864" s="6" t="str">
        <f>IFERROR(__xludf.DUMMYFUNCTION("""COMPUTED_VALUE"""),"Набережная")</f>
        <v>Набережная</v>
      </c>
      <c r="F1864" s="6" t="str">
        <f>IFERROR(__xludf.DUMMYFUNCTION("""COMPUTED_VALUE"""),"Живу здесь с рождения")</f>
        <v>Живу здесь с рождения</v>
      </c>
      <c r="G1864" s="6" t="str">
        <f>IFERROR(__xludf.DUMMYFUNCTION("""COMPUTED_VALUE"""),"Набережная")</f>
        <v>Набережная</v>
      </c>
      <c r="H1864" s="6" t="str">
        <f>IFERROR(__xludf.DUMMYFUNCTION("""COMPUTED_VALUE"""),"Река Томь, памятник шахтерам, площадь Советов, железнодорожный вокзал")</f>
        <v>Река Томь, памятник шахтерам, площадь Советов, железнодорожный вокзал</v>
      </c>
      <c r="I1864" s="6" t="str">
        <f>IFERROR(__xludf.DUMMYFUNCTION("""COMPUTED_VALUE"""),"Космонавт Леонов, врач Подгорбунский")</f>
        <v>Космонавт Леонов, врач Подгорбунский</v>
      </c>
      <c r="J1864" s="6" t="str">
        <f>IFERROR(__xludf.DUMMYFUNCTION("""COMPUTED_VALUE"""),"Мэр Михайлов и Середюк, врач Луценко")</f>
        <v>Мэр Михайлов и Середюк, врач Луценко</v>
      </c>
      <c r="K1864" s="6" t="str">
        <f>IFERROR(__xludf.DUMMYFUNCTION("""COMPUTED_VALUE"""),"Памятник Алеша (Кировский)")</f>
        <v>Памятник Алеша (Кировский)</v>
      </c>
      <c r="L1864" s="6" t="str">
        <f>IFERROR(__xludf.DUMMYFUNCTION("""COMPUTED_VALUE"""),"!")</f>
        <v>!</v>
      </c>
      <c r="M1864" s="6" t="str">
        <f>IFERROR(__xludf.DUMMYFUNCTION("""COMPUTED_VALUE"""),"?")</f>
        <v>?</v>
      </c>
      <c r="N1864" s="6" t="str">
        <f>IFERROR(__xludf.DUMMYFUNCTION("""COMPUTED_VALUE"""),"Воздух, люди, комфортность, транспорт")</f>
        <v>Воздух, люди, комфортность, транспорт</v>
      </c>
      <c r="O1864" s="6" t="str">
        <f>IFERROR(__xludf.DUMMYFUNCTION("""COMPUTED_VALUE"""),"Транспорт")</f>
        <v>Транспорт</v>
      </c>
      <c r="P1864" s="6" t="str">
        <f>IFERROR(__xludf.DUMMYFUNCTION("""COMPUTED_VALUE"""),"Интернет, яндекс новости")</f>
        <v>Интернет, яндекс новости</v>
      </c>
      <c r="Q1864"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1864" s="6" t="str">
        <f>IFERROR(__xludf.DUMMYFUNCTION("""COMPUTED_VALUE"""),"День города, 9 мая, новыц год")</f>
        <v>День города, 9 мая, новыц год</v>
      </c>
      <c r="S1864" s="6" t="str">
        <f>IFERROR(__xludf.DUMMYFUNCTION("""COMPUTED_VALUE"""),"Обращался в редакции электронных городских СМИ")</f>
        <v>Обращался в редакции электронных городских СМИ</v>
      </c>
      <c r="T1864" s="6" t="str">
        <f>IFERROR(__xludf.DUMMYFUNCTION("""COMPUTED_VALUE"""),"Шахтеры,Тулеев")</f>
        <v>Шахтеры,Тулеев</v>
      </c>
      <c r="U1864" s="6" t="str">
        <f>IFERROR(__xludf.DUMMYFUNCTION("""COMPUTED_VALUE"""),"Площадь Советов")</f>
        <v>Площадь Советов</v>
      </c>
      <c r="V1864" s="6" t="str">
        <f>IFERROR(__xludf.DUMMYFUNCTION("""COMPUTED_VALUE"""),"Здания, волейбольная команда, раньше заводы")</f>
        <v>Здания, волейбольная команда, раньше заводы</v>
      </c>
      <c r="W1864" s="6" t="str">
        <f>IFERROR(__xludf.DUMMYFUNCTION("""COMPUTED_VALUE"""),"Бесстрашные и суровые сибиряки")</f>
        <v>Бесстрашные и суровые сибиряки</v>
      </c>
      <c r="X1864" s="6" t="str">
        <f>IFERROR(__xludf.DUMMYFUNCTION("""COMPUTED_VALUE"""),"Гор. Сад")</f>
        <v>Гор. Сад</v>
      </c>
      <c r="Y1864" s="6" t="str">
        <f>IFERROR(__xludf.DUMMYFUNCTION("""COMPUTED_VALUE"""),"Затрудняюсь")</f>
        <v>Затрудняюсь</v>
      </c>
      <c r="Z1864" s="6" t="str">
        <f>IFERROR(__xludf.DUMMYFUNCTION("""COMPUTED_VALUE"""),"Борьба с пандемией")</f>
        <v>Борьба с пандемией</v>
      </c>
      <c r="AA1864" s="6" t="str">
        <f>IFERROR(__xludf.DUMMYFUNCTION("""COMPUTED_VALUE"""),"Ковид")</f>
        <v>Ковид</v>
      </c>
      <c r="AB1864" s="6" t="str">
        <f>IFERROR(__xludf.DUMMYFUNCTION("""COMPUTED_VALUE"""),"Молодежных организаций")</f>
        <v>Молодежных организаций</v>
      </c>
      <c r="AC1864" s="6" t="str">
        <f>IFERROR(__xludf.DUMMYFUNCTION("""COMPUTED_VALUE"""),"Фестивали и спортивные мероприятия")</f>
        <v>Фестивали и спортивные мероприятия</v>
      </c>
      <c r="AD186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864" s="6" t="str">
        <f>IFERROR(__xludf.DUMMYFUNCTION("""COMPUTED_VALUE"""),"Женский")</f>
        <v>Женский</v>
      </c>
      <c r="AF1864" s="6" t="str">
        <f>IFERROR(__xludf.DUMMYFUNCTION("""COMPUTED_VALUE"""),"45-55")</f>
        <v>45-55</v>
      </c>
      <c r="AG1864" s="6"/>
      <c r="AH1864" s="6"/>
      <c r="AI1864" s="6"/>
      <c r="AJ1864" s="6"/>
      <c r="AK1864" s="6"/>
      <c r="AL1864" s="6"/>
      <c r="AM1864" s="6"/>
    </row>
    <row r="1865">
      <c r="A1865" s="6">
        <v>1864.0</v>
      </c>
      <c r="B1865" s="6" t="str">
        <f>IFERROR(__xludf.DUMMYFUNCTION("""COMPUTED_VALUE"""),"Домохозяйка, сижу с детьми")</f>
        <v>Домохозяйка, сижу с детьми</v>
      </c>
      <c r="C1865" s="6" t="str">
        <f>IFERROR(__xludf.DUMMYFUNCTION("""COMPUTED_VALUE"""),"Езда на мотоцикле ")</f>
        <v>Езда на мотоцикле </v>
      </c>
      <c r="D1865" s="6" t="str">
        <f>IFERROR(__xludf.DUMMYFUNCTION("""COMPUTED_VALUE"""),"Заводский, Предзаводской ")</f>
        <v>Заводский, Предзаводской </v>
      </c>
      <c r="E1865" s="6" t="str">
        <f>IFERROR(__xludf.DUMMYFUNCTION("""COMPUTED_VALUE"""),"Дк, азот")</f>
        <v>Дк, азот</v>
      </c>
      <c r="F1865" s="6" t="str">
        <f>IFERROR(__xludf.DUMMYFUNCTION("""COMPUTED_VALUE"""),"Живу здесь с рождения")</f>
        <v>Живу здесь с рождения</v>
      </c>
      <c r="G1865" s="6" t="str">
        <f>IFERROR(__xludf.DUMMYFUNCTION("""COMPUTED_VALUE"""),"Гурсад, лесная поляна")</f>
        <v>Гурсад, лесная поляна</v>
      </c>
      <c r="H1865" s="6" t="str">
        <f>IFERROR(__xludf.DUMMYFUNCTION("""COMPUTED_VALUE"""),"Безработица, строящийся, растущий, неэкологичный, тупик")</f>
        <v>Безработица, строящийся, растущий, неэкологичный, тупик</v>
      </c>
      <c r="I1865" s="6" t="str">
        <f>IFERROR(__xludf.DUMMYFUNCTION("""COMPUTED_VALUE"""),"Леонов, Михайло Волков, Панин")</f>
        <v>Леонов, Михайло Волков, Панин</v>
      </c>
      <c r="J1865" s="6" t="str">
        <f>IFERROR(__xludf.DUMMYFUNCTION("""COMPUTED_VALUE"""),"Гришковец, Панин ")</f>
        <v>Гришковец, Панин </v>
      </c>
      <c r="K1865" s="6" t="str">
        <f>IFERROR(__xludf.DUMMYFUNCTION("""COMPUTED_VALUE"""),"Парк ангелов, памятник шахтёру")</f>
        <v>Парк ангелов, памятник шахтёру</v>
      </c>
      <c r="L1865" s="6" t="str">
        <f>IFERROR(__xludf.DUMMYFUNCTION("""COMPUTED_VALUE"""),"Песня ""человек из кемерова"" аквариум")</f>
        <v>Песня "человек из кемерова" аквариум</v>
      </c>
      <c r="M1865" s="6" t="str">
        <f>IFERROR(__xludf.DUMMYFUNCTION("""COMPUTED_VALUE"""),"Нет")</f>
        <v>Нет</v>
      </c>
      <c r="N1865" s="6" t="str">
        <f>IFERROR(__xludf.DUMMYFUNCTION("""COMPUTED_VALUE"""),"Экология, доступность работы и детских садов рядом с домом, современные парки, чистота, культурные мероприятия ")</f>
        <v>Экология, доступность работы и детских садов рядом с домом, современные парки, чистота, культурные мероприятия </v>
      </c>
      <c r="O1865" s="6" t="str">
        <f>IFERROR(__xludf.DUMMYFUNCTION("""COMPUTED_VALUE"""),"Облагородить предзаводской")</f>
        <v>Облагородить предзаводской</v>
      </c>
      <c r="P1865" s="6" t="str">
        <f>IFERROR(__xludf.DUMMYFUNCTION("""COMPUTED_VALUE"""),"Вк, блогеры инстаграма, афиша Кемерова")</f>
        <v>Вк, блогеры инстаграма, афиша Кемерова</v>
      </c>
      <c r="Q1865"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1865" s="6" t="str">
        <f>IFERROR(__xludf.DUMMYFUNCTION("""COMPUTED_VALUE"""),"9 мая")</f>
        <v>9 мая</v>
      </c>
      <c r="S1865" s="6" t="str">
        <f>IFERROR(__xludf.DUMMYFUNCTION("""COMPUTED_VALUE"""),"Нет, не приходилось")</f>
        <v>Нет, не приходилось</v>
      </c>
      <c r="T1865" s="6" t="str">
        <f>IFERROR(__xludf.DUMMYFUNCTION("""COMPUTED_VALUE"""),"Трагедия зимней вишни")</f>
        <v>Трагедия зимней вишни</v>
      </c>
      <c r="U1865" s="6" t="str">
        <f>IFERROR(__xludf.DUMMYFUNCTION("""COMPUTED_VALUE"""),"Набережная, ЦУМ, театр драмы ")</f>
        <v>Набережная, ЦУМ, театр драмы </v>
      </c>
      <c r="V1865" s="6" t="str">
        <f>IFERROR(__xludf.DUMMYFUNCTION("""COMPUTED_VALUE"""),"Развивались и добивались успеха")</f>
        <v>Развивались и добивались успеха</v>
      </c>
      <c r="W1865" s="6" t="str">
        <f>IFERROR(__xludf.DUMMYFUNCTION("""COMPUTED_VALUE"""),"Сильные, депрессивные, уставшие")</f>
        <v>Сильные, депрессивные, уставшие</v>
      </c>
      <c r="X1865" s="6" t="str">
        <f>IFERROR(__xludf.DUMMYFUNCTION("""COMPUTED_VALUE"""),"Нет таких")</f>
        <v>Нет таких</v>
      </c>
      <c r="Y1865" s="6" t="str">
        <f>IFERROR(__xludf.DUMMYFUNCTION("""COMPUTED_VALUE"""),"Чемпионат бенди")</f>
        <v>Чемпионат бенди</v>
      </c>
      <c r="Z1865" s="6" t="str">
        <f>IFERROR(__xludf.DUMMYFUNCTION("""COMPUTED_VALUE"""),"Фестиваль герои мирового рока, 9мая")</f>
        <v>Фестиваль герои мирового рока, 9мая</v>
      </c>
      <c r="AA1865" s="6" t="str">
        <f>IFERROR(__xludf.DUMMYFUNCTION("""COMPUTED_VALUE"""),"Зимняя вишня, автозаки на площади")</f>
        <v>Зимняя вишня, автозаки на площади</v>
      </c>
      <c r="AB1865" s="6" t="str">
        <f>IFERROR(__xludf.DUMMYFUNCTION("""COMPUTED_VALUE"""),"Всего хватает")</f>
        <v>Всего хватает</v>
      </c>
      <c r="AC1865" s="6" t="str">
        <f>IFERROR(__xludf.DUMMYFUNCTION("""COMPUTED_VALUE"""),"Музыкальные фестивали ")</f>
        <v>Музыкальные фестивали </v>
      </c>
      <c r="AD1865" s="6" t="str">
        <f>IFERROR(__xludf.DUMMYFUNCTION("""COMPUTED_VALUE"""),"Не готов принимать личное участие (укажите, пожалуйста, причину в поле «Другое»), Нет времени")</f>
        <v>Не готов принимать личное участие (укажите, пожалуйста, причину в поле «Другое»), Нет времени</v>
      </c>
      <c r="AE1865" s="6" t="str">
        <f>IFERROR(__xludf.DUMMYFUNCTION("""COMPUTED_VALUE"""),"Женский")</f>
        <v>Женский</v>
      </c>
      <c r="AF1865" s="6" t="str">
        <f>IFERROR(__xludf.DUMMYFUNCTION("""COMPUTED_VALUE"""),"18-29")</f>
        <v>18-29</v>
      </c>
      <c r="AG1865" s="6"/>
      <c r="AH1865" s="6"/>
      <c r="AI1865" s="6"/>
      <c r="AJ1865" s="6"/>
      <c r="AK1865" s="6"/>
      <c r="AL1865" s="6"/>
      <c r="AM1865" s="6"/>
    </row>
    <row r="1866">
      <c r="A1866" s="6">
        <v>1865.0</v>
      </c>
      <c r="B1866" s="6" t="str">
        <f>IFERROR(__xludf.DUMMYFUNCTION("""COMPUTED_VALUE"""),"Работаю")</f>
        <v>Работаю</v>
      </c>
      <c r="C1866" s="6" t="str">
        <f>IFERROR(__xludf.DUMMYFUNCTION("""COMPUTED_VALUE"""),"Марки")</f>
        <v>Марки</v>
      </c>
      <c r="D1866" s="6" t="str">
        <f>IFERROR(__xludf.DUMMYFUNCTION("""COMPUTED_VALUE"""),"Кировский")</f>
        <v>Кировский</v>
      </c>
      <c r="E1866" s="6" t="str">
        <f>IFERROR(__xludf.DUMMYFUNCTION("""COMPUTED_VALUE"""),"Набережная")</f>
        <v>Набережная</v>
      </c>
      <c r="F1866" s="6" t="str">
        <f>IFERROR(__xludf.DUMMYFUNCTION("""COMPUTED_VALUE"""),"Живу здесь с рождения")</f>
        <v>Живу здесь с рождения</v>
      </c>
      <c r="G1866" s="6" t="str">
        <f>IFERROR(__xludf.DUMMYFUNCTION("""COMPUTED_VALUE"""),"Набережные, парки, ул. Весенняя")</f>
        <v>Набережные, парки, ул. Весенняя</v>
      </c>
      <c r="H1866" s="6" t="str">
        <f>IFERROR(__xludf.DUMMYFUNCTION("""COMPUTED_VALUE"""),"Продано продано продано продано продано")</f>
        <v>Продано продано продано продано продано</v>
      </c>
      <c r="I1866" s="6" t="str">
        <f>IFERROR(__xludf.DUMMYFUNCTION("""COMPUTED_VALUE"""),"Волков, Леонов, ")</f>
        <v>Волков, Леонов, </v>
      </c>
      <c r="J1866" s="6" t="str">
        <f>IFERROR(__xludf.DUMMYFUNCTION("""COMPUTED_VALUE"""),"Галина Игнатьевна Завадская")</f>
        <v>Галина Игнатьевна Завадская</v>
      </c>
      <c r="K1866" s="6" t="str">
        <f>IFERROR(__xludf.DUMMYFUNCTION("""COMPUTED_VALUE"""),"Красная горка, б-р Строителей, театры Драмы, Оперетты, Филармония, парки")</f>
        <v>Красная горка, б-р Строителей, театры Драмы, Оперетты, Филармония, парки</v>
      </c>
      <c r="L1866" s="6" t="str">
        <f>IFERROR(__xludf.DUMMYFUNCTION("""COMPUTED_VALUE"""),"Человек из Кемерова @ БГ")</f>
        <v>Человек из Кемерова @ БГ</v>
      </c>
      <c r="M1866" s="6" t="str">
        <f>IFERROR(__xludf.DUMMYFUNCTION("""COMPUTED_VALUE"""),"Нет")</f>
        <v>Нет</v>
      </c>
      <c r="N1866" s="6" t="str">
        <f>IFERROR(__xludf.DUMMYFUNCTION("""COMPUTED_VALUE"""),"Развитая инфраструктура, градообразующие предприятия, культурные центры, зелёная зона, хорошие дороги")</f>
        <v>Развитая инфраструктура, градообразующие предприятия, культурные центры, зелёная зона, хорошие дороги</v>
      </c>
      <c r="O1866" s="6" t="str">
        <f>IFERROR(__xludf.DUMMYFUNCTION("""COMPUTED_VALUE"""),"Боюсь честно ответить")</f>
        <v>Боюсь честно ответить</v>
      </c>
      <c r="P1866" s="6" t="str">
        <f>IFERROR(__xludf.DUMMYFUNCTION("""COMPUTED_VALUE"""),"Инстаграмм")</f>
        <v>Инстаграмм</v>
      </c>
      <c r="Q1866" s="6" t="str">
        <f>IFERROR(__xludf.DUMMYFUNCTION("""COMPUTED_VALUE"""),"городская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f>
        <v>городская афиша (кино/театр/концерты),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866" s="6" t="str">
        <f>IFERROR(__xludf.DUMMYFUNCTION("""COMPUTED_VALUE"""),"День города")</f>
        <v>День города</v>
      </c>
      <c r="S1866" s="6" t="str">
        <f>IFERROR(__xludf.DUMMYFUNCTION("""COMPUTED_VALUE"""),"Обращался в редакции электронных городских СМИ")</f>
        <v>Обращался в редакции электронных городских СМИ</v>
      </c>
      <c r="T1866" s="6" t="str">
        <f>IFERROR(__xludf.DUMMYFUNCTION("""COMPUTED_VALUE"""),"Ничем, если честно")</f>
        <v>Ничем, если честно</v>
      </c>
      <c r="U1866" s="6" t="str">
        <f>IFERROR(__xludf.DUMMYFUNCTION("""COMPUTED_VALUE"""),"Площадь Советов- театр Драмы- набережная")</f>
        <v>Площадь Советов- театр Драмы- набережная</v>
      </c>
      <c r="V1866" s="6" t="str">
        <f>IFERROR(__xludf.DUMMYFUNCTION("""COMPUTED_VALUE"""),"Героический труд во все времена, особенно в годы войны и послевоенные годы")</f>
        <v>Героический труд во все времена, особенно в годы войны и послевоенные годы</v>
      </c>
      <c r="W1866" s="6" t="str">
        <f>IFERROR(__xludf.DUMMYFUNCTION("""COMPUTED_VALUE"""),"Коммуникабельные, хлебосольные, радушные, активные, открытые")</f>
        <v>Коммуникабельные, хлебосольные, радушные, активные, открытые</v>
      </c>
      <c r="X1866" s="6" t="str">
        <f>IFERROR(__xludf.DUMMYFUNCTION("""COMPUTED_VALUE"""),"На маршрутке номер 40))))")</f>
        <v>На маршрутке номер 40))))</v>
      </c>
      <c r="Y1866" s="6" t="str">
        <f>IFERROR(__xludf.DUMMYFUNCTION("""COMPUTED_VALUE"""),"Признание столицей КУЗБАССА")</f>
        <v>Признание столицей КУЗБАССА</v>
      </c>
      <c r="Z1866" s="6" t="str">
        <f>IFERROR(__xludf.DUMMYFUNCTION("""COMPUTED_VALUE"""),"Нет. Может быть выступление группы БИ-2")</f>
        <v>Нет. Может быть выступление группы БИ-2</v>
      </c>
      <c r="AA1866" s="6" t="str">
        <f>IFERROR(__xludf.DUMMYFUNCTION("""COMPUTED_VALUE"""),"Парад Дедов Морозов, убийство девушки, на защиту которой не приехали полицейские")</f>
        <v>Парад Дедов Морозов, убийство девушки, на защиту которой не приехали полицейские</v>
      </c>
      <c r="AB1866" s="6" t="str">
        <f>IFERROR(__xludf.DUMMYFUNCTION("""COMPUTED_VALUE"""),"Не знаю.вернее знаю, но...нынче страшно говорить правду")</f>
        <v>Не знаю.вернее знаю, но...нынче страшно говорить правду</v>
      </c>
      <c r="AC1866" s="6" t="str">
        <f>IFERROR(__xludf.DUMMYFUNCTION("""COMPUTED_VALUE"""),"Общественные, бесплатные, спортивные")</f>
        <v>Общественные, бесплатные, спортивные</v>
      </c>
      <c r="AD186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866" s="6" t="str">
        <f>IFERROR(__xludf.DUMMYFUNCTION("""COMPUTED_VALUE"""),"Женский")</f>
        <v>Женский</v>
      </c>
      <c r="AF1866" s="6" t="str">
        <f>IFERROR(__xludf.DUMMYFUNCTION("""COMPUTED_VALUE"""),"45-55")</f>
        <v>45-55</v>
      </c>
      <c r="AG1866" s="6"/>
      <c r="AH1866" s="6"/>
      <c r="AI1866" s="6"/>
      <c r="AJ1866" s="6"/>
      <c r="AK1866" s="6"/>
      <c r="AL1866" s="6"/>
      <c r="AM1866" s="6"/>
    </row>
    <row r="1867">
      <c r="A1867" s="6">
        <v>1866.0</v>
      </c>
      <c r="B1867" s="6" t="str">
        <f>IFERROR(__xludf.DUMMYFUNCTION("""COMPUTED_VALUE"""),"Учитель ")</f>
        <v>Учитель </v>
      </c>
      <c r="C1867" s="6" t="str">
        <f>IFERROR(__xludf.DUMMYFUNCTION("""COMPUTED_VALUE"""),"Да. Путешествовать. Посещать разные культурные места. Заниматься спортом. Играть на муз инструменте. Смотреть кино... ")</f>
        <v>Да. Путешествовать. Посещать разные культурные места. Заниматься спортом. Играть на муз инструменте. Смотреть кино... </v>
      </c>
      <c r="D1867" s="6" t="str">
        <f>IFERROR(__xludf.DUMMYFUNCTION("""COMPUTED_VALUE"""),"Ленинский ")</f>
        <v>Ленинский </v>
      </c>
      <c r="E1867" s="6" t="str">
        <f>IFERROR(__xludf.DUMMYFUNCTION("""COMPUTED_VALUE"""),"Линейный Бульвар, Парк Кузбасский, Храм Святой Троицы, Храм Казанской Божией Матери, Территория возле Президентского кадетского училища, Красное озеро, детская Ж/Д дорога, Кузбасский Ботанический сад, мечеть Мунира, ГЦС Кузбасс, ТЦ Лето, два бульварных ко"&amp;"льца, легкоатлетический манеж. ")</f>
        <v>Линейный Бульвар, Парк Кузбасский, Храм Святой Троицы, Храм Казанской Божией Матери, Территория возле Президентского кадетского училища, Красное озеро, детская Ж/Д дорога, Кузбасский Ботанический сад, мечеть Мунира, ГЦС Кузбасс, ТЦ Лето, два бульварных кольца, легкоатлетический манеж. </v>
      </c>
      <c r="F1867" s="6" t="str">
        <f>IFERROR(__xludf.DUMMYFUNCTION("""COMPUTED_VALUE"""),"Живу здесь с рождения")</f>
        <v>Живу здесь с рождения</v>
      </c>
      <c r="G1867" s="6" t="str">
        <f>IFERROR(__xludf.DUMMYFUNCTION("""COMPUTED_VALUE"""),"Центр города, бульвар Строителей, музей Изо, Краеведческий, красная горка, храмы, филармония, муз театр, драма, театр для детей и молодёжи, театр Ложа, центр искусств, спорт комплекс Арена, областная библиотека, сосновый бор, каток Химик, Парк Чудес, Парк"&amp;" им Веры Волошиной, Кинотеатры Юбилейный и Космос и много куда ещё. ")</f>
        <v>Центр города, бульвар Строителей, музей Изо, Краеведческий, красная горка, храмы, филармония, муз театр, драма, театр для детей и молодёжи, театр Ложа, центр искусств, спорт комплекс Арена, областная библиотека, сосновый бор, каток Химик, Парк Чудес, Парк им Веры Волошиной, Кинотеатры Юбилейный и Космос и много куда ещё. </v>
      </c>
      <c r="H1867" s="6" t="str">
        <f>IFERROR(__xludf.DUMMYFUNCTION("""COMPUTED_VALUE"""),"Уютный, европейский, уникальный, зелёный, развивающийся ")</f>
        <v>Уютный, европейский, уникальный, зелёный, развивающийся </v>
      </c>
      <c r="I1867" s="6" t="str">
        <f>IFERROR(__xludf.DUMMYFUNCTION("""COMPUTED_VALUE"""),"Вера Волошина, Алексей Леонова Владимир Мартемьянов. ")</f>
        <v>Вера Волошина, Алексей Леонова Владимир Мартемьянов. </v>
      </c>
      <c r="J1867" s="6" t="str">
        <f>IFERROR(__xludf.DUMMYFUNCTION("""COMPUTED_VALUE"""),"Евгений Гришковец, Александр Бессмертных... Многие наши спортсмены, Алексей Леонов. ")</f>
        <v>Евгений Гришковец, Александр Бессмертных... Многие наши спортсмены, Алексей Леонов. </v>
      </c>
      <c r="K1867" s="6" t="str">
        <f>IFERROR(__xludf.DUMMYFUNCTION("""COMPUTED_VALUE"""),"Арт пространство Клумба, Арт пространство Зеркало, экскурсии в рамках проекта ""внутри и снаружи"" от Феодоры, театр Ложа, Красная горка, Парк Ангелов, Линейный Бульвар (бульвар Строителей), Набережная и весь центр вокруг, Краеведческий музей, Театр Слово"&amp;" при Филармонии, Кемерово сити, Парк Веры Волршиной, Гор сад, сосновый бор, надпись Кузбасс, паб Бельгия, бар Белочка, ресторан Забой и тд ")</f>
        <v>Арт пространство Клумба, Арт пространство Зеркало, экскурсии в рамках проекта "внутри и снаружи" от Феодоры, театр Ложа, Красная горка, Парк Ангелов, Линейный Бульвар (бульвар Строителей), Набережная и весь центр вокруг, Краеведческий музей, Театр Слово при Филармонии, Кемерово сити, Парк Веры Волршиной, Гор сад, сосновый бор, надпись Кузбасс, паб Бельгия, бар Белочка, ресторан Забой и тд </v>
      </c>
      <c r="L1867" s="6" t="str">
        <f>IFERROR(__xludf.DUMMYFUNCTION("""COMPUTED_VALUE"""),"Дом, милый дом. В гостях хорошо, а дома лучше. ")</f>
        <v>Дом, милый дом. В гостях хорошо, а дома лучше. </v>
      </c>
      <c r="M1867" s="6" t="str">
        <f>IFERROR(__xludf.DUMMYFUNCTION("""COMPUTED_VALUE"""),"Мультифора, Кузбассить (устаревшее)")</f>
        <v>Мультифора, Кузбассить (устаревшее)</v>
      </c>
      <c r="N1867" s="6" t="str">
        <f>IFERROR(__xludf.DUMMYFUNCTION("""COMPUTED_VALUE"""),"1)Наличие достойно оплачиваемой работы для мужчин и женщин разных возрастов  (молодёжь и люди среднего возраста в особенности) с возможностями роста 2) Развитый культурный пласт (театры, музеи, концерты, творчество итд) 3)красивый внешний облик города (хо"&amp;"рошие дороги, тратуар, отремонтированные дома, благоустроенные дворы, 4) Развитая инфраструктура и наличие всех необходимых служб и учреждений в пределах досягаемости 5) благоприятная экологическая обстановка ")</f>
        <v>1)Наличие достойно оплачиваемой работы для мужчин и женщин разных возрастов  (молодёжь и люди среднего возраста в особенности) с возможностями роста 2) Развитый культурный пласт (театры, музеи, концерты, творчество итд) 3)красивый внешний облик города (хорошие дороги, тратуар, отремонтированные дома, благоустроенные дворы, 4) Развитая инфраструктура и наличие всех необходимых служб и учреждений в пределах досягаемости 5) благоприятная экологическая обстановка </v>
      </c>
      <c r="O1867" s="6" t="str">
        <f>IFERROR(__xludf.DUMMYFUNCTION("""COMPUTED_VALUE"""),"Дать Хорошие высокооплачиваемые рабочие места, сохранить разумные цены на все, сохранить архитектурные, историческое, культурное наследие (старинные дома, скульптуры...), поднимать культуру людей, особенно подростков. Сделать посещение культ мест доступны"&amp;"м для пенсионеров и студентов, да и для других тоже. ")</f>
        <v>Дать Хорошие высокооплачиваемые рабочие места, сохранить разумные цены на все, сохранить архитектурные, историческое, культурное наследие (старинные дома, скульптуры...), поднимать культуру людей, особенно подростков. Сделать посещение культ мест доступным для пенсионеров и студентов, да и для других тоже. </v>
      </c>
      <c r="P1867" s="6" t="str">
        <f>IFERROR(__xludf.DUMMYFUNCTION("""COMPUTED_VALUE"""),"Инстаграмм, вк, фейсбук, личные контакты ")</f>
        <v>Инстаграмм, вк, фейсбук, личные контакты </v>
      </c>
      <c r="Q1867"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(напиш"&amp;"ите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 интервью с экспертами на разные темы (напишите в разделе Другое свои предложения)</v>
      </c>
      <c r="R1867" s="6" t="str">
        <f>IFERROR(__xludf.DUMMYFUNCTION("""COMPUTED_VALUE"""),"День Победы, День Города, День Шахтёра ")</f>
        <v>День Победы, День Города, День Шахтёра </v>
      </c>
      <c r="S1867" s="6" t="str">
        <f>IFERROR(__xludf.DUMMYFUNCTION("""COMPUTED_VALUE"""),"Нет")</f>
        <v>Нет</v>
      </c>
      <c r="T1867" s="6" t="str">
        <f>IFERROR(__xludf.DUMMYFUNCTION("""COMPUTED_VALUE"""),"Печально известен из-за Зимней Вишни. Позитивно - город шахтёров. Молодой, но быстро развивающийся город. Есть уникальный сосновый бор, подобного которому практически нет нигде в мире. Очень зелёный город. ")</f>
        <v>Печально известен из-за Зимней Вишни. Позитивно - город шахтёров. Молодой, но быстро развивающийся город. Есть уникальный сосновый бор, подобного которому практически нет нигде в мире. Очень зелёный город. </v>
      </c>
      <c r="U1867" s="6" t="str">
        <f>IFERROR(__xludf.DUMMYFUNCTION("""COMPUTED_VALUE"""),"Бульвар Строителей район Кольца и район Драм Театра")</f>
        <v>Бульвар Строителей район Кольца и район Драм Театра</v>
      </c>
      <c r="V1867" s="6" t="str">
        <f>IFERROR(__xludf.DUMMYFUNCTION("""COMPUTED_VALUE"""),"1)Деревню Щегловка превратили в город Кемерово. 2)Победы в разных сферах жизни")</f>
        <v>1)Деревню Щегловка превратили в город Кемерово. 2)Победы в разных сферах жизни</v>
      </c>
      <c r="W1867" s="6" t="str">
        <f>IFERROR(__xludf.DUMMYFUNCTION("""COMPUTED_VALUE"""),"Гости города говорят, что мы душевные, отзывчивые, гостеприимные ")</f>
        <v>Гости города говорят, что мы душевные, отзывчивые, гостеприимные </v>
      </c>
      <c r="X1867" s="6" t="str">
        <f>IFERROR(__xludf.DUMMYFUNCTION("""COMPUTED_VALUE"""),"1)от Парка Ангелов до Весенней, Драм театр, набережная, театр для детей и молодёжи, храм. 2)Район Красной горки :дома колбасы, смотровая площадка, монумент Шазтеру, музей Красная Горка 3) Сосновый бор - прогулка по лесу, хрест орёл, надпись Кузбасс, пикни"&amp;"к с видом на город. ")</f>
        <v>1)от Парка Ангелов до Весенней, Драм театр, набережная, театр для детей и молодёжи, храм. 2)Район Красной горки :дома колбасы, смотровая площадка, монумент Шазтеру, музей Красная Горка 3) Сосновый бор - прогулка по лесу, хрест орёл, надпись Кузбасс, пикник с видом на город. </v>
      </c>
      <c r="Y1867" s="6" t="str">
        <f>IFERROR(__xludf.DUMMYFUNCTION("""COMPUTED_VALUE"""),"Из более - менее современных, Международный чемпионат по бенди. Открытие аэропорта им. А. Леонова, празднование 100 летия Кемерово. Реконструкция муз театра. ")</f>
        <v>Из более - менее современных, Международный чемпионат по бенди. Открытие аэропорта им. А. Леонова, празднование 100 летия Кемерово. Реконструкция муз театра. </v>
      </c>
      <c r="Z1867" s="6" t="str">
        <f>IFERROR(__xludf.DUMMYFUNCTION("""COMPUTED_VALUE"""),"реконструкция и открытие муз театра им Боброва... ")</f>
        <v>реконструкция и открытие муз театра им Боброва... </v>
      </c>
      <c r="AA1867" s="6" t="str">
        <f>IFERROR(__xludf.DUMMYFUNCTION("""COMPUTED_VALUE"""),"Пожар в Зимней Вишни ")</f>
        <v>Пожар в Зимней Вишни </v>
      </c>
      <c r="AB1867" s="6" t="str">
        <f>IFERROR(__xludf.DUMMYFUNCTION("""COMPUTED_VALUE"""),"Не знаю ")</f>
        <v>Не знаю </v>
      </c>
      <c r="AC1867" s="6" t="str">
        <f>IFERROR(__xludf.DUMMYFUNCTION("""COMPUTED_VALUE"""),"Свой балет, курсы по подготовке гидов, полноценный бал в муз театре, больше тематических экскурсий в учреждения, куда не попасть простым людям (за кулисы театров, в гримерки, в административные здания и тд). ")</f>
        <v>Свой балет, курсы по подготовке гидов, полноценный бал в муз театре, больше тематических экскурсий в учреждения, куда не попасть простым людям (за кулисы театров, в гримерки, в административные здания и тд). </v>
      </c>
      <c r="AD1867" s="6" t="str">
        <f>IFERROR(__xludf.DUMMYFUNCTION("""COMPUTED_VALUE"""),"В роли гостя")</f>
        <v>В роли гостя</v>
      </c>
      <c r="AE1867" s="6" t="str">
        <f>IFERROR(__xludf.DUMMYFUNCTION("""COMPUTED_VALUE"""),"Женский")</f>
        <v>Женский</v>
      </c>
      <c r="AF1867" s="6" t="str">
        <f>IFERROR(__xludf.DUMMYFUNCTION("""COMPUTED_VALUE"""),"45-55")</f>
        <v>45-55</v>
      </c>
      <c r="AG1867" s="6"/>
      <c r="AH1867" s="6"/>
      <c r="AI1867" s="6"/>
      <c r="AJ1867" s="6"/>
      <c r="AK1867" s="6"/>
      <c r="AL1867" s="6"/>
      <c r="AM1867" s="6"/>
    </row>
    <row r="1868">
      <c r="A1868" s="6">
        <v>1867.0</v>
      </c>
      <c r="B1868" s="6" t="str">
        <f>IFERROR(__xludf.DUMMYFUNCTION("""COMPUTED_VALUE"""),"Учитель")</f>
        <v>Учитель</v>
      </c>
      <c r="C1868" s="6" t="str">
        <f>IFERROR(__xludf.DUMMYFUNCTION("""COMPUTED_VALUE"""),"Фотография. Наука")</f>
        <v>Фотография. Наука</v>
      </c>
      <c r="D1868" s="6" t="str">
        <f>IFERROR(__xludf.DUMMYFUNCTION("""COMPUTED_VALUE"""),"Южный")</f>
        <v>Южный</v>
      </c>
      <c r="E1868" s="6" t="str">
        <f>IFERROR(__xludf.DUMMYFUNCTION("""COMPUTED_VALUE"""),"Аллея Патриотов, парк возле церкви ")</f>
        <v>Аллея Патриотов, парк возле церкви </v>
      </c>
      <c r="F1868" s="6" t="str">
        <f>IFERROR(__xludf.DUMMYFUNCTION("""COMPUTED_VALUE"""),"Живу здесь с рождения")</f>
        <v>Живу здесь с рождения</v>
      </c>
      <c r="G1868" s="6" t="str">
        <f>IFERROR(__xludf.DUMMYFUNCTION("""COMPUTED_VALUE"""),"Центральная набережная,, парк Жукова и Антошка, бр. Пионерский, Строителей, красная горка")</f>
        <v>Центральная набережная,, парк Жукова и Антошка, бр. Пионерский, Строителей, красная горка</v>
      </c>
      <c r="H1868" s="6" t="str">
        <f>IFERROR(__xludf.DUMMYFUNCTION("""COMPUTED_VALUE"""),"Зелёнь, солнце, рабочий,  ребёнок, сибирь")</f>
        <v>Зелёнь, солнце, рабочий,  ребёнок, сибирь</v>
      </c>
      <c r="I1868" s="6" t="str">
        <f>IFERROR(__xludf.DUMMYFUNCTION("""COMPUTED_VALUE"""),"М. Волков, леонов,  ")</f>
        <v>М. Волков, леонов,  </v>
      </c>
      <c r="J1868" s="6" t="str">
        <f>IFERROR(__xludf.DUMMYFUNCTION("""COMPUTED_VALUE"""),"Гришковец, бывший мэр кемерово Михайлов")</f>
        <v>Гришковец, бывший мэр кемерово Михайлов</v>
      </c>
      <c r="K1868" s="6" t="str">
        <f>IFERROR(__xludf.DUMMYFUNCTION("""COMPUTED_VALUE"""),"Весь центр,  парк ангелов, ")</f>
        <v>Весь центр,  парк ангелов, </v>
      </c>
      <c r="L1868" s="6" t="str">
        <f>IFERROR(__xludf.DUMMYFUNCTION("""COMPUTED_VALUE"""),"Не знаю")</f>
        <v>Не знаю</v>
      </c>
      <c r="M1868" s="6" t="str">
        <f>IFERROR(__xludf.DUMMYFUNCTION("""COMPUTED_VALUE"""),"Нет")</f>
        <v>Нет</v>
      </c>
      <c r="N1868" s="6" t="str">
        <f>IFERROR(__xludf.DUMMYFUNCTION("""COMPUTED_VALUE"""),"Продуманная дорожная сеть как для машин, так и пешеходов, наличие парков продуманных для игр детей разного возраста, чистота, красивые зелёные насаждения.")</f>
        <v>Продуманная дорожная сеть как для машин, так и пешеходов, наличие парков продуманных для игр детей разного возраста, чистота, красивые зелёные насаждения.</v>
      </c>
      <c r="O1868" s="6" t="str">
        <f>IFERROR(__xludf.DUMMYFUNCTION("""COMPUTED_VALUE"""),"Экологию, убрать разыаливающинся не достроенные знания,  сделать в районах города удобные пешеходные переходы для людей с ограниченными возможностями и мам с колясками. ")</f>
        <v>Экологию, убрать разыаливающинся не достроенные знания,  сделать в районах города удобные пешеходные переходы для людей с ограниченными возможностями и мам с колясками. </v>
      </c>
      <c r="P1868" s="6" t="str">
        <f>IFERROR(__xludf.DUMMYFUNCTION("""COMPUTED_VALUE"""),"Яндекс новости, инстаграм, вк")</f>
        <v>Яндекс новости, инстаграм, вк</v>
      </c>
      <c r="Q1868"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(н"&amp;"апишите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868" s="6" t="str">
        <f>IFERROR(__xludf.DUMMYFUNCTION("""COMPUTED_VALUE"""),"День города, 9мая, день шахтёра.")</f>
        <v>День города, 9мая, день шахтёра.</v>
      </c>
      <c r="S1868" s="6" t="str">
        <f>IFERROR(__xludf.DUMMYFUNCTION("""COMPUTED_VALUE"""),"Нет, не приходилось")</f>
        <v>Нет, не приходилось</v>
      </c>
      <c r="T1868" s="6" t="str">
        <f>IFERROR(__xludf.DUMMYFUNCTION("""COMPUTED_VALUE"""),"Большая пешеходная зона для прогулки, место где нашли уголь,столица региона Кузбасс, ")</f>
        <v>Большая пешеходная зона для прогулки, место где нашли уголь,столица региона Кузбасс, </v>
      </c>
      <c r="U1868" s="6" t="str">
        <f>IFERROR(__xludf.DUMMYFUNCTION("""COMPUTED_VALUE"""),"Драмтеарт (фонтан) улица Весенняя ")</f>
        <v>Драмтеарт (фонтан) улица Весенняя </v>
      </c>
      <c r="V1868" s="6" t="str">
        <f>IFERROR(__xludf.DUMMYFUNCTION("""COMPUTED_VALUE"""),"Построили город в котором приятно жить")</f>
        <v>Построили город в котором приятно жить</v>
      </c>
      <c r="W1868" s="6" t="str">
        <f>IFERROR(__xludf.DUMMYFUNCTION("""COMPUTED_VALUE"""),"Ответственные, много работают, творческие, мечтающие,  доверчивые, но настороженные")</f>
        <v>Ответственные, много работают, творческие, мечтающие,  доверчивые, но настороженные</v>
      </c>
      <c r="X1868" s="6" t="str">
        <f>IFERROR(__xludf.DUMMYFUNCTION("""COMPUTED_VALUE"""),"От драмтеатра вниз к реке а там в зависимости от того кто гуляет дети налево,  взрослые направо ")</f>
        <v>От драмтеатра вниз к реке а там в зависимости от того кто гуляет дети налево,  взрослые направо </v>
      </c>
      <c r="Y1868" s="6" t="str">
        <f>IFERROR(__xludf.DUMMYFUNCTION("""COMPUTED_VALUE"""),"Выделение кемерово как столицы региона, чемпионат мира по хоккею с мячем")</f>
        <v>Выделение кемерово как столицы региона, чемпионат мира по хоккею с мячем</v>
      </c>
      <c r="Z1868" s="6" t="str">
        <f>IFERROR(__xludf.DUMMYFUNCTION("""COMPUTED_VALUE"""),"Не запомнилось")</f>
        <v>Не запомнилось</v>
      </c>
      <c r="AA1868" s="6" t="str">
        <f>IFERROR(__xludf.DUMMYFUNCTION("""COMPUTED_VALUE"""),"Митинг навального, и слухи о том что возле лесной поляны будет разрез угольный")</f>
        <v>Митинг навального, и слухи о том что возле лесной поляны будет разрез угольный</v>
      </c>
      <c r="AB1868" s="6" t="str">
        <f>IFERROR(__xludf.DUMMYFUNCTION("""COMPUTED_VALUE"""),"Коворкингов для взрослых.  Многие на удалении было бы здорово что бы можно было прийти куда то и поработать. Мест для подростков на южном уж точно. ")</f>
        <v>Коворкингов для взрослых.  Многие на удалении было бы здорово что бы можно было прийти куда то и поработать. Мест для подростков на южном уж точно. </v>
      </c>
      <c r="AC1868" s="6" t="str">
        <f>IFERROR(__xludf.DUMMYFUNCTION("""COMPUTED_VALUE"""),"Конкурсы танцев театральные фестивали, выступления музыкантов в открытом формате, научные конференции, мастер классы для детей и взрослых. ")</f>
        <v>Конкурсы танцев театральные фестивали, выступления музыкантов в открытом формате, научные конференции, мастер классы для детей и взрослых. </v>
      </c>
      <c r="AD1868"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непосредствен"&amp;"но во время реализации проекта, Коммуникатора: Готов задействовать свои знакомства для приглашения потенциально заинтересованных участников")</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868" s="6" t="str">
        <f>IFERROR(__xludf.DUMMYFUNCTION("""COMPUTED_VALUE"""),"Женский")</f>
        <v>Женский</v>
      </c>
      <c r="AF1868" s="6" t="str">
        <f>IFERROR(__xludf.DUMMYFUNCTION("""COMPUTED_VALUE"""),"30-44")</f>
        <v>30-44</v>
      </c>
      <c r="AG1868" s="6"/>
      <c r="AH1868" s="6"/>
      <c r="AI1868" s="6"/>
      <c r="AJ1868" s="6"/>
      <c r="AK1868" s="6"/>
      <c r="AL1868" s="6"/>
      <c r="AM1868" s="6"/>
    </row>
    <row r="1869">
      <c r="A1869" s="6">
        <v>1868.0</v>
      </c>
      <c r="B1869" s="6" t="str">
        <f>IFERROR(__xludf.DUMMYFUNCTION("""COMPUTED_VALUE"""),"Студент")</f>
        <v>Студент</v>
      </c>
      <c r="C1869" s="6" t="str">
        <f>IFERROR(__xludf.DUMMYFUNCTION("""COMPUTED_VALUE"""),"Комп. игры")</f>
        <v>Комп. игры</v>
      </c>
      <c r="D1869" s="6" t="str">
        <f>IFERROR(__xludf.DUMMYFUNCTION("""COMPUTED_VALUE"""),"Центральный")</f>
        <v>Центральный</v>
      </c>
      <c r="E1869" s="6" t="str">
        <f>IFERROR(__xludf.DUMMYFUNCTION("""COMPUTED_VALUE"""),"Пионерский, Набережная, Площадь Советов")</f>
        <v>Пионерский, Набережная, Площадь Советов</v>
      </c>
      <c r="F1869" s="6" t="str">
        <f>IFERROR(__xludf.DUMMYFUNCTION("""COMPUTED_VALUE"""),"Живу здесь с рождения")</f>
        <v>Живу здесь с рождения</v>
      </c>
      <c r="G1869" s="6" t="str">
        <f>IFERROR(__xludf.DUMMYFUNCTION("""COMPUTED_VALUE"""),"Кофейни, магазины")</f>
        <v>Кофейни, магазины</v>
      </c>
      <c r="H1869" s="6" t="str">
        <f>IFERROR(__xludf.DUMMYFUNCTION("""COMPUTED_VALUE"""),"Уголь, смог, шахтеры, томь, кузбасс")</f>
        <v>Уголь, смог, шахтеры, томь, кузбасс</v>
      </c>
      <c r="I1869" s="6" t="str">
        <f>IFERROR(__xludf.DUMMYFUNCTION("""COMPUTED_VALUE"""),"Волков, Леонов")</f>
        <v>Волков, Леонов</v>
      </c>
      <c r="J1869" s="6" t="str">
        <f>IFERROR(__xludf.DUMMYFUNCTION("""COMPUTED_VALUE"""),"не знаю")</f>
        <v>не знаю</v>
      </c>
      <c r="K1869" s="6" t="str">
        <f>IFERROR(__xludf.DUMMYFUNCTION("""COMPUTED_VALUE"""),"Сосновый бор, набережная")</f>
        <v>Сосновый бор, набережная</v>
      </c>
      <c r="L1869" s="6" t="str">
        <f>IFERROR(__xludf.DUMMYFUNCTION("""COMPUTED_VALUE"""),"не знаю")</f>
        <v>не знаю</v>
      </c>
      <c r="M1869" s="6" t="str">
        <f>IFERROR(__xludf.DUMMYFUNCTION("""COMPUTED_VALUE"""),"не знаю")</f>
        <v>не знаю</v>
      </c>
      <c r="N1869" s="6" t="str">
        <f>IFERROR(__xludf.DUMMYFUNCTION("""COMPUTED_VALUE"""),"Чистота, велодорожки, парки, нормальные дороги")</f>
        <v>Чистота, велодорожки, парки, нормальные дороги</v>
      </c>
      <c r="O1869" s="6" t="str">
        <f>IFERROR(__xludf.DUMMYFUNCTION("""COMPUTED_VALUE"""),"Экологию и дороги с парковками")</f>
        <v>Экологию и дороги с парковками</v>
      </c>
      <c r="P1869" s="6" t="str">
        <f>IFERROR(__xludf.DUMMYFUNCTION("""COMPUTED_VALUE"""),"Афиши, новостные сайты, вк")</f>
        <v>Афиши, новостные сайты, вк</v>
      </c>
      <c r="Q1869" s="6" t="str">
        <f>IFERROR(__xludf.DUMMYFUNCTION("""COMPUTED_VALUE"""),"куда пойти в свободное время, городская афиша (кино/театр/концерты), интервью с местными творческими личностями, криминальные новости (происшествия/преступления), новости про новые профессии/куда поступать/вакансии")</f>
        <v>куда пойти в свободное время, городская афиша (кино/театр/концерты), интервью с местными творческими личностями, криминальные новости (происшествия/преступления), новости про новые профессии/куда поступать/вакансии</v>
      </c>
      <c r="R1869" s="6" t="str">
        <f>IFERROR(__xludf.DUMMYFUNCTION("""COMPUTED_VALUE"""),"ни какие")</f>
        <v>ни какие</v>
      </c>
      <c r="S1869" s="6" t="str">
        <f>IFERROR(__xludf.DUMMYFUNCTION("""COMPUTED_VALUE"""),"Нет, не приходилось")</f>
        <v>Нет, не приходилось</v>
      </c>
      <c r="T1869" s="6" t="str">
        <f>IFERROR(__xludf.DUMMYFUNCTION("""COMPUTED_VALUE"""),"Уголь")</f>
        <v>Уголь</v>
      </c>
      <c r="U1869" s="6" t="str">
        <f>IFERROR(__xludf.DUMMYFUNCTION("""COMPUTED_VALUE"""),"Площадь Советов")</f>
        <v>Площадь Советов</v>
      </c>
      <c r="V1869" s="6" t="str">
        <f>IFERROR(__xludf.DUMMYFUNCTION("""COMPUTED_VALUE"""),"не знаю")</f>
        <v>не знаю</v>
      </c>
      <c r="W1869" s="6" t="str">
        <f>IFERROR(__xludf.DUMMYFUNCTION("""COMPUTED_VALUE"""),"Разные")</f>
        <v>Разные</v>
      </c>
      <c r="X1869" s="6" t="str">
        <f>IFERROR(__xludf.DUMMYFUNCTION("""COMPUTED_VALUE"""),"Набережная и центр города")</f>
        <v>Набережная и центр города</v>
      </c>
      <c r="Y1869" s="6" t="str">
        <f>IFERROR(__xludf.DUMMYFUNCTION("""COMPUTED_VALUE"""),"не знаю")</f>
        <v>не знаю</v>
      </c>
      <c r="Z1869" s="6" t="str">
        <f>IFERROR(__xludf.DUMMYFUNCTION("""COMPUTED_VALUE"""),"Рок-концерт в 19м году")</f>
        <v>Рок-концерт в 19м году</v>
      </c>
      <c r="AA1869" s="6" t="str">
        <f>IFERROR(__xludf.DUMMYFUNCTION("""COMPUTED_VALUE"""),"Зимняя вишня")</f>
        <v>Зимняя вишня</v>
      </c>
      <c r="AB1869" s="6" t="str">
        <f>IFERROR(__xludf.DUMMYFUNCTION("""COMPUTED_VALUE"""),"всего хватает")</f>
        <v>всего хватает</v>
      </c>
      <c r="AC1869" s="6" t="str">
        <f>IFERROR(__xludf.DUMMYFUNCTION("""COMPUTED_VALUE"""),"концерты")</f>
        <v>концерты</v>
      </c>
      <c r="AD186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69" s="6" t="str">
        <f>IFERROR(__xludf.DUMMYFUNCTION("""COMPUTED_VALUE"""),"Мужской")</f>
        <v>Мужской</v>
      </c>
      <c r="AF1869" s="6" t="str">
        <f>IFERROR(__xludf.DUMMYFUNCTION("""COMPUTED_VALUE"""),"18-29")</f>
        <v>18-29</v>
      </c>
      <c r="AG1869" s="6"/>
      <c r="AH1869" s="6"/>
      <c r="AI1869" s="6"/>
      <c r="AJ1869" s="6"/>
      <c r="AK1869" s="6"/>
      <c r="AL1869" s="6"/>
      <c r="AM1869" s="6"/>
    </row>
    <row r="1870">
      <c r="A1870" s="6">
        <v>1869.0</v>
      </c>
      <c r="B1870" s="6" t="str">
        <f>IFERROR(__xludf.DUMMYFUNCTION("""COMPUTED_VALUE"""),"Без работы")</f>
        <v>Без работы</v>
      </c>
      <c r="C1870" s="6" t="str">
        <f>IFERROR(__xludf.DUMMYFUNCTION("""COMPUTED_VALUE"""),"Нет")</f>
        <v>Нет</v>
      </c>
      <c r="D1870" s="6" t="str">
        <f>IFERROR(__xludf.DUMMYFUNCTION("""COMPUTED_VALUE"""),"Красновка ")</f>
        <v>Красновка </v>
      </c>
      <c r="E1870" s="6" t="str">
        <f>IFERROR(__xludf.DUMMYFUNCTION("""COMPUTED_VALUE"""),"Пляж в районе Гимс, речная 1, который они перерыли и испортили, добывая гальку для отсыпки дороги")</f>
        <v>Пляж в районе Гимс, речная 1, который они перерыли и испортили, добывая гальку для отсыпки дороги</v>
      </c>
      <c r="F1870" s="6" t="str">
        <f>IFERROR(__xludf.DUMMYFUNCTION("""COMPUTED_VALUE"""),"Живу здесь с рождения")</f>
        <v>Живу здесь с рождения</v>
      </c>
      <c r="G1870" s="6" t="str">
        <f>IFERROR(__xludf.DUMMYFUNCTION("""COMPUTED_VALUE"""),"Ни куда, нет средств")</f>
        <v>Ни куда, нет средств</v>
      </c>
      <c r="H1870" s="6" t="str">
        <f>IFERROR(__xludf.DUMMYFUNCTION("""COMPUTED_VALUE"""),"Уголь пыль газ бездорожье необустроенность")</f>
        <v>Уголь пыль газ бездорожье необустроенность</v>
      </c>
      <c r="I1870" s="6" t="str">
        <f>IFERROR(__xludf.DUMMYFUNCTION("""COMPUTED_VALUE"""),"Тулеев")</f>
        <v>Тулеев</v>
      </c>
      <c r="J1870" s="6" t="str">
        <f>IFERROR(__xludf.DUMMYFUNCTION("""COMPUTED_VALUE"""),"Тулеев")</f>
        <v>Тулеев</v>
      </c>
      <c r="K1870" s="6" t="str">
        <f>IFERROR(__xludf.DUMMYFUNCTION("""COMPUTED_VALUE"""),"Мегалиты томской писаницы")</f>
        <v>Мегалиты томской писаницы</v>
      </c>
      <c r="L1870" s="6" t="str">
        <f>IFERROR(__xludf.DUMMYFUNCTION("""COMPUTED_VALUE"""),"Не знаю")</f>
        <v>Не знаю</v>
      </c>
      <c r="M1870" s="6" t="str">
        <f>IFERROR(__xludf.DUMMYFUNCTION("""COMPUTED_VALUE"""),"Не знаю")</f>
        <v>Не знаю</v>
      </c>
      <c r="N1870" s="6" t="str">
        <f>IFERROR(__xludf.DUMMYFUNCTION("""COMPUTED_VALUE"""),"Чистый воздух, парки, хорошие дороги, доступность любого района города на общественном транспорте, газификация")</f>
        <v>Чистый воздух, парки, хорошие дороги, доступность любого района города на общественном транспорте, газификация</v>
      </c>
      <c r="O1870" s="6" t="str">
        <f>IFERROR(__xludf.DUMMYFUNCTION("""COMPUTED_VALUE"""),"Управление городом")</f>
        <v>Управление городом</v>
      </c>
      <c r="P1870" s="6" t="str">
        <f>IFERROR(__xludf.DUMMYFUNCTION("""COMPUTED_VALUE"""),"Телеграмм каналы")</f>
        <v>Телеграмм каналы</v>
      </c>
      <c r="Q1870" s="6" t="str">
        <f>IFERROR(__xludf.DUMMYFUNCTION("""COMPUTED_VALUE"""),"интервью с местными творческими личностями")</f>
        <v>интервью с местными творческими личностями</v>
      </c>
      <c r="R1870" s="6" t="str">
        <f>IFERROR(__xludf.DUMMYFUNCTION("""COMPUTED_VALUE"""),"Ни какие")</f>
        <v>Ни какие</v>
      </c>
      <c r="S1870" s="6" t="str">
        <f>IFERROR(__xludf.DUMMYFUNCTION("""COMPUTED_VALUE"""),"Мы сами создём уют и чистоту хот, бы возле своих домов")</f>
        <v>Мы сами создём уют и чистоту хот, бы возле своих домов</v>
      </c>
      <c r="T1870" s="6" t="str">
        <f>IFERROR(__xludf.DUMMYFUNCTION("""COMPUTED_VALUE"""),"Загрязнённой природой, воровство чиновников")</f>
        <v>Загрязнённой природой, воровство чиновников</v>
      </c>
      <c r="U1870" s="6" t="str">
        <f>IFERROR(__xludf.DUMMYFUNCTION("""COMPUTED_VALUE"""),"Драматический театр и ул. Весенняя")</f>
        <v>Драматический театр и ул. Весенняя</v>
      </c>
      <c r="V1870" s="6" t="str">
        <f>IFERROR(__xludf.DUMMYFUNCTION("""COMPUTED_VALUE"""),"Одни строили, в ча тности заводу другие это всё разрушили, а теперь разрушают эко систему или уже разрушили")</f>
        <v>Одни строили, в ча тности заводу другие это всё разрушили, а теперь разрушают эко систему или уже разрушили</v>
      </c>
      <c r="W1870" s="6" t="str">
        <f>IFERROR(__xludf.DUMMYFUNCTION("""COMPUTED_VALUE"""),"Очень злобные")</f>
        <v>Очень злобные</v>
      </c>
      <c r="X1870" s="6" t="str">
        <f>IFERROR(__xludf.DUMMYFUNCTION("""COMPUTED_VALUE"""),"Посёлок пригородных, ул Нахимова, бутовка")</f>
        <v>Посёлок пригородных, ул Нахимова, бутовка</v>
      </c>
      <c r="Y1870" s="6" t="str">
        <f>IFERROR(__xludf.DUMMYFUNCTION("""COMPUTED_VALUE"""),"Всё что произошло и происходит с кузбассом затмевает тот прошлый позитив")</f>
        <v>Всё что произошло и происходит с кузбассом затмевает тот прошлый позитив</v>
      </c>
      <c r="Z1870" s="6" t="str">
        <f>IFERROR(__xludf.DUMMYFUNCTION("""COMPUTED_VALUE"""),"Ни каких позитивом не было ")</f>
        <v>Ни каких позитивом не было </v>
      </c>
      <c r="AA1870" s="6" t="str">
        <f>IFERROR(__xludf.DUMMYFUNCTION("""COMPUTED_VALUE"""),"Полный упадок внешний и упадок моральный в обществе")</f>
        <v>Полный упадок внешний и упадок моральный в обществе</v>
      </c>
      <c r="AB1870" s="6" t="str">
        <f>IFERROR(__xludf.DUMMYFUNCTION("""COMPUTED_VALUE"""),"Когда люди будут жить в достатке, получать хорошую зарплату а не будут думать о хлебе насущном, сообщества несящие позитив и радость появляться сами собой, появится и идеология")</f>
        <v>Когда люди будут жить в достатке, получать хорошую зарплату а не будут думать о хлебе насущном, сообщества несящие позитив и радость появляться сами собой, появится и идеология</v>
      </c>
      <c r="AC1870" s="6" t="str">
        <f>IFERROR(__xludf.DUMMYFUNCTION("""COMPUTED_VALUE"""),"Надо что бы люди жили в достатке и смотрели смело в будущее, а что для этого надо сделать?думаю всем известно")</f>
        <v>Надо что бы люди жили в достатке и смотрели смело в будущее, а что для этого надо сделать?думаю всем известно</v>
      </c>
      <c r="AD1870" s="6" t="str">
        <f>IFERROR(__xludf.DUMMYFUNCTION("""COMPUTED_VALUE"""),"Ни в какой ")</f>
        <v>Ни в какой </v>
      </c>
      <c r="AE1870" s="6" t="str">
        <f>IFERROR(__xludf.DUMMYFUNCTION("""COMPUTED_VALUE"""),"Женский")</f>
        <v>Женский</v>
      </c>
      <c r="AF1870" s="6" t="str">
        <f>IFERROR(__xludf.DUMMYFUNCTION("""COMPUTED_VALUE"""),"45-55")</f>
        <v>45-55</v>
      </c>
      <c r="AG1870" s="6"/>
      <c r="AH1870" s="6"/>
      <c r="AI1870" s="6"/>
      <c r="AJ1870" s="6"/>
      <c r="AK1870" s="6"/>
      <c r="AL1870" s="6"/>
      <c r="AM1870" s="6"/>
    </row>
    <row r="1871">
      <c r="A1871" s="6">
        <v>1870.0</v>
      </c>
      <c r="B1871" s="6" t="str">
        <f>IFERROR(__xludf.DUMMYFUNCTION("""COMPUTED_VALUE"""),"Госслужба")</f>
        <v>Госслужба</v>
      </c>
      <c r="C1871" s="6" t="str">
        <f>IFERROR(__xludf.DUMMYFUNCTION("""COMPUTED_VALUE"""),"Живопись")</f>
        <v>Живопись</v>
      </c>
      <c r="D1871" s="6" t="str">
        <f>IFERROR(__xludf.DUMMYFUNCTION("""COMPUTED_VALUE"""),"РАДУГА")</f>
        <v>РАДУГА</v>
      </c>
      <c r="E1871" s="6" t="str">
        <f>IFERROR(__xludf.DUMMYFUNCTION("""COMPUTED_VALUE"""),"Сосновый бор")</f>
        <v>Сосновый бор</v>
      </c>
      <c r="F1871" s="6" t="str">
        <f>IFERROR(__xludf.DUMMYFUNCTION("""COMPUTED_VALUE"""),"Живу здесь с рождения")</f>
        <v>Живу здесь с рождения</v>
      </c>
      <c r="G1871" s="6" t="str">
        <f>IFERROR(__xludf.DUMMYFUNCTION("""COMPUTED_VALUE"""),"Шоппинг ")</f>
        <v>Шоппинг </v>
      </c>
      <c r="H1871" s="6" t="str">
        <f>IFERROR(__xludf.DUMMYFUNCTION("""COMPUTED_VALUE"""),"Нет мест отдыха с детьми на Радуге")</f>
        <v>Нет мест отдыха с детьми на Радуге</v>
      </c>
      <c r="I1871" s="6" t="str">
        <f>IFERROR(__xludf.DUMMYFUNCTION("""COMPUTED_VALUE"""),"ТУЛЕЕВ")</f>
        <v>ТУЛЕЕВ</v>
      </c>
      <c r="J1871" s="6" t="str">
        <f>IFERROR(__xludf.DUMMYFUNCTION("""COMPUTED_VALUE"""),"Михайлов")</f>
        <v>Михайлов</v>
      </c>
      <c r="K1871" s="6" t="str">
        <f>IFERROR(__xludf.DUMMYFUNCTION("""COMPUTED_VALUE"""),"Красная горка")</f>
        <v>Красная горка</v>
      </c>
      <c r="L1871" s="6" t="str">
        <f>IFERROR(__xludf.DUMMYFUNCTION("""COMPUTED_VALUE"""),"Не знаю")</f>
        <v>Не знаю</v>
      </c>
      <c r="M1871" s="6" t="str">
        <f>IFERROR(__xludf.DUMMYFUNCTION("""COMPUTED_VALUE"""),"Не знаю")</f>
        <v>Не знаю</v>
      </c>
      <c r="N1871" s="6" t="str">
        <f>IFERROR(__xludf.DUMMYFUNCTION("""COMPUTED_VALUE"""),"Нет критериев комфортности")</f>
        <v>Нет критериев комфортности</v>
      </c>
      <c r="O1871" s="6" t="str">
        <f>IFERROR(__xludf.DUMMYFUNCTION("""COMPUTED_VALUE"""),"Уровень жизнеобеспечения")</f>
        <v>Уровень жизнеобеспечения</v>
      </c>
      <c r="P1871" s="6" t="str">
        <f>IFERROR(__xludf.DUMMYFUNCTION("""COMPUTED_VALUE"""),"Интернет, ТВ")</f>
        <v>Интернет, ТВ</v>
      </c>
      <c r="Q1871" s="6" t="str">
        <f>IFERROR(__xludf.DUMMYFUNCTION("""COMPUTED_VALUE"""),"городская афиша (кино/театр/концерты)")</f>
        <v>городская афиша (кино/театр/концерты)</v>
      </c>
      <c r="R1871" s="6" t="str">
        <f>IFERROR(__xludf.DUMMYFUNCTION("""COMPUTED_VALUE"""),"День горрда")</f>
        <v>День горрда</v>
      </c>
      <c r="S1871" s="6" t="str">
        <f>IFERROR(__xludf.DUMMYFUNCTION("""COMPUTED_VALUE"""),"Нет, не приходилось")</f>
        <v>Нет, не приходилось</v>
      </c>
      <c r="T1871" s="6" t="str">
        <f>IFERROR(__xludf.DUMMYFUNCTION("""COMPUTED_VALUE"""),"История образования города")</f>
        <v>История образования города</v>
      </c>
      <c r="U1871" s="6" t="str">
        <f>IFERROR(__xludf.DUMMYFUNCTION("""COMPUTED_VALUE"""),"Площадь Советов")</f>
        <v>Площадь Советов</v>
      </c>
      <c r="V1871" s="6" t="str">
        <f>IFERROR(__xludf.DUMMYFUNCTION("""COMPUTED_VALUE"""),"Добыча угля")</f>
        <v>Добыча угля</v>
      </c>
      <c r="W1871" s="6" t="str">
        <f>IFERROR(__xludf.DUMMYFUNCTION("""COMPUTED_VALUE"""),"Доброжелательные, трудолюбивые")</f>
        <v>Доброжелательные, трудолюбивые</v>
      </c>
      <c r="X1871" s="6" t="str">
        <f>IFERROR(__xludf.DUMMYFUNCTION("""COMPUTED_VALUE"""),"Парк Чудес")</f>
        <v>Парк Чудес</v>
      </c>
      <c r="Y1871" s="6" t="str">
        <f>IFERROR(__xludf.DUMMYFUNCTION("""COMPUTED_VALUE"""),"Не могу вспомнить")</f>
        <v>Не могу вспомнить</v>
      </c>
      <c r="Z1871" s="6" t="str">
        <f>IFERROR(__xludf.DUMMYFUNCTION("""COMPUTED_VALUE"""),"Их нет")</f>
        <v>Их нет</v>
      </c>
      <c r="AA1871" s="6" t="str">
        <f>IFERROR(__xludf.DUMMYFUNCTION("""COMPUTED_VALUE"""),"Зимняя вишня")</f>
        <v>Зимняя вишня</v>
      </c>
      <c r="AB1871" s="6" t="str">
        <f>IFERROR(__xludf.DUMMYFUNCTION("""COMPUTED_VALUE"""),"Сообществ с лихвой")</f>
        <v>Сообществ с лихвой</v>
      </c>
      <c r="AC1871" s="6" t="str">
        <f>IFERROR(__xludf.DUMMYFUNCTION("""COMPUTED_VALUE"""),"Создать комфортные условия для проживания ")</f>
        <v>Создать комфортные условия для проживания </v>
      </c>
      <c r="AD1871"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871" s="6" t="str">
        <f>IFERROR(__xludf.DUMMYFUNCTION("""COMPUTED_VALUE"""),"Женский")</f>
        <v>Женский</v>
      </c>
      <c r="AF1871" s="6" t="str">
        <f>IFERROR(__xludf.DUMMYFUNCTION("""COMPUTED_VALUE"""),"старше 55")</f>
        <v>старше 55</v>
      </c>
      <c r="AG1871" s="6"/>
      <c r="AH1871" s="6"/>
      <c r="AI1871" s="6"/>
      <c r="AJ1871" s="6"/>
      <c r="AK1871" s="6"/>
      <c r="AL1871" s="6"/>
      <c r="AM1871" s="6"/>
    </row>
    <row r="1872">
      <c r="A1872" s="6">
        <v>1871.0</v>
      </c>
      <c r="B1872" s="6" t="str">
        <f>IFERROR(__xludf.DUMMYFUNCTION("""COMPUTED_VALUE"""),"Работаю ")</f>
        <v>Работаю </v>
      </c>
      <c r="C1872" s="6" t="str">
        <f>IFERROR(__xludf.DUMMYFUNCTION("""COMPUTED_VALUE"""),"Танцы ")</f>
        <v>Танцы </v>
      </c>
      <c r="D1872" s="6" t="str">
        <f>IFERROR(__xludf.DUMMYFUNCTION("""COMPUTED_VALUE"""),"Заводский ")</f>
        <v>Заводский </v>
      </c>
      <c r="E1872" s="6" t="str">
        <f>IFERROR(__xludf.DUMMYFUNCTION("""COMPUTED_VALUE"""),"Парк ангелов ")</f>
        <v>Парк ангелов </v>
      </c>
      <c r="F1872" s="6" t="str">
        <f>IFERROR(__xludf.DUMMYFUNCTION("""COMPUTED_VALUE"""),"Живу здесь с рождения")</f>
        <v>Живу здесь с рождения</v>
      </c>
      <c r="G1872" s="6" t="str">
        <f>IFERROR(__xludf.DUMMYFUNCTION("""COMPUTED_VALUE"""),"Набережная ")</f>
        <v>Набережная </v>
      </c>
      <c r="H1872" s="6" t="str">
        <f>IFERROR(__xludf.DUMMYFUNCTION("""COMPUTED_VALUE"""),"Смог, Сайлент хил, шахтёры, дыра, безработица ")</f>
        <v>Смог, Сайлент хил, шахтёры, дыра, безработица </v>
      </c>
      <c r="I1872" s="6" t="str">
        <f>IFERROR(__xludf.DUMMYFUNCTION("""COMPUTED_VALUE"""),"Сарыгин ")</f>
        <v>Сарыгин </v>
      </c>
      <c r="J1872" s="6" t="str">
        <f>IFERROR(__xludf.DUMMYFUNCTION("""COMPUTED_VALUE"""),"
Нет таких ")</f>
        <v>
Нет таких </v>
      </c>
      <c r="K1872" s="6" t="str">
        <f>IFERROR(__xludf.DUMMYFUNCTION("""COMPUTED_VALUE"""),"Парк ангелов, бор")</f>
        <v>Парк ангелов, бор</v>
      </c>
      <c r="L1872" s="6" t="str">
        <f>IFERROR(__xludf.DUMMYFUNCTION("""COMPUTED_VALUE"""),"-")</f>
        <v>-</v>
      </c>
      <c r="M1872" s="6" t="str">
        <f>IFERROR(__xludf.DUMMYFUNCTION("""COMPUTED_VALUE"""),"Мультифора ")</f>
        <v>Мультифора </v>
      </c>
      <c r="N1872" s="6" t="str">
        <f>IFERROR(__xludf.DUMMYFUNCTION("""COMPUTED_VALUE"""),"Экология-Чистый воздух, безопасность, работа, туризм региональный ")</f>
        <v>Экология-Чистый воздух, безопасность, работа, туризм региональный </v>
      </c>
      <c r="O1872" s="6" t="str">
        <f>IFERROR(__xludf.DUMMYFUNCTION("""COMPUTED_VALUE"""),"Убрать грэс с набережной, Набережная (второй ярус), парк чудес")</f>
        <v>Убрать грэс с набережной, Набережная (второй ярус), парк чудес</v>
      </c>
      <c r="P1872" s="6" t="str">
        <f>IFERROR(__xludf.DUMMYFUNCTION("""COMPUTED_VALUE"""),"Инстраграм ")</f>
        <v>Инстраграм </v>
      </c>
      <c r="Q187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чек/реклам"&amp;"ные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v>
      </c>
      <c r="R1872" s="6" t="str">
        <f>IFERROR(__xludf.DUMMYFUNCTION("""COMPUTED_VALUE"""),"9 мая, день жд, день шахтёра ")</f>
        <v>9 мая, день жд, день шахтёра </v>
      </c>
      <c r="S1872" s="6" t="str">
        <f>IFERROR(__xludf.DUMMYFUNCTION("""COMPUTED_VALUE"""),"Нет, не приходилось")</f>
        <v>Нет, не приходилось</v>
      </c>
      <c r="T1872" s="6" t="str">
        <f>IFERROR(__xludf.DUMMYFUNCTION("""COMPUTED_VALUE"""),"Шахтёры, полезными ископаемыми ")</f>
        <v>Шахтёры, полезными ископаемыми </v>
      </c>
      <c r="U1872" s="6" t="str">
        <f>IFERROR(__xludf.DUMMYFUNCTION("""COMPUTED_VALUE"""),"Ничего ")</f>
        <v>Ничего </v>
      </c>
      <c r="V1872" s="6" t="str">
        <f>IFERROR(__xludf.DUMMYFUNCTION("""COMPUTED_VALUE"""),"Добычу угля ")</f>
        <v>Добычу угля </v>
      </c>
      <c r="W1872" s="6" t="str">
        <f>IFERROR(__xludf.DUMMYFUNCTION("""COMPUTED_VALUE"""),"Угрюмые ")</f>
        <v>Угрюмые </v>
      </c>
      <c r="X1872" s="6" t="str">
        <f>IFERROR(__xludf.DUMMYFUNCTION("""COMPUTED_VALUE"""),"Никакой ")</f>
        <v>Никакой </v>
      </c>
      <c r="Y1872" s="6" t="str">
        <f>IFERROR(__xludf.DUMMYFUNCTION("""COMPUTED_VALUE"""),"Рок фестиваль ")</f>
        <v>Рок фестиваль </v>
      </c>
      <c r="Z1872" s="6" t="str">
        <f>IFERROR(__xludf.DUMMYFUNCTION("""COMPUTED_VALUE"""),"9 мая, рок фестиваль ")</f>
        <v>9 мая, рок фестиваль </v>
      </c>
      <c r="AA1872" s="6" t="str">
        <f>IFERROR(__xludf.DUMMYFUNCTION("""COMPUTED_VALUE"""),"Наркомы, зимняя вишня ")</f>
        <v>Наркомы, зимняя вишня </v>
      </c>
      <c r="AB1872" s="6" t="str">
        <f>IFERROR(__xludf.DUMMYFUNCTION("""COMPUTED_VALUE"""),"-")</f>
        <v>-</v>
      </c>
      <c r="AC1872" s="6" t="str">
        <f>IFERROR(__xludf.DUMMYFUNCTION("""COMPUTED_VALUE"""),"Чистый воздух необходим ")</f>
        <v>Чистый воздух необходим </v>
      </c>
      <c r="AD187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872" s="6" t="str">
        <f>IFERROR(__xludf.DUMMYFUNCTION("""COMPUTED_VALUE"""),"Женский")</f>
        <v>Женский</v>
      </c>
      <c r="AF1872" s="6" t="str">
        <f>IFERROR(__xludf.DUMMYFUNCTION("""COMPUTED_VALUE"""),"18-29")</f>
        <v>18-29</v>
      </c>
      <c r="AG1872" s="6"/>
      <c r="AH1872" s="6"/>
      <c r="AI1872" s="6"/>
      <c r="AJ1872" s="6"/>
      <c r="AK1872" s="6"/>
      <c r="AL1872" s="6"/>
      <c r="AM1872" s="6"/>
    </row>
    <row r="1873">
      <c r="A1873" s="6">
        <v>1872.0</v>
      </c>
      <c r="B1873" s="6" t="str">
        <f>IFERROR(__xludf.DUMMYFUNCTION("""COMPUTED_VALUE"""),"Работаю ")</f>
        <v>Работаю </v>
      </c>
      <c r="C1873" s="6" t="str">
        <f>IFERROR(__xludf.DUMMYFUNCTION("""COMPUTED_VALUE"""),"Танцы ")</f>
        <v>Танцы </v>
      </c>
      <c r="D1873" s="6" t="str">
        <f>IFERROR(__xludf.DUMMYFUNCTION("""COMPUTED_VALUE"""),"Заводский ")</f>
        <v>Заводский </v>
      </c>
      <c r="E1873" s="6" t="str">
        <f>IFERROR(__xludf.DUMMYFUNCTION("""COMPUTED_VALUE"""),"Парк ангелов ")</f>
        <v>Парк ангелов </v>
      </c>
      <c r="F1873" s="6" t="str">
        <f>IFERROR(__xludf.DUMMYFUNCTION("""COMPUTED_VALUE"""),"Живу здесь с рождения")</f>
        <v>Живу здесь с рождения</v>
      </c>
      <c r="G1873" s="6" t="str">
        <f>IFERROR(__xludf.DUMMYFUNCTION("""COMPUTED_VALUE"""),"Набережная ")</f>
        <v>Набережная </v>
      </c>
      <c r="H1873" s="6" t="str">
        <f>IFERROR(__xludf.DUMMYFUNCTION("""COMPUTED_VALUE"""),"Смог, Сайлент хил, шахтёры, дыра, безработица ")</f>
        <v>Смог, Сайлент хил, шахтёры, дыра, безработица </v>
      </c>
      <c r="I1873" s="6" t="str">
        <f>IFERROR(__xludf.DUMMYFUNCTION("""COMPUTED_VALUE"""),"Сарыгин ")</f>
        <v>Сарыгин </v>
      </c>
      <c r="J1873" s="6" t="str">
        <f>IFERROR(__xludf.DUMMYFUNCTION("""COMPUTED_VALUE"""),"
Нет таких ")</f>
        <v>
Нет таких </v>
      </c>
      <c r="K1873" s="6" t="str">
        <f>IFERROR(__xludf.DUMMYFUNCTION("""COMPUTED_VALUE"""),"Парк ангелов, бор")</f>
        <v>Парк ангелов, бор</v>
      </c>
      <c r="L1873" s="6" t="str">
        <f>IFERROR(__xludf.DUMMYFUNCTION("""COMPUTED_VALUE"""),"-")</f>
        <v>-</v>
      </c>
      <c r="M1873" s="6" t="str">
        <f>IFERROR(__xludf.DUMMYFUNCTION("""COMPUTED_VALUE"""),"Мультифора ")</f>
        <v>Мультифора </v>
      </c>
      <c r="N1873" s="6" t="str">
        <f>IFERROR(__xludf.DUMMYFUNCTION("""COMPUTED_VALUE"""),"Экология-Чистый воздух, безопасность, работа, туризм региональный ")</f>
        <v>Экология-Чистый воздух, безопасность, работа, туризм региональный </v>
      </c>
      <c r="O1873" s="6" t="str">
        <f>IFERROR(__xludf.DUMMYFUNCTION("""COMPUTED_VALUE"""),"Убрать грэс с набережной, Набережная (второй ярус), парк чудес")</f>
        <v>Убрать грэс с набережной, Набережная (второй ярус), парк чудес</v>
      </c>
      <c r="P1873" s="6" t="str">
        <f>IFERROR(__xludf.DUMMYFUNCTION("""COMPUTED_VALUE"""),"Инстраграм ")</f>
        <v>Инстраграм </v>
      </c>
      <c r="Q1873"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чек/реклам"&amp;"ные акции/запуск новых предприятий)")</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новости про новые профессии/куда поступать/вакансии, бизнес-новости (средний чек/рекламные акции/запуск новых предприятий)</v>
      </c>
      <c r="R1873" s="6" t="str">
        <f>IFERROR(__xludf.DUMMYFUNCTION("""COMPUTED_VALUE"""),"9 мая, день жд, день шахтёра ")</f>
        <v>9 мая, день жд, день шахтёра </v>
      </c>
      <c r="S1873" s="6" t="str">
        <f>IFERROR(__xludf.DUMMYFUNCTION("""COMPUTED_VALUE"""),"Нет, не приходилось")</f>
        <v>Нет, не приходилось</v>
      </c>
      <c r="T1873" s="6" t="str">
        <f>IFERROR(__xludf.DUMMYFUNCTION("""COMPUTED_VALUE"""),"Шахтёры, полезными ископаемыми ")</f>
        <v>Шахтёры, полезными ископаемыми </v>
      </c>
      <c r="U1873" s="6" t="str">
        <f>IFERROR(__xludf.DUMMYFUNCTION("""COMPUTED_VALUE"""),"Ничего ")</f>
        <v>Ничего </v>
      </c>
      <c r="V1873" s="6" t="str">
        <f>IFERROR(__xludf.DUMMYFUNCTION("""COMPUTED_VALUE"""),"Добычу угля ")</f>
        <v>Добычу угля </v>
      </c>
      <c r="W1873" s="6" t="str">
        <f>IFERROR(__xludf.DUMMYFUNCTION("""COMPUTED_VALUE"""),"Угрюмые ")</f>
        <v>Угрюмые </v>
      </c>
      <c r="X1873" s="6" t="str">
        <f>IFERROR(__xludf.DUMMYFUNCTION("""COMPUTED_VALUE"""),"Никакой ")</f>
        <v>Никакой </v>
      </c>
      <c r="Y1873" s="6" t="str">
        <f>IFERROR(__xludf.DUMMYFUNCTION("""COMPUTED_VALUE"""),"Рок фестиваль ")</f>
        <v>Рок фестиваль </v>
      </c>
      <c r="Z1873" s="6" t="str">
        <f>IFERROR(__xludf.DUMMYFUNCTION("""COMPUTED_VALUE"""),"9 мая, рок фестиваль ")</f>
        <v>9 мая, рок фестиваль </v>
      </c>
      <c r="AA1873" s="6" t="str">
        <f>IFERROR(__xludf.DUMMYFUNCTION("""COMPUTED_VALUE"""),"Наркомы, зимняя вишня ")</f>
        <v>Наркомы, зимняя вишня </v>
      </c>
      <c r="AB1873" s="6" t="str">
        <f>IFERROR(__xludf.DUMMYFUNCTION("""COMPUTED_VALUE"""),"-")</f>
        <v>-</v>
      </c>
      <c r="AC1873" s="6" t="str">
        <f>IFERROR(__xludf.DUMMYFUNCTION("""COMPUTED_VALUE"""),"Чистый воздух необходим ")</f>
        <v>Чистый воздух необходим </v>
      </c>
      <c r="AD187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873" s="6" t="str">
        <f>IFERROR(__xludf.DUMMYFUNCTION("""COMPUTED_VALUE"""),"Женский")</f>
        <v>Женский</v>
      </c>
      <c r="AF1873" s="6" t="str">
        <f>IFERROR(__xludf.DUMMYFUNCTION("""COMPUTED_VALUE"""),"18-29")</f>
        <v>18-29</v>
      </c>
      <c r="AG1873" s="6"/>
      <c r="AH1873" s="6"/>
      <c r="AI1873" s="6"/>
      <c r="AJ1873" s="6"/>
      <c r="AK1873" s="6"/>
      <c r="AL1873" s="6"/>
      <c r="AM1873" s="6"/>
    </row>
    <row r="1874">
      <c r="A1874" s="6">
        <v>1873.0</v>
      </c>
      <c r="B1874" s="6" t="str">
        <f>IFERROR(__xludf.DUMMYFUNCTION("""COMPUTED_VALUE"""),"Психолог")</f>
        <v>Психолог</v>
      </c>
      <c r="C1874" s="6" t="str">
        <f>IFERROR(__xludf.DUMMYFUNCTION("""COMPUTED_VALUE"""),"Ролики ")</f>
        <v>Ролики </v>
      </c>
      <c r="D1874" s="6" t="str">
        <f>IFERROR(__xludf.DUMMYFUNCTION("""COMPUTED_VALUE"""),"Кировский")</f>
        <v>Кировский</v>
      </c>
      <c r="E1874" s="6" t="str">
        <f>IFERROR(__xludf.DUMMYFUNCTION("""COMPUTED_VALUE"""),"Ни каких, только набережная")</f>
        <v>Ни каких, только набережная</v>
      </c>
      <c r="F1874" s="6" t="str">
        <f>IFERROR(__xludf.DUMMYFUNCTION("""COMPUTED_VALUE"""),"Живу здесь с рождения")</f>
        <v>Живу здесь с рождения</v>
      </c>
      <c r="G1874" s="6" t="str">
        <f>IFERROR(__xludf.DUMMYFUNCTION("""COMPUTED_VALUE"""),"Набережная")</f>
        <v>Набережная</v>
      </c>
      <c r="H1874" s="6" t="str">
        <f>IFERROR(__xludf.DUMMYFUNCTION("""COMPUTED_VALUE"""),"Не красивый, грязный, скучный, тусклый, без перспективный ")</f>
        <v>Не красивый, грязный, скучный, тусклый, без перспективный </v>
      </c>
      <c r="I1874" s="6" t="str">
        <f>IFERROR(__xludf.DUMMYFUNCTION("""COMPUTED_VALUE"""),"Михайлов, Тулеев ")</f>
        <v>Михайлов, Тулеев </v>
      </c>
      <c r="J1874" s="6" t="str">
        <f>IFERROR(__xludf.DUMMYFUNCTION("""COMPUTED_VALUE"""),"Нету")</f>
        <v>Нету</v>
      </c>
      <c r="K1874" s="6" t="str">
        <f>IFERROR(__xludf.DUMMYFUNCTION("""COMPUTED_VALUE"""),"Вот именно, что нет! ")</f>
        <v>Вот именно, что нет! </v>
      </c>
      <c r="L1874" s="6" t="str">
        <f>IFERROR(__xludf.DUMMYFUNCTION("""COMPUTED_VALUE"""),"-")</f>
        <v>-</v>
      </c>
      <c r="M1874" s="6" t="str">
        <f>IFERROR(__xludf.DUMMYFUNCTION("""COMPUTED_VALUE"""),"-")</f>
        <v>-</v>
      </c>
      <c r="N1874" s="6" t="str">
        <f>IFERROR(__xludf.DUMMYFUNCTION("""COMPUTED_VALUE"""),"-")</f>
        <v>-</v>
      </c>
      <c r="O1874" s="6" t="str">
        <f>IFERROR(__xludf.DUMMYFUNCTION("""COMPUTED_VALUE"""),"Набережную левого берега, больше фонтанов! Открыть большое ТЦ в Кировском районе, все приходится покупать в других районах. А в этом нет ни чего! ")</f>
        <v>Набережную левого берега, больше фонтанов! Открыть большое ТЦ в Кировском районе, все приходится покупать в других районах. А в этом нет ни чего! </v>
      </c>
      <c r="P1874" s="6" t="str">
        <f>IFERROR(__xludf.DUMMYFUNCTION("""COMPUTED_VALUE"""),"Новости 42, инстаграм")</f>
        <v>Новости 42, инстаграм</v>
      </c>
      <c r="Q187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874" s="6" t="str">
        <f>IFERROR(__xludf.DUMMYFUNCTION("""COMPUTED_VALUE"""),"1 июня")</f>
        <v>1 июня</v>
      </c>
      <c r="S1874" s="6" t="str">
        <f>IFERROR(__xludf.DUMMYFUNCTION("""COMPUTED_VALUE"""),"Нет, не приходилось")</f>
        <v>Нет, не приходилось</v>
      </c>
      <c r="T1874" s="6" t="str">
        <f>IFERROR(__xludf.DUMMYFUNCTION("""COMPUTED_VALUE"""),"Ни чем, только уголь. Сердце России ")</f>
        <v>Ни чем, только уголь. Сердце России </v>
      </c>
      <c r="U1874" s="6" t="str">
        <f>IFERROR(__xludf.DUMMYFUNCTION("""COMPUTED_VALUE"""),"Красная горка")</f>
        <v>Красная горка</v>
      </c>
      <c r="V1874" s="6" t="str">
        <f>IFERROR(__xludf.DUMMYFUNCTION("""COMPUTED_VALUE"""),"Социальные выплаты, поддержка ветеранов. Содержание роста цен")</f>
        <v>Социальные выплаты, поддержка ветеранов. Содержание роста цен</v>
      </c>
      <c r="W1874" s="6" t="str">
        <f>IFERROR(__xludf.DUMMYFUNCTION("""COMPUTED_VALUE"""),"Есть и хорошие и злобные ")</f>
        <v>Есть и хорошие и злобные </v>
      </c>
      <c r="X1874" s="6" t="str">
        <f>IFERROR(__xludf.DUMMYFUNCTION("""COMPUTED_VALUE"""),"Нет такого ")</f>
        <v>Нет такого </v>
      </c>
      <c r="Y1874" s="6" t="str">
        <f>IFERROR(__xludf.DUMMYFUNCTION("""COMPUTED_VALUE"""),"Томская писаница")</f>
        <v>Томская писаница</v>
      </c>
      <c r="Z1874" s="6" t="str">
        <f>IFERROR(__xludf.DUMMYFUNCTION("""COMPUTED_VALUE"""),"Запрет на алкоголь в праздники")</f>
        <v>Запрет на алкоголь в праздники</v>
      </c>
      <c r="AA1874" s="6" t="str">
        <f>IFERROR(__xludf.DUMMYFUNCTION("""COMPUTED_VALUE"""),"Зимняя вишня. ЖКХ не работает вообще, грубят! ")</f>
        <v>Зимняя вишня. ЖКХ не работает вообще, грубят! </v>
      </c>
      <c r="AB1874" s="6" t="str">
        <f>IFERROR(__xludf.DUMMYFUNCTION("""COMPUTED_VALUE"""),"-")</f>
        <v>-</v>
      </c>
      <c r="AC1874" s="6" t="str">
        <f>IFERROR(__xludf.DUMMYFUNCTION("""COMPUTED_VALUE"""),"Больше парков для отдыха, развлечений для детей бесплатных")</f>
        <v>Больше парков для отдыха, развлечений для детей бесплатных</v>
      </c>
      <c r="AD187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874" s="6" t="str">
        <f>IFERROR(__xludf.DUMMYFUNCTION("""COMPUTED_VALUE"""),"Женский")</f>
        <v>Женский</v>
      </c>
      <c r="AF1874" s="6" t="str">
        <f>IFERROR(__xludf.DUMMYFUNCTION("""COMPUTED_VALUE"""),"30-44")</f>
        <v>30-44</v>
      </c>
      <c r="AG1874" s="6"/>
      <c r="AH1874" s="6"/>
      <c r="AI1874" s="6"/>
      <c r="AJ1874" s="6"/>
      <c r="AK1874" s="6"/>
      <c r="AL1874" s="6"/>
      <c r="AM1874" s="6"/>
    </row>
    <row r="1875">
      <c r="A1875" s="6">
        <v>1874.0</v>
      </c>
      <c r="B1875" s="6" t="str">
        <f>IFERROR(__xludf.DUMMYFUNCTION("""COMPUTED_VALUE"""),"Безработный")</f>
        <v>Безработный</v>
      </c>
      <c r="C1875" s="6" t="str">
        <f>IFERROR(__xludf.DUMMYFUNCTION("""COMPUTED_VALUE"""),"Спать")</f>
        <v>Спать</v>
      </c>
      <c r="D1875" s="6" t="str">
        <f>IFERROR(__xludf.DUMMYFUNCTION("""COMPUTED_VALUE"""),"Кировский")</f>
        <v>Кировский</v>
      </c>
      <c r="E1875" s="6" t="str">
        <f>IFERROR(__xludf.DUMMYFUNCTION("""COMPUTED_VALUE"""),"Дом Культуры, разрушенный завод Прогресс")</f>
        <v>Дом Культуры, разрушенный завод Прогресс</v>
      </c>
      <c r="F1875" s="6" t="str">
        <f>IFERROR(__xludf.DUMMYFUNCTION("""COMPUTED_VALUE"""),"Живу здесь с рождения")</f>
        <v>Живу здесь с рождения</v>
      </c>
      <c r="G1875" s="6" t="str">
        <f>IFERROR(__xludf.DUMMYFUNCTION("""COMPUTED_VALUE"""),"Кинотеатры, роща")</f>
        <v>Кинотеатры, роща</v>
      </c>
      <c r="H1875" s="6" t="str">
        <f>IFERROR(__xludf.DUMMYFUNCTION("""COMPUTED_VALUE"""),"Уголь, грязь, разруха, безработица, отсталость")</f>
        <v>Уголь, грязь, разруха, безработица, отсталость</v>
      </c>
      <c r="I1875" s="6" t="str">
        <f>IFERROR(__xludf.DUMMYFUNCTION("""COMPUTED_VALUE"""),"Леонов. Всё? ")</f>
        <v>Леонов. Всё? </v>
      </c>
      <c r="J1875" s="6" t="str">
        <f>IFERROR(__xludf.DUMMYFUNCTION("""COMPUTED_VALUE"""),"Не знаю таких")</f>
        <v>Не знаю таких</v>
      </c>
      <c r="K1875" s="6" t="str">
        <f>IFERROR(__xludf.DUMMYFUNCTION("""COMPUTED_VALUE"""),"Парк ангелов, сосновый бор, Томская писаница")</f>
        <v>Парк ангелов, сосновый бор, Томская писаница</v>
      </c>
      <c r="L1875" s="6" t="str">
        <f>IFERROR(__xludf.DUMMYFUNCTION("""COMPUTED_VALUE"""),"Таковых не знаю")</f>
        <v>Таковых не знаю</v>
      </c>
      <c r="M1875" s="6" t="str">
        <f>IFERROR(__xludf.DUMMYFUNCTION("""COMPUTED_VALUE"""),"Вилок капусты?)")</f>
        <v>Вилок капусты?)</v>
      </c>
      <c r="N1875" s="6" t="str">
        <f>IFERROR(__xludf.DUMMYFUNCTION("""COMPUTED_VALUE"""),"Чистота и экология, своевременный ремонт домов и дорог (особенно во дворах), отсутствие пробок, продуманная и удобная система общественного транспорта (как в Москве, например), комфортная среда для развития бизнеса и, как следствие, рост рабочих мест. С э"&amp;"тим всем беда в Кемерово")</f>
        <v>Чистота и экология, своевременный ремонт домов и дорог (особенно во дворах), отсутствие пробок, продуманная и удобная система общественного транспорта (как в Москве, например), комфортная среда для развития бизнеса и, как следствие, рост рабочих мест. С этим всем беда в Кемерово</v>
      </c>
      <c r="O1875" s="6" t="str">
        <f>IFERROR(__xludf.DUMMYFUNCTION("""COMPUTED_VALUE"""),"Остановить отток жителей и улучшить экономическую ситуацию")</f>
        <v>Остановить отток жителей и улучшить экономическую ситуацию</v>
      </c>
      <c r="P1875" s="6" t="str">
        <f>IFERROR(__xludf.DUMMYFUNCTION("""COMPUTED_VALUE"""),"Не интересуюсь")</f>
        <v>Не интересуюсь</v>
      </c>
      <c r="Q1875" s="6" t="str">
        <f>IFERROR(__xludf.DUMMYFUNCTION("""COMPUTED_VALUE"""),"новости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Никакие новости о городе Кемерово не интересны")</f>
        <v>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Никакие новости о городе Кемерово не интересны</v>
      </c>
      <c r="R1875" s="6" t="str">
        <f>IFERROR(__xludf.DUMMYFUNCTION("""COMPUTED_VALUE"""),"Не важен ни один")</f>
        <v>Не важен ни один</v>
      </c>
      <c r="S1875" s="6" t="str">
        <f>IFERROR(__xludf.DUMMYFUNCTION("""COMPUTED_VALUE"""),"Писал для ""Свежего Ветра"", когда был молод")</f>
        <v>Писал для "Свежего Ветра", когда был молод</v>
      </c>
      <c r="T1875" s="6" t="str">
        <f>IFERROR(__xludf.DUMMYFUNCTION("""COMPUTED_VALUE"""),"Уголь и плохая экология, трагедия в ""Зимней Вишне"", вор-губернатор (бывший) тоже знаменит")</f>
        <v>Уголь и плохая экология, трагедия в "Зимней Вишне", вор-губернатор (бывший) тоже знаменит</v>
      </c>
      <c r="U1875" s="6" t="str">
        <f>IFERROR(__xludf.DUMMYFUNCTION("""COMPUTED_VALUE"""),"Может быть, Горсад и Цирк")</f>
        <v>Может быть, Горсад и Цирк</v>
      </c>
      <c r="V1875" s="6" t="str">
        <f>IFERROR(__xludf.DUMMYFUNCTION("""COMPUTED_VALUE"""),"Трудно ответить")</f>
        <v>Трудно ответить</v>
      </c>
      <c r="W1875" s="6" t="str">
        <f>IFERROR(__xludf.DUMMYFUNCTION("""COMPUTED_VALUE"""),"Более задумчивые, погруженные в свои проблемы. Некоторые более раздражительные, в сравнении с жителями более крупных городов, менее открытые.")</f>
        <v>Более задумчивые, погруженные в свои проблемы. Некоторые более раздражительные, в сравнении с жителями более крупных городов, менее открытые.</v>
      </c>
      <c r="X1875" s="6" t="str">
        <f>IFERROR(__xludf.DUMMYFUNCTION("""COMPUTED_VALUE"""),"Я думаю, если пройти по проспекту Ленина от вокзала до конца, можно в полной мере ознакомиться с городом")</f>
        <v>Я думаю, если пройти по проспекту Ленина от вокзала до конца, можно в полной мере ознакомиться с городом</v>
      </c>
      <c r="Y1875" s="6" t="str">
        <f>IFERROR(__xludf.DUMMYFUNCTION("""COMPUTED_VALUE"""),"Забастовка шахтёров в 90-х")</f>
        <v>Забастовка шахтёров в 90-х</v>
      </c>
      <c r="Z1875" s="6" t="str">
        <f>IFERROR(__xludf.DUMMYFUNCTION("""COMPUTED_VALUE"""),"Почти не жил в городе в последние 2 года. Из последнего, что запомнилось: отставка Тулеева, крайне позитивное событие для города и области. В целом, здесь мало что происходит. 
Отремонтировали набережную в Кировском!")</f>
        <v>Почти не жил в городе в последние 2 года. Из последнего, что запомнилось: отставка Тулеева, крайне позитивное событие для города и области. В целом, здесь мало что происходит. 
Отремонтировали набережную в Кировском!</v>
      </c>
      <c r="AA1875" s="6" t="str">
        <f>IFERROR(__xludf.DUMMYFUNCTION("""COMPUTED_VALUE"""),"Не припомню")</f>
        <v>Не припомню</v>
      </c>
      <c r="AB1875" s="6" t="str">
        <f>IFERROR(__xludf.DUMMYFUNCTION("""COMPUTED_VALUE"""),"Хватает")</f>
        <v>Хватает</v>
      </c>
      <c r="AC1875" s="6" t="str">
        <f>IFERROR(__xludf.DUMMYFUNCTION("""COMPUTED_VALUE"""),"Деньги нужны людям, а не мероприятия)")</f>
        <v>Деньги нужны людям, а не мероприятия)</v>
      </c>
      <c r="AD1875"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Запустить свой предпринимательский пр"&amp;"оект, организовать компанию.")</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875" s="6" t="str">
        <f>IFERROR(__xludf.DUMMYFUNCTION("""COMPUTED_VALUE"""),"Мужской")</f>
        <v>Мужской</v>
      </c>
      <c r="AF1875" s="6" t="str">
        <f>IFERROR(__xludf.DUMMYFUNCTION("""COMPUTED_VALUE"""),"18-29")</f>
        <v>18-29</v>
      </c>
      <c r="AG1875" s="6"/>
      <c r="AH1875" s="6"/>
      <c r="AI1875" s="6"/>
      <c r="AJ1875" s="6"/>
      <c r="AK1875" s="6"/>
      <c r="AL1875" s="6"/>
      <c r="AM1875" s="6"/>
    </row>
    <row r="1876">
      <c r="A1876" s="6">
        <v>1875.0</v>
      </c>
      <c r="B1876" s="6" t="str">
        <f>IFERROR(__xludf.DUMMYFUNCTION("""COMPUTED_VALUE"""),"Монтажник")</f>
        <v>Монтажник</v>
      </c>
      <c r="C1876" s="6" t="str">
        <f>IFERROR(__xludf.DUMMYFUNCTION("""COMPUTED_VALUE"""),"Путешествия")</f>
        <v>Путешествия</v>
      </c>
      <c r="D1876" s="6" t="str">
        <f>IFERROR(__xludf.DUMMYFUNCTION("""COMPUTED_VALUE"""),"Ленинский. Никак не называю.")</f>
        <v>Ленинский. Никак не называю.</v>
      </c>
      <c r="E1876" s="6" t="str">
        <f>IFERROR(__xludf.DUMMYFUNCTION("""COMPUTED_VALUE"""),"Бульвар строителей")</f>
        <v>Бульвар строителей</v>
      </c>
      <c r="F1876" s="6" t="str">
        <f>IFERROR(__xludf.DUMMYFUNCTION("""COMPUTED_VALUE"""),"Переехал сюда из другого места (откуда? укажите в графе другое), Топки")</f>
        <v>Переехал сюда из другого места (откуда? укажите в графе другое), Топки</v>
      </c>
      <c r="G1876" s="6" t="str">
        <f>IFERROR(__xludf.DUMMYFUNCTION("""COMPUTED_VALUE"""),"Куда занесет")</f>
        <v>Куда занесет</v>
      </c>
      <c r="H1876" s="6" t="str">
        <f>IFERROR(__xludf.DUMMYFUNCTION("""COMPUTED_VALUE"""),"Спокойно. Комфортно. Чисто. Современно. Однообразно.")</f>
        <v>Спокойно. Комфортно. Чисто. Современно. Однообразно.</v>
      </c>
      <c r="I1876" s="6" t="str">
        <f>IFERROR(__xludf.DUMMYFUNCTION("""COMPUTED_VALUE"""),":) Гришковец. Панин. ")</f>
        <v>:) Гришковец. Панин. </v>
      </c>
      <c r="J1876" s="6" t="str">
        <f>IFERROR(__xludf.DUMMYFUNCTION("""COMPUTED_VALUE"""),"Михайлов. ")</f>
        <v>Михайлов. </v>
      </c>
      <c r="K1876" s="6" t="str">
        <f>IFERROR(__xludf.DUMMYFUNCTION("""COMPUTED_VALUE"""),"Дом угольных генералов снесли. Пристань.")</f>
        <v>Дом угольных генералов снесли. Пристань.</v>
      </c>
      <c r="L1876" s="6" t="str">
        <f>IFERROR(__xludf.DUMMYFUNCTION("""COMPUTED_VALUE"""),"Не знаю ни одной.")</f>
        <v>Не знаю ни одной.</v>
      </c>
      <c r="M1876" s="6" t="str">
        <f>IFERROR(__xludf.DUMMYFUNCTION("""COMPUTED_VALUE"""),"У нас нет особых слов.")</f>
        <v>У нас нет особых слов.</v>
      </c>
      <c r="N1876" s="6" t="str">
        <f>IFERROR(__xludf.DUMMYFUNCTION("""COMPUTED_VALUE"""),"Дороги. Общественный транспорт. Чистота. Качество воздуха. Парковки.")</f>
        <v>Дороги. Общественный транспорт. Чистота. Качество воздуха. Парковки.</v>
      </c>
      <c r="O1876" s="6" t="str">
        <f>IFERROR(__xludf.DUMMYFUNCTION("""COMPUTED_VALUE"""),"У нас нет почему то уличных музыкантов, художников. Мало откытых уличных кафешек. Вообще кроме скейтеров никого")</f>
        <v>У нас нет почему то уличных музыкантов, художников. Мало откытых уличных кафешек. Вообще кроме скейтеров никого</v>
      </c>
      <c r="P1876" s="6" t="str">
        <f>IFERROR(__xludf.DUMMYFUNCTION("""COMPUTED_VALUE"""),"Из соцсетей")</f>
        <v>Из соцсетей</v>
      </c>
      <c r="Q1876" s="6" t="str">
        <f>IFERROR(__xludf.DUMMYFUNCTION("""COMPUTED_VALUE"""),"интервью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f>
        <v>интервью с местными творческими личностями, новости про новые профессии/куда поступать/вакансии, результаты местных исследований (рейтинги/аналитика/тенденции)</v>
      </c>
      <c r="R1876" s="6" t="str">
        <f>IFERROR(__xludf.DUMMYFUNCTION("""COMPUTED_VALUE"""),"Никакие. Если сравнивать день города с таким же в Томске или Барнауле... Мы убоги. Много помпезности, мало души.")</f>
        <v>Никакие. Если сравнивать день города с таким же в Томске или Барнауле... Мы убоги. Много помпезности, мало души.</v>
      </c>
      <c r="S1876" s="6" t="str">
        <f>IFERROR(__xludf.DUMMYFUNCTION("""COMPUTED_VALUE"""),"Работал на ТВ")</f>
        <v>Работал на ТВ</v>
      </c>
      <c r="T1876" s="6" t="str">
        <f>IFERROR(__xludf.DUMMYFUNCTION("""COMPUTED_VALUE"""),"Известен плохой экологией. Что не очень правда.")</f>
        <v>Известен плохой экологией. Что не очень правда.</v>
      </c>
      <c r="U1876" s="6" t="str">
        <f>IFERROR(__xludf.DUMMYFUNCTION("""COMPUTED_VALUE"""),"Собственно центр.")</f>
        <v>Собственно центр.</v>
      </c>
      <c r="V1876" s="6" t="str">
        <f>IFERROR(__xludf.DUMMYFUNCTION("""COMPUTED_VALUE"""),"До 90х много работали. ")</f>
        <v>До 90х много работали. </v>
      </c>
      <c r="W1876" s="6" t="str">
        <f>IFERROR(__xludf.DUMMYFUNCTION("""COMPUTED_VALUE"""),"Доброжелательные, спокойные. ")</f>
        <v>Доброжелательные, спокойные. </v>
      </c>
      <c r="X1876" s="6" t="str">
        <f>IFERROR(__xludf.DUMMYFUNCTION("""COMPUTED_VALUE"""),"Через центр, по притомскому до кадетского, и по новому комсомольскому.")</f>
        <v>Через центр, по притомскому до кадетского, и по новому комсомольскому.</v>
      </c>
      <c r="Y1876" s="6" t="str">
        <f>IFERROR(__xludf.DUMMYFUNCTION("""COMPUTED_VALUE"""),"Строительный бум 60х - 70х Когда город стал городом.")</f>
        <v>Строительный бум 60х - 70х Когда город стал городом.</v>
      </c>
      <c r="Z1876" s="6" t="str">
        <f>IFERROR(__xludf.DUMMYFUNCTION("""COMPUTED_VALUE"""),"Концерт Акцепта.")</f>
        <v>Концерт Акцепта.</v>
      </c>
      <c r="AA1876" s="6" t="str">
        <f>IFERROR(__xludf.DUMMYFUNCTION("""COMPUTED_VALUE"""),"Никакие.")</f>
        <v>Никакие.</v>
      </c>
      <c r="AB1876" s="6" t="str">
        <f>IFERROR(__xludf.DUMMYFUNCTION("""COMPUTED_VALUE"""),"Меня все устраивает.")</f>
        <v>Меня все устраивает.</v>
      </c>
      <c r="AC1876" s="6" t="str">
        <f>IFERROR(__xludf.DUMMYFUNCTION("""COMPUTED_VALUE"""),"Больших концертов.")</f>
        <v>Больших концертов.</v>
      </c>
      <c r="AD187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76" s="6" t="str">
        <f>IFERROR(__xludf.DUMMYFUNCTION("""COMPUTED_VALUE"""),"Мужской")</f>
        <v>Мужской</v>
      </c>
      <c r="AF1876" s="6" t="str">
        <f>IFERROR(__xludf.DUMMYFUNCTION("""COMPUTED_VALUE"""),"45-55")</f>
        <v>45-55</v>
      </c>
      <c r="AG1876" s="6"/>
      <c r="AH1876" s="6"/>
      <c r="AI1876" s="6"/>
      <c r="AJ1876" s="6"/>
      <c r="AK1876" s="6"/>
      <c r="AL1876" s="6"/>
      <c r="AM1876" s="6"/>
    </row>
    <row r="1877">
      <c r="A1877" s="6">
        <v>1876.0</v>
      </c>
      <c r="B1877" s="6" t="str">
        <f>IFERROR(__xludf.DUMMYFUNCTION("""COMPUTED_VALUE"""),"Студент")</f>
        <v>Студент</v>
      </c>
      <c r="C1877" s="6" t="str">
        <f>IFERROR(__xludf.DUMMYFUNCTION("""COMPUTED_VALUE"""),"Бег")</f>
        <v>Бег</v>
      </c>
      <c r="D1877" s="6" t="str">
        <f>IFERROR(__xludf.DUMMYFUNCTION("""COMPUTED_VALUE"""),"Ленинский")</f>
        <v>Ленинский</v>
      </c>
      <c r="E1877" s="6" t="str">
        <f>IFERROR(__xludf.DUMMYFUNCTION("""COMPUTED_VALUE"""),"Кузбасский парк, бульвар строителей")</f>
        <v>Кузбасский парк, бульвар строителей</v>
      </c>
      <c r="F1877" s="6" t="str">
        <f>IFERROR(__xludf.DUMMYFUNCTION("""COMPUTED_VALUE"""),"Живу здесь с рождения")</f>
        <v>Живу здесь с рождения</v>
      </c>
      <c r="G1877" s="6" t="str">
        <f>IFERROR(__xludf.DUMMYFUNCTION("""COMPUTED_VALUE"""),"Сосновый бор, бульвар строителей")</f>
        <v>Сосновый бор, бульвар строителей</v>
      </c>
      <c r="H1877" s="6" t="str">
        <f>IFERROR(__xludf.DUMMYFUNCTION("""COMPUTED_VALUE"""),"Большая деревня, Томь, шахты, Сибирь, Тулеев")</f>
        <v>Большая деревня, Томь, шахты, Сибирь, Тулеев</v>
      </c>
      <c r="I1877" s="6" t="str">
        <f>IFERROR(__xludf.DUMMYFUNCTION("""COMPUTED_VALUE"""),"Леонов, Волков, Тулеев")</f>
        <v>Леонов, Волков, Тулеев</v>
      </c>
      <c r="J1877" s="6" t="str">
        <f>IFERROR(__xludf.DUMMYFUNCTION("""COMPUTED_VALUE"""),"Тулеев")</f>
        <v>Тулеев</v>
      </c>
      <c r="K1877" s="6" t="str">
        <f>IFERROR(__xludf.DUMMYFUNCTION("""COMPUTED_VALUE"""),"Набережная, Парк чудес, Красная горка")</f>
        <v>Набережная, Парк чудес, Красная горка</v>
      </c>
      <c r="L1877" s="6" t="str">
        <f>IFERROR(__xludf.DUMMYFUNCTION("""COMPUTED_VALUE"""),"-")</f>
        <v>-</v>
      </c>
      <c r="M1877" s="6" t="str">
        <f>IFERROR(__xludf.DUMMYFUNCTION("""COMPUTED_VALUE"""),"Южный - никому не нужный")</f>
        <v>Южный - никому не нужный</v>
      </c>
      <c r="N1877" s="6" t="str">
        <f>IFERROR(__xludf.DUMMYFUNCTION("""COMPUTED_VALUE"""),"Экология, развитая инфраструктура, безопасность, дороги, места отдыха")</f>
        <v>Экология, развитая инфраструктура, безопасность, дороги, места отдыха</v>
      </c>
      <c r="O1877" s="6" t="str">
        <f>IFERROR(__xludf.DUMMYFUNCTION("""COMPUTED_VALUE"""),"Фасады, парковки, воздух")</f>
        <v>Фасады, парковки, воздух</v>
      </c>
      <c r="P1877" s="6" t="str">
        <f>IFERROR(__xludf.DUMMYFUNCTION("""COMPUTED_VALUE"""),"Телеграм, инста, вк")</f>
        <v>Телеграм, инста, вк</v>
      </c>
      <c r="Q1877"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877" s="6" t="str">
        <f>IFERROR(__xludf.DUMMYFUNCTION("""COMPUTED_VALUE"""),"никакие")</f>
        <v>никакие</v>
      </c>
      <c r="S1877" s="6" t="str">
        <f>IFERROR(__xludf.DUMMYFUNCTION("""COMPUTED_VALUE"""),"Писал и расклеивал объявления/афиши, Делал рассылку по электронной почте")</f>
        <v>Писал и расклеивал объявления/афиши, Делал рассылку по электронной почте</v>
      </c>
      <c r="T1877" s="6" t="str">
        <f>IFERROR(__xludf.DUMMYFUNCTION("""COMPUTED_VALUE"""),"Уголь и шахты")</f>
        <v>Уголь и шахты</v>
      </c>
      <c r="U1877" s="6" t="str">
        <f>IFERROR(__xludf.DUMMYFUNCTION("""COMPUTED_VALUE"""),"Площадь Советов")</f>
        <v>Площадь Советов</v>
      </c>
      <c r="V1877" s="6" t="str">
        <f>IFERROR(__xludf.DUMMYFUNCTION("""COMPUTED_VALUE"""),"-")</f>
        <v>-</v>
      </c>
      <c r="W1877" s="6" t="str">
        <f>IFERROR(__xludf.DUMMYFUNCTION("""COMPUTED_VALUE"""),"Выносливые")</f>
        <v>Выносливые</v>
      </c>
      <c r="X1877" s="6" t="str">
        <f>IFERROR(__xludf.DUMMYFUNCTION("""COMPUTED_VALUE"""),"Набережная")</f>
        <v>Набережная</v>
      </c>
      <c r="Y1877" s="6" t="str">
        <f>IFERROR(__xludf.DUMMYFUNCTION("""COMPUTED_VALUE"""),"не знаю")</f>
        <v>не знаю</v>
      </c>
      <c r="Z1877" s="6" t="str">
        <f>IFERROR(__xludf.DUMMYFUNCTION("""COMPUTED_VALUE"""),"Никаких")</f>
        <v>Никаких</v>
      </c>
      <c r="AA1877" s="6" t="str">
        <f>IFERROR(__xludf.DUMMYFUNCTION("""COMPUTED_VALUE"""),"ёлочка за 18 миллионов")</f>
        <v>ёлочка за 18 миллионов</v>
      </c>
      <c r="AB1877" s="6" t="str">
        <f>IFERROR(__xludf.DUMMYFUNCTION("""COMPUTED_VALUE"""),"-")</f>
        <v>-</v>
      </c>
      <c r="AC1877" s="6" t="str">
        <f>IFERROR(__xludf.DUMMYFUNCTION("""COMPUTED_VALUE"""),"-")</f>
        <v>-</v>
      </c>
      <c r="AD187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77" s="6" t="str">
        <f>IFERROR(__xludf.DUMMYFUNCTION("""COMPUTED_VALUE"""),"Мужской")</f>
        <v>Мужской</v>
      </c>
      <c r="AF1877" s="6" t="str">
        <f>IFERROR(__xludf.DUMMYFUNCTION("""COMPUTED_VALUE"""),"18-29")</f>
        <v>18-29</v>
      </c>
      <c r="AG1877" s="6"/>
      <c r="AH1877" s="6"/>
      <c r="AI1877" s="6"/>
      <c r="AJ1877" s="6"/>
      <c r="AK1877" s="6"/>
      <c r="AL1877" s="6"/>
      <c r="AM1877" s="6"/>
    </row>
    <row r="1878">
      <c r="A1878" s="6">
        <v>1877.0</v>
      </c>
      <c r="B1878" s="6" t="str">
        <f>IFERROR(__xludf.DUMMYFUNCTION("""COMPUTED_VALUE"""),"Домохозяйка")</f>
        <v>Домохозяйка</v>
      </c>
      <c r="C1878" s="6" t="str">
        <f>IFERROR(__xludf.DUMMYFUNCTION("""COMPUTED_VALUE"""),"Подарочные композиции из цветов,боксы")</f>
        <v>Подарочные композиции из цветов,боксы</v>
      </c>
      <c r="D1878" s="6" t="str">
        <f>IFERROR(__xludf.DUMMYFUNCTION("""COMPUTED_VALUE"""),"Рудничный район. Радуга")</f>
        <v>Рудничный район. Радуга</v>
      </c>
      <c r="E1878" s="6" t="str">
        <f>IFERROR(__xludf.DUMMYFUNCTION("""COMPUTED_VALUE"""),"Сосновый бор")</f>
        <v>Сосновый бор</v>
      </c>
      <c r="F1878" s="6" t="str">
        <f>IFERROR(__xludf.DUMMYFUNCTION("""COMPUTED_VALUE"""),"Живу здесь с рождения")</f>
        <v>Живу здесь с рождения</v>
      </c>
      <c r="G1878" s="6" t="str">
        <f>IFERROR(__xludf.DUMMYFUNCTION("""COMPUTED_VALUE"""),"Сосновый бор,достопримечательности рудничного района,набережная")</f>
        <v>Сосновый бор,достопримечательности рудничного района,набережная</v>
      </c>
      <c r="H1878" s="6" t="str">
        <f>IFERROR(__xludf.DUMMYFUNCTION("""COMPUTED_VALUE"""),"Родной край,любимый,дом,уют")</f>
        <v>Родной край,любимый,дом,уют</v>
      </c>
      <c r="I1878" s="6" t="str">
        <f>IFERROR(__xludf.DUMMYFUNCTION("""COMPUTED_VALUE"""),"Терешкова,Леонов,Вознесенский,Антипов")</f>
        <v>Терешкова,Леонов,Вознесенский,Антипов</v>
      </c>
      <c r="J1878" s="6" t="str">
        <f>IFERROR(__xludf.DUMMYFUNCTION("""COMPUTED_VALUE"""),"Аман Гумирович Тулеев мэр города")</f>
        <v>Аман Гумирович Тулеев мэр города</v>
      </c>
      <c r="K1878" s="6" t="str">
        <f>IFERROR(__xludf.DUMMYFUNCTION("""COMPUTED_VALUE"""),"Красоту рудничного района,достопримечательности центрального района")</f>
        <v>Красоту рудничного района,достопримечательности центрального района</v>
      </c>
      <c r="L1878" s="6" t="str">
        <f>IFERROR(__xludf.DUMMYFUNCTION("""COMPUTED_VALUE"""),"В Сибири город есть один,он пахнет соснами и углём. И мэр живет в нем один,который славится как Путин")</f>
        <v>В Сибири город есть один,он пахнет соснами и углём. И мэр живет в нем один,который славится как Путин</v>
      </c>
      <c r="M1878" s="6" t="str">
        <f>IFERROR(__xludf.DUMMYFUNCTION("""COMPUTED_VALUE"""),"🤣")</f>
        <v>🤣</v>
      </c>
      <c r="N1878" s="6" t="str">
        <f>IFERROR(__xludf.DUMMYFUNCTION("""COMPUTED_VALUE"""),"Критерии моего района только тем,что самый комфортный район,где все рядом,близко,доступно и люди отличаются добротой от других районов")</f>
        <v>Критерии моего района только тем,что самый комфортный район,где все рядом,близко,доступно и люди отличаются добротой от других районов</v>
      </c>
      <c r="O1878" s="6" t="str">
        <f>IFERROR(__xludf.DUMMYFUNCTION("""COMPUTED_VALUE"""),"Построить новую школу 46,т к дети учаться в старой развалиной школе,которая находиться в опасном месте по нахимовской трассе и добираться до нее автобусом и идти через частный сектор где много собак. В школе нет даже актового зала и канализации. Что раз в"&amp;" неделю приезжает машина и откачивает с вредной ямы фикалий,после чего запах фикалия стоит в школе. И школа до 9 класса")</f>
        <v>Построить новую школу 46,т к дети учаться в старой развалиной школе,которая находиться в опасном месте по нахимовской трассе и добираться до нее автобусом и идти через частный сектор где много собак. В школе нет даже актового зала и канализации. Что раз в неделю приезжает машина и откачивает с вредной ямы фикалий,после чего запах фикалия стоит в школе. И школа до 9 класса</v>
      </c>
      <c r="P1878" s="6" t="str">
        <f>IFERROR(__xludf.DUMMYFUNCTION("""COMPUTED_VALUE"""),"Инстаграмм,Тв,интернет ресурсы")</f>
        <v>Инстаграмм,Тв,интернет ресурсы</v>
      </c>
      <c r="Q1878" s="6" t="str">
        <f>IFERROR(__xludf.DUMMYFUNCTION("""COMPUTED_VALUE"""),"куда пойти в свободное время, культурные новинки (что почитать/что послушать), интервью с местными политиками, интервью с местными творческими личностями, криминальные новости (происшествия/преступления), интервью с экспертами на разные темы (напишите в р"&amp;"азделе Другое свои предложения)")</f>
        <v>куда пойти в свободное время, культурные новинки (что почитать/что послушать), интервью с местными политиками, интервью с местными творческими личностями, криминальные новости (происшествия/преступления), интервью с экспертами на разные темы (напишите в разделе Другое свои предложения)</v>
      </c>
      <c r="R1878" s="6" t="str">
        <f>IFERROR(__xludf.DUMMYFUNCTION("""COMPUTED_VALUE"""),"Рождество,День матери,1 сентября,1 мая,9 мая,1июня день защиты детей")</f>
        <v>Рождество,День матери,1 сентября,1 мая,9 мая,1июня день защиты детей</v>
      </c>
      <c r="S1878" s="6" t="str">
        <f>IFERROR(__xludf.DUMMYFUNCTION("""COMPUTED_VALUE"""),"Нет, не приходилось")</f>
        <v>Нет, не приходилось</v>
      </c>
      <c r="T1878" s="6" t="str">
        <f>IFERROR(__xludf.DUMMYFUNCTION("""COMPUTED_VALUE"""),"Экскурсии Красная горка,музеи ")</f>
        <v>Экскурсии Красная горка,музеи </v>
      </c>
      <c r="U1878" s="6" t="str">
        <f>IFERROR(__xludf.DUMMYFUNCTION("""COMPUTED_VALUE"""),"Площадь Ленина")</f>
        <v>Площадь Ленина</v>
      </c>
      <c r="V1878" s="6" t="str">
        <f>IFERROR(__xludf.DUMMYFUNCTION("""COMPUTED_VALUE"""),"Сделали город современный,расширили территорию,обустроили")</f>
        <v>Сделали город современный,расширили территорию,обустроили</v>
      </c>
      <c r="W1878" s="6" t="str">
        <f>IFERROR(__xludf.DUMMYFUNCTION("""COMPUTED_VALUE"""),"Добрые, трудоголики,с огромным сердцем")</f>
        <v>Добрые, трудоголики,с огромным сердцем</v>
      </c>
      <c r="X1878" s="6" t="str">
        <f>IFERROR(__xludf.DUMMYFUNCTION("""COMPUTED_VALUE"""),"Достопримечательности центрального района")</f>
        <v>Достопримечательности центрального района</v>
      </c>
      <c r="Y1878" s="6" t="str">
        <f>IFERROR(__xludf.DUMMYFUNCTION("""COMPUTED_VALUE"""),"9мая")</f>
        <v>9мая</v>
      </c>
      <c r="Z1878" s="6" t="str">
        <f>IFERROR(__xludf.DUMMYFUNCTION("""COMPUTED_VALUE"""),"Парад победы")</f>
        <v>Парад победы</v>
      </c>
      <c r="AA1878" s="6" t="str">
        <f>IFERROR(__xludf.DUMMYFUNCTION("""COMPUTED_VALUE"""),"Пожар в Зимней вишне")</f>
        <v>Пожар в Зимней вишне</v>
      </c>
      <c r="AB1878" s="6" t="str">
        <f>IFERROR(__xludf.DUMMYFUNCTION("""COMPUTED_VALUE"""),"Всего хватает")</f>
        <v>Всего хватает</v>
      </c>
      <c r="AC1878" s="6" t="str">
        <f>IFERROR(__xludf.DUMMYFUNCTION("""COMPUTED_VALUE"""),"Больше праздничных концертов и развлечений в значимые праздники")</f>
        <v>Больше праздничных концертов и развлечений в значимые праздники</v>
      </c>
      <c r="AD1878" s="6" t="str">
        <f>IFERROR(__xludf.DUMMYFUNCTION("""COMPUTED_VALUE"""),"Не готов принимать личное участие (укажите, пожалуйста, причину в поле «Другое»), По состоянию здоровья")</f>
        <v>Не готов принимать личное участие (укажите, пожалуйста, причину в поле «Другое»), По состоянию здоровья</v>
      </c>
      <c r="AE1878" s="6" t="str">
        <f>IFERROR(__xludf.DUMMYFUNCTION("""COMPUTED_VALUE"""),"Женский")</f>
        <v>Женский</v>
      </c>
      <c r="AF1878" s="6" t="str">
        <f>IFERROR(__xludf.DUMMYFUNCTION("""COMPUTED_VALUE"""),"30-44")</f>
        <v>30-44</v>
      </c>
      <c r="AG1878" s="6"/>
      <c r="AH1878" s="6"/>
      <c r="AI1878" s="6"/>
      <c r="AJ1878" s="6"/>
      <c r="AK1878" s="6"/>
      <c r="AL1878" s="6"/>
      <c r="AM1878" s="6"/>
    </row>
    <row r="1879">
      <c r="A1879" s="6">
        <v>1878.0</v>
      </c>
      <c r="B1879" s="6" t="str">
        <f>IFERROR(__xludf.DUMMYFUNCTION("""COMPUTED_VALUE"""),"Безработный")</f>
        <v>Безработный</v>
      </c>
      <c r="C1879" s="6" t="str">
        <f>IFERROR(__xludf.DUMMYFUNCTION("""COMPUTED_VALUE"""),"Только хобби")</f>
        <v>Только хобби</v>
      </c>
      <c r="D1879" s="6" t="str">
        <f>IFERROR(__xludf.DUMMYFUNCTION("""COMPUTED_VALUE"""),"Фпк")</f>
        <v>Фпк</v>
      </c>
      <c r="E1879" s="6" t="str">
        <f>IFERROR(__xludf.DUMMYFUNCTION("""COMPUTED_VALUE"""),"Вокзал")</f>
        <v>Вокзал</v>
      </c>
      <c r="F187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879" s="6" t="str">
        <f>IFERROR(__xludf.DUMMYFUNCTION("""COMPUTED_VALUE"""),"Некуда пойти")</f>
        <v>Некуда пойти</v>
      </c>
      <c r="H1879" s="6" t="str">
        <f>IFERROR(__xludf.DUMMYFUNCTION("""COMPUTED_VALUE"""),"Дерьмо, скрепы, едросня, мусор, беспредел")</f>
        <v>Дерьмо, скрепы, едросня, мусор, беспредел</v>
      </c>
      <c r="I1879" s="6" t="str">
        <f>IFERROR(__xludf.DUMMYFUNCTION("""COMPUTED_VALUE"""),"Нет")</f>
        <v>Нет</v>
      </c>
      <c r="J1879" s="6" t="str">
        <f>IFERROR(__xludf.DUMMYFUNCTION("""COMPUTED_VALUE"""),"Нет")</f>
        <v>Нет</v>
      </c>
      <c r="K1879" s="6" t="str">
        <f>IFERROR(__xludf.DUMMYFUNCTION("""COMPUTED_VALUE"""),"Нечего показать")</f>
        <v>Нечего показать</v>
      </c>
      <c r="L1879" s="6" t="str">
        <f>IFERROR(__xludf.DUMMYFUNCTION("""COMPUTED_VALUE"""),"Как волка ни корми... ")</f>
        <v>Как волка ни корми... </v>
      </c>
      <c r="M1879" s="6" t="str">
        <f>IFERROR(__xludf.DUMMYFUNCTION("""COMPUTED_VALUE"""),"полОжил, налОжил")</f>
        <v>полОжил, налОжил</v>
      </c>
      <c r="N1879" s="6" t="str">
        <f>IFERROR(__xludf.DUMMYFUNCTION("""COMPUTED_VALUE"""),"Их нет")</f>
        <v>Их нет</v>
      </c>
      <c r="O1879" s="6" t="str">
        <f>IFERROR(__xludf.DUMMYFUNCTION("""COMPUTED_VALUE"""),"Что в гулаг-е можно изменить? ")</f>
        <v>Что в гулаг-е можно изменить? </v>
      </c>
      <c r="P1879" s="6" t="str">
        <f>IFERROR(__xludf.DUMMYFUNCTION("""COMPUTED_VALUE"""),"Только ""победы и прорывы"" из инсты цивилюшки")</f>
        <v>Только "победы и прорывы" из инсты цивилюшки</v>
      </c>
      <c r="Q1879" s="6" t="str">
        <f>IFERROR(__xludf.DUMMYFUNCTION("""COMPUTED_VALUE"""),"куда пойти в свободное время, интервью с местными политиками, результаты местных исследований (рейтинги/аналитика/тенденции)")</f>
        <v>куда пойти в свободное время, интервью с местными политиками, результаты местных исследований (рейтинги/аналитика/тенденции)</v>
      </c>
      <c r="R1879" s="6" t="str">
        <f>IFERROR(__xludf.DUMMYFUNCTION("""COMPUTED_VALUE"""),"Новый год")</f>
        <v>Новый год</v>
      </c>
      <c r="S1879" s="6" t="str">
        <f>IFERROR(__xludf.DUMMYFUNCTION("""COMPUTED_VALUE"""),"Нет, не приходилось")</f>
        <v>Нет, не приходилось</v>
      </c>
      <c r="T1879" s="6" t="str">
        <f>IFERROR(__xludf.DUMMYFUNCTION("""COMPUTED_VALUE"""),"Ничего")</f>
        <v>Ничего</v>
      </c>
      <c r="U1879" s="6" t="str">
        <f>IFERROR(__xludf.DUMMYFUNCTION("""COMPUTED_VALUE"""),"Ничего")</f>
        <v>Ничего</v>
      </c>
      <c r="V1879" s="6" t="str">
        <f>IFERROR(__xludf.DUMMYFUNCTION("""COMPUTED_VALUE"""),"Что бы ни сделали - всё уничтожили сами же")</f>
        <v>Что бы ни сделали - всё уничтожили сами же</v>
      </c>
      <c r="W1879" s="6" t="str">
        <f>IFERROR(__xludf.DUMMYFUNCTION("""COMPUTED_VALUE"""),"Злые, недалекие")</f>
        <v>Злые, недалекие</v>
      </c>
      <c r="X1879" s="6" t="str">
        <f>IFERROR(__xludf.DUMMYFUNCTION("""COMPUTED_VALUE"""),"Самый редкий - 45я маршрутка и 44я")</f>
        <v>Самый редкий - 45я маршрутка и 44я</v>
      </c>
      <c r="Y1879" s="6" t="str">
        <f>IFERROR(__xludf.DUMMYFUNCTION("""COMPUTED_VALUE"""),"Поджог ""зимней вишни"" ")</f>
        <v>Поджог "зимней вишни" </v>
      </c>
      <c r="Z1879" s="6" t="str">
        <f>IFERROR(__xludf.DUMMYFUNCTION("""COMPUTED_VALUE"""),"Новый год")</f>
        <v>Новый год</v>
      </c>
      <c r="AA1879" s="6" t="str">
        <f>IFERROR(__xludf.DUMMYFUNCTION("""COMPUTED_VALUE"""),"Любое ""победоносное"" событие губера - враньё ")</f>
        <v>Любое "победоносное" событие губера - враньё </v>
      </c>
      <c r="AB1879" s="6" t="str">
        <f>IFERROR(__xludf.DUMMYFUNCTION("""COMPUTED_VALUE"""),"Сообщество анонимных космонавтов")</f>
        <v>Сообщество анонимных космонавтов</v>
      </c>
      <c r="AC1879" s="6" t="str">
        <f>IFERROR(__xludf.DUMMYFUNCTION("""COMPUTED_VALUE"""),"Этот город ничего не спасет")</f>
        <v>Этот город ничего не спасет</v>
      </c>
      <c r="AD1879" s="6" t="str">
        <f>IFERROR(__xludf.DUMMYFUNCTION("""COMPUTED_VALUE"""),"Боже упаси. ")</f>
        <v>Боже упаси. </v>
      </c>
      <c r="AE1879" s="6" t="str">
        <f>IFERROR(__xludf.DUMMYFUNCTION("""COMPUTED_VALUE"""),"Мужской")</f>
        <v>Мужской</v>
      </c>
      <c r="AF1879" s="6" t="str">
        <f>IFERROR(__xludf.DUMMYFUNCTION("""COMPUTED_VALUE"""),"45-55")</f>
        <v>45-55</v>
      </c>
      <c r="AG1879" s="6"/>
      <c r="AH1879" s="6"/>
      <c r="AI1879" s="6"/>
      <c r="AJ1879" s="6"/>
      <c r="AK1879" s="6"/>
      <c r="AL1879" s="6"/>
      <c r="AM1879" s="6"/>
    </row>
    <row r="1880">
      <c r="A1880" s="6">
        <v>1879.0</v>
      </c>
      <c r="B1880" s="6" t="str">
        <f>IFERROR(__xludf.DUMMYFUNCTION("""COMPUTED_VALUE"""),"Учусь в университете ")</f>
        <v>Учусь в университете </v>
      </c>
      <c r="C1880" s="6" t="str">
        <f>IFERROR(__xludf.DUMMYFUNCTION("""COMPUTED_VALUE"""),"Чтение и инвестирование ")</f>
        <v>Чтение и инвестирование </v>
      </c>
      <c r="D1880" s="6" t="str">
        <f>IFERROR(__xludf.DUMMYFUNCTION("""COMPUTED_VALUE"""),"Шалготарьян")</f>
        <v>Шалготарьян</v>
      </c>
      <c r="E1880" s="6" t="str">
        <f>IFERROR(__xludf.DUMMYFUNCTION("""COMPUTED_VALUE"""),"Кадетское училище и фонтан у бывшего Нограда")</f>
        <v>Кадетское училище и фонтан у бывшего Нограда</v>
      </c>
      <c r="F1880" s="6" t="str">
        <f>IFERROR(__xludf.DUMMYFUNCTION("""COMPUTED_VALUE"""),"Живу здесь с рождения")</f>
        <v>Живу здесь с рождения</v>
      </c>
      <c r="G1880" s="6" t="str">
        <f>IFERROR(__xludf.DUMMYFUNCTION("""COMPUTED_VALUE"""),"На набережную в центре города")</f>
        <v>На набережную в центре города</v>
      </c>
      <c r="H1880" s="6" t="str">
        <f>IFERROR(__xludf.DUMMYFUNCTION("""COMPUTED_VALUE"""),"Зимняя вишня, загрязненность воздуха, вич, туберкулёз, уголь")</f>
        <v>Зимняя вишня, загрязненность воздуха, вич, туберкулёз, уголь</v>
      </c>
      <c r="I1880" s="6" t="str">
        <f>IFERROR(__xludf.DUMMYFUNCTION("""COMPUTED_VALUE"""),"Аман Тулеев, Алексей Леонов, Михайло Волков")</f>
        <v>Аман Тулеев, Алексей Леонов, Михайло Волков</v>
      </c>
      <c r="J1880" s="6" t="str">
        <f>IFERROR(__xludf.DUMMYFUNCTION("""COMPUTED_VALUE"""),"Аман Тулеев")</f>
        <v>Аман Тулеев</v>
      </c>
      <c r="K1880" s="6" t="str">
        <f>IFERROR(__xludf.DUMMYFUNCTION("""COMPUTED_VALUE"""),"Притомская Набережная,  Красная горка, Лесная Поляна, Кадетское училище")</f>
        <v>Притомская Набережная,  Красная горка, Лесная Поляна, Кадетское училище</v>
      </c>
      <c r="L1880" s="6" t="str">
        <f>IFERROR(__xludf.DUMMYFUNCTION("""COMPUTED_VALUE"""),"-")</f>
        <v>-</v>
      </c>
      <c r="M1880" s="6" t="str">
        <f>IFERROR(__xludf.DUMMYFUNCTION("""COMPUTED_VALUE"""),"Кемерово – маленькая деревня
Шалготарьян – Шалго
Лапландия – Лапа 
Торговый центр Я – Яшка 
Остановка Швейная фабрика – Швейка ")</f>
        <v>Кемерово – маленькая деревня
Шалготарьян – Шалго
Лапландия – Лапа 
Торговый центр Я – Яшка 
Остановка Швейная фабрика – Швейка </v>
      </c>
      <c r="N1880" s="6" t="str">
        <f>IFERROR(__xludf.DUMMYFUNCTION("""COMPUTED_VALUE"""),"Наличие рабочих мест, развитие города, экология, общественный транспорт, хорошие дороги")</f>
        <v>Наличие рабочих мест, развитие города, экология, общественный транспорт, хорошие дороги</v>
      </c>
      <c r="O1880" s="6" t="str">
        <f>IFERROR(__xludf.DUMMYFUNCTION("""COMPUTED_VALUE"""),"Заняться экологией")</f>
        <v>Заняться экологией</v>
      </c>
      <c r="P1880" s="6" t="str">
        <f>IFERROR(__xludf.DUMMYFUNCTION("""COMPUTED_VALUE"""),"Новости Яндекса (VSE42, A42, Сибдепо)")</f>
        <v>Новости Яндекса (VSE42, A42, Сибдепо)</v>
      </c>
      <c r="Q1880" s="6" t="str">
        <f>IFERROR(__xludf.DUMMYFUNCTION("""COMPUTED_VALUE"""),"интервью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f>
        <v>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880" s="6" t="str">
        <f>IFERROR(__xludf.DUMMYFUNCTION("""COMPUTED_VALUE"""),"9 мая, Новый год ")</f>
        <v>9 мая, Новый год </v>
      </c>
      <c r="S1880" s="6" t="str">
        <f>IFERROR(__xludf.DUMMYFUNCTION("""COMPUTED_VALUE"""),"Нет, не приходилось")</f>
        <v>Нет, не приходилось</v>
      </c>
      <c r="T1880" s="6" t="str">
        <f>IFERROR(__xludf.DUMMYFUNCTION("""COMPUTED_VALUE"""),"Кемерово знаменит происшествиями и топ рейтингом по ВИЧ и туберкулёзу")</f>
        <v>Кемерово знаменит происшествиями и топ рейтингом по ВИЧ и туберкулёзу</v>
      </c>
      <c r="U1880" s="6" t="str">
        <f>IFERROR(__xludf.DUMMYFUNCTION("""COMPUTED_VALUE"""),"Притомская набережная ")</f>
        <v>Притомская набережная </v>
      </c>
      <c r="V1880" s="6" t="str">
        <f>IFERROR(__xludf.DUMMYFUNCTION("""COMPUTED_VALUE"""),"Развивали угольную промышленность ")</f>
        <v>Развивали угольную промышленность </v>
      </c>
      <c r="W1880" s="6" t="str">
        <f>IFERROR(__xludf.DUMMYFUNCTION("""COMPUTED_VALUE"""),"Терпеливые, но не удовлетворённые в полной мере люди ")</f>
        <v>Терпеливые, но не удовлетворённые в полной мере люди </v>
      </c>
      <c r="X1880" s="6" t="str">
        <f>IFERROR(__xludf.DUMMYFUNCTION("""COMPUTED_VALUE"""),"Притомская набережная ")</f>
        <v>Притомская набережная </v>
      </c>
      <c r="Y1880" s="6" t="str">
        <f>IFERROR(__xludf.DUMMYFUNCTION("""COMPUTED_VALUE"""),"Происшествие в зимней вишне")</f>
        <v>Происшествие в зимней вишне</v>
      </c>
      <c r="Z1880" s="6" t="str">
        <f>IFERROR(__xludf.DUMMYFUNCTION("""COMPUTED_VALUE"""),"Открытие кадетского училища, ремонт во дворе ")</f>
        <v>Открытие кадетского училища, ремонт во дворе </v>
      </c>
      <c r="AA1880" s="6" t="str">
        <f>IFERROR(__xludf.DUMMYFUNCTION("""COMPUTED_VALUE"""),"Экология, происшествие в зимней вишне,  плохая освещенность и асфальт в шалготарьяне")</f>
        <v>Экология, происшествие в зимней вишне,  плохая освещенность и асфальт в шалготарьяне</v>
      </c>
      <c r="AB1880" s="6" t="str">
        <f>IFERROR(__xludf.DUMMYFUNCTION("""COMPUTED_VALUE"""),"Экологических")</f>
        <v>Экологических</v>
      </c>
      <c r="AC1880" s="6" t="str">
        <f>IFERROR(__xludf.DUMMYFUNCTION("""COMPUTED_VALUE"""),"Развитие финансовой грамотности ")</f>
        <v>Развитие финансовой грамотности </v>
      </c>
      <c r="AD188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880" s="6" t="str">
        <f>IFERROR(__xludf.DUMMYFUNCTION("""COMPUTED_VALUE"""),"Женский")</f>
        <v>Женский</v>
      </c>
      <c r="AF1880" s="6" t="str">
        <f>IFERROR(__xludf.DUMMYFUNCTION("""COMPUTED_VALUE"""),"18-29")</f>
        <v>18-29</v>
      </c>
      <c r="AG1880" s="6"/>
      <c r="AH1880" s="6"/>
      <c r="AI1880" s="6"/>
      <c r="AJ1880" s="6"/>
      <c r="AK1880" s="6"/>
      <c r="AL1880" s="6"/>
      <c r="AM1880" s="6"/>
    </row>
    <row r="1881">
      <c r="A1881" s="6">
        <v>1880.0</v>
      </c>
      <c r="B1881" s="6" t="str">
        <f>IFERROR(__xludf.DUMMYFUNCTION("""COMPUTED_VALUE"""),"Орг техника")</f>
        <v>Орг техника</v>
      </c>
      <c r="C1881" s="6" t="str">
        <f>IFERROR(__xludf.DUMMYFUNCTION("""COMPUTED_VALUE"""),"Пишу Книги,рисую")</f>
        <v>Пишу Книги,рисую</v>
      </c>
      <c r="D1881" s="6" t="str">
        <f>IFERROR(__xludf.DUMMYFUNCTION("""COMPUTED_VALUE"""),"Кировский")</f>
        <v>Кировский</v>
      </c>
      <c r="E1881" s="6" t="str">
        <f>IFERROR(__xludf.DUMMYFUNCTION("""COMPUTED_VALUE"""),"Набережная и всё...")</f>
        <v>Набережная и всё...</v>
      </c>
      <c r="F1881" s="6" t="str">
        <f>IFERROR(__xludf.DUMMYFUNCTION("""COMPUTED_VALUE"""),"Живу здесь с рождения")</f>
        <v>Живу здесь с рождения</v>
      </c>
      <c r="G1881" s="6" t="str">
        <f>IFERROR(__xludf.DUMMYFUNCTION("""COMPUTED_VALUE"""),"Набережная в центре,бульвар")</f>
        <v>Набережная в центре,бульвар</v>
      </c>
      <c r="H1881" s="6" t="str">
        <f>IFERROR(__xludf.DUMMYFUNCTION("""COMPUTED_VALUE"""),"Парк ангелов,Леонов,больше не могу сказать.")</f>
        <v>Парк ангелов,Леонов,больше не могу сказать.</v>
      </c>
      <c r="I1881" s="6" t="str">
        <f>IFERROR(__xludf.DUMMYFUNCTION("""COMPUTED_VALUE"""),"Леонов,Гагарин,Терешкова ,Ленин,Дегтярев")</f>
        <v>Леонов,Гагарин,Терешкова ,Ленин,Дегтярев</v>
      </c>
      <c r="J1881" s="6" t="str">
        <f>IFERROR(__xludf.DUMMYFUNCTION("""COMPUTED_VALUE"""),"Цивилев,Тулеев,Середюк,Кислюк,Михайлов.")</f>
        <v>Цивилев,Тулеев,Середюк,Кислюк,Михайлов.</v>
      </c>
      <c r="K1881" s="6" t="str">
        <f>IFERROR(__xludf.DUMMYFUNCTION("""COMPUTED_VALUE"""),"Парк ангелов,бульвар,набережная кировский-центр,площадь Пушкина,главпочтамт.")</f>
        <v>Парк ангелов,бульвар,набережная кировский-центр,площадь Пушкина,главпочтамт.</v>
      </c>
      <c r="L1881" s="6" t="str">
        <f>IFERROR(__xludf.DUMMYFUNCTION("""COMPUTED_VALUE"""),"Не имей 100р,а имей 100 друзей.")</f>
        <v>Не имей 100р,а имей 100 друзей.</v>
      </c>
      <c r="M1881" s="6" t="str">
        <f>IFERROR(__xludf.DUMMYFUNCTION("""COMPUTED_VALUE"""),"Шаурма")</f>
        <v>Шаурма</v>
      </c>
      <c r="N1881" s="6" t="str">
        <f>IFERROR(__xludf.DUMMYFUNCTION("""COMPUTED_VALUE"""),"Заралата,экология,развитость города,медицина.")</f>
        <v>Заралата,экология,развитость города,медицина.</v>
      </c>
      <c r="O1881" s="6" t="str">
        <f>IFERROR(__xludf.DUMMYFUNCTION("""COMPUTED_VALUE"""),"Уровень зарплаты,медицину(доступную!!) озеленение.")</f>
        <v>Уровень зарплаты,медицину(доступную!!) озеленение.</v>
      </c>
      <c r="P1881" s="6" t="str">
        <f>IFERROR(__xludf.DUMMYFUNCTION("""COMPUTED_VALUE"""),"Интернет-инцидент Кемерово,регион 142")</f>
        <v>Интернет-инцидент Кемерово,регион 142</v>
      </c>
      <c r="Q1881" s="6" t="str">
        <f>IFERROR(__xludf.DUMMYFUNCTION("""COMPUTED_VALUE"""),"куда пойти в свободное время, криминальные новости (происшествия/преступления), Куда пойти прогуляться,новые локации.")</f>
        <v>куда пойти в свободное время, криминальные новости (происшествия/преступления), Куда пойти прогуляться,новые локации.</v>
      </c>
      <c r="R1881" s="6" t="str">
        <f>IFERROR(__xludf.DUMMYFUNCTION("""COMPUTED_VALUE"""),"12 июня-День России и города Кемерово,День шахтёров,Новый год.9мая.")</f>
        <v>12 июня-День России и города Кемерово,День шахтёров,Новый год.9мая.</v>
      </c>
      <c r="S1881" s="6" t="str">
        <f>IFERROR(__xludf.DUMMYFUNCTION("""COMPUTED_VALUE"""),"Через социальные сети (Какие? Укажите в графе другое), Одноклассники,Инстаграмм.")</f>
        <v>Через социальные сети (Какие? Укажите в графе другое), Одноклассники,Инстаграмм.</v>
      </c>
      <c r="T1881" s="6" t="str">
        <f>IFERROR(__xludf.DUMMYFUNCTION("""COMPUTED_VALUE"""),"Угольная и нефтедобывающая столица.")</f>
        <v>Угольная и нефтедобывающая столица.</v>
      </c>
      <c r="U1881" s="6" t="str">
        <f>IFERROR(__xludf.DUMMYFUNCTION("""COMPUTED_VALUE"""),"Парк ангелов?")</f>
        <v>Парк ангелов?</v>
      </c>
      <c r="V1881" s="6" t="str">
        <f>IFERROR(__xludf.DUMMYFUNCTION("""COMPUTED_VALUE"""),"Посадили деревья,построили дома.возвели памятники.")</f>
        <v>Посадили деревья,построили дома.возвели памятники.</v>
      </c>
      <c r="W1881" s="6" t="str">
        <f>IFERROR(__xludf.DUMMYFUNCTION("""COMPUTED_VALUE"""),"Много злых.")</f>
        <v>Много злых.</v>
      </c>
      <c r="X1881" s="6" t="str">
        <f>IFERROR(__xludf.DUMMYFUNCTION("""COMPUTED_VALUE"""),"Бульвар-главпочтампт-центр-красная горка.")</f>
        <v>Бульвар-главпочтампт-центр-красная горка.</v>
      </c>
      <c r="Y1881" s="6" t="str">
        <f>IFERROR(__xludf.DUMMYFUNCTION("""COMPUTED_VALUE"""),"Открытие парка ангелов.")</f>
        <v>Открытие парка ангелов.</v>
      </c>
      <c r="Z1881" s="6" t="str">
        <f>IFERROR(__xludf.DUMMYFUNCTION("""COMPUTED_VALUE"""),"Скоро откроют ледовый дворец,набережную на проспекте Притомский.очень ждём.реставрация сквера к набережной в кировском районе.")</f>
        <v>Скоро откроют ледовый дворец,набережную на проспекте Притомский.очень ждём.реставрация сквера к набережной в кировском районе.</v>
      </c>
      <c r="AA1881" s="6" t="str">
        <f>IFERROR(__xludf.DUMMYFUNCTION("""COMPUTED_VALUE"""),"Много платных дорогих анализов.")</f>
        <v>Много платных дорогих анализов.</v>
      </c>
      <c r="AB1881" s="6" t="str">
        <f>IFERROR(__xludf.DUMMYFUNCTION("""COMPUTED_VALUE"""),"Мне как взрослому человеку все хватает.хотя...для животных я бы хотела такие кабинки..сверху сдаёшь пластик,за его вес падает корм)) больше приютов для животных с городской финансовой поддержкой.")</f>
        <v>Мне как взрослому человеку все хватает.хотя...для животных я бы хотела такие кабинки..сверху сдаёшь пластик,за его вес падает корм)) больше приютов для животных с городской финансовой поддержкой.</v>
      </c>
      <c r="AC1881" s="6" t="str">
        <f>IFERROR(__xludf.DUMMYFUNCTION("""COMPUTED_VALUE"""),"Раньше проводились дискотеки..сейчас их нет..площадки есть,но только по праздникам на них выступают(( есть же таланты у нас и без проф.деятельности,думаю многие бы выступали.")</f>
        <v>Раньше проводились дискотеки..сейчас их нет..площадки есть,но только по праздникам на них выступают(( есть же таланты у нас и без проф.деятельности,думаю многие бы выступали.</v>
      </c>
      <c r="AD1881" s="6" t="str">
        <f>IFERROR(__xludf.DUMMYFUNCTION("""COMPUTED_VALUE"""),"Не готов принимать личное участие (укажите, пожалуйста, причину в поле «Другое»), В силу своего здоровья не могу участвовать,финансово помогать тем более.")</f>
        <v>Не готов принимать личное участие (укажите, пожалуйста, причину в поле «Другое»), В силу своего здоровья не могу участвовать,финансово помогать тем более.</v>
      </c>
      <c r="AE1881" s="6" t="str">
        <f>IFERROR(__xludf.DUMMYFUNCTION("""COMPUTED_VALUE"""),"Женский")</f>
        <v>Женский</v>
      </c>
      <c r="AF1881" s="6" t="str">
        <f>IFERROR(__xludf.DUMMYFUNCTION("""COMPUTED_VALUE"""),"30-44")</f>
        <v>30-44</v>
      </c>
      <c r="AG1881" s="6"/>
      <c r="AH1881" s="6"/>
      <c r="AI1881" s="6"/>
      <c r="AJ1881" s="6"/>
      <c r="AK1881" s="6"/>
      <c r="AL1881" s="6"/>
      <c r="AM1881" s="6"/>
    </row>
    <row r="1882">
      <c r="A1882" s="6">
        <v>1881.0</v>
      </c>
      <c r="B1882" s="6" t="str">
        <f>IFERROR(__xludf.DUMMYFUNCTION("""COMPUTED_VALUE"""),"Много")</f>
        <v>Много</v>
      </c>
      <c r="C1882" s="6" t="str">
        <f>IFERROR(__xludf.DUMMYFUNCTION("""COMPUTED_VALUE"""),"Фото. Музыка, театры и филармония. Путешествия")</f>
        <v>Фото. Музыка, театры и филармония. Путешествия</v>
      </c>
      <c r="D1882" s="6" t="str">
        <f>IFERROR(__xludf.DUMMYFUNCTION("""COMPUTED_VALUE"""),"Центр")</f>
        <v>Центр</v>
      </c>
      <c r="E1882" s="6" t="str">
        <f>IFERROR(__xludf.DUMMYFUNCTION("""COMPUTED_VALUE"""),"Весенняя Набережная")</f>
        <v>Весенняя Набережная</v>
      </c>
      <c r="F1882" s="6" t="str">
        <f>IFERROR(__xludf.DUMMYFUNCTION("""COMPUTED_VALUE"""),"Живу здесь с рождения")</f>
        <v>Живу здесь с рождения</v>
      </c>
      <c r="G1882" s="6" t="str">
        <f>IFERROR(__xludf.DUMMYFUNCTION("""COMPUTED_VALUE"""),"Кофелэнд. Островского 30. Театры филармония")</f>
        <v>Кофелэнд. Островского 30. Театры филармония</v>
      </c>
      <c r="H1882" s="6" t="str">
        <f>IFERROR(__xludf.DUMMYFUNCTION("""COMPUTED_VALUE"""),"Родина столица любимый город")</f>
        <v>Родина столица любимый город</v>
      </c>
      <c r="I1882" s="6" t="str">
        <f>IFERROR(__xludf.DUMMYFUNCTION("""COMPUTED_VALUE"""),"Мои бабушки Кузнецова Галина Николаевна и Мальцева Галина Ивановна. Дедушка Изюмский Юрий")</f>
        <v>Мои бабушки Кузнецова Галина Николаевна и Мальцева Галина Ивановна. Дедушка Изюмский Юрий</v>
      </c>
      <c r="J1882" s="6" t="str">
        <f>IFERROR(__xludf.DUMMYFUNCTION("""COMPUTED_VALUE"""),"Тулеев АГ")</f>
        <v>Тулеев АГ</v>
      </c>
      <c r="K1882" s="6" t="str">
        <f>IFERROR(__xludf.DUMMYFUNCTION("""COMPUTED_VALUE"""),"Знаменский собор набережная")</f>
        <v>Знаменский собор набережная</v>
      </c>
      <c r="L1882" s="6" t="str">
        <f>IFERROR(__xludf.DUMMYFUNCTION("""COMPUTED_VALUE"""),"Гету")</f>
        <v>Гету</v>
      </c>
      <c r="M1882" s="6" t="str">
        <f>IFERROR(__xludf.DUMMYFUNCTION("""COMPUTED_VALUE"""),"Нет")</f>
        <v>Нет</v>
      </c>
      <c r="N1882" s="6" t="str">
        <f>IFERROR(__xludf.DUMMYFUNCTION("""COMPUTED_VALUE"""),"Магазины и остановки рядом с домом . Чистота возможность прогуляться рядом. Близкая больница.")</f>
        <v>Магазины и остановки рядом с домом . Чистота возможность прогуляться рядом. Близкая больница.</v>
      </c>
      <c r="O1882" s="6" t="str">
        <f>IFERROR(__xludf.DUMMYFUNCTION("""COMPUTED_VALUE"""),"Дворы. Работу городского транспорта")</f>
        <v>Дворы. Работу городского транспорта</v>
      </c>
      <c r="P1882" s="6" t="str">
        <f>IFERROR(__xludf.DUMMYFUNCTION("""COMPUTED_VALUE"""),"Интернет а42. От людей. Сибдепо")</f>
        <v>Интернет а42. От людей. Сибдепо</v>
      </c>
      <c r="Q1882"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v>
      </c>
      <c r="R1882" s="6" t="str">
        <f>IFERROR(__xludf.DUMMYFUNCTION("""COMPUTED_VALUE"""),"Все.")</f>
        <v>Все.</v>
      </c>
      <c r="S1882" s="6" t="str">
        <f>IFERROR(__xludf.DUMMYFUNCTION("""COMPUTED_VALUE"""),"Нет")</f>
        <v>Нет</v>
      </c>
      <c r="T1882" s="6" t="str">
        <f>IFERROR(__xludf.DUMMYFUNCTION("""COMPUTED_VALUE"""),"Красная горка.")</f>
        <v>Красная горка.</v>
      </c>
      <c r="U1882" s="6" t="str">
        <f>IFERROR(__xludf.DUMMYFUNCTION("""COMPUTED_VALUE"""),"Фонтан у драмы и орбита")</f>
        <v>Фонтан у драмы и орбита</v>
      </c>
      <c r="V1882" s="6" t="str">
        <f>IFERROR(__xludf.DUMMYFUNCTION("""COMPUTED_VALUE"""),"Работа!!!!")</f>
        <v>Работа!!!!</v>
      </c>
      <c r="W1882" s="6" t="str">
        <f>IFERROR(__xludf.DUMMYFUNCTION("""COMPUTED_VALUE"""),"Последнее время хотят уехать. Вечно жалуются на все")</f>
        <v>Последнее время хотят уехать. Вечно жалуются на все</v>
      </c>
      <c r="X1882" s="6" t="str">
        <f>IFERROR(__xludf.DUMMYFUNCTION("""COMPUTED_VALUE"""),"По центру")</f>
        <v>По центру</v>
      </c>
      <c r="Y1882" s="6" t="str">
        <f>IFERROR(__xludf.DUMMYFUNCTION("""COMPUTED_VALUE"""),"Для меня освящение собора 1996г и и много культурных")</f>
        <v>Для меня освящение собора 1996г и и много культурных</v>
      </c>
      <c r="Z1882" s="6" t="str">
        <f>IFERROR(__xludf.DUMMYFUNCTION("""COMPUTED_VALUE"""),"....")</f>
        <v>....</v>
      </c>
      <c r="AA1882" s="6" t="str">
        <f>IFERROR(__xludf.DUMMYFUNCTION("""COMPUTED_VALUE"""),"Я не слежу за негативом")</f>
        <v>Я не слежу за негативом</v>
      </c>
      <c r="AB1882" s="6" t="str">
        <f>IFERROR(__xludf.DUMMYFUNCTION("""COMPUTED_VALUE"""),"Все хорошо")</f>
        <v>Все хорошо</v>
      </c>
      <c r="AC1882" s="6" t="str">
        <f>IFERROR(__xludf.DUMMYFUNCTION("""COMPUTED_VALUE"""),"Больше выступлений знаменитых классиков на сцене  на площади советов")</f>
        <v>Больше выступлений знаменитых классиков на сцене  на площади советов</v>
      </c>
      <c r="AD188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82" s="6" t="str">
        <f>IFERROR(__xludf.DUMMYFUNCTION("""COMPUTED_VALUE"""),"Мужской")</f>
        <v>Мужской</v>
      </c>
      <c r="AF1882" s="6" t="str">
        <f>IFERROR(__xludf.DUMMYFUNCTION("""COMPUTED_VALUE"""),"30-44")</f>
        <v>30-44</v>
      </c>
      <c r="AG1882" s="6"/>
      <c r="AH1882" s="6"/>
      <c r="AI1882" s="6"/>
      <c r="AJ1882" s="6"/>
      <c r="AK1882" s="6"/>
      <c r="AL1882" s="6"/>
      <c r="AM1882" s="6"/>
    </row>
    <row r="1883">
      <c r="A1883" s="6">
        <v>1882.0</v>
      </c>
      <c r="B1883" s="6" t="str">
        <f>IFERROR(__xludf.DUMMYFUNCTION("""COMPUTED_VALUE"""),"Медицинская сестра")</f>
        <v>Медицинская сестра</v>
      </c>
      <c r="C1883" s="6" t="str">
        <f>IFERROR(__xludf.DUMMYFUNCTION("""COMPUTED_VALUE"""),"Кино, читаю книги")</f>
        <v>Кино, читаю книги</v>
      </c>
      <c r="D1883" s="6" t="str">
        <f>IFERROR(__xludf.DUMMYFUNCTION("""COMPUTED_VALUE"""),"Ленинский")</f>
        <v>Ленинский</v>
      </c>
      <c r="E1883" s="6" t="str">
        <f>IFERROR(__xludf.DUMMYFUNCTION("""COMPUTED_VALUE"""),"Прогулочная зона на бульваре строителей, спорт комплекс ""Кузбасс""")</f>
        <v>Прогулочная зона на бульваре строителей, спорт комплекс "Кузбасс"</v>
      </c>
      <c r="F1883" s="6" t="str">
        <f>IFERROR(__xludf.DUMMYFUNCTION("""COMPUTED_VALUE"""),"Живу здесь с рождения")</f>
        <v>Живу здесь с рождения</v>
      </c>
      <c r="G1883" s="6" t="str">
        <f>IFERROR(__xludf.DUMMYFUNCTION("""COMPUTED_VALUE"""),"Бульвар строителей")</f>
        <v>Бульвар строителей</v>
      </c>
      <c r="H1883" s="6" t="str">
        <f>IFERROR(__xludf.DUMMYFUNCTION("""COMPUTED_VALUE"""),"Ухоженный, удобный, современный, быстрый, красивый")</f>
        <v>Ухоженный, удобный, современный, быстрый, красивый</v>
      </c>
      <c r="I1883" s="6" t="str">
        <f>IFERROR(__xludf.DUMMYFUNCTION("""COMPUTED_VALUE"""),"Дзержинский, Марковцев, Ленин")</f>
        <v>Дзержинский, Марковцев, Ленин</v>
      </c>
      <c r="J1883" s="6" t="str">
        <f>IFERROR(__xludf.DUMMYFUNCTION("""COMPUTED_VALUE"""),"Не могу ответить")</f>
        <v>Не могу ответить</v>
      </c>
      <c r="K1883" s="6" t="str">
        <f>IFERROR(__xludf.DUMMYFUNCTION("""COMPUTED_VALUE"""),"Красная горка (вид на город отличный), бор тот что возле ""креста""")</f>
        <v>Красная горка (вид на город отличный), бор тот что возле "креста"</v>
      </c>
      <c r="L1883" s="6" t="str">
        <f>IFERROR(__xludf.DUMMYFUNCTION("""COMPUTED_VALUE"""),"Поспешай не торопясь")</f>
        <v>Поспешай не торопясь</v>
      </c>
      <c r="M1883" s="6" t="str">
        <f>IFERROR(__xludf.DUMMYFUNCTION("""COMPUTED_VALUE"""),"Подъезд, бордюр, мультифора")</f>
        <v>Подъезд, бордюр, мультифора</v>
      </c>
      <c r="N1883" s="6" t="str">
        <f>IFERROR(__xludf.DUMMYFUNCTION("""COMPUTED_VALUE"""),"Доступный транспорт, удобные пешеходные зоны, достаточно освещения в вечернее время, современные детские площадки, удобные пешеходные переходы")</f>
        <v>Доступный транспорт, удобные пешеходные зоны, достаточно освещения в вечернее время, современные детские площадки, удобные пешеходные переходы</v>
      </c>
      <c r="O1883" s="6" t="str">
        <f>IFERROR(__xludf.DUMMYFUNCTION("""COMPUTED_VALUE"""),"Развязку общественного транспорта (автобусов, тралейбусов и маршруток), дороги во дворах (плохие, ямки на ямках), во дворах мало современных детских площадок, много старых с облупившейся краской, не безопасных.")</f>
        <v>Развязку общественного транспорта (автобусов, тралейбусов и маршруток), дороги во дворах (плохие, ямки на ямках), во дворах мало современных детских площадок, много старых с облупившейся краской, не безопасных.</v>
      </c>
      <c r="P1883" s="6" t="str">
        <f>IFERROR(__xludf.DUMMYFUNCTION("""COMPUTED_VALUE"""),"Инстаграм, Яндекс дзен")</f>
        <v>Инстаграм, Яндекс дзен</v>
      </c>
      <c r="Q1883" s="6" t="str">
        <f>IFERROR(__xludf.DUMMYFUNCTION("""COMPUTED_VALUE"""),"куда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v>
      </c>
      <c r="R1883" s="6" t="str">
        <f>IFERROR(__xludf.DUMMYFUNCTION("""COMPUTED_VALUE"""),"День города, День Шахтера")</f>
        <v>День города, День Шахтера</v>
      </c>
      <c r="S1883" s="6" t="str">
        <f>IFERROR(__xludf.DUMMYFUNCTION("""COMPUTED_VALUE"""),"Нет, не приходилось")</f>
        <v>Нет, не приходилось</v>
      </c>
      <c r="T1883" s="6" t="str">
        <f>IFERROR(__xludf.DUMMYFUNCTION("""COMPUTED_VALUE"""),"Столица Кузбасса, шахтерская столица")</f>
        <v>Столица Кузбасса, шахтерская столица</v>
      </c>
      <c r="U1883" s="6" t="str">
        <f>IFERROR(__xludf.DUMMYFUNCTION("""COMPUTED_VALUE"""),"Бульвар Строителей")</f>
        <v>Бульвар Строителей</v>
      </c>
      <c r="V1883" s="6" t="str">
        <f>IFERROR(__xludf.DUMMYFUNCTION("""COMPUTED_VALUE"""),"Не знаю")</f>
        <v>Не знаю</v>
      </c>
      <c r="W1883" s="6" t="str">
        <f>IFERROR(__xludf.DUMMYFUNCTION("""COMPUTED_VALUE"""),"Щедрые, любознательные, искренние")</f>
        <v>Щедрые, любознательные, искренние</v>
      </c>
      <c r="X1883" s="6" t="str">
        <f>IFERROR(__xludf.DUMMYFUNCTION("""COMPUTED_VALUE"""),"По Советскому проспекту")</f>
        <v>По Советскому проспекту</v>
      </c>
      <c r="Y1883" s="6" t="str">
        <f>IFERROR(__xludf.DUMMYFUNCTION("""COMPUTED_VALUE"""),"Не знаю")</f>
        <v>Не знаю</v>
      </c>
      <c r="Z1883" s="6" t="str">
        <f>IFERROR(__xludf.DUMMYFUNCTION("""COMPUTED_VALUE"""),"Рок фестиваль в июле 2019")</f>
        <v>Рок фестиваль в июле 2019</v>
      </c>
      <c r="AA1883" s="6" t="str">
        <f>IFERROR(__xludf.DUMMYFUNCTION("""COMPUTED_VALUE"""),"Не знаю")</f>
        <v>Не знаю</v>
      </c>
      <c r="AB1883" s="6" t="str">
        <f>IFERROR(__xludf.DUMMYFUNCTION("""COMPUTED_VALUE"""),"Никаких")</f>
        <v>Никаких</v>
      </c>
      <c r="AC1883" s="6" t="str">
        <f>IFERROR(__xludf.DUMMYFUNCTION("""COMPUTED_VALUE"""),"Больше интересных  концертов и фестивалей")</f>
        <v>Больше интересных  концертов и фестивалей</v>
      </c>
      <c r="AD188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83" s="6" t="str">
        <f>IFERROR(__xludf.DUMMYFUNCTION("""COMPUTED_VALUE"""),"Женский")</f>
        <v>Женский</v>
      </c>
      <c r="AF1883" s="6" t="str">
        <f>IFERROR(__xludf.DUMMYFUNCTION("""COMPUTED_VALUE"""),"30-44")</f>
        <v>30-44</v>
      </c>
      <c r="AG1883" s="6"/>
      <c r="AH1883" s="6"/>
      <c r="AI1883" s="6"/>
      <c r="AJ1883" s="6"/>
      <c r="AK1883" s="6"/>
      <c r="AL1883" s="6"/>
      <c r="AM1883" s="6"/>
    </row>
    <row r="1884">
      <c r="A1884" s="6">
        <v>1883.0</v>
      </c>
      <c r="B1884" s="6" t="str">
        <f>IFERROR(__xludf.DUMMYFUNCTION("""COMPUTED_VALUE"""),"Работаю сисадмином")</f>
        <v>Работаю сисадмином</v>
      </c>
      <c r="C1884" s="6" t="str">
        <f>IFERROR(__xludf.DUMMYFUNCTION("""COMPUTED_VALUE"""),"Туризм, компьютерные игры")</f>
        <v>Туризм, компьютерные игры</v>
      </c>
      <c r="D1884" s="6" t="str">
        <f>IFERROR(__xludf.DUMMYFUNCTION("""COMPUTED_VALUE"""),"Ленинский")</f>
        <v>Ленинский</v>
      </c>
      <c r="E1884" s="6" t="str">
        <f>IFERROR(__xludf.DUMMYFUNCTION("""COMPUTED_VALUE"""),"Бульвар Строителей, Кузбасский парк")</f>
        <v>Бульвар Строителей, Кузбасский парк</v>
      </c>
      <c r="F1884" s="6" t="str">
        <f>IFERROR(__xludf.DUMMYFUNCTION("""COMPUTED_VALUE"""),"Живу здесь с рождения")</f>
        <v>Живу здесь с рождения</v>
      </c>
      <c r="G1884" s="6" t="str">
        <f>IFERROR(__xludf.DUMMYFUNCTION("""COMPUTED_VALUE"""),"Парки, кинотеатры")</f>
        <v>Парки, кинотеатры</v>
      </c>
      <c r="H1884" s="6" t="str">
        <f>IFERROR(__xludf.DUMMYFUNCTION("""COMPUTED_VALUE"""),"Кузбасс, уголь, Томь, шахтеры, столица")</f>
        <v>Кузбасс, уголь, Томь, шахтеры, столица</v>
      </c>
      <c r="I1884" s="6" t="str">
        <f>IFERROR(__xludf.DUMMYFUNCTION("""COMPUTED_VALUE"""),"Леонов, Волков, Михайлов")</f>
        <v>Леонов, Волков, Михайлов</v>
      </c>
      <c r="J1884" s="6" t="str">
        <f>IFERROR(__xludf.DUMMYFUNCTION("""COMPUTED_VALUE"""),"-")</f>
        <v>-</v>
      </c>
      <c r="K1884" s="6" t="str">
        <f>IFERROR(__xludf.DUMMYFUNCTION("""COMPUTED_VALUE"""),"Набережная, Томская писаница")</f>
        <v>Набережная, Томская писаница</v>
      </c>
      <c r="L1884" s="6" t="str">
        <f>IFERROR(__xludf.DUMMYFUNCTION("""COMPUTED_VALUE"""),"не знаю")</f>
        <v>не знаю</v>
      </c>
      <c r="M1884" s="6" t="str">
        <f>IFERROR(__xludf.DUMMYFUNCTION("""COMPUTED_VALUE"""),"не знаю")</f>
        <v>не знаю</v>
      </c>
      <c r="N1884" s="6" t="str">
        <f>IFERROR(__xludf.DUMMYFUNCTION("""COMPUTED_VALUE"""),"Чистота, удобный транспорт, зелень, благоустройство")</f>
        <v>Чистота, удобный транспорт, зелень, благоустройство</v>
      </c>
      <c r="O1884" s="6" t="str">
        <f>IFERROR(__xludf.DUMMYFUNCTION("""COMPUTED_VALUE"""),"Отреставрировать здания, починить дороги")</f>
        <v>Отреставрировать здания, починить дороги</v>
      </c>
      <c r="P1884" s="6" t="str">
        <f>IFERROR(__xludf.DUMMYFUNCTION("""COMPUTED_VALUE"""),"Группы ВК, радио")</f>
        <v>Группы ВК, радио</v>
      </c>
      <c r="Q1884"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884" s="6" t="str">
        <f>IFERROR(__xludf.DUMMYFUNCTION("""COMPUTED_VALUE"""),"нет таких")</f>
        <v>нет таких</v>
      </c>
      <c r="S1884" s="6" t="str">
        <f>IFERROR(__xludf.DUMMYFUNCTION("""COMPUTED_VALUE"""),"Писал и расклеивал объявления/афиши, Через социальные сети (Какие? Укажите в графе другое), Делал рассылку по электронной почте")</f>
        <v>Писал и расклеивал объявления/афиши, Через социальные сети (Какие? Укажите в графе другое), Делал рассылку по электронной почте</v>
      </c>
      <c r="T1884" s="6" t="str">
        <f>IFERROR(__xludf.DUMMYFUNCTION("""COMPUTED_VALUE"""),"Томская писаница")</f>
        <v>Томская писаница</v>
      </c>
      <c r="U1884" s="6" t="str">
        <f>IFERROR(__xludf.DUMMYFUNCTION("""COMPUTED_VALUE"""),"Площадь Советов")</f>
        <v>Площадь Советов</v>
      </c>
      <c r="V1884" s="6" t="str">
        <f>IFERROR(__xludf.DUMMYFUNCTION("""COMPUTED_VALUE"""),"не знаю")</f>
        <v>не знаю</v>
      </c>
      <c r="W1884" s="6" t="str">
        <f>IFERROR(__xludf.DUMMYFUNCTION("""COMPUTED_VALUE"""),"Трудолюбивые")</f>
        <v>Трудолюбивые</v>
      </c>
      <c r="X1884" s="6" t="str">
        <f>IFERROR(__xludf.DUMMYFUNCTION("""COMPUTED_VALUE"""),"Набережная - парк Антошка")</f>
        <v>Набережная - парк Антошка</v>
      </c>
      <c r="Y1884" s="6" t="str">
        <f>IFERROR(__xludf.DUMMYFUNCTION("""COMPUTED_VALUE"""),"не знаю")</f>
        <v>не знаю</v>
      </c>
      <c r="Z1884" s="6" t="str">
        <f>IFERROR(__xludf.DUMMYFUNCTION("""COMPUTED_VALUE"""),"-")</f>
        <v>-</v>
      </c>
      <c r="AA1884" s="6" t="str">
        <f>IFERROR(__xludf.DUMMYFUNCTION("""COMPUTED_VALUE"""),"-")</f>
        <v>-</v>
      </c>
      <c r="AB1884" s="6" t="str">
        <f>IFERROR(__xludf.DUMMYFUNCTION("""COMPUTED_VALUE"""),"Нормальных профсоюзов")</f>
        <v>Нормальных профсоюзов</v>
      </c>
      <c r="AC1884" s="6" t="str">
        <f>IFERROR(__xludf.DUMMYFUNCTION("""COMPUTED_VALUE"""),"-")</f>
        <v>-</v>
      </c>
      <c r="AD188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84" s="6" t="str">
        <f>IFERROR(__xludf.DUMMYFUNCTION("""COMPUTED_VALUE"""),"Мужской")</f>
        <v>Мужской</v>
      </c>
      <c r="AF1884" s="6" t="str">
        <f>IFERROR(__xludf.DUMMYFUNCTION("""COMPUTED_VALUE"""),"18-29")</f>
        <v>18-29</v>
      </c>
      <c r="AG1884" s="6"/>
      <c r="AH1884" s="6"/>
      <c r="AI1884" s="6"/>
      <c r="AJ1884" s="6"/>
      <c r="AK1884" s="6"/>
      <c r="AL1884" s="6"/>
      <c r="AM1884" s="6"/>
    </row>
    <row r="1885">
      <c r="A1885" s="6">
        <v>1884.0</v>
      </c>
      <c r="B1885" s="6" t="str">
        <f>IFERROR(__xludf.DUMMYFUNCTION("""COMPUTED_VALUE"""),"Студент")</f>
        <v>Студент</v>
      </c>
      <c r="C1885" s="6" t="str">
        <f>IFERROR(__xludf.DUMMYFUNCTION("""COMPUTED_VALUE"""),"Танцы")</f>
        <v>Танцы</v>
      </c>
      <c r="D1885" s="6" t="str">
        <f>IFERROR(__xludf.DUMMYFUNCTION("""COMPUTED_VALUE"""),"Ленинский")</f>
        <v>Ленинский</v>
      </c>
      <c r="E1885" s="6" t="str">
        <f>IFERROR(__xludf.DUMMYFUNCTION("""COMPUTED_VALUE"""),"Нету ")</f>
        <v>Нету </v>
      </c>
      <c r="F1885"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1885" s="6" t="str">
        <f>IFERROR(__xludf.DUMMYFUNCTION("""COMPUTED_VALUE"""),"Сосновый бор")</f>
        <v>Сосновый бор</v>
      </c>
      <c r="H1885" s="6" t="str">
        <f>IFERROR(__xludf.DUMMYFUNCTION("""COMPUTED_VALUE"""),"Сталиннки , Лес ,Томь , Рынок, Скука")</f>
        <v>Сталиннки , Лес ,Томь , Рынок, Скука</v>
      </c>
      <c r="I1885" s="6" t="str">
        <f>IFERROR(__xludf.DUMMYFUNCTION("""COMPUTED_VALUE"""),"....")</f>
        <v>....</v>
      </c>
      <c r="J1885" s="6" t="str">
        <f>IFERROR(__xludf.DUMMYFUNCTION("""COMPUTED_VALUE"""),"Елена Малышева")</f>
        <v>Елена Малышева</v>
      </c>
      <c r="K1885" s="6" t="str">
        <f>IFERROR(__xludf.DUMMYFUNCTION("""COMPUTED_VALUE"""),"Сосновый бор")</f>
        <v>Сосновый бор</v>
      </c>
      <c r="L1885" s="6" t="str">
        <f>IFERROR(__xludf.DUMMYFUNCTION("""COMPUTED_VALUE"""),"За нас , За вас и за Кузбасс")</f>
        <v>За нас , За вас и за Кузбасс</v>
      </c>
      <c r="M1885" s="6" t="str">
        <f>IFERROR(__xludf.DUMMYFUNCTION("""COMPUTED_VALUE"""),"Кировский")</f>
        <v>Кировский</v>
      </c>
      <c r="N1885" s="6" t="str">
        <f>IFERROR(__xludf.DUMMYFUNCTION("""COMPUTED_VALUE"""),"Озеленение ,Экология  , Развлечения , Опрятность фасадов , Дороги")</f>
        <v>Озеленение ,Экология  , Развлечения , Опрятность фасадов , Дороги</v>
      </c>
      <c r="O1885" s="6" t="str">
        <f>IFERROR(__xludf.DUMMYFUNCTION("""COMPUTED_VALUE"""),"Отреставрировать фасады зданий старых и Переоформить хрущёвки")</f>
        <v>Отреставрировать фасады зданий старых и Переоформить хрущёвки</v>
      </c>
      <c r="P1885" s="6" t="str">
        <f>IFERROR(__xludf.DUMMYFUNCTION("""COMPUTED_VALUE"""),"ВКонтакте")</f>
        <v>ВКонтакте</v>
      </c>
      <c r="Q1885" s="6" t="str">
        <f>IFERROR(__xludf.DUMMYFUNCTION("""COMPUTED_VALUE"""),"куда пойти в свободное время, культурные новинки (что почитать/что послушать), новости про новые профессии/куда поступать/вакансии")</f>
        <v>куда пойти в свободное время, культурные новинки (что почитать/что послушать), новости про новые профессии/куда поступать/вакансии</v>
      </c>
      <c r="R1885" s="6" t="str">
        <f>IFERROR(__xludf.DUMMYFUNCTION("""COMPUTED_VALUE"""),"Новые год")</f>
        <v>Новые год</v>
      </c>
      <c r="S1885" s="6" t="str">
        <f>IFERROR(__xludf.DUMMYFUNCTION("""COMPUTED_VALUE"""),"Нет, не приходилось")</f>
        <v>Нет, не приходилось</v>
      </c>
      <c r="T1885" s="6" t="str">
        <f>IFERROR(__xludf.DUMMYFUNCTION("""COMPUTED_VALUE"""),"Архитектура старых зданий")</f>
        <v>Архитектура старых зданий</v>
      </c>
      <c r="U1885" s="6" t="str">
        <f>IFERROR(__xludf.DUMMYFUNCTION("""COMPUTED_VALUE"""),"Драм театр")</f>
        <v>Драм театр</v>
      </c>
      <c r="V1885" s="6" t="str">
        <f>IFERROR(__xludf.DUMMYFUNCTION("""COMPUTED_VALUE"""),"Урьанистика города развивали")</f>
        <v>Урьанистика города развивали</v>
      </c>
      <c r="W1885" s="6" t="str">
        <f>IFERROR(__xludf.DUMMYFUNCTION("""COMPUTED_VALUE"""),"Хмурые и грубые")</f>
        <v>Хмурые и грубые</v>
      </c>
      <c r="X1885" s="6" t="str">
        <f>IFERROR(__xludf.DUMMYFUNCTION("""COMPUTED_VALUE"""),"Набережная")</f>
        <v>Набережная</v>
      </c>
      <c r="Y1885" s="6" t="str">
        <f>IFERROR(__xludf.DUMMYFUNCTION("""COMPUTED_VALUE"""),"Зимняя Вишня")</f>
        <v>Зимняя Вишня</v>
      </c>
      <c r="Z1885" s="6" t="str">
        <f>IFERROR(__xludf.DUMMYFUNCTION("""COMPUTED_VALUE"""),"Ремонт дорог")</f>
        <v>Ремонт дорог</v>
      </c>
      <c r="AA1885" s="6" t="str">
        <f>IFERROR(__xludf.DUMMYFUNCTION("""COMPUTED_VALUE"""),"Ремонт фасадов зданий")</f>
        <v>Ремонт фасадов зданий</v>
      </c>
      <c r="AB1885" s="6" t="str">
        <f>IFERROR(__xludf.DUMMYFUNCTION("""COMPUTED_VALUE"""),"ЛГБТ")</f>
        <v>ЛГБТ</v>
      </c>
      <c r="AC1885" s="6" t="str">
        <f>IFERROR(__xludf.DUMMYFUNCTION("""COMPUTED_VALUE"""),"Соревнования по реставрации зданий")</f>
        <v>Соревнования по реставрации зданий</v>
      </c>
      <c r="AD188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Запустить свой предпринимательский проект, организовать компанию.</v>
      </c>
      <c r="AE1885" s="6" t="str">
        <f>IFERROR(__xludf.DUMMYFUNCTION("""COMPUTED_VALUE"""),"Мужской")</f>
        <v>Мужской</v>
      </c>
      <c r="AF1885" s="6" t="str">
        <f>IFERROR(__xludf.DUMMYFUNCTION("""COMPUTED_VALUE"""),"18-29")</f>
        <v>18-29</v>
      </c>
      <c r="AG1885" s="6"/>
      <c r="AH1885" s="6"/>
      <c r="AI1885" s="6"/>
      <c r="AJ1885" s="6"/>
      <c r="AK1885" s="6"/>
      <c r="AL1885" s="6"/>
      <c r="AM1885" s="6"/>
    </row>
    <row r="1886">
      <c r="A1886" s="6">
        <v>1885.0</v>
      </c>
      <c r="B1886" s="6" t="str">
        <f>IFERROR(__xludf.DUMMYFUNCTION("""COMPUTED_VALUE"""),"Студент")</f>
        <v>Студент</v>
      </c>
      <c r="C1886" s="6" t="str">
        <f>IFERROR(__xludf.DUMMYFUNCTION("""COMPUTED_VALUE"""),"Рисование")</f>
        <v>Рисование</v>
      </c>
      <c r="D1886" s="6" t="str">
        <f>IFERROR(__xludf.DUMMYFUNCTION("""COMPUTED_VALUE"""),"Центральный")</f>
        <v>Центральный</v>
      </c>
      <c r="E1886" s="6" t="str">
        <f>IFERROR(__xludf.DUMMYFUNCTION("""COMPUTED_VALUE"""),"Набережная, парк Антошка")</f>
        <v>Набережная, парк Антошка</v>
      </c>
      <c r="F1886" s="6" t="str">
        <f>IFERROR(__xludf.DUMMYFUNCTION("""COMPUTED_VALUE"""),"Живу здесь с рождения")</f>
        <v>Живу здесь с рождения</v>
      </c>
      <c r="G1886" s="6" t="str">
        <f>IFERROR(__xludf.DUMMYFUNCTION("""COMPUTED_VALUE"""),"По настроению, нет постоянных мест")</f>
        <v>По настроению, нет постоянных мест</v>
      </c>
      <c r="H1886" s="6" t="str">
        <f>IFERROR(__xludf.DUMMYFUNCTION("""COMPUTED_VALUE"""),"Заводы, шахта, уголь, Кузбасс, Томь")</f>
        <v>Заводы, шахта, уголь, Кузбасс, Томь</v>
      </c>
      <c r="I1886" s="6" t="str">
        <f>IFERROR(__xludf.DUMMYFUNCTION("""COMPUTED_VALUE"""),"Михайло Волков, Леонов")</f>
        <v>Михайло Волков, Леонов</v>
      </c>
      <c r="J1886" s="6" t="str">
        <f>IFERROR(__xludf.DUMMYFUNCTION("""COMPUTED_VALUE"""),"Тулеев")</f>
        <v>Тулеев</v>
      </c>
      <c r="K1886" s="6" t="str">
        <f>IFERROR(__xludf.DUMMYFUNCTION("""COMPUTED_VALUE"""),"Красная горка, парк Ангелов, набережная")</f>
        <v>Красная горка, парк Ангелов, набережная</v>
      </c>
      <c r="L1886" s="6" t="str">
        <f>IFERROR(__xludf.DUMMYFUNCTION("""COMPUTED_VALUE"""),"не знаю")</f>
        <v>не знаю</v>
      </c>
      <c r="M1886" s="6" t="str">
        <f>IFERROR(__xludf.DUMMYFUNCTION("""COMPUTED_VALUE"""),"не знаю")</f>
        <v>не знаю</v>
      </c>
      <c r="N1886" s="6" t="str">
        <f>IFERROR(__xludf.DUMMYFUNCTION("""COMPUTED_VALUE"""),"Чистота и экология")</f>
        <v>Чистота и экология</v>
      </c>
      <c r="O1886" s="6" t="str">
        <f>IFERROR(__xludf.DUMMYFUNCTION("""COMPUTED_VALUE"""),"Экология")</f>
        <v>Экология</v>
      </c>
      <c r="P1886" s="6" t="str">
        <f>IFERROR(__xludf.DUMMYFUNCTION("""COMPUTED_VALUE"""),"Инстаграм, вк")</f>
        <v>Инстаграм, вк</v>
      </c>
      <c r="Q188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v>
      </c>
      <c r="R1886" s="6" t="str">
        <f>IFERROR(__xludf.DUMMYFUNCTION("""COMPUTED_VALUE"""),"никакие")</f>
        <v>никакие</v>
      </c>
      <c r="S1886" s="6" t="str">
        <f>IFERROR(__xludf.DUMMYFUNCTION("""COMPUTED_VALUE"""),"Делал рассылку по электронной почте")</f>
        <v>Делал рассылку по электронной почте</v>
      </c>
      <c r="T1886" s="6" t="str">
        <f>IFERROR(__xludf.DUMMYFUNCTION("""COMPUTED_VALUE"""),"Промышленность и уголь")</f>
        <v>Промышленность и уголь</v>
      </c>
      <c r="U1886" s="6" t="str">
        <f>IFERROR(__xludf.DUMMYFUNCTION("""COMPUTED_VALUE"""),"Площадь Советов")</f>
        <v>Площадь Советов</v>
      </c>
      <c r="V1886" s="6" t="str">
        <f>IFERROR(__xludf.DUMMYFUNCTION("""COMPUTED_VALUE"""),"не знаю")</f>
        <v>не знаю</v>
      </c>
      <c r="W1886" s="6" t="str">
        <f>IFERROR(__xludf.DUMMYFUNCTION("""COMPUTED_VALUE"""),"Закрытые, агрессивные")</f>
        <v>Закрытые, агрессивные</v>
      </c>
      <c r="X1886" s="6" t="str">
        <f>IFERROR(__xludf.DUMMYFUNCTION("""COMPUTED_VALUE"""),"Набережная, красная горка")</f>
        <v>Набережная, красная горка</v>
      </c>
      <c r="Y1886" s="6" t="str">
        <f>IFERROR(__xludf.DUMMYFUNCTION("""COMPUTED_VALUE"""),"трудно сказать")</f>
        <v>трудно сказать</v>
      </c>
      <c r="Z1886" s="6" t="str">
        <f>IFERROR(__xludf.DUMMYFUNCTION("""COMPUTED_VALUE"""),"ничего")</f>
        <v>ничего</v>
      </c>
      <c r="AA1886" s="6" t="str">
        <f>IFERROR(__xludf.DUMMYFUNCTION("""COMPUTED_VALUE"""),"Зимняя Вишня")</f>
        <v>Зимняя Вишня</v>
      </c>
      <c r="AB1886" s="6" t="str">
        <f>IFERROR(__xludf.DUMMYFUNCTION("""COMPUTED_VALUE"""),"Музыка, культура")</f>
        <v>Музыка, культура</v>
      </c>
      <c r="AC1886" s="6" t="str">
        <f>IFERROR(__xludf.DUMMYFUNCTION("""COMPUTED_VALUE"""),"-")</f>
        <v>-</v>
      </c>
      <c r="AD1886"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86" s="6" t="str">
        <f>IFERROR(__xludf.DUMMYFUNCTION("""COMPUTED_VALUE"""),"Женский")</f>
        <v>Женский</v>
      </c>
      <c r="AF1886" s="6" t="str">
        <f>IFERROR(__xludf.DUMMYFUNCTION("""COMPUTED_VALUE"""),"18-29")</f>
        <v>18-29</v>
      </c>
      <c r="AG1886" s="6"/>
      <c r="AH1886" s="6"/>
      <c r="AI1886" s="6"/>
      <c r="AJ1886" s="6"/>
      <c r="AK1886" s="6"/>
      <c r="AL1886" s="6"/>
      <c r="AM1886" s="6"/>
    </row>
    <row r="1887">
      <c r="A1887" s="6">
        <v>1886.0</v>
      </c>
      <c r="B1887" s="6" t="str">
        <f>IFERROR(__xludf.DUMMYFUNCTION("""COMPUTED_VALUE"""),"Образование")</f>
        <v>Образование</v>
      </c>
      <c r="C1887" s="6" t="str">
        <f>IFERROR(__xludf.DUMMYFUNCTION("""COMPUTED_VALUE"""),"Велопрогулки")</f>
        <v>Велопрогулки</v>
      </c>
      <c r="D1887" s="6" t="str">
        <f>IFERROR(__xludf.DUMMYFUNCTION("""COMPUTED_VALUE"""),"Южный")</f>
        <v>Южный</v>
      </c>
      <c r="E1887" s="6" t="str">
        <f>IFERROR(__xludf.DUMMYFUNCTION("""COMPUTED_VALUE"""),"Бульвар Патриотов")</f>
        <v>Бульвар Патриотов</v>
      </c>
      <c r="F1887" s="6" t="str">
        <f>IFERROR(__xludf.DUMMYFUNCTION("""COMPUTED_VALUE"""),"Живу здесь с рождения")</f>
        <v>Живу здесь с рождения</v>
      </c>
      <c r="G1887" s="6" t="str">
        <f>IFERROR(__xludf.DUMMYFUNCTION("""COMPUTED_VALUE"""),"Парки, кинотеатры, театры, рестораны")</f>
        <v>Парки, кинотеатры, театры, рестораны</v>
      </c>
      <c r="H1887" s="6" t="str">
        <f>IFERROR(__xludf.DUMMYFUNCTION("""COMPUTED_VALUE"""),"Заводы, шахты, усталость, запущенность, серость")</f>
        <v>Заводы, шахты, усталость, запущенность, серость</v>
      </c>
      <c r="I1887" s="6" t="str">
        <f>IFERROR(__xludf.DUMMYFUNCTION("""COMPUTED_VALUE"""),"Леонов, Мартемьянов, Подгорбунский, Бобров")</f>
        <v>Леонов, Мартемьянов, Подгорбунский, Бобров</v>
      </c>
      <c r="J1887" s="6" t="str">
        <f>IFERROR(__xludf.DUMMYFUNCTION("""COMPUTED_VALUE"""),"Тулеев")</f>
        <v>Тулеев</v>
      </c>
      <c r="K1887" s="6" t="str">
        <f>IFERROR(__xludf.DUMMYFUNCTION("""COMPUTED_VALUE"""),"Сердце шахтёра ")</f>
        <v>Сердце шахтёра </v>
      </c>
      <c r="L1887" s="6" t="str">
        <f>IFERROR(__xludf.DUMMYFUNCTION("""COMPUTED_VALUE"""),"Закрыли троих в газовую камеру, травили, открывают дверь, один сидит, смотрит. Спрашивают его: ""А ты как жив остался?"". Он отвечает: ""А я из Кемерово""")</f>
        <v>Закрыли троих в газовую камеру, травили, открывают дверь, один сидит, смотрит. Спрашивают его: "А ты как жив остался?". Он отвечает: "А я из Кемерово"</v>
      </c>
      <c r="M1887" s="6" t="str">
        <f>IFERROR(__xludf.DUMMYFUNCTION("""COMPUTED_VALUE"""),"Нет")</f>
        <v>Нет</v>
      </c>
      <c r="N1887" s="6" t="str">
        <f>IFERROR(__xludf.DUMMYFUNCTION("""COMPUTED_VALUE"""),"Хорошая экология, доступность медицины, развитая инфраструктура, доступность аренды транспорта (в том числе электросамокаты и велосипеды), наличие магазинов мировых брендов")</f>
        <v>Хорошая экология, доступность медицины, развитая инфраструктура, доступность аренды транспорта (в том числе электросамокаты и велосипеды), наличие магазинов мировых брендов</v>
      </c>
      <c r="O1887" s="6" t="str">
        <f>IFERROR(__xludf.DUMMYFUNCTION("""COMPUTED_VALUE"""),"Дороги, убрать мусор, снести бараки в центре и на окраинах")</f>
        <v>Дороги, убрать мусор, снести бараки в центре и на окраинах</v>
      </c>
      <c r="P1887" s="6" t="str">
        <f>IFERROR(__xludf.DUMMYFUNCTION("""COMPUTED_VALUE"""),"Афиша Кемерово, Instagram")</f>
        <v>Афиша Кемерово, Instagram</v>
      </c>
      <c r="Q188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887" s="6" t="str">
        <f>IFERROR(__xludf.DUMMYFUNCTION("""COMPUTED_VALUE"""),"День города")</f>
        <v>День города</v>
      </c>
      <c r="S1887" s="6" t="str">
        <f>IFERROR(__xludf.DUMMYFUNCTION("""COMPUTED_VALUE"""),"Нет, не приходилось")</f>
        <v>Нет, не приходилось</v>
      </c>
      <c r="T1887" s="6" t="str">
        <f>IFERROR(__xludf.DUMMYFUNCTION("""COMPUTED_VALUE"""),"Шахты")</f>
        <v>Шахты</v>
      </c>
      <c r="U1887" s="6" t="str">
        <f>IFERROR(__xludf.DUMMYFUNCTION("""COMPUTED_VALUE"""),"ЦУМ, площадь Волкова, улица Весенняя")</f>
        <v>ЦУМ, площадь Волкова, улица Весенняя</v>
      </c>
      <c r="V1887" s="6" t="str">
        <f>IFERROR(__xludf.DUMMYFUNCTION("""COMPUTED_VALUE"""),"Развивали промышленность,  строительство")</f>
        <v>Развивали промышленность,  строительство</v>
      </c>
      <c r="W1887" s="6" t="str">
        <f>IFERROR(__xludf.DUMMYFUNCTION("""COMPUTED_VALUE"""),"Трудоспособные, отзывчивые, внимательные к чужой беде")</f>
        <v>Трудоспособные, отзывчивые, внимательные к чужой беде</v>
      </c>
      <c r="X1887" s="6" t="str">
        <f>IFERROR(__xludf.DUMMYFUNCTION("""COMPUTED_VALUE"""),"Парк Ангелов, Весенняя, Кузнецкий мост, Сосновый бор")</f>
        <v>Парк Ангелов, Весенняя, Кузнецкий мост, Сосновый бор</v>
      </c>
      <c r="Y1887" s="6" t="str">
        <f>IFERROR(__xludf.DUMMYFUNCTION("""COMPUTED_VALUE"""),"Затрудняюсь ответить ")</f>
        <v>Затрудняюсь ответить </v>
      </c>
      <c r="Z1887" s="6" t="str">
        <f>IFERROR(__xludf.DUMMYFUNCTION("""COMPUTED_VALUE"""),"Разбили парк Ангелов")</f>
        <v>Разбили парк Ангелов</v>
      </c>
      <c r="AA1887" s="6" t="str">
        <f>IFERROR(__xludf.DUMMYFUNCTION("""COMPUTED_VALUE"""),"Перегибы с масочным режимом")</f>
        <v>Перегибы с масочным режимом</v>
      </c>
      <c r="AB1887" s="6" t="str">
        <f>IFERROR(__xludf.DUMMYFUNCTION("""COMPUTED_VALUE"""),"Театральных")</f>
        <v>Театральных</v>
      </c>
      <c r="AC1887" s="6" t="str">
        <f>IFERROR(__xludf.DUMMYFUNCTION("""COMPUTED_VALUE"""),"Концерты")</f>
        <v>Концерты</v>
      </c>
      <c r="AD1887" s="6" t="str">
        <f>IFERROR(__xludf.DUMMYFUNCTION("""COMPUTED_VALUE"""),"Участника: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887" s="6" t="str">
        <f>IFERROR(__xludf.DUMMYFUNCTION("""COMPUTED_VALUE"""),"Женский")</f>
        <v>Женский</v>
      </c>
      <c r="AF1887" s="6" t="str">
        <f>IFERROR(__xludf.DUMMYFUNCTION("""COMPUTED_VALUE"""),"18-29")</f>
        <v>18-29</v>
      </c>
      <c r="AG1887" s="6"/>
      <c r="AH1887" s="6"/>
      <c r="AI1887" s="6"/>
      <c r="AJ1887" s="6"/>
      <c r="AK1887" s="6"/>
      <c r="AL1887" s="6"/>
      <c r="AM1887" s="6"/>
    </row>
    <row r="1888">
      <c r="A1888" s="6">
        <v>1887.0</v>
      </c>
      <c r="B1888" s="6" t="str">
        <f>IFERROR(__xludf.DUMMYFUNCTION("""COMPUTED_VALUE"""),"работа в сфере IT")</f>
        <v>работа в сфере IT</v>
      </c>
      <c r="C1888" s="6" t="str">
        <f>IFERROR(__xludf.DUMMYFUNCTION("""COMPUTED_VALUE"""),"книги, музыка, путешествия")</f>
        <v>книги, музыка, путешествия</v>
      </c>
      <c r="D1888" s="6" t="str">
        <f>IFERROR(__xludf.DUMMYFUNCTION("""COMPUTED_VALUE"""),"центральный, центр")</f>
        <v>центральный, центр</v>
      </c>
      <c r="E1888" s="6" t="str">
        <f>IFERROR(__xludf.DUMMYFUNCTION("""COMPUTED_VALUE"""),"набережная, театр драмы, площадь советов")</f>
        <v>набережная, театр драмы, площадь советов</v>
      </c>
      <c r="F1888" s="6" t="str">
        <f>IFERROR(__xludf.DUMMYFUNCTION("""COMPUTED_VALUE"""),"Живу здесь с рождения")</f>
        <v>Живу здесь с рождения</v>
      </c>
      <c r="G1888" s="6" t="str">
        <f>IFERROR(__xludf.DUMMYFUNCTION("""COMPUTED_VALUE"""),"набережная, советский, весенняя, парк победы, горсад")</f>
        <v>набережная, советский, весенняя, парк победы, горсад</v>
      </c>
      <c r="H1888" s="6" t="str">
        <f>IFERROR(__xludf.DUMMYFUNCTION("""COMPUTED_VALUE"""),"родной, бор, уютный, компактный, хоккейный")</f>
        <v>родной, бор, уютный, компактный, хоккейный</v>
      </c>
      <c r="I1888" s="6" t="str">
        <f>IFERROR(__xludf.DUMMYFUNCTION("""COMPUTED_VALUE"""),"волков, рутгерс")</f>
        <v>волков, рутгерс</v>
      </c>
      <c r="J1888" s="6" t="str">
        <f>IFERROR(__xludf.DUMMYFUNCTION("""COMPUTED_VALUE"""),"гришковец")</f>
        <v>гришковец</v>
      </c>
      <c r="K1888" s="6" t="str">
        <f>IFERROR(__xludf.DUMMYFUNCTION("""COMPUTED_VALUE"""),"набережная, монумент память шахтерам Кузбасса, филармония, фонтан во дворе на арочной")</f>
        <v>набережная, монумент память шахтерам Кузбасса, филармония, фонтан во дворе на арочной</v>
      </c>
      <c r="L1888" s="6" t="str">
        <f>IFERROR(__xludf.DUMMYFUNCTION("""COMPUTED_VALUE"""),"затрудняюсь ответить")</f>
        <v>затрудняюсь ответить</v>
      </c>
      <c r="M1888" s="6" t="str">
        <f>IFERROR(__xludf.DUMMYFUNCTION("""COMPUTED_VALUE"""),"весенька, Шанхай")</f>
        <v>весенька, Шанхай</v>
      </c>
      <c r="N1888" s="6" t="str">
        <f>IFERROR(__xludf.DUMMYFUNCTION("""COMPUTED_VALUE"""),"хорошие дороги, чистый воздух, доступное жилье, развитая инфраструктура, активная музыкальная сцена")</f>
        <v>хорошие дороги, чистый воздух, доступное жилье, развитая инфраструктура, активная музыкальная сцена</v>
      </c>
      <c r="O1888" s="6" t="str">
        <f>IFERROR(__xludf.DUMMYFUNCTION("""COMPUTED_VALUE"""),"избавить от архитектурной разрозненности внутри одного района например")</f>
        <v>избавить от архитектурной разрозненности внутри одного района например</v>
      </c>
      <c r="P1888" s="6" t="str">
        <f>IFERROR(__xludf.DUMMYFUNCTION("""COMPUTED_VALUE"""),"вк, инстаграм")</f>
        <v>вк, инстаграм</v>
      </c>
      <c r="Q1888"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1888" s="6" t="str">
        <f>IFERROR(__xludf.DUMMYFUNCTION("""COMPUTED_VALUE"""),"день шахтера, 9 мая, новый год")</f>
        <v>день шахтера, 9 мая, новый год</v>
      </c>
      <c r="S1888" s="6" t="str">
        <f>IFERROR(__xludf.DUMMYFUNCTION("""COMPUTED_VALUE"""),"Нет, не приходилось")</f>
        <v>Нет, не приходилось</v>
      </c>
      <c r="T1888" s="6" t="str">
        <f>IFERROR(__xludf.DUMMYFUNCTION("""COMPUTED_VALUE"""),"своей историей и невероятно красивой набережной")</f>
        <v>своей историей и невероятно красивой набережной</v>
      </c>
      <c r="U1888" s="6" t="str">
        <f>IFERROR(__xludf.DUMMYFUNCTION("""COMPUTED_VALUE"""),"советский проспект")</f>
        <v>советский проспект</v>
      </c>
      <c r="V1888" s="6" t="str">
        <f>IFERROR(__xludf.DUMMYFUNCTION("""COMPUTED_VALUE"""),"построили новые районы, уникальная в своем роде ""Лесная поляна"", например")</f>
        <v>построили новые районы, уникальная в своем роде "Лесная поляна", например</v>
      </c>
      <c r="W1888" s="6" t="str">
        <f>IFERROR(__xludf.DUMMYFUNCTION("""COMPUTED_VALUE"""),"закрытые, сдержанные, хмурые работяги")</f>
        <v>закрытые, сдержанные, хмурые работяги</v>
      </c>
      <c r="X1888" s="6" t="str">
        <f>IFERROR(__xludf.DUMMYFUNCTION("""COMPUTED_VALUE"""),"советский проспект, набережная")</f>
        <v>советский проспект, набережная</v>
      </c>
      <c r="Y1888" s="6" t="str">
        <f>IFERROR(__xludf.DUMMYFUNCTION("""COMPUTED_VALUE"""),"чм по хоккею с мячом")</f>
        <v>чм по хоккею с мячом</v>
      </c>
      <c r="Z1888" s="6" t="str">
        <f>IFERROR(__xludf.DUMMYFUNCTION("""COMPUTED_VALUE"""),"концерт напротив лапландии")</f>
        <v>концерт напротив лапландии</v>
      </c>
      <c r="AA1888" s="6" t="str">
        <f>IFERROR(__xludf.DUMMYFUNCTION("""COMPUTED_VALUE"""),"зимняя вишня")</f>
        <v>зимняя вишня</v>
      </c>
      <c r="AB1888" s="6" t="str">
        <f>IFERROR(__xludf.DUMMYFUNCTION("""COMPUTED_VALUE"""),"музыкальных, аквапарка")</f>
        <v>музыкальных, аквапарка</v>
      </c>
      <c r="AC1888" s="6" t="str">
        <f>IFERROR(__xludf.DUMMYFUNCTION("""COMPUTED_VALUE"""),"хоккей с шайбой, футбол")</f>
        <v>хоккей с шайбой, футбол</v>
      </c>
      <c r="AD188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88" s="6" t="str">
        <f>IFERROR(__xludf.DUMMYFUNCTION("""COMPUTED_VALUE"""),"Мужской")</f>
        <v>Мужской</v>
      </c>
      <c r="AF1888" s="6" t="str">
        <f>IFERROR(__xludf.DUMMYFUNCTION("""COMPUTED_VALUE"""),"18-29")</f>
        <v>18-29</v>
      </c>
      <c r="AG1888" s="6"/>
      <c r="AH1888" s="6"/>
      <c r="AI1888" s="6"/>
      <c r="AJ1888" s="6"/>
      <c r="AK1888" s="6"/>
      <c r="AL1888" s="6"/>
      <c r="AM1888" s="6"/>
    </row>
    <row r="1889">
      <c r="A1889" s="6">
        <v>1888.0</v>
      </c>
      <c r="B1889" s="6" t="str">
        <f>IFERROR(__xludf.DUMMYFUNCTION("""COMPUTED_VALUE"""),"Инженер связи ")</f>
        <v>Инженер связи </v>
      </c>
      <c r="C1889" s="6" t="str">
        <f>IFERROR(__xludf.DUMMYFUNCTION("""COMPUTED_VALUE"""),"Работа в Goodline ")</f>
        <v>Работа в Goodline </v>
      </c>
      <c r="D1889" s="6" t="str">
        <f>IFERROR(__xludf.DUMMYFUNCTION("""COMPUTED_VALUE"""),"Заводской")</f>
        <v>Заводской</v>
      </c>
      <c r="E1889" s="6" t="str">
        <f>IFERROR(__xludf.DUMMYFUNCTION("""COMPUTED_VALUE"""),"Пар Ангелов ")</f>
        <v>Пар Ангелов </v>
      </c>
      <c r="F1889" s="6" t="str">
        <f>IFERROR(__xludf.DUMMYFUNCTION("""COMPUTED_VALUE"""),"Приехал с города Тайга")</f>
        <v>Приехал с города Тайга</v>
      </c>
      <c r="G1889" s="6" t="str">
        <f>IFERROR(__xludf.DUMMYFUNCTION("""COMPUTED_VALUE"""),"В Парк Ангелов")</f>
        <v>В Парк Ангелов</v>
      </c>
      <c r="H1889" s="6" t="str">
        <f>IFERROR(__xludf.DUMMYFUNCTION("""COMPUTED_VALUE"""),"Уголь, Природа, Томь, GoodLine, 2018.")</f>
        <v>Уголь, Природа, Томь, GoodLine, 2018.</v>
      </c>
      <c r="I1889" s="6" t="str">
        <f>IFERROR(__xludf.DUMMYFUNCTION("""COMPUTED_VALUE"""),"Незнаю")</f>
        <v>Незнаю</v>
      </c>
      <c r="J1889" s="6" t="str">
        <f>IFERROR(__xludf.DUMMYFUNCTION("""COMPUTED_VALUE"""),"Незнаю")</f>
        <v>Незнаю</v>
      </c>
      <c r="K1889" s="6" t="str">
        <f>IFERROR(__xludf.DUMMYFUNCTION("""COMPUTED_VALUE"""),"Парк Ангелов")</f>
        <v>Парк Ангелов</v>
      </c>
      <c r="L1889" s="6" t="str">
        <f>IFERROR(__xludf.DUMMYFUNCTION("""COMPUTED_VALUE"""),"Шахты ")</f>
        <v>Шахты </v>
      </c>
      <c r="M1889" s="6" t="str">
        <f>IFERROR(__xludf.DUMMYFUNCTION("""COMPUTED_VALUE"""),"Нет")</f>
        <v>Нет</v>
      </c>
      <c r="N1889" s="6" t="str">
        <f>IFERROR(__xludf.DUMMYFUNCTION("""COMPUTED_VALUE"""),"Незнаю")</f>
        <v>Незнаю</v>
      </c>
      <c r="O1889" s="6" t="str">
        <f>IFERROR(__xludf.DUMMYFUNCTION("""COMPUTED_VALUE"""),"Больше Парков, и чистые районы")</f>
        <v>Больше Парков, и чистые районы</v>
      </c>
      <c r="P1889" s="6" t="str">
        <f>IFERROR(__xludf.DUMMYFUNCTION("""COMPUTED_VALUE"""),"Vk")</f>
        <v>Vk</v>
      </c>
      <c r="Q1889" s="6" t="str">
        <f>IFERROR(__xludf.DUMMYFUNCTION("""COMPUTED_VALUE"""),"городская афиша (кино/театр/концерты)")</f>
        <v>городская афиша (кино/театр/концерты)</v>
      </c>
      <c r="R1889" s="6" t="str">
        <f>IFERROR(__xludf.DUMMYFUNCTION("""COMPUTED_VALUE"""),"День Города, День шахтёра ")</f>
        <v>День Города, День шахтёра </v>
      </c>
      <c r="S1889" s="6" t="str">
        <f>IFERROR(__xludf.DUMMYFUNCTION("""COMPUTED_VALUE"""),"Нет, не приходилось")</f>
        <v>Нет, не приходилось</v>
      </c>
      <c r="T1889" s="6" t="str">
        <f>IFERROR(__xludf.DUMMYFUNCTION("""COMPUTED_VALUE"""),"Парк Ангелов и то что это город шахтёров. Которому скоро исполнится 300лет")</f>
        <v>Парк Ангелов и то что это город шахтёров. Которому скоро исполнится 300лет</v>
      </c>
      <c r="U1889" s="6" t="str">
        <f>IFERROR(__xludf.DUMMYFUNCTION("""COMPUTED_VALUE"""),"Парк Ангелов")</f>
        <v>Парк Ангелов</v>
      </c>
      <c r="V1889" s="6" t="str">
        <f>IFERROR(__xludf.DUMMYFUNCTION("""COMPUTED_VALUE"""),"Незнаю ")</f>
        <v>Незнаю </v>
      </c>
      <c r="W1889" s="6" t="str">
        <f>IFERROR(__xludf.DUMMYFUNCTION("""COMPUTED_VALUE"""),"Незнаю ")</f>
        <v>Незнаю </v>
      </c>
      <c r="X1889" s="6" t="str">
        <f>IFERROR(__xludf.DUMMYFUNCTION("""COMPUTED_VALUE"""),"Притомская набережная ")</f>
        <v>Притомская набережная </v>
      </c>
      <c r="Y1889" s="6" t="str">
        <f>IFERROR(__xludf.DUMMYFUNCTION("""COMPUTED_VALUE"""),"Незнаю ")</f>
        <v>Незнаю </v>
      </c>
      <c r="Z1889" s="6" t="str">
        <f>IFERROR(__xludf.DUMMYFUNCTION("""COMPUTED_VALUE"""),"Открытия кадецкого корпуса ")</f>
        <v>Открытия кадецкого корпуса </v>
      </c>
      <c r="AA1889" s="6" t="str">
        <f>IFERROR(__xludf.DUMMYFUNCTION("""COMPUTED_VALUE"""),"Незнаю ")</f>
        <v>Незнаю </v>
      </c>
      <c r="AB1889" s="6" t="str">
        <f>IFERROR(__xludf.DUMMYFUNCTION("""COMPUTED_VALUE"""),"Игровых ")</f>
        <v>Игровых </v>
      </c>
      <c r="AC1889" s="6" t="str">
        <f>IFERROR(__xludf.DUMMYFUNCTION("""COMPUTED_VALUE"""),"Соревнования по видео играм ")</f>
        <v>Соревнования по видео играм </v>
      </c>
      <c r="AD188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89" s="6" t="str">
        <f>IFERROR(__xludf.DUMMYFUNCTION("""COMPUTED_VALUE"""),"Мужской")</f>
        <v>Мужской</v>
      </c>
      <c r="AF1889" s="6" t="str">
        <f>IFERROR(__xludf.DUMMYFUNCTION("""COMPUTED_VALUE"""),"18-29")</f>
        <v>18-29</v>
      </c>
      <c r="AG1889" s="6"/>
      <c r="AH1889" s="6"/>
      <c r="AI1889" s="6"/>
      <c r="AJ1889" s="6"/>
      <c r="AK1889" s="6"/>
      <c r="AL1889" s="6"/>
      <c r="AM1889" s="6"/>
    </row>
    <row r="1890">
      <c r="A1890" s="6">
        <v>1889.0</v>
      </c>
      <c r="B1890" s="6" t="str">
        <f>IFERROR(__xludf.DUMMYFUNCTION("""COMPUTED_VALUE"""),"Инженер связи ")</f>
        <v>Инженер связи </v>
      </c>
      <c r="C1890" s="6" t="str">
        <f>IFERROR(__xludf.DUMMYFUNCTION("""COMPUTED_VALUE"""),"Работа в Goodline ")</f>
        <v>Работа в Goodline </v>
      </c>
      <c r="D1890" s="6" t="str">
        <f>IFERROR(__xludf.DUMMYFUNCTION("""COMPUTED_VALUE"""),"Заводской")</f>
        <v>Заводской</v>
      </c>
      <c r="E1890" s="6" t="str">
        <f>IFERROR(__xludf.DUMMYFUNCTION("""COMPUTED_VALUE"""),"Пар Ангелов ")</f>
        <v>Пар Ангелов </v>
      </c>
      <c r="F1890" s="6" t="str">
        <f>IFERROR(__xludf.DUMMYFUNCTION("""COMPUTED_VALUE"""),"Приехал с города Тайга")</f>
        <v>Приехал с города Тайга</v>
      </c>
      <c r="G1890" s="6" t="str">
        <f>IFERROR(__xludf.DUMMYFUNCTION("""COMPUTED_VALUE"""),"В Парк Ангелов")</f>
        <v>В Парк Ангелов</v>
      </c>
      <c r="H1890" s="6" t="str">
        <f>IFERROR(__xludf.DUMMYFUNCTION("""COMPUTED_VALUE"""),"Уголь, Природа, Томь, GoodLine, 2018.")</f>
        <v>Уголь, Природа, Томь, GoodLine, 2018.</v>
      </c>
      <c r="I1890" s="6" t="str">
        <f>IFERROR(__xludf.DUMMYFUNCTION("""COMPUTED_VALUE"""),"Незнаю")</f>
        <v>Незнаю</v>
      </c>
      <c r="J1890" s="6" t="str">
        <f>IFERROR(__xludf.DUMMYFUNCTION("""COMPUTED_VALUE"""),"Незнаю")</f>
        <v>Незнаю</v>
      </c>
      <c r="K1890" s="6" t="str">
        <f>IFERROR(__xludf.DUMMYFUNCTION("""COMPUTED_VALUE"""),"Парк Ангелов")</f>
        <v>Парк Ангелов</v>
      </c>
      <c r="L1890" s="6" t="str">
        <f>IFERROR(__xludf.DUMMYFUNCTION("""COMPUTED_VALUE"""),"Шахты ")</f>
        <v>Шахты </v>
      </c>
      <c r="M1890" s="6" t="str">
        <f>IFERROR(__xludf.DUMMYFUNCTION("""COMPUTED_VALUE"""),"Нет")</f>
        <v>Нет</v>
      </c>
      <c r="N1890" s="6" t="str">
        <f>IFERROR(__xludf.DUMMYFUNCTION("""COMPUTED_VALUE"""),"Незнаю")</f>
        <v>Незнаю</v>
      </c>
      <c r="O1890" s="6" t="str">
        <f>IFERROR(__xludf.DUMMYFUNCTION("""COMPUTED_VALUE"""),"Больше Парков, и чистые районы")</f>
        <v>Больше Парков, и чистые районы</v>
      </c>
      <c r="P1890" s="6" t="str">
        <f>IFERROR(__xludf.DUMMYFUNCTION("""COMPUTED_VALUE"""),"Vk")</f>
        <v>Vk</v>
      </c>
      <c r="Q1890" s="6" t="str">
        <f>IFERROR(__xludf.DUMMYFUNCTION("""COMPUTED_VALUE"""),"городская афиша (кино/театр/концерты)")</f>
        <v>городская афиша (кино/театр/концерты)</v>
      </c>
      <c r="R1890" s="6" t="str">
        <f>IFERROR(__xludf.DUMMYFUNCTION("""COMPUTED_VALUE"""),"День Города, День шахтёра ")</f>
        <v>День Города, День шахтёра </v>
      </c>
      <c r="S1890" s="6" t="str">
        <f>IFERROR(__xludf.DUMMYFUNCTION("""COMPUTED_VALUE"""),"Нет, не приходилось")</f>
        <v>Нет, не приходилось</v>
      </c>
      <c r="T1890" s="6" t="str">
        <f>IFERROR(__xludf.DUMMYFUNCTION("""COMPUTED_VALUE"""),"Парк Ангелов и то что это город шахтёров. Которому скоро исполнится 300лет")</f>
        <v>Парк Ангелов и то что это город шахтёров. Которому скоро исполнится 300лет</v>
      </c>
      <c r="U1890" s="6" t="str">
        <f>IFERROR(__xludf.DUMMYFUNCTION("""COMPUTED_VALUE"""),"Парк Ангелов")</f>
        <v>Парк Ангелов</v>
      </c>
      <c r="V1890" s="6" t="str">
        <f>IFERROR(__xludf.DUMMYFUNCTION("""COMPUTED_VALUE"""),"Незнаю ")</f>
        <v>Незнаю </v>
      </c>
      <c r="W1890" s="6" t="str">
        <f>IFERROR(__xludf.DUMMYFUNCTION("""COMPUTED_VALUE"""),"Незнаю ")</f>
        <v>Незнаю </v>
      </c>
      <c r="X1890" s="6" t="str">
        <f>IFERROR(__xludf.DUMMYFUNCTION("""COMPUTED_VALUE"""),"Притомская набережная ")</f>
        <v>Притомская набережная </v>
      </c>
      <c r="Y1890" s="6" t="str">
        <f>IFERROR(__xludf.DUMMYFUNCTION("""COMPUTED_VALUE"""),"Незнаю ")</f>
        <v>Незнаю </v>
      </c>
      <c r="Z1890" s="6" t="str">
        <f>IFERROR(__xludf.DUMMYFUNCTION("""COMPUTED_VALUE"""),"Открытия кадецкого корпуса ")</f>
        <v>Открытия кадецкого корпуса </v>
      </c>
      <c r="AA1890" s="6" t="str">
        <f>IFERROR(__xludf.DUMMYFUNCTION("""COMPUTED_VALUE"""),"Незнаю ")</f>
        <v>Незнаю </v>
      </c>
      <c r="AB1890" s="6" t="str">
        <f>IFERROR(__xludf.DUMMYFUNCTION("""COMPUTED_VALUE"""),"Игровых ")</f>
        <v>Игровых </v>
      </c>
      <c r="AC1890" s="6" t="str">
        <f>IFERROR(__xludf.DUMMYFUNCTION("""COMPUTED_VALUE"""),"Соревнования по видео играм ")</f>
        <v>Соревнования по видео играм </v>
      </c>
      <c r="AD189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90" s="6" t="str">
        <f>IFERROR(__xludf.DUMMYFUNCTION("""COMPUTED_VALUE"""),"Мужской")</f>
        <v>Мужской</v>
      </c>
      <c r="AF1890" s="6" t="str">
        <f>IFERROR(__xludf.DUMMYFUNCTION("""COMPUTED_VALUE"""),"18-29")</f>
        <v>18-29</v>
      </c>
      <c r="AG1890" s="6"/>
      <c r="AH1890" s="6"/>
      <c r="AI1890" s="6"/>
      <c r="AJ1890" s="6"/>
      <c r="AK1890" s="6"/>
      <c r="AL1890" s="6"/>
      <c r="AM1890" s="6"/>
    </row>
    <row r="1891">
      <c r="A1891" s="6">
        <v>1890.0</v>
      </c>
      <c r="B1891" s="6" t="str">
        <f>IFERROR(__xludf.DUMMYFUNCTION("""COMPUTED_VALUE"""),"Инженер связи")</f>
        <v>Инженер связи</v>
      </c>
      <c r="C1891" s="6" t="str">
        <f>IFERROR(__xludf.DUMMYFUNCTION("""COMPUTED_VALUE"""),"Дота2")</f>
        <v>Дота2</v>
      </c>
      <c r="D1891" s="6" t="str">
        <f>IFERROR(__xludf.DUMMYFUNCTION("""COMPUTED_VALUE"""),"Ленинский")</f>
        <v>Ленинский</v>
      </c>
      <c r="E1891" s="6" t="str">
        <f>IFERROR(__xludf.DUMMYFUNCTION("""COMPUTED_VALUE"""),"Нету")</f>
        <v>Нету</v>
      </c>
      <c r="F1891" s="6" t="str">
        <f>IFERROR(__xludf.DUMMYFUNCTION("""COMPUTED_VALUE"""),"Живу здесь с рождения")</f>
        <v>Живу здесь с рождения</v>
      </c>
      <c r="G1891" s="6" t="str">
        <f>IFERROR(__xludf.DUMMYFUNCTION("""COMPUTED_VALUE"""),"На дачу")</f>
        <v>На дачу</v>
      </c>
      <c r="H1891" s="6" t="str">
        <f>IFERROR(__xludf.DUMMYFUNCTION("""COMPUTED_VALUE"""),"Грязный, грязный, неэкологичный, грязный, грязный")</f>
        <v>Грязный, грязный, неэкологичный, грязный, грязный</v>
      </c>
      <c r="I1891" s="6" t="str">
        <f>IFERROR(__xludf.DUMMYFUNCTION("""COMPUTED_VALUE"""),"Михайло волков, рутгерс, леонов")</f>
        <v>Михайло волков, рутгерс, леонов</v>
      </c>
      <c r="J1891" s="6" t="str">
        <f>IFERROR(__xludf.DUMMYFUNCTION("""COMPUTED_VALUE"""),"Нету")</f>
        <v>Нету</v>
      </c>
      <c r="K1891" s="6" t="str">
        <f>IFERROR(__xludf.DUMMYFUNCTION("""COMPUTED_VALUE"""),"Нету")</f>
        <v>Нету</v>
      </c>
      <c r="L1891" s="6" t="str">
        <f>IFERROR(__xludf.DUMMYFUNCTION("""COMPUTED_VALUE"""),"Нету")</f>
        <v>Нету</v>
      </c>
      <c r="M1891" s="6" t="str">
        <f>IFERROR(__xludf.DUMMYFUNCTION("""COMPUTED_VALUE"""),"Нет")</f>
        <v>Нет</v>
      </c>
      <c r="N1891" s="6" t="str">
        <f>IFERROR(__xludf.DUMMYFUNCTION("""COMPUTED_VALUE"""),"Хорошая экология, грамотные управленцы, чистота, красота, зарплата")</f>
        <v>Хорошая экология, грамотные управленцы, чистота, красота, зарплата</v>
      </c>
      <c r="O1891" s="6" t="str">
        <f>IFERROR(__xludf.DUMMYFUNCTION("""COMPUTED_VALUE"""),"Экология")</f>
        <v>Экология</v>
      </c>
      <c r="P1891" s="6" t="str">
        <f>IFERROR(__xludf.DUMMYFUNCTION("""COMPUTED_VALUE"""),"Неинтересно")</f>
        <v>Неинтересно</v>
      </c>
      <c r="Q1891" s="6" t="str">
        <f>IFERROR(__xludf.DUMMYFUNCTION("""COMPUTED_VALUE"""),"Неинтересно")</f>
        <v>Неинтересно</v>
      </c>
      <c r="R1891" s="6" t="str">
        <f>IFERROR(__xludf.DUMMYFUNCTION("""COMPUTED_VALUE"""),"Никакие")</f>
        <v>Никакие</v>
      </c>
      <c r="S1891" s="6" t="str">
        <f>IFERROR(__xludf.DUMMYFUNCTION("""COMPUTED_VALUE"""),"Нет, не приходилось")</f>
        <v>Нет, не приходилось</v>
      </c>
      <c r="T1891" s="6" t="str">
        <f>IFERROR(__xludf.DUMMYFUNCTION("""COMPUTED_VALUE"""),"Ничего")</f>
        <v>Ничего</v>
      </c>
      <c r="U1891" s="6" t="str">
        <f>IFERROR(__xludf.DUMMYFUNCTION("""COMPUTED_VALUE"""),"Улица кирова")</f>
        <v>Улица кирова</v>
      </c>
      <c r="V1891" s="6" t="str">
        <f>IFERROR(__xludf.DUMMYFUNCTION("""COMPUTED_VALUE"""),"Нет ответа")</f>
        <v>Нет ответа</v>
      </c>
      <c r="W1891" s="6" t="str">
        <f>IFERROR(__xludf.DUMMYFUNCTION("""COMPUTED_VALUE"""),"Обычные русские люди")</f>
        <v>Обычные русские люди</v>
      </c>
      <c r="X1891" s="6" t="str">
        <f>IFERROR(__xludf.DUMMYFUNCTION("""COMPUTED_VALUE"""),"Нет такого")</f>
        <v>Нет такого</v>
      </c>
      <c r="Y1891" s="6" t="str">
        <f>IFERROR(__xludf.DUMMYFUNCTION("""COMPUTED_VALUE"""),"Нет ответа")</f>
        <v>Нет ответа</v>
      </c>
      <c r="Z1891" s="6" t="str">
        <f>IFERROR(__xludf.DUMMYFUNCTION("""COMPUTED_VALUE"""),"Никакие, таких не было")</f>
        <v>Никакие, таких не было</v>
      </c>
      <c r="AA1891" s="6" t="str">
        <f>IFERROR(__xludf.DUMMYFUNCTION("""COMPUTED_VALUE"""),"Плохая экология, режим черного неба")</f>
        <v>Плохая экология, режим черного неба</v>
      </c>
      <c r="AB1891" s="6" t="str">
        <f>IFERROR(__xludf.DUMMYFUNCTION("""COMPUTED_VALUE"""),"Без разницы")</f>
        <v>Без разницы</v>
      </c>
      <c r="AC1891" s="6" t="str">
        <f>IFERROR(__xludf.DUMMYFUNCTION("""COMPUTED_VALUE"""),"Нет ответа")</f>
        <v>Нет ответа</v>
      </c>
      <c r="AD189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91" s="6" t="str">
        <f>IFERROR(__xludf.DUMMYFUNCTION("""COMPUTED_VALUE"""),"Мужской")</f>
        <v>Мужской</v>
      </c>
      <c r="AF1891" s="6" t="str">
        <f>IFERROR(__xludf.DUMMYFUNCTION("""COMPUTED_VALUE"""),"30-44")</f>
        <v>30-44</v>
      </c>
      <c r="AG1891" s="6"/>
      <c r="AH1891" s="6"/>
      <c r="AI1891" s="6"/>
      <c r="AJ1891" s="6"/>
      <c r="AK1891" s="6"/>
      <c r="AL1891" s="6"/>
      <c r="AM1891" s="6"/>
    </row>
    <row r="1892">
      <c r="A1892" s="6">
        <v>1891.0</v>
      </c>
      <c r="B1892" s="6" t="str">
        <f>IFERROR(__xludf.DUMMYFUNCTION("""COMPUTED_VALUE"""),"Телеком")</f>
        <v>Телеком</v>
      </c>
      <c r="C1892" s="6" t="str">
        <f>IFERROR(__xludf.DUMMYFUNCTION("""COMPUTED_VALUE"""),"Люблю кататься. На велосипеде, машине, самокате, на чем угодно, лишь бы оно ехало.")</f>
        <v>Люблю кататься. На велосипеде, машине, самокате, на чем угодно, лишь бы оно ехало.</v>
      </c>
      <c r="D1892" s="6" t="str">
        <f>IFERROR(__xludf.DUMMYFUNCTION("""COMPUTED_VALUE"""),"ФПК. Дальнее зажопье, ""Это были 90ые, мы строили как могли"", Курьерское чистилище.")</f>
        <v>ФПК. Дальнее зажопье, "Это были 90ые, мы строили как могли", Курьерское чистилище.</v>
      </c>
      <c r="E1892" s="6" t="str">
        <f>IFERROR(__xludf.DUMMYFUNCTION("""COMPUTED_VALUE"""),"Щегловский переулок с элитными многоуровневыми трущобами")</f>
        <v>Щегловский переулок с элитными многоуровневыми трущобами</v>
      </c>
      <c r="F1892" s="6" t="str">
        <f>IFERROR(__xludf.DUMMYFUNCTION("""COMPUTED_VALUE"""),"Переехал сюда из другого места (откуда? укажите в графе другое), Переехал учиться и не смог уехать")</f>
        <v>Переехал сюда из другого места (откуда? укажите в графе другое), Переехал учиться и не смог уехать</v>
      </c>
      <c r="G1892" s="6" t="str">
        <f>IFERROR(__xludf.DUMMYFUNCTION("""COMPUTED_VALUE"""),"Какое свободное время?")</f>
        <v>Какое свободное время?</v>
      </c>
      <c r="H1892" s="6" t="str">
        <f>IFERROR(__xludf.DUMMYFUNCTION("""COMPUTED_VALUE"""),"Промзона, заводы, хорошие дороги, столица региона")</f>
        <v>Промзона, заводы, хорошие дороги, столица региона</v>
      </c>
      <c r="I1892" s="6" t="str">
        <f>IFERROR(__xludf.DUMMYFUNCTION("""COMPUTED_VALUE"""),"Волков, Леонов")</f>
        <v>Волков, Леонов</v>
      </c>
      <c r="J1892" s="6" t="str">
        <f>IFERROR(__xludf.DUMMYFUNCTION("""COMPUTED_VALUE"""),".")</f>
        <v>.</v>
      </c>
      <c r="K1892" s="6" t="str">
        <f>IFERROR(__xludf.DUMMYFUNCTION("""COMPUTED_VALUE"""),"Парк ангелов, Площадь советов, Красная горка.")</f>
        <v>Парк ангелов, Площадь советов, Красная горка.</v>
      </c>
      <c r="L1892" s="6" t="str">
        <f>IFERROR(__xludf.DUMMYFUNCTION("""COMPUTED_VALUE"""),"Человек из Кемерово.")</f>
        <v>Человек из Кемерово.</v>
      </c>
      <c r="M1892" s="6" t="str">
        <f>IFERROR(__xludf.DUMMYFUNCTION("""COMPUTED_VALUE"""),"-До свидания, Кемерово. -Пошееел на**й")</f>
        <v>-До свидания, Кемерово. -Пошееел на**й</v>
      </c>
      <c r="N1892" s="6" t="str">
        <f>IFERROR(__xludf.DUMMYFUNCTION("""COMPUTED_VALUE"""),"Экология. Дороги. Инфраструктура. Архитектурная целостность в масштабах района, как минимум. Культура горожан.")</f>
        <v>Экология. Дороги. Инфраструктура. Архитектурная целостность в масштабах района, как минимум. Культура горожан.</v>
      </c>
      <c r="O1892" s="6" t="str">
        <f>IFERROR(__xludf.DUMMYFUNCTION("""COMPUTED_VALUE"""),"Экология.")</f>
        <v>Экология.</v>
      </c>
      <c r="P1892" s="6" t="str">
        <f>IFERROR(__xludf.DUMMYFUNCTION("""COMPUTED_VALUE"""),"ВК и Телеграм")</f>
        <v>ВК и Телеграм</v>
      </c>
      <c r="Q1892"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892" s="6" t="str">
        <f>IFERROR(__xludf.DUMMYFUNCTION("""COMPUTED_VALUE"""),"День шахтера")</f>
        <v>День шахтера</v>
      </c>
      <c r="S1892" s="6" t="str">
        <f>IFERROR(__xludf.DUMMYFUNCTION("""COMPUTED_VALUE"""),"Нет, не приходилось")</f>
        <v>Нет, не приходилось</v>
      </c>
      <c r="T1892" s="6" t="str">
        <f>IFERROR(__xludf.DUMMYFUNCTION("""COMPUTED_VALUE"""),"Уголь, Тулеев и Зимняя вишня. ")</f>
        <v>Уголь, Тулеев и Зимняя вишня. </v>
      </c>
      <c r="U1892" s="6" t="str">
        <f>IFERROR(__xludf.DUMMYFUNCTION("""COMPUTED_VALUE"""),"Советский проспект")</f>
        <v>Советский проспект</v>
      </c>
      <c r="V1892" s="6" t="str">
        <f>IFERROR(__xludf.DUMMYFUNCTION("""COMPUTED_VALUE"""),"Построили город во время войны.")</f>
        <v>Построили город во время войны.</v>
      </c>
      <c r="W1892" s="6" t="str">
        <f>IFERROR(__xludf.DUMMYFUNCTION("""COMPUTED_VALUE"""),"Слишком разные. От рода деятельности и района проживания зависит и характер, и мышление, и отношение к окружающим.")</f>
        <v>Слишком разные. От рода деятельности и района проживания зависит и характер, и мышление, и отношение к окружающим.</v>
      </c>
      <c r="X1892" s="6" t="str">
        <f>IFERROR(__xludf.DUMMYFUNCTION("""COMPUTED_VALUE"""),"Советский проспект.")</f>
        <v>Советский проспект.</v>
      </c>
      <c r="Y1892" s="6" t="str">
        <f>IFERROR(__xludf.DUMMYFUNCTION("""COMPUTED_VALUE"""),"Кемерово перестало быть Щегловкой")</f>
        <v>Кемерово перестало быть Щегловкой</v>
      </c>
      <c r="Z1892" s="6" t="str">
        <f>IFERROR(__xludf.DUMMYFUNCTION("""COMPUTED_VALUE"""),"Рок-фестиваль ""Герои мирового рока""")</f>
        <v>Рок-фестиваль "Герои мирового рока"</v>
      </c>
      <c r="AA1892" s="6" t="str">
        <f>IFERROR(__xludf.DUMMYFUNCTION("""COMPUTED_VALUE"""),"Регулярно жгут дорогие машины🤔")</f>
        <v>Регулярно жгут дорогие машины🤔</v>
      </c>
      <c r="AB1892" s="6" t="str">
        <f>IFERROR(__xludf.DUMMYFUNCTION("""COMPUTED_VALUE"""),".")</f>
        <v>.</v>
      </c>
      <c r="AC1892" s="6" t="str">
        <f>IFERROR(__xludf.DUMMYFUNCTION("""COMPUTED_VALUE"""),"Больше крупных событий, как ""Герои мирового рока""")</f>
        <v>Больше крупных событий, как "Герои мирового рока"</v>
      </c>
      <c r="AD189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892" s="6" t="str">
        <f>IFERROR(__xludf.DUMMYFUNCTION("""COMPUTED_VALUE"""),"Мужской")</f>
        <v>Мужской</v>
      </c>
      <c r="AF1892" s="6" t="str">
        <f>IFERROR(__xludf.DUMMYFUNCTION("""COMPUTED_VALUE"""),"18-29")</f>
        <v>18-29</v>
      </c>
      <c r="AG1892" s="6"/>
      <c r="AH1892" s="6"/>
      <c r="AI1892" s="6"/>
      <c r="AJ1892" s="6"/>
      <c r="AK1892" s="6"/>
      <c r="AL1892" s="6"/>
      <c r="AM1892" s="6"/>
    </row>
    <row r="1893">
      <c r="A1893" s="6">
        <v>1892.0</v>
      </c>
      <c r="B1893" s="6" t="str">
        <f>IFERROR(__xludf.DUMMYFUNCTION("""COMPUTED_VALUE"""),"Работаю")</f>
        <v>Работаю</v>
      </c>
      <c r="C1893" s="6" t="str">
        <f>IFERROR(__xludf.DUMMYFUNCTION("""COMPUTED_VALUE"""),"Спорт, street Workout ")</f>
        <v>Спорт, street Workout </v>
      </c>
      <c r="D1893" s="6" t="str">
        <f>IFERROR(__xludf.DUMMYFUNCTION("""COMPUTED_VALUE"""),"Заводской район, частник")</f>
        <v>Заводской район, частник</v>
      </c>
      <c r="E1893" s="6" t="str">
        <f>IFERROR(__xludf.DUMMYFUNCTION("""COMPUTED_VALUE"""),"Мототрек")</f>
        <v>Мототрек</v>
      </c>
      <c r="F1893" s="6" t="str">
        <f>IFERROR(__xludf.DUMMYFUNCTION("""COMPUTED_VALUE"""),"Живу здесь с рождения")</f>
        <v>Живу здесь с рождения</v>
      </c>
      <c r="G1893" s="6" t="str">
        <f>IFERROR(__xludf.DUMMYFUNCTION("""COMPUTED_VALUE"""),"Бульвар строителей зелёная площадка для воркаута")</f>
        <v>Бульвар строителей зелёная площадка для воркаута</v>
      </c>
      <c r="H1893" s="6" t="str">
        <f>IFERROR(__xludf.DUMMYFUNCTION("""COMPUTED_VALUE"""),"Грязь, быдло, алоши, наркоманы, чикаго")</f>
        <v>Грязь, быдло, алоши, наркоманы, чикаго</v>
      </c>
      <c r="I1893" s="6" t="str">
        <f>IFERROR(__xludf.DUMMYFUNCTION("""COMPUTED_VALUE"""),"Юра")</f>
        <v>Юра</v>
      </c>
      <c r="J1893" s="6" t="str">
        <f>IFERROR(__xludf.DUMMYFUNCTION("""COMPUTED_VALUE"""),"Владимир ")</f>
        <v>Владимир </v>
      </c>
      <c r="K1893" s="6" t="str">
        <f>IFERROR(__xludf.DUMMYFUNCTION("""COMPUTED_VALUE"""),"Рынок сотка")</f>
        <v>Рынок сотка</v>
      </c>
      <c r="L1893" s="6" t="str">
        <f>IFERROR(__xludf.DUMMYFUNCTION("""COMPUTED_VALUE"""),"Денег нет но вы держитесь")</f>
        <v>Денег нет но вы держитесь</v>
      </c>
      <c r="M1893" s="6" t="str">
        <f>IFERROR(__xludf.DUMMYFUNCTION("""COMPUTED_VALUE"""),"Аул")</f>
        <v>Аул</v>
      </c>
      <c r="N1893" s="6" t="str">
        <f>IFERROR(__xludf.DUMMYFUNCTION("""COMPUTED_VALUE"""),"Качественные спортивные площадки, адекватные люди, честные работодатели, чистота города, качественные дороги, набережная")</f>
        <v>Качественные спортивные площадки, адекватные люди, честные работодатели, чистота города, качественные дороги, набережная</v>
      </c>
      <c r="O1893" s="6" t="str">
        <f>IFERROR(__xludf.DUMMYFUNCTION("""COMPUTED_VALUE"""),"Частный сектор ")</f>
        <v>Частный сектор </v>
      </c>
      <c r="P1893" s="6" t="str">
        <f>IFERROR(__xludf.DUMMYFUNCTION("""COMPUTED_VALUE"""),"В интернете ")</f>
        <v>В интернете </v>
      </c>
      <c r="Q1893" s="6" t="str">
        <f>IFERROR(__xludf.DUMMYFUNCTION("""COMPUTED_VALUE"""),"культурные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1893" s="6" t="str">
        <f>IFERROR(__xludf.DUMMYFUNCTION("""COMPUTED_VALUE"""),"А они есть")</f>
        <v>А они есть</v>
      </c>
      <c r="S1893" s="6" t="str">
        <f>IFERROR(__xludf.DUMMYFUNCTION("""COMPUTED_VALUE"""),"Нет, не приходилось")</f>
        <v>Нет, не приходилось</v>
      </c>
      <c r="T1893" s="6" t="str">
        <f>IFERROR(__xludf.DUMMYFUNCTION("""COMPUTED_VALUE"""),"Уголь и трагедия с зимней вишней ")</f>
        <v>Уголь и трагедия с зимней вишней </v>
      </c>
      <c r="U1893" s="6" t="str">
        <f>IFERROR(__xludf.DUMMYFUNCTION("""COMPUTED_VALUE"""),"Администрация города ")</f>
        <v>Администрация города </v>
      </c>
      <c r="V1893" s="6" t="str">
        <f>IFERROR(__xludf.DUMMYFUNCTION("""COMPUTED_VALUE"""),"Добыча угля")</f>
        <v>Добыча угля</v>
      </c>
      <c r="W1893" s="6" t="str">
        <f>IFERROR(__xludf.DUMMYFUNCTION("""COMPUTED_VALUE"""),"Мало хороших людей в целом одно быдло да свиньи ")</f>
        <v>Мало хороших людей в целом одно быдло да свиньи </v>
      </c>
      <c r="X1893" s="6" t="str">
        <f>IFERROR(__xludf.DUMMYFUNCTION("""COMPUTED_VALUE"""),"Набережная")</f>
        <v>Набережная</v>
      </c>
      <c r="Y1893" s="6" t="str">
        <f>IFERROR(__xludf.DUMMYFUNCTION("""COMPUTED_VALUE"""),"Рок концерт")</f>
        <v>Рок концерт</v>
      </c>
      <c r="Z1893" s="6" t="str">
        <f>IFERROR(__xludf.DUMMYFUNCTION("""COMPUTED_VALUE"""),"Кавид ")</f>
        <v>Кавид </v>
      </c>
      <c r="AA1893" s="6" t="str">
        <f>IFERROR(__xludf.DUMMYFUNCTION("""COMPUTED_VALUE"""),"Кавид")</f>
        <v>Кавид</v>
      </c>
      <c r="AB1893" s="6" t="str">
        <f>IFERROR(__xludf.DUMMYFUNCTION("""COMPUTED_VALUE"""),"Спортивно массовых")</f>
        <v>Спортивно массовых</v>
      </c>
      <c r="AC1893" s="6" t="str">
        <f>IFERROR(__xludf.DUMMYFUNCTION("""COMPUTED_VALUE"""),"Спортивно массовых")</f>
        <v>Спортивно массовых</v>
      </c>
      <c r="AD189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893" s="6" t="str">
        <f>IFERROR(__xludf.DUMMYFUNCTION("""COMPUTED_VALUE"""),"Мужской")</f>
        <v>Мужской</v>
      </c>
      <c r="AF1893" s="6" t="str">
        <f>IFERROR(__xludf.DUMMYFUNCTION("""COMPUTED_VALUE"""),"30-44")</f>
        <v>30-44</v>
      </c>
      <c r="AG1893" s="6"/>
      <c r="AH1893" s="6"/>
      <c r="AI1893" s="6"/>
      <c r="AJ1893" s="6"/>
      <c r="AK1893" s="6"/>
      <c r="AL1893" s="6"/>
      <c r="AM1893" s="6"/>
    </row>
    <row r="1894">
      <c r="A1894" s="6">
        <v>1893.0</v>
      </c>
      <c r="B1894" s="6" t="str">
        <f>IFERROR(__xludf.DUMMYFUNCTION("""COMPUTED_VALUE"""),"Работаю")</f>
        <v>Работаю</v>
      </c>
      <c r="C1894" s="6" t="str">
        <f>IFERROR(__xludf.DUMMYFUNCTION("""COMPUTED_VALUE"""),"Спорт, street Workout ")</f>
        <v>Спорт, street Workout </v>
      </c>
      <c r="D1894" s="6" t="str">
        <f>IFERROR(__xludf.DUMMYFUNCTION("""COMPUTED_VALUE"""),"Заводской район, частник")</f>
        <v>Заводской район, частник</v>
      </c>
      <c r="E1894" s="6" t="str">
        <f>IFERROR(__xludf.DUMMYFUNCTION("""COMPUTED_VALUE"""),"Мототрек")</f>
        <v>Мототрек</v>
      </c>
      <c r="F1894" s="6" t="str">
        <f>IFERROR(__xludf.DUMMYFUNCTION("""COMPUTED_VALUE"""),"Живу здесь с рождения")</f>
        <v>Живу здесь с рождения</v>
      </c>
      <c r="G1894" s="6" t="str">
        <f>IFERROR(__xludf.DUMMYFUNCTION("""COMPUTED_VALUE"""),"Бульвар строителей зелёная площадка для воркаута")</f>
        <v>Бульвар строителей зелёная площадка для воркаута</v>
      </c>
      <c r="H1894" s="6" t="str">
        <f>IFERROR(__xludf.DUMMYFUNCTION("""COMPUTED_VALUE"""),"Грязь, быдло, алоши, наркоманы, чикаго")</f>
        <v>Грязь, быдло, алоши, наркоманы, чикаго</v>
      </c>
      <c r="I1894" s="6" t="str">
        <f>IFERROR(__xludf.DUMMYFUNCTION("""COMPUTED_VALUE"""),"Юра")</f>
        <v>Юра</v>
      </c>
      <c r="J1894" s="6" t="str">
        <f>IFERROR(__xludf.DUMMYFUNCTION("""COMPUTED_VALUE"""),"Владимир ")</f>
        <v>Владимир </v>
      </c>
      <c r="K1894" s="6" t="str">
        <f>IFERROR(__xludf.DUMMYFUNCTION("""COMPUTED_VALUE"""),"Рынок сотка")</f>
        <v>Рынок сотка</v>
      </c>
      <c r="L1894" s="6" t="str">
        <f>IFERROR(__xludf.DUMMYFUNCTION("""COMPUTED_VALUE"""),"Денег нет но вы держитесь")</f>
        <v>Денег нет но вы держитесь</v>
      </c>
      <c r="M1894" s="6" t="str">
        <f>IFERROR(__xludf.DUMMYFUNCTION("""COMPUTED_VALUE"""),"Аул")</f>
        <v>Аул</v>
      </c>
      <c r="N1894" s="6" t="str">
        <f>IFERROR(__xludf.DUMMYFUNCTION("""COMPUTED_VALUE"""),"Качественные спортивные площадки, адекватные люди, честные работодатели, чистота города, качественные дороги, набережная")</f>
        <v>Качественные спортивные площадки, адекватные люди, честные работодатели, чистота города, качественные дороги, набережная</v>
      </c>
      <c r="O1894" s="6" t="str">
        <f>IFERROR(__xludf.DUMMYFUNCTION("""COMPUTED_VALUE"""),"Частный сектор ")</f>
        <v>Частный сектор </v>
      </c>
      <c r="P1894" s="6" t="str">
        <f>IFERROR(__xludf.DUMMYFUNCTION("""COMPUTED_VALUE"""),"В интернете ")</f>
        <v>В интернете </v>
      </c>
      <c r="Q1894" s="6" t="str">
        <f>IFERROR(__xludf.DUMMYFUNCTION("""COMPUTED_VALUE"""),"культурные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1894" s="6" t="str">
        <f>IFERROR(__xludf.DUMMYFUNCTION("""COMPUTED_VALUE"""),"А они есть")</f>
        <v>А они есть</v>
      </c>
      <c r="S1894" s="6" t="str">
        <f>IFERROR(__xludf.DUMMYFUNCTION("""COMPUTED_VALUE"""),"Нет, не приходилось")</f>
        <v>Нет, не приходилось</v>
      </c>
      <c r="T1894" s="6" t="str">
        <f>IFERROR(__xludf.DUMMYFUNCTION("""COMPUTED_VALUE"""),"Уголь и трагедия с зимней вишней ")</f>
        <v>Уголь и трагедия с зимней вишней </v>
      </c>
      <c r="U1894" s="6" t="str">
        <f>IFERROR(__xludf.DUMMYFUNCTION("""COMPUTED_VALUE"""),"Администрация города ")</f>
        <v>Администрация города </v>
      </c>
      <c r="V1894" s="6" t="str">
        <f>IFERROR(__xludf.DUMMYFUNCTION("""COMPUTED_VALUE"""),"Добыча угля")</f>
        <v>Добыча угля</v>
      </c>
      <c r="W1894" s="6" t="str">
        <f>IFERROR(__xludf.DUMMYFUNCTION("""COMPUTED_VALUE"""),"Мало хороших людей в целом одно быдло да свиньи ")</f>
        <v>Мало хороших людей в целом одно быдло да свиньи </v>
      </c>
      <c r="X1894" s="6" t="str">
        <f>IFERROR(__xludf.DUMMYFUNCTION("""COMPUTED_VALUE"""),"Набережная")</f>
        <v>Набережная</v>
      </c>
      <c r="Y1894" s="6" t="str">
        <f>IFERROR(__xludf.DUMMYFUNCTION("""COMPUTED_VALUE"""),"Рок концерт")</f>
        <v>Рок концерт</v>
      </c>
      <c r="Z1894" s="6" t="str">
        <f>IFERROR(__xludf.DUMMYFUNCTION("""COMPUTED_VALUE"""),"Кавид ")</f>
        <v>Кавид </v>
      </c>
      <c r="AA1894" s="6" t="str">
        <f>IFERROR(__xludf.DUMMYFUNCTION("""COMPUTED_VALUE"""),"Кавид")</f>
        <v>Кавид</v>
      </c>
      <c r="AB1894" s="6" t="str">
        <f>IFERROR(__xludf.DUMMYFUNCTION("""COMPUTED_VALUE"""),"Спортивно массовых")</f>
        <v>Спортивно массовых</v>
      </c>
      <c r="AC1894" s="6" t="str">
        <f>IFERROR(__xludf.DUMMYFUNCTION("""COMPUTED_VALUE"""),"Спортивно массовых")</f>
        <v>Спортивно массовых</v>
      </c>
      <c r="AD189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894" s="6" t="str">
        <f>IFERROR(__xludf.DUMMYFUNCTION("""COMPUTED_VALUE"""),"Мужской")</f>
        <v>Мужской</v>
      </c>
      <c r="AF1894" s="6" t="str">
        <f>IFERROR(__xludf.DUMMYFUNCTION("""COMPUTED_VALUE"""),"30-44")</f>
        <v>30-44</v>
      </c>
      <c r="AG1894" s="6"/>
      <c r="AH1894" s="6"/>
      <c r="AI1894" s="6"/>
      <c r="AJ1894" s="6"/>
      <c r="AK1894" s="6"/>
      <c r="AL1894" s="6"/>
      <c r="AM1894" s="6"/>
    </row>
    <row r="1895">
      <c r="A1895" s="6">
        <v>1894.0</v>
      </c>
      <c r="B1895" s="6" t="str">
        <f>IFERROR(__xludf.DUMMYFUNCTION("""COMPUTED_VALUE"""),"Работаю")</f>
        <v>Работаю</v>
      </c>
      <c r="C1895" s="6" t="str">
        <f>IFERROR(__xludf.DUMMYFUNCTION("""COMPUTED_VALUE"""),"Спорт, street Workout ")</f>
        <v>Спорт, street Workout </v>
      </c>
      <c r="D1895" s="6" t="str">
        <f>IFERROR(__xludf.DUMMYFUNCTION("""COMPUTED_VALUE"""),"Заводской район, частник")</f>
        <v>Заводской район, частник</v>
      </c>
      <c r="E1895" s="6" t="str">
        <f>IFERROR(__xludf.DUMMYFUNCTION("""COMPUTED_VALUE"""),"Мототрек")</f>
        <v>Мототрек</v>
      </c>
      <c r="F1895" s="6" t="str">
        <f>IFERROR(__xludf.DUMMYFUNCTION("""COMPUTED_VALUE"""),"Живу здесь с рождения")</f>
        <v>Живу здесь с рождения</v>
      </c>
      <c r="G1895" s="6" t="str">
        <f>IFERROR(__xludf.DUMMYFUNCTION("""COMPUTED_VALUE"""),"Бульвар строителей зелёная площадка для воркаута")</f>
        <v>Бульвар строителей зелёная площадка для воркаута</v>
      </c>
      <c r="H1895" s="6" t="str">
        <f>IFERROR(__xludf.DUMMYFUNCTION("""COMPUTED_VALUE"""),"Грязь, быдло, алоши, наркоманы, чикаго")</f>
        <v>Грязь, быдло, алоши, наркоманы, чикаго</v>
      </c>
      <c r="I1895" s="6" t="str">
        <f>IFERROR(__xludf.DUMMYFUNCTION("""COMPUTED_VALUE"""),"Юра")</f>
        <v>Юра</v>
      </c>
      <c r="J1895" s="6" t="str">
        <f>IFERROR(__xludf.DUMMYFUNCTION("""COMPUTED_VALUE"""),"Владимир ")</f>
        <v>Владимир </v>
      </c>
      <c r="K1895" s="6" t="str">
        <f>IFERROR(__xludf.DUMMYFUNCTION("""COMPUTED_VALUE"""),"Рынок сотка")</f>
        <v>Рынок сотка</v>
      </c>
      <c r="L1895" s="6" t="str">
        <f>IFERROR(__xludf.DUMMYFUNCTION("""COMPUTED_VALUE"""),"Денег нет но вы держитесь")</f>
        <v>Денег нет но вы держитесь</v>
      </c>
      <c r="M1895" s="6" t="str">
        <f>IFERROR(__xludf.DUMMYFUNCTION("""COMPUTED_VALUE"""),"Аул")</f>
        <v>Аул</v>
      </c>
      <c r="N1895" s="6" t="str">
        <f>IFERROR(__xludf.DUMMYFUNCTION("""COMPUTED_VALUE"""),"Качественные спортивные площадки, адекватные люди, честные работодатели, чистота города, качественные дороги, набережная")</f>
        <v>Качественные спортивные площадки, адекватные люди, честные работодатели, чистота города, качественные дороги, набережная</v>
      </c>
      <c r="O1895" s="6" t="str">
        <f>IFERROR(__xludf.DUMMYFUNCTION("""COMPUTED_VALUE"""),"Частный сектор ")</f>
        <v>Частный сектор </v>
      </c>
      <c r="P1895" s="6" t="str">
        <f>IFERROR(__xludf.DUMMYFUNCTION("""COMPUTED_VALUE"""),"В интернете ")</f>
        <v>В интернете </v>
      </c>
      <c r="Q1895" s="6" t="str">
        <f>IFERROR(__xludf.DUMMYFUNCTION("""COMPUTED_VALUE"""),"культурные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f>
        <v>культурные новинки (что почитать/что послушать), бизнес-новости (средний чек/рекламные акции/запуск новых предприятий), результаты местных исследований (рейтинги/аналитика/тенденции)</v>
      </c>
      <c r="R1895" s="6" t="str">
        <f>IFERROR(__xludf.DUMMYFUNCTION("""COMPUTED_VALUE"""),"А они есть")</f>
        <v>А они есть</v>
      </c>
      <c r="S1895" s="6" t="str">
        <f>IFERROR(__xludf.DUMMYFUNCTION("""COMPUTED_VALUE"""),"Нет, не приходилось")</f>
        <v>Нет, не приходилось</v>
      </c>
      <c r="T1895" s="6" t="str">
        <f>IFERROR(__xludf.DUMMYFUNCTION("""COMPUTED_VALUE"""),"Уголь и трагедия с зимней вишней ")</f>
        <v>Уголь и трагедия с зимней вишней </v>
      </c>
      <c r="U1895" s="6" t="str">
        <f>IFERROR(__xludf.DUMMYFUNCTION("""COMPUTED_VALUE"""),"Администрация города ")</f>
        <v>Администрация города </v>
      </c>
      <c r="V1895" s="6" t="str">
        <f>IFERROR(__xludf.DUMMYFUNCTION("""COMPUTED_VALUE"""),"Добыча угля")</f>
        <v>Добыча угля</v>
      </c>
      <c r="W1895" s="6" t="str">
        <f>IFERROR(__xludf.DUMMYFUNCTION("""COMPUTED_VALUE"""),"Мало хороших людей в целом одно быдло да свиньи ")</f>
        <v>Мало хороших людей в целом одно быдло да свиньи </v>
      </c>
      <c r="X1895" s="6" t="str">
        <f>IFERROR(__xludf.DUMMYFUNCTION("""COMPUTED_VALUE"""),"Набережная")</f>
        <v>Набережная</v>
      </c>
      <c r="Y1895" s="6" t="str">
        <f>IFERROR(__xludf.DUMMYFUNCTION("""COMPUTED_VALUE"""),"Рок концерт")</f>
        <v>Рок концерт</v>
      </c>
      <c r="Z1895" s="6" t="str">
        <f>IFERROR(__xludf.DUMMYFUNCTION("""COMPUTED_VALUE"""),"Кавид ")</f>
        <v>Кавид </v>
      </c>
      <c r="AA1895" s="6" t="str">
        <f>IFERROR(__xludf.DUMMYFUNCTION("""COMPUTED_VALUE"""),"Кавид")</f>
        <v>Кавид</v>
      </c>
      <c r="AB1895" s="6" t="str">
        <f>IFERROR(__xludf.DUMMYFUNCTION("""COMPUTED_VALUE"""),"Спортивно массовых")</f>
        <v>Спортивно массовых</v>
      </c>
      <c r="AC1895" s="6" t="str">
        <f>IFERROR(__xludf.DUMMYFUNCTION("""COMPUTED_VALUE"""),"Спортивно массовых")</f>
        <v>Спортивно массовых</v>
      </c>
      <c r="AD189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895" s="6" t="str">
        <f>IFERROR(__xludf.DUMMYFUNCTION("""COMPUTED_VALUE"""),"Мужской")</f>
        <v>Мужской</v>
      </c>
      <c r="AF1895" s="6" t="str">
        <f>IFERROR(__xludf.DUMMYFUNCTION("""COMPUTED_VALUE"""),"30-44")</f>
        <v>30-44</v>
      </c>
      <c r="AG1895" s="6"/>
      <c r="AH1895" s="6"/>
      <c r="AI1895" s="6"/>
      <c r="AJ1895" s="6"/>
      <c r="AK1895" s="6"/>
      <c r="AL1895" s="6"/>
      <c r="AM1895" s="6"/>
    </row>
    <row r="1896">
      <c r="A1896" s="6">
        <v>1895.0</v>
      </c>
      <c r="B1896" s="6" t="str">
        <f>IFERROR(__xludf.DUMMYFUNCTION("""COMPUTED_VALUE"""),"Работаю")</f>
        <v>Работаю</v>
      </c>
      <c r="C1896" s="6" t="str">
        <f>IFERROR(__xludf.DUMMYFUNCTION("""COMPUTED_VALUE"""),"Прогулки, туризм")</f>
        <v>Прогулки, туризм</v>
      </c>
      <c r="D1896" s="6" t="str">
        <f>IFERROR(__xludf.DUMMYFUNCTION("""COMPUTED_VALUE"""),"Центральный, центр, советский")</f>
        <v>Центральный, центр, советский</v>
      </c>
      <c r="E1896" s="6" t="str">
        <f>IFERROR(__xludf.DUMMYFUNCTION("""COMPUTED_VALUE"""),"Набережная, площадь, парк Жукова")</f>
        <v>Набережная, площадь, парк Жукова</v>
      </c>
      <c r="F1896"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896" s="6" t="str">
        <f>IFERROR(__xludf.DUMMYFUNCTION("""COMPUTED_VALUE"""),"Набережная, парк Жукова, просто по городу")</f>
        <v>Набережная, парк Жукова, просто по городу</v>
      </c>
      <c r="H1896" s="6" t="str">
        <f>IFERROR(__xludf.DUMMYFUNCTION("""COMPUTED_VALUE"""),"Уголь, колба, ""чё"", Томь, смог")</f>
        <v>Уголь, колба, "чё", Томь, смог</v>
      </c>
      <c r="I1896" s="6" t="str">
        <f>IFERROR(__xludf.DUMMYFUNCTION("""COMPUTED_VALUE"""),"Леонов, Тулеев, Звягинцев")</f>
        <v>Леонов, Тулеев, Звягинцев</v>
      </c>
      <c r="J1896" s="6" t="str">
        <f>IFERROR(__xludf.DUMMYFUNCTION("""COMPUTED_VALUE"""),"Тулеев")</f>
        <v>Тулеев</v>
      </c>
      <c r="K1896" s="6" t="str">
        <f>IFERROR(__xludf.DUMMYFUNCTION("""COMPUTED_VALUE"""),"Парк Чудес, памятник шахтерам на красной горке")</f>
        <v>Парк Чудес, памятник шахтерам на красной горке</v>
      </c>
      <c r="L1896" s="6" t="str">
        <f>IFERROR(__xludf.DUMMYFUNCTION("""COMPUTED_VALUE"""),"Не знаю")</f>
        <v>Не знаю</v>
      </c>
      <c r="M1896" s="6" t="str">
        <f>IFERROR(__xludf.DUMMYFUNCTION("""COMPUTED_VALUE"""),"Колба, ""че хотели""")</f>
        <v>Колба, "че хотели"</v>
      </c>
      <c r="N1896" s="6" t="str">
        <f>IFERROR(__xludf.DUMMYFUNCTION("""COMPUTED_VALUE"""),"Чистота, высокий уровень сервисности и вежливости в сфере услуг  чистый воздух, больше зелени, газификация, чистка снега своевременно и полноценно (!) ")</f>
        <v>Чистота, высокий уровень сервисности и вежливости в сфере услуг  чистый воздух, больше зелени, газификация, чистка снега своевременно и полноценно (!) </v>
      </c>
      <c r="O1896" s="6" t="str">
        <f>IFERROR(__xludf.DUMMYFUNCTION("""COMPUTED_VALUE"""),"Ограничить химические выбросы с предприятий, газификация частного сектора, правила чистки и вывоза снега")</f>
        <v>Ограничить химические выбросы с предприятий, газификация частного сектора, правила чистки и вывоза снега</v>
      </c>
      <c r="P1896" s="6" t="str">
        <f>IFERROR(__xludf.DUMMYFUNCTION("""COMPUTED_VALUE"""),"Вк, инстаграм, коллеги")</f>
        <v>Вк, инстаграм, коллеги</v>
      </c>
      <c r="Q1896" s="6" t="str">
        <f>IFERROR(__xludf.DUMMYFUNCTION("""COMPUTED_VALUE"""),"куда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f>
        <v>куда пойти в свободное время, где вкусно поесть/открытие новых кафе/ресторанов, городская афиша (кино/театр/концерты), криминальные новости (происшествия/преступления)</v>
      </c>
      <c r="R1896" s="6" t="str">
        <f>IFERROR(__xludf.DUMMYFUNCTION("""COMPUTED_VALUE"""),"День Победы, День города")</f>
        <v>День Победы, День города</v>
      </c>
      <c r="S1896" s="6" t="str">
        <f>IFERROR(__xludf.DUMMYFUNCTION("""COMPUTED_VALUE"""),"Нет, не приходилось")</f>
        <v>Нет, не приходилось</v>
      </c>
      <c r="T1896" s="6" t="str">
        <f>IFERROR(__xludf.DUMMYFUNCTION("""COMPUTED_VALUE"""),"Углем. Уникального не нахожу ")</f>
        <v>Углем. Уникального не нахожу </v>
      </c>
      <c r="U1896" s="6" t="str">
        <f>IFERROR(__xludf.DUMMYFUNCTION("""COMPUTED_VALUE"""),"Площадь Советов")</f>
        <v>Площадь Советов</v>
      </c>
      <c r="V1896" s="6" t="str">
        <f>IFERROR(__xludf.DUMMYFUNCTION("""COMPUTED_VALUE"""),"Ничего особенного не знаю")</f>
        <v>Ничего особенного не знаю</v>
      </c>
      <c r="W1896" s="6" t="str">
        <f>IFERROR(__xludf.DUMMYFUNCTION("""COMPUTED_VALUE"""),"Медлительные, грубоватые порой, сильно простые")</f>
        <v>Медлительные, грубоватые порой, сильно простые</v>
      </c>
      <c r="X1896" s="6" t="str">
        <f>IFERROR(__xludf.DUMMYFUNCTION("""COMPUTED_VALUE"""),"Центр города")</f>
        <v>Центр города</v>
      </c>
      <c r="Y1896" s="6" t="str">
        <f>IFERROR(__xludf.DUMMYFUNCTION("""COMPUTED_VALUE"""),"100 летие Кемерова")</f>
        <v>100 летие Кемерова</v>
      </c>
      <c r="Z1896" s="6" t="str">
        <f>IFERROR(__xludf.DUMMYFUNCTION("""COMPUTED_VALUE"""),"Рок фестиваль 2019 года")</f>
        <v>Рок фестиваль 2019 года</v>
      </c>
      <c r="AA1896" s="6" t="str">
        <f>IFERROR(__xludf.DUMMYFUNCTION("""COMPUTED_VALUE"""),"Не знаю")</f>
        <v>Не знаю</v>
      </c>
      <c r="AB1896" s="6" t="str">
        <f>IFERROR(__xludf.DUMMYFUNCTION("""COMPUTED_VALUE"""),"Сразу и не вспоминается")</f>
        <v>Сразу и не вспоминается</v>
      </c>
      <c r="AC1896" s="6" t="str">
        <f>IFERROR(__xludf.DUMMYFUNCTION("""COMPUTED_VALUE"""),"Спорт для всех")</f>
        <v>Спорт для всех</v>
      </c>
      <c r="AD189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896" s="6" t="str">
        <f>IFERROR(__xludf.DUMMYFUNCTION("""COMPUTED_VALUE"""),"Женский")</f>
        <v>Женский</v>
      </c>
      <c r="AF1896" s="6" t="str">
        <f>IFERROR(__xludf.DUMMYFUNCTION("""COMPUTED_VALUE"""),"30-44")</f>
        <v>30-44</v>
      </c>
      <c r="AG1896" s="6"/>
      <c r="AH1896" s="6"/>
      <c r="AI1896" s="6"/>
      <c r="AJ1896" s="6"/>
      <c r="AK1896" s="6"/>
      <c r="AL1896" s="6"/>
      <c r="AM1896" s="6"/>
    </row>
    <row r="1897">
      <c r="A1897" s="6">
        <v>1896.0</v>
      </c>
      <c r="B1897" s="6" t="str">
        <f>IFERROR(__xludf.DUMMYFUNCTION("""COMPUTED_VALUE"""),"служащий")</f>
        <v>служащий</v>
      </c>
      <c r="C1897" s="6" t="str">
        <f>IFERROR(__xludf.DUMMYFUNCTION("""COMPUTED_VALUE"""),"горы, тайга, собаки")</f>
        <v>горы, тайга, собаки</v>
      </c>
      <c r="D1897" s="6" t="str">
        <f>IFERROR(__xludf.DUMMYFUNCTION("""COMPUTED_VALUE"""),"Заводский - ""Соцгород""")</f>
        <v>Заводский - "Соцгород"</v>
      </c>
      <c r="E1897" s="6" t="str">
        <f>IFERROR(__xludf.DUMMYFUNCTION("""COMPUTED_VALUE"""),"Областная научная библиотека, ""Фёдоровка""")</f>
        <v>Областная научная библиотека, "Фёдоровка"</v>
      </c>
      <c r="F1897" s="6" t="str">
        <f>IFERROR(__xludf.DUMMYFUNCTION("""COMPUTED_VALUE"""),"Живу здесь с рождения")</f>
        <v>Живу здесь с рождения</v>
      </c>
      <c r="G1897" s="6" t="str">
        <f>IFERROR(__xludf.DUMMYFUNCTION("""COMPUTED_VALUE"""),"лес, , бор, набережная Томи (берега в пригороде)")</f>
        <v>лес, , бор, набережная Томи (берега в пригороде)</v>
      </c>
      <c r="H1897" s="6" t="str">
        <f>IFERROR(__xludf.DUMMYFUNCTION("""COMPUTED_VALUE"""),"Сосновый бор, Красная Горка, Алексей Леонов, Томь, Щегловск ")</f>
        <v>Сосновый бор, Красная Горка, Алексей Леонов, Томь, Щегловск </v>
      </c>
      <c r="I1897" s="6" t="str">
        <f>IFERROR(__xludf.DUMMYFUNCTION("""COMPUTED_VALUE"""),"Ван Лохем, Алексей Леонов, Пётр Чихачев, Михайло Волков, Геннадий Юров ")</f>
        <v>Ван Лохем, Алексей Леонов, Пётр Чихачев, Михайло Волков, Геннадий Юров </v>
      </c>
      <c r="J1897" s="6" t="str">
        <f>IFERROR(__xludf.DUMMYFUNCTION("""COMPUTED_VALUE"""),"Владимир Михайлов, Георгий Корницкий, Юрий Захаров, Евгений Гришковец ")</f>
        <v>Владимир Михайлов, Георгий Корницкий, Юрий Захаров, Евгений Гришковец </v>
      </c>
      <c r="K1897" s="6" t="str">
        <f>IFERROR(__xludf.DUMMYFUNCTION("""COMPUTED_VALUE"""),"Красная Горка, Притомская набережная, Парк ангелов, площадь Волкова, Ботанический сад (новый)")</f>
        <v>Красная Горка, Притомская набережная, Парк ангелов, площадь Волкова, Ботанический сад (новый)</v>
      </c>
      <c r="L1897" s="6" t="str">
        <f>IFERROR(__xludf.DUMMYFUNCTION("""COMPUTED_VALUE"""),"как молодой Тулеев пешком ходил на работу из Шалготарьяна на площадь Советов, а люди с ним здоровались")</f>
        <v>как молодой Тулеев пешком ходил на работу из Шалготарьяна на площадь Советов, а люди с ним здоровались</v>
      </c>
      <c r="M1897" s="6" t="str">
        <f>IFERROR(__xludf.DUMMYFUNCTION("""COMPUTED_VALUE"""),"нет")</f>
        <v>нет</v>
      </c>
      <c r="N1897" s="6" t="str">
        <f>IFERROR(__xludf.DUMMYFUNCTION("""COMPUTED_VALUE"""),"наличие тихих пешеходных зон, чистота на улицах, зелёные пояса (скверы, парки, аллеи), места для отдыха с детьми, чистый воздух")</f>
        <v>наличие тихих пешеходных зон, чистота на улицах, зелёные пояса (скверы, парки, аллеи), места для отдыха с детьми, чистый воздух</v>
      </c>
      <c r="O1897" s="6" t="str">
        <f>IFERROR(__xludf.DUMMYFUNCTION("""COMPUTED_VALUE"""),"закрыть улицы-бульвары (Весенняя, Строителей, Коммунистическая и др.) для автотранспорта в вечерние часы или в выходные; соблюдать чистоту улиц (тротуаров), особенно около магазинов, салонов и т.д.; массово поменять бордюры, их состояние - основной источн"&amp;"ик грязи на улицах (вода с землёй бежит верхом); вывести из эксплуатации дизельные автобусы; огромный ресурс - набережная (-ые) по всей Искитимке; массовые спортивные соревнования open-air (эстафеты, велогонки, парады ретро-автомобилей, духовых оркестров,"&amp;" купание ""моржей"" на Красном с Лизой Пономарёвой и т.д.).    ")</f>
        <v>закрыть улицы-бульвары (Весенняя, Строителей, Коммунистическая и др.) для автотранспорта в вечерние часы или в выходные; соблюдать чистоту улиц (тротуаров), особенно около магазинов, салонов и т.д.; массово поменять бордюры, их состояние - основной источник грязи на улицах (вода с землёй бежит верхом); вывести из эксплуатации дизельные автобусы; огромный ресурс - набережная (-ые) по всей Искитимке; массовые спортивные соревнования open-air (эстафеты, велогонки, парады ретро-автомобилей, духовых оркестров, купание "моржей" на Красном с Лизой Пономарёвой и т.д.).    </v>
      </c>
      <c r="P1897" s="6" t="str">
        <f>IFERROR(__xludf.DUMMYFUNCTION("""COMPUTED_VALUE"""),"A42, сайты филармонии и Областной научной библиотеки")</f>
        <v>A42, сайты филармонии и Областной научной библиотеки</v>
      </c>
      <c r="Q1897" s="6" t="str">
        <f>IFERROR(__xludf.DUMMYFUNCTION("""COMPUTED_VALUE"""),"культурные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f>
        <v>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1897" s="6" t="str">
        <f>IFERROR(__xludf.DUMMYFUNCTION("""COMPUTED_VALUE"""),"Масленица")</f>
        <v>Масленица</v>
      </c>
      <c r="S1897" s="6" t="str">
        <f>IFERROR(__xludf.DUMMYFUNCTION("""COMPUTED_VALUE"""),"участвовал в организации")</f>
        <v>участвовал в организации</v>
      </c>
      <c r="T1897" s="6" t="str">
        <f>IFERROR(__xludf.DUMMYFUNCTION("""COMPUTED_VALUE"""),"Сосновый бор, Красная Горка, Томь, Алексей Леонов")</f>
        <v>Сосновый бор, Красная Горка, Томь, Алексей Леонов</v>
      </c>
      <c r="U1897" s="6" t="str">
        <f>IFERROR(__xludf.DUMMYFUNCTION("""COMPUTED_VALUE"""),"Притомская набережная, филармония/часовня, парк Жукова")</f>
        <v>Притомская набережная, филармония/часовня, парк Жукова</v>
      </c>
      <c r="V1897" s="6" t="str">
        <f>IFERROR(__xludf.DUMMYFUNCTION("""COMPUTED_VALUE"""),"построили красивый уютный город :)")</f>
        <v>построили красивый уютный город :)</v>
      </c>
      <c r="W1897" s="6" t="str">
        <f>IFERROR(__xludf.DUMMYFUNCTION("""COMPUTED_VALUE"""),"дружелюбные, открытые, с юмором, всегда готовые помочь")</f>
        <v>дружелюбные, открытые, с юмором, всегда готовые помочь</v>
      </c>
      <c r="X1897" s="6" t="str">
        <f>IFERROR(__xludf.DUMMYFUNCTION("""COMPUTED_VALUE"""),"Притомская набережная - Красная Горка - ДК шахтёров; если пешая: Притомская набережная - часовня у филармонии - парк Жуков - лица Весенняя - драмтеатр ")</f>
        <v>Притомская набережная - Красная Горка - ДК шахтёров; если пешая: Притомская набережная - часовня у филармонии - парк Жуков - лица Весенняя - драмтеатр </v>
      </c>
      <c r="Y1897" s="6" t="str">
        <f>IFERROR(__xludf.DUMMYFUNCTION("""COMPUTED_VALUE"""),"деятельность АИК-Кузбасс")</f>
        <v>деятельность АИК-Кузбасс</v>
      </c>
      <c r="Z1897" s="6" t="str">
        <f>IFERROR(__xludf.DUMMYFUNCTION("""COMPUTED_VALUE"""),"не помню таких")</f>
        <v>не помню таких</v>
      </c>
      <c r="AA1897" s="6" t="str">
        <f>IFERROR(__xludf.DUMMYFUNCTION("""COMPUTED_VALUE"""),"постоянные ДТП с пешеходами, особенно детьми")</f>
        <v>постоянные ДТП с пешеходами, особенно детьми</v>
      </c>
      <c r="AB1897" s="6" t="str">
        <f>IFERROR(__xludf.DUMMYFUNCTION("""COMPUTED_VALUE"""),"я сам себе сообщество")</f>
        <v>я сам себе сообщество</v>
      </c>
      <c r="AC1897" s="6" t="str">
        <f>IFERROR(__xludf.DUMMYFUNCTION("""COMPUTED_VALUE"""),"больше уличных мероприятий, особенно активных, семьями ")</f>
        <v>больше уличных мероприятий, особенно активных, семьями </v>
      </c>
      <c r="AD1897" s="6" t="str">
        <f>IFERROR(__xludf.DUMMYFUNCTION("""COMPUTED_VALUE"""),"Профессионала.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тема сохранения"&amp;" и укрепления своего здоровья")</f>
        <v>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тема сохранения и укрепления своего здоровья</v>
      </c>
      <c r="AE1897" s="6" t="str">
        <f>IFERROR(__xludf.DUMMYFUNCTION("""COMPUTED_VALUE"""),"Мужской")</f>
        <v>Мужской</v>
      </c>
      <c r="AF1897" s="6" t="str">
        <f>IFERROR(__xludf.DUMMYFUNCTION("""COMPUTED_VALUE"""),"старше 55")</f>
        <v>старше 55</v>
      </c>
      <c r="AG1897" s="6"/>
      <c r="AH1897" s="6"/>
      <c r="AI1897" s="6"/>
      <c r="AJ1897" s="6"/>
      <c r="AK1897" s="6"/>
      <c r="AL1897" s="6"/>
      <c r="AM1897" s="6"/>
    </row>
    <row r="1898">
      <c r="A1898" s="6">
        <v>1897.0</v>
      </c>
      <c r="B1898" s="6" t="str">
        <f>IFERROR(__xludf.DUMMYFUNCTION("""COMPUTED_VALUE"""),"Работаю экономистом. Предприниматель.")</f>
        <v>Работаю экономистом. Предприниматель.</v>
      </c>
      <c r="C1898" s="6" t="str">
        <f>IFERROR(__xludf.DUMMYFUNCTION("""COMPUTED_VALUE"""),"Биржевые операции")</f>
        <v>Биржевые операции</v>
      </c>
      <c r="D1898" s="6" t="str">
        <f>IFERROR(__xludf.DUMMYFUNCTION("""COMPUTED_VALUE"""),"ФПК")</f>
        <v>ФПК</v>
      </c>
      <c r="E1898" s="6" t="str">
        <f>IFERROR(__xludf.DUMMYFUNCTION("""COMPUTED_VALUE"""),"ТЦ Гринвич")</f>
        <v>ТЦ Гринвич</v>
      </c>
      <c r="F1898" s="6" t="str">
        <f>IFERROR(__xludf.DUMMYFUNCTION("""COMPUTED_VALUE"""),"Живу здесь с рождения")</f>
        <v>Живу здесь с рождения</v>
      </c>
      <c r="G1898" s="6" t="str">
        <f>IFERROR(__xludf.DUMMYFUNCTION("""COMPUTED_VALUE"""),"Набережная, Центр города, парки")</f>
        <v>Набережная, Центр города, парки</v>
      </c>
      <c r="H1898" s="6" t="str">
        <f>IFERROR(__xludf.DUMMYFUNCTION("""COMPUTED_VALUE"""),"Серость, пыль, загазованность, промышленность, уголь")</f>
        <v>Серость, пыль, загазованность, промышленность, уголь</v>
      </c>
      <c r="I1898" s="6" t="str">
        <f>IFERROR(__xludf.DUMMYFUNCTION("""COMPUTED_VALUE"""),"Академик Чихачев, Алексей Леонов, Михайло Волков")</f>
        <v>Академик Чихачев, Алексей Леонов, Михайло Волков</v>
      </c>
      <c r="J1898" s="6" t="str">
        <f>IFERROR(__xludf.DUMMYFUNCTION("""COMPUTED_VALUE"""),"Владимир Михайлов, Борис Горобцов")</f>
        <v>Владимир Михайлов, Борис Горобцов</v>
      </c>
      <c r="K1898" s="6" t="str">
        <f>IFERROR(__xludf.DUMMYFUNCTION("""COMPUTED_VALUE"""),"Лесная поляна")</f>
        <v>Лесная поляна</v>
      </c>
      <c r="L1898" s="6" t="str">
        <f>IFERROR(__xludf.DUMMYFUNCTION("""COMPUTED_VALUE"""),"Когда из КузГТУ выйдет выпускница-девственница, памятник Михайло Волкову уронет камень из рук.  ")</f>
        <v>Когда из КузГТУ выйдет выпускница-девственница, памятник Михайло Волкову уронет камень из рук.  </v>
      </c>
      <c r="M1898" s="6" t="str">
        <f>IFERROR(__xludf.DUMMYFUNCTION("""COMPUTED_VALUE"""),"Мультифора, Мультикасса")</f>
        <v>Мультифора, Мультикасса</v>
      </c>
      <c r="N1898" s="6" t="str">
        <f>IFERROR(__xludf.DUMMYFUNCTION("""COMPUTED_VALUE"""),"Чистота, отсутствие авто в городе свыше 3,5т, коммунальные службы всегда справляются с задачами вовремя")</f>
        <v>Чистота, отсутствие авто в городе свыше 3,5т, коммунальные службы всегда справляются с задачами вовремя</v>
      </c>
      <c r="O1898" s="6" t="str">
        <f>IFERROR(__xludf.DUMMYFUNCTION("""COMPUTED_VALUE"""),"Перераспределить финансовые потоки")</f>
        <v>Перераспределить финансовые потоки</v>
      </c>
      <c r="P1898" s="6" t="str">
        <f>IFERROR(__xludf.DUMMYFUNCTION("""COMPUTED_VALUE"""),"Профильные группы в ВК, ресурс а42")</f>
        <v>Профильные группы в ВК, ресурс а42</v>
      </c>
      <c r="Q1898" s="6" t="str">
        <f>IFERROR(__xludf.DUMMYFUNCTION("""COMPUTED_VALUE"""),"интервью с местными предпринимателями, криминальные новости (происшествия/преступления), фотоподборки по разным темам")</f>
        <v>интервью с местными предпринимателями, криминальные новости (происшествия/преступления), фотоподборки по разным темам</v>
      </c>
      <c r="R1898" s="6" t="str">
        <f>IFERROR(__xludf.DUMMYFUNCTION("""COMPUTED_VALUE"""),"9 мая")</f>
        <v>9 мая</v>
      </c>
      <c r="S1898" s="6" t="str">
        <f>IFERROR(__xludf.DUMMYFUNCTION("""COMPUTED_VALUE"""),"Нет, не приходилось")</f>
        <v>Нет, не приходилось</v>
      </c>
      <c r="T1898" s="6" t="str">
        <f>IFERROR(__xludf.DUMMYFUNCTION("""COMPUTED_VALUE"""),"Столица Кузнецкого Бассейна. Один их грязнейших городов. Лидер по количеству болеющих ВИЧ")</f>
        <v>Столица Кузнецкого Бассейна. Один их грязнейших городов. Лидер по количеству болеющих ВИЧ</v>
      </c>
      <c r="U1898" s="6" t="str">
        <f>IFERROR(__xludf.DUMMYFUNCTION("""COMPUTED_VALUE"""),"Набережная")</f>
        <v>Набережная</v>
      </c>
      <c r="V1898" s="6" t="str">
        <f>IFERROR(__xludf.DUMMYFUNCTION("""COMPUTED_VALUE"""),"Долгое время был самый широкий мост через реку за Уралом.")</f>
        <v>Долгое время был самый широкий мост через реку за Уралом.</v>
      </c>
      <c r="W1898" s="6" t="str">
        <f>IFERROR(__xludf.DUMMYFUNCTION("""COMPUTED_VALUE"""),"Пофигизм, отсутствие среднего класса.")</f>
        <v>Пофигизм, отсутствие среднего класса.</v>
      </c>
      <c r="X1898" s="6" t="str">
        <f>IFERROR(__xludf.DUMMYFUNCTION("""COMPUTED_VALUE"""),"Вокзал - Аэропорт")</f>
        <v>Вокзал - Аэропорт</v>
      </c>
      <c r="Y1898" s="6" t="str">
        <f>IFERROR(__xludf.DUMMYFUNCTION("""COMPUTED_VALUE"""),"Смерть 60 человек при пожаре в Зимней вишне в 2018 г. Бахнули так бахнули... Весь мир узнал. Первые полосы зарубежных каналов, всероссийский траур, статья в Википедии...")</f>
        <v>Смерть 60 человек при пожаре в Зимней вишне в 2018 г. Бахнули так бахнули... Весь мир узнал. Первые полосы зарубежных каналов, всероссийский траур, статья в Википедии...</v>
      </c>
      <c r="Z1898" s="6" t="str">
        <f>IFERROR(__xludf.DUMMYFUNCTION("""COMPUTED_VALUE"""),"Чемпионство ВК Кузбасс.")</f>
        <v>Чемпионство ВК Кузбасс.</v>
      </c>
      <c r="AA1898" s="6" t="str">
        <f>IFERROR(__xludf.DUMMYFUNCTION("""COMPUTED_VALUE"""),"Спокойно воспринимаю происходящее, ибо я живу в этом. Было бы негодование, если б жил в Исландии или Новой Зеландии, где из знаковых событий - роды кошки, да ветер сильнее, чем обычно... Тогда, да, была бы реакция на конфликты какие-то... ")</f>
        <v>Спокойно воспринимаю происходящее, ибо я живу в этом. Было бы негодование, если б жил в Исландии или Новой Зеландии, где из знаковых событий - роды кошки, да ветер сильнее, чем обычно... Тогда, да, была бы реакция на конфликты какие-то... </v>
      </c>
      <c r="AB1898" s="6" t="str">
        <f>IFERROR(__xludf.DUMMYFUNCTION("""COMPUTED_VALUE"""),"Сообщество умных политиков; опытных управленцев; смелых предпринимателей; деятелей искусства; свободных журналистов.")</f>
        <v>Сообщество умных политиков; опытных управленцев; смелых предпринимателей; деятелей искусства; свободных журналистов.</v>
      </c>
      <c r="AC1898" s="6" t="str">
        <f>IFERROR(__xludf.DUMMYFUNCTION("""COMPUTED_VALUE"""),"Событие: качественная смена власти. Мероприятие: честные выборы.")</f>
        <v>Событие: качественная смена власти. Мероприятие: честные выборы.</v>
      </c>
      <c r="AD1898" s="6" t="str">
        <f>IFERROR(__xludf.DUMMYFUNCTION("""COMPUTED_VALUE"""),"Не готов принимать личное участие (укажите, пожалуйста, причину в поле «Другое»), отсутствие желания")</f>
        <v>Не готов принимать личное участие (укажите, пожалуйста, причину в поле «Другое»), отсутствие желания</v>
      </c>
      <c r="AE1898" s="6" t="str">
        <f>IFERROR(__xludf.DUMMYFUNCTION("""COMPUTED_VALUE"""),"Мужской")</f>
        <v>Мужской</v>
      </c>
      <c r="AF1898" s="6" t="str">
        <f>IFERROR(__xludf.DUMMYFUNCTION("""COMPUTED_VALUE"""),"30-44")</f>
        <v>30-44</v>
      </c>
      <c r="AG1898" s="6"/>
      <c r="AH1898" s="6"/>
      <c r="AI1898" s="6"/>
      <c r="AJ1898" s="6"/>
      <c r="AK1898" s="6"/>
      <c r="AL1898" s="6"/>
      <c r="AM1898" s="6"/>
    </row>
    <row r="1899">
      <c r="A1899" s="6">
        <v>1898.0</v>
      </c>
      <c r="B1899" s="6" t="str">
        <f>IFERROR(__xludf.DUMMYFUNCTION("""COMPUTED_VALUE"""),"шахматы, философия, стихи, политика")</f>
        <v>шахматы, философия, стихи, политика</v>
      </c>
      <c r="C1899" s="6" t="str">
        <f>IFERROR(__xludf.DUMMYFUNCTION("""COMPUTED_VALUE"""),"компьютерные игры")</f>
        <v>компьютерные игры</v>
      </c>
      <c r="D1899" s="6" t="str">
        <f>IFERROR(__xludf.DUMMYFUNCTION("""COMPUTED_VALUE"""),"Рудничный. Радуга")</f>
        <v>Рудничный. Радуга</v>
      </c>
      <c r="E1899" s="6" t="str">
        <f>IFERROR(__xludf.DUMMYFUNCTION("""COMPUTED_VALUE"""),"райисполком и памятник шахтеру напротив")</f>
        <v>райисполком и памятник шахтеру напротив</v>
      </c>
      <c r="F1899" s="6" t="str">
        <f>IFERROR(__xludf.DUMMYFUNCTION("""COMPUTED_VALUE"""),"Переехал сюда из другого места (откуда? укажите в графе другое), из Москвы")</f>
        <v>Переехал сюда из другого места (откуда? укажите в графе другое), из Москвы</v>
      </c>
      <c r="G1899" s="6" t="str">
        <f>IFERROR(__xludf.DUMMYFUNCTION("""COMPUTED_VALUE"""),"парк Ангелов, набережная, центральная площадь, лесопарк на Радуге")</f>
        <v>парк Ангелов, набережная, центральная площадь, лесопарк на Радуге</v>
      </c>
      <c r="H1899" s="6" t="str">
        <f>IFERROR(__xludf.DUMMYFUNCTION("""COMPUTED_VALUE"""),"Томь, экология, Красная горка, шахтер Эрнста Неизвестного, шахклуб Найдова")</f>
        <v>Томь, экология, Красная горка, шахтер Эрнста Неизвестного, шахклуб Найдова</v>
      </c>
      <c r="I1899" s="6" t="str">
        <f>IFERROR(__xludf.DUMMYFUNCTION("""COMPUTED_VALUE"""),"Леонов, Тулеев, Найдов, Гришковец, Андреев")</f>
        <v>Леонов, Тулеев, Найдов, Гришковец, Андреев</v>
      </c>
      <c r="J1899" s="6" t="str">
        <f>IFERROR(__xludf.DUMMYFUNCTION("""COMPUTED_VALUE"""),"Невоструев, Филиппов,  Чигаев, Пигусов, Лопушной")</f>
        <v>Невоструев, Филиппов,  Чигаев, Пигусов, Лопушной</v>
      </c>
      <c r="K1899" s="6" t="str">
        <f>IFERROR(__xludf.DUMMYFUNCTION("""COMPUTED_VALUE"""),"Красную горку и памятник Эрнста Неизвестного, парк Ангелов, набережную Томи, Весеннюю, бульвар Строителей, зону Технопарка")</f>
        <v>Красную горку и памятник Эрнста Неизвестного, парк Ангелов, набережную Томи, Весеннюю, бульвар Строителей, зону Технопарка</v>
      </c>
      <c r="L1899" s="6" t="str">
        <f>IFERROR(__xludf.DUMMYFUNCTION("""COMPUTED_VALUE"""),"-")</f>
        <v>-</v>
      </c>
      <c r="M1899" s="6" t="str">
        <f>IFERROR(__xludf.DUMMYFUNCTION("""COMPUTED_VALUE"""),"-")</f>
        <v>-</v>
      </c>
      <c r="N1899" s="6" t="str">
        <f>IFERROR(__xludf.DUMMYFUNCTION("""COMPUTED_VALUE"""),"интернет, лавочки на улицах и бульварах, обшепит и доставка еды, МакДональдс, шахматный клуб, легальный покер")</f>
        <v>интернет, лавочки на улицах и бульварах, обшепит и доставка еды, МакДональдс, шахматный клуб, легальный покер</v>
      </c>
      <c r="O1899" s="6" t="str">
        <f>IFERROR(__xludf.DUMMYFUNCTION("""COMPUTED_VALUE"""),"власть")</f>
        <v>власть</v>
      </c>
      <c r="P1899" s="6" t="str">
        <f>IFERROR(__xludf.DUMMYFUNCTION("""COMPUTED_VALUE"""),"фейсбук")</f>
        <v>фейсбук</v>
      </c>
      <c r="Q1899" s="6" t="str">
        <f>IFERROR(__xludf.DUMMYFUNCTION("""COMPUTED_VALUE"""),"интервью с местными творческими личностями, интервью с местными предпринимателями")</f>
        <v>интервью с местными творческими личностями, интервью с местными предпринимателями</v>
      </c>
      <c r="R1899" s="6" t="str">
        <f>IFERROR(__xludf.DUMMYFUNCTION("""COMPUTED_VALUE"""),"турнир имени Найдова")</f>
        <v>турнир имени Найдова</v>
      </c>
      <c r="S1899" s="6" t="str">
        <f>IFERROR(__xludf.DUMMYFUNCTION("""COMPUTED_VALUE"""),"Обращался в редакции городских газет, телевидения, радио, шахматные турниры")</f>
        <v>Обращался в редакции городских газет, телевидения, радио, шахматные турниры</v>
      </c>
      <c r="T1899" s="6" t="str">
        <f>IFERROR(__xludf.DUMMYFUNCTION("""COMPUTED_VALUE"""),"Красная горка, Зимняя вишня, парк Ангелов, шахклуб Найдова, экология")</f>
        <v>Красная горка, Зимняя вишня, парк Ангелов, шахклуб Найдова, экология</v>
      </c>
      <c r="U1899" s="6" t="str">
        <f>IFERROR(__xludf.DUMMYFUNCTION("""COMPUTED_VALUE"""),"центральная площадь")</f>
        <v>центральная площадь</v>
      </c>
      <c r="V1899" s="6" t="str">
        <f>IFERROR(__xludf.DUMMYFUNCTION("""COMPUTED_VALUE"""),"построили шахты и заводы, шахматная школа")</f>
        <v>построили шахты и заводы, шахматная школа</v>
      </c>
      <c r="W1899" s="6" t="str">
        <f>IFERROR(__xludf.DUMMYFUNCTION("""COMPUTED_VALUE"""),"-")</f>
        <v>-</v>
      </c>
      <c r="X1899" s="6" t="str">
        <f>IFERROR(__xludf.DUMMYFUNCTION("""COMPUTED_VALUE"""),"-")</f>
        <v>-</v>
      </c>
      <c r="Y1899" s="6" t="str">
        <f>IFERROR(__xludf.DUMMYFUNCTION("""COMPUTED_VALUE"""),"Зимняя вишня")</f>
        <v>Зимняя вишня</v>
      </c>
      <c r="Z1899" s="6" t="str">
        <f>IFERROR(__xludf.DUMMYFUNCTION("""COMPUTED_VALUE"""),"турнир имени Найдова")</f>
        <v>турнир имени Найдова</v>
      </c>
      <c r="AA1899" s="6" t="str">
        <f>IFERROR(__xludf.DUMMYFUNCTION("""COMPUTED_VALUE"""),"-")</f>
        <v>-</v>
      </c>
      <c r="AB1899" s="6" t="str">
        <f>IFERROR(__xludf.DUMMYFUNCTION("""COMPUTED_VALUE"""),"-")</f>
        <v>-</v>
      </c>
      <c r="AC1899" s="6" t="str">
        <f>IFERROR(__xludf.DUMMYFUNCTION("""COMPUTED_VALUE"""),"шахматные турниры")</f>
        <v>шахматные турниры</v>
      </c>
      <c r="AD1899"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899" s="6" t="str">
        <f>IFERROR(__xludf.DUMMYFUNCTION("""COMPUTED_VALUE"""),"Мужской")</f>
        <v>Мужской</v>
      </c>
      <c r="AF1899" s="6" t="str">
        <f>IFERROR(__xludf.DUMMYFUNCTION("""COMPUTED_VALUE"""),"старше 55")</f>
        <v>старше 55</v>
      </c>
      <c r="AG1899" s="6"/>
      <c r="AH1899" s="6"/>
      <c r="AI1899" s="6"/>
      <c r="AJ1899" s="6"/>
      <c r="AK1899" s="6"/>
      <c r="AL1899" s="6"/>
      <c r="AM1899" s="6"/>
    </row>
    <row r="1900">
      <c r="A1900" s="6">
        <v>1899.0</v>
      </c>
      <c r="B1900" s="6" t="str">
        <f>IFERROR(__xludf.DUMMYFUNCTION("""COMPUTED_VALUE"""),"преподаватель вуза")</f>
        <v>преподаватель вуза</v>
      </c>
      <c r="C1900" s="6" t="str">
        <f>IFERROR(__xludf.DUMMYFUNCTION("""COMPUTED_VALUE"""),"горные лыжи, путешествия, ВК ""КУзбасс""")</f>
        <v>горные лыжи, путешествия, ВК "КУзбасс"</v>
      </c>
      <c r="D1900" s="6" t="str">
        <f>IFERROR(__xludf.DUMMYFUNCTION("""COMPUTED_VALUE"""),"Центральный")</f>
        <v>Центральный</v>
      </c>
      <c r="E1900" s="6" t="str">
        <f>IFERROR(__xludf.DUMMYFUNCTION("""COMPUTED_VALUE"""),"Площадь Советов, Университет, набережная, часовня, Филармония, Музыкальный театр, театр для детей и молодежи, парк Жукова и др.")</f>
        <v>Площадь Советов, Университет, набережная, часовня, Филармония, Музыкальный театр, театр для детей и молодежи, парк Жукова и др.</v>
      </c>
      <c r="F1900" s="6" t="str">
        <f>IFERROR(__xludf.DUMMYFUNCTION("""COMPUTED_VALUE"""),"Переехал сюда из другого места (откуда? укажите в графе другое), из Анжеро-Сужденска")</f>
        <v>Переехал сюда из другого места (откуда? укажите в графе другое), из Анжеро-Сужденска</v>
      </c>
      <c r="G1900" s="6" t="str">
        <f>IFERROR(__xludf.DUMMYFUNCTION("""COMPUTED_VALUE"""),"Парк Жукова, Набережная, Арена")</f>
        <v>Парк Жукова, Набережная, Арена</v>
      </c>
      <c r="H1900" s="6" t="str">
        <f>IFERROR(__xludf.DUMMYFUNCTION("""COMPUTED_VALUE"""),"Мой город, Столица Кузбасса")</f>
        <v>Мой город, Столица Кузбасса</v>
      </c>
      <c r="I1900" s="6" t="str">
        <f>IFERROR(__xludf.DUMMYFUNCTION("""COMPUTED_VALUE"""),"М. Волков, В. Волошина ")</f>
        <v>М. Волков, В. Волошина </v>
      </c>
      <c r="J1900" s="6" t="str">
        <f>IFERROR(__xludf.DUMMYFUNCTION("""COMPUTED_VALUE"""),"Тулеев, Михайлов, Заузелков")</f>
        <v>Тулеев, Михайлов, Заузелков</v>
      </c>
      <c r="K1900" s="6" t="str">
        <f>IFERROR(__xludf.DUMMYFUNCTION("""COMPUTED_VALUE"""),"Память шахтерам Кузбасса, Томская Писаница")</f>
        <v>Память шахтерам Кузбасса, Томская Писаница</v>
      </c>
      <c r="L1900" s="6" t="str">
        <f>IFERROR(__xludf.DUMMYFUNCTION("""COMPUTED_VALUE"""),"Лицо города - его жители")</f>
        <v>Лицо города - его жители</v>
      </c>
      <c r="M1900" s="6" t="str">
        <f>IFERROR(__xludf.DUMMYFUNCTION("""COMPUTED_VALUE"""),"нет")</f>
        <v>нет</v>
      </c>
      <c r="N1900" s="6" t="str">
        <f>IFERROR(__xludf.DUMMYFUNCTION("""COMPUTED_VALUE"""),"чистота, качество дорог, безопасность, развитая инфраструктура, наличие мест отдыха")</f>
        <v>чистота, качество дорог, безопасность, развитая инфраструктура, наличие мест отдыха</v>
      </c>
      <c r="O1900" s="6" t="str">
        <f>IFERROR(__xludf.DUMMYFUNCTION("""COMPUTED_VALUE"""),"район возле вокзала и Кировский нужно перестраивать в соответствии с современными тенденциями комфортности жизни")</f>
        <v>район возле вокзала и Кировский нужно перестраивать в соответствии с современными тенденциями комфортности жизни</v>
      </c>
      <c r="P1900" s="6" t="str">
        <f>IFERROR(__xludf.DUMMYFUNCTION("""COMPUTED_VALUE"""),"ТВ, соц.сети")</f>
        <v>ТВ, соц.сети</v>
      </c>
      <c r="Q1900"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1900" s="6" t="str">
        <f>IFERROR(__xludf.DUMMYFUNCTION("""COMPUTED_VALUE"""),"День города")</f>
        <v>День города</v>
      </c>
      <c r="S1900" s="6" t="str">
        <f>IFERROR(__xludf.DUMMYFUNCTION("""COMPUTED_VALUE"""),"Нет, не приходилось")</f>
        <v>Нет, не приходилось</v>
      </c>
      <c r="T1900" s="6" t="str">
        <f>IFERROR(__xludf.DUMMYFUNCTION("""COMPUTED_VALUE"""),"набережной")</f>
        <v>набережной</v>
      </c>
      <c r="U1900" s="6" t="str">
        <f>IFERROR(__xludf.DUMMYFUNCTION("""COMPUTED_VALUE"""),"набережная и часовня")</f>
        <v>набережная и часовня</v>
      </c>
      <c r="V1900" s="6" t="str">
        <f>IFERROR(__xludf.DUMMYFUNCTION("""COMPUTED_VALUE"""),"строили, развивали")</f>
        <v>строили, развивали</v>
      </c>
      <c r="W1900" s="6" t="str">
        <f>IFERROR(__xludf.DUMMYFUNCTION("""COMPUTED_VALUE"""),"разные")</f>
        <v>разные</v>
      </c>
      <c r="X1900" s="6" t="str">
        <f>IFERROR(__xludf.DUMMYFUNCTION("""COMPUTED_VALUE"""),"по сосновому бору")</f>
        <v>по сосновому бору</v>
      </c>
      <c r="Y1900" s="6" t="str">
        <f>IFERROR(__xludf.DUMMYFUNCTION("""COMPUTED_VALUE"""),"100-летие города")</f>
        <v>100-летие города</v>
      </c>
      <c r="Z1900" s="6" t="str">
        <f>IFERROR(__xludf.DUMMYFUNCTION("""COMPUTED_VALUE"""),"затрудняюсь ответить")</f>
        <v>затрудняюсь ответить</v>
      </c>
      <c r="AA1900" s="6" t="str">
        <f>IFERROR(__xludf.DUMMYFUNCTION("""COMPUTED_VALUE"""),"закрытие бассейна")</f>
        <v>закрытие бассейна</v>
      </c>
      <c r="AB1900" s="6" t="str">
        <f>IFERROR(__xludf.DUMMYFUNCTION("""COMPUTED_VALUE"""),"затрудняюсь ответить")</f>
        <v>затрудняюсь ответить</v>
      </c>
      <c r="AC1900" s="6" t="str">
        <f>IFERROR(__xludf.DUMMYFUNCTION("""COMPUTED_VALUE"""),"больше спортивных мероприятий федерального и международного уровня")</f>
        <v>больше спортивных мероприятий федерального и международного уровня</v>
      </c>
      <c r="AD1900"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900" s="6" t="str">
        <f>IFERROR(__xludf.DUMMYFUNCTION("""COMPUTED_VALUE"""),"Женский")</f>
        <v>Женский</v>
      </c>
      <c r="AF1900" s="6" t="str">
        <f>IFERROR(__xludf.DUMMYFUNCTION("""COMPUTED_VALUE"""),"45-55")</f>
        <v>45-55</v>
      </c>
      <c r="AG1900" s="6"/>
      <c r="AH1900" s="6"/>
      <c r="AI1900" s="6"/>
      <c r="AJ1900" s="6"/>
      <c r="AK1900" s="6"/>
      <c r="AL1900" s="6"/>
      <c r="AM1900" s="6"/>
    </row>
    <row r="1901">
      <c r="A1901" s="6">
        <v>1900.0</v>
      </c>
      <c r="B1901" s="6" t="str">
        <f>IFERROR(__xludf.DUMMYFUNCTION("""COMPUTED_VALUE"""),"работаю")</f>
        <v>работаю</v>
      </c>
      <c r="C1901" s="6" t="str">
        <f>IFERROR(__xludf.DUMMYFUNCTION("""COMPUTED_VALUE"""),"вязание")</f>
        <v>вязание</v>
      </c>
      <c r="D1901" s="6" t="str">
        <f>IFERROR(__xludf.DUMMYFUNCTION("""COMPUTED_VALUE"""),"центральный")</f>
        <v>центральный</v>
      </c>
      <c r="E1901" s="6" t="str">
        <f>IFERROR(__xludf.DUMMYFUNCTION("""COMPUTED_VALUE"""),"много")</f>
        <v>много</v>
      </c>
      <c r="F1901" s="6" t="str">
        <f>IFERROR(__xludf.DUMMYFUNCTION("""COMPUTED_VALUE"""),"Живу здесь с рождения")</f>
        <v>Живу здесь с рождения</v>
      </c>
      <c r="G1901" s="6" t="str">
        <f>IFERROR(__xludf.DUMMYFUNCTION("""COMPUTED_VALUE"""),"нет времени, работаю")</f>
        <v>нет времени, работаю</v>
      </c>
      <c r="H1901" s="6" t="str">
        <f>IFERROR(__xludf.DUMMYFUNCTION("""COMPUTED_VALUE"""),"столица, родина, сибирь, кузбасс, уголь")</f>
        <v>столица, родина, сибирь, кузбасс, уголь</v>
      </c>
      <c r="I1901" s="6" t="str">
        <f>IFERROR(__xludf.DUMMYFUNCTION("""COMPUTED_VALUE"""),"волков, рутгерс, леонов, ")</f>
        <v>волков, рутгерс, леонов, </v>
      </c>
      <c r="J1901" s="6" t="str">
        <f>IFERROR(__xludf.DUMMYFUNCTION("""COMPUTED_VALUE"""),"михайлов, тулеев, леонов,")</f>
        <v>михайлов, тулеев, леонов,</v>
      </c>
      <c r="K1901" s="6" t="str">
        <f>IFERROR(__xludf.DUMMYFUNCTION("""COMPUTED_VALUE"""),"парк ангелов, музей красная горка, поезд на привокзальной площади")</f>
        <v>парк ангелов, музей красная горка, поезд на привокзальной площади</v>
      </c>
      <c r="L1901" s="6" t="str">
        <f>IFERROR(__xludf.DUMMYFUNCTION("""COMPUTED_VALUE"""),"Где родился – там и пригодился. Ни к селу ни к городу.")</f>
        <v>Где родился – там и пригодился. Ни к селу ни к городу.</v>
      </c>
      <c r="M1901" s="6" t="str">
        <f>IFERROR(__xludf.DUMMYFUNCTION("""COMPUTED_VALUE"""),"черемша, углярка, ")</f>
        <v>черемша, углярка, </v>
      </c>
      <c r="N1901" s="6" t="str">
        <f>IFERROR(__xludf.DUMMYFUNCTION("""COMPUTED_VALUE"""),"тишина, чистота, безопасность, красота, экология")</f>
        <v>тишина, чистота, безопасность, красота, экология</v>
      </c>
      <c r="O1901" s="6" t="str">
        <f>IFERROR(__xludf.DUMMYFUNCTION("""COMPUTED_VALUE"""),"затрудняюсь ответить, да много чего")</f>
        <v>затрудняюсь ответить, да много чего</v>
      </c>
      <c r="P1901" s="6" t="str">
        <f>IFERROR(__xludf.DUMMYFUNCTION("""COMPUTED_VALUE"""),"телевидение")</f>
        <v>телевидение</v>
      </c>
      <c r="Q1901"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криминальные новости (происшествия/преступления), результаты местных исследований (рейтинги/аналитика/тенденции), интервью с экспертами на разные темы (напишите в разделе Другое свои предложения)</v>
      </c>
      <c r="R1901" s="6" t="str">
        <f>IFERROR(__xludf.DUMMYFUNCTION("""COMPUTED_VALUE"""),"ярмарки, 9 мая, день города, день шахтера ")</f>
        <v>ярмарки, 9 мая, день города, день шахтера </v>
      </c>
      <c r="S1901" s="6" t="str">
        <f>IFERROR(__xludf.DUMMYFUNCTION("""COMPUTED_VALUE"""),"Нет, не приходилось")</f>
        <v>Нет, не приходилось</v>
      </c>
      <c r="T1901" s="6" t="str">
        <f>IFERROR(__xludf.DUMMYFUNCTION("""COMPUTED_VALUE"""),"Кемерово — промышленный, культурный центр Сибири, первый по численности и плотности населения город Кемеровской области.")</f>
        <v>Кемерово — промышленный, культурный центр Сибири, первый по численности и плотности населения город Кемеровской области.</v>
      </c>
      <c r="U1901" s="6" t="str">
        <f>IFERROR(__xludf.DUMMYFUNCTION("""COMPUTED_VALUE"""),"площадь советов")</f>
        <v>площадь советов</v>
      </c>
      <c r="V1901" s="6" t="str">
        <f>IFERROR(__xludf.DUMMYFUNCTION("""COMPUTED_VALUE"""),"развивали промышленность")</f>
        <v>развивали промышленность</v>
      </c>
      <c r="W1901" s="6" t="str">
        <f>IFERROR(__xludf.DUMMYFUNCTION("""COMPUTED_VALUE"""),"простые и отзывчивые")</f>
        <v>простые и отзывчивые</v>
      </c>
      <c r="X1901" s="6" t="str">
        <f>IFERROR(__xludf.DUMMYFUNCTION("""COMPUTED_VALUE"""),"не знаю")</f>
        <v>не знаю</v>
      </c>
      <c r="Y1901" s="6" t="str">
        <f>IFERROR(__xludf.DUMMYFUNCTION("""COMPUTED_VALUE""")," закрытие заводов, шахт и т.д")</f>
        <v> закрытие заводов, шахт и т.д</v>
      </c>
      <c r="Z1901" s="6" t="str">
        <f>IFERROR(__xludf.DUMMYFUNCTION("""COMPUTED_VALUE"""),"не припомню")</f>
        <v>не припомню</v>
      </c>
      <c r="AA1901" s="6" t="str">
        <f>IFERROR(__xludf.DUMMYFUNCTION("""COMPUTED_VALUE"""),"не припомню")</f>
        <v>не припомню</v>
      </c>
      <c r="AB1901" s="6" t="str">
        <f>IFERROR(__xludf.DUMMYFUNCTION("""COMPUTED_VALUE"""),"не знаю")</f>
        <v>не знаю</v>
      </c>
      <c r="AC1901" s="6" t="str">
        <f>IFERROR(__xludf.DUMMYFUNCTION("""COMPUTED_VALUE"""),"городские праздники")</f>
        <v>городские праздники</v>
      </c>
      <c r="AD190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01" s="6" t="str">
        <f>IFERROR(__xludf.DUMMYFUNCTION("""COMPUTED_VALUE"""),"Женский")</f>
        <v>Женский</v>
      </c>
      <c r="AF1901" s="6" t="str">
        <f>IFERROR(__xludf.DUMMYFUNCTION("""COMPUTED_VALUE"""),"45-55")</f>
        <v>45-55</v>
      </c>
      <c r="AG1901" s="6"/>
      <c r="AH1901" s="6"/>
      <c r="AI1901" s="6"/>
      <c r="AJ1901" s="6"/>
      <c r="AK1901" s="6"/>
      <c r="AL1901" s="6"/>
      <c r="AM1901" s="6"/>
    </row>
    <row r="1902">
      <c r="A1902" s="6">
        <v>1901.0</v>
      </c>
      <c r="B1902" s="6" t="str">
        <f>IFERROR(__xludf.DUMMYFUNCTION("""COMPUTED_VALUE"""),"Муниципальная слкжбп")</f>
        <v>Муниципальная слкжбп</v>
      </c>
      <c r="C1902" s="6" t="str">
        <f>IFERROR(__xludf.DUMMYFUNCTION("""COMPUTED_VALUE"""),"Кулинария")</f>
        <v>Кулинария</v>
      </c>
      <c r="D1902" s="6" t="str">
        <f>IFERROR(__xludf.DUMMYFUNCTION("""COMPUTED_VALUE"""),"Ленинский, ласково называю ""деревня""")</f>
        <v>Ленинский, ласково называю "деревня"</v>
      </c>
      <c r="E1902" s="6" t="str">
        <f>IFERROR(__xludf.DUMMYFUNCTION("""COMPUTED_VALUE"""),"Линейный парк, гцс, пку, танк на кольце")</f>
        <v>Линейный парк, гцс, пку, танк на кольце</v>
      </c>
      <c r="F190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902" s="6" t="str">
        <f>IFERROR(__xludf.DUMMYFUNCTION("""COMPUTED_VALUE"""),"В рестораны")</f>
        <v>В рестораны</v>
      </c>
      <c r="H1902" s="6" t="str">
        <f>IFERROR(__xludf.DUMMYFUNCTION("""COMPUTED_VALUE"""),"Комфорт, удобство, компактность, логика, рост")</f>
        <v>Комфорт, удобство, компактность, логика, рост</v>
      </c>
      <c r="I1902" s="6" t="str">
        <f>IFERROR(__xludf.DUMMYFUNCTION("""COMPUTED_VALUE"""),"Федорова, Михайлов, Волков, Гришуковец")</f>
        <v>Федорова, Михайлов, Волков, Гришуковец</v>
      </c>
      <c r="J1902" s="6" t="str">
        <f>IFERROR(__xludf.DUMMYFUNCTION("""COMPUTED_VALUE"""),"Михайлов, Фёдорова, Барбараш, ")</f>
        <v>Михайлов, Фёдорова, Барбараш, </v>
      </c>
      <c r="K1902" s="6" t="str">
        <f>IFERROR(__xludf.DUMMYFUNCTION("""COMPUTED_VALUE"""),"Новые школы и детские сады")</f>
        <v>Новые школы и детские сады</v>
      </c>
      <c r="L1902" s="6" t="str">
        <f>IFERROR(__xludf.DUMMYFUNCTION("""COMPUTED_VALUE"""),"Когда что-то не удаётся, говорят"" это Кемерово, детка! """)</f>
        <v>Когда что-то не удаётся, говорят" это Кемерово, детка! "</v>
      </c>
      <c r="M1902" s="6" t="str">
        <f>IFERROR(__xludf.DUMMYFUNCTION("""COMPUTED_VALUE"""),"Качественно сделать, значит, по-кемеровски")</f>
        <v>Качественно сделать, значит, по-кемеровски</v>
      </c>
      <c r="N1902" s="6" t="str">
        <f>IFERROR(__xludf.DUMMYFUNCTION("""COMPUTED_VALUE"""),"Близость всего, компактность, простота навигации, ")</f>
        <v>Близость всего, компактность, простота навигации, </v>
      </c>
      <c r="O1902" s="6" t="str">
        <f>IFERROR(__xludf.DUMMYFUNCTION("""COMPUTED_VALUE"""),"Трансортеые развязки разгрузить, расширить дороги Центрального района и на Нахимова, продумать наличие парковок, чистить от снега межквартальные проезды")</f>
        <v>Трансортеые развязки разгрузить, расширить дороги Центрального района и на Нахимова, продумать наличие парковок, чистить от снега межквартальные проезды</v>
      </c>
      <c r="P1902" s="6" t="str">
        <f>IFERROR(__xludf.DUMMYFUNCTION("""COMPUTED_VALUE"""),"Инстаграм")</f>
        <v>Инстаграм</v>
      </c>
      <c r="Q1902" s="6" t="str">
        <f>IFERROR(__xludf.DUMMYFUNCTION("""COMPUTED_VALUE"""),"бизнес-новости (средний чек/рекламные акции/запуск новых предприятий), Общение")</f>
        <v>бизнес-новости (средний чек/рекламные акции/запуск новых предприятий), Общение</v>
      </c>
      <c r="R1902" s="6" t="str">
        <f>IFERROR(__xludf.DUMMYFUNCTION("""COMPUTED_VALUE"""),"День города")</f>
        <v>День города</v>
      </c>
      <c r="S1902" s="6" t="str">
        <f>IFERROR(__xludf.DUMMYFUNCTION("""COMPUTED_VALUE"""),"Обращался в редакции городских газет, телевидения, радио")</f>
        <v>Обращался в редакции городских газет, телевидения, радио</v>
      </c>
      <c r="T1902" s="6" t="str">
        <f>IFERROR(__xludf.DUMMYFUNCTION("""COMPUTED_VALUE"""),"Шахтерскими забастовками, Зимней вишней")</f>
        <v>Шахтерскими забастовками, Зимней вишней</v>
      </c>
      <c r="U1902" s="6" t="str">
        <f>IFERROR(__xludf.DUMMYFUNCTION("""COMPUTED_VALUE"""),"Набережную")</f>
        <v>Набережную</v>
      </c>
      <c r="V1902" s="6" t="str">
        <f>IFERROR(__xludf.DUMMYFUNCTION("""COMPUTED_VALUE"""),"Хорошая логистика, грамотная архитектурная планировка( кромеЗавдского района) ")</f>
        <v>Хорошая логистика, грамотная архитектурная планировка( кромеЗавдского района) </v>
      </c>
      <c r="W1902" s="6" t="str">
        <f>IFERROR(__xludf.DUMMYFUNCTION("""COMPUTED_VALUE"""),"Конкретные, суровые, неулыбчивые, люди слова")</f>
        <v>Конкретные, суровые, неулыбчивые, люди слова</v>
      </c>
      <c r="X1902" s="6" t="str">
        <f>IFERROR(__xludf.DUMMYFUNCTION("""COMPUTED_VALUE"""),"Набережная, Красная горка")</f>
        <v>Набережная, Красная горка</v>
      </c>
      <c r="Y1902" s="6" t="str">
        <f>IFERROR(__xludf.DUMMYFUNCTION("""COMPUTED_VALUE"""),"Рок-концерт")</f>
        <v>Рок-концерт</v>
      </c>
      <c r="Z1902" s="6" t="str">
        <f>IFERROR(__xludf.DUMMYFUNCTION("""COMPUTED_VALUE"""),"Строительство новых объектов")</f>
        <v>Строительство новых объектов</v>
      </c>
      <c r="AA1902" s="6" t="str">
        <f>IFERROR(__xludf.DUMMYFUNCTION("""COMPUTED_VALUE"""),"Зимняя вишня")</f>
        <v>Зимняя вишня</v>
      </c>
      <c r="AB1902" s="6" t="str">
        <f>IFERROR(__xludf.DUMMYFUNCTION("""COMPUTED_VALUE"""),"Любителей рок-музыки")</f>
        <v>Любителей рок-музыки</v>
      </c>
      <c r="AC1902" s="6" t="str">
        <f>IFERROR(__xludf.DUMMYFUNCTION("""COMPUTED_VALUE"""),"Уличные мероприятия, создать эко-систему города")</f>
        <v>Уличные мероприятия, создать эко-систему города</v>
      </c>
      <c r="AD190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02" s="6" t="str">
        <f>IFERROR(__xludf.DUMMYFUNCTION("""COMPUTED_VALUE"""),"Женский")</f>
        <v>Женский</v>
      </c>
      <c r="AF1902" s="6" t="str">
        <f>IFERROR(__xludf.DUMMYFUNCTION("""COMPUTED_VALUE"""),"45-55")</f>
        <v>45-55</v>
      </c>
      <c r="AG1902" s="6"/>
      <c r="AH1902" s="6"/>
      <c r="AI1902" s="6"/>
      <c r="AJ1902" s="6"/>
      <c r="AK1902" s="6"/>
      <c r="AL1902" s="6"/>
      <c r="AM1902" s="6"/>
    </row>
    <row r="1903">
      <c r="A1903" s="6">
        <v>1902.0</v>
      </c>
      <c r="B1903" s="6" t="str">
        <f>IFERROR(__xludf.DUMMYFUNCTION("""COMPUTED_VALUE"""),"Видеография ")</f>
        <v>Видеография </v>
      </c>
      <c r="C1903" s="6" t="str">
        <f>IFERROR(__xludf.DUMMYFUNCTION("""COMPUTED_VALUE"""),"Видеография")</f>
        <v>Видеография</v>
      </c>
      <c r="D1903" s="6" t="str">
        <f>IFERROR(__xludf.DUMMYFUNCTION("""COMPUTED_VALUE"""),"Рудничный. ""Радуга""")</f>
        <v>Рудничный. "Радуга"</v>
      </c>
      <c r="E1903" s="6" t="str">
        <f>IFERROR(__xludf.DUMMYFUNCTION("""COMPUTED_VALUE"""),"Сквер около церкви (перед тц Радуга), мини парк, и конечно же Сосновый бор ")</f>
        <v>Сквер около церкви (перед тц Радуга), мини парк, и конечно же Сосновый бор </v>
      </c>
      <c r="F1903" s="6" t="str">
        <f>IFERROR(__xludf.DUMMYFUNCTION("""COMPUTED_VALUE"""),"Переехал сюда из другого места (откуда? укажите в графе другое), Норильск")</f>
        <v>Переехал сюда из другого места (откуда? укажите в графе другое), Норильск</v>
      </c>
      <c r="G1903" s="6" t="str">
        <f>IFERROR(__xludf.DUMMYFUNCTION("""COMPUTED_VALUE"""),"В ТЦ, кафе. ")</f>
        <v>В ТЦ, кафе. </v>
      </c>
      <c r="H1903" s="6" t="str">
        <f>IFERROR(__xludf.DUMMYFUNCTION("""COMPUTED_VALUE"""),"Уголь, чёрный снег, чёрное небо, колеи, родня")</f>
        <v>Уголь, чёрный снег, чёрное небо, колеи, родня</v>
      </c>
      <c r="I1903" s="6" t="str">
        <f>IFERROR(__xludf.DUMMYFUNCTION("""COMPUTED_VALUE"""),"Малышева, Гришковец Евгений ")</f>
        <v>Малышева, Гришковец Евгений </v>
      </c>
      <c r="J1903" s="6" t="str">
        <f>IFERROR(__xludf.DUMMYFUNCTION("""COMPUTED_VALUE"""),"Высокопрофессиональные врачи и учителя, которые не уехали ")</f>
        <v>Высокопрофессиональные врачи и учителя, которые не уехали </v>
      </c>
      <c r="K1903" s="6" t="str">
        <f>IFERROR(__xludf.DUMMYFUNCTION("""COMPUTED_VALUE"""),"Сосновый бор-Кузбасс, центр города с администрацией, район Кемерово сити с новыми постройками кластера и  Лесную поляну ")</f>
        <v>Сосновый бор-Кузбасс, центр города с администрацией, район Кемерово сити с новыми постройками кластера и  Лесную поляну </v>
      </c>
      <c r="L1903" s="6" t="str">
        <f>IFERROR(__xludf.DUMMYFUNCTION("""COMPUTED_VALUE"""),"Не знаю ")</f>
        <v>Не знаю </v>
      </c>
      <c r="M1903" s="6" t="str">
        <f>IFERROR(__xludf.DUMMYFUNCTION("""COMPUTED_VALUE"""),"Кемерово и Кемерова.. раскол между жителями, как правильно писать)")</f>
        <v>Кемерово и Кемерова.. раскол между жителями, как правильно писать)</v>
      </c>
      <c r="N1903" s="6" t="str">
        <f>IFERROR(__xludf.DUMMYFUNCTION("""COMPUTED_VALUE"""),"Транспортная доступность, метро, новые районы, высококвалифицированная медпомощь,  близость к Европе территориально")</f>
        <v>Транспортная доступность, метро, новые районы, высококвалифицированная медпомощь,  близость к Европе территориально</v>
      </c>
      <c r="O1903" s="6" t="str">
        <f>IFERROR(__xludf.DUMMYFUNCTION("""COMPUTED_VALUE"""),"Часть руководства... чтоб меньше воровали ")</f>
        <v>Часть руководства... чтоб меньше воровали </v>
      </c>
      <c r="P1903" s="6" t="str">
        <f>IFERROR(__xludf.DUMMYFUNCTION("""COMPUTED_VALUE"""),"Инстаграм кузбасс ньюз , инет сайт афиша42 , инцидент Кемерово вк")</f>
        <v>Инстаграм кузбасс ньюз , инет сайт афиша42 , инцидент Кемерово вк</v>
      </c>
      <c r="Q1903"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903" s="6" t="str">
        <f>IFERROR(__xludf.DUMMYFUNCTION("""COMPUTED_VALUE"""),"Новый год. Фейерверки попускать")</f>
        <v>Новый год. Фейерверки попускать</v>
      </c>
      <c r="S1903" s="6" t="str">
        <f>IFERROR(__xludf.DUMMYFUNCTION("""COMPUTED_VALUE"""),"Нет, не приходилось")</f>
        <v>Нет, не приходилось</v>
      </c>
      <c r="T1903" s="6" t="str">
        <f>IFERROR(__xludf.DUMMYFUNCTION("""COMPUTED_VALUE"""),"Зимняя вишня. Известность по всему миру. ")</f>
        <v>Зимняя вишня. Известность по всему миру. </v>
      </c>
      <c r="U1903" s="6" t="str">
        <f>IFERROR(__xludf.DUMMYFUNCTION("""COMPUTED_VALUE"""),"Администрация и драмтеатр")</f>
        <v>Администрация и драмтеатр</v>
      </c>
      <c r="V1903" s="6" t="str">
        <f>IFERROR(__xludf.DUMMYFUNCTION("""COMPUTED_VALUE"""),"Они просто выживали и жили. Как и в любых других городах.")</f>
        <v>Они просто выживали и жили. Как и в любых других городах.</v>
      </c>
      <c r="W1903" s="6" t="str">
        <f>IFERROR(__xludf.DUMMYFUNCTION("""COMPUTED_VALUE"""),"Доброта и расположенность "" к своим"" даже в других городах. ")</f>
        <v>Доброта и расположенность " к своим" даже в других городах. </v>
      </c>
      <c r="X1903" s="6" t="str">
        <f>IFERROR(__xludf.DUMMYFUNCTION("""COMPUTED_VALUE"""),"Центр города - Кемерово сити -лесная поляна ")</f>
        <v>Центр города - Кемерово сити -лесная поляна </v>
      </c>
      <c r="Y1903" s="6" t="str">
        <f>IFERROR(__xludf.DUMMYFUNCTION("""COMPUTED_VALUE"""),"Зимняя вишня ")</f>
        <v>Зимняя вишня </v>
      </c>
      <c r="Z1903" s="6" t="str">
        <f>IFERROR(__xludf.DUMMYFUNCTION("""COMPUTED_VALUE"""),"Смена губернатора ")</f>
        <v>Смена губернатора </v>
      </c>
      <c r="AA1903" s="6" t="str">
        <f>IFERROR(__xludf.DUMMYFUNCTION("""COMPUTED_VALUE"""),"Зимняя вишня ")</f>
        <v>Зимняя вишня </v>
      </c>
      <c r="AB1903" s="6" t="str">
        <f>IFERROR(__xludf.DUMMYFUNCTION("""COMPUTED_VALUE"""),"По интересам, видео.")</f>
        <v>По интересам, видео.</v>
      </c>
      <c r="AC1903" s="6" t="str">
        <f>IFERROR(__xludf.DUMMYFUNCTION("""COMPUTED_VALUE"""),"Смена части власти, вовлеченность в народ , постройка аква парка и ввод кластера всего на притомском ")</f>
        <v>Смена части власти, вовлеченность в народ , постройка аква парка и ввод кластера всего на притомском </v>
      </c>
      <c r="AD1903"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903" s="6" t="str">
        <f>IFERROR(__xludf.DUMMYFUNCTION("""COMPUTED_VALUE"""),"Женский")</f>
        <v>Женский</v>
      </c>
      <c r="AF1903" s="6" t="str">
        <f>IFERROR(__xludf.DUMMYFUNCTION("""COMPUTED_VALUE"""),"30-44")</f>
        <v>30-44</v>
      </c>
      <c r="AG1903" s="6"/>
      <c r="AH1903" s="6"/>
      <c r="AI1903" s="6"/>
      <c r="AJ1903" s="6"/>
      <c r="AK1903" s="6"/>
      <c r="AL1903" s="6"/>
      <c r="AM1903" s="6"/>
    </row>
    <row r="1904">
      <c r="A1904" s="6">
        <v>1903.0</v>
      </c>
      <c r="B1904" s="6" t="str">
        <f>IFERROR(__xludf.DUMMYFUNCTION("""COMPUTED_VALUE"""),"Сфера безопасности")</f>
        <v>Сфера безопасности</v>
      </c>
      <c r="C1904" s="6" t="str">
        <f>IFERROR(__xludf.DUMMYFUNCTION("""COMPUTED_VALUE"""),"Футбол")</f>
        <v>Футбол</v>
      </c>
      <c r="D1904" s="6" t="str">
        <f>IFERROR(__xludf.DUMMYFUNCTION("""COMPUTED_VALUE"""),"Ленинский район, ЖК Томь")</f>
        <v>Ленинский район, ЖК Томь</v>
      </c>
      <c r="E1904" s="6" t="str">
        <f>IFERROR(__xludf.DUMMYFUNCTION("""COMPUTED_VALUE"""),"Новостройки, красивые дома, природа, парк.")</f>
        <v>Новостройки, красивые дома, природа, парк.</v>
      </c>
      <c r="F1904" s="6" t="str">
        <f>IFERROR(__xludf.DUMMYFUNCTION("""COMPUTED_VALUE"""),"Живу здесь с рождения")</f>
        <v>Живу здесь с рождения</v>
      </c>
      <c r="G1904" s="6" t="str">
        <f>IFERROR(__xludf.DUMMYFUNCTION("""COMPUTED_VALUE"""),"Парк Веры Волошиной, набережная реки Томь (центр города)")</f>
        <v>Парк Веры Волошиной, набережная реки Томь (центр города)</v>
      </c>
      <c r="H1904" s="6" t="str">
        <f>IFERROR(__xludf.DUMMYFUNCTION("""COMPUTED_VALUE"""),"Красивый, современный, хорошие дороги, быстро растущий ")</f>
        <v>Красивый, современный, хорошие дороги, быстро растущий </v>
      </c>
      <c r="I1904" s="6" t="str">
        <f>IFERROR(__xludf.DUMMYFUNCTION("""COMPUTED_VALUE"""),"Волков, , Леонов, Мартемьянов,")</f>
        <v>Волков, , Леонов, Мартемьянов,</v>
      </c>
      <c r="J1904" s="6" t="str">
        <f>IFERROR(__xludf.DUMMYFUNCTION("""COMPUTED_VALUE"""),"Панин (Андрей),Алена Бабенко, Тулеев")</f>
        <v>Панин (Андрей),Алена Бабенко, Тулеев</v>
      </c>
      <c r="K1904" s="6" t="str">
        <f>IFERROR(__xludf.DUMMYFUNCTION("""COMPUTED_VALUE"""),"Центр города, набережная, проспект Притомский, парк Рудничного района (надпись КУЗБАСС), набережная Кировского района.")</f>
        <v>Центр города, набережная, проспект Притомский, парк Рудничного района (надпись КУЗБАСС), набережная Кировского района.</v>
      </c>
      <c r="L1904" s="6" t="str">
        <f>IFERROR(__xludf.DUMMYFUNCTION("""COMPUTED_VALUE"""),"""Каждый кулик хвалит свое болото"", ""На другом берегу клюет лучше"".")</f>
        <v>"Каждый кулик хвалит свое болото", "На другом берегу клюет лучше".</v>
      </c>
      <c r="M1904" s="6" t="str">
        <f>IFERROR(__xludf.DUMMYFUNCTION("""COMPUTED_VALUE"""),"Нет")</f>
        <v>Нет</v>
      </c>
      <c r="N1904" s="6" t="str">
        <f>IFERROR(__xludf.DUMMYFUNCTION("""COMPUTED_VALUE"""),"Широкие дороги, парковочные места, парки, много зелени, общественный транспорт")</f>
        <v>Широкие дороги, парковочные места, парки, много зелени, общественный транспорт</v>
      </c>
      <c r="O1904" s="6" t="str">
        <f>IFERROR(__xludf.DUMMYFUNCTION("""COMPUTED_VALUE"""),"Поставить общественные туалеты.")</f>
        <v>Поставить общественные туалеты.</v>
      </c>
      <c r="P1904" s="6" t="str">
        <f>IFERROR(__xludf.DUMMYFUNCTION("""COMPUTED_VALUE"""),"Соцсети")</f>
        <v>Соцсети</v>
      </c>
      <c r="Q1904" s="6" t="str">
        <f>IFERROR(__xludf.DUMMYFUNCTION("""COMPUTED_VALUE"""),"куда пойти в свободное время,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(на"&amp;"пишите в разделе Другое свои предложения)")</f>
        <v>куда пойти в свободное время,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904" s="6" t="str">
        <f>IFERROR(__xludf.DUMMYFUNCTION("""COMPUTED_VALUE"""),"День шахтера, день города")</f>
        <v>День шахтера, день города</v>
      </c>
      <c r="S1904" s="6" t="str">
        <f>IFERROR(__xludf.DUMMYFUNCTION("""COMPUTED_VALUE"""),"Нет, не приходилось")</f>
        <v>Нет, не приходилось</v>
      </c>
      <c r="T1904" s="6" t="str">
        <f>IFERROR(__xludf.DUMMYFUNCTION("""COMPUTED_VALUE"""),"Инфраструктура, транспортные развязки, пробок почти нет.")</f>
        <v>Инфраструктура, транспортные развязки, пробок почти нет.</v>
      </c>
      <c r="U1904" s="6" t="str">
        <f>IFERROR(__xludf.DUMMYFUNCTION("""COMPUTED_VALUE"""),"Театр Драмы, вечный огонь.")</f>
        <v>Театр Драмы, вечный огонь.</v>
      </c>
      <c r="V1904" s="6" t="str">
        <f>IFERROR(__xludf.DUMMYFUNCTION("""COMPUTED_VALUE"""),"Жили и работали.")</f>
        <v>Жили и работали.</v>
      </c>
      <c r="W1904" s="6" t="str">
        <f>IFERROR(__xludf.DUMMYFUNCTION("""COMPUTED_VALUE"""),"Не любящие свой город, думающие, что где то лучше, не ценящие (в большинстве) красоту и привлекательность города.")</f>
        <v>Не любящие свой город, думающие, что где то лучше, не ценящие (в большинстве) красоту и привлекательность города.</v>
      </c>
      <c r="X1904" s="6" t="str">
        <f>IFERROR(__xludf.DUMMYFUNCTION("""COMPUTED_VALUE"""),"От дома правительства, по набережной, до парка чудес, обратно по Советскому проспекту.")</f>
        <v>От дома правительства, по набережной, до парка чудес, обратно по Советскому проспекту.</v>
      </c>
      <c r="Y1904" s="6" t="str">
        <f>IFERROR(__xludf.DUMMYFUNCTION("""COMPUTED_VALUE"""),"Лето 2019 года концерт ""Легенды мирового рока""")</f>
        <v>Лето 2019 года концерт "Легенды мирового рока"</v>
      </c>
      <c r="Z1904" s="6" t="str">
        <f>IFERROR(__xludf.DUMMYFUNCTION("""COMPUTED_VALUE"""),"Постройка ледового дворца, постройка набережной около дворца, парка.")</f>
        <v>Постройка ледового дворца, постройка набережной около дворца, парка.</v>
      </c>
      <c r="AA1904" s="6" t="str">
        <f>IFERROR(__xludf.DUMMYFUNCTION("""COMPUTED_VALUE"""),"Митинг в поддержку не пойми кого в январе 2021 года, стыд и позор тем, кто пошел против страны.")</f>
        <v>Митинг в поддержку не пойми кого в январе 2021 года, стыд и позор тем, кто пошел против страны.</v>
      </c>
      <c r="AB1904" s="6" t="str">
        <f>IFERROR(__xludf.DUMMYFUNCTION("""COMPUTED_VALUE"""),"Всего достаточно.")</f>
        <v>Всего достаточно.</v>
      </c>
      <c r="AC1904" s="6" t="str">
        <f>IFERROR(__xludf.DUMMYFUNCTION("""COMPUTED_VALUE"""),"Мало мест для купания людей, сделать водоем искусственный, с хорошим дном, с хорошими развлечениями.")</f>
        <v>Мало мест для купания людей, сделать водоем искусственный, с хорошим дном, с хорошими развлечениями.</v>
      </c>
      <c r="AD1904"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04" s="6" t="str">
        <f>IFERROR(__xludf.DUMMYFUNCTION("""COMPUTED_VALUE"""),"Мужской")</f>
        <v>Мужской</v>
      </c>
      <c r="AF1904" s="6" t="str">
        <f>IFERROR(__xludf.DUMMYFUNCTION("""COMPUTED_VALUE"""),"30-44")</f>
        <v>30-44</v>
      </c>
      <c r="AG1904" s="6"/>
      <c r="AH1904" s="6"/>
      <c r="AI1904" s="6"/>
      <c r="AJ1904" s="6"/>
      <c r="AK1904" s="6"/>
      <c r="AL1904" s="6"/>
      <c r="AM1904" s="6"/>
    </row>
    <row r="1905">
      <c r="A1905" s="6">
        <v>1904.0</v>
      </c>
      <c r="B1905" s="6" t="str">
        <f>IFERROR(__xludf.DUMMYFUNCTION("""COMPUTED_VALUE"""),"Провизор")</f>
        <v>Провизор</v>
      </c>
      <c r="C1905" s="6" t="str">
        <f>IFERROR(__xludf.DUMMYFUNCTION("""COMPUTED_VALUE"""),"Иностранные языки")</f>
        <v>Иностранные языки</v>
      </c>
      <c r="D1905" s="6" t="str">
        <f>IFERROR(__xludf.DUMMYFUNCTION("""COMPUTED_VALUE"""),"Южный/Южный")</f>
        <v>Южный/Южный</v>
      </c>
      <c r="E1905" s="6" t="str">
        <f>IFERROR(__xludf.DUMMYFUNCTION("""COMPUTED_VALUE"""),"Космическая школа 14")</f>
        <v>Космическая школа 14</v>
      </c>
      <c r="F1905" s="6" t="str">
        <f>IFERROR(__xludf.DUMMYFUNCTION("""COMPUTED_VALUE"""),"Живу здесь с рождения")</f>
        <v>Живу здесь с рождения</v>
      </c>
      <c r="G1905" s="6" t="str">
        <f>IFERROR(__xludf.DUMMYFUNCTION("""COMPUTED_VALUE"""),"Гуляю по проспекту Советскому, летом в парках Антошка, Победы, Горсаде")</f>
        <v>Гуляю по проспекту Советскому, летом в парках Антошка, Победы, Горсаде</v>
      </c>
      <c r="H1905" s="6" t="str">
        <f>IFERROR(__xludf.DUMMYFUNCTION("""COMPUTED_VALUE"""),"Уголь, шахтеры, промышленность, серость, труд")</f>
        <v>Уголь, шахтеры, промышленность, серость, труд</v>
      </c>
      <c r="I1905" s="6" t="str">
        <f>IFERROR(__xludf.DUMMYFUNCTION("""COMPUTED_VALUE"""),"Леонов")</f>
        <v>Леонов</v>
      </c>
      <c r="J1905" s="6" t="str">
        <f>IFERROR(__xludf.DUMMYFUNCTION("""COMPUTED_VALUE"""),"-")</f>
        <v>-</v>
      </c>
      <c r="K1905" s="6" t="str">
        <f>IFERROR(__xludf.DUMMYFUNCTION("""COMPUTED_VALUE"""),"Памятный сквер ""Зимняя Вишня"", Горсад")</f>
        <v>Памятный сквер "Зимняя Вишня", Горсад</v>
      </c>
      <c r="L1905" s="6" t="str">
        <f>IFERROR(__xludf.DUMMYFUNCTION("""COMPUTED_VALUE"""),"-")</f>
        <v>-</v>
      </c>
      <c r="M1905" s="6" t="str">
        <f>IFERROR(__xludf.DUMMYFUNCTION("""COMPUTED_VALUE"""),"-")</f>
        <v>-</v>
      </c>
      <c r="N1905" s="6" t="str">
        <f>IFERROR(__xludf.DUMMYFUNCTION("""COMPUTED_VALUE"""),"Свежий воздух, чистый город, доброжелательность людей, обилие образовательных курсов в городе, наличие ТРК")</f>
        <v>Свежий воздух, чистый город, доброжелательность людей, обилие образовательных курсов в городе, наличие ТРК</v>
      </c>
      <c r="O1905" s="6" t="str">
        <f>IFERROR(__xludf.DUMMYFUNCTION("""COMPUTED_VALUE"""),"Экологию")</f>
        <v>Экологию</v>
      </c>
      <c r="P1905" s="6" t="str">
        <f>IFERROR(__xludf.DUMMYFUNCTION("""COMPUTED_VALUE"""),"Паблики во ВК")</f>
        <v>Паблики во ВК</v>
      </c>
      <c r="Q1905"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v>
      </c>
      <c r="R1905" s="6" t="str">
        <f>IFERROR(__xludf.DUMMYFUNCTION("""COMPUTED_VALUE"""),"-")</f>
        <v>-</v>
      </c>
      <c r="S1905" s="6" t="str">
        <f>IFERROR(__xludf.DUMMYFUNCTION("""COMPUTED_VALUE"""),"Нет, не приходилось")</f>
        <v>Нет, не приходилось</v>
      </c>
      <c r="T1905" s="6" t="str">
        <f>IFERROR(__xludf.DUMMYFUNCTION("""COMPUTED_VALUE"""),"Уголь и плохая экология")</f>
        <v>Уголь и плохая экология</v>
      </c>
      <c r="U1905" s="6" t="str">
        <f>IFERROR(__xludf.DUMMYFUNCTION("""COMPUTED_VALUE"""),"Площадь Советов")</f>
        <v>Площадь Советов</v>
      </c>
      <c r="V1905" s="6" t="str">
        <f>IFERROR(__xludf.DUMMYFUNCTION("""COMPUTED_VALUE"""),"Развивали угольную промышленность")</f>
        <v>Развивали угольную промышленность</v>
      </c>
      <c r="W1905" s="6" t="str">
        <f>IFERROR(__xludf.DUMMYFUNCTION("""COMPUTED_VALUE"""),"Угрюмые, невероятно жестокие и злые (доказательство можно найти в комментариях в любом сообществе города во Вконтакте, где люди покрывают друг друга матами и желают растерзать семьи друг друга просто потому, что у них разные мнения на ту или иную ситуацию"&amp;". Страшно жить в одном городе с таким монстрами)")</f>
        <v>Угрюмые, невероятно жестокие и злые (доказательство можно найти в комментариях в любом сообществе города во Вконтакте, где люди покрывают друг друга матами и желают растерзать семьи друг друга просто потому, что у них разные мнения на ту или иную ситуацию. Страшно жить в одном городе с таким монстрами)</v>
      </c>
      <c r="X1905" s="6" t="str">
        <f>IFERROR(__xludf.DUMMYFUNCTION("""COMPUTED_VALUE"""),"Маршрутки 7т и 10т")</f>
        <v>Маршрутки 7т и 10т</v>
      </c>
      <c r="Y1905" s="6" t="str">
        <f>IFERROR(__xludf.DUMMYFUNCTION("""COMPUTED_VALUE"""),"Нашли уголь и сгорели люди в ТРК")</f>
        <v>Нашли уголь и сгорели люди в ТРК</v>
      </c>
      <c r="Z1905" s="6" t="str">
        <f>IFERROR(__xludf.DUMMYFUNCTION("""COMPUTED_VALUE"""),"Нет таких")</f>
        <v>Нет таких</v>
      </c>
      <c r="AA1905" s="6" t="str">
        <f>IFERROR(__xludf.DUMMYFUNCTION("""COMPUTED_VALUE"""),"Ухудшение экологической обстановки, желчные люди в соцсетях города, жестокость по отношению к бездомным животным")</f>
        <v>Ухудшение экологической обстановки, желчные люди в соцсетях города, жестокость по отношению к бездомным животным</v>
      </c>
      <c r="AB1905" s="6" t="str">
        <f>IFERROR(__xludf.DUMMYFUNCTION("""COMPUTED_VALUE"""),"Больше образовательных клубов и курсов не онлайн")</f>
        <v>Больше образовательных клубов и курсов не онлайн</v>
      </c>
      <c r="AC1905" s="6" t="str">
        <f>IFERROR(__xludf.DUMMYFUNCTION("""COMPUTED_VALUE"""),"Больше развлекательно-познавательных ")</f>
        <v>Больше развлекательно-познавательных </v>
      </c>
      <c r="AD1905" s="6" t="str">
        <f>IFERROR(__xludf.DUMMYFUNCTION("""COMPUTED_VALUE"""),"Не готов принимать личное участие (укажите, пожалуйста, причину в поле «Другое»), В ближайшее время перееду из города")</f>
        <v>Не готов принимать личное участие (укажите, пожалуйста, причину в поле «Другое»), В ближайшее время перееду из города</v>
      </c>
      <c r="AE1905" s="6" t="str">
        <f>IFERROR(__xludf.DUMMYFUNCTION("""COMPUTED_VALUE"""),"Женский")</f>
        <v>Женский</v>
      </c>
      <c r="AF1905" s="6" t="str">
        <f>IFERROR(__xludf.DUMMYFUNCTION("""COMPUTED_VALUE"""),"18-29")</f>
        <v>18-29</v>
      </c>
      <c r="AG1905" s="6"/>
      <c r="AH1905" s="6"/>
      <c r="AI1905" s="6"/>
      <c r="AJ1905" s="6"/>
      <c r="AK1905" s="6"/>
      <c r="AL1905" s="6"/>
      <c r="AM1905" s="6"/>
    </row>
    <row r="1906">
      <c r="A1906" s="6">
        <v>1905.0</v>
      </c>
      <c r="B1906" s="6" t="str">
        <f>IFERROR(__xludf.DUMMYFUNCTION("""COMPUTED_VALUE"""),"Специалист-руководитель в декретном отпуске")</f>
        <v>Специалист-руководитель в декретном отпуске</v>
      </c>
      <c r="C1906" s="6" t="str">
        <f>IFERROR(__xludf.DUMMYFUNCTION("""COMPUTED_VALUE"""),"Шитье")</f>
        <v>Шитье</v>
      </c>
      <c r="D1906" s="6" t="str">
        <f>IFERROR(__xludf.DUMMYFUNCTION("""COMPUTED_VALUE"""),"Фпк. Заводский")</f>
        <v>Фпк. Заводский</v>
      </c>
      <c r="E1906" s="6" t="str">
        <f>IFERROR(__xludf.DUMMYFUNCTION("""COMPUTED_VALUE"""),"Парк новорожденных, храм святой Варвары, трк гринвич. И недостроенное здание около храма(")</f>
        <v>Парк новорожденных, храм святой Варвары, трк гринвич. И недостроенное здание около храма(</v>
      </c>
      <c r="F1906" s="6" t="str">
        <f>IFERROR(__xludf.DUMMYFUNCTION("""COMPUTED_VALUE"""),"Живу здесь с рождения")</f>
        <v>Живу здесь с рождения</v>
      </c>
      <c r="G1906" s="6" t="str">
        <f>IFERROR(__xludf.DUMMYFUNCTION("""COMPUTED_VALUE"""),"Бор, центр города, парк Жукова, парк веры волошиной")</f>
        <v>Бор, центр города, парк Жукова, парк веры волошиной</v>
      </c>
      <c r="H1906" s="6" t="str">
        <f>IFERROR(__xludf.DUMMYFUNCTION("""COMPUTED_VALUE"""),"Уголь, химия, металлургия, ")</f>
        <v>Уголь, химия, металлургия, </v>
      </c>
      <c r="I1906" s="6" t="str">
        <f>IFERROR(__xludf.DUMMYFUNCTION("""COMPUTED_VALUE"""),"Подгорбунский, Леонов")</f>
        <v>Подгорбунский, Леонов</v>
      </c>
      <c r="J1906" s="6" t="str">
        <f>IFERROR(__xludf.DUMMYFUNCTION("""COMPUTED_VALUE"""),"Тулеев, Михайлов")</f>
        <v>Тулеев, Михайлов</v>
      </c>
      <c r="K1906" s="6" t="str">
        <f>IFERROR(__xludf.DUMMYFUNCTION("""COMPUTED_VALUE"""),"Красная горка, памятник шахтеру")</f>
        <v>Красная горка, памятник шахтеру</v>
      </c>
      <c r="L1906" s="6" t="str">
        <f>IFERROR(__xludf.DUMMYFUNCTION("""COMPUTED_VALUE"""),"Нет")</f>
        <v>Нет</v>
      </c>
      <c r="M1906" s="6" t="str">
        <f>IFERROR(__xludf.DUMMYFUNCTION("""COMPUTED_VALUE"""),"Нет")</f>
        <v>Нет</v>
      </c>
      <c r="N1906" s="6" t="str">
        <f>IFERROR(__xludf.DUMMYFUNCTION("""COMPUTED_VALUE"""),"Развитая инфраструктура, медицина, культура, ухоженность улиц, ")</f>
        <v>Развитая инфраструктура, медицина, культура, ухоженность улиц, </v>
      </c>
      <c r="O1906" s="6" t="str">
        <f>IFERROR(__xludf.DUMMYFUNCTION("""COMPUTED_VALUE"""),"Решить проблемы с общественным транспортом, расширить дороги, иам где это необходимо. Например ул. Волошиной, Каменская ")</f>
        <v>Решить проблемы с общественным транспортом, расширить дороги, иам где это необходимо. Например ул. Волошиной, Каменская </v>
      </c>
      <c r="P1906" s="6" t="str">
        <f>IFERROR(__xludf.DUMMYFUNCTION("""COMPUTED_VALUE"""),"Подписки к театрам")</f>
        <v>Подписки к театрам</v>
      </c>
      <c r="Q1906" s="6" t="str">
        <f>IFERROR(__xludf.DUMMYFUNCTION("""COMPUTED_VALUE"""),"куда пойти в свободное время, городская афиша (кино/театр/концерты), бизнес-новости (средний чек/рекламные акции/запуск новых предприятий)")</f>
        <v>куда пойти в свободное время, городская афиша (кино/театр/концерты), бизнес-новости (средний чек/рекламные акции/запуск новых предприятий)</v>
      </c>
      <c r="R1906" s="6" t="str">
        <f>IFERROR(__xludf.DUMMYFUNCTION("""COMPUTED_VALUE"""),"День победы, день города")</f>
        <v>День победы, день города</v>
      </c>
      <c r="S1906" s="6" t="str">
        <f>IFERROR(__xludf.DUMMYFUNCTION("""COMPUTED_VALUE"""),"Нет, не приходилось")</f>
        <v>Нет, не приходилось</v>
      </c>
      <c r="T1906" s="6" t="str">
        <f>IFERROR(__xludf.DUMMYFUNCTION("""COMPUTED_VALUE"""),"Добычей угля ")</f>
        <v>Добычей угля </v>
      </c>
      <c r="U1906" s="6" t="str">
        <f>IFERROR(__xludf.DUMMYFUNCTION("""COMPUTED_VALUE"""),"Пр. Советский")</f>
        <v>Пр. Советский</v>
      </c>
      <c r="V1906" s="6" t="str">
        <f>IFERROR(__xludf.DUMMYFUNCTION("""COMPUTED_VALUE"""),"-")</f>
        <v>-</v>
      </c>
      <c r="W1906" s="6" t="str">
        <f>IFERROR(__xludf.DUMMYFUNCTION("""COMPUTED_VALUE"""),"Закрытые, часто запутанные и зашоренные ")</f>
        <v>Закрытые, часто запутанные и зашоренные </v>
      </c>
      <c r="X1906" s="6" t="str">
        <f>IFERROR(__xludf.DUMMYFUNCTION("""COMPUTED_VALUE"""),"-")</f>
        <v>-</v>
      </c>
      <c r="Y1906" s="6" t="str">
        <f>IFERROR(__xludf.DUMMYFUNCTION("""COMPUTED_VALUE"""),"Зимняя вишня")</f>
        <v>Зимняя вишня</v>
      </c>
      <c r="Z1906" s="6" t="str">
        <f>IFERROR(__xludf.DUMMYFUNCTION("""COMPUTED_VALUE"""),"Строитеоьствл новой площади")</f>
        <v>Строитеоьствл новой площади</v>
      </c>
      <c r="AA1906" s="6" t="str">
        <f>IFERROR(__xludf.DUMMYFUNCTION("""COMPUTED_VALUE"""),"-")</f>
        <v>-</v>
      </c>
      <c r="AB1906" s="6" t="str">
        <f>IFERROR(__xludf.DUMMYFUNCTION("""COMPUTED_VALUE"""),"-")</f>
        <v>-</v>
      </c>
      <c r="AC1906" s="6" t="str">
        <f>IFERROR(__xludf.DUMMYFUNCTION("""COMPUTED_VALUE"""),"-")</f>
        <v>-</v>
      </c>
      <c r="AD1906"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06" s="6" t="str">
        <f>IFERROR(__xludf.DUMMYFUNCTION("""COMPUTED_VALUE"""),"Женский")</f>
        <v>Женский</v>
      </c>
      <c r="AF1906" s="6" t="str">
        <f>IFERROR(__xludf.DUMMYFUNCTION("""COMPUTED_VALUE"""),"30-44")</f>
        <v>30-44</v>
      </c>
      <c r="AG1906" s="6"/>
      <c r="AH1906" s="6"/>
      <c r="AI1906" s="6"/>
      <c r="AJ1906" s="6"/>
      <c r="AK1906" s="6"/>
      <c r="AL1906" s="6"/>
      <c r="AM1906" s="6"/>
    </row>
    <row r="1907">
      <c r="A1907" s="6">
        <v>1906.0</v>
      </c>
      <c r="B1907" s="6" t="str">
        <f>IFERROR(__xludf.DUMMYFUNCTION("""COMPUTED_VALUE"""),"Врач")</f>
        <v>Врач</v>
      </c>
      <c r="C1907" s="6" t="str">
        <f>IFERROR(__xludf.DUMMYFUNCTION("""COMPUTED_VALUE"""),"Дача")</f>
        <v>Дача</v>
      </c>
      <c r="D1907" s="6" t="str">
        <f>IFERROR(__xludf.DUMMYFUNCTION("""COMPUTED_VALUE"""),"Центральный")</f>
        <v>Центральный</v>
      </c>
      <c r="E1907" s="6" t="str">
        <f>IFERROR(__xludf.DUMMYFUNCTION("""COMPUTED_VALUE"""),"Лысая гора сосновый бор")</f>
        <v>Лысая гора сосновый бор</v>
      </c>
      <c r="F1907" s="6" t="str">
        <f>IFERROR(__xludf.DUMMYFUNCTION("""COMPUTED_VALUE"""),"Живу здесь с рождения")</f>
        <v>Живу здесь с рождения</v>
      </c>
      <c r="G1907" s="6" t="str">
        <f>IFERROR(__xludf.DUMMYFUNCTION("""COMPUTED_VALUE"""),"Бор журавли")</f>
        <v>Бор журавли</v>
      </c>
      <c r="H1907" s="6" t="str">
        <f>IFERROR(__xludf.DUMMYFUNCTION("""COMPUTED_VALUE"""),"Красавец дорогой любимый большой хороний")</f>
        <v>Красавец дорогой любимый большой хороний</v>
      </c>
      <c r="I1907" s="6" t="str">
        <f>IFERROR(__xludf.DUMMYFUNCTION("""COMPUTED_VALUE"""),"Шраер Леонов с
Сафохин Ткачев Реморова ")</f>
        <v>Шраер Леонов с
Сафохин Ткачев Реморова </v>
      </c>
      <c r="J1907" s="6" t="str">
        <f>IFERROR(__xludf.DUMMYFUNCTION("""COMPUTED_VALUE"""),"Михайлов Федякин Тулеев Цевилев Попов Горобец")</f>
        <v>Михайлов Федякин Тулеев Цевилев Попов Горобец</v>
      </c>
      <c r="K1907" s="6" t="str">
        <f>IFERROR(__xludf.DUMMYFUNCTION("""COMPUTED_VALUE"""),"Красная горка бор лысая гора")</f>
        <v>Красная горка бор лысая гора</v>
      </c>
      <c r="L1907" s="6" t="str">
        <f>IFERROR(__xludf.DUMMYFUNCTION("""COMPUTED_VALUE"""),"Кузбасс это уголь слава шахтерам")</f>
        <v>Кузбасс это уголь слава шахтерам</v>
      </c>
      <c r="M1907" s="6" t="str">
        <f>IFERROR(__xludf.DUMMYFUNCTION("""COMPUTED_VALUE"""),"Колба")</f>
        <v>Колба</v>
      </c>
      <c r="N1907" s="6" t="str">
        <f>IFERROR(__xludf.DUMMYFUNCTION("""COMPUTED_VALUE"""),"Транспорт парки культура спорт бор")</f>
        <v>Транспорт парки культура спорт бор</v>
      </c>
      <c r="O1907" s="6" t="str">
        <f>IFERROR(__xludf.DUMMYFUNCTION("""COMPUTED_VALUE"""),"Культуру поведения людей и создать аквапарк летние пляжи плавать не где")</f>
        <v>Культуру поведения людей и создать аквапарк летние пляжи плавать не где</v>
      </c>
      <c r="P1907" s="6" t="str">
        <f>IFERROR(__xludf.DUMMYFUNCTION("""COMPUTED_VALUE"""),"Тв")</f>
        <v>Тв</v>
      </c>
      <c r="Q1907"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907" s="6" t="str">
        <f>IFERROR(__xludf.DUMMYFUNCTION("""COMPUTED_VALUE"""),"9 мая")</f>
        <v>9 мая</v>
      </c>
      <c r="S1907" s="6" t="str">
        <f>IFERROR(__xludf.DUMMYFUNCTION("""COMPUTED_VALUE"""),"Нет, не приходилось")</f>
        <v>Нет, не приходилось</v>
      </c>
      <c r="T1907" s="6" t="str">
        <f>IFERROR(__xludf.DUMMYFUNCTION("""COMPUTED_VALUE"""),"Уголь Леонов")</f>
        <v>Уголь Леонов</v>
      </c>
      <c r="U1907" s="6" t="str">
        <f>IFERROR(__xludf.DUMMYFUNCTION("""COMPUTED_VALUE"""),"Нулевой киллометр")</f>
        <v>Нулевой киллометр</v>
      </c>
      <c r="V1907" s="6" t="str">
        <f>IFERROR(__xludf.DUMMYFUNCTION("""COMPUTED_VALUE"""),"Весенняя бульвар сохранили бор")</f>
        <v>Весенняя бульвар сохранили бор</v>
      </c>
      <c r="W1907" s="6" t="str">
        <f>IFERROR(__xludf.DUMMYFUNCTION("""COMPUTED_VALUE"""),"Добрые")</f>
        <v>Добрые</v>
      </c>
      <c r="X1907" s="6" t="str">
        <f>IFERROR(__xludf.DUMMYFUNCTION("""COMPUTED_VALUE"""),"По Советов набережная лысая гора шашлыка в Красновке")</f>
        <v>По Советов набережная лысая гора шашлыка в Красновке</v>
      </c>
      <c r="Y1907" s="6" t="str">
        <f>IFERROR(__xludf.DUMMYFUNCTION("""COMPUTED_VALUE"""),"Нашли уголь")</f>
        <v>Нашли уголь</v>
      </c>
      <c r="Z1907" s="6" t="str">
        <f>IFERROR(__xludf.DUMMYFUNCTION("""COMPUTED_VALUE"""),"9мая бессмертный полк")</f>
        <v>9мая бессмертный полк</v>
      </c>
      <c r="AA1907" s="6" t="str">
        <f>IFERROR(__xludf.DUMMYFUNCTION("""COMPUTED_VALUE"""),"Навальный и придурки")</f>
        <v>Навальный и придурки</v>
      </c>
      <c r="AB1907" s="6" t="str">
        <f>IFERROR(__xludf.DUMMYFUNCTION("""COMPUTED_VALUE"""),"Мне все устраивает")</f>
        <v>Мне все устраивает</v>
      </c>
      <c r="AC1907" s="6" t="str">
        <f>IFERROR(__xludf.DUMMYFUNCTION("""COMPUTED_VALUE"""),"Пляж водный отдых")</f>
        <v>Пляж водный отдых</v>
      </c>
      <c r="AD1907" s="6" t="str">
        <f>IFERROR(__xludf.DUMMYFUNCTION("""COMPUTED_VALUE"""),"Профессионала. Обучать, проводить занятия, мастер-классы, лекции, тренинги, оказать консультацию (укажите тему в поле ""Другое""), Реанимация")</f>
        <v>Профессионала. Обучать, проводить занятия, мастер-классы, лекции, тренинги, оказать консультацию (укажите тему в поле "Другое"), Реанимация</v>
      </c>
      <c r="AE1907" s="6" t="str">
        <f>IFERROR(__xludf.DUMMYFUNCTION("""COMPUTED_VALUE"""),"Мужской")</f>
        <v>Мужской</v>
      </c>
      <c r="AF1907" s="6" t="str">
        <f>IFERROR(__xludf.DUMMYFUNCTION("""COMPUTED_VALUE"""),"старше 55")</f>
        <v>старше 55</v>
      </c>
      <c r="AG1907" s="6"/>
      <c r="AH1907" s="6"/>
      <c r="AI1907" s="6"/>
      <c r="AJ1907" s="6"/>
      <c r="AK1907" s="6"/>
      <c r="AL1907" s="6"/>
      <c r="AM1907" s="6"/>
    </row>
    <row r="1908">
      <c r="A1908" s="6">
        <v>1907.0</v>
      </c>
      <c r="B1908" s="6" t="str">
        <f>IFERROR(__xludf.DUMMYFUNCTION("""COMPUTED_VALUE"""),"ит, урбанист")</f>
        <v>ит, урбанист</v>
      </c>
      <c r="C1908" s="6" t="str">
        <f>IFERROR(__xludf.DUMMYFUNCTION("""COMPUTED_VALUE"""),"рисование")</f>
        <v>рисование</v>
      </c>
      <c r="D1908" s="6" t="str">
        <f>IFERROR(__xludf.DUMMYFUNCTION("""COMPUTED_VALUE"""),"рудничный/радуга и ленинский")</f>
        <v>рудничный/радуга и ленинский</v>
      </c>
      <c r="E1908" s="6" t="str">
        <f>IFERROR(__xludf.DUMMYFUNCTION("""COMPUTED_VALUE"""),"в рудничном - музей красная горка и смежный исторический ансамбль домов, в ленинском - кольцо на пр. Ленина и мечеть")</f>
        <v>в рудничном - музей красная горка и смежный исторический ансамбль домов, в ленинском - кольцо на пр. Ленина и мечеть</v>
      </c>
      <c r="F1908" s="6" t="str">
        <f>IFERROR(__xludf.DUMMYFUNCTION("""COMPUTED_VALUE"""),"Живу здесь с рождения")</f>
        <v>Живу здесь с рождения</v>
      </c>
      <c r="G1908" s="6" t="str">
        <f>IFERROR(__xludf.DUMMYFUNCTION("""COMPUTED_VALUE"""),"парк чудес, кузбасский парк, комсомольский парк")</f>
        <v>парк чудес, кузбасский парк, комсомольский парк</v>
      </c>
      <c r="H1908" s="6" t="str">
        <f>IFERROR(__xludf.DUMMYFUNCTION("""COMPUTED_VALUE"""),"химия, уголь, томь, трамвай, трубы")</f>
        <v>химия, уголь, томь, трамвай, трубы</v>
      </c>
      <c r="I1908" s="6" t="str">
        <f>IFERROR(__xludf.DUMMYFUNCTION("""COMPUTED_VALUE"""),"Йоханнес ван Лохем")</f>
        <v>Йоханнес ван Лохем</v>
      </c>
      <c r="J1908" s="6" t="str">
        <f>IFERROR(__xludf.DUMMYFUNCTION("""COMPUTED_VALUE"""),"Михайлов Владимир Васильевич")</f>
        <v>Михайлов Владимир Васильевич</v>
      </c>
      <c r="K1908" s="6" t="str">
        <f>IFERROR(__xludf.DUMMYFUNCTION("""COMPUTED_VALUE"""),"Памятник Память шахтёрам Кузбасса Эрнста Неизвестного - это самое дорогое достояние города")</f>
        <v>Памятник Память шахтёрам Кузбасса Эрнста Неизвестного - это самое дорогое достояние города</v>
      </c>
      <c r="L1908" s="6" t="str">
        <f>IFERROR(__xludf.DUMMYFUNCTION("""COMPUTED_VALUE"""),"летом +40, зимой -40. У Кемерово особенность на Иван Купала обливать людей, хотя в других частях России такой традиции нет.")</f>
        <v>летом +40, зимой -40. У Кемерово особенность на Иван Купала обливать людей, хотя в других частях России такой традиции нет.</v>
      </c>
      <c r="M1908" s="6" t="str">
        <f>IFERROR(__xludf.DUMMYFUNCTION("""COMPUTED_VALUE"""),"мультифора - слово сибирского разлива")</f>
        <v>мультифора - слово сибирского разлива</v>
      </c>
      <c r="N1908" s="6" t="str">
        <f>IFERROR(__xludf.DUMMYFUNCTION("""COMPUTED_VALUE"""),"Развитый общественный транспорт, велоинфраструктура, пешеходная доступность, квартальная застройка, экологичность")</f>
        <v>Развитый общественный транспорт, велоинфраструктура, пешеходная доступность, квартальная застройка, экологичность</v>
      </c>
      <c r="O1908" s="6" t="str">
        <f>IFERROR(__xludf.DUMMYFUNCTION("""COMPUTED_VALUE"""),"Создать вело/пешеходную связность двух берегов")</f>
        <v>Создать вело/пешеходную связность двух берегов</v>
      </c>
      <c r="P1908" s="6" t="str">
        <f>IFERROR(__xludf.DUMMYFUNCTION("""COMPUTED_VALUE"""),"Google")</f>
        <v>Google</v>
      </c>
      <c r="Q1908" s="6" t="str">
        <f>IFERROR(__xludf.DUMMYFUNCTION("""COMPUTED_VALUE"""),"никакие")</f>
        <v>никакие</v>
      </c>
      <c r="R1908" s="6" t="str">
        <f>IFERROR(__xludf.DUMMYFUNCTION("""COMPUTED_VALUE"""),"нет таких")</f>
        <v>нет таких</v>
      </c>
      <c r="S1908" s="6" t="str">
        <f>IFERROR(__xludf.DUMMYFUNCTION("""COMPUTED_VALUE"""),"Писал и расклеивал объявления/афиши, Делал рассылку по электронной почте")</f>
        <v>Писал и расклеивал объявления/афиши, Делал рассылку по электронной почте</v>
      </c>
      <c r="T1908" s="6" t="str">
        <f>IFERROR(__xludf.DUMMYFUNCTION("""COMPUTED_VALUE"""),"Город был построен голландцами. Из уникального сохранился трамвай и троллейбус. А еще Парк Ангелов на месте Зимней вишни.")</f>
        <v>Город был построен голландцами. Из уникального сохранился трамвай и троллейбус. А еще Парк Ангелов на месте Зимней вишни.</v>
      </c>
      <c r="U1908" s="6" t="str">
        <f>IFERROR(__xludf.DUMMYFUNCTION("""COMPUTED_VALUE"""),"квадрат кузнецкий-ленина-мичурина-советский")</f>
        <v>квадрат кузнецкий-ленина-мичурина-советский</v>
      </c>
      <c r="V1908" s="6" t="str">
        <f>IFERROR(__xludf.DUMMYFUNCTION("""COMPUTED_VALUE"""),"построили набережную в парке чудес и телебашю")</f>
        <v>построили набережную в парке чудес и телебашю</v>
      </c>
      <c r="W1908" s="6" t="str">
        <f>IFERROR(__xludf.DUMMYFUNCTION("""COMPUTED_VALUE"""),"Кемеровчане это скорее всего трудяги. А вот качества это недоверие к другим.")</f>
        <v>Кемеровчане это скорее всего трудяги. А вот качества это недоверие к другим.</v>
      </c>
      <c r="X1908" s="6" t="str">
        <f>IFERROR(__xludf.DUMMYFUNCTION("""COMPUTED_VALUE"""),"вдоль набережной реки Томь ")</f>
        <v>вдоль набережной реки Томь </v>
      </c>
      <c r="Y1908" s="6" t="str">
        <f>IFERROR(__xludf.DUMMYFUNCTION("""COMPUTED_VALUE"""),"Чемпионат мира по хоккею с мячом 2007")</f>
        <v>Чемпионат мира по хоккею с мячом 2007</v>
      </c>
      <c r="Z1908" s="6" t="str">
        <f>IFERROR(__xludf.DUMMYFUNCTION("""COMPUTED_VALUE"""),"рок-фестиваль «Герои мирового рока», хотя я там не был, но отголоски позитива долго ходили по городу")</f>
        <v>рок-фестиваль «Герои мирового рока», хотя я там не был, но отголоски позитива долго ходили по городу</v>
      </c>
      <c r="AA1908" s="6" t="str">
        <f>IFERROR(__xludf.DUMMYFUNCTION("""COMPUTED_VALUE"""),"задержания на митингах")</f>
        <v>задержания на митингах</v>
      </c>
      <c r="AB1908" s="6" t="str">
        <f>IFERROR(__xludf.DUMMYFUNCTION("""COMPUTED_VALUE"""),"мне кажется уже все сообщества есть")</f>
        <v>мне кажется уже все сообщества есть</v>
      </c>
      <c r="AC1908" s="6" t="str">
        <f>IFERROR(__xludf.DUMMYFUNCTION("""COMPUTED_VALUE"""),"Чтобы жители города могли избирать мэра напрямую")</f>
        <v>Чтобы жители города могли избирать мэра напрямую</v>
      </c>
      <c r="AD190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08" s="6" t="str">
        <f>IFERROR(__xludf.DUMMYFUNCTION("""COMPUTED_VALUE"""),"Мужской")</f>
        <v>Мужской</v>
      </c>
      <c r="AF1908" s="6" t="str">
        <f>IFERROR(__xludf.DUMMYFUNCTION("""COMPUTED_VALUE"""),"30-44")</f>
        <v>30-44</v>
      </c>
      <c r="AG1908" s="6"/>
      <c r="AH1908" s="6"/>
      <c r="AI1908" s="6"/>
      <c r="AJ1908" s="6"/>
      <c r="AK1908" s="6"/>
      <c r="AL1908" s="6"/>
      <c r="AM1908" s="6"/>
    </row>
    <row r="1909">
      <c r="A1909" s="6">
        <v>1908.0</v>
      </c>
      <c r="B1909" s="6" t="str">
        <f>IFERROR(__xludf.DUMMYFUNCTION("""COMPUTED_VALUE"""),"консалтинг")</f>
        <v>консалтинг</v>
      </c>
      <c r="C1909" s="6" t="str">
        <f>IFERROR(__xludf.DUMMYFUNCTION("""COMPUTED_VALUE"""),"фото")</f>
        <v>фото</v>
      </c>
      <c r="D1909" s="6" t="str">
        <f>IFERROR(__xludf.DUMMYFUNCTION("""COMPUTED_VALUE"""),"ленинский")</f>
        <v>ленинский</v>
      </c>
      <c r="E1909" s="6" t="str">
        <f>IFERROR(__xludf.DUMMYFUNCTION("""COMPUTED_VALUE"""),"сквер")</f>
        <v>сквер</v>
      </c>
      <c r="F1909"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909" s="6" t="str">
        <f>IFERROR(__xludf.DUMMYFUNCTION("""COMPUTED_VALUE"""),"сквер у дома, набережная в центре, парк в Лесной поляне, Сосновый бор")</f>
        <v>сквер у дома, набережная в центре, парк в Лесной поляне, Сосновый бор</v>
      </c>
      <c r="H1909" s="6" t="str">
        <f>IFERROR(__xludf.DUMMYFUNCTION("""COMPUTED_VALUE"""),"удобство, но некуда пойти)))")</f>
        <v>удобство, но некуда пойти)))</v>
      </c>
      <c r="I1909" s="6" t="str">
        <f>IFERROR(__xludf.DUMMYFUNCTION("""COMPUTED_VALUE"""),"В.В. Михайлов, ")</f>
        <v>В.В. Михайлов, </v>
      </c>
      <c r="J1909" s="6" t="str">
        <f>IFERROR(__xludf.DUMMYFUNCTION("""COMPUTED_VALUE"""),"Гришковец, Панин")</f>
        <v>Гришковец, Панин</v>
      </c>
      <c r="K1909" s="6" t="str">
        <f>IFERROR(__xludf.DUMMYFUNCTION("""COMPUTED_VALUE"""),"долго думала над этим - кроме набережной ничего в голову не приходит")</f>
        <v>долго думала над этим - кроме набережной ничего в голову не приходит</v>
      </c>
      <c r="L1909" s="6" t="str">
        <f>IFERROR(__xludf.DUMMYFUNCTION("""COMPUTED_VALUE"""),"к сожалению только Зимняя вишня")</f>
        <v>к сожалению только Зимняя вишня</v>
      </c>
      <c r="M1909" s="6" t="str">
        <f>IFERROR(__xludf.DUMMYFUNCTION("""COMPUTED_VALUE"""),"нет")</f>
        <v>нет</v>
      </c>
      <c r="N1909" s="6" t="str">
        <f>IFERROR(__xludf.DUMMYFUNCTION("""COMPUTED_VALUE"""),"быстрота поиска адреса, чистота, возможность получения визуального удовольствия от множества интересных деталей, объектов; хорошие дороги, пешеходные зоны, освещенность улиц, дворов. Места где можно посидеть, ")</f>
        <v>быстрота поиска адреса, чистота, возможность получения визуального удовольствия от множества интересных деталей, объектов; хорошие дороги, пешеходные зоны, освещенность улиц, дворов. Места где можно посидеть, </v>
      </c>
      <c r="O1909" s="6" t="str">
        <f>IFERROR(__xludf.DUMMYFUNCTION("""COMPUTED_VALUE"""),"воспитать людей следить за собой")</f>
        <v>воспитать людей следить за собой</v>
      </c>
      <c r="P1909" s="6" t="str">
        <f>IFERROR(__xludf.DUMMYFUNCTION("""COMPUTED_VALUE"""),"телеграм каналы")</f>
        <v>телеграм каналы</v>
      </c>
      <c r="Q1909"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909" s="6" t="str">
        <f>IFERROR(__xludf.DUMMYFUNCTION("""COMPUTED_VALUE"""),"только где есть салют. Хорошим мероприятием был Театральный фестиваль на бульв Строителей в 2017 году")</f>
        <v>только где есть салют. Хорошим мероприятием был Театральный фестиваль на бульв Строителей в 2017 году</v>
      </c>
      <c r="S1909" s="6" t="str">
        <f>IFERROR(__xludf.DUMMYFUNCTION("""COMPUTED_VALUE"""),"Нет, не приходилось")</f>
        <v>Нет, не приходилось</v>
      </c>
      <c r="T1909" s="6" t="str">
        <f>IFERROR(__xludf.DUMMYFUNCTION("""COMPUTED_VALUE"""),"не могу ответить")</f>
        <v>не могу ответить</v>
      </c>
      <c r="U1909" s="6" t="str">
        <f>IFERROR(__xludf.DUMMYFUNCTION("""COMPUTED_VALUE"""),"драмтеатр, ул Весенняя")</f>
        <v>драмтеатр, ул Весенняя</v>
      </c>
      <c r="V1909" s="6" t="str">
        <f>IFERROR(__xludf.DUMMYFUNCTION("""COMPUTED_VALUE"""),"затрудняюсь")</f>
        <v>затрудняюсь</v>
      </c>
      <c r="W1909" s="6" t="str">
        <f>IFERROR(__xludf.DUMMYFUNCTION("""COMPUTED_VALUE"""),"к сожалению на ум приходит только нехорошее)) ")</f>
        <v>к сожалению на ум приходит только нехорошее)) </v>
      </c>
      <c r="X1909" s="6" t="str">
        <f>IFERROR(__xludf.DUMMYFUNCTION("""COMPUTED_VALUE"""),"не знаю")</f>
        <v>не знаю</v>
      </c>
      <c r="Y1909" s="6" t="str">
        <f>IFERROR(__xludf.DUMMYFUNCTION("""COMPUTED_VALUE"""),"нет")</f>
        <v>нет</v>
      </c>
      <c r="Z1909" s="6" t="str">
        <f>IFERROR(__xludf.DUMMYFUNCTION("""COMPUTED_VALUE"""),"нет")</f>
        <v>нет</v>
      </c>
      <c r="AA1909" s="6" t="str">
        <f>IFERROR(__xludf.DUMMYFUNCTION("""COMPUTED_VALUE"""),"нет")</f>
        <v>нет</v>
      </c>
      <c r="AB1909" s="6" t="str">
        <f>IFERROR(__xludf.DUMMYFUNCTION("""COMPUTED_VALUE"""),"философский вопрос")</f>
        <v>философский вопрос</v>
      </c>
      <c r="AC1909" s="6" t="str">
        <f>IFERROR(__xludf.DUMMYFUNCTION("""COMPUTED_VALUE"""),"нет")</f>
        <v>нет</v>
      </c>
      <c r="AD1909"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09" s="6" t="str">
        <f>IFERROR(__xludf.DUMMYFUNCTION("""COMPUTED_VALUE"""),"Женский")</f>
        <v>Женский</v>
      </c>
      <c r="AF1909" s="6" t="str">
        <f>IFERROR(__xludf.DUMMYFUNCTION("""COMPUTED_VALUE"""),"45-55")</f>
        <v>45-55</v>
      </c>
      <c r="AG1909" s="6"/>
      <c r="AH1909" s="6"/>
      <c r="AI1909" s="6"/>
      <c r="AJ1909" s="6"/>
      <c r="AK1909" s="6"/>
      <c r="AL1909" s="6"/>
      <c r="AM1909" s="6"/>
    </row>
    <row r="1910">
      <c r="A1910" s="6">
        <v>1909.0</v>
      </c>
      <c r="B1910" s="6" t="str">
        <f>IFERROR(__xludf.DUMMYFUNCTION("""COMPUTED_VALUE"""),"Пчеловод")</f>
        <v>Пчеловод</v>
      </c>
      <c r="C1910" s="6" t="str">
        <f>IFERROR(__xludf.DUMMYFUNCTION("""COMPUTED_VALUE"""),"Коллекционирование: монеты, комиксы, автографы")</f>
        <v>Коллекционирование: монеты, комиксы, автографы</v>
      </c>
      <c r="D1910" s="6" t="str">
        <f>IFERROR(__xludf.DUMMYFUNCTION("""COMPUTED_VALUE"""),"В центральном")</f>
        <v>В центральном</v>
      </c>
      <c r="E1910" s="6" t="str">
        <f>IFERROR(__xludf.DUMMYFUNCTION("""COMPUTED_VALUE"""),"парк, Антошка, Ангелов, Жукова; весенняя")</f>
        <v>парк, Антошка, Ангелов, Жукова; весенняя</v>
      </c>
      <c r="F1910" s="6" t="str">
        <f>IFERROR(__xludf.DUMMYFUNCTION("""COMPUTED_VALUE"""),"Живу здесь с рождения")</f>
        <v>Живу здесь с рождения</v>
      </c>
      <c r="G1910" s="6" t="str">
        <f>IFERROR(__xludf.DUMMYFUNCTION("""COMPUTED_VALUE"""),"Парки, набережная, Тц")</f>
        <v>Парки, набережная, Тц</v>
      </c>
      <c r="H1910" s="6" t="str">
        <f>IFERROR(__xludf.DUMMYFUNCTION("""COMPUTED_VALUE"""),"Удобный, умеренно-чистый, загазованный, комфортный для проживания(географически), большая деревня ")</f>
        <v>Удобный, умеренно-чистый, загазованный, комфортный для проживания(географически), большая деревня </v>
      </c>
      <c r="I1910" s="6" t="str">
        <f>IFERROR(__xludf.DUMMYFUNCTION("""COMPUTED_VALUE"""),"Леонов, Волков, Тулеев, Раздаев, ")</f>
        <v>Леонов, Волков, Тулеев, Раздаев, </v>
      </c>
      <c r="J1910" s="6" t="str">
        <f>IFERROR(__xludf.DUMMYFUNCTION("""COMPUTED_VALUE"""),"Гришковец, Бабенко")</f>
        <v>Гришковец, Бабенко</v>
      </c>
      <c r="K1910" s="6" t="str">
        <f>IFERROR(__xludf.DUMMYFUNCTION("""COMPUTED_VALUE"""),"Младенец в капусте на Химиков, утки в Искитимке, Сосновый бор, Анатомичку")</f>
        <v>Младенец в капусте на Химиков, утки в Искитимке, Сосновый бор, Анатомичку</v>
      </c>
      <c r="L1910" s="6" t="str">
        <f>IFERROR(__xludf.DUMMYFUNCTION("""COMPUTED_VALUE"""),"Жили узбеки в районе современного цирка, ...")</f>
        <v>Жили узбеки в районе современного цирка, ...</v>
      </c>
      <c r="M1910" s="6" t="str">
        <f>IFERROR(__xludf.DUMMYFUNCTION("""COMPUTED_VALUE"""),"В Кемерове, Кемерова")</f>
        <v>В Кемерове, Кемерова</v>
      </c>
      <c r="N1910" s="6" t="str">
        <f>IFERROR(__xludf.DUMMYFUNCTION("""COMPUTED_VALUE"""),"Чистый воздух, простые дорожные развязки, доступность транспорта в поздним вечером и ночью, безопасность: чтобы не падали сосульки, посыпали тротуар зимой; боролись с ""закладками"", наркоманами; безопасный проход пеший детей в школу.")</f>
        <v>Чистый воздух, простые дорожные развязки, доступность транспорта в поздним вечером и ночью, безопасность: чтобы не падали сосульки, посыпали тротуар зимой; боролись с "закладками", наркоманами; безопасный проход пеший детей в школу.</v>
      </c>
      <c r="O1910" s="6" t="str">
        <f>IFERROR(__xludf.DUMMYFUNCTION("""COMPUTED_VALUE"""),"Фильтры на заводы!!!  Места для выгула собак, ")</f>
        <v>Фильтры на заводы!!!  Места для выгула собак, </v>
      </c>
      <c r="P1910" s="6" t="str">
        <f>IFERROR(__xludf.DUMMYFUNCTION("""COMPUTED_VALUE"""),"А42")</f>
        <v>А42</v>
      </c>
      <c r="Q1910" s="6" t="str">
        <f>IFERROR(__xludf.DUMMYFUNCTION("""COMPUTED_VALUE"""),"куда пойти в свободное время, городская афиша (кино/театр/концерты), культурные новинки (что почитать/что послушать),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результаты местных исследований (рейтинги/аналитика/тенденции)</v>
      </c>
      <c r="R1910" s="6" t="str">
        <f>IFERROR(__xludf.DUMMYFUNCTION("""COMPUTED_VALUE"""),"-")</f>
        <v>-</v>
      </c>
      <c r="S1910" s="6" t="str">
        <f>IFERROR(__xludf.DUMMYFUNCTION("""COMPUTED_VALUE"""),"Нет, не приходилось")</f>
        <v>Нет, не приходилось</v>
      </c>
      <c r="T1910" s="6" t="str">
        <f>IFERROR(__xludf.DUMMYFUNCTION("""COMPUTED_VALUE"""),"Трагедией Зимняя вишня")</f>
        <v>Трагедией Зимняя вишня</v>
      </c>
      <c r="U1910" s="6" t="str">
        <f>IFERROR(__xludf.DUMMYFUNCTION("""COMPUTED_VALUE"""),"Драмтеатр")</f>
        <v>Драмтеатр</v>
      </c>
      <c r="V1910" s="6" t="str">
        <f>IFERROR(__xludf.DUMMYFUNCTION("""COMPUTED_VALUE"""),"-")</f>
        <v>-</v>
      </c>
      <c r="W1910" s="6" t="str">
        <f>IFERROR(__xludf.DUMMYFUNCTION("""COMPUTED_VALUE"""),"Песня ""Человек из Кемерово"", многое подходит)")</f>
        <v>Песня "Человек из Кемерово", многое подходит)</v>
      </c>
      <c r="X1910" s="6" t="str">
        <f>IFERROR(__xludf.DUMMYFUNCTION("""COMPUTED_VALUE"""),"На 3 трамвае")</f>
        <v>На 3 трамвае</v>
      </c>
      <c r="Y1910" s="6" t="str">
        <f>IFERROR(__xludf.DUMMYFUNCTION("""COMPUTED_VALUE"""),"Кузбасс выиграл кубок по хоккею с мячом в 1999, кажется)")</f>
        <v>Кузбасс выиграл кубок по хоккею с мячом в 1999, кажется)</v>
      </c>
      <c r="Z1910" s="6" t="str">
        <f>IFERROR(__xludf.DUMMYFUNCTION("""COMPUTED_VALUE"""),"-")</f>
        <v>-</v>
      </c>
      <c r="AA1910" s="6" t="str">
        <f>IFERROR(__xludf.DUMMYFUNCTION("""COMPUTED_VALUE"""),"-")</f>
        <v>-</v>
      </c>
      <c r="AB1910" s="6" t="str">
        <f>IFERROR(__xludf.DUMMYFUNCTION("""COMPUTED_VALUE"""),"-")</f>
        <v>-</v>
      </c>
      <c r="AC1910" s="6" t="str">
        <f>IFERROR(__xludf.DUMMYFUNCTION("""COMPUTED_VALUE"""),"-")</f>
        <v>-</v>
      </c>
      <c r="AD191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10" s="6" t="str">
        <f>IFERROR(__xludf.DUMMYFUNCTION("""COMPUTED_VALUE"""),"Мужской")</f>
        <v>Мужской</v>
      </c>
      <c r="AF1910" s="6" t="str">
        <f>IFERROR(__xludf.DUMMYFUNCTION("""COMPUTED_VALUE"""),"30-44")</f>
        <v>30-44</v>
      </c>
      <c r="AG1910" s="6"/>
      <c r="AH1910" s="6"/>
      <c r="AI1910" s="6"/>
      <c r="AJ1910" s="6"/>
      <c r="AK1910" s="6"/>
      <c r="AL1910" s="6"/>
      <c r="AM1910" s="6"/>
    </row>
    <row r="1911">
      <c r="A1911" s="6">
        <v>1910.0</v>
      </c>
      <c r="B1911" s="6" t="str">
        <f>IFERROR(__xludf.DUMMYFUNCTION("""COMPUTED_VALUE"""),"Безработная")</f>
        <v>Безработная</v>
      </c>
      <c r="C1911" s="6" t="str">
        <f>IFERROR(__xludf.DUMMYFUNCTION("""COMPUTED_VALUE"""),"Да")</f>
        <v>Да</v>
      </c>
      <c r="D1911" s="6" t="str">
        <f>IFERROR(__xludf.DUMMYFUNCTION("""COMPUTED_VALUE"""),"Ленинский")</f>
        <v>Ленинский</v>
      </c>
      <c r="E1911" s="6" t="str">
        <f>IFERROR(__xludf.DUMMYFUNCTION("""COMPUTED_VALUE"""),"Парк у спорткомплекса Кузбасс")</f>
        <v>Парк у спорткомплекса Кузбасс</v>
      </c>
      <c r="F1911" s="6" t="str">
        <f>IFERROR(__xludf.DUMMYFUNCTION("""COMPUTED_VALUE"""),"Переехал сюда из другого места (откуда? укажите в графе другое), Стерлитамак")</f>
        <v>Переехал сюда из другого места (откуда? укажите в графе другое), Стерлитамак</v>
      </c>
      <c r="G1911" s="6" t="str">
        <f>IFERROR(__xludf.DUMMYFUNCTION("""COMPUTED_VALUE"""),"Парк у искитимки")</f>
        <v>Парк у искитимки</v>
      </c>
      <c r="H1911" s="6" t="str">
        <f>IFERROR(__xludf.DUMMYFUNCTION("""COMPUTED_VALUE"""),"Засада с транспортом, администрации нет дела до людей.")</f>
        <v>Засада с транспортом, администрации нет дела до людей.</v>
      </c>
      <c r="I1911" s="6" t="str">
        <f>IFERROR(__xludf.DUMMYFUNCTION("""COMPUTED_VALUE"""),"Владимир Васильевич Михайлов")</f>
        <v>Владимир Васильевич Михайлов</v>
      </c>
      <c r="J1911" s="6" t="str">
        <f>IFERROR(__xludf.DUMMYFUNCTION("""COMPUTED_VALUE"""),"Владимир Васильевич Михайлов")</f>
        <v>Владимир Васильевич Михайлов</v>
      </c>
      <c r="K1911" s="6" t="str">
        <f>IFERROR(__xludf.DUMMYFUNCTION("""COMPUTED_VALUE"""),"Памятник шахтёру на правом берегу")</f>
        <v>Памятник шахтёру на правом берегу</v>
      </c>
      <c r="L1911" s="6" t="str">
        <f>IFERROR(__xludf.DUMMYFUNCTION("""COMPUTED_VALUE"""),"Пишу в администрацию Кемерово, что сложно уехать с вокзала вечером. Ответ, жители Кемерово это не рентабельно. Нужно планировать свой выход из дома, согласно графику движения транспорта.")</f>
        <v>Пишу в администрацию Кемерово, что сложно уехать с вокзала вечером. Ответ, жители Кемерово это не рентабельно. Нужно планировать свой выход из дома, согласно графику движения транспорта.</v>
      </c>
      <c r="M1911" s="6" t="str">
        <f>IFERROR(__xludf.DUMMYFUNCTION("""COMPUTED_VALUE"""),"Нет")</f>
        <v>Нет</v>
      </c>
      <c r="N1911" s="6" t="str">
        <f>IFERROR(__xludf.DUMMYFUNCTION("""COMPUTED_VALUE"""),"Город за последние три года стал не комфортным")</f>
        <v>Город за последние три года стал не комфортным</v>
      </c>
      <c r="O1911" s="6" t="str">
        <f>IFERROR(__xludf.DUMMYFUNCTION("""COMPUTED_VALUE"""),"Управляющий аппарат")</f>
        <v>Управляющий аппарат</v>
      </c>
      <c r="P1911" s="6" t="str">
        <f>IFERROR(__xludf.DUMMYFUNCTION("""COMPUTED_VALUE"""),"Интернет")</f>
        <v>Интернет</v>
      </c>
      <c r="Q1911" s="6" t="str">
        <f>IFERROR(__xludf.DUMMYFUNCTION("""COMPUTED_VALUE"""),"городская афиша (кино/театр/концерты), Что стало лучше в нашем городе, по сравнению с временем ссср")</f>
        <v>городская афиша (кино/театр/концерты), Что стало лучше в нашем городе, по сравнению с временем ссср</v>
      </c>
      <c r="R1911" s="6" t="str">
        <f>IFERROR(__xludf.DUMMYFUNCTION("""COMPUTED_VALUE"""),"Нет")</f>
        <v>Нет</v>
      </c>
      <c r="S1911" s="6" t="str">
        <f>IFERROR(__xludf.DUMMYFUNCTION("""COMPUTED_VALUE"""),"Нет, не приходилось")</f>
        <v>Нет, не приходилось</v>
      </c>
      <c r="T1911" s="6" t="str">
        <f>IFERROR(__xludf.DUMMYFUNCTION("""COMPUTED_VALUE"""),"Пожар в зимней вишне")</f>
        <v>Пожар в зимней вишне</v>
      </c>
      <c r="U1911" s="6" t="str">
        <f>IFERROR(__xludf.DUMMYFUNCTION("""COMPUTED_VALUE"""),"-")</f>
        <v>-</v>
      </c>
      <c r="V1911" s="6" t="str">
        <f>IFERROR(__xludf.DUMMYFUNCTION("""COMPUTED_VALUE"""),"Жили, строили, были всегда вместе")</f>
        <v>Жили, строили, были всегда вместе</v>
      </c>
      <c r="W1911" s="6" t="str">
        <f>IFERROR(__xludf.DUMMYFUNCTION("""COMPUTED_VALUE"""),"""Нас бьют, мы летаем""")</f>
        <v>"Нас бьют, мы летаем"</v>
      </c>
      <c r="X1911" s="6" t="str">
        <f>IFERROR(__xludf.DUMMYFUNCTION("""COMPUTED_VALUE"""),"От химрома до проспекта Советского по темноте и под дождем. Освещения нет, дороги разбиты, транспорта нет. Сломаешь ноги, помощи не жди")</f>
        <v>От химрома до проспекта Советского по темноте и под дождем. Освещения нет, дороги разбиты, транспорта нет. Сломаешь ноги, помощи не жди</v>
      </c>
      <c r="Y1911" s="6" t="str">
        <f>IFERROR(__xludf.DUMMYFUNCTION("""COMPUTED_VALUE"""),"Серость")</f>
        <v>Серость</v>
      </c>
      <c r="Z1911" s="6" t="str">
        <f>IFERROR(__xludf.DUMMYFUNCTION("""COMPUTED_VALUE"""),"Я не вижу позитива для рядовых жителей")</f>
        <v>Я не вижу позитива для рядовых жителей</v>
      </c>
      <c r="AA1911" s="6" t="str">
        <f>IFERROR(__xludf.DUMMYFUNCTION("""COMPUTED_VALUE"""),"Зимняя вишня")</f>
        <v>Зимняя вишня</v>
      </c>
      <c r="AB1911" s="6" t="str">
        <f>IFERROR(__xludf.DUMMYFUNCTION("""COMPUTED_VALUE"""),"Детских клубов, клубов по интересам")</f>
        <v>Детских клубов, клубов по интересам</v>
      </c>
      <c r="AC1911" s="6" t="str">
        <f>IFERROR(__xludf.DUMMYFUNCTION("""COMPUTED_VALUE"""),"Нужно вернуть то, что было при михайлове. ")</f>
        <v>Нужно вернуть то, что было при михайлове. </v>
      </c>
      <c r="AD1911"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911" s="6" t="str">
        <f>IFERROR(__xludf.DUMMYFUNCTION("""COMPUTED_VALUE"""),"Женский")</f>
        <v>Женский</v>
      </c>
      <c r="AF1911" s="6" t="str">
        <f>IFERROR(__xludf.DUMMYFUNCTION("""COMPUTED_VALUE"""),"45-55")</f>
        <v>45-55</v>
      </c>
      <c r="AG1911" s="6"/>
      <c r="AH1911" s="6"/>
      <c r="AI1911" s="6"/>
      <c r="AJ1911" s="6"/>
      <c r="AK1911" s="6"/>
      <c r="AL1911" s="6"/>
      <c r="AM1911" s="6"/>
    </row>
    <row r="1912">
      <c r="A1912" s="6">
        <v>1911.0</v>
      </c>
      <c r="B1912" s="6" t="str">
        <f>IFERROR(__xludf.DUMMYFUNCTION("""COMPUTED_VALUE"""),"Медицина")</f>
        <v>Медицина</v>
      </c>
      <c r="C1912" s="6" t="str">
        <f>IFERROR(__xludf.DUMMYFUNCTION("""COMPUTED_VALUE"""),"Цветы, спорт")</f>
        <v>Цветы, спорт</v>
      </c>
      <c r="D1912" s="6" t="str">
        <f>IFERROR(__xludf.DUMMYFUNCTION("""COMPUTED_VALUE"""),"Ленинский район")</f>
        <v>Ленинский район</v>
      </c>
      <c r="E1912" s="6" t="str">
        <f>IFERROR(__xludf.DUMMYFUNCTION("""COMPUTED_VALUE"""),"Бульвар Строителей, парк")</f>
        <v>Бульвар Строителей, парк</v>
      </c>
      <c r="F1912" s="6" t="str">
        <f>IFERROR(__xludf.DUMMYFUNCTION("""COMPUTED_VALUE"""),"Переехал сюда из другого места (откуда? укажите в графе другое), Город в Кемеровской области")</f>
        <v>Переехал сюда из другого места (откуда? укажите в графе другое), Город в Кемеровской области</v>
      </c>
      <c r="G1912" s="6" t="str">
        <f>IFERROR(__xludf.DUMMYFUNCTION("""COMPUTED_VALUE"""),"Набережная, театры, ботанический сад, парки, кафе, кинотеатры")</f>
        <v>Набережная, театры, ботанический сад, парки, кафе, кинотеатры</v>
      </c>
      <c r="H1912" s="6" t="str">
        <f>IFERROR(__xludf.DUMMYFUNCTION("""COMPUTED_VALUE"""),"Компактный, строгий, спокойный")</f>
        <v>Компактный, строгий, спокойный</v>
      </c>
      <c r="I1912" s="6" t="str">
        <f>IFERROR(__xludf.DUMMYFUNCTION("""COMPUTED_VALUE"""),"Гришковец Евгений, Подгорбунский Михаил, М.Волков")</f>
        <v>Гришковец Евгений, Подгорбунский Михаил, М.Волков</v>
      </c>
      <c r="J1912" s="6" t="str">
        <f>IFERROR(__xludf.DUMMYFUNCTION("""COMPUTED_VALUE"""),"Нет таких")</f>
        <v>Нет таких</v>
      </c>
      <c r="K1912" s="6" t="str">
        <f>IFERROR(__xludf.DUMMYFUNCTION("""COMPUTED_VALUE"""),"Красная горка, ботанический сад, Хаски лэнд")</f>
        <v>Красная горка, ботанический сад, Хаски лэнд</v>
      </c>
      <c r="L1912" s="6" t="str">
        <f>IFERROR(__xludf.DUMMYFUNCTION("""COMPUTED_VALUE"""),"Нет")</f>
        <v>Нет</v>
      </c>
      <c r="M1912" s="6" t="str">
        <f>IFERROR(__xludf.DUMMYFUNCTION("""COMPUTED_VALUE"""),"Нет")</f>
        <v>Нет</v>
      </c>
      <c r="N1912" s="6" t="str">
        <f>IFERROR(__xludf.DUMMYFUNCTION("""COMPUTED_VALUE"""),"Транспорт, экология, культура, образование, жилье")</f>
        <v>Транспорт, экология, культура, образование, жилье</v>
      </c>
      <c r="O1912" s="6" t="str">
        <f>IFERROR(__xludf.DUMMYFUNCTION("""COMPUTED_VALUE"""),"Транспортная доступность, ежегодные авиарейсы к морю")</f>
        <v>Транспортная доступность, ежегодные авиарейсы к морю</v>
      </c>
      <c r="P1912" s="6" t="str">
        <f>IFERROR(__xludf.DUMMYFUNCTION("""COMPUTED_VALUE"""),"Интернет, инстаграм")</f>
        <v>Интернет, инстаграм</v>
      </c>
      <c r="Q1912"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1912" s="6" t="str">
        <f>IFERROR(__xludf.DUMMYFUNCTION("""COMPUTED_VALUE"""),"День города, день защиты детей, день шахтера, масленница, н.год")</f>
        <v>День города, день защиты детей, день шахтера, масленница, н.год</v>
      </c>
      <c r="S1912" s="6" t="str">
        <f>IFERROR(__xludf.DUMMYFUNCTION("""COMPUTED_VALUE"""),"Нет, не приходилось")</f>
        <v>Нет, не приходилось</v>
      </c>
      <c r="T1912" s="6" t="str">
        <f>IFERROR(__xludf.DUMMYFUNCTION("""COMPUTED_VALUE"""),"Ничего")</f>
        <v>Ничего</v>
      </c>
      <c r="U1912" s="6" t="str">
        <f>IFERROR(__xludf.DUMMYFUNCTION("""COMPUTED_VALUE"""),"Площадь Советов")</f>
        <v>Площадь Советов</v>
      </c>
      <c r="V1912" s="6" t="str">
        <f>IFERROR(__xludf.DUMMYFUNCTION("""COMPUTED_VALUE"""),"Вносили свой вклад в развитие")</f>
        <v>Вносили свой вклад в развитие</v>
      </c>
      <c r="W1912" s="6" t="str">
        <f>IFERROR(__xludf.DUMMYFUNCTION("""COMPUTED_VALUE"""),"Хмурые, обычные")</f>
        <v>Хмурые, обычные</v>
      </c>
      <c r="X1912" s="6" t="str">
        <f>IFERROR(__xludf.DUMMYFUNCTION("""COMPUTED_VALUE"""),"Набережная, горсад, весенняя улица, поездка на Лесную поляну")</f>
        <v>Набережная, горсад, весенняя улица, поездка на Лесную поляну</v>
      </c>
      <c r="Y1912" s="6" t="str">
        <f>IFERROR(__xludf.DUMMYFUNCTION("""COMPUTED_VALUE"""),"Чемпионат по  хоккею с мячем")</f>
        <v>Чемпионат по  хоккею с мячем</v>
      </c>
      <c r="Z1912" s="6" t="str">
        <f>IFERROR(__xludf.DUMMYFUNCTION("""COMPUTED_VALUE"""),"Строительство стадиона, начало реконструкции набережной, красивая новогодняя ёлка")</f>
        <v>Строительство стадиона, начало реконструкции набережной, красивая новогодняя ёлка</v>
      </c>
      <c r="AA1912" s="6" t="str">
        <f>IFERROR(__xludf.DUMMYFUNCTION("""COMPUTED_VALUE"""),"Различные Дтп")</f>
        <v>Различные Дтп</v>
      </c>
      <c r="AB1912" s="6" t="str">
        <f>IFERROR(__xludf.DUMMYFUNCTION("""COMPUTED_VALUE"""),"Не организован досуг для подростков, театральные постановки, мероприятия доя детей от 10 до 18 лет")</f>
        <v>Не организован досуг для подростков, театральные постановки, мероприятия доя детей от 10 до 18 лет</v>
      </c>
      <c r="AC1912" s="6" t="str">
        <f>IFERROR(__xludf.DUMMYFUNCTION("""COMPUTED_VALUE"""),"Аквапарк")</f>
        <v>Аквапарк</v>
      </c>
      <c r="AD191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12" s="6" t="str">
        <f>IFERROR(__xludf.DUMMYFUNCTION("""COMPUTED_VALUE"""),"Женский")</f>
        <v>Женский</v>
      </c>
      <c r="AF1912" s="6" t="str">
        <f>IFERROR(__xludf.DUMMYFUNCTION("""COMPUTED_VALUE"""),"30-44")</f>
        <v>30-44</v>
      </c>
      <c r="AG1912" s="6"/>
      <c r="AH1912" s="6"/>
      <c r="AI1912" s="6"/>
      <c r="AJ1912" s="6"/>
      <c r="AK1912" s="6"/>
      <c r="AL1912" s="6"/>
      <c r="AM1912" s="6"/>
    </row>
    <row r="1913">
      <c r="A1913" s="6">
        <v>1912.0</v>
      </c>
      <c r="B1913" s="6" t="str">
        <f>IFERROR(__xludf.DUMMYFUNCTION("""COMPUTED_VALUE"""),"Юрист")</f>
        <v>Юрист</v>
      </c>
      <c r="C1913" s="6" t="str">
        <f>IFERROR(__xludf.DUMMYFUNCTION("""COMPUTED_VALUE"""),"Шитье, рисование, садоводство")</f>
        <v>Шитье, рисование, садоводство</v>
      </c>
      <c r="D1913" s="6" t="str">
        <f>IFERROR(__xludf.DUMMYFUNCTION("""COMPUTED_VALUE"""),"Рудничный")</f>
        <v>Рудничный</v>
      </c>
      <c r="E1913" s="6" t="str">
        <f>IFERROR(__xludf.DUMMYFUNCTION("""COMPUTED_VALUE"""),"Сосновый бор")</f>
        <v>Сосновый бор</v>
      </c>
      <c r="F1913" s="6" t="str">
        <f>IFERROR(__xludf.DUMMYFUNCTION("""COMPUTED_VALUE"""),"Живу здесь с рождения")</f>
        <v>Живу здесь с рождения</v>
      </c>
      <c r="G1913" s="6" t="str">
        <f>IFERROR(__xludf.DUMMYFUNCTION("""COMPUTED_VALUE"""),"Сосновый бор, парк на пр. Шахтеров")</f>
        <v>Сосновый бор, парк на пр. Шахтеров</v>
      </c>
      <c r="H1913" s="6" t="str">
        <f>IFERROR(__xludf.DUMMYFUNCTION("""COMPUTED_VALUE"""),"Шахтерский край, сибирский, таежный")</f>
        <v>Шахтерский край, сибирский, таежный</v>
      </c>
      <c r="I1913" s="6" t="str">
        <f>IFERROR(__xludf.DUMMYFUNCTION("""COMPUTED_VALUE"""),"Рутгерс, Мартемьянов, Подгорбунский")</f>
        <v>Рутгерс, Мартемьянов, Подгорбунский</v>
      </c>
      <c r="J1913" s="6" t="str">
        <f>IFERROR(__xludf.DUMMYFUNCTION("""COMPUTED_VALUE"""),"Гришковец, Леонов")</f>
        <v>Гришковец, Леонов</v>
      </c>
      <c r="K1913" s="6" t="str">
        <f>IFERROR(__xludf.DUMMYFUNCTION("""COMPUTED_VALUE"""),"Вид с креста на город и сосновый бор")</f>
        <v>Вид с креста на город и сосновый бор</v>
      </c>
      <c r="L1913" s="6" t="str">
        <f>IFERROR(__xludf.DUMMYFUNCTION("""COMPUTED_VALUE"""),"нет")</f>
        <v>нет</v>
      </c>
      <c r="M1913" s="6" t="str">
        <f>IFERROR(__xludf.DUMMYFUNCTION("""COMPUTED_VALUE"""),"нет")</f>
        <v>нет</v>
      </c>
      <c r="N1913" s="6" t="str">
        <f>IFERROR(__xludf.DUMMYFUNCTION("""COMPUTED_VALUE"""),"Наличие парков и скверов в каждом районе города, отсутствие пробок и хорошие дороги, доступная медицина (возможность обратиться за помощью в нужному специалисту в максимально короткое время), развитая экономика")</f>
        <v>Наличие парков и скверов в каждом районе города, отсутствие пробок и хорошие дороги, доступная медицина (возможность обратиться за помощью в нужному специалисту в максимально короткое время), развитая экономика</v>
      </c>
      <c r="O1913" s="6" t="str">
        <f>IFERROR(__xludf.DUMMYFUNCTION("""COMPUTED_VALUE"""),"Развивать экономику ")</f>
        <v>Развивать экономику </v>
      </c>
      <c r="P1913" s="6" t="str">
        <f>IFERROR(__xludf.DUMMYFUNCTION("""COMPUTED_VALUE"""),"Интернет, сайт Кемерово.кассы")</f>
        <v>Интернет, сайт Кемерово.кассы</v>
      </c>
      <c r="Q1913"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913" s="6" t="str">
        <f>IFERROR(__xludf.DUMMYFUNCTION("""COMPUTED_VALUE"""),"9 мая, день города")</f>
        <v>9 мая, день города</v>
      </c>
      <c r="S1913" s="6" t="str">
        <f>IFERROR(__xludf.DUMMYFUNCTION("""COMPUTED_VALUE"""),"Нет, не приходилось")</f>
        <v>Нет, не приходилось</v>
      </c>
      <c r="T1913" s="6" t="str">
        <f>IFERROR(__xludf.DUMMYFUNCTION("""COMPUTED_VALUE"""),"Угольный край")</f>
        <v>Угольный край</v>
      </c>
      <c r="U1913" s="6" t="str">
        <f>IFERROR(__xludf.DUMMYFUNCTION("""COMPUTED_VALUE"""),"Главпочтамт и площадь советов")</f>
        <v>Главпочтамт и площадь советов</v>
      </c>
      <c r="V1913" s="6" t="str">
        <f>IFERROR(__xludf.DUMMYFUNCTION("""COMPUTED_VALUE"""),"не знаю")</f>
        <v>не знаю</v>
      </c>
      <c r="W1913" s="6" t="str">
        <f>IFERROR(__xludf.DUMMYFUNCTION("""COMPUTED_VALUE"""),"Современные, продвинутые, модные, красивые")</f>
        <v>Современные, продвинутые, модные, красивые</v>
      </c>
      <c r="X1913" s="6" t="str">
        <f>IFERROR(__xludf.DUMMYFUNCTION("""COMPUTED_VALUE"""),"Набережная, пр. Советский, Красная горка")</f>
        <v>Набережная, пр. Советский, Красная горка</v>
      </c>
      <c r="Y1913" s="6" t="str">
        <f>IFERROR(__xludf.DUMMYFUNCTION("""COMPUTED_VALUE"""),"не знаю")</f>
        <v>не знаю</v>
      </c>
      <c r="Z1913" s="6" t="str">
        <f>IFERROR(__xludf.DUMMYFUNCTION("""COMPUTED_VALUE"""),"не знаю")</f>
        <v>не знаю</v>
      </c>
      <c r="AA1913" s="6" t="str">
        <f>IFERROR(__xludf.DUMMYFUNCTION("""COMPUTED_VALUE"""),"Политические  митинги")</f>
        <v>Политические  митинги</v>
      </c>
      <c r="AB1913" s="6" t="str">
        <f>IFERROR(__xludf.DUMMYFUNCTION("""COMPUTED_VALUE"""),"не знаю")</f>
        <v>не знаю</v>
      </c>
      <c r="AC1913" s="6" t="str">
        <f>IFERROR(__xludf.DUMMYFUNCTION("""COMPUTED_VALUE"""),"не знаю")</f>
        <v>не знаю</v>
      </c>
      <c r="AD1913"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913" s="6" t="str">
        <f>IFERROR(__xludf.DUMMYFUNCTION("""COMPUTED_VALUE"""),"Женский")</f>
        <v>Женский</v>
      </c>
      <c r="AF1913" s="6" t="str">
        <f>IFERROR(__xludf.DUMMYFUNCTION("""COMPUTED_VALUE"""),"30-44")</f>
        <v>30-44</v>
      </c>
      <c r="AG1913" s="6"/>
      <c r="AH1913" s="6"/>
      <c r="AI1913" s="6"/>
      <c r="AJ1913" s="6"/>
      <c r="AK1913" s="6"/>
      <c r="AL1913" s="6"/>
      <c r="AM1913" s="6"/>
    </row>
    <row r="1914">
      <c r="A1914" s="6">
        <v>1913.0</v>
      </c>
      <c r="B1914" s="6" t="str">
        <f>IFERROR(__xludf.DUMMYFUNCTION("""COMPUTED_VALUE"""),"Бухгалтер")</f>
        <v>Бухгалтер</v>
      </c>
      <c r="C1914" s="6" t="str">
        <f>IFERROR(__xludf.DUMMYFUNCTION("""COMPUTED_VALUE"""),"Йога")</f>
        <v>Йога</v>
      </c>
      <c r="D1914" s="6" t="str">
        <f>IFERROR(__xludf.DUMMYFUNCTION("""COMPUTED_VALUE"""),"Фпк")</f>
        <v>Фпк</v>
      </c>
      <c r="E1914" s="6" t="str">
        <f>IFERROR(__xludf.DUMMYFUNCTION("""COMPUTED_VALUE"""),"Гринвич")</f>
        <v>Гринвич</v>
      </c>
      <c r="F1914" s="6" t="str">
        <f>IFERROR(__xludf.DUMMYFUNCTION("""COMPUTED_VALUE"""),"Живу здесь с рождения")</f>
        <v>Живу здесь с рождения</v>
      </c>
      <c r="G1914" s="6" t="str">
        <f>IFERROR(__xludf.DUMMYFUNCTION("""COMPUTED_VALUE"""),"Набережная")</f>
        <v>Набережная</v>
      </c>
      <c r="H1914" s="6" t="str">
        <f>IFERROR(__xludf.DUMMYFUNCTION("""COMPUTED_VALUE"""),"Уголь, Кузбасс,зелень, чистота,активность")</f>
        <v>Уголь, Кузбасс,зелень, чистота,активность</v>
      </c>
      <c r="I1914" s="6" t="str">
        <f>IFERROR(__xludf.DUMMYFUNCTION("""COMPUTED_VALUE"""),"Тулеев")</f>
        <v>Тулеев</v>
      </c>
      <c r="J1914" s="6" t="str">
        <f>IFERROR(__xludf.DUMMYFUNCTION("""COMPUTED_VALUE"""),"-")</f>
        <v>-</v>
      </c>
      <c r="K1914" s="6" t="str">
        <f>IFERROR(__xludf.DUMMYFUNCTION("""COMPUTED_VALUE"""),"Центр города")</f>
        <v>Центр города</v>
      </c>
      <c r="L1914" s="6" t="str">
        <f>IFERROR(__xludf.DUMMYFUNCTION("""COMPUTED_VALUE"""),"-")</f>
        <v>-</v>
      </c>
      <c r="M1914" s="6" t="str">
        <f>IFERROR(__xludf.DUMMYFUNCTION("""COMPUTED_VALUE"""),"Башлык,мультифора,колба")</f>
        <v>Башлык,мультифора,колба</v>
      </c>
      <c r="N1914" s="6" t="str">
        <f>IFERROR(__xludf.DUMMYFUNCTION("""COMPUTED_VALUE"""),"Транспорт,инфраструктура,развлекательные центры,спортивные центры,кафе")</f>
        <v>Транспорт,инфраструктура,развлекательные центры,спортивные центры,кафе</v>
      </c>
      <c r="O1914" s="6" t="str">
        <f>IFERROR(__xludf.DUMMYFUNCTION("""COMPUTED_VALUE"""),"Зоны отдыха,пляжи")</f>
        <v>Зоны отдыха,пляжи</v>
      </c>
      <c r="P1914" s="6" t="str">
        <f>IFERROR(__xludf.DUMMYFUNCTION("""COMPUTED_VALUE"""),"Инстаграмм")</f>
        <v>Инстаграмм</v>
      </c>
      <c r="Q1914" s="6" t="str">
        <f>IFERROR(__xludf.DUMMYFUNCTION("""COMPUTED_VALUE"""),"городская афиша (кино/театр/концерты), интервью с местными предпринимателями, бизнес-новости (средний чек/рекламные акции/запуск новых предприятий)")</f>
        <v>городская афиша (кино/театр/концерты), интервью с местными предпринимателями, бизнес-новости (средний чек/рекламные акции/запуск новых предприятий)</v>
      </c>
      <c r="R1914" s="6" t="str">
        <f>IFERROR(__xludf.DUMMYFUNCTION("""COMPUTED_VALUE"""),"День города")</f>
        <v>День города</v>
      </c>
      <c r="S1914" s="6" t="str">
        <f>IFERROR(__xludf.DUMMYFUNCTION("""COMPUTED_VALUE"""),"Нет, не приходилось")</f>
        <v>Нет, не приходилось</v>
      </c>
      <c r="T1914" s="6" t="str">
        <f>IFERROR(__xludf.DUMMYFUNCTION("""COMPUTED_VALUE"""),"Столица Кузбасса")</f>
        <v>Столица Кузбасса</v>
      </c>
      <c r="U1914" s="6" t="str">
        <f>IFERROR(__xludf.DUMMYFUNCTION("""COMPUTED_VALUE"""),"Площадь Ленина")</f>
        <v>Площадь Ленина</v>
      </c>
      <c r="V1914" s="6" t="str">
        <f>IFERROR(__xludf.DUMMYFUNCTION("""COMPUTED_VALUE"""),"-")</f>
        <v>-</v>
      </c>
      <c r="W1914" s="6" t="str">
        <f>IFERROR(__xludf.DUMMYFUNCTION("""COMPUTED_VALUE"""),"Добрые,отзывчивые,веселые")</f>
        <v>Добрые,отзывчивые,веселые</v>
      </c>
      <c r="X1914" s="6" t="str">
        <f>IFERROR(__xludf.DUMMYFUNCTION("""COMPUTED_VALUE"""),"Бульвар")</f>
        <v>Бульвар</v>
      </c>
      <c r="Y1914" s="6" t="str">
        <f>IFERROR(__xludf.DUMMYFUNCTION("""COMPUTED_VALUE"""),"-")</f>
        <v>-</v>
      </c>
      <c r="Z1914" s="6" t="str">
        <f>IFERROR(__xludf.DUMMYFUNCTION("""COMPUTED_VALUE"""),"-")</f>
        <v>-</v>
      </c>
      <c r="AA1914" s="6" t="str">
        <f>IFERROR(__xludf.DUMMYFUNCTION("""COMPUTED_VALUE"""),"-")</f>
        <v>-</v>
      </c>
      <c r="AB1914" s="6" t="str">
        <f>IFERROR(__xludf.DUMMYFUNCTION("""COMPUTED_VALUE"""),"По интересам")</f>
        <v>По интересам</v>
      </c>
      <c r="AC1914" s="6" t="str">
        <f>IFERROR(__xludf.DUMMYFUNCTION("""COMPUTED_VALUE"""),"Точка кипения")</f>
        <v>Точка кипения</v>
      </c>
      <c r="AD1914" s="6" t="str">
        <f>IFERROR(__xludf.DUMMYFUNCTION("""COMPUTED_VALUE"""),"Профессионала.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f>
        <v>Профессионала. Обучать, проводить занятия, мастер-классы, лекции, тренинги, оказать консультацию (укажите тему в поле "Другое"), Волонтера: оказать любую посильную помощь непосредственно во время реализации проекта</v>
      </c>
      <c r="AE1914" s="6" t="str">
        <f>IFERROR(__xludf.DUMMYFUNCTION("""COMPUTED_VALUE"""),"Женский")</f>
        <v>Женский</v>
      </c>
      <c r="AF1914" s="6" t="str">
        <f>IFERROR(__xludf.DUMMYFUNCTION("""COMPUTED_VALUE"""),"18-29")</f>
        <v>18-29</v>
      </c>
      <c r="AG1914" s="6"/>
      <c r="AH1914" s="6"/>
      <c r="AI1914" s="6"/>
      <c r="AJ1914" s="6"/>
      <c r="AK1914" s="6"/>
      <c r="AL1914" s="6"/>
      <c r="AM1914" s="6"/>
    </row>
    <row r="1915">
      <c r="A1915" s="6">
        <v>1914.0</v>
      </c>
      <c r="B1915" s="6" t="str">
        <f>IFERROR(__xludf.DUMMYFUNCTION("""COMPUTED_VALUE"""),"IT")</f>
        <v>IT</v>
      </c>
      <c r="C1915" s="6" t="str">
        <f>IFERROR(__xludf.DUMMYFUNCTION("""COMPUTED_VALUE"""),"Рисование по номерам, Путешествия")</f>
        <v>Рисование по номерам, Путешествия</v>
      </c>
      <c r="D1915" s="6" t="str">
        <f>IFERROR(__xludf.DUMMYFUNCTION("""COMPUTED_VALUE"""),"Лесная поляна, Поляна")</f>
        <v>Лесная поляна, Поляна</v>
      </c>
      <c r="E1915" s="6" t="str">
        <f>IFERROR(__xludf.DUMMYFUNCTION("""COMPUTED_VALUE"""),"Парк с водоемом, смотровая площадка с оленем, бульвар Осенний")</f>
        <v>Парк с водоемом, смотровая площадка с оленем, бульвар Осенний</v>
      </c>
      <c r="F1915" s="6" t="str">
        <f>IFERROR(__xludf.DUMMYFUNCTION("""COMPUTED_VALUE"""),"Живу здесь с рождения")</f>
        <v>Живу здесь с рождения</v>
      </c>
      <c r="G1915" s="6" t="str">
        <f>IFERROR(__xludf.DUMMYFUNCTION("""COMPUTED_VALUE"""),"Радуга, центр, парк комсомольский, бульвар строителей")</f>
        <v>Радуга, центр, парк комсомольский, бульвар строителей</v>
      </c>
      <c r="H1915" s="6" t="str">
        <f>IFERROR(__xludf.DUMMYFUNCTION("""COMPUTED_VALUE"""),"Зимняя вишня, уголь, томь")</f>
        <v>Зимняя вишня, уголь, томь</v>
      </c>
      <c r="I1915" s="6" t="str">
        <f>IFERROR(__xludf.DUMMYFUNCTION("""COMPUTED_VALUE"""),"Тулеев, Михайлов, Леонов, Волков, Рутгерс")</f>
        <v>Тулеев, Михайлов, Леонов, Волков, Рутгерс</v>
      </c>
      <c r="J1915" s="6" t="str">
        <f>IFERROR(__xludf.DUMMYFUNCTION("""COMPUTED_VALUE"""),"Гришковец")</f>
        <v>Гришковец</v>
      </c>
      <c r="K1915" s="6" t="str">
        <f>IFERROR(__xludf.DUMMYFUNCTION("""COMPUTED_VALUE"""),"Лесную поляну, Красную горку, Томскую писаницу")</f>
        <v>Лесную поляну, Красную горку, Томскую писаницу</v>
      </c>
      <c r="L1915" s="6" t="str">
        <f>IFERROR(__xludf.DUMMYFUNCTION("""COMPUTED_VALUE"""),"-")</f>
        <v>-</v>
      </c>
      <c r="M1915" s="6" t="str">
        <f>IFERROR(__xludf.DUMMYFUNCTION("""COMPUTED_VALUE"""),"-")</f>
        <v>-</v>
      </c>
      <c r="N1915" s="6" t="str">
        <f>IFERROR(__xludf.DUMMYFUNCTION("""COMPUTED_VALUE"""),"Инфраструктура для пешеходов, дороги без ям, места для прогулок, чистый воздух")</f>
        <v>Инфраструктура для пешеходов, дороги без ям, места для прогулок, чистый воздух</v>
      </c>
      <c r="O1915" s="6" t="str">
        <f>IFERROR(__xludf.DUMMYFUNCTION("""COMPUTED_VALUE"""),"ВОЗДУХ")</f>
        <v>ВОЗДУХ</v>
      </c>
      <c r="P1915" s="6" t="str">
        <f>IFERROR(__xludf.DUMMYFUNCTION("""COMPUTED_VALUE"""),"Из телеграмм чатов, радио ")</f>
        <v>Из телеграмм чатов, радио </v>
      </c>
      <c r="Q1915" s="6" t="str">
        <f>IFERROR(__xludf.DUMMYFUNCTION("""COMPUTED_VALUE"""),"куда пойти в свободное время, где вкусно поесть/открытие новых кафе/ресторанов, результаты местных исследований (рейтинги/аналитика/тенденции)")</f>
        <v>куда пойти в свободное время, где вкусно поесть/открытие новых кафе/ресторанов, результаты местных исследований (рейтинги/аналитика/тенденции)</v>
      </c>
      <c r="R1915" s="6" t="str">
        <f>IFERROR(__xludf.DUMMYFUNCTION("""COMPUTED_VALUE"""),"День шатеров, День победы, День города")</f>
        <v>День шатеров, День победы, День города</v>
      </c>
      <c r="S1915" s="6" t="str">
        <f>IFERROR(__xludf.DUMMYFUNCTION("""COMPUTED_VALUE"""),"Обращался в редакции электронных городских СМИ, Обращался в редакции городских газет, телевидения, радио")</f>
        <v>Обращался в редакции электронных городских СМИ, Обращался в редакции городских газет, телевидения, радио</v>
      </c>
      <c r="T1915" s="6" t="str">
        <f>IFERROR(__xludf.DUMMYFUNCTION("""COMPUTED_VALUE"""),"Уютный центр")</f>
        <v>Уютный центр</v>
      </c>
      <c r="U1915" s="6" t="str">
        <f>IFERROR(__xludf.DUMMYFUNCTION("""COMPUTED_VALUE"""),"площадь советов, улицу весеннюю")</f>
        <v>площадь советов, улицу весеннюю</v>
      </c>
      <c r="V1915" s="6" t="str">
        <f>IFERROR(__xludf.DUMMYFUNCTION("""COMPUTED_VALUE"""),"Космонавт Леонов, Гришковец")</f>
        <v>Космонавт Леонов, Гришковец</v>
      </c>
      <c r="W1915" s="6" t="str">
        <f>IFERROR(__xludf.DUMMYFUNCTION("""COMPUTED_VALUE"""),"-")</f>
        <v>-</v>
      </c>
      <c r="X1915" s="6" t="str">
        <f>IFERROR(__xludf.DUMMYFUNCTION("""COMPUTED_VALUE"""),"по Весенней к набережной , вернуться по пушкина и пройтись по советской до фонтана")</f>
        <v>по Весенней к набережной , вернуться по пушкина и пройтись по советской до фонтана</v>
      </c>
      <c r="Y1915" s="6" t="str">
        <f>IFERROR(__xludf.DUMMYFUNCTION("""COMPUTED_VALUE"""),"Рок концерт от Стройсервиса")</f>
        <v>Рок концерт от Стройсервиса</v>
      </c>
      <c r="Z1915" s="6" t="str">
        <f>IFERROR(__xludf.DUMMYFUNCTION("""COMPUTED_VALUE"""),"строительство новых объектов, ремонт советского проспект")</f>
        <v>строительство новых объектов, ремонт советского проспект</v>
      </c>
      <c r="AA1915" s="6" t="str">
        <f>IFERROR(__xludf.DUMMYFUNCTION("""COMPUTED_VALUE"""),"строительство шахты лапичевской")</f>
        <v>строительство шахты лапичевской</v>
      </c>
      <c r="AB1915" s="6" t="str">
        <f>IFERROR(__xludf.DUMMYFUNCTION("""COMPUTED_VALUE"""),"экологических защитников")</f>
        <v>экологических защитников</v>
      </c>
      <c r="AC1915" s="6" t="str">
        <f>IFERROR(__xludf.DUMMYFUNCTION("""COMPUTED_VALUE"""),"чистый воздух, спортивные и культурные мероприятия, концертов зарубежных групп")</f>
        <v>чистый воздух, спортивные и культурные мероприятия, концертов зарубежных групп</v>
      </c>
      <c r="AD191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15" s="6" t="str">
        <f>IFERROR(__xludf.DUMMYFUNCTION("""COMPUTED_VALUE"""),"Женский")</f>
        <v>Женский</v>
      </c>
      <c r="AF1915" s="6" t="str">
        <f>IFERROR(__xludf.DUMMYFUNCTION("""COMPUTED_VALUE"""),"18-29")</f>
        <v>18-29</v>
      </c>
      <c r="AG1915" s="6"/>
      <c r="AH1915" s="6"/>
      <c r="AI1915" s="6"/>
      <c r="AJ1915" s="6"/>
      <c r="AK1915" s="6"/>
      <c r="AL1915" s="6"/>
      <c r="AM1915" s="6"/>
    </row>
    <row r="1916">
      <c r="A1916" s="6">
        <v>1915.0</v>
      </c>
      <c r="B1916" s="6" t="str">
        <f>IFERROR(__xludf.DUMMYFUNCTION("""COMPUTED_VALUE"""),"госслужащий")</f>
        <v>госслужащий</v>
      </c>
      <c r="C1916" s="6" t="str">
        <f>IFERROR(__xludf.DUMMYFUNCTION("""COMPUTED_VALUE"""),"видеоигры")</f>
        <v>видеоигры</v>
      </c>
      <c r="D1916" s="6" t="str">
        <f>IFERROR(__xludf.DUMMYFUNCTION("""COMPUTED_VALUE"""),"Кировский")</f>
        <v>Кировский</v>
      </c>
      <c r="E1916" s="6" t="str">
        <f>IFERROR(__xludf.DUMMYFUNCTION("""COMPUTED_VALUE"""),"Березовая Роща, Леонова")</f>
        <v>Березовая Роща, Леонова</v>
      </c>
      <c r="F1916" s="6" t="str">
        <f>IFERROR(__xludf.DUMMYFUNCTION("""COMPUTED_VALUE"""),"Живу здесь с рождения")</f>
        <v>Живу здесь с рождения</v>
      </c>
      <c r="G1916" s="6" t="str">
        <f>IFERROR(__xludf.DUMMYFUNCTION("""COMPUTED_VALUE"""),"Ленинский район - кинотеатры")</f>
        <v>Ленинский район - кинотеатры</v>
      </c>
      <c r="H1916" s="6" t="str">
        <f>IFERROR(__xludf.DUMMYFUNCTION("""COMPUTED_VALUE"""),"Две Трубы, Новый мост, Набережная, Площадь в центре, Остров")</f>
        <v>Две Трубы, Новый мост, Набережная, Площадь в центре, Остров</v>
      </c>
      <c r="I1916" s="6" t="str">
        <f>IFERROR(__xludf.DUMMYFUNCTION("""COMPUTED_VALUE"""),"Подгорбунский, Тулеев, Ештокин")</f>
        <v>Подгорбунский, Тулеев, Ештокин</v>
      </c>
      <c r="J1916" s="6" t="str">
        <f>IFERROR(__xludf.DUMMYFUNCTION("""COMPUTED_VALUE"""),"Середюк, Цивилев")</f>
        <v>Середюк, Цивилев</v>
      </c>
      <c r="K1916" s="6" t="str">
        <f>IFERROR(__xludf.DUMMYFUNCTION("""COMPUTED_VALUE"""),"Памятник Шахтеру, Площадь Волкова, Площадь Пушкина, Площадь Советов, Бульвар строителей, Памятники по Пионерскому бульвару, Набережная Центр. р-на, Набережная Кировского р-на, Зеленый крест и остатки здания канатной дороги, Парк Ангелов, все храмы")</f>
        <v>Памятник Шахтеру, Площадь Волкова, Площадь Пушкина, Площадь Советов, Бульвар строителей, Памятники по Пионерскому бульвару, Набережная Центр. р-на, Набережная Кировского р-на, Зеленый крест и остатки здания канатной дороги, Парк Ангелов, все храмы</v>
      </c>
      <c r="L1916" s="6" t="str">
        <f>IFERROR(__xludf.DUMMYFUNCTION("""COMPUTED_VALUE"""),"не знаю")</f>
        <v>не знаю</v>
      </c>
      <c r="M1916" s="6" t="str">
        <f>IFERROR(__xludf.DUMMYFUNCTION("""COMPUTED_VALUE"""),"Микрашка (21-й микрорайон), Центр (Центральный и Ленинский районы), Рудник (Рудничный район)")</f>
        <v>Микрашка (21-й микрорайон), Центр (Центральный и Ленинский районы), Рудник (Рудничный район)</v>
      </c>
      <c r="N1916" s="6" t="str">
        <f>IFERROR(__xludf.DUMMYFUNCTION("""COMPUTED_VALUE"""),"озеленение, доступность парковок, шаговая доступность магазинов и аптек, отсутствие перебоев в коммунальном снабжении (вода\энергия\тепло), читсые тротуары и дороги")</f>
        <v>озеленение, доступность парковок, шаговая доступность магазинов и аптек, отсутствие перебоев в коммунальном снабжении (вода\энергия\тепло), читсые тротуары и дороги</v>
      </c>
      <c r="O1916" s="6" t="str">
        <f>IFERROR(__xludf.DUMMYFUNCTION("""COMPUTED_VALUE"""),"ввести третью выездную дорогу из Кировского района (например вдоль трамвайной линии!)")</f>
        <v>ввести третью выездную дорогу из Кировского района (например вдоль трамвайной линии!)</v>
      </c>
      <c r="P1916" s="6" t="str">
        <f>IFERROR(__xludf.DUMMYFUNCTION("""COMPUTED_VALUE"""),"Афиша Яндекс, А42.Ru, ВашГород. ru")</f>
        <v>Афиша Яндекс, А42.Ru, ВашГород. ru</v>
      </c>
      <c r="Q1916" s="6" t="str">
        <f>IFERROR(__xludf.DUMMYFUNCTION("""COMPUTED_VALUE"""),"городская афиша (кино/театр/концерты), интервью с местными политиками,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интервью с местными политиками,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916" s="6" t="str">
        <f>IFERROR(__xludf.DUMMYFUNCTION("""COMPUTED_VALUE"""),"День Города")</f>
        <v>День Города</v>
      </c>
      <c r="S1916" s="6" t="str">
        <f>IFERROR(__xludf.DUMMYFUNCTION("""COMPUTED_VALUE"""),"Нет, не приходилось")</f>
        <v>Нет, не приходилось</v>
      </c>
      <c r="T1916" s="6" t="str">
        <f>IFERROR(__xludf.DUMMYFUNCTION("""COMPUTED_VALUE"""),"быстрым и активным ростом")</f>
        <v>быстрым и активным ростом</v>
      </c>
      <c r="U1916" s="6" t="str">
        <f>IFERROR(__xludf.DUMMYFUNCTION("""COMPUTED_VALUE"""),"Две Трубы ГРЭС")</f>
        <v>Две Трубы ГРЭС</v>
      </c>
      <c r="V1916" s="6" t="str">
        <f>IFERROR(__xludf.DUMMYFUNCTION("""COMPUTED_VALUE"""),"Строили город")</f>
        <v>Строили город</v>
      </c>
      <c r="W1916" s="6" t="str">
        <f>IFERROR(__xludf.DUMMYFUNCTION("""COMPUTED_VALUE"""),"Отзывчивые, резкие, простые, душевные, рукастые")</f>
        <v>Отзывчивые, резкие, простые, душевные, рукастые</v>
      </c>
      <c r="X1916" s="6" t="str">
        <f>IFERROR(__xludf.DUMMYFUNCTION("""COMPUTED_VALUE"""),"По Набережной Центрального р-на")</f>
        <v>По Набережной Центрального р-на</v>
      </c>
      <c r="Y1916" s="6" t="str">
        <f>IFERROR(__xludf.DUMMYFUNCTION("""COMPUTED_VALUE"""),"Зимняя вишня")</f>
        <v>Зимняя вишня</v>
      </c>
      <c r="Z1916" s="6" t="str">
        <f>IFERROR(__xludf.DUMMYFUNCTION("""COMPUTED_VALUE"""),"расширение Южного и Рудничного")</f>
        <v>расширение Южного и Рудничного</v>
      </c>
      <c r="AA1916" s="6" t="str">
        <f>IFERROR(__xludf.DUMMYFUNCTION("""COMPUTED_VALUE"""),"Зимняя вишня")</f>
        <v>Зимняя вишня</v>
      </c>
      <c r="AB1916" s="6" t="str">
        <f>IFERROR(__xludf.DUMMYFUNCTION("""COMPUTED_VALUE"""),"все хватает")</f>
        <v>все хватает</v>
      </c>
      <c r="AC1916" s="6" t="str">
        <f>IFERROR(__xludf.DUMMYFUNCTION("""COMPUTED_VALUE"""),"больше мегафонов с музыкой по городу")</f>
        <v>больше мегафонов с музыкой по городу</v>
      </c>
      <c r="AD1916"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реа"&amp;"лизации проекта")</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16" s="6" t="str">
        <f>IFERROR(__xludf.DUMMYFUNCTION("""COMPUTED_VALUE"""),"Мужской")</f>
        <v>Мужской</v>
      </c>
      <c r="AF1916" s="6" t="str">
        <f>IFERROR(__xludf.DUMMYFUNCTION("""COMPUTED_VALUE"""),"30-44")</f>
        <v>30-44</v>
      </c>
      <c r="AG1916" s="6"/>
      <c r="AH1916" s="6"/>
      <c r="AI1916" s="6"/>
      <c r="AJ1916" s="6"/>
      <c r="AK1916" s="6"/>
      <c r="AL1916" s="6"/>
      <c r="AM1916" s="6"/>
    </row>
    <row r="1917">
      <c r="A1917" s="6">
        <v>1916.0</v>
      </c>
      <c r="B1917" s="6" t="str">
        <f>IFERROR(__xludf.DUMMYFUNCTION("""COMPUTED_VALUE"""),"Медсестра")</f>
        <v>Медсестра</v>
      </c>
      <c r="C1917" s="6" t="str">
        <f>IFERROR(__xludf.DUMMYFUNCTION("""COMPUTED_VALUE"""),"Спорт")</f>
        <v>Спорт</v>
      </c>
      <c r="D1917" s="6" t="str">
        <f>IFERROR(__xludf.DUMMYFUNCTION("""COMPUTED_VALUE"""),"Кировский")</f>
        <v>Кировский</v>
      </c>
      <c r="E1917" s="6" t="str">
        <f>IFERROR(__xludf.DUMMYFUNCTION("""COMPUTED_VALUE"""),"Центр района березовая роща")</f>
        <v>Центр района березовая роща</v>
      </c>
      <c r="F1917" s="6" t="str">
        <f>IFERROR(__xludf.DUMMYFUNCTION("""COMPUTED_VALUE"""),"Живу здесь с рождения")</f>
        <v>Живу здесь с рождения</v>
      </c>
      <c r="G1917" s="6" t="str">
        <f>IFERROR(__xludf.DUMMYFUNCTION("""COMPUTED_VALUE"""),"Горсад")</f>
        <v>Горсад</v>
      </c>
      <c r="H1917" s="6" t="str">
        <f>IFERROR(__xludf.DUMMYFUNCTION("""COMPUTED_VALUE"""),"Промышленость,пыль,отсутствие зеленых островков в городе,мусор ,серость.")</f>
        <v>Промышленость,пыль,отсутствие зеленых островков в городе,мусор ,серость.</v>
      </c>
      <c r="I1917" s="6" t="str">
        <f>IFERROR(__xludf.DUMMYFUNCTION("""COMPUTED_VALUE"""),"Леонов")</f>
        <v>Леонов</v>
      </c>
      <c r="J1917" s="6" t="str">
        <f>IFERROR(__xludf.DUMMYFUNCTION("""COMPUTED_VALUE"""),"Михайлов,Тулеев")</f>
        <v>Михайлов,Тулеев</v>
      </c>
      <c r="K1917" s="6" t="str">
        <f>IFERROR(__xludf.DUMMYFUNCTION("""COMPUTED_VALUE"""),"Памятник шахтерам,красная горка,набережная")</f>
        <v>Памятник шахтерам,красная горка,набережная</v>
      </c>
      <c r="L1917" s="6" t="str">
        <f>IFERROR(__xludf.DUMMYFUNCTION("""COMPUTED_VALUE"""),"Не знаю")</f>
        <v>Не знаю</v>
      </c>
      <c r="M1917" s="6" t="str">
        <f>IFERROR(__xludf.DUMMYFUNCTION("""COMPUTED_VALUE"""),"Нет")</f>
        <v>Нет</v>
      </c>
      <c r="N1917" s="6" t="str">
        <f>IFERROR(__xludf.DUMMYFUNCTION("""COMPUTED_VALUE"""),"Чистота улиц,чистота воздуха,красивые деревья,красивые фасады домов,сохранение ансамбля в старых районах,(без высоток),простор")</f>
        <v>Чистота улиц,чистота воздуха,красивые деревья,красивые фасады домов,сохранение ансамбля в старых районах,(без высоток),простор</v>
      </c>
      <c r="O1917" s="6" t="str">
        <f>IFERROR(__xludf.DUMMYFUNCTION("""COMPUTED_VALUE"""),"Убрать мусор не только с центральныхх улиц,но и самых отдаленных уголках,гдеживут люди")</f>
        <v>Убрать мусор не только с центральныхх улиц,но и самых отдаленных уголках,гдеживут люди</v>
      </c>
      <c r="P1917" s="6" t="str">
        <f>IFERROR(__xludf.DUMMYFUNCTION("""COMPUTED_VALUE"""),"Яндекс,вести фм")</f>
        <v>Яндекс,вести фм</v>
      </c>
      <c r="Q1917" s="6" t="str">
        <f>IFERROR(__xludf.DUMMYFUNCTION("""COMPUTED_VALUE"""),"городская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интервью с экспертами на разные темы (напишите в разделе Другое свои предложения)</v>
      </c>
      <c r="R1917" s="6" t="str">
        <f>IFERROR(__xludf.DUMMYFUNCTION("""COMPUTED_VALUE"""),"День шахтеров,день победы")</f>
        <v>День шахтеров,день победы</v>
      </c>
      <c r="S1917" s="6" t="str">
        <f>IFERROR(__xludf.DUMMYFUNCTION("""COMPUTED_VALUE"""),"Нет, не приходилось")</f>
        <v>Нет, не приходилось</v>
      </c>
      <c r="T1917" s="6" t="str">
        <f>IFERROR(__xludf.DUMMYFUNCTION("""COMPUTED_VALUE"""),"Своими уехавшими,знаменитыми людьми")</f>
        <v>Своими уехавшими,знаменитыми людьми</v>
      </c>
      <c r="U1917" s="6" t="str">
        <f>IFERROR(__xludf.DUMMYFUNCTION("""COMPUTED_VALUE"""),"Площадь советов")</f>
        <v>Площадь советов</v>
      </c>
      <c r="V1917" s="6" t="str">
        <f>IFERROR(__xludf.DUMMYFUNCTION("""COMPUTED_VALUE"""),"Ничего ,чтобы гордится")</f>
        <v>Ничего ,чтобы гордится</v>
      </c>
      <c r="W1917" s="6" t="str">
        <f>IFERROR(__xludf.DUMMYFUNCTION("""COMPUTED_VALUE"""),"Терпеливые,молчаливые,пассивные")</f>
        <v>Терпеливые,молчаливые,пассивные</v>
      </c>
      <c r="X1917" s="6" t="str">
        <f>IFERROR(__xludf.DUMMYFUNCTION("""COMPUTED_VALUE"""),"Горсад,улица весенняя")</f>
        <v>Горсад,улица весенняя</v>
      </c>
      <c r="Y1917" s="6" t="str">
        <f>IFERROR(__xludf.DUMMYFUNCTION("""COMPUTED_VALUE"""),"Митинги по Крыму,олимпиада с пробегом олимпийского огня")</f>
        <v>Митинги по Крыму,олимпиада с пробегом олимпийского огня</v>
      </c>
      <c r="Z1917" s="6" t="str">
        <f>IFERROR(__xludf.DUMMYFUNCTION("""COMPUTED_VALUE"""),"Новые автобусы по расписанию ")</f>
        <v>Новые автобусы по расписанию </v>
      </c>
      <c r="AA1917" s="6" t="str">
        <f>IFERROR(__xludf.DUMMYFUNCTION("""COMPUTED_VALUE"""),"Короновирусные ограничения")</f>
        <v>Короновирусные ограничения</v>
      </c>
      <c r="AB1917" s="6" t="str">
        <f>IFERROR(__xludf.DUMMYFUNCTION("""COMPUTED_VALUE"""),"По интересам- клуб собаководов,цветоводов,любителей бега,зож,и др.")</f>
        <v>По интересам- клуб собаководов,цветоводов,любителей бега,зож,и др.</v>
      </c>
      <c r="AC1917" s="6" t="str">
        <f>IFERROR(__xludf.DUMMYFUNCTION("""COMPUTED_VALUE"""),"Доступность к мероприятиям жителей Кировского района и других непрестижных районов")</f>
        <v>Доступность к мероприятиям жителей Кировского района и других непрестижных районов</v>
      </c>
      <c r="AD1917" s="6" t="str">
        <f>IFERROR(__xludf.DUMMYFUNCTION("""COMPUTED_VALUE"""),"Не готов принимать личное участие (укажите, пожалуйста, причину в поле «Другое»), Отсутствие  времени")</f>
        <v>Не готов принимать личное участие (укажите, пожалуйста, причину в поле «Другое»), Отсутствие  времени</v>
      </c>
      <c r="AE1917" s="6" t="str">
        <f>IFERROR(__xludf.DUMMYFUNCTION("""COMPUTED_VALUE"""),"Женский")</f>
        <v>Женский</v>
      </c>
      <c r="AF1917" s="6" t="str">
        <f>IFERROR(__xludf.DUMMYFUNCTION("""COMPUTED_VALUE"""),"45-55")</f>
        <v>45-55</v>
      </c>
      <c r="AG1917" s="6"/>
      <c r="AH1917" s="6"/>
      <c r="AI1917" s="6"/>
      <c r="AJ1917" s="6"/>
      <c r="AK1917" s="6"/>
      <c r="AL1917" s="6"/>
      <c r="AM1917" s="6"/>
    </row>
    <row r="1918">
      <c r="A1918" s="6">
        <v>1917.0</v>
      </c>
      <c r="B1918" s="6" t="str">
        <f>IFERROR(__xludf.DUMMYFUNCTION("""COMPUTED_VALUE"""),"Улучшаю операционные процессы компании")</f>
        <v>Улучшаю операционные процессы компании</v>
      </c>
      <c r="C1918" s="6" t="str">
        <f>IFERROR(__xludf.DUMMYFUNCTION("""COMPUTED_VALUE"""),"Беговые лыжи, книги")</f>
        <v>Беговые лыжи, книги</v>
      </c>
      <c r="D1918" s="6" t="str">
        <f>IFERROR(__xludf.DUMMYFUNCTION("""COMPUTED_VALUE"""),"Лесная поляна, рудничный район")</f>
        <v>Лесная поляна, рудничный район</v>
      </c>
      <c r="E1918" s="6" t="str">
        <f>IFERROR(__xludf.DUMMYFUNCTION("""COMPUTED_VALUE"""),"Лесная поляна; Набережная старая; Сосновый бор;")</f>
        <v>Лесная поляна; Набережная старая; Сосновый бор;</v>
      </c>
      <c r="F1918" s="6" t="str">
        <f>IFERROR(__xludf.DUMMYFUNCTION("""COMPUTED_VALUE"""),"Переехал сюда из другого места (откуда? укажите в графе другое), пгт.Зеленогорский")</f>
        <v>Переехал сюда из другого места (откуда? укажите в графе другое), пгт.Зеленогорский</v>
      </c>
      <c r="G1918" s="6" t="str">
        <f>IFERROR(__xludf.DUMMYFUNCTION("""COMPUTED_VALUE"""),"Набережная, Сосновый бор, Лесная поляна, Дача")</f>
        <v>Набережная, Сосновый бор, Лесная поляна, Дача</v>
      </c>
      <c r="H1918" s="6" t="str">
        <f>IFERROR(__xludf.DUMMYFUNCTION("""COMPUTED_VALUE"""),"Уголь, экология, компактный, разрезы, шахты")</f>
        <v>Уголь, экология, компактный, разрезы, шахты</v>
      </c>
      <c r="I1918" s="6" t="str">
        <f>IFERROR(__xludf.DUMMYFUNCTION("""COMPUTED_VALUE"""),"Волков, Рутгерс, Леонов")</f>
        <v>Волков, Рутгерс, Леонов</v>
      </c>
      <c r="J1918" s="6" t="str">
        <f>IFERROR(__xludf.DUMMYFUNCTION("""COMPUTED_VALUE"""),"Михайлов мэр")</f>
        <v>Михайлов мэр</v>
      </c>
      <c r="K1918" s="6" t="str">
        <f>IFERROR(__xludf.DUMMYFUNCTION("""COMPUTED_VALUE"""),"Набережная, Лесная поляна, Памятник шахтерам")</f>
        <v>Набережная, Лесная поляна, Памятник шахтерам</v>
      </c>
      <c r="L1918" s="6" t="str">
        <f>IFERROR(__xludf.DUMMYFUNCTION("""COMPUTED_VALUE"""),"Человек из Кемерово песня")</f>
        <v>Человек из Кемерово песня</v>
      </c>
      <c r="M1918" s="6" t="str">
        <f>IFERROR(__xludf.DUMMYFUNCTION("""COMPUTED_VALUE"""),"Ага")</f>
        <v>Ага</v>
      </c>
      <c r="N1918" s="6" t="str">
        <f>IFERROR(__xludf.DUMMYFUNCTION("""COMPUTED_VALUE"""),"Компактный, Набережная, Лесная поляна, Шоссе до лесной поляны, Серебряный бор")</f>
        <v>Компактный, Набережная, Лесная поляна, Шоссе до лесной поляны, Серебряный бор</v>
      </c>
      <c r="O1918" s="6" t="str">
        <f>IFERROR(__xludf.DUMMYFUNCTION("""COMPUTED_VALUE"""),"Третий мост, разгрузить берег рудничного и кировского района")</f>
        <v>Третий мост, разгрузить берег рудничного и кировского района</v>
      </c>
      <c r="P1918" s="6" t="str">
        <f>IFERROR(__xludf.DUMMYFUNCTION("""COMPUTED_VALUE"""),"VK, instagram")</f>
        <v>VK, instagram</v>
      </c>
      <c r="Q1918" s="6" t="str">
        <f>IFERROR(__xludf.DUMMYFUNCTION("""COMPUTED_VALUE"""),"интервью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f>
        <v>интервью с местными предпринимателями, бизнес-новости (средний чек/рекламные акции/запуск новых предприятий), интервью с экспертами на разные темы (напишите в разделе Другое свои предложения)</v>
      </c>
      <c r="R1918" s="6" t="str">
        <f>IFERROR(__xludf.DUMMYFUNCTION("""COMPUTED_VALUE"""),"9 мая")</f>
        <v>9 мая</v>
      </c>
      <c r="S1918" s="6" t="str">
        <f>IFERROR(__xludf.DUMMYFUNCTION("""COMPUTED_VALUE"""),"Через социальные сети (Какие? Укажите в графе другое), Выездные пейнтбольные игры")</f>
        <v>Через социальные сети (Какие? Укажите в графе другое), Выездные пейнтбольные игры</v>
      </c>
      <c r="T1918" s="6" t="str">
        <f>IFERROR(__xludf.DUMMYFUNCTION("""COMPUTED_VALUE"""),"Уголь, компактно расположен, быстро добраться до центра, красивая набережная")</f>
        <v>Уголь, компактно расположен, быстро добраться до центра, красивая набережная</v>
      </c>
      <c r="U1918" s="6" t="str">
        <f>IFERROR(__xludf.DUMMYFUNCTION("""COMPUTED_VALUE"""),"Набережная в центре города")</f>
        <v>Набережная в центре города</v>
      </c>
      <c r="V1918" s="6" t="str">
        <f>IFERROR(__xludf.DUMMYFUNCTION("""COMPUTED_VALUE"""),"Развитие инфраструктуры в советские годы, в современной России к сожалению сделано гораздо меньше, чем до 90 годов.")</f>
        <v>Развитие инфраструктуры в советские годы, в современной России к сожалению сделано гораздо меньше, чем до 90 годов.</v>
      </c>
      <c r="W1918" s="6" t="str">
        <f>IFERROR(__xludf.DUMMYFUNCTION("""COMPUTED_VALUE"""),"Энергичные, терпеливые, чувство юмора")</f>
        <v>Энергичные, терпеливые, чувство юмора</v>
      </c>
      <c r="X1918" s="6" t="str">
        <f>IFERROR(__xludf.DUMMYFUNCTION("""COMPUTED_VALUE"""),"Дом Рутгерса, памятник Шахтерам и до Набережной")</f>
        <v>Дом Рутгерса, памятник Шахтерам и до Набережной</v>
      </c>
      <c r="Y1918" s="6" t="str">
        <f>IFERROR(__xludf.DUMMYFUNCTION("""COMPUTED_VALUE"""),"Зимняя вишня")</f>
        <v>Зимняя вишня</v>
      </c>
      <c r="Z1918" s="6" t="str">
        <f>IFERROR(__xludf.DUMMYFUNCTION("""COMPUTED_VALUE"""),"Строительство новой набережной")</f>
        <v>Строительство новой набережной</v>
      </c>
      <c r="AA1918" s="6" t="str">
        <f>IFERROR(__xludf.DUMMYFUNCTION("""COMPUTED_VALUE"""),"Зимняя вишня")</f>
        <v>Зимняя вишня</v>
      </c>
      <c r="AB1918" s="6" t="str">
        <f>IFERROR(__xludf.DUMMYFUNCTION("""COMPUTED_VALUE"""),"Сообщество беговых лыж")</f>
        <v>Сообщество беговых лыж</v>
      </c>
      <c r="AC1918" s="6" t="str">
        <f>IFERROR(__xludf.DUMMYFUNCTION("""COMPUTED_VALUE"""),"Спортивных")</f>
        <v>Спортивных</v>
      </c>
      <c r="AD1918" s="6" t="str">
        <f>IFERROR(__xludf.DUMMYFUNCTION("""COMPUTED_VALUE"""),"Профессионала.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Запустить свой "&amp;"предпринимательский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918" s="6" t="str">
        <f>IFERROR(__xludf.DUMMYFUNCTION("""COMPUTED_VALUE"""),"Мужской")</f>
        <v>Мужской</v>
      </c>
      <c r="AF1918" s="6" t="str">
        <f>IFERROR(__xludf.DUMMYFUNCTION("""COMPUTED_VALUE"""),"30-44")</f>
        <v>30-44</v>
      </c>
      <c r="AG1918" s="6"/>
      <c r="AH1918" s="6"/>
      <c r="AI1918" s="6"/>
      <c r="AJ1918" s="6"/>
      <c r="AK1918" s="6"/>
      <c r="AL1918" s="6"/>
      <c r="AM1918" s="6"/>
    </row>
    <row r="1919">
      <c r="A1919" s="6">
        <v>1918.0</v>
      </c>
      <c r="B1919" s="6" t="str">
        <f>IFERROR(__xludf.DUMMYFUNCTION("""COMPUTED_VALUE"""),"Полиграфия")</f>
        <v>Полиграфия</v>
      </c>
      <c r="C1919" s="6" t="str">
        <f>IFERROR(__xludf.DUMMYFUNCTION("""COMPUTED_VALUE"""),"Шитье")</f>
        <v>Шитье</v>
      </c>
      <c r="D1919" s="6" t="str">
        <f>IFERROR(__xludf.DUMMYFUNCTION("""COMPUTED_VALUE"""),"Ленинский")</f>
        <v>Ленинский</v>
      </c>
      <c r="E1919" s="6" t="str">
        <f>IFERROR(__xludf.DUMMYFUNCTION("""COMPUTED_VALUE"""),"Торговые центры, бульвар, церкви")</f>
        <v>Торговые центры, бульвар, церкви</v>
      </c>
      <c r="F1919" s="6" t="str">
        <f>IFERROR(__xludf.DUMMYFUNCTION("""COMPUTED_VALUE"""),"Переехал сюда из другого места (откуда? укажите в графе другое), В 1998 году, замужество ")</f>
        <v>Переехал сюда из другого места (откуда? укажите в графе другое), В 1998 году, замужество </v>
      </c>
      <c r="G1919" s="6" t="str">
        <f>IFERROR(__xludf.DUMMYFUNCTION("""COMPUTED_VALUE"""),"Сосновый бор, кино, парки")</f>
        <v>Сосновый бор, кино, парки</v>
      </c>
      <c r="H1919" s="6" t="str">
        <f>IFERROR(__xludf.DUMMYFUNCTION("""COMPUTED_VALUE"""),"Уголь, шахты, разрезы, снег, чистота")</f>
        <v>Уголь, шахты, разрезы, снег, чистота</v>
      </c>
      <c r="I1919" s="6" t="str">
        <f>IFERROR(__xludf.DUMMYFUNCTION("""COMPUTED_VALUE"""),"М. Волков, В. Волошина, ")</f>
        <v>М. Волков, В. Волошина, </v>
      </c>
      <c r="J1919" s="6" t="str">
        <f>IFERROR(__xludf.DUMMYFUNCTION("""COMPUTED_VALUE"""),"А. Г. Тулеев, В. В. Михайлов, А. А. Леонов, Е. Гришковец")</f>
        <v>А. Г. Тулеев, В. В. Михайлов, А. А. Леонов, Е. Гришковец</v>
      </c>
      <c r="K1919" s="6" t="str">
        <f>IFERROR(__xludf.DUMMYFUNCTION("""COMPUTED_VALUE"""),"Красная горка, Памятник шахтеру со смотровой площадки, памятник Волкову, сосновый бор, парк Ангелов, Знаменский Кафедральный Собор")</f>
        <v>Красная горка, Памятник шахтеру со смотровой площадки, памятник Волкову, сосновый бор, парк Ангелов, Знаменский Кафедральный Собор</v>
      </c>
      <c r="L1919" s="6" t="str">
        <f>IFERROR(__xludf.DUMMYFUNCTION("""COMPUTED_VALUE"""),"Сибиряк не тот кто не мерзнет, а тот кто тепло одевается")</f>
        <v>Сибиряк не тот кто не мерзнет, а тот кто тепло одевается</v>
      </c>
      <c r="M1919" s="6" t="str">
        <f>IFERROR(__xludf.DUMMYFUNCTION("""COMPUTED_VALUE"""),"Нет")</f>
        <v>Нет</v>
      </c>
      <c r="N1919" s="6" t="str">
        <f>IFERROR(__xludf.DUMMYFUNCTION("""COMPUTED_VALUE"""),"Чистота, общественный транспорт, парки отдыха, медицина, крупные надписи нумерации зданий")</f>
        <v>Чистота, общественный транспорт, парки отдыха, медицина, крупные надписи нумерации зданий</v>
      </c>
      <c r="O1919" s="6" t="str">
        <f>IFERROR(__xludf.DUMMYFUNCTION("""COMPUTED_VALUE"""),"Строить производственные предприятия, фабрики")</f>
        <v>Строить производственные предприятия, фабрики</v>
      </c>
      <c r="P1919" s="6" t="str">
        <f>IFERROR(__xludf.DUMMYFUNCTION("""COMPUTED_VALUE"""),"Яндекс новости, ТВ новости Кузбасс, вайбер-Кузбасс официально")</f>
        <v>Яндекс новости, ТВ новости Кузбасс, вайбер-Кузбасс официально</v>
      </c>
      <c r="Q1919" s="6" t="str">
        <f>IFERROR(__xludf.DUMMYFUNCTION("""COMPUTED_VALUE"""),"городская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f>
        <v>городская афиша (кино/театр/концерты), новости про новые профессии/куда поступать/вакансии, бизнес-новости (средний чек/рекламные акции/запуск новых предприятий)</v>
      </c>
      <c r="R1919" s="6" t="str">
        <f>IFERROR(__xludf.DUMMYFUNCTION("""COMPUTED_VALUE"""),"День города ")</f>
        <v>День города </v>
      </c>
      <c r="S1919" s="6" t="str">
        <f>IFERROR(__xludf.DUMMYFUNCTION("""COMPUTED_VALUE"""),"Нет, не приходилось")</f>
        <v>Нет, не приходилось</v>
      </c>
      <c r="T1919" s="6" t="str">
        <f>IFERROR(__xludf.DUMMYFUNCTION("""COMPUTED_VALUE"""),"Шахтерская столица")</f>
        <v>Шахтерская столица</v>
      </c>
      <c r="U1919" s="6" t="str">
        <f>IFERROR(__xludf.DUMMYFUNCTION("""COMPUTED_VALUE"""),"Площадь Советов")</f>
        <v>Площадь Советов</v>
      </c>
      <c r="V1919" s="6" t="str">
        <f>IFERROR(__xludf.DUMMYFUNCTION("""COMPUTED_VALUE"""),"Дороги")</f>
        <v>Дороги</v>
      </c>
      <c r="W1919" s="6" t="str">
        <f>IFERROR(__xludf.DUMMYFUNCTION("""COMPUTED_VALUE"""),"Гостеприимные, как все сибиряки")</f>
        <v>Гостеприимные, как все сибиряки</v>
      </c>
      <c r="X1919" s="6" t="str">
        <f>IFERROR(__xludf.DUMMYFUNCTION("""COMPUTED_VALUE"""),"Весенняя улица, набережная")</f>
        <v>Весенняя улица, набережная</v>
      </c>
      <c r="Y1919" s="6" t="str">
        <f>IFERROR(__xludf.DUMMYFUNCTION("""COMPUTED_VALUE"""),"Затрудняюсь ответить ")</f>
        <v>Затрудняюсь ответить </v>
      </c>
      <c r="Z1919" s="6" t="str">
        <f>IFERROR(__xludf.DUMMYFUNCTION("""COMPUTED_VALUE"""),"100 летие города")</f>
        <v>100 летие города</v>
      </c>
      <c r="AA1919" s="6" t="str">
        <f>IFERROR(__xludf.DUMMYFUNCTION("""COMPUTED_VALUE"""),"Пожар в Зимней вишне")</f>
        <v>Пожар в Зимней вишне</v>
      </c>
      <c r="AB1919" s="6" t="str">
        <f>IFERROR(__xludf.DUMMYFUNCTION("""COMPUTED_VALUE"""),"Всего хватает")</f>
        <v>Всего хватает</v>
      </c>
      <c r="AC1919" s="6" t="str">
        <f>IFERROR(__xludf.DUMMYFUNCTION("""COMPUTED_VALUE"""),"Затрудняюсь ответить ")</f>
        <v>Затрудняюсь ответить </v>
      </c>
      <c r="AD1919" s="6" t="str">
        <f>IFERROR(__xludf.DUMMYFUNCTION("""COMPUTED_VALUE"""),"Не готов принимать личное участие (укажите, пожалуйста, причину в поле «Другое»), Здоровье не позволяет ")</f>
        <v>Не готов принимать личное участие (укажите, пожалуйста, причину в поле «Другое»), Здоровье не позволяет </v>
      </c>
      <c r="AE1919" s="6" t="str">
        <f>IFERROR(__xludf.DUMMYFUNCTION("""COMPUTED_VALUE"""),"Женский")</f>
        <v>Женский</v>
      </c>
      <c r="AF1919" s="6" t="str">
        <f>IFERROR(__xludf.DUMMYFUNCTION("""COMPUTED_VALUE"""),"45-55")</f>
        <v>45-55</v>
      </c>
      <c r="AG1919" s="6"/>
      <c r="AH1919" s="6"/>
      <c r="AI1919" s="6"/>
      <c r="AJ1919" s="6"/>
      <c r="AK1919" s="6"/>
      <c r="AL1919" s="6"/>
      <c r="AM1919" s="6"/>
    </row>
    <row r="1920">
      <c r="A1920" s="6">
        <v>1919.0</v>
      </c>
      <c r="B1920" s="6" t="str">
        <f>IFERROR(__xludf.DUMMYFUNCTION("""COMPUTED_VALUE"""),"медицина")</f>
        <v>медицина</v>
      </c>
      <c r="C1920" s="6" t="str">
        <f>IFERROR(__xludf.DUMMYFUNCTION("""COMPUTED_VALUE"""),"спорт")</f>
        <v>спорт</v>
      </c>
      <c r="D1920" s="6" t="str">
        <f>IFERROR(__xludf.DUMMYFUNCTION("""COMPUTED_VALUE"""),"центр")</f>
        <v>центр</v>
      </c>
      <c r="E1920" s="6" t="str">
        <f>IFERROR(__xludf.DUMMYFUNCTION("""COMPUTED_VALUE"""),"цирк")</f>
        <v>цирк</v>
      </c>
      <c r="F1920" s="6" t="str">
        <f>IFERROR(__xludf.DUMMYFUNCTION("""COMPUTED_VALUE"""),"Живу здесь с рождения")</f>
        <v>Живу здесь с рождения</v>
      </c>
      <c r="G1920" s="6" t="str">
        <f>IFERROR(__xludf.DUMMYFUNCTION("""COMPUTED_VALUE"""),"набережная")</f>
        <v>набережная</v>
      </c>
      <c r="H1920" s="6" t="str">
        <f>IFERROR(__xludf.DUMMYFUNCTION("""COMPUTED_VALUE"""),"газ. грязь. шум. Томь. скука")</f>
        <v>газ. грязь. шум. Томь. скука</v>
      </c>
      <c r="I1920" s="6" t="str">
        <f>IFERROR(__xludf.DUMMYFUNCTION("""COMPUTED_VALUE"""),"Леонов. Волошина. Подгорбунский. Мартемьянов")</f>
        <v>Леонов. Волошина. Подгорбунский. Мартемьянов</v>
      </c>
      <c r="J1920" s="6" t="str">
        <f>IFERROR(__xludf.DUMMYFUNCTION("""COMPUTED_VALUE"""),"Гришковец. Машков. Тулеев.")</f>
        <v>Гришковец. Машков. Тулеев.</v>
      </c>
      <c r="K1920" s="6" t="str">
        <f>IFERROR(__xludf.DUMMYFUNCTION("""COMPUTED_VALUE"""),"парк ангелов. томская писаница. монумент память шахтерам.музей красная горка. парк чудес. ботанический сад.")</f>
        <v>парк ангелов. томская писаница. монумент память шахтерам.музей красная горка. парк чудес. ботанический сад.</v>
      </c>
      <c r="L1920" s="6" t="str">
        <f>IFERROR(__xludf.DUMMYFUNCTION("""COMPUTED_VALUE"""),"уголек как золото. и блестит и ценится")</f>
        <v>уголек как золото. и блестит и ценится</v>
      </c>
      <c r="M1920" s="6" t="str">
        <f>IFERROR(__xludf.DUMMYFUNCTION("""COMPUTED_VALUE"""),"нет")</f>
        <v>нет</v>
      </c>
      <c r="N1920" s="6" t="str">
        <f>IFERROR(__xludf.DUMMYFUNCTION("""COMPUTED_VALUE"""),"лес. река. бор. климат. ")</f>
        <v>лес. река. бор. климат. </v>
      </c>
      <c r="O1920" s="6" t="str">
        <f>IFERROR(__xludf.DUMMYFUNCTION("""COMPUTED_VALUE"""),"тротуары")</f>
        <v>тротуары</v>
      </c>
      <c r="P1920" s="6" t="str">
        <f>IFERROR(__xludf.DUMMYFUNCTION("""COMPUTED_VALUE"""),"яндекс")</f>
        <v>яндекс</v>
      </c>
      <c r="Q1920"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новости про новые профессии/куда поступать/вакансии</v>
      </c>
      <c r="R1920" s="6" t="str">
        <f>IFERROR(__xludf.DUMMYFUNCTION("""COMPUTED_VALUE"""),"день шахтера")</f>
        <v>день шахтера</v>
      </c>
      <c r="S1920" s="6" t="str">
        <f>IFERROR(__xludf.DUMMYFUNCTION("""COMPUTED_VALUE"""),"Нет, не приходилось")</f>
        <v>Нет, не приходилось</v>
      </c>
      <c r="T1920" s="6" t="str">
        <f>IFERROR(__xludf.DUMMYFUNCTION("""COMPUTED_VALUE"""),"уголь")</f>
        <v>уголь</v>
      </c>
      <c r="U1920" s="6" t="str">
        <f>IFERROR(__xludf.DUMMYFUNCTION("""COMPUTED_VALUE"""),"ул. весеняя")</f>
        <v>ул. весеняя</v>
      </c>
      <c r="V1920" s="6" t="str">
        <f>IFERROR(__xludf.DUMMYFUNCTION("""COMPUTED_VALUE"""),"раньше много делали.")</f>
        <v>раньше много делали.</v>
      </c>
      <c r="W1920" s="6" t="str">
        <f>IFERROR(__xludf.DUMMYFUNCTION("""COMPUTED_VALUE"""),"уставшие")</f>
        <v>уставшие</v>
      </c>
      <c r="X1920" s="6" t="str">
        <f>IFERROR(__xludf.DUMMYFUNCTION("""COMPUTED_VALUE"""),"ул весеняя до набережной. и дальше вдоль реки")</f>
        <v>ул весеняя до набережной. и дальше вдоль реки</v>
      </c>
      <c r="Y1920" s="6" t="str">
        <f>IFERROR(__xludf.DUMMYFUNCTION("""COMPUTED_VALUE"""),"не знаю")</f>
        <v>не знаю</v>
      </c>
      <c r="Z1920" s="6" t="str">
        <f>IFERROR(__xludf.DUMMYFUNCTION("""COMPUTED_VALUE"""),"нет")</f>
        <v>нет</v>
      </c>
      <c r="AA1920" s="6" t="str">
        <f>IFERROR(__xludf.DUMMYFUNCTION("""COMPUTED_VALUE"""),"много")</f>
        <v>много</v>
      </c>
      <c r="AB1920" s="6" t="str">
        <f>IFERROR(__xludf.DUMMYFUNCTION("""COMPUTED_VALUE"""),"оптимистичных")</f>
        <v>оптимистичных</v>
      </c>
      <c r="AC1920" s="6" t="str">
        <f>IFERROR(__xludf.DUMMYFUNCTION("""COMPUTED_VALUE"""),"спортивные. творческие.")</f>
        <v>спортивные. творческие.</v>
      </c>
      <c r="AD192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20" s="6" t="str">
        <f>IFERROR(__xludf.DUMMYFUNCTION("""COMPUTED_VALUE"""),"Женский")</f>
        <v>Женский</v>
      </c>
      <c r="AF1920" s="6" t="str">
        <f>IFERROR(__xludf.DUMMYFUNCTION("""COMPUTED_VALUE"""),"45-55")</f>
        <v>45-55</v>
      </c>
      <c r="AG1920" s="6"/>
      <c r="AH1920" s="6"/>
      <c r="AI1920" s="6"/>
      <c r="AJ1920" s="6"/>
      <c r="AK1920" s="6"/>
      <c r="AL1920" s="6"/>
      <c r="AM1920" s="6"/>
    </row>
    <row r="1921">
      <c r="A1921" s="6">
        <v>1920.0</v>
      </c>
      <c r="B1921" s="6" t="str">
        <f>IFERROR(__xludf.DUMMYFUNCTION("""COMPUTED_VALUE"""),"Сижу за компьютером")</f>
        <v>Сижу за компьютером</v>
      </c>
      <c r="C1921" s="6" t="str">
        <f>IFERROR(__xludf.DUMMYFUNCTION("""COMPUTED_VALUE"""),"Спать")</f>
        <v>Спать</v>
      </c>
      <c r="D1921" s="6" t="str">
        <f>IFERROR(__xludf.DUMMYFUNCTION("""COMPUTED_VALUE"""),"Кировский ")</f>
        <v>Кировский </v>
      </c>
      <c r="E1921" s="6" t="str">
        <f>IFERROR(__xludf.DUMMYFUNCTION("""COMPUTED_VALUE"""),"Набережная")</f>
        <v>Набережная</v>
      </c>
      <c r="F1921" s="6" t="str">
        <f>IFERROR(__xludf.DUMMYFUNCTION("""COMPUTED_VALUE"""),"Живу здесь с рождения")</f>
        <v>Живу здесь с рождения</v>
      </c>
      <c r="G1921" s="6" t="str">
        <f>IFERROR(__xludf.DUMMYFUNCTION("""COMPUTED_VALUE"""),"На набережную")</f>
        <v>На набережную</v>
      </c>
      <c r="H1921" s="6" t="str">
        <f>IFERROR(__xludf.DUMMYFUNCTION("""COMPUTED_VALUE"""),"Смог, ледяной асфальт (тает весной), пенсионеры, Тулеев, Цивилева")</f>
        <v>Смог, ледяной асфальт (тает весной), пенсионеры, Тулеев, Цивилева</v>
      </c>
      <c r="I1921" s="6" t="str">
        <f>IFERROR(__xludf.DUMMYFUNCTION("""COMPUTED_VALUE"""),"Леонов, Волков")</f>
        <v>Леонов, Волков</v>
      </c>
      <c r="J1921" s="6" t="str">
        <f>IFERROR(__xludf.DUMMYFUNCTION("""COMPUTED_VALUE"""),"Ушанева Евгения Юльевна")</f>
        <v>Ушанева Евгения Юльевна</v>
      </c>
      <c r="K1921" s="6" t="str">
        <f>IFERROR(__xludf.DUMMYFUNCTION("""COMPUTED_VALUE"""),"Набережная")</f>
        <v>Набережная</v>
      </c>
      <c r="L1921" s="6" t="str">
        <f>IFERROR(__xludf.DUMMYFUNCTION("""COMPUTED_VALUE"""),"Цирк уехал, а клоуны остались")</f>
        <v>Цирк уехал, а клоуны остались</v>
      </c>
      <c r="M1921" s="6" t="str">
        <f>IFERROR(__xludf.DUMMYFUNCTION("""COMPUTED_VALUE"""),"Кутим в пятницу")</f>
        <v>Кутим в пятницу</v>
      </c>
      <c r="N1921" s="6" t="str">
        <f>IFERROR(__xludf.DUMMYFUNCTION("""COMPUTED_VALUE"""),"1, 2, 3, 4, 5")</f>
        <v>1, 2, 3, 4, 5</v>
      </c>
      <c r="O1921" s="6" t="str">
        <f>IFERROR(__xludf.DUMMYFUNCTION("""COMPUTED_VALUE"""),"Нужны пляжи")</f>
        <v>Нужны пляжи</v>
      </c>
      <c r="P1921" s="6" t="str">
        <f>IFERROR(__xludf.DUMMYFUNCTION("""COMPUTED_VALUE"""),"Вк")</f>
        <v>Вк</v>
      </c>
      <c r="Q1921" s="6" t="str">
        <f>IFERROR(__xludf.DUMMYFUNCTION("""COMPUTED_VALUE"""),"Мультики")</f>
        <v>Мультики</v>
      </c>
      <c r="R1921" s="6" t="str">
        <f>IFERROR(__xludf.DUMMYFUNCTION("""COMPUTED_VALUE"""),"День города")</f>
        <v>День города</v>
      </c>
      <c r="S1921" s="6" t="str">
        <f>IFERROR(__xludf.DUMMYFUNCTION("""COMPUTED_VALUE"""),"Нет, не приходилось")</f>
        <v>Нет, не приходилось</v>
      </c>
      <c r="T1921" s="6" t="str">
        <f>IFERROR(__xludf.DUMMYFUNCTION("""COMPUTED_VALUE"""),"Уголь")</f>
        <v>Уголь</v>
      </c>
      <c r="U1921" s="6" t="str">
        <f>IFERROR(__xludf.DUMMYFUNCTION("""COMPUTED_VALUE"""),"Кировский")</f>
        <v>Кировский</v>
      </c>
      <c r="V1921" s="6" t="str">
        <f>IFERROR(__xludf.DUMMYFUNCTION("""COMPUTED_VALUE"""),"Нашли уголь")</f>
        <v>Нашли уголь</v>
      </c>
      <c r="W1921" s="6" t="str">
        <f>IFERROR(__xludf.DUMMYFUNCTION("""COMPUTED_VALUE"""),"Злые")</f>
        <v>Злые</v>
      </c>
      <c r="X1921" s="6" t="str">
        <f>IFERROR(__xludf.DUMMYFUNCTION("""COMPUTED_VALUE"""),"40т")</f>
        <v>40т</v>
      </c>
      <c r="Y1921" s="6" t="str">
        <f>IFERROR(__xludf.DUMMYFUNCTION("""COMPUTED_VALUE"""),"Зимняя вишня")</f>
        <v>Зимняя вишня</v>
      </c>
      <c r="Z1921" s="6" t="str">
        <f>IFERROR(__xludf.DUMMYFUNCTION("""COMPUTED_VALUE"""),"Новый год")</f>
        <v>Новый год</v>
      </c>
      <c r="AA1921" s="6" t="str">
        <f>IFERROR(__xludf.DUMMYFUNCTION("""COMPUTED_VALUE"""),"Зимняя вишня")</f>
        <v>Зимняя вишня</v>
      </c>
      <c r="AB1921" s="6" t="str">
        <f>IFERROR(__xludf.DUMMYFUNCTION("""COMPUTED_VALUE"""),"Харе кришна")</f>
        <v>Харе кришна</v>
      </c>
      <c r="AC1921" s="6" t="str">
        <f>IFERROR(__xludf.DUMMYFUNCTION("""COMPUTED_VALUE"""),"Карнавал")</f>
        <v>Карнавал</v>
      </c>
      <c r="AD192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21" s="6" t="str">
        <f>IFERROR(__xludf.DUMMYFUNCTION("""COMPUTED_VALUE"""),"Мужской")</f>
        <v>Мужской</v>
      </c>
      <c r="AF1921" s="6" t="str">
        <f>IFERROR(__xludf.DUMMYFUNCTION("""COMPUTED_VALUE"""),"30-44")</f>
        <v>30-44</v>
      </c>
      <c r="AG1921" s="6"/>
      <c r="AH1921" s="6"/>
      <c r="AI1921" s="6"/>
      <c r="AJ1921" s="6"/>
      <c r="AK1921" s="6"/>
      <c r="AL1921" s="6"/>
      <c r="AM1921" s="6"/>
    </row>
    <row r="1922">
      <c r="A1922" s="6">
        <v>1921.0</v>
      </c>
      <c r="B1922" s="6" t="str">
        <f>IFERROR(__xludf.DUMMYFUNCTION("""COMPUTED_VALUE"""),"Руководитель отдела продаж ")</f>
        <v>Руководитель отдела продаж </v>
      </c>
      <c r="C1922" s="6" t="str">
        <f>IFERROR(__xludf.DUMMYFUNCTION("""COMPUTED_VALUE"""),"Сноуборд, вейкборд, баскетбол, велоспорт, видеомонтаж и видеосъемка, компьютерные игры ")</f>
        <v>Сноуборд, вейкборд, баскетбол, велоспорт, видеомонтаж и видеосъемка, компьютерные игры </v>
      </c>
      <c r="D1922" s="6" t="str">
        <f>IFERROR(__xludf.DUMMYFUNCTION("""COMPUTED_VALUE"""),"Рудничном, Радуга")</f>
        <v>Рудничном, Радуга</v>
      </c>
      <c r="E1922" s="6" t="str">
        <f>IFERROR(__xludf.DUMMYFUNCTION("""COMPUTED_VALUE"""),"БОР, гора Люскус, Парк жукова, центр города ")</f>
        <v>БОР, гора Люскус, Парк жукова, центр города </v>
      </c>
      <c r="F1922" s="6" t="str">
        <f>IFERROR(__xludf.DUMMYFUNCTION("""COMPUTED_VALUE"""),"Живу здесь с рождения")</f>
        <v>Живу здесь с рождения</v>
      </c>
      <c r="G1922" s="6" t="str">
        <f>IFERROR(__xludf.DUMMYFUNCTION("""COMPUTED_VALUE"""),"По городу не особо гуляю, только на велосипеде если, тогда это бор, и все парки, что есть в центре. Зимой гора люскус, летом вейк парк на красном озере ")</f>
        <v>По городу не особо гуляю, только на велосипеде если, тогда это бор, и все парки, что есть в центре. Зимой гора люскус, летом вейк парк на красном озере </v>
      </c>
      <c r="H1922" s="6" t="str">
        <f>IFERROR(__xludf.DUMMYFUNCTION("""COMPUTED_VALUE"""),"Смог, грязный воздух, уголь")</f>
        <v>Смог, грязный воздух, уголь</v>
      </c>
      <c r="I1922" s="6" t="str">
        <f>IFERROR(__xludf.DUMMYFUNCTION("""COMPUTED_VALUE"""),"Волков, Леонов ")</f>
        <v>Волков, Леонов </v>
      </c>
      <c r="J1922" s="6" t="str">
        <f>IFERROR(__xludf.DUMMYFUNCTION("""COMPUTED_VALUE"""),"Гришковец")</f>
        <v>Гришковец</v>
      </c>
      <c r="K1922" s="6" t="str">
        <f>IFERROR(__xludf.DUMMYFUNCTION("""COMPUTED_VALUE"""),"Красная горка ")</f>
        <v>Красная горка </v>
      </c>
      <c r="L1922" s="6" t="str">
        <f>IFERROR(__xludf.DUMMYFUNCTION("""COMPUTED_VALUE"""),"-")</f>
        <v>-</v>
      </c>
      <c r="M1922" s="6" t="str">
        <f>IFERROR(__xludf.DUMMYFUNCTION("""COMPUTED_VALUE"""),"-")</f>
        <v>-</v>
      </c>
      <c r="N1922" s="6" t="str">
        <f>IFERROR(__xludf.DUMMYFUNCTION("""COMPUTED_VALUE"""),"Чистота во всем, главное в воздухе. Интересные заведения куда можно сходить, адекватный хотя бы один ТЦ чтобы не ездить в другие города за покупками. Спорт площадки как открытые так и закрытые. Очень мало хороших, например баскетбольных площадок. Хорошая "&amp;"инфраструктура для велосипедистов, парковки и велодорожки.  ")</f>
        <v>Чистота во всем, главное в воздухе. Интересные заведения куда можно сходить, адекватный хотя бы один ТЦ чтобы не ездить в другие города за покупками. Спорт площадки как открытые так и закрытые. Очень мало хороших, например баскетбольных площадок. Хорошая инфраструктура для велосипедистов, парковки и велодорожки.  </v>
      </c>
      <c r="O1922" s="6" t="str">
        <f>IFERROR(__xludf.DUMMYFUNCTION("""COMPUTED_VALUE"""),"Снизить выбросы предприятий и добавить мост (это из глобального). Привести в порядок дороги не на больших проспектах,  а на маленьких улицах между ними.")</f>
        <v>Снизить выбросы предприятий и добавить мост (это из глобального). Привести в порядок дороги не на больших проспектах,  а на маленьких улицах между ними.</v>
      </c>
      <c r="P1922" s="6" t="str">
        <f>IFERROR(__xludf.DUMMYFUNCTION("""COMPUTED_VALUE"""),"а42")</f>
        <v>а42</v>
      </c>
      <c r="Q192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бизнес-новости (средний чек/рекламные акции/запу"&amp;"ск новых предприятий),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предпринимателями, бизнес-новости (средний чек/рекламные акции/запуск новых предприятий), результаты местных исследований (рейтинги/аналитика/тенденции)</v>
      </c>
      <c r="R1922" s="6" t="str">
        <f>IFERROR(__xludf.DUMMYFUNCTION("""COMPUTED_VALUE"""),"Концерты ")</f>
        <v>Концерты </v>
      </c>
      <c r="S1922" s="6" t="str">
        <f>IFERROR(__xludf.DUMMYFUNCTION("""COMPUTED_VALUE"""),"Нет, не приходилось")</f>
        <v>Нет, не приходилось</v>
      </c>
      <c r="T1922" s="6" t="str">
        <f>IFERROR(__xludf.DUMMYFUNCTION("""COMPUTED_VALUE"""),"Углем")</f>
        <v>Углем</v>
      </c>
      <c r="U1922" s="6" t="str">
        <f>IFERROR(__xludf.DUMMYFUNCTION("""COMPUTED_VALUE"""),"Центр города драма и  т.д. ")</f>
        <v>Центр города драма и  т.д. </v>
      </c>
      <c r="V1922" s="6" t="str">
        <f>IFERROR(__xludf.DUMMYFUNCTION("""COMPUTED_VALUE"""),"Уехали отсюда ) ")</f>
        <v>Уехали отсюда ) </v>
      </c>
      <c r="W1922" s="6" t="str">
        <f>IFERROR(__xludf.DUMMYFUNCTION("""COMPUTED_VALUE"""),"К сожалению по большей части хмурые и обиженные на жизнь ")</f>
        <v>К сожалению по большей части хмурые и обиженные на жизнь </v>
      </c>
      <c r="X1922" s="6" t="str">
        <f>IFERROR(__xludf.DUMMYFUNCTION("""COMPUTED_VALUE"""),"Весь центр ")</f>
        <v>Весь центр </v>
      </c>
      <c r="Y1922" s="6" t="str">
        <f>IFERROR(__xludf.DUMMYFUNCTION("""COMPUTED_VALUE"""),"Чемпионат мира по Хоккею с мячом ")</f>
        <v>Чемпионат мира по Хоккею с мячом </v>
      </c>
      <c r="Z1922" s="6" t="str">
        <f>IFERROR(__xludf.DUMMYFUNCTION("""COMPUTED_VALUE"""),"Концерт от стройсервиса лучшее, что случалось с этим городом  после ЧМ по хоккею с мячом ")</f>
        <v>Концерт от стройсервиса лучшее, что случалось с этим городом  после ЧМ по хоккею с мячом </v>
      </c>
      <c r="AA1922" s="6" t="str">
        <f>IFERROR(__xludf.DUMMYFUNCTION("""COMPUTED_VALUE"""),"Думаю тут нечего писать. У всех на языке одно событие, на место которого стоит парк ")</f>
        <v>Думаю тут нечего писать. У всех на языке одно событие, на место которого стоит парк </v>
      </c>
      <c r="AB1922" s="6" t="str">
        <f>IFERROR(__xludf.DUMMYFUNCTION("""COMPUTED_VALUE"""),"-")</f>
        <v>-</v>
      </c>
      <c r="AC1922" s="6" t="str">
        <f>IFERROR(__xludf.DUMMYFUNCTION("""COMPUTED_VALUE"""),"Международные спортивные мероприятия, музыкальные концерты качественные ")</f>
        <v>Международные спортивные мероприятия, музыкальные концерты качественные </v>
      </c>
      <c r="AD1922"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922" s="6" t="str">
        <f>IFERROR(__xludf.DUMMYFUNCTION("""COMPUTED_VALUE"""),"Мужской")</f>
        <v>Мужской</v>
      </c>
      <c r="AF1922" s="6" t="str">
        <f>IFERROR(__xludf.DUMMYFUNCTION("""COMPUTED_VALUE"""),"30-44")</f>
        <v>30-44</v>
      </c>
      <c r="AG1922" s="6"/>
      <c r="AH1922" s="6"/>
      <c r="AI1922" s="6"/>
      <c r="AJ1922" s="6"/>
      <c r="AK1922" s="6"/>
      <c r="AL1922" s="6"/>
      <c r="AM1922" s="6"/>
    </row>
    <row r="1923">
      <c r="A1923" s="6">
        <v>1922.0</v>
      </c>
      <c r="B1923" s="6" t="str">
        <f>IFERROR(__xludf.DUMMYFUNCTION("""COMPUTED_VALUE"""),"Бухгалтерия")</f>
        <v>Бухгалтерия</v>
      </c>
      <c r="C1923" s="6" t="str">
        <f>IFERROR(__xludf.DUMMYFUNCTION("""COMPUTED_VALUE"""),"Комнатные растения")</f>
        <v>Комнатные растения</v>
      </c>
      <c r="D1923" s="6" t="str">
        <f>IFERROR(__xludf.DUMMYFUNCTION("""COMPUTED_VALUE"""),"""Родные просторы"" (так и называю) - это Центральный район")</f>
        <v>"Родные просторы" (так и называю) - это Центральный район</v>
      </c>
      <c r="E1923" s="6" t="str">
        <f>IFERROR(__xludf.DUMMYFUNCTION("""COMPUTED_VALUE"""),"Бульвар Строителей")</f>
        <v>Бульвар Строителей</v>
      </c>
      <c r="F1923" s="6" t="str">
        <f>IFERROR(__xludf.DUMMYFUNCTION("""COMPUTED_VALUE"""),"Переехал сюда из другого места (откуда? укажите в графе другое), Приехала учиться в 14 лет из Междуреченска и осталась навсегда")</f>
        <v>Переехал сюда из другого места (откуда? укажите в графе другое), Приехала учиться в 14 лет из Междуреченска и осталась навсегда</v>
      </c>
      <c r="G1923" s="6" t="str">
        <f>IFERROR(__xludf.DUMMYFUNCTION("""COMPUTED_VALUE"""),"Бульвар Строителей, Набережная реки Томь в центре, парк за К/Т ""Юбилейный""")</f>
        <v>Бульвар Строителей, Набережная реки Томь в центре, парк за К/Т "Юбилейный"</v>
      </c>
      <c r="H1923" s="6" t="str">
        <f>IFERROR(__xludf.DUMMYFUNCTION("""COMPUTED_VALUE"""),"Родной, Строящийся, Ухоженный, Современный, Уютный")</f>
        <v>Родной, Строящийся, Ухоженный, Современный, Уютный</v>
      </c>
      <c r="I1923" s="6" t="str">
        <f>IFERROR(__xludf.DUMMYFUNCTION("""COMPUTED_VALUE"""),"Михайло Волков, Заузелков Виктор Иванович, Волошина Вера, Шестаков Сергей")</f>
        <v>Михайло Волков, Заузелков Виктор Иванович, Волошина Вера, Шестаков Сергей</v>
      </c>
      <c r="J1923" s="6" t="str">
        <f>IFERROR(__xludf.DUMMYFUNCTION("""COMPUTED_VALUE""")," Аман Тулеев, Михаил Федяев,")</f>
        <v> Аман Тулеев, Михаил Федяев,</v>
      </c>
      <c r="K1923" s="6" t="str">
        <f>IFERROR(__xludf.DUMMYFUNCTION("""COMPUTED_VALUE"""),"Кемеровское кадетское училище, район Лесная Поляна, Новые постройки , набережную")</f>
        <v>Кемеровское кадетское училище, район Лесная Поляна, Новые постройки , набережную</v>
      </c>
      <c r="L1923" s="6" t="str">
        <f>IFERROR(__xludf.DUMMYFUNCTION("""COMPUTED_VALUE"""),"Как суббота - так дышать нечем (особенно зимой)")</f>
        <v>Как суббота - так дышать нечем (особенно зимой)</v>
      </c>
      <c r="M1923" s="6" t="str">
        <f>IFERROR(__xludf.DUMMYFUNCTION("""COMPUTED_VALUE"""),"нет")</f>
        <v>нет</v>
      </c>
      <c r="N1923" s="6" t="str">
        <f>IFERROR(__xludf.DUMMYFUNCTION("""COMPUTED_VALUE"""),"Широкие дороги с работающими светофорами, сравнительно хорошая работа дорожных служб, хорошее озеленение дворов и парков, доступность общественного транспорта, ")</f>
        <v>Широкие дороги с работающими светофорами, сравнительно хорошая работа дорожных служб, хорошее озеленение дворов и парков, доступность общественного транспорта, </v>
      </c>
      <c r="O1923" s="6" t="str">
        <f>IFERROR(__xludf.DUMMYFUNCTION("""COMPUTED_VALUE"""),"Очистить воздух в городе")</f>
        <v>Очистить воздух в городе</v>
      </c>
      <c r="P1923" s="6" t="str">
        <f>IFERROR(__xludf.DUMMYFUNCTION("""COMPUTED_VALUE"""),"VSE42.ru , Новости Кемерово, ВашГород.ru")</f>
        <v>VSE42.ru , Новости Кемерово, ВашГород.ru</v>
      </c>
      <c r="Q1923" s="6" t="str">
        <f>IFERROR(__xludf.DUMMYFUNCTION("""COMPUTED_VALUE"""),"куда пойти в свободное время,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интервью с экспертами на разные темы (напишите в разделе Дру"&amp;"гое свои предложения)")</f>
        <v>куда пойти в свободное время,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интервью с экспертами на разные темы (напишите в разделе Другое свои предложения)</v>
      </c>
      <c r="R1923" s="6" t="str">
        <f>IFERROR(__xludf.DUMMYFUNCTION("""COMPUTED_VALUE"""),"Все общероссийские + День города Кемерово")</f>
        <v>Все общероссийские + День города Кемерово</v>
      </c>
      <c r="S1923" s="6" t="str">
        <f>IFERROR(__xludf.DUMMYFUNCTION("""COMPUTED_VALUE"""),"Нет, не приходилось")</f>
        <v>Нет, не приходилось</v>
      </c>
      <c r="T1923" s="6" t="str">
        <f>IFERROR(__xludf.DUMMYFUNCTION("""COMPUTED_VALUE"""),"Углем и сельхоз удобрениями")</f>
        <v>Углем и сельхоз удобрениями</v>
      </c>
      <c r="U1923" s="6" t="str">
        <f>IFERROR(__xludf.DUMMYFUNCTION("""COMPUTED_VALUE"""),"Площадь с ""Белым домом"", Лениным и клумбой тюльпанов, пр.Советский")</f>
        <v>Площадь с "Белым домом", Лениным и клумбой тюльпанов, пр.Советский</v>
      </c>
      <c r="V1923" s="6" t="str">
        <f>IFERROR(__xludf.DUMMYFUNCTION("""COMPUTED_VALUE"""),"нашли уголь и добывают его")</f>
        <v>нашли уголь и добывают его</v>
      </c>
      <c r="W1923" s="6" t="str">
        <f>IFERROR(__xludf.DUMMYFUNCTION("""COMPUTED_VALUE"""),"Раньше были добрее, но в общем хорошие люди в основном, настоящие сибиряки")</f>
        <v>Раньше были добрее, но в общем хорошие люди в основном, настоящие сибиряки</v>
      </c>
      <c r="X1923" s="6" t="str">
        <f>IFERROR(__xludf.DUMMYFUNCTION("""COMPUTED_VALUE"""),"Городской парк - набережная - Вечный огонь - пр.Советский - театр драмы  - пр. Притомский до кадетского училища, а дальше на природу (на шашлыки)")</f>
        <v>Городской парк - набережная - Вечный огонь - пр.Советский - театр драмы  - пр. Притомский до кадетского училища, а дальше на природу (на шашлыки)</v>
      </c>
      <c r="Y1923" s="6" t="str">
        <f>IFERROR(__xludf.DUMMYFUNCTION("""COMPUTED_VALUE"""),"не знаю")</f>
        <v>не знаю</v>
      </c>
      <c r="Z1923" s="6" t="str">
        <f>IFERROR(__xludf.DUMMYFUNCTION("""COMPUTED_VALUE"""),"не знаю - годы тяжелые были")</f>
        <v>не знаю - годы тяжелые были</v>
      </c>
      <c r="AA1923" s="6" t="str">
        <f>IFERROR(__xludf.DUMMYFUNCTION("""COMPUTED_VALUE"""),"не знаю")</f>
        <v>не знаю</v>
      </c>
      <c r="AB1923" s="6" t="str">
        <f>IFERROR(__xludf.DUMMYFUNCTION("""COMPUTED_VALUE"""),"много всего есть для молодежи, а для нас - пятидесятилетних ничего интересного нет")</f>
        <v>много всего есть для молодежи, а для нас - пятидесятилетних ничего интересного нет</v>
      </c>
      <c r="AC1923" s="6" t="str">
        <f>IFERROR(__xludf.DUMMYFUNCTION("""COMPUTED_VALUE"""),"Летом не хватает доступных пляжей ")</f>
        <v>Летом не хватает доступных пляжей </v>
      </c>
      <c r="AD1923" s="6" t="str">
        <f>IFERROR(__xludf.DUMMYFUNCTION("""COMPUTED_VALUE"""),"Люди трудные и жадные стали, собрать без ""хлеба и зрелищ"" невозможно.")</f>
        <v>Люди трудные и жадные стали, собрать без "хлеба и зрелищ" невозможно.</v>
      </c>
      <c r="AE1923" s="6" t="str">
        <f>IFERROR(__xludf.DUMMYFUNCTION("""COMPUTED_VALUE"""),"Женский")</f>
        <v>Женский</v>
      </c>
      <c r="AF1923" s="6" t="str">
        <f>IFERROR(__xludf.DUMMYFUNCTION("""COMPUTED_VALUE"""),"45-55")</f>
        <v>45-55</v>
      </c>
      <c r="AG1923" s="6"/>
      <c r="AH1923" s="6"/>
      <c r="AI1923" s="6"/>
      <c r="AJ1923" s="6"/>
      <c r="AK1923" s="6"/>
      <c r="AL1923" s="6"/>
      <c r="AM1923" s="6"/>
    </row>
    <row r="1924">
      <c r="A1924" s="6">
        <v>1923.0</v>
      </c>
      <c r="B1924" s="6" t="str">
        <f>IFERROR(__xludf.DUMMYFUNCTION("""COMPUTED_VALUE"""),"Экономист")</f>
        <v>Экономист</v>
      </c>
      <c r="C1924" s="6" t="str">
        <f>IFERROR(__xludf.DUMMYFUNCTION("""COMPUTED_VALUE"""),"Фитнес")</f>
        <v>Фитнес</v>
      </c>
      <c r="D1924" s="6" t="str">
        <f>IFERROR(__xludf.DUMMYFUNCTION("""COMPUTED_VALUE"""),"Радуга")</f>
        <v>Радуга</v>
      </c>
      <c r="E1924" s="6" t="str">
        <f>IFERROR(__xludf.DUMMYFUNCTION("""COMPUTED_VALUE"""),"Бор")</f>
        <v>Бор</v>
      </c>
      <c r="F1924" s="6" t="str">
        <f>IFERROR(__xludf.DUMMYFUNCTION("""COMPUTED_VALUE"""),"Переехал сюда из другого места (откуда? укажите в графе другое), Гурьевск")</f>
        <v>Переехал сюда из другого места (откуда? укажите в графе другое), Гурьевск</v>
      </c>
      <c r="G1924" s="6" t="str">
        <f>IFERROR(__xludf.DUMMYFUNCTION("""COMPUTED_VALUE"""),"Бор")</f>
        <v>Бор</v>
      </c>
      <c r="H1924" s="6" t="str">
        <f>IFERROR(__xludf.DUMMYFUNCTION("""COMPUTED_VALUE"""),"Шахтерский")</f>
        <v>Шахтерский</v>
      </c>
      <c r="I1924" s="6" t="str">
        <f>IFERROR(__xludf.DUMMYFUNCTION("""COMPUTED_VALUE"""),"Волков")</f>
        <v>Волков</v>
      </c>
      <c r="J1924" s="6" t="str">
        <f>IFERROR(__xludf.DUMMYFUNCTION("""COMPUTED_VALUE"""),"Резников")</f>
        <v>Резников</v>
      </c>
      <c r="K1924" s="6" t="str">
        <f>IFERROR(__xludf.DUMMYFUNCTION("""COMPUTED_VALUE"""),"Красная горка")</f>
        <v>Красная горка</v>
      </c>
      <c r="L1924" s="6" t="str">
        <f>IFERROR(__xludf.DUMMYFUNCTION("""COMPUTED_VALUE"""),"Без труда, не вынешь уголька")</f>
        <v>Без труда, не вынешь уголька</v>
      </c>
      <c r="M1924" s="6" t="str">
        <f>IFERROR(__xludf.DUMMYFUNCTION("""COMPUTED_VALUE"""),"Молодой коногон")</f>
        <v>Молодой коногон</v>
      </c>
      <c r="N1924" s="6" t="str">
        <f>IFERROR(__xludf.DUMMYFUNCTION("""COMPUTED_VALUE"""),"Театры, бор, аэропорт, магазины, бассейн")</f>
        <v>Театры, бор, аэропорт, магазины, бассейн</v>
      </c>
      <c r="O1924" s="6" t="str">
        <f>IFERROR(__xludf.DUMMYFUNCTION("""COMPUTED_VALUE"""),"Мост дополнительно ")</f>
        <v>Мост дополнительно </v>
      </c>
      <c r="P1924" s="6" t="str">
        <f>IFERROR(__xludf.DUMMYFUNCTION("""COMPUTED_VALUE"""),"Интернет инсаграмм")</f>
        <v>Интернет инсаграмм</v>
      </c>
      <c r="Q1924" s="6" t="str">
        <f>IFERROR(__xludf.DUMMYFUNCTION("""COMPUTED_VALUE"""),"куда пойти в свободное время, городская афиша (кино/театр/концерты), результаты местных исследований (рейтинги/аналитика/тенденции)")</f>
        <v>куда пойти в свободное время, городская афиша (кино/театр/концерты), результаты местных исследований (рейтинги/аналитика/тенденции)</v>
      </c>
      <c r="R1924" s="6" t="str">
        <f>IFERROR(__xludf.DUMMYFUNCTION("""COMPUTED_VALUE"""),"День шахтера")</f>
        <v>День шахтера</v>
      </c>
      <c r="S1924" s="6" t="str">
        <f>IFERROR(__xludf.DUMMYFUNCTION("""COMPUTED_VALUE"""),"Нет, не приходилось")</f>
        <v>Нет, не приходилось</v>
      </c>
      <c r="T1924" s="6" t="str">
        <f>IFERROR(__xludf.DUMMYFUNCTION("""COMPUTED_VALUE"""),"Новый ледовый дворец")</f>
        <v>Новый ледовый дворец</v>
      </c>
      <c r="U1924" s="6" t="str">
        <f>IFERROR(__xludf.DUMMYFUNCTION("""COMPUTED_VALUE"""),"Площадь Советов")</f>
        <v>Площадь Советов</v>
      </c>
      <c r="V1924" s="6" t="str">
        <f>IFERROR(__xludf.DUMMYFUNCTION("""COMPUTED_VALUE"""),"Благоустройство")</f>
        <v>Благоустройство</v>
      </c>
      <c r="W1924" s="6" t="str">
        <f>IFERROR(__xludf.DUMMYFUNCTION("""COMPUTED_VALUE"""),"Озабоченные")</f>
        <v>Озабоченные</v>
      </c>
      <c r="X1924" s="6" t="str">
        <f>IFERROR(__xludf.DUMMYFUNCTION("""COMPUTED_VALUE"""),"Набережная")</f>
        <v>Набережная</v>
      </c>
      <c r="Y1924" s="6" t="str">
        <f>IFERROR(__xludf.DUMMYFUNCTION("""COMPUTED_VALUE"""),"300-летие")</f>
        <v>300-летие</v>
      </c>
      <c r="Z1924" s="6" t="str">
        <f>IFERROR(__xludf.DUMMYFUNCTION("""COMPUTED_VALUE"""),"Рок-концерт зарубежных звезд")</f>
        <v>Рок-концерт зарубежных звезд</v>
      </c>
      <c r="AA1924" s="6" t="str">
        <f>IFERROR(__xludf.DUMMYFUNCTION("""COMPUTED_VALUE"""),"Пробки в городе")</f>
        <v>Пробки в городе</v>
      </c>
      <c r="AB1924" s="6" t="str">
        <f>IFERROR(__xludf.DUMMYFUNCTION("""COMPUTED_VALUE"""),"Спортивных")</f>
        <v>Спортивных</v>
      </c>
      <c r="AC1924" s="6" t="str">
        <f>IFERROR(__xludf.DUMMYFUNCTION("""COMPUTED_VALUE"""),"Объездная дорога")</f>
        <v>Объездная дорога</v>
      </c>
      <c r="AD1924"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24" s="6" t="str">
        <f>IFERROR(__xludf.DUMMYFUNCTION("""COMPUTED_VALUE"""),"Женский")</f>
        <v>Женский</v>
      </c>
      <c r="AF1924" s="6" t="str">
        <f>IFERROR(__xludf.DUMMYFUNCTION("""COMPUTED_VALUE"""),"45-55")</f>
        <v>45-55</v>
      </c>
      <c r="AG1924" s="6"/>
      <c r="AH1924" s="6"/>
      <c r="AI1924" s="6"/>
      <c r="AJ1924" s="6"/>
      <c r="AK1924" s="6"/>
      <c r="AL1924" s="6"/>
      <c r="AM1924" s="6"/>
    </row>
    <row r="1925">
      <c r="A1925" s="6">
        <v>1924.0</v>
      </c>
      <c r="B1925" s="6" t="str">
        <f>IFERROR(__xludf.DUMMYFUNCTION("""COMPUTED_VALUE"""),"строительство")</f>
        <v>строительство</v>
      </c>
      <c r="C1925" s="6" t="str">
        <f>IFERROR(__xludf.DUMMYFUNCTION("""COMPUTED_VALUE"""),"геймер")</f>
        <v>геймер</v>
      </c>
      <c r="D1925" s="6" t="str">
        <f>IFERROR(__xludf.DUMMYFUNCTION("""COMPUTED_VALUE"""),"заводской фпк")</f>
        <v>заводской фпк</v>
      </c>
      <c r="E1925" s="6" t="str">
        <f>IFERROR(__xludf.DUMMYFUNCTION("""COMPUTED_VALUE"""),"тц Гринвич")</f>
        <v>тц Гринвич</v>
      </c>
      <c r="F1925" s="6" t="str">
        <f>IFERROR(__xludf.DUMMYFUNCTION("""COMPUTED_VALUE"""),"Переехал сюда из другого места (откуда? укажите в графе другое), г.Экибастуз")</f>
        <v>Переехал сюда из другого места (откуда? укажите в графе другое), г.Экибастуз</v>
      </c>
      <c r="G1925" s="6" t="str">
        <f>IFERROR(__xludf.DUMMYFUNCTION("""COMPUTED_VALUE"""),"набережная")</f>
        <v>набережная</v>
      </c>
      <c r="H1925" s="6" t="str">
        <f>IFERROR(__xludf.DUMMYFUNCTION("""COMPUTED_VALUE"""),"смог, серость, чистота, бор, томь")</f>
        <v>смог, серость, чистота, бор, томь</v>
      </c>
      <c r="I1925" s="6" t="str">
        <f>IFERROR(__xludf.DUMMYFUNCTION("""COMPUTED_VALUE"""),"волков, рутгерс, ")</f>
        <v>волков, рутгерс, </v>
      </c>
      <c r="J1925" s="6" t="str">
        <f>IFERROR(__xludf.DUMMYFUNCTION("""COMPUTED_VALUE"""),"михайлов, тулеев, леонов")</f>
        <v>михайлов, тулеев, леонов</v>
      </c>
      <c r="K1925" s="6" t="str">
        <f>IFERROR(__xludf.DUMMYFUNCTION("""COMPUTED_VALUE"""),"надпись Кузбасс, мемориал память шахтерам кузбасса, музей на красной горке")</f>
        <v>надпись Кузбасс, мемориал память шахтерам кузбасса, музей на красной горке</v>
      </c>
      <c r="L1925" s="6" t="str">
        <f>IFERROR(__xludf.DUMMYFUNCTION("""COMPUTED_VALUE"""),"есть одна притча "" если из главного корпуса Политеха выйдет девственница то у памятника М.Волкову выпадет уголь из рук")</f>
        <v>есть одна притча " если из главного корпуса Политеха выйдет девственница то у памятника М.Волкову выпадет уголь из рук</v>
      </c>
      <c r="M1925" s="6" t="str">
        <f>IFERROR(__xludf.DUMMYFUNCTION("""COMPUTED_VALUE"""),"кемска волость, щегловка")</f>
        <v>кемска волость, щегловка</v>
      </c>
      <c r="N1925" s="6" t="str">
        <f>IFERROR(__xludf.DUMMYFUNCTION("""COMPUTED_VALUE"""),"свежий воздух, транспортное соедине6ние между районами, особенно между берегами, развлечения(клубы,бары,дискотеки), пляжные места отдыха,доступные цены на недвижимочть")</f>
        <v>свежий воздух, транспортное соедине6ние между районами, особенно между берегами, развлечения(клубы,бары,дискотеки), пляжные места отдыха,доступные цены на недвижимочть</v>
      </c>
      <c r="O1925" s="6" t="str">
        <f>IFERROR(__xludf.DUMMYFUNCTION("""COMPUTED_VALUE"""),"объездную дорогу для дальнобоев, ")</f>
        <v>объездную дорогу для дальнобоев, </v>
      </c>
      <c r="P1925" s="6" t="str">
        <f>IFERROR(__xludf.DUMMYFUNCTION("""COMPUTED_VALUE"""),"банеры на остановках, afisha.vse42.ru")</f>
        <v>банеры на остановках, afisha.vse42.ru</v>
      </c>
      <c r="Q1925"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925" s="6" t="str">
        <f>IFERROR(__xludf.DUMMYFUNCTION("""COMPUTED_VALUE"""),"день города, день шахтеров")</f>
        <v>день города, день шахтеров</v>
      </c>
      <c r="S1925" s="6" t="str">
        <f>IFERROR(__xludf.DUMMYFUNCTION("""COMPUTED_VALUE"""),"Нет, не приходилось")</f>
        <v>Нет, не приходилось</v>
      </c>
      <c r="T1925" s="6" t="str">
        <f>IFERROR(__xludf.DUMMYFUNCTION("""COMPUTED_VALUE"""),"в последние годы только низкими рейтингами по всем направлениям")</f>
        <v>в последние годы только низкими рейтингами по всем направлениям</v>
      </c>
      <c r="U1925" s="6" t="str">
        <f>IFERROR(__xludf.DUMMYFUNCTION("""COMPUTED_VALUE"""),"глав почтамп")</f>
        <v>глав почтамп</v>
      </c>
      <c r="V1925" s="6" t="str">
        <f>IFERROR(__xludf.DUMMYFUNCTION("""COMPUTED_VALUE"""),"выбирали губернатора")</f>
        <v>выбирали губернатора</v>
      </c>
      <c r="W1925" s="6" t="str">
        <f>IFERROR(__xludf.DUMMYFUNCTION("""COMPUTED_VALUE"""),"суровые, трудолюбивые, безбашеные, ответственные")</f>
        <v>суровые, трудолюбивые, безбашеные, ответственные</v>
      </c>
      <c r="X1925" s="6" t="str">
        <f>IFERROR(__xludf.DUMMYFUNCTION("""COMPUTED_VALUE"""),"филармония-набережная-весенька-драм театр-киорва-гор.сад")</f>
        <v>филармония-набережная-весенька-драм театр-киорва-гор.сад</v>
      </c>
      <c r="Y1925" s="6" t="str">
        <f>IFERROR(__xludf.DUMMYFUNCTION("""COMPUTED_VALUE"""),"чемпионат мира по хоккею с мячом")</f>
        <v>чемпионат мира по хоккею с мячом</v>
      </c>
      <c r="Z1925" s="6" t="str">
        <f>IFERROR(__xludf.DUMMYFUNCTION("""COMPUTED_VALUE"""),"победа волейбольного клуба кузбасса,  рок концерт под открытым небом")</f>
        <v>победа волейбольного клуба кузбасса,  рок концерт под открытым небом</v>
      </c>
      <c r="AA1925" s="6" t="str">
        <f>IFERROR(__xludf.DUMMYFUNCTION("""COMPUTED_VALUE"""),"режим черного неба")</f>
        <v>режим черного неба</v>
      </c>
      <c r="AB1925" s="6" t="str">
        <f>IFERROR(__xludf.DUMMYFUNCTION("""COMPUTED_VALUE"""),"нет ответа")</f>
        <v>нет ответа</v>
      </c>
      <c r="AC1925" s="6" t="str">
        <f>IFERROR(__xludf.DUMMYFUNCTION("""COMPUTED_VALUE"""),"развлекательных")</f>
        <v>развлекательных</v>
      </c>
      <c r="AD1925"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925" s="6" t="str">
        <f>IFERROR(__xludf.DUMMYFUNCTION("""COMPUTED_VALUE"""),"Мужской")</f>
        <v>Мужской</v>
      </c>
      <c r="AF1925" s="6" t="str">
        <f>IFERROR(__xludf.DUMMYFUNCTION("""COMPUTED_VALUE"""),"30-44")</f>
        <v>30-44</v>
      </c>
      <c r="AG1925" s="6"/>
      <c r="AH1925" s="6"/>
      <c r="AI1925" s="6"/>
      <c r="AJ1925" s="6"/>
      <c r="AK1925" s="6"/>
      <c r="AL1925" s="6"/>
      <c r="AM1925" s="6"/>
    </row>
    <row r="1926">
      <c r="A1926" s="6">
        <v>1925.0</v>
      </c>
      <c r="B1926" s="6" t="str">
        <f>IFERROR(__xludf.DUMMYFUNCTION("""COMPUTED_VALUE"""),"воспитатель")</f>
        <v>воспитатель</v>
      </c>
      <c r="C1926" s="6" t="str">
        <f>IFERROR(__xludf.DUMMYFUNCTION("""COMPUTED_VALUE"""),"это моя профессия")</f>
        <v>это моя профессия</v>
      </c>
      <c r="D1926" s="6" t="str">
        <f>IFERROR(__xludf.DUMMYFUNCTION("""COMPUTED_VALUE"""),"Заводской, ФПК")</f>
        <v>Заводской, ФПК</v>
      </c>
      <c r="E1926" s="6" t="str">
        <f>IFERROR(__xludf.DUMMYFUNCTION("""COMPUTED_VALUE"""),"Бульвар Строителей, парк Жукова")</f>
        <v>Бульвар Строителей, парк Жукова</v>
      </c>
      <c r="F1926" s="6" t="str">
        <f>IFERROR(__xludf.DUMMYFUNCTION("""COMPUTED_VALUE"""),"Живу здесь с рождения")</f>
        <v>Живу здесь с рождения</v>
      </c>
      <c r="G1926" s="6" t="str">
        <f>IFERROR(__xludf.DUMMYFUNCTION("""COMPUTED_VALUE"""),"сосновый бор, набережная, бульвар строителей")</f>
        <v>сосновый бор, набережная, бульвар строителей</v>
      </c>
      <c r="H1926" s="6" t="str">
        <f>IFERROR(__xludf.DUMMYFUNCTION("""COMPUTED_VALUE"""),"город, Томь, островок, шахтер, Кузбасс")</f>
        <v>город, Томь, островок, шахтер, Кузбасс</v>
      </c>
      <c r="I1926" s="6" t="str">
        <f>IFERROR(__xludf.DUMMYFUNCTION("""COMPUTED_VALUE"""),"Леонов")</f>
        <v>Леонов</v>
      </c>
      <c r="J1926" s="6" t="str">
        <f>IFERROR(__xludf.DUMMYFUNCTION("""COMPUTED_VALUE"""),"Леонов, Тулеев, Цивилев")</f>
        <v>Леонов, Тулеев, Цивилев</v>
      </c>
      <c r="K1926" s="6" t="str">
        <f>IFERROR(__xludf.DUMMYFUNCTION("""COMPUTED_VALUE"""),"Памятник Шахтерам, красная горка")</f>
        <v>Памятник Шахтерам, красная горка</v>
      </c>
      <c r="L1926" s="6" t="str">
        <f>IFERROR(__xludf.DUMMYFUNCTION("""COMPUTED_VALUE"""),"Уголек, как золото: и блестит и ценится.
Источник: https://skazachok.ru/poslovicy-pogovorki-o-kuzbasse/")</f>
        <v>Уголек, как золото: и блестит и ценится.
Источник: https://skazachok.ru/poslovicy-pogovorki-o-kuzbasse/</v>
      </c>
      <c r="M1926" s="6" t="str">
        <f>IFERROR(__xludf.DUMMYFUNCTION("""COMPUTED_VALUE"""),"не знаю")</f>
        <v>не знаю</v>
      </c>
      <c r="N1926" s="6" t="str">
        <f>IFERROR(__xludf.DUMMYFUNCTION("""COMPUTED_VALUE"""),"спокойствие, комфорт, доступность")</f>
        <v>спокойствие, комфорт, доступность</v>
      </c>
      <c r="O1926" s="6" t="str">
        <f>IFERROR(__xludf.DUMMYFUNCTION("""COMPUTED_VALUE"""),"Убрать серость, убрать и вывести все исправительные колонии за город")</f>
        <v>Убрать серость, убрать и вывести все исправительные колонии за город</v>
      </c>
      <c r="P1926" s="6" t="str">
        <f>IFERROR(__xludf.DUMMYFUNCTION("""COMPUTED_VALUE"""),"Типичный Кемерово, инцидент Кузбасс, Вести Кемерово")</f>
        <v>Типичный Кемерово, инцидент Кузбасс, Вести Кемерово</v>
      </c>
      <c r="Q1926"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926" s="6" t="str">
        <f>IFERROR(__xludf.DUMMYFUNCTION("""COMPUTED_VALUE"""),"9 мая, 1 мая, 1 июня, 12 июня")</f>
        <v>9 мая, 1 мая, 1 июня, 12 июня</v>
      </c>
      <c r="S1926" s="6" t="str">
        <f>IFERROR(__xludf.DUMMYFUNCTION("""COMPUTED_VALUE"""),"Нет, не приходилось")</f>
        <v>Нет, не приходилось</v>
      </c>
      <c r="T1926" s="6" t="str">
        <f>IFERROR(__xludf.DUMMYFUNCTION("""COMPUTED_VALUE"""),"набережная, памятник Шахтеров, красная горка")</f>
        <v>набережная, памятник Шахтеров, красная горка</v>
      </c>
      <c r="U1926" s="6" t="str">
        <f>IFERROR(__xludf.DUMMYFUNCTION("""COMPUTED_VALUE"""),"наш километр в центре")</f>
        <v>наш километр в центре</v>
      </c>
      <c r="V1926" s="6" t="str">
        <f>IFERROR(__xludf.DUMMYFUNCTION("""COMPUTED_VALUE"""),"мы много чего сделали для города")</f>
        <v>мы много чего сделали для города</v>
      </c>
      <c r="W1926" s="6" t="str">
        <f>IFERROR(__xludf.DUMMYFUNCTION("""COMPUTED_VALUE"""),"Доброжелательные")</f>
        <v>Доброжелательные</v>
      </c>
      <c r="X1926" s="6" t="str">
        <f>IFERROR(__xludf.DUMMYFUNCTION("""COMPUTED_VALUE"""),"на маршрутке 40)")</f>
        <v>на маршрутке 40)</v>
      </c>
      <c r="Y1926" s="6" t="str">
        <f>IFERROR(__xludf.DUMMYFUNCTION("""COMPUTED_VALUE"""),"скоро будет 300 летие Кузбасса, мне кажется оно должно запомнится, а так 9 мая 2020 года, хоть и не учавствовали в шествии, зато было приятно, что люди поддержали")</f>
        <v>скоро будет 300 летие Кузбасса, мне кажется оно должно запомнится, а так 9 мая 2020 года, хоть и не учавствовали в шествии, зато было приятно, что люди поддержали</v>
      </c>
      <c r="Z1926" s="6" t="str">
        <f>IFERROR(__xludf.DUMMYFUNCTION("""COMPUTED_VALUE"""),"все праздники проходящие в городе")</f>
        <v>все праздники проходящие в городе</v>
      </c>
      <c r="AA1926" s="6" t="str">
        <f>IFERROR(__xludf.DUMMYFUNCTION("""COMPUTED_VALUE"""),"митинги")</f>
        <v>митинги</v>
      </c>
      <c r="AB1926" s="6" t="str">
        <f>IFERROR(__xludf.DUMMYFUNCTION("""COMPUTED_VALUE"""),"не могу сказать")</f>
        <v>не могу сказать</v>
      </c>
      <c r="AC1926" s="6" t="str">
        <f>IFERROR(__xludf.DUMMYFUNCTION("""COMPUTED_VALUE"""),"совместное времяпровождение")</f>
        <v>совместное времяпровождение</v>
      </c>
      <c r="AD1926" s="6" t="str">
        <f>IFERROR(__xludf.DUMMYFUNCTION("""COMPUTED_VALUE"""),"Не готов принимать личное участие (укажите, пожалуйста, причину в поле «Другое»), Маленький ребенок")</f>
        <v>Не готов принимать личное участие (укажите, пожалуйста, причину в поле «Другое»), Маленький ребенок</v>
      </c>
      <c r="AE1926" s="6" t="str">
        <f>IFERROR(__xludf.DUMMYFUNCTION("""COMPUTED_VALUE"""),"Женский")</f>
        <v>Женский</v>
      </c>
      <c r="AF1926" s="6" t="str">
        <f>IFERROR(__xludf.DUMMYFUNCTION("""COMPUTED_VALUE"""),"30-44")</f>
        <v>30-44</v>
      </c>
      <c r="AG1926" s="6"/>
      <c r="AH1926" s="6"/>
      <c r="AI1926" s="6"/>
      <c r="AJ1926" s="6"/>
      <c r="AK1926" s="6"/>
      <c r="AL1926" s="6"/>
      <c r="AM1926" s="6"/>
    </row>
    <row r="1927">
      <c r="A1927" s="6">
        <v>1926.0</v>
      </c>
      <c r="B1927" s="6" t="str">
        <f>IFERROR(__xludf.DUMMYFUNCTION("""COMPUTED_VALUE"""),"Студент")</f>
        <v>Студент</v>
      </c>
      <c r="C1927" s="6" t="str">
        <f>IFERROR(__xludf.DUMMYFUNCTION("""COMPUTED_VALUE"""),"Сноубординг, бег, чтение")</f>
        <v>Сноубординг, бег, чтение</v>
      </c>
      <c r="D1927" s="6" t="str">
        <f>IFERROR(__xludf.DUMMYFUNCTION("""COMPUTED_VALUE"""),"Заводский район")</f>
        <v>Заводский район</v>
      </c>
      <c r="E1927" s="6" t="str">
        <f>IFERROR(__xludf.DUMMYFUNCTION("""COMPUTED_VALUE"""),"Затрудняюсь ответить")</f>
        <v>Затрудняюсь ответить</v>
      </c>
      <c r="F1927" s="6" t="str">
        <f>IFERROR(__xludf.DUMMYFUNCTION("""COMPUTED_VALUE"""),"Переехал сюда из другого места (откуда? укажите в графе другое), Белово, причина — обучение в университете.")</f>
        <v>Переехал сюда из другого места (откуда? укажите в графе другое), Белово, причина — обучение в университете.</v>
      </c>
      <c r="G1927" s="6" t="str">
        <f>IFERROR(__xludf.DUMMYFUNCTION("""COMPUTED_VALUE"""),"Кемеровский областной театр драмы, Театр для детей и молодежи, Музей изобразительных искусств Кузбасса, Областная Научная Библиотека, ул. Весенняя, иногда катаюсь на трамвае без цели, просто так.")</f>
        <v>Кемеровский областной театр драмы, Театр для детей и молодежи, Музей изобразительных искусств Кузбасса, Областная Научная Библиотека, ул. Весенняя, иногда катаюсь на трамвае без цели, просто так.</v>
      </c>
      <c r="H1927" s="6" t="str">
        <f>IFERROR(__xludf.DUMMYFUNCTION("""COMPUTED_VALUE"""),"Пастельные тона.")</f>
        <v>Пастельные тона.</v>
      </c>
      <c r="I1927" s="6" t="str">
        <f>IFERROR(__xludf.DUMMYFUNCTION("""COMPUTED_VALUE"""),"Фёдоров, Бобров, Чихачёв.")</f>
        <v>Фёдоров, Бобров, Чихачёв.</v>
      </c>
      <c r="J1927" s="6" t="str">
        <f>IFERROR(__xludf.DUMMYFUNCTION("""COMPUTED_VALUE"""),"Гришковец, Ольга Василъева (проект ""Внутри и снаружи""), организаторы проекта ""ЭкоКемерово""")</f>
        <v>Гришковец, Ольга Василъева (проект "Внутри и снаружи"), организаторы проекта "ЭкоКемерово"</v>
      </c>
      <c r="K1927" s="6" t="str">
        <f>IFERROR(__xludf.DUMMYFUNCTION("""COMPUTED_VALUE"""),"Арт-пространство ""Клумба""")</f>
        <v>Арт-пространство "Клумба"</v>
      </c>
      <c r="L1927" s="6" t="str">
        <f>IFERROR(__xludf.DUMMYFUNCTION("""COMPUTED_VALUE"""),"Затрудняюсь ответить")</f>
        <v>Затрудняюсь ответить</v>
      </c>
      <c r="M1927" s="6" t="str">
        <f>IFERROR(__xludf.DUMMYFUNCTION("""COMPUTED_VALUE"""),"Затрудняюсь ответить")</f>
        <v>Затрудняюсь ответить</v>
      </c>
      <c r="N1927" s="6" t="str">
        <f>IFERROR(__xludf.DUMMYFUNCTION("""COMPUTED_VALUE"""),"Небольшой размер: можно достаточно быстро добраться из пункта A в пункт B.")</f>
        <v>Небольшой размер: можно достаточно быстро добраться из пункта A в пункт B.</v>
      </c>
      <c r="O1927" s="6" t="str">
        <f>IFERROR(__xludf.DUMMYFUNCTION("""COMPUTED_VALUE"""),"Увеличить количество зелёных зон, посадить побольше деревьев, цветов.")</f>
        <v>Увеличить количество зелёных зон, посадить побольше деревьев, цветов.</v>
      </c>
      <c r="P1927" s="6" t="str">
        <f>IFERROR(__xludf.DUMMYFUNCTION("""COMPUTED_VALUE"""),"""Вконтакте""")</f>
        <v>"Вконтакте"</v>
      </c>
      <c r="Q1927"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результаты местных исс"&amp;"ледований (рейтинги/аналитика/тенденции)")</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v>
      </c>
      <c r="R1927" s="6" t="str">
        <f>IFERROR(__xludf.DUMMYFUNCTION("""COMPUTED_VALUE"""),"Затрудняюсь ответить.")</f>
        <v>Затрудняюсь ответить.</v>
      </c>
      <c r="S1927" s="6" t="str">
        <f>IFERROR(__xludf.DUMMYFUNCTION("""COMPUTED_VALUE"""),"Через социальные сети (Какие? Укажите в графе другое), ""Вконтакте"", Instagram")</f>
        <v>Через социальные сети (Какие? Укажите в графе другое), "Вконтакте", Instagram</v>
      </c>
      <c r="T1927" s="6" t="str">
        <f>IFERROR(__xludf.DUMMYFUNCTION("""COMPUTED_VALUE"""),"Кемерово — столица угольного региона.")</f>
        <v>Кемерово — столица угольного региона.</v>
      </c>
      <c r="U1927" s="6" t="str">
        <f>IFERROR(__xludf.DUMMYFUNCTION("""COMPUTED_VALUE"""),"Площадь советов, ул. Весенняя, Притомская набережная.")</f>
        <v>Площадь советов, ул. Весенняя, Притомская набережная.</v>
      </c>
      <c r="V1927" s="6" t="str">
        <f>IFERROR(__xludf.DUMMYFUNCTION("""COMPUTED_VALUE"""),"Создание промышленных предприятий, угольная промышленность, высокий уровень образования.")</f>
        <v>Создание промышленных предприятий, угольная промышленность, высокий уровень образования.</v>
      </c>
      <c r="W1927" s="6" t="str">
        <f>IFERROR(__xludf.DUMMYFUNCTION("""COMPUTED_VALUE"""),"Душевные, простые, открытые, бесбашанные.")</f>
        <v>Душевные, простые, открытые, бесбашанные.</v>
      </c>
      <c r="X1927" s="6" t="str">
        <f>IFERROR(__xludf.DUMMYFUNCTION("""COMPUTED_VALUE"""),"Затрудняюсь ответить.")</f>
        <v>Затрудняюсь ответить.</v>
      </c>
      <c r="Y1927" s="6" t="str">
        <f>IFERROR(__xludf.DUMMYFUNCTION("""COMPUTED_VALUE"""),"Затрудняюсь ответить.")</f>
        <v>Затрудняюсь ответить.</v>
      </c>
      <c r="Z1927" s="6" t="str">
        <f>IFERROR(__xludf.DUMMYFUNCTION("""COMPUTED_VALUE"""),"кинофестиваль ""Видение""")</f>
        <v>кинофестиваль "Видение"</v>
      </c>
      <c r="AA1927" s="6" t="str">
        <f>IFERROR(__xludf.DUMMYFUNCTION("""COMPUTED_VALUE"""),"Пожар в ""Зимней вишне""")</f>
        <v>Пожар в "Зимней вишне"</v>
      </c>
      <c r="AB1927" s="6" t="str">
        <f>IFERROR(__xludf.DUMMYFUNCTION("""COMPUTED_VALUE"""),"Независимых сообществ разного типа.")</f>
        <v>Независимых сообществ разного типа.</v>
      </c>
      <c r="AC1927" s="6" t="str">
        <f>IFERROR(__xludf.DUMMYFUNCTION("""COMPUTED_VALUE"""),"Независимых молодёжных мероприятий (т. е. чтобы организатором выступало какое-либо молодёжное сообщество, а не администрация города)")</f>
        <v>Независимых молодёжных мероприятий (т. е. чтобы организатором выступало какое-либо молодёжное сообщество, а не администрация города)</v>
      </c>
      <c r="AD1927" s="6" t="str">
        <f>IFERROR(__xludf.DUMMYFUNCTION("""COMPUTED_VALUE"""),"Не готов принимать личное участие (укажите, пожалуйста, причину в поле «Другое»), В связи с поступлением в магистратуру в другой город.")</f>
        <v>Не готов принимать личное участие (укажите, пожалуйста, причину в поле «Другое»), В связи с поступлением в магистратуру в другой город.</v>
      </c>
      <c r="AE1927" s="6" t="str">
        <f>IFERROR(__xludf.DUMMYFUNCTION("""COMPUTED_VALUE"""),"Женский")</f>
        <v>Женский</v>
      </c>
      <c r="AF1927" s="6" t="str">
        <f>IFERROR(__xludf.DUMMYFUNCTION("""COMPUTED_VALUE"""),"18-29")</f>
        <v>18-29</v>
      </c>
      <c r="AG1927" s="6"/>
      <c r="AH1927" s="6"/>
      <c r="AI1927" s="6"/>
      <c r="AJ1927" s="6"/>
      <c r="AK1927" s="6"/>
      <c r="AL1927" s="6"/>
      <c r="AM1927" s="6"/>
    </row>
    <row r="1928">
      <c r="A1928" s="6">
        <v>1927.0</v>
      </c>
      <c r="B1928" s="6" t="str">
        <f>IFERROR(__xludf.DUMMYFUNCTION("""COMPUTED_VALUE"""),"работаю, специалист по закупкам")</f>
        <v>работаю, специалист по закупкам</v>
      </c>
      <c r="C1928" s="6" t="str">
        <f>IFERROR(__xludf.DUMMYFUNCTION("""COMPUTED_VALUE"""),"рукоделие")</f>
        <v>рукоделие</v>
      </c>
      <c r="D1928" s="6" t="str">
        <f>IFERROR(__xludf.DUMMYFUNCTION("""COMPUTED_VALUE"""),"Шалготарьян")</f>
        <v>Шалготарьян</v>
      </c>
      <c r="E1928" s="6" t="str">
        <f>IFERROR(__xludf.DUMMYFUNCTION("""COMPUTED_VALUE"""),"Мария-ра")</f>
        <v>Мария-ра</v>
      </c>
      <c r="F1928" s="6" t="str">
        <f>IFERROR(__xludf.DUMMYFUNCTION("""COMPUTED_VALUE"""),"Живу здесь с рождения")</f>
        <v>Живу здесь с рождения</v>
      </c>
      <c r="G1928" s="6" t="str">
        <f>IFERROR(__xludf.DUMMYFUNCTION("""COMPUTED_VALUE"""),"Комсомольский проспект")</f>
        <v>Комсомольский проспект</v>
      </c>
      <c r="H1928" s="6" t="str">
        <f>IFERROR(__xludf.DUMMYFUNCTION("""COMPUTED_VALUE"""),"Кузбасс, шахтер, химик, загазованность, нет работы")</f>
        <v>Кузбасс, шахтер, химик, загазованность, нет работы</v>
      </c>
      <c r="I1928" s="6" t="str">
        <f>IFERROR(__xludf.DUMMYFUNCTION("""COMPUTED_VALUE"""),"Подгорбунский, Васильев, Шорников, Волошина, Мартемьянов, Леонов, Бобров")</f>
        <v>Подгорбунский, Васильев, Шорников, Волошина, Мартемьянов, Леонов, Бобров</v>
      </c>
      <c r="J1928" s="6" t="str">
        <f>IFERROR(__xludf.DUMMYFUNCTION("""COMPUTED_VALUE"""),"Михайлов, Тулеев")</f>
        <v>Михайлов, Тулеев</v>
      </c>
      <c r="K1928" s="6" t="str">
        <f>IFERROR(__xludf.DUMMYFUNCTION("""COMPUTED_VALUE"""),"Музей на Красной горке")</f>
        <v>Музей на Красной горке</v>
      </c>
      <c r="L1928" s="6" t="str">
        <f>IFERROR(__xludf.DUMMYFUNCTION("""COMPUTED_VALUE"""),"иети живет в Кузбассе")</f>
        <v>иети живет в Кузбассе</v>
      </c>
      <c r="M1928" s="6" t="str">
        <f>IFERROR(__xludf.DUMMYFUNCTION("""COMPUTED_VALUE"""),"нет")</f>
        <v>нет</v>
      </c>
      <c r="N1928" s="6" t="str">
        <f>IFERROR(__xludf.DUMMYFUNCTION("""COMPUTED_VALUE"""),"Обеспеченность достойной работой, заработной платой, доступным медицинским обслуживанием. Чистые улицы и воздух. Озеленение  улиц и дворов. Отремонтированные дороги.       Отсутствие во дворах автомобилей.")</f>
        <v>Обеспеченность достойной работой, заработной платой, доступным медицинским обслуживанием. Чистые улицы и воздух. Озеленение  улиц и дворов. Отремонтированные дороги.       Отсутствие во дворах автомобилей.</v>
      </c>
      <c r="O1928" s="6" t="str">
        <f>IFERROR(__xludf.DUMMYFUNCTION("""COMPUTED_VALUE"""),"Обеспечить население работой и заработной платой. Убрать с дворовых территорий автотранспорт")</f>
        <v>Обеспечить население работой и заработной платой. Убрать с дворовых территорий автотранспорт</v>
      </c>
      <c r="P1928" s="6" t="str">
        <f>IFERROR(__xludf.DUMMYFUNCTION("""COMPUTED_VALUE"""),"Телевизор (Вести, новости) Интернет Яндекс")</f>
        <v>Телевизор (Вести, новости) Интернет Яндекс</v>
      </c>
      <c r="Q1928" s="6" t="str">
        <f>IFERROR(__xludf.DUMMYFUNCTION("""COMPUTED_VALUE"""),"куда пойти в свободное время, криминальные новости (происшествия/преступления), интервью с экспертами на разные темы (напишите в разделе Другое свои предложения)")</f>
        <v>куда пойти в свободное время, криминальные новости (происшествия/преступления), интервью с экспертами на разные темы (напишите в разделе Другое свои предложения)</v>
      </c>
      <c r="R1928" s="6" t="str">
        <f>IFERROR(__xludf.DUMMYFUNCTION("""COMPUTED_VALUE"""),"День Победы, 1 мая, 7 ноября, Новый год, День Шахтера, Масленница")</f>
        <v>День Победы, 1 мая, 7 ноября, Новый год, День Шахтера, Масленница</v>
      </c>
      <c r="S1928" s="6" t="str">
        <f>IFERROR(__xludf.DUMMYFUNCTION("""COMPUTED_VALUE"""),"Нет, не приходилось")</f>
        <v>Нет, не приходилось</v>
      </c>
      <c r="T1928" s="6" t="str">
        <f>IFERROR(__xludf.DUMMYFUNCTION("""COMPUTED_VALUE"""),"Областной город. Город шахтеров и химиков.")</f>
        <v>Областной город. Город шахтеров и химиков.</v>
      </c>
      <c r="U1928" s="6" t="str">
        <f>IFERROR(__xludf.DUMMYFUNCTION("""COMPUTED_VALUE"""),"Площадь Советов, площадь у драмтеатра, ул. Весенняя, бульвар Строителей.")</f>
        <v>Площадь Советов, площадь у драмтеатра, ул. Весенняя, бульвар Строителей.</v>
      </c>
      <c r="V1928" s="6" t="str">
        <f>IFERROR(__xludf.DUMMYFUNCTION("""COMPUTED_VALUE"""),"Построили рабочие места заводы, жилье, зеленый город.")</f>
        <v>Построили рабочие места заводы, жилье, зеленый город.</v>
      </c>
      <c r="W1928" s="6" t="str">
        <f>IFERROR(__xludf.DUMMYFUNCTION("""COMPUTED_VALUE"""),"Воспитанные, культурные.")</f>
        <v>Воспитанные, культурные.</v>
      </c>
      <c r="X1928" s="6" t="str">
        <f>IFERROR(__xludf.DUMMYFUNCTION("""COMPUTED_VALUE"""),"ул. Весенняя")</f>
        <v>ул. Весенняя</v>
      </c>
      <c r="Y1928" s="6" t="str">
        <f>IFERROR(__xludf.DUMMYFUNCTION("""COMPUTED_VALUE"""),"Волков нашел уголь")</f>
        <v>Волков нашел уголь</v>
      </c>
      <c r="Z1928" s="6" t="str">
        <f>IFERROR(__xludf.DUMMYFUNCTION("""COMPUTED_VALUE"""),"Соревнования на Красном озере ранней весной (лыжня, бег, плавание в проруби)")</f>
        <v>Соревнования на Красном озере ранней весной (лыжня, бег, плавание в проруби)</v>
      </c>
      <c r="AA1928" s="6" t="str">
        <f>IFERROR(__xludf.DUMMYFUNCTION("""COMPUTED_VALUE"""),"Агитация по интернету на митинг (Новальный) детей 11 лет")</f>
        <v>Агитация по интернету на митинг (Новальный) детей 11 лет</v>
      </c>
      <c r="AB1928" s="6" t="str">
        <f>IFERROR(__xludf.DUMMYFUNCTION("""COMPUTED_VALUE"""),"Бесплатных спортивных клубов для молодежи и пенсионеров, расположенных не далеко от места проживания. Организовать досуг пенсионеров.")</f>
        <v>Бесплатных спортивных клубов для молодежи и пенсионеров, расположенных не далеко от места проживания. Организовать досуг пенсионеров.</v>
      </c>
      <c r="AC1928" s="6" t="str">
        <f>IFERROR(__xludf.DUMMYFUNCTION("""COMPUTED_VALUE"""),"Субботник")</f>
        <v>Субботник</v>
      </c>
      <c r="AD192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928" s="6" t="str">
        <f>IFERROR(__xludf.DUMMYFUNCTION("""COMPUTED_VALUE"""),"Женский")</f>
        <v>Женский</v>
      </c>
      <c r="AF1928" s="6" t="str">
        <f>IFERROR(__xludf.DUMMYFUNCTION("""COMPUTED_VALUE"""),"старше 55")</f>
        <v>старше 55</v>
      </c>
      <c r="AG1928" s="6"/>
      <c r="AH1928" s="6"/>
      <c r="AI1928" s="6"/>
      <c r="AJ1928" s="6"/>
      <c r="AK1928" s="6"/>
      <c r="AL1928" s="6"/>
      <c r="AM1928" s="6"/>
    </row>
    <row r="1929">
      <c r="A1929" s="6">
        <v>1928.0</v>
      </c>
      <c r="B1929" s="6" t="str">
        <f>IFERROR(__xludf.DUMMYFUNCTION("""COMPUTED_VALUE"""),"Медицина")</f>
        <v>Медицина</v>
      </c>
      <c r="C1929" s="6" t="str">
        <f>IFERROR(__xludf.DUMMYFUNCTION("""COMPUTED_VALUE"""),"Путешествия")</f>
        <v>Путешествия</v>
      </c>
      <c r="D1929" s="6" t="str">
        <f>IFERROR(__xludf.DUMMYFUNCTION("""COMPUTED_VALUE"""),"Ленинский, никак")</f>
        <v>Ленинский, никак</v>
      </c>
      <c r="E1929" s="6" t="str">
        <f>IFERROR(__xludf.DUMMYFUNCTION("""COMPUTED_VALUE"""),"Бульвар Строителей, Кадетское училище, Красное озеро")</f>
        <v>Бульвар Строителей, Кадетское училище, Красное озеро</v>
      </c>
      <c r="F1929" s="6" t="str">
        <f>IFERROR(__xludf.DUMMYFUNCTION("""COMPUTED_VALUE"""),"Переехал сюда из другого места (откуда? укажите в графе другое), Березовский")</f>
        <v>Переехал сюда из другого места (откуда? укажите в графе другое), Березовский</v>
      </c>
      <c r="G1929" s="6" t="str">
        <f>IFERROR(__xludf.DUMMYFUNCTION("""COMPUTED_VALUE"""),"Центр города, набережная, бульвар Строителей, набережная Кировского, Сосновый бор, Лесная поляна")</f>
        <v>Центр города, набережная, бульвар Строителей, набережная Кировского, Сосновый бор, Лесная поляна</v>
      </c>
      <c r="H1929" s="6" t="str">
        <f>IFERROR(__xludf.DUMMYFUNCTION("""COMPUTED_VALUE"""),"Грязь, вечная стройка, унылость, плохие дороги, мусор во дворах")</f>
        <v>Грязь, вечная стройка, унылость, плохие дороги, мусор во дворах</v>
      </c>
      <c r="I1929" s="6" t="str">
        <f>IFERROR(__xludf.DUMMYFUNCTION("""COMPUTED_VALUE"""),"Леонов")</f>
        <v>Леонов</v>
      </c>
      <c r="J1929" s="6" t="str">
        <f>IFERROR(__xludf.DUMMYFUNCTION("""COMPUTED_VALUE"""),"🤷‍♂️")</f>
        <v>🤷‍♂️</v>
      </c>
      <c r="K1929" s="6" t="str">
        <f>IFERROR(__xludf.DUMMYFUNCTION("""COMPUTED_VALUE"""),"ФПК-необычные дома, Лесная поляна")</f>
        <v>ФПК-необычные дома, Лесная поляна</v>
      </c>
      <c r="L1929" s="6" t="str">
        <f>IFERROR(__xludf.DUMMYFUNCTION("""COMPUTED_VALUE"""),"История про,, Зимнюю вишню""")</f>
        <v>История про,, Зимнюю вишню"</v>
      </c>
      <c r="M1929" s="6" t="str">
        <f>IFERROR(__xludf.DUMMYFUNCTION("""COMPUTED_VALUE"""),"Лапа, Шалго, Радуга, Три поросёнка, Китайская стена")</f>
        <v>Лапа, Шалго, Радуга, Три поросёнка, Китайская стена</v>
      </c>
      <c r="N1929" s="6" t="str">
        <f>IFERROR(__xludf.DUMMYFUNCTION("""COMPUTED_VALUE"""),"Увы, нет ответа")</f>
        <v>Увы, нет ответа</v>
      </c>
      <c r="O1929" s="6" t="str">
        <f>IFERROR(__xludf.DUMMYFUNCTION("""COMPUTED_VALUE"""),"Отношение к городу")</f>
        <v>Отношение к городу</v>
      </c>
      <c r="P1929" s="6" t="str">
        <f>IFERROR(__xludf.DUMMYFUNCTION("""COMPUTED_VALUE"""),"Инстаграму, Яндекс новости")</f>
        <v>Инстаграму, Яндекс новости</v>
      </c>
      <c r="Q1929"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929" s="6" t="str">
        <f>IFERROR(__xludf.DUMMYFUNCTION("""COMPUTED_VALUE"""),"День Шахтёра, день города, день медработника")</f>
        <v>День Шахтёра, день города, день медработника</v>
      </c>
      <c r="S1929" s="6" t="str">
        <f>IFERROR(__xludf.DUMMYFUNCTION("""COMPUTED_VALUE"""),"Нет, не приходилось")</f>
        <v>Нет, не приходилось</v>
      </c>
      <c r="T1929" s="6" t="str">
        <f>IFERROR(__xludf.DUMMYFUNCTION("""COMPUTED_VALUE"""),"Зимняя вишня ")</f>
        <v>Зимняя вишня </v>
      </c>
      <c r="U1929" s="6" t="str">
        <f>IFERROR(__xludf.DUMMYFUNCTION("""COMPUTED_VALUE"""),"Центр города, бульвар Строителей, набережная")</f>
        <v>Центр города, бульвар Строителей, набережная</v>
      </c>
      <c r="V1929" s="6" t="str">
        <f>IFERROR(__xludf.DUMMYFUNCTION("""COMPUTED_VALUE"""),"Нет ответа")</f>
        <v>Нет ответа</v>
      </c>
      <c r="W1929" s="6" t="str">
        <f>IFERROR(__xludf.DUMMYFUNCTION("""COMPUTED_VALUE"""),"После зимы город в мусор и этим всё сказано")</f>
        <v>После зимы город в мусор и этим всё сказано</v>
      </c>
      <c r="X1929" s="6" t="str">
        <f>IFERROR(__xludf.DUMMYFUNCTION("""COMPUTED_VALUE"""),"Маршрут №40")</f>
        <v>Маршрут №40</v>
      </c>
      <c r="Y1929" s="6" t="str">
        <f>IFERROR(__xludf.DUMMYFUNCTION("""COMPUTED_VALUE"""),"Рок концерт")</f>
        <v>Рок концерт</v>
      </c>
      <c r="Z1929" s="6" t="str">
        <f>IFERROR(__xludf.DUMMYFUNCTION("""COMPUTED_VALUE"""),"Нет")</f>
        <v>Нет</v>
      </c>
      <c r="AA1929" s="6" t="str">
        <f>IFERROR(__xludf.DUMMYFUNCTION("""COMPUTED_VALUE"""),"Пожар в Зимней вишне")</f>
        <v>Пожар в Зимней вишне</v>
      </c>
      <c r="AB1929" s="6" t="str">
        <f>IFERROR(__xludf.DUMMYFUNCTION("""COMPUTED_VALUE"""),"Нет")</f>
        <v>Нет</v>
      </c>
      <c r="AC1929" s="6" t="str">
        <f>IFERROR(__xludf.DUMMYFUNCTION("""COMPUTED_VALUE"""),"Больше фестивалей")</f>
        <v>Больше фестивалей</v>
      </c>
      <c r="AD1929"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929" s="6" t="str">
        <f>IFERROR(__xludf.DUMMYFUNCTION("""COMPUTED_VALUE"""),"Мужской")</f>
        <v>Мужской</v>
      </c>
      <c r="AF1929" s="6" t="str">
        <f>IFERROR(__xludf.DUMMYFUNCTION("""COMPUTED_VALUE"""),"30-44")</f>
        <v>30-44</v>
      </c>
      <c r="AG1929" s="6"/>
      <c r="AH1929" s="6"/>
      <c r="AI1929" s="6"/>
      <c r="AJ1929" s="6"/>
      <c r="AK1929" s="6"/>
      <c r="AL1929" s="6"/>
      <c r="AM1929" s="6"/>
    </row>
    <row r="1930">
      <c r="A1930" s="6">
        <v>1929.0</v>
      </c>
      <c r="B1930" s="6" t="str">
        <f>IFERROR(__xludf.DUMMYFUNCTION("""COMPUTED_VALUE"""),"Туризм")</f>
        <v>Туризм</v>
      </c>
      <c r="C1930" s="6" t="str">
        <f>IFERROR(__xludf.DUMMYFUNCTION("""COMPUTED_VALUE"""),"активный отдых")</f>
        <v>активный отдых</v>
      </c>
      <c r="D1930" s="6" t="str">
        <f>IFERROR(__xludf.DUMMYFUNCTION("""COMPUTED_VALUE"""),"южный")</f>
        <v>южный</v>
      </c>
      <c r="E1930" s="6" t="str">
        <f>IFERROR(__xludf.DUMMYFUNCTION("""COMPUTED_VALUE"""),"-")</f>
        <v>-</v>
      </c>
      <c r="F1930" s="6" t="str">
        <f>IFERROR(__xludf.DUMMYFUNCTION("""COMPUTED_VALUE"""),"Приезжаю в гости, живу в другом городе")</f>
        <v>Приезжаю в гости, живу в другом городе</v>
      </c>
      <c r="G1930" s="6" t="str">
        <f>IFERROR(__xludf.DUMMYFUNCTION("""COMPUTED_VALUE"""),"В кафе/рестораны")</f>
        <v>В кафе/рестораны</v>
      </c>
      <c r="H1930" s="6" t="str">
        <f>IFERROR(__xludf.DUMMYFUNCTION("""COMPUTED_VALUE"""),"Азот, смог, режим черного неба, пробки")</f>
        <v>Азот, смог, режим черного неба, пробки</v>
      </c>
      <c r="I1930" s="6" t="str">
        <f>IFERROR(__xludf.DUMMYFUNCTION("""COMPUTED_VALUE"""),"Михаило Волков")</f>
        <v>Михаило Волков</v>
      </c>
      <c r="J1930" s="6" t="str">
        <f>IFERROR(__xludf.DUMMYFUNCTION("""COMPUTED_VALUE"""),"-")</f>
        <v>-</v>
      </c>
      <c r="K1930" s="6" t="str">
        <f>IFERROR(__xludf.DUMMYFUNCTION("""COMPUTED_VALUE"""),"Клумба, красная горка")</f>
        <v>Клумба, красная горка</v>
      </c>
      <c r="L1930" s="6" t="str">
        <f>IFERROR(__xludf.DUMMYFUNCTION("""COMPUTED_VALUE"""),"южный - никому не нужный")</f>
        <v>южный - никому не нужный</v>
      </c>
      <c r="M1930" s="6" t="str">
        <f>IFERROR(__xludf.DUMMYFUNCTION("""COMPUTED_VALUE"""),"-")</f>
        <v>-</v>
      </c>
      <c r="N1930" s="6" t="str">
        <f>IFERROR(__xludf.DUMMYFUNCTION("""COMPUTED_VALUE"""),"Развитие общественного транспорта, работа коммунальных служб, различные выставки, организация дорожного движения (отсутствие пробок), разумная налоговая ставка региона")</f>
        <v>Развитие общественного транспорта, работа коммунальных служб, различные выставки, организация дорожного движения (отсутствие пробок), разумная налоговая ставка региона</v>
      </c>
      <c r="O1930" s="6" t="str">
        <f>IFERROR(__xludf.DUMMYFUNCTION("""COMPUTED_VALUE"""),"Власть")</f>
        <v>Власть</v>
      </c>
      <c r="P1930" s="6" t="str">
        <f>IFERROR(__xludf.DUMMYFUNCTION("""COMPUTED_VALUE"""),"Вк")</f>
        <v>Вк</v>
      </c>
      <c r="Q1930" s="6" t="str">
        <f>IFERROR(__xludf.DUMMYFUNCTION("""COMPUTED_VALUE"""),"городская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f>
        <v>городская афиша (кино/театр/концерты), бизнес-новости (средний чек/рекламные акции/запуск новых предприятий), результаты местных исследований (рейтинги/аналитика/тенденции)</v>
      </c>
      <c r="R1930" s="6" t="str">
        <f>IFERROR(__xludf.DUMMYFUNCTION("""COMPUTED_VALUE"""),"Новый год, день города")</f>
        <v>Новый год, день города</v>
      </c>
      <c r="S1930" s="6" t="str">
        <f>IFERROR(__xludf.DUMMYFUNCTION("""COMPUTED_VALUE"""),"Нет, не приходилось")</f>
        <v>Нет, не приходилось</v>
      </c>
      <c r="T1930" s="6" t="str">
        <f>IFERROR(__xludf.DUMMYFUNCTION("""COMPUTED_VALUE"""),"Город с огоньком ""Зимняя вишня"", шахтерский край.")</f>
        <v>Город с огоньком "Зимняя вишня", шахтерский край.</v>
      </c>
      <c r="U1930" s="6" t="str">
        <f>IFERROR(__xludf.DUMMYFUNCTION("""COMPUTED_VALUE"""),"Драмтеатр ")</f>
        <v>Драмтеатр </v>
      </c>
      <c r="V1930" s="6" t="str">
        <f>IFERROR(__xludf.DUMMYFUNCTION("""COMPUTED_VALUE"""),"-")</f>
        <v>-</v>
      </c>
      <c r="W1930" s="6" t="str">
        <f>IFERROR(__xludf.DUMMYFUNCTION("""COMPUTED_VALUE"""),"-")</f>
        <v>-</v>
      </c>
      <c r="X1930" s="6" t="str">
        <f>IFERROR(__xludf.DUMMYFUNCTION("""COMPUTED_VALUE"""),"Поездка в аэропорт для регистрации на рейс в Москву ")</f>
        <v>Поездка в аэропорт для регистрации на рейс в Москву </v>
      </c>
      <c r="Y1930" s="6" t="str">
        <f>IFERROR(__xludf.DUMMYFUNCTION("""COMPUTED_VALUE"""),"Пожар в зимней вишне")</f>
        <v>Пожар в зимней вишне</v>
      </c>
      <c r="Z1930" s="6" t="str">
        <f>IFERROR(__xludf.DUMMYFUNCTION("""COMPUTED_VALUE"""),"ремонт дорог, постройка нового аэропорта")</f>
        <v>ремонт дорог, постройка нового аэропорта</v>
      </c>
      <c r="AA1930" s="6" t="str">
        <f>IFERROR(__xludf.DUMMYFUNCTION("""COMPUTED_VALUE"""),"ограничения по ковиду")</f>
        <v>ограничения по ковиду</v>
      </c>
      <c r="AB1930" s="6" t="str">
        <f>IFERROR(__xludf.DUMMYFUNCTION("""COMPUTED_VALUE"""),"-")</f>
        <v>-</v>
      </c>
      <c r="AC1930" s="6" t="str">
        <f>IFERROR(__xludf.DUMMYFUNCTION("""COMPUTED_VALUE"""),"-")</f>
        <v>-</v>
      </c>
      <c r="AD1930"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30" s="6" t="str">
        <f>IFERROR(__xludf.DUMMYFUNCTION("""COMPUTED_VALUE"""),"Мужской")</f>
        <v>Мужской</v>
      </c>
      <c r="AF1930" s="6" t="str">
        <f>IFERROR(__xludf.DUMMYFUNCTION("""COMPUTED_VALUE"""),"18-29")</f>
        <v>18-29</v>
      </c>
      <c r="AG1930" s="6"/>
      <c r="AH1930" s="6"/>
      <c r="AI1930" s="6"/>
      <c r="AJ1930" s="6"/>
      <c r="AK1930" s="6"/>
      <c r="AL1930" s="6"/>
      <c r="AM1930" s="6"/>
    </row>
    <row r="1931">
      <c r="A1931" s="6">
        <v>1930.0</v>
      </c>
      <c r="B1931" s="6" t="str">
        <f>IFERROR(__xludf.DUMMYFUNCTION("""COMPUTED_VALUE"""),"Образование")</f>
        <v>Образование</v>
      </c>
      <c r="C1931" s="6" t="str">
        <f>IFERROR(__xludf.DUMMYFUNCTION("""COMPUTED_VALUE"""),"Туризм")</f>
        <v>Туризм</v>
      </c>
      <c r="D1931" s="6" t="str">
        <f>IFERROR(__xludf.DUMMYFUNCTION("""COMPUTED_VALUE"""),"Центральный, Центр")</f>
        <v>Центральный, Центр</v>
      </c>
      <c r="E1931" s="6" t="str">
        <f>IFERROR(__xludf.DUMMYFUNCTION("""COMPUTED_VALUE"""),"Ул. Весенняя (скульптуры, памятник Дружбы народов, бюст А.А. Леонова, памятник ВОВ, аллея Героев); пр. Советский (театры, музеи), ул. Притомская набережная, пл. Советов, пл. Пушкина, пл. Волкова и др.")</f>
        <v>Ул. Весенняя (скульптуры, памятник Дружбы народов, бюст А.А. Леонова, памятник ВОВ, аллея Героев); пр. Советский (театры, музеи), ул. Притомская набережная, пл. Советов, пл. Пушкина, пл. Волкова и др.</v>
      </c>
      <c r="F1931" s="6" t="str">
        <f>IFERROR(__xludf.DUMMYFUNCTION("""COMPUTED_VALUE"""),"Живу здесь с рождения")</f>
        <v>Живу здесь с рождения</v>
      </c>
      <c r="G1931" s="6" t="str">
        <f>IFERROR(__xludf.DUMMYFUNCTION("""COMPUTED_VALUE"""),"Гуляю по историческому Центру")</f>
        <v>Гуляю по историческому Центру</v>
      </c>
      <c r="H1931" s="6" t="str">
        <f>IFERROR(__xludf.DUMMYFUNCTION("""COMPUTED_VALUE"""),"Столица, центр химической промышленность")</f>
        <v>Столица, центр химической промышленность</v>
      </c>
      <c r="I1931" s="6" t="str">
        <f>IFERROR(__xludf.DUMMYFUNCTION("""COMPUTED_VALUE"""),"Рутгерс, Михайлов")</f>
        <v>Рутгерс, Михайлов</v>
      </c>
      <c r="J1931" s="6" t="str">
        <f>IFERROR(__xludf.DUMMYFUNCTION("""COMPUTED_VALUE"""),"Середюк")</f>
        <v>Середюк</v>
      </c>
      <c r="K1931" s="6" t="str">
        <f>IFERROR(__xludf.DUMMYFUNCTION("""COMPUTED_VALUE"""),"Красная горка, Азот - градообразующее предприятие города и Предзаводской район, Кедровский разрез - символ угольной промышленности, исторический центр как культурный кластер и др.")</f>
        <v>Красная горка, Азот - градообразующее предприятие города и Предзаводской район, Кедровский разрез - символ угольной промышленности, исторический центр как культурный кластер и др.</v>
      </c>
      <c r="L1931" s="6" t="str">
        <f>IFERROR(__xludf.DUMMYFUNCTION("""COMPUTED_VALUE"""),"Нет")</f>
        <v>Нет</v>
      </c>
      <c r="M1931" s="6" t="str">
        <f>IFERROR(__xludf.DUMMYFUNCTION("""COMPUTED_VALUE"""),"Нет")</f>
        <v>Нет</v>
      </c>
      <c r="N1931" s="6" t="str">
        <f>IFERROR(__xludf.DUMMYFUNCTION("""COMPUTED_VALUE"""),"Озеленение, красота, транспортная удобность")</f>
        <v>Озеленение, красота, транспортная удобность</v>
      </c>
      <c r="O1931" s="6" t="str">
        <f>IFERROR(__xludf.DUMMYFUNCTION("""COMPUTED_VALUE"""),"Реставрация отдалённых районов")</f>
        <v>Реставрация отдалённых районов</v>
      </c>
      <c r="P1931" s="6" t="str">
        <f>IFERROR(__xludf.DUMMYFUNCTION("""COMPUTED_VALUE"""),"Вк")</f>
        <v>Вк</v>
      </c>
      <c r="Q1931" s="6" t="str">
        <f>IFERROR(__xludf.DUMMYFUNCTION("""COMPUTED_VALUE"""),"городская афиша (кино/театр/концерты)")</f>
        <v>городская афиша (кино/театр/концерты)</v>
      </c>
      <c r="R1931" s="6" t="str">
        <f>IFERROR(__xludf.DUMMYFUNCTION("""COMPUTED_VALUE"""),"День города")</f>
        <v>День города</v>
      </c>
      <c r="S1931" s="6" t="str">
        <f>IFERROR(__xludf.DUMMYFUNCTION("""COMPUTED_VALUE"""),"Нет, не приходилось")</f>
        <v>Нет, не приходилось</v>
      </c>
      <c r="T1931" s="6" t="str">
        <f>IFERROR(__xludf.DUMMYFUNCTION("""COMPUTED_VALUE"""),"Кемерово - шахтёрская столица. Уникальность - компактность, красота, чистота.")</f>
        <v>Кемерово - шахтёрская столица. Уникальность - компактность, красота, чистота.</v>
      </c>
      <c r="U1931" s="6" t="str">
        <f>IFERROR(__xludf.DUMMYFUNCTION("""COMPUTED_VALUE"""),"Писала выше.")</f>
        <v>Писала выше.</v>
      </c>
      <c r="V1931" s="6" t="str">
        <f>IFERROR(__xludf.DUMMYFUNCTION("""COMPUTED_VALUE"""),"Личная аквтивная гражданская позиция каждого человека")</f>
        <v>Личная аквтивная гражданская позиция каждого человека</v>
      </c>
      <c r="W1931" s="6" t="str">
        <f>IFERROR(__xludf.DUMMYFUNCTION("""COMPUTED_VALUE"""),"Активные, отвественные, целеустремлённые")</f>
        <v>Активные, отвественные, целеустремлённые</v>
      </c>
      <c r="X1931" s="6" t="str">
        <f>IFERROR(__xludf.DUMMYFUNCTION("""COMPUTED_VALUE"""),"Район соц города и исторического цен ра")</f>
        <v>Район соц города и исторического цен ра</v>
      </c>
      <c r="Y1931" s="6" t="str">
        <f>IFERROR(__xludf.DUMMYFUNCTION("""COMPUTED_VALUE"""),"Чемпионат мира по хоккею с мячом")</f>
        <v>Чемпионат мира по хоккею с мячом</v>
      </c>
      <c r="Z1931" s="6" t="str">
        <f>IFERROR(__xludf.DUMMYFUNCTION("""COMPUTED_VALUE"""),"Благоустройство города")</f>
        <v>Благоустройство города</v>
      </c>
      <c r="AA1931" s="6" t="str">
        <f>IFERROR(__xludf.DUMMYFUNCTION("""COMPUTED_VALUE"""),"Нет")</f>
        <v>Нет</v>
      </c>
      <c r="AB1931" s="6" t="str">
        <f>IFERROR(__xludf.DUMMYFUNCTION("""COMPUTED_VALUE"""),"Затрудняюсь ответить")</f>
        <v>Затрудняюсь ответить</v>
      </c>
      <c r="AC1931" s="6" t="str">
        <f>IFERROR(__xludf.DUMMYFUNCTION("""COMPUTED_VALUE"""),"Затрудняюсь ответить")</f>
        <v>Затрудняюсь ответить</v>
      </c>
      <c r="AD1931"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31" s="6" t="str">
        <f>IFERROR(__xludf.DUMMYFUNCTION("""COMPUTED_VALUE"""),"Женский")</f>
        <v>Женский</v>
      </c>
      <c r="AF1931" s="6" t="str">
        <f>IFERROR(__xludf.DUMMYFUNCTION("""COMPUTED_VALUE"""),"18-29")</f>
        <v>18-29</v>
      </c>
      <c r="AG1931" s="6"/>
      <c r="AH1931" s="6"/>
      <c r="AI1931" s="6"/>
      <c r="AJ1931" s="6"/>
      <c r="AK1931" s="6"/>
      <c r="AL1931" s="6"/>
      <c r="AM1931" s="6"/>
    </row>
    <row r="1932">
      <c r="A1932" s="6">
        <v>1931.0</v>
      </c>
      <c r="B1932" s="6" t="str">
        <f>IFERROR(__xludf.DUMMYFUNCTION("""COMPUTED_VALUE"""),"Госслужащий")</f>
        <v>Госслужащий</v>
      </c>
      <c r="C1932" s="6" t="str">
        <f>IFERROR(__xludf.DUMMYFUNCTION("""COMPUTED_VALUE"""),"Занимаюсь в любительском театре")</f>
        <v>Занимаюсь в любительском театре</v>
      </c>
      <c r="D1932" s="6" t="str">
        <f>IFERROR(__xludf.DUMMYFUNCTION("""COMPUTED_VALUE"""),"Ленинский")</f>
        <v>Ленинский</v>
      </c>
      <c r="E1932" s="6" t="str">
        <f>IFERROR(__xludf.DUMMYFUNCTION("""COMPUTED_VALUE"""),"""Бульвар"", Кадетское училище, спортивный комплекс ""Кузбасса""")</f>
        <v>"Бульвар", Кадетское училище, спортивный комплекс "Кузбасса"</v>
      </c>
      <c r="F1932" s="6" t="str">
        <f>IFERROR(__xludf.DUMMYFUNCTION("""COMPUTED_VALUE"""),"Переехал сюда из другого места (откуда? укажите в графе другое), пос. Бабанаково, г. Белово. Переезд из-за учебы")</f>
        <v>Переехал сюда из другого места (откуда? укажите в графе другое), пос. Бабанаково, г. Белово. Переезд из-за учебы</v>
      </c>
      <c r="G1932" s="6" t="str">
        <f>IFERROR(__xludf.DUMMYFUNCTION("""COMPUTED_VALUE"""),"Берег Томи, красное озеро, Лесная поляна, набережная")</f>
        <v>Берег Томи, красное озеро, Лесная поляна, набережная</v>
      </c>
      <c r="H1932" s="6" t="str">
        <f>IFERROR(__xludf.DUMMYFUNCTION("""COMPUTED_VALUE"""),"инновации, природа, сосновый бор, столица, компактный")</f>
        <v>инновации, природа, сосновый бор, столица, компактный</v>
      </c>
      <c r="I1932" s="6" t="str">
        <f>IFERROR(__xludf.DUMMYFUNCTION("""COMPUTED_VALUE"""),"Ленонов")</f>
        <v>Ленонов</v>
      </c>
      <c r="J1932" s="6" t="str">
        <f>IFERROR(__xludf.DUMMYFUNCTION("""COMPUTED_VALUE"""),"Гришковец, Рудницкий")</f>
        <v>Гришковец, Рудницкий</v>
      </c>
      <c r="K1932" s="6" t="str">
        <f>IFERROR(__xludf.DUMMYFUNCTION("""COMPUTED_VALUE"""),"Лесная поляна, красная горка")</f>
        <v>Лесная поляна, красная горка</v>
      </c>
      <c r="L1932" s="6" t="str">
        <f>IFERROR(__xludf.DUMMYFUNCTION("""COMPUTED_VALUE"""),"Если есть на свете рай - это Кемеровская область - Кузбасс")</f>
        <v>Если есть на свете рай - это Кемеровская область - Кузбасс</v>
      </c>
      <c r="M1932" s="6" t="str">
        <f>IFERROR(__xludf.DUMMYFUNCTION("""COMPUTED_VALUE"""),"Мультифора")</f>
        <v>Мультифора</v>
      </c>
      <c r="N1932" s="6" t="str">
        <f>IFERROR(__xludf.DUMMYFUNCTION("""COMPUTED_VALUE"""),"Удобная транспортная развяка, культурное развитие, общественный транпосрт")</f>
        <v>Удобная транспортная развяка, культурное развитие, общественный транпосрт</v>
      </c>
      <c r="O1932" s="6" t="str">
        <f>IFERROR(__xludf.DUMMYFUNCTION("""COMPUTED_VALUE"""),"Экология")</f>
        <v>Экология</v>
      </c>
      <c r="P1932" s="6" t="str">
        <f>IFERROR(__xludf.DUMMYFUNCTION("""COMPUTED_VALUE"""),"Через знкомых и новостные паблики вконтакте")</f>
        <v>Через знкомых и новостные паблики вконтакте</v>
      </c>
      <c r="Q1932" s="6" t="str">
        <f>IFERROR(__xludf.DUMMYFUNCTION("""COMPUTED_VALUE"""),"городская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результаты местных исследований"&amp;" (рейтинги/аналитика/тенденции),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 интервью с экспертами на разные темы (напишите в разделе Другое свои предложения)</v>
      </c>
      <c r="R1932" s="6" t="str">
        <f>IFERROR(__xludf.DUMMYFUNCTION("""COMPUTED_VALUE"""),"День города")</f>
        <v>День города</v>
      </c>
      <c r="S1932" s="6" t="str">
        <f>IFERROR(__xludf.DUMMYFUNCTION("""COMPUTED_VALUE"""),"Писал и расклеивал объявления/афиши, Через социальные сети (Какие? Укажите в графе другое), Вконтаке, Instagram")</f>
        <v>Писал и расклеивал объявления/афиши, Через социальные сети (Какие? Укажите в графе другое), Вконтаке, Instagram</v>
      </c>
      <c r="T1932" s="6" t="str">
        <f>IFERROR(__xludf.DUMMYFUNCTION("""COMPUTED_VALUE"""),"Молодой перспективный город.")</f>
        <v>Молодой перспективный город.</v>
      </c>
      <c r="U1932" s="6" t="str">
        <f>IFERROR(__xludf.DUMMYFUNCTION("""COMPUTED_VALUE"""),"Набережная")</f>
        <v>Набережная</v>
      </c>
      <c r="V1932" s="6" t="str">
        <f>IFERROR(__xludf.DUMMYFUNCTION("""COMPUTED_VALUE"""),"Вложились в город")</f>
        <v>Вложились в город</v>
      </c>
      <c r="W1932" s="6" t="str">
        <f>IFERROR(__xludf.DUMMYFUNCTION("""COMPUTED_VALUE"""),"Отзывчивые")</f>
        <v>Отзывчивые</v>
      </c>
      <c r="X1932" s="6" t="str">
        <f>IFERROR(__xludf.DUMMYFUNCTION("""COMPUTED_VALUE"""),"По набережной, на Ленина и до бульварного окльца")</f>
        <v>По набережной, на Ленина и до бульварного окльца</v>
      </c>
      <c r="Y1932" s="6" t="str">
        <f>IFERROR(__xludf.DUMMYFUNCTION("""COMPUTED_VALUE"""),"Отсоединение от Новосибирской области в 1943")</f>
        <v>Отсоединение от Новосибирской области в 1943</v>
      </c>
      <c r="Z1932" s="6" t="str">
        <f>IFERROR(__xludf.DUMMYFUNCTION("""COMPUTED_VALUE"""),"Большой концерт ко дню города")</f>
        <v>Большой концерт ко дню города</v>
      </c>
      <c r="AA1932" s="6" t="str">
        <f>IFERROR(__xludf.DUMMYFUNCTION("""COMPUTED_VALUE"""),"Зимняя вишня")</f>
        <v>Зимняя вишня</v>
      </c>
      <c r="AB1932" s="6" t="str">
        <f>IFERROR(__xludf.DUMMYFUNCTION("""COMPUTED_VALUE"""),"Сообщество по велоспорту и велотурзиму")</f>
        <v>Сообщество по велоспорту и велотурзиму</v>
      </c>
      <c r="AC1932" s="6" t="str">
        <f>IFERROR(__xludf.DUMMYFUNCTION("""COMPUTED_VALUE"""),"Любое международное соревнование")</f>
        <v>Любое международное соревнование</v>
      </c>
      <c r="AD1932"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 Участника: Поучаствовать в обсуждении улучшений, собраниях горожан;,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Запустить свой предпринимательский проект, организовать компанию.</v>
      </c>
      <c r="AE1932" s="6" t="str">
        <f>IFERROR(__xludf.DUMMYFUNCTION("""COMPUTED_VALUE"""),"Мужской")</f>
        <v>Мужской</v>
      </c>
      <c r="AF1932" s="6" t="str">
        <f>IFERROR(__xludf.DUMMYFUNCTION("""COMPUTED_VALUE"""),"18-29")</f>
        <v>18-29</v>
      </c>
      <c r="AG1932" s="6"/>
      <c r="AH1932" s="6"/>
      <c r="AI1932" s="6"/>
      <c r="AJ1932" s="6"/>
      <c r="AK1932" s="6"/>
      <c r="AL1932" s="6"/>
      <c r="AM1932" s="6"/>
    </row>
    <row r="1933">
      <c r="A1933" s="6">
        <v>1932.0</v>
      </c>
      <c r="B1933" s="6" t="str">
        <f>IFERROR(__xludf.DUMMYFUNCTION("""COMPUTED_VALUE"""),"Главный бухгалтер")</f>
        <v>Главный бухгалтер</v>
      </c>
      <c r="C1933" s="6" t="str">
        <f>IFERROR(__xludf.DUMMYFUNCTION("""COMPUTED_VALUE"""),"Путешествовать, бассейн, чтение")</f>
        <v>Путешествовать, бассейн, чтение</v>
      </c>
      <c r="D1933" s="6" t="str">
        <f>IFERROR(__xludf.DUMMYFUNCTION("""COMPUTED_VALUE"""),"Заводский ")</f>
        <v>Заводский </v>
      </c>
      <c r="E1933" s="6" t="str">
        <f>IFERROR(__xludf.DUMMYFUNCTION("""COMPUTED_VALUE"""),"Никаких")</f>
        <v>Никаких</v>
      </c>
      <c r="F1933" s="6" t="str">
        <f>IFERROR(__xludf.DUMMYFUNCTION("""COMPUTED_VALUE"""),"Переехал сюда из другого места (откуда? укажите в графе другое), Из Барнаула. Пришлось переехать, т.к. муж кемеровчанин")</f>
        <v>Переехал сюда из другого места (откуда? укажите в графе другое), Из Барнаула. Пришлось переехать, т.к. муж кемеровчанин</v>
      </c>
      <c r="G1933" s="6" t="str">
        <f>IFERROR(__xludf.DUMMYFUNCTION("""COMPUTED_VALUE"""),"В бор")</f>
        <v>В бор</v>
      </c>
      <c r="H1933" s="6" t="str">
        <f>IFERROR(__xludf.DUMMYFUNCTION("""COMPUTED_VALUE"""),"ПАЗики; Уголь; наружняя теплотрасса по всему городу; бежевые дома; хрущевки.")</f>
        <v>ПАЗики; Уголь; наружняя теплотрасса по всему городу; бежевые дома; хрущевки.</v>
      </c>
      <c r="I1933" s="6" t="str">
        <f>IFERROR(__xludf.DUMMYFUNCTION("""COMPUTED_VALUE"""),"Не знаю")</f>
        <v>Не знаю</v>
      </c>
      <c r="J1933" s="6" t="str">
        <f>IFERROR(__xludf.DUMMYFUNCTION("""COMPUTED_VALUE"""),"Не слышала о таких")</f>
        <v>Не слышала о таких</v>
      </c>
      <c r="K1933" s="6" t="str">
        <f>IFERROR(__xludf.DUMMYFUNCTION("""COMPUTED_VALUE"""),"Улица весенняя; набережная; гора, где крест")</f>
        <v>Улица весенняя; набережная; гора, где крест</v>
      </c>
      <c r="L1933" s="6" t="str">
        <f>IFERROR(__xludf.DUMMYFUNCTION("""COMPUTED_VALUE"""),"Не знаю")</f>
        <v>Не знаю</v>
      </c>
      <c r="M1933" s="6" t="str">
        <f>IFERROR(__xludf.DUMMYFUNCTION("""COMPUTED_VALUE"""),"Новосибирск называют Сиб. ")</f>
        <v>Новосибирск называют Сиб. </v>
      </c>
      <c r="N1933" s="6" t="str">
        <f>IFERROR(__xludf.DUMMYFUNCTION("""COMPUTED_VALUE"""),"Чистота, доступность качественных услуг и товаров, удобный проезд")</f>
        <v>Чистота, доступность качественных услуг и товаров, удобный проезд</v>
      </c>
      <c r="O1933" s="6" t="str">
        <f>IFERROR(__xludf.DUMMYFUNCTION("""COMPUTED_VALUE"""),"ПАЗики! Как вообще их можно использовать в качестве общественного транспорта? ")</f>
        <v>ПАЗики! Как вообще их можно использовать в качестве общественного транспорта? </v>
      </c>
      <c r="P1933" s="6" t="str">
        <f>IFERROR(__xludf.DUMMYFUNCTION("""COMPUTED_VALUE"""),"От знакомых")</f>
        <v>От знакомых</v>
      </c>
      <c r="Q1933" s="6" t="str">
        <f>IFERROR(__xludf.DUMMYFUNCTION("""COMPUTED_VALUE"""),"где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f>
        <v>где вкусно поесть/открытие новых кафе/ресторанов, бизнес-новости (средний чек/рекламные акции/запуск новых предприятий), результаты местных исследований (рейтинги/аналитика/тенденции)</v>
      </c>
      <c r="R1933" s="6" t="str">
        <f>IFERROR(__xludf.DUMMYFUNCTION("""COMPUTED_VALUE"""),"Новый Год")</f>
        <v>Новый Год</v>
      </c>
      <c r="S1933" s="6" t="str">
        <f>IFERROR(__xludf.DUMMYFUNCTION("""COMPUTED_VALUE"""),"Нет, не приходилось")</f>
        <v>Нет, не приходилось</v>
      </c>
      <c r="T1933" s="6" t="str">
        <f>IFERROR(__xludf.DUMMYFUNCTION("""COMPUTED_VALUE"""),"Практически ничего. Обычный город")</f>
        <v>Практически ничего. Обычный город</v>
      </c>
      <c r="U1933" s="6" t="str">
        <f>IFERROR(__xludf.DUMMYFUNCTION("""COMPUTED_VALUE"""),"Советский проспект")</f>
        <v>Советский проспект</v>
      </c>
      <c r="V1933" s="6" t="str">
        <f>IFERROR(__xludf.DUMMYFUNCTION("""COMPUTED_VALUE"""),"Построили город")</f>
        <v>Построили город</v>
      </c>
      <c r="W1933" s="6" t="str">
        <f>IFERROR(__xludf.DUMMYFUNCTION("""COMPUTED_VALUE"""),"Закрытые, несвободные ")</f>
        <v>Закрытые, несвободные </v>
      </c>
      <c r="X1933" s="6" t="str">
        <f>IFERROR(__xludf.DUMMYFUNCTION("""COMPUTED_VALUE"""),"Советский проспект - Весенняя - Набережная")</f>
        <v>Советский проспект - Весенняя - Набережная</v>
      </c>
      <c r="Y1933" s="6" t="str">
        <f>IFERROR(__xludf.DUMMYFUNCTION("""COMPUTED_VALUE"""),"Не знаю")</f>
        <v>Не знаю</v>
      </c>
      <c r="Z1933" s="6" t="str">
        <f>IFERROR(__xludf.DUMMYFUNCTION("""COMPUTED_VALUE"""),"Начали достраивать долгострои")</f>
        <v>Начали достраивать долгострои</v>
      </c>
      <c r="AA1933" s="6" t="str">
        <f>IFERROR(__xludf.DUMMYFUNCTION("""COMPUTED_VALUE"""),"Закрыли бассейн. ")</f>
        <v>Закрыли бассейн. </v>
      </c>
      <c r="AB1933" s="6" t="str">
        <f>IFERROR(__xludf.DUMMYFUNCTION("""COMPUTED_VALUE"""),"Все хватает")</f>
        <v>Все хватает</v>
      </c>
      <c r="AC1933" s="6" t="str">
        <f>IFERROR(__xludf.DUMMYFUNCTION("""COMPUTED_VALUE"""),"Не знаю")</f>
        <v>Не знаю</v>
      </c>
      <c r="AD193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33" s="6" t="str">
        <f>IFERROR(__xludf.DUMMYFUNCTION("""COMPUTED_VALUE"""),"Женский")</f>
        <v>Женский</v>
      </c>
      <c r="AF1933" s="6" t="str">
        <f>IFERROR(__xludf.DUMMYFUNCTION("""COMPUTED_VALUE"""),"30-44")</f>
        <v>30-44</v>
      </c>
      <c r="AG1933" s="6"/>
      <c r="AH1933" s="6"/>
      <c r="AI1933" s="6"/>
      <c r="AJ1933" s="6"/>
      <c r="AK1933" s="6"/>
      <c r="AL1933" s="6"/>
      <c r="AM1933" s="6"/>
    </row>
    <row r="1934">
      <c r="A1934" s="6">
        <v>1933.0</v>
      </c>
      <c r="B1934" s="6" t="str">
        <f>IFERROR(__xludf.DUMMYFUNCTION("""COMPUTED_VALUE"""),"торговля")</f>
        <v>торговля</v>
      </c>
      <c r="C1934" s="6" t="str">
        <f>IFERROR(__xludf.DUMMYFUNCTION("""COMPUTED_VALUE"""),"мотоцикл, сноуборд, бег, лыжи")</f>
        <v>мотоцикл, сноуборд, бег, лыжи</v>
      </c>
      <c r="D1934" s="6" t="str">
        <f>IFERROR(__xludf.DUMMYFUNCTION("""COMPUTED_VALUE"""),"южный")</f>
        <v>южный</v>
      </c>
      <c r="E1934" s="6" t="str">
        <f>IFERROR(__xludf.DUMMYFUNCTION("""COMPUTED_VALUE"""),"раздолбанные дороги ")</f>
        <v>раздолбанные дороги </v>
      </c>
      <c r="F1934" s="6" t="str">
        <f>IFERROR(__xludf.DUMMYFUNCTION("""COMPUTED_VALUE"""),"Живу здесь с рождения")</f>
        <v>Живу здесь с рождения</v>
      </c>
      <c r="G1934" s="6" t="str">
        <f>IFERROR(__xludf.DUMMYFUNCTION("""COMPUTED_VALUE"""),"бегаю в манеже, в антошке или уезжаю в деревню")</f>
        <v>бегаю в манеже, в антошке или уезжаю в деревню</v>
      </c>
      <c r="H1934" s="6" t="str">
        <f>IFERROR(__xludf.DUMMYFUNCTION("""COMPUTED_VALUE"""),"смог, грязь, облезлые дома, кадетка, шахтеры")</f>
        <v>смог, грязь, облезлые дома, кадетка, шахтеры</v>
      </c>
      <c r="I1934" s="6" t="str">
        <f>IFERROR(__xludf.DUMMYFUNCTION("""COMPUTED_VALUE"""),"Леонов")</f>
        <v>Леонов</v>
      </c>
      <c r="J1934" s="6" t="str">
        <f>IFERROR(__xludf.DUMMYFUNCTION("""COMPUTED_VALUE"""),"не знаю таких ")</f>
        <v>не знаю таких </v>
      </c>
      <c r="K1934" s="6" t="str">
        <f>IFERROR(__xludf.DUMMYFUNCTION("""COMPUTED_VALUE"""),"вид на город с лысой горы, вид на реку из д. Сухово")</f>
        <v>вид на город с лысой горы, вид на реку из д. Сухово</v>
      </c>
      <c r="L1934" s="6" t="str">
        <f>IFERROR(__xludf.DUMMYFUNCTION("""COMPUTED_VALUE"""),"моя хата с краю / работа не волк")</f>
        <v>моя хата с краю / работа не волк</v>
      </c>
      <c r="M1934" s="6" t="str">
        <f>IFERROR(__xludf.DUMMYFUNCTION("""COMPUTED_VALUE"""),"вехотка, стайка")</f>
        <v>вехотка, стайка</v>
      </c>
      <c r="N1934" s="6" t="str">
        <f>IFERROR(__xludf.DUMMYFUNCTION("""COMPUTED_VALUE"""),"ровные дороги, ровные чистые помытые тротуары, красивые дома, достойная работа, развитие спортивной инфраструктуры (реально негде бегать)")</f>
        <v>ровные дороги, ровные чистые помытые тротуары, красивые дома, достойная работа, развитие спортивной инфраструктуры (реально негде бегать)</v>
      </c>
      <c r="O1934" s="6" t="str">
        <f>IFERROR(__xludf.DUMMYFUNCTION("""COMPUTED_VALUE"""),"губернатора!")</f>
        <v>губернатора!</v>
      </c>
      <c r="P1934" s="6" t="str">
        <f>IFERROR(__xludf.DUMMYFUNCTION("""COMPUTED_VALUE"""),"а не проходит у нас в городе ничего интересного. одна показуха, куда людей палкой сгоняют")</f>
        <v>а не проходит у нас в городе ничего интересного. одна показуха, куда людей палкой сгоняют</v>
      </c>
      <c r="Q1934" s="6" t="str">
        <f>IFERROR(__xludf.DUMMYFUNCTION("""COMPUTED_VALUE"""),"городская афиша (кино/театр/концерты), криминальные новости (происшествия/преступления), бизнес-новости (средний чек/рекламные акции/запуск новых предприятий)")</f>
        <v>городская афиша (кино/театр/концерты), криминальные новости (происшествия/преступления), бизнес-новости (средний чек/рекламные акции/запуск новых предприятий)</v>
      </c>
      <c r="R1934" s="6" t="str">
        <f>IFERROR(__xludf.DUMMYFUNCTION("""COMPUTED_VALUE"""),"День победы")</f>
        <v>День победы</v>
      </c>
      <c r="S1934" s="6" t="str">
        <f>IFERROR(__xludf.DUMMYFUNCTION("""COMPUTED_VALUE"""),"Нет, не приходилось")</f>
        <v>Нет, не приходилось</v>
      </c>
      <c r="T1934" s="6" t="str">
        <f>IFERROR(__xludf.DUMMYFUNCTION("""COMPUTED_VALUE"""),"чуть дальше за урал, Кемерово не знает никто абсолютно. Кузбасс еще слышали, но надо говорить Сибирь, тогда все - о, да там же холодно ")</f>
        <v>чуть дальше за урал, Кемерово не знает никто абсолютно. Кузбасс еще слышали, но надо говорить Сибирь, тогда все - о, да там же холодно </v>
      </c>
      <c r="U1934" s="6" t="str">
        <f>IFERROR(__xludf.DUMMYFUNCTION("""COMPUTED_VALUE"""),"Ноградская - Весенька")</f>
        <v>Ноградская - Весенька</v>
      </c>
      <c r="V1934" s="6" t="str">
        <f>IFERROR(__xludf.DUMMYFUNCTION("""COMPUTED_VALUE"""),"нашли уголь")</f>
        <v>нашли уголь</v>
      </c>
      <c r="W1934" s="6" t="str">
        <f>IFERROR(__xludf.DUMMYFUNCTION("""COMPUTED_VALUE"""),"злые, замкнутые, никогда не помогут, ленивые")</f>
        <v>злые, замкнутые, никогда не помогут, ленивые</v>
      </c>
      <c r="X1934" s="6" t="str">
        <f>IFERROR(__xludf.DUMMYFUNCTION("""COMPUTED_VALUE"""),"кадетка")</f>
        <v>кадетка</v>
      </c>
      <c r="Y1934" s="6" t="str">
        <f>IFERROR(__xludf.DUMMYFUNCTION("""COMPUTED_VALUE"""),"не припомню таких ")</f>
        <v>не припомню таких </v>
      </c>
      <c r="Z1934" s="6" t="str">
        <f>IFERROR(__xludf.DUMMYFUNCTION("""COMPUTED_VALUE"""),"не припомню таких ")</f>
        <v>не припомню таких </v>
      </c>
      <c r="AA1934" s="6" t="str">
        <f>IFERROR(__xludf.DUMMYFUNCTION("""COMPUTED_VALUE"""),"разгон митингов, полный запер тна свободу слова, закрытие спортивной школы в бору, теперь даже на лыжах негде бегать ")</f>
        <v>разгон митингов, полный запер тна свободу слова, закрытие спортивной школы в бору, теперь даже на лыжах негде бегать </v>
      </c>
      <c r="AB1934" s="6" t="str">
        <f>IFERROR(__xludf.DUMMYFUNCTION("""COMPUTED_VALUE"""),"спортивные и мото клубы, хорошо организованные, чтоб им выделили нормальные территории, а то приходится ютится по коморкам и гаражам")</f>
        <v>спортивные и мото клубы, хорошо организованные, чтоб им выделили нормальные территории, а то приходится ютится по коморкам и гаражам</v>
      </c>
      <c r="AC1934" s="6" t="str">
        <f>IFERROR(__xludf.DUMMYFUNCTION("""COMPUTED_VALUE"""),"марафоны, концерты , украсить город и отмыть его ")</f>
        <v>марафоны, концерты , украсить город и отмыть его </v>
      </c>
      <c r="AD193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34" s="6" t="str">
        <f>IFERROR(__xludf.DUMMYFUNCTION("""COMPUTED_VALUE"""),"Женский")</f>
        <v>Женский</v>
      </c>
      <c r="AF1934" s="6" t="str">
        <f>IFERROR(__xludf.DUMMYFUNCTION("""COMPUTED_VALUE"""),"30-44")</f>
        <v>30-44</v>
      </c>
      <c r="AG1934" s="6"/>
      <c r="AH1934" s="6"/>
      <c r="AI1934" s="6"/>
      <c r="AJ1934" s="6"/>
      <c r="AK1934" s="6"/>
      <c r="AL1934" s="6"/>
      <c r="AM1934" s="6"/>
    </row>
    <row r="1935">
      <c r="A1935" s="6">
        <v>1934.0</v>
      </c>
      <c r="B1935" s="6" t="str">
        <f>IFERROR(__xludf.DUMMYFUNCTION("""COMPUTED_VALUE"""),"производство")</f>
        <v>производство</v>
      </c>
      <c r="C1935" s="6" t="str">
        <f>IFERROR(__xludf.DUMMYFUNCTION("""COMPUTED_VALUE"""),"спорт")</f>
        <v>спорт</v>
      </c>
      <c r="D1935" s="6" t="str">
        <f>IFERROR(__xludf.DUMMYFUNCTION("""COMPUTED_VALUE"""),"ФПК")</f>
        <v>ФПК</v>
      </c>
      <c r="E1935" s="6" t="str">
        <f>IFERROR(__xludf.DUMMYFUNCTION("""COMPUTED_VALUE"""),"их нет")</f>
        <v>их нет</v>
      </c>
      <c r="F1935" s="6" t="str">
        <f>IFERROR(__xludf.DUMMYFUNCTION("""COMPUTED_VALUE"""),"Живу здесь с рождения")</f>
        <v>Живу здесь с рождения</v>
      </c>
      <c r="G1935" s="6" t="str">
        <f>IFERROR(__xludf.DUMMYFUNCTION("""COMPUTED_VALUE"""),"сосновый бор")</f>
        <v>сосновый бор</v>
      </c>
      <c r="H1935" s="6" t="str">
        <f>IFERROR(__xludf.DUMMYFUNCTION("""COMPUTED_VALUE"""),"Компактный, уютный, загазованный, заброшенный, нищий")</f>
        <v>Компактный, уютный, загазованный, заброшенный, нищий</v>
      </c>
      <c r="I1935" s="6" t="str">
        <f>IFERROR(__xludf.DUMMYFUNCTION("""COMPUTED_VALUE"""),"выдающихся не знаю")</f>
        <v>выдающихся не знаю</v>
      </c>
      <c r="J1935" s="6" t="str">
        <f>IFERROR(__xludf.DUMMYFUNCTION("""COMPUTED_VALUE"""),"Кислюк М.Б. - за дороги в городе и Кузбассе")</f>
        <v>Кислюк М.Б. - за дороги в городе и Кузбассе</v>
      </c>
      <c r="K1935" s="6" t="str">
        <f>IFERROR(__xludf.DUMMYFUNCTION("""COMPUTED_VALUE"""),"сосновый бор в его нынешнем первозданном виде")</f>
        <v>сосновый бор в его нынешнем первозданном виде</v>
      </c>
      <c r="L1935" s="6" t="str">
        <f>IFERROR(__xludf.DUMMYFUNCTION("""COMPUTED_VALUE"""),"Южный никому не нужный.  Смог это наша атмосфера.")</f>
        <v>Южный никому не нужный.  Смог это наша атмосфера.</v>
      </c>
      <c r="M1935" s="6" t="str">
        <f>IFERROR(__xludf.DUMMYFUNCTION("""COMPUTED_VALUE"""),"нет")</f>
        <v>нет</v>
      </c>
      <c r="N1935" s="6" t="str">
        <f>IFERROR(__xludf.DUMMYFUNCTION("""COMPUTED_VALUE"""),"Чистый воздух, чистая вода, наличие рабочих мест, хорошая медицина и образование, отсутствие ПЖВ (единой России), наличие будующего")</f>
        <v>Чистый воздух, чистая вода, наличие рабочих мест, хорошая медицина и образование, отсутствие ПЖВ (единой России), наличие будующего</v>
      </c>
      <c r="O1935" s="6" t="str">
        <f>IFERROR(__xludf.DUMMYFUNCTION("""COMPUTED_VALUE"""),"Власть. В т.ч. горсовет.")</f>
        <v>Власть. В т.ч. горсовет.</v>
      </c>
      <c r="P1935" s="6" t="str">
        <f>IFERROR(__xludf.DUMMYFUNCTION("""COMPUTED_VALUE"""),"фейсбук, типичный Кузбасс, блог Алферова М.  В большинстве соцсетей, особенно связанных с официозом - ложь! ")</f>
        <v>фейсбук, типичный Кузбасс, блог Алферова М.  В большинстве соцсетей, особенно связанных с официозом - ложь! </v>
      </c>
      <c r="Q1935" s="6" t="str">
        <f>IFERROR(__xludf.DUMMYFUNCTION("""COMPUTED_VALUE"""),"Абажур")</f>
        <v>Абажур</v>
      </c>
      <c r="R1935" s="6" t="str">
        <f>IFERROR(__xludf.DUMMYFUNCTION("""COMPUTED_VALUE"""),"день города")</f>
        <v>день города</v>
      </c>
      <c r="S1935" s="6" t="str">
        <f>IFERROR(__xludf.DUMMYFUNCTION("""COMPUTED_VALUE"""),"Через социальные сети (Какие? Укажите в графе другое)")</f>
        <v>Через социальные сети (Какие? Укажите в графе другое)</v>
      </c>
      <c r="T1935" s="6" t="str">
        <f>IFERROR(__xludf.DUMMYFUNCTION("""COMPUTED_VALUE"""),"Уничтожением промышленности. ")</f>
        <v>Уничтожением промышленности. </v>
      </c>
      <c r="U1935" s="6" t="str">
        <f>IFERROR(__xludf.DUMMYFUNCTION("""COMPUTED_VALUE"""),"сосновый бор")</f>
        <v>сосновый бор</v>
      </c>
      <c r="V1935" s="6" t="str">
        <f>IFERROR(__xludf.DUMMYFUNCTION("""COMPUTED_VALUE"""),"Сохранили сосновый бор. Даже во время второй мировой войны.")</f>
        <v>Сохранили сосновый бор. Даже во время второй мировой войны.</v>
      </c>
      <c r="W1935" s="6" t="str">
        <f>IFERROR(__xludf.DUMMYFUNCTION("""COMPUTED_VALUE"""),"Трусливые и некультурные. С  промытыми мозгами.")</f>
        <v>Трусливые и некультурные. С  промытыми мозгами.</v>
      </c>
      <c r="X1935" s="6" t="str">
        <f>IFERROR(__xludf.DUMMYFUNCTION("""COMPUTED_VALUE"""),"От ул. Терешковой до горы в сосновом бору, с которой открывается вид на город.")</f>
        <v>От ул. Терешковой до горы в сосновом бору, с которой открывается вид на город.</v>
      </c>
      <c r="Y1935" s="6" t="str">
        <f>IFERROR(__xludf.DUMMYFUNCTION("""COMPUTED_VALUE"""),"Отставка Тулеева.")</f>
        <v>Отставка Тулеева.</v>
      </c>
      <c r="Z1935" s="6" t="str">
        <f>IFERROR(__xludf.DUMMYFUNCTION("""COMPUTED_VALUE"""),"Не припомню. ")</f>
        <v>Не припомню. </v>
      </c>
      <c r="AA1935" s="6" t="str">
        <f>IFERROR(__xludf.DUMMYFUNCTION("""COMPUTED_VALUE"""),"Закрытие плавательного бассейна. Стройки связанные с так называемым 300-летием области. Преследование инакомыслящих. в т.ч. Алферова М.")</f>
        <v>Закрытие плавательного бассейна. Стройки связанные с так называемым 300-летием области. Преследование инакомыслящих. в т.ч. Алферова М.</v>
      </c>
      <c r="AB1935" s="6" t="str">
        <f>IFERROR(__xludf.DUMMYFUNCTION("""COMPUTED_VALUE"""),"Умных, честных и смелых граждан.")</f>
        <v>Умных, честных и смелых граждан.</v>
      </c>
      <c r="AC1935" s="6" t="str">
        <f>IFERROR(__xludf.DUMMYFUNCTION("""COMPUTED_VALUE"""),"Честные выборы, открытое выражение (в т.ч. согласно 31 с. Конституции РФ) мнений горожан.")</f>
        <v>Честные выборы, открытое выражение (в т.ч. согласно 31 с. Конституции РФ) мнений горожан.</v>
      </c>
      <c r="AD193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35" s="6" t="str">
        <f>IFERROR(__xludf.DUMMYFUNCTION("""COMPUTED_VALUE"""),"Мужской")</f>
        <v>Мужской</v>
      </c>
      <c r="AF1935" s="6" t="str">
        <f>IFERROR(__xludf.DUMMYFUNCTION("""COMPUTED_VALUE"""),"старше 55")</f>
        <v>старше 55</v>
      </c>
      <c r="AG1935" s="6"/>
      <c r="AH1935" s="6"/>
      <c r="AI1935" s="6"/>
      <c r="AJ1935" s="6"/>
      <c r="AK1935" s="6"/>
      <c r="AL1935" s="6"/>
      <c r="AM1935" s="6"/>
    </row>
    <row r="1936">
      <c r="A1936" s="6">
        <v>1935.0</v>
      </c>
      <c r="B1936" s="6" t="str">
        <f>IFERROR(__xludf.DUMMYFUNCTION("""COMPUTED_VALUE"""),"программист")</f>
        <v>программист</v>
      </c>
      <c r="C1936" s="6" t="str">
        <f>IFERROR(__xludf.DUMMYFUNCTION("""COMPUTED_VALUE"""),"видеоигры, рисование, велосипед")</f>
        <v>видеоигры, рисование, велосипед</v>
      </c>
      <c r="D1936" s="6" t="str">
        <f>IFERROR(__xludf.DUMMYFUNCTION("""COMPUTED_VALUE"""),"Шалготарьян, называю так же")</f>
        <v>Шалготарьян, называю так же</v>
      </c>
      <c r="E1936" s="6" t="str">
        <f>IFERROR(__xludf.DUMMYFUNCTION("""COMPUTED_VALUE"""),"Сквер")</f>
        <v>Сквер</v>
      </c>
      <c r="F1936" s="6" t="str">
        <f>IFERROR(__xludf.DUMMYFUNCTION("""COMPUTED_VALUE"""),"Переехал сюда из другого места (откуда? укажите в графе другое), Новокузнецк")</f>
        <v>Переехал сюда из другого места (откуда? укажите в графе другое), Новокузнецк</v>
      </c>
      <c r="G1936" s="6" t="str">
        <f>IFERROR(__xludf.DUMMYFUNCTION("""COMPUTED_VALUE"""),"Гуляю вокруг квартала")</f>
        <v>Гуляю вокруг квартала</v>
      </c>
      <c r="H1936" s="6" t="str">
        <f>IFERROR(__xludf.DUMMYFUNCTION("""COMPUTED_VALUE"""),"картошка, тайга, вокзал, простор, чистота")</f>
        <v>картошка, тайга, вокзал, простор, чистота</v>
      </c>
      <c r="I1936" s="6" t="str">
        <f>IFERROR(__xludf.DUMMYFUNCTION("""COMPUTED_VALUE"""),"—")</f>
        <v>—</v>
      </c>
      <c r="J1936" s="6" t="str">
        <f>IFERROR(__xludf.DUMMYFUNCTION("""COMPUTED_VALUE"""),"—")</f>
        <v>—</v>
      </c>
      <c r="K1936" s="6" t="str">
        <f>IFERROR(__xludf.DUMMYFUNCTION("""COMPUTED_VALUE"""),"—")</f>
        <v>—</v>
      </c>
      <c r="L1936" s="6" t="str">
        <f>IFERROR(__xludf.DUMMYFUNCTION("""COMPUTED_VALUE"""),"—")</f>
        <v>—</v>
      </c>
      <c r="M1936" s="6" t="str">
        <f>IFERROR(__xludf.DUMMYFUNCTION("""COMPUTED_VALUE"""),"—")</f>
        <v>—</v>
      </c>
      <c r="N1936" s="6" t="str">
        <f>IFERROR(__xludf.DUMMYFUNCTION("""COMPUTED_VALUE"""),"ухоженные тротуары, меньше автомобилей, нет парковок на газонах, больше скверов и уличных кафе")</f>
        <v>ухоженные тротуары, меньше автомобилей, нет парковок на газонах, больше скверов и уличных кафе</v>
      </c>
      <c r="O1936" s="6" t="str">
        <f>IFERROR(__xludf.DUMMYFUNCTION("""COMPUTED_VALUE"""),"уменьшить количество автомобилей во дворах и, особенно, на газонах")</f>
        <v>уменьшить количество автомобилей во дворах и, особенно, на газонах</v>
      </c>
      <c r="P1936" s="6" t="str">
        <f>IFERROR(__xludf.DUMMYFUNCTION("""COMPUTED_VALUE"""),"—")</f>
        <v>—</v>
      </c>
      <c r="Q1936" s="6" t="str">
        <f>IFERROR(__xludf.DUMMYFUNCTION("""COMPUTED_VALUE"""),"куда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f>
        <v>куда пойти в свободное время, где вкусно поесть/открытие новых кафе/ресторанов, интервью с местными творческими личностями, результаты местных исследований (рейтинги/аналитика/тенденции)</v>
      </c>
      <c r="R1936" s="6" t="str">
        <f>IFERROR(__xludf.DUMMYFUNCTION("""COMPUTED_VALUE"""),"день велосипедиста, день города")</f>
        <v>день велосипедиста, день города</v>
      </c>
      <c r="S1936" s="6" t="str">
        <f>IFERROR(__xludf.DUMMYFUNCTION("""COMPUTED_VALUE"""),"организовывал фестивали в течении нескольких лет")</f>
        <v>организовывал фестивали в течении нескольких лет</v>
      </c>
      <c r="T1936" s="6" t="str">
        <f>IFERROR(__xludf.DUMMYFUNCTION("""COMPUTED_VALUE"""),"—")</f>
        <v>—</v>
      </c>
      <c r="U1936" s="6" t="str">
        <f>IFERROR(__xludf.DUMMYFUNCTION("""COMPUTED_VALUE"""),"площадь Советов, парк Веры Волошиной")</f>
        <v>площадь Советов, парк Веры Волошиной</v>
      </c>
      <c r="V1936" s="6" t="str">
        <f>IFERROR(__xludf.DUMMYFUNCTION("""COMPUTED_VALUE"""),"—")</f>
        <v>—</v>
      </c>
      <c r="W1936" s="6" t="str">
        <f>IFERROR(__xludf.DUMMYFUNCTION("""COMPUTED_VALUE"""),"—")</f>
        <v>—</v>
      </c>
      <c r="X1936" s="6" t="str">
        <f>IFERROR(__xludf.DUMMYFUNCTION("""COMPUTED_VALUE"""),"—")</f>
        <v>—</v>
      </c>
      <c r="Y1936" s="6" t="str">
        <f>IFERROR(__xludf.DUMMYFUNCTION("""COMPUTED_VALUE"""),"—")</f>
        <v>—</v>
      </c>
      <c r="Z1936" s="6" t="str">
        <f>IFERROR(__xludf.DUMMYFUNCTION("""COMPUTED_VALUE"""),"стройка в северной части города, местами начался ремонт тротуаров")</f>
        <v>стройка в северной части города, местами начался ремонт тротуаров</v>
      </c>
      <c r="AA1936" s="6" t="str">
        <f>IFERROR(__xludf.DUMMYFUNCTION("""COMPUTED_VALUE"""),"—")</f>
        <v>—</v>
      </c>
      <c r="AB1936" s="6" t="str">
        <f>IFERROR(__xludf.DUMMYFUNCTION("""COMPUTED_VALUE"""),"—")</f>
        <v>—</v>
      </c>
      <c r="AC1936" s="6" t="str">
        <f>IFERROR(__xludf.DUMMYFUNCTION("""COMPUTED_VALUE"""),"—")</f>
        <v>—</v>
      </c>
      <c r="AD1936"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v>
      </c>
      <c r="AE1936" s="6" t="str">
        <f>IFERROR(__xludf.DUMMYFUNCTION("""COMPUTED_VALUE"""),"Мужской")</f>
        <v>Мужской</v>
      </c>
      <c r="AF1936" s="6" t="str">
        <f>IFERROR(__xludf.DUMMYFUNCTION("""COMPUTED_VALUE"""),"30-44")</f>
        <v>30-44</v>
      </c>
      <c r="AG1936" s="6"/>
      <c r="AH1936" s="6"/>
      <c r="AI1936" s="6"/>
      <c r="AJ1936" s="6"/>
      <c r="AK1936" s="6"/>
      <c r="AL1936" s="6"/>
      <c r="AM1936" s="6"/>
    </row>
    <row r="1937">
      <c r="A1937" s="6">
        <v>1936.0</v>
      </c>
      <c r="B1937" s="6" t="str">
        <f>IFERROR(__xludf.DUMMYFUNCTION("""COMPUTED_VALUE"""),"Пенсионер ")</f>
        <v>Пенсионер </v>
      </c>
      <c r="C1937" s="6" t="str">
        <f>IFERROR(__xludf.DUMMYFUNCTION("""COMPUTED_VALUE"""),"Путешествие ")</f>
        <v>Путешествие </v>
      </c>
      <c r="D1937" s="6" t="str">
        <f>IFERROR(__xludf.DUMMYFUNCTION("""COMPUTED_VALUE"""),"Центр ")</f>
        <v>Центр </v>
      </c>
      <c r="E1937" s="6" t="str">
        <f>IFERROR(__xludf.DUMMYFUNCTION("""COMPUTED_VALUE"""),"Их много ")</f>
        <v>Их много </v>
      </c>
      <c r="F1937" s="6" t="str">
        <f>IFERROR(__xludf.DUMMYFUNCTION("""COMPUTED_VALUE"""),"Живу здесь с рождения")</f>
        <v>Живу здесь с рождения</v>
      </c>
      <c r="G1937" s="6" t="str">
        <f>IFERROR(__xludf.DUMMYFUNCTION("""COMPUTED_VALUE"""),"Набережная ")</f>
        <v>Набережная </v>
      </c>
      <c r="H1937" s="6" t="str">
        <f>IFERROR(__xludf.DUMMYFUNCTION("""COMPUTED_VALUE"""),"Родина")</f>
        <v>Родина</v>
      </c>
      <c r="I1937" s="6" t="str">
        <f>IFERROR(__xludf.DUMMYFUNCTION("""COMPUTED_VALUE"""),"Бобров")</f>
        <v>Бобров</v>
      </c>
      <c r="J1937" s="6" t="str">
        <f>IFERROR(__xludf.DUMMYFUNCTION("""COMPUTED_VALUE"""),"Михайлов")</f>
        <v>Михайлов</v>
      </c>
      <c r="K1937" s="6" t="str">
        <f>IFERROR(__xludf.DUMMYFUNCTION("""COMPUTED_VALUE"""),"Улица Весенняя")</f>
        <v>Улица Весенняя</v>
      </c>
      <c r="L1937" s="6" t="str">
        <f>IFERROR(__xludf.DUMMYFUNCTION("""COMPUTED_VALUE"""),"Не знаю ")</f>
        <v>Не знаю </v>
      </c>
      <c r="M1937" s="6" t="str">
        <f>IFERROR(__xludf.DUMMYFUNCTION("""COMPUTED_VALUE"""),"Нет")</f>
        <v>Нет</v>
      </c>
      <c r="N1937" s="6" t="str">
        <f>IFERROR(__xludf.DUMMYFUNCTION("""COMPUTED_VALUE"""),"Чистота комфорт уют логистика")</f>
        <v>Чистота комфорт уют логистика</v>
      </c>
      <c r="O1937" s="6" t="str">
        <f>IFERROR(__xludf.DUMMYFUNCTION("""COMPUTED_VALUE"""),"Не знаю ")</f>
        <v>Не знаю </v>
      </c>
      <c r="P1937" s="6" t="str">
        <f>IFERROR(__xludf.DUMMYFUNCTION("""COMPUTED_VALUE"""),"Интернет Инстограм ")</f>
        <v>Интернет Инстограм </v>
      </c>
      <c r="Q1937"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937" s="6" t="str">
        <f>IFERROR(__xludf.DUMMYFUNCTION("""COMPUTED_VALUE"""),"9мая")</f>
        <v>9мая</v>
      </c>
      <c r="S1937" s="6" t="str">
        <f>IFERROR(__xludf.DUMMYFUNCTION("""COMPUTED_VALUE"""),"Нет, не приходилось")</f>
        <v>Нет, не приходилось</v>
      </c>
      <c r="T1937" s="6" t="str">
        <f>IFERROR(__xludf.DUMMYFUNCTION("""COMPUTED_VALUE"""),"Гостеприимство ")</f>
        <v>Гостеприимство </v>
      </c>
      <c r="U1937" s="6" t="str">
        <f>IFERROR(__xludf.DUMMYFUNCTION("""COMPUTED_VALUE"""),"Драмтеатр ")</f>
        <v>Драмтеатр </v>
      </c>
      <c r="V1937" s="6" t="str">
        <f>IFERROR(__xludf.DUMMYFUNCTION("""COMPUTED_VALUE"""),"Затрудняюсь ")</f>
        <v>Затрудняюсь </v>
      </c>
      <c r="W1937" s="6" t="str">
        <f>IFERROR(__xludf.DUMMYFUNCTION("""COMPUTED_VALUE"""),"Добрый ")</f>
        <v>Добрый </v>
      </c>
      <c r="X1937" s="6" t="str">
        <f>IFERROR(__xludf.DUMMYFUNCTION("""COMPUTED_VALUE"""),"Улица Весенняя ")</f>
        <v>Улица Весенняя </v>
      </c>
      <c r="Y1937" s="6" t="str">
        <f>IFERROR(__xludf.DUMMYFUNCTION("""COMPUTED_VALUE"""),"Чемпионат мира по хоккею ")</f>
        <v>Чемпионат мира по хоккею </v>
      </c>
      <c r="Z1937" s="6" t="str">
        <f>IFERROR(__xludf.DUMMYFUNCTION("""COMPUTED_VALUE"""),"Строительство ")</f>
        <v>Строительство </v>
      </c>
      <c r="AA1937" s="6" t="str">
        <f>IFERROR(__xludf.DUMMYFUNCTION("""COMPUTED_VALUE"""),"Нет")</f>
        <v>Нет</v>
      </c>
      <c r="AB1937" s="6" t="str">
        <f>IFERROR(__xludf.DUMMYFUNCTION("""COMPUTED_VALUE"""),"Не знаю")</f>
        <v>Не знаю</v>
      </c>
      <c r="AC1937" s="6" t="str">
        <f>IFERROR(__xludf.DUMMYFUNCTION("""COMPUTED_VALUE"""),"Затрудняюсь ответить")</f>
        <v>Затрудняюсь ответить</v>
      </c>
      <c r="AD1937"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937" s="6" t="str">
        <f>IFERROR(__xludf.DUMMYFUNCTION("""COMPUTED_VALUE"""),"Мужской")</f>
        <v>Мужской</v>
      </c>
      <c r="AF1937" s="6" t="str">
        <f>IFERROR(__xludf.DUMMYFUNCTION("""COMPUTED_VALUE"""),"старше 55")</f>
        <v>старше 55</v>
      </c>
      <c r="AG1937" s="6"/>
      <c r="AH1937" s="6"/>
      <c r="AI1937" s="6"/>
      <c r="AJ1937" s="6"/>
      <c r="AK1937" s="6"/>
      <c r="AL1937" s="6"/>
      <c r="AM1937" s="6"/>
    </row>
    <row r="1938">
      <c r="A1938" s="6">
        <v>1937.0</v>
      </c>
      <c r="B1938" s="6" t="str">
        <f>IFERROR(__xludf.DUMMYFUNCTION("""COMPUTED_VALUE"""),"Юрист")</f>
        <v>Юрист</v>
      </c>
      <c r="C1938" s="6" t="str">
        <f>IFERROR(__xludf.DUMMYFUNCTION("""COMPUTED_VALUE"""),"Иностранные языки, изучение")</f>
        <v>Иностранные языки, изучение</v>
      </c>
      <c r="D1938" s="6" t="str">
        <f>IFERROR(__xludf.DUMMYFUNCTION("""COMPUTED_VALUE"""),"Центральный")</f>
        <v>Центральный</v>
      </c>
      <c r="E1938" s="6" t="str">
        <f>IFERROR(__xludf.DUMMYFUNCTION("""COMPUTED_VALUE"""),"Была набережная. Но ее изуродовали страшными ресторанами и глупыми скульптурами")</f>
        <v>Была набережная. Но ее изуродовали страшными ресторанами и глупыми скульптурами</v>
      </c>
      <c r="F1938" s="6" t="str">
        <f>IFERROR(__xludf.DUMMYFUNCTION("""COMPUTED_VALUE"""),"Живу здесь с рождения")</f>
        <v>Живу здесь с рождения</v>
      </c>
      <c r="G1938" s="6" t="str">
        <f>IFERROR(__xludf.DUMMYFUNCTION("""COMPUTED_VALUE"""),"Сосновый бор, Люскус")</f>
        <v>Сосновый бор, Люскус</v>
      </c>
      <c r="H1938" s="6" t="str">
        <f>IFERROR(__xludf.DUMMYFUNCTION("""COMPUTED_VALUE"""),"Газ, грязь, бескультурие, бедность, лес(остатки)")</f>
        <v>Газ, грязь, бескультурие, бедность, лес(остатки)</v>
      </c>
      <c r="I1938" s="6" t="str">
        <f>IFERROR(__xludf.DUMMYFUNCTION("""COMPUTED_VALUE"""),"Леонов, Подгорбунский, Штоколов")</f>
        <v>Леонов, Подгорбунский, Штоколов</v>
      </c>
      <c r="J1938" s="6" t="str">
        <f>IFERROR(__xludf.DUMMYFUNCTION("""COMPUTED_VALUE"""),"Барбараш, К. Ковальков, другие врачи города. Руководитель театра опереты")</f>
        <v>Барбараш, К. Ковальков, другие врачи города. Руководитель театра опереты</v>
      </c>
      <c r="K1938" s="6" t="str">
        <f>IFERROR(__xludf.DUMMYFUNCTION("""COMPUTED_VALUE"""),"Раньше была набережная. Руководство области и города все сделали, чтобы город стал серым. В том числе снесли старые дома в центре в советское время, построили уродливые центры и кабаки")</f>
        <v>Раньше была набережная. Руководство области и города все сделали, чтобы город стал серым. В том числе снесли старые дома в центре в советское время, построили уродливые центры и кабаки</v>
      </c>
      <c r="L1938" s="6" t="str">
        <f>IFERROR(__xludf.DUMMYFUNCTION("""COMPUTED_VALUE"""),"Таких нет. ")</f>
        <v>Таких нет. </v>
      </c>
      <c r="M1938" s="6" t="str">
        <f>IFERROR(__xludf.DUMMYFUNCTION("""COMPUTED_VALUE"""),"Нет, только если ненормативные")</f>
        <v>Нет, только если ненормативные</v>
      </c>
      <c r="N1938" s="6" t="str">
        <f>IFERROR(__xludf.DUMMYFUNCTION("""COMPUTED_VALUE"""),"Доступная среда для инвалидов, чистый воздух, парки, тротуары, продуманная архитектура")</f>
        <v>Доступная среда для инвалидов, чистый воздух, парки, тротуары, продуманная архитектура</v>
      </c>
      <c r="O1938" s="6" t="str">
        <f>IFERROR(__xludf.DUMMYFUNCTION("""COMPUTED_VALUE"""),"Запретить строить на набережной, в парках, городских лесах, снести убогие шашлычные")</f>
        <v>Запретить строить на набережной, в парках, городских лесах, снести убогие шашлычные</v>
      </c>
      <c r="P1938" s="6" t="str">
        <f>IFERROR(__xludf.DUMMYFUNCTION("""COMPUTED_VALUE"""),"Соцсети, названия не запоминаю")</f>
        <v>Соцсети, названия не запоминаю</v>
      </c>
      <c r="Q1938" s="6" t="str">
        <f>IFERROR(__xludf.DUMMYFUNCTION("""COMPUTED_VALUE"""),"где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f>
        <v>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v>
      </c>
      <c r="R1938" s="6" t="str">
        <f>IFERROR(__xludf.DUMMYFUNCTION("""COMPUTED_VALUE"""),"Таких нет, сплошная профанация, лицемерие")</f>
        <v>Таких нет, сплошная профанация, лицемерие</v>
      </c>
      <c r="S1938" s="6" t="str">
        <f>IFERROR(__xludf.DUMMYFUNCTION("""COMPUTED_VALUE"""),"Нет, не приходилось")</f>
        <v>Нет, не приходилось</v>
      </c>
      <c r="T1938" s="6" t="str">
        <f>IFERROR(__xludf.DUMMYFUNCTION("""COMPUTED_VALUE"""),"Сырьевой придаток страны")</f>
        <v>Сырьевой придаток страны</v>
      </c>
      <c r="U1938" s="6" t="str">
        <f>IFERROR(__xludf.DUMMYFUNCTION("""COMPUTED_VALUE"""),"Улица Весенняя")</f>
        <v>Улица Весенняя</v>
      </c>
      <c r="V1938" s="6" t="str">
        <f>IFERROR(__xludf.DUMMYFUNCTION("""COMPUTED_VALUE"""),"Врачи помогают людям, несмотря на нищенскую зарплату")</f>
        <v>Врачи помогают людям, несмотря на нищенскую зарплату</v>
      </c>
      <c r="W1938" s="6" t="str">
        <f>IFERROR(__xludf.DUMMYFUNCTION("""COMPUTED_VALUE"""),"Неаккуратность и грубость")</f>
        <v>Неаккуратность и грубость</v>
      </c>
      <c r="X1938" s="6" t="str">
        <f>IFERROR(__xludf.DUMMYFUNCTION("""COMPUTED_VALUE"""),"Такого сейчас нет")</f>
        <v>Такого сейчас нет</v>
      </c>
      <c r="Y1938" s="6" t="str">
        <f>IFERROR(__xludf.DUMMYFUNCTION("""COMPUTED_VALUE""")," Вы о чем?!!! Только если приезд театров")</f>
        <v> Вы о чем?!!! Только если приезд театров</v>
      </c>
      <c r="Z1938" s="6" t="str">
        <f>IFERROR(__xludf.DUMMYFUNCTION("""COMPUTED_VALUE"""),"Таких нет. Только негатив")</f>
        <v>Таких нет. Только негатив</v>
      </c>
      <c r="AA1938" s="6" t="str">
        <f>IFERROR(__xludf.DUMMYFUNCTION("""COMPUTED_VALUE"""),"Строительство уродливого кабака на набережной, закрытие  бассейна, лыжной школы")</f>
        <v>Строительство уродливого кабака на набережной, закрытие  бассейна, лыжной школы</v>
      </c>
      <c r="AB1938" s="6" t="str">
        <f>IFERROR(__xludf.DUMMYFUNCTION("""COMPUTED_VALUE"""),"Любителей иностранного языка, клуба")</f>
        <v>Любителей иностранного языка, клуба</v>
      </c>
      <c r="AC1938" s="6" t="str">
        <f>IFERROR(__xludf.DUMMYFUNCTION("""COMPUTED_VALUE"""),"Спектакли, выставки, соревнования")</f>
        <v>Спектакли, выставки, соревнования</v>
      </c>
      <c r="AD1938" s="6" t="str">
        <f>IFERROR(__xludf.DUMMYFUNCTION("""COMPUTED_VALUE"""),"Партнера.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Волонтера: оказать любую посильную помощь непосредственно во время реализации проекта</v>
      </c>
      <c r="AE1938" s="6" t="str">
        <f>IFERROR(__xludf.DUMMYFUNCTION("""COMPUTED_VALUE"""),"Женский")</f>
        <v>Женский</v>
      </c>
      <c r="AF1938" s="6" t="str">
        <f>IFERROR(__xludf.DUMMYFUNCTION("""COMPUTED_VALUE"""),"45-55")</f>
        <v>45-55</v>
      </c>
      <c r="AG1938" s="6"/>
      <c r="AH1938" s="6"/>
      <c r="AI1938" s="6"/>
      <c r="AJ1938" s="6"/>
      <c r="AK1938" s="6"/>
      <c r="AL1938" s="6"/>
      <c r="AM1938" s="6"/>
    </row>
    <row r="1939">
      <c r="A1939" s="6">
        <v>1938.0</v>
      </c>
      <c r="B1939" s="6" t="str">
        <f>IFERROR(__xludf.DUMMYFUNCTION("""COMPUTED_VALUE"""),"Слежу за состоянием здания, технических помещений, ОПС")</f>
        <v>Слежу за состоянием здания, технических помещений, ОПС</v>
      </c>
      <c r="C1939" s="6" t="str">
        <f>IFERROR(__xludf.DUMMYFUNCTION("""COMPUTED_VALUE"""),"Танцы, вязание, бег, чтение книг ")</f>
        <v>Танцы, вязание, бег, чтение книг </v>
      </c>
      <c r="D1939" s="6" t="str">
        <f>IFERROR(__xludf.DUMMYFUNCTION("""COMPUTED_VALUE"""),"Заводской, фпк")</f>
        <v>Заводской, фпк</v>
      </c>
      <c r="E1939" s="6" t="str">
        <f>IFERROR(__xludf.DUMMYFUNCTION("""COMPUTED_VALUE"""),"Парк, спортивная площадка")</f>
        <v>Парк, спортивная площадка</v>
      </c>
      <c r="F1939" s="6" t="str">
        <f>IFERROR(__xludf.DUMMYFUNCTION("""COMPUTED_VALUE"""),"Живу здесь с рождения")</f>
        <v>Живу здесь с рождения</v>
      </c>
      <c r="G1939" s="6" t="str">
        <f>IFERROR(__xludf.DUMMYFUNCTION("""COMPUTED_VALUE"""),"Речка")</f>
        <v>Речка</v>
      </c>
      <c r="H1939" s="6" t="str">
        <f>IFERROR(__xludf.DUMMYFUNCTION("""COMPUTED_VALUE"""),"Однообразие, серые дома, парки, детские площадки, скука")</f>
        <v>Однообразие, серые дома, парки, детские площадки, скука</v>
      </c>
      <c r="I1939" s="6" t="str">
        <f>IFERROR(__xludf.DUMMYFUNCTION("""COMPUTED_VALUE"""),"? ")</f>
        <v>? </v>
      </c>
      <c r="J1939" s="6" t="str">
        <f>IFERROR(__xludf.DUMMYFUNCTION("""COMPUTED_VALUE"""),"? ")</f>
        <v>? </v>
      </c>
      <c r="K1939" s="6" t="str">
        <f>IFERROR(__xludf.DUMMYFUNCTION("""COMPUTED_VALUE"""),"Сосновый бор")</f>
        <v>Сосновый бор</v>
      </c>
      <c r="L1939" s="6" t="str">
        <f>IFERROR(__xludf.DUMMYFUNCTION("""COMPUTED_VALUE"""),"? ")</f>
        <v>? </v>
      </c>
      <c r="M1939" s="6" t="str">
        <f>IFERROR(__xludf.DUMMYFUNCTION("""COMPUTED_VALUE"""),"? ")</f>
        <v>? </v>
      </c>
      <c r="N1939" s="6" t="str">
        <f>IFERROR(__xludf.DUMMYFUNCTION("""COMPUTED_VALUE"""),"Наличие мест для отдыха на улице, красивые дома и дороги, чистота, разнообразные кафе, парки")</f>
        <v>Наличие мест для отдыха на улице, красивые дома и дороги, чистота, разнообразные кафе, парки</v>
      </c>
      <c r="O1939" s="6" t="str">
        <f>IFERROR(__xludf.DUMMYFUNCTION("""COMPUTED_VALUE"""),"Отношение людей к чистоте на улицах, перестать строить церкви везде, снести заброшенные стройки")</f>
        <v>Отношение людей к чистоте на улицах, перестать строить церкви везде, снести заброшенные стройки</v>
      </c>
      <c r="P1939" s="6" t="str">
        <f>IFERROR(__xludf.DUMMYFUNCTION("""COMPUTED_VALUE"""),"Знакомые, из вк и инстаграма страницы кафе театров и библиотеки")</f>
        <v>Знакомые, из вк и инстаграма страницы кафе театров и библиотеки</v>
      </c>
      <c r="Q193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1939" s="6" t="str">
        <f>IFERROR(__xludf.DUMMYFUNCTION("""COMPUTED_VALUE"""),"Нет таких ")</f>
        <v>Нет таких </v>
      </c>
      <c r="S1939" s="6" t="str">
        <f>IFERROR(__xludf.DUMMYFUNCTION("""COMPUTED_VALUE"""),"Нет, не приходилось")</f>
        <v>Нет, не приходилось</v>
      </c>
      <c r="T1939" s="6" t="str">
        <f>IFERROR(__xludf.DUMMYFUNCTION("""COMPUTED_VALUE"""),"Добычей угля, пожар в ""Зимней вишне"" ")</f>
        <v>Добычей угля, пожар в "Зимней вишне" </v>
      </c>
      <c r="U1939" s="6" t="str">
        <f>IFERROR(__xludf.DUMMYFUNCTION("""COMPUTED_VALUE"""),"Площадь Советов")</f>
        <v>Площадь Советов</v>
      </c>
      <c r="V1939" s="6" t="str">
        <f>IFERROR(__xludf.DUMMYFUNCTION("""COMPUTED_VALUE"""),"? ")</f>
        <v>? </v>
      </c>
      <c r="W1939" s="6" t="str">
        <f>IFERROR(__xludf.DUMMYFUNCTION("""COMPUTED_VALUE"""),"Такие же, как и во всей России ")</f>
        <v>Такие же, как и во всей России </v>
      </c>
      <c r="X1939" s="6" t="str">
        <f>IFERROR(__xludf.DUMMYFUNCTION("""COMPUTED_VALUE"""),"Парк Ангелов, парк чудес, бульвар Строителей")</f>
        <v>Парк Ангелов, парк чудес, бульвар Строителей</v>
      </c>
      <c r="Y1939" s="6" t="str">
        <f>IFERROR(__xludf.DUMMYFUNCTION("""COMPUTED_VALUE"""),"-")</f>
        <v>-</v>
      </c>
      <c r="Z1939" s="6" t="str">
        <f>IFERROR(__xludf.DUMMYFUNCTION("""COMPUTED_VALUE"""),"-")</f>
        <v>-</v>
      </c>
      <c r="AA1939" s="6" t="str">
        <f>IFERROR(__xludf.DUMMYFUNCTION("""COMPUTED_VALUE"""),"-")</f>
        <v>-</v>
      </c>
      <c r="AB1939" s="6" t="str">
        <f>IFERROR(__xludf.DUMMYFUNCTION("""COMPUTED_VALUE"""),"По книгам")</f>
        <v>По книгам</v>
      </c>
      <c r="AC1939" s="6" t="str">
        <f>IFERROR(__xludf.DUMMYFUNCTION("""COMPUTED_VALUE"""),"Творческие вечера")</f>
        <v>Творческие вечера</v>
      </c>
      <c r="AD193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39" s="6" t="str">
        <f>IFERROR(__xludf.DUMMYFUNCTION("""COMPUTED_VALUE"""),"Женский")</f>
        <v>Женский</v>
      </c>
      <c r="AF1939" s="6" t="str">
        <f>IFERROR(__xludf.DUMMYFUNCTION("""COMPUTED_VALUE"""),"18-29")</f>
        <v>18-29</v>
      </c>
      <c r="AG1939" s="6"/>
      <c r="AH1939" s="6"/>
      <c r="AI1939" s="6"/>
      <c r="AJ1939" s="6"/>
      <c r="AK1939" s="6"/>
      <c r="AL1939" s="6"/>
      <c r="AM1939" s="6"/>
    </row>
    <row r="1940">
      <c r="A1940" s="6">
        <v>1939.0</v>
      </c>
      <c r="B1940" s="6" t="str">
        <f>IFERROR(__xludf.DUMMYFUNCTION("""COMPUTED_VALUE"""),"Самазанятость ")</f>
        <v>Самазанятость </v>
      </c>
      <c r="C1940" s="6" t="str">
        <f>IFERROR(__xludf.DUMMYFUNCTION("""COMPUTED_VALUE"""),"Моя работа ")</f>
        <v>Моя работа </v>
      </c>
      <c r="D1940" s="6" t="str">
        <f>IFERROR(__xludf.DUMMYFUNCTION("""COMPUTED_VALUE"""),"Кировский")</f>
        <v>Кировский</v>
      </c>
      <c r="E1940" s="6" t="str">
        <f>IFERROR(__xludf.DUMMYFUNCTION("""COMPUTED_VALUE"""),"Набережная, Берёзовая роща ")</f>
        <v>Набережная, Берёзовая роща </v>
      </c>
      <c r="F1940" s="6" t="str">
        <f>IFERROR(__xludf.DUMMYFUNCTION("""COMPUTED_VALUE"""),"Переехал сюда из другого места (откуда? укажите в графе другое), Город топки")</f>
        <v>Переехал сюда из другого места (откуда? укажите в графе другое), Город топки</v>
      </c>
      <c r="G1940" s="6" t="str">
        <f>IFERROR(__xludf.DUMMYFUNCTION("""COMPUTED_VALUE"""),"Передвигаюсь по всему городу ")</f>
        <v>Передвигаюсь по всему городу </v>
      </c>
      <c r="H1940" s="6" t="str">
        <f>IFERROR(__xludf.DUMMYFUNCTION("""COMPUTED_VALUE"""),"Уголь, огонь, чёрный, снег, река")</f>
        <v>Уголь, огонь, чёрный, снег, река</v>
      </c>
      <c r="I1940" s="6" t="str">
        <f>IFERROR(__xludf.DUMMYFUNCTION("""COMPUTED_VALUE"""),"Тулеев ")</f>
        <v>Тулеев </v>
      </c>
      <c r="J1940" s="6" t="str">
        <f>IFERROR(__xludf.DUMMYFUNCTION("""COMPUTED_VALUE"""),"Тулеев ")</f>
        <v>Тулеев </v>
      </c>
      <c r="K1940" s="6" t="str">
        <f>IFERROR(__xludf.DUMMYFUNCTION("""COMPUTED_VALUE"""),"Крест")</f>
        <v>Крест</v>
      </c>
      <c r="L1940" s="6" t="str">
        <f>IFERROR(__xludf.DUMMYFUNCTION("""COMPUTED_VALUE"""),"—————")</f>
        <v>—————</v>
      </c>
      <c r="M1940" s="6" t="str">
        <f>IFERROR(__xludf.DUMMYFUNCTION("""COMPUTED_VALUE"""),"—————")</f>
        <v>—————</v>
      </c>
      <c r="N1940" s="6" t="str">
        <f>IFERROR(__xludf.DUMMYFUNCTION("""COMPUTED_VALUE"""),"Чистота улиц, доступность парков, удобное расположение, мало пробок, хорошие люди")</f>
        <v>Чистота улиц, доступность парков, удобное расположение, мало пробок, хорошие люди</v>
      </c>
      <c r="O1940" s="6" t="str">
        <f>IFERROR(__xludf.DUMMYFUNCTION("""COMPUTED_VALUE"""),"Экологическую ситуацию с загазованностью воздуха")</f>
        <v>Экологическую ситуацию с загазованностью воздуха</v>
      </c>
      <c r="P1940" s="6" t="str">
        <f>IFERROR(__xludf.DUMMYFUNCTION("""COMPUTED_VALUE"""),"Инстаграм, в вк")</f>
        <v>Инстаграм, в вк</v>
      </c>
      <c r="Q1940" s="6" t="str">
        <f>IFERROR(__xludf.DUMMYFUNCTION("""COMPUTED_VALUE"""),"куда пойти в свободное время, культурные новинки (что почитать/что послушать), интервью с местными творческими личностями")</f>
        <v>куда пойти в свободное время, культурные новинки (что почитать/что послушать), интервью с местными творческими личностями</v>
      </c>
      <c r="R1940" s="6" t="str">
        <f>IFERROR(__xludf.DUMMYFUNCTION("""COMPUTED_VALUE"""),"День Победы ")</f>
        <v>День Победы </v>
      </c>
      <c r="S1940" s="6" t="str">
        <f>IFERROR(__xludf.DUMMYFUNCTION("""COMPUTED_VALUE"""),"Через социальные сети (Какие? Укажите в графе другое), Обращался в редакции электронных городских СМИ")</f>
        <v>Через социальные сети (Какие? Укажите в графе другое), Обращался в редакции электронных городских СМИ</v>
      </c>
      <c r="T1940" s="6" t="str">
        <f>IFERROR(__xludf.DUMMYFUNCTION("""COMPUTED_VALUE"""),"Уголь, пожар «зимняя вишня»")</f>
        <v>Уголь, пожар «зимняя вишня»</v>
      </c>
      <c r="U1940" s="6" t="str">
        <f>IFERROR(__xludf.DUMMYFUNCTION("""COMPUTED_VALUE"""),"Драм театр ")</f>
        <v>Драм театр </v>
      </c>
      <c r="V1940" s="6" t="str">
        <f>IFERROR(__xludf.DUMMYFUNCTION("""COMPUTED_VALUE"""),"————")</f>
        <v>————</v>
      </c>
      <c r="W1940" s="6" t="str">
        <f>IFERROR(__xludf.DUMMYFUNCTION("""COMPUTED_VALUE"""),"Отзывчивые и любопытные ")</f>
        <v>Отзывчивые и любопытные </v>
      </c>
      <c r="X1940" s="6" t="str">
        <f>IFERROR(__xludf.DUMMYFUNCTION("""COMPUTED_VALUE"""),"Центр города и ботанический сад  ")</f>
        <v>Центр города и ботанический сад  </v>
      </c>
      <c r="Y1940" s="6" t="str">
        <f>IFERROR(__xludf.DUMMYFUNCTION("""COMPUTED_VALUE"""),"Пожар «Зимняя Вишня»")</f>
        <v>Пожар «Зимняя Вишня»</v>
      </c>
      <c r="Z1940" s="6" t="str">
        <f>IFERROR(__xludf.DUMMYFUNCTION("""COMPUTED_VALUE"""),"————")</f>
        <v>————</v>
      </c>
      <c r="AA1940" s="6" t="str">
        <f>IFERROR(__xludf.DUMMYFUNCTION("""COMPUTED_VALUE"""),"Пожар")</f>
        <v>Пожар</v>
      </c>
      <c r="AB1940" s="6" t="str">
        <f>IFERROR(__xludf.DUMMYFUNCTION("""COMPUTED_VALUE"""),"————")</f>
        <v>————</v>
      </c>
      <c r="AC1940" s="6" t="str">
        <f>IFERROR(__xludf.DUMMYFUNCTION("""COMPUTED_VALUE"""),"Андеграундные мероприятия и вечеринки, например вечера электронной  музыки ")</f>
        <v>Андеграундные мероприятия и вечеринки, например вечера электронной  музыки </v>
      </c>
      <c r="AD1940" s="6" t="str">
        <f>IFERROR(__xludf.DUMMYFUNCTION("""COMPUTED_VALUE"""),"Волонтера: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940" s="6" t="str">
        <f>IFERROR(__xludf.DUMMYFUNCTION("""COMPUTED_VALUE"""),"Женский")</f>
        <v>Женский</v>
      </c>
      <c r="AF1940" s="6" t="str">
        <f>IFERROR(__xludf.DUMMYFUNCTION("""COMPUTED_VALUE"""),"30-44")</f>
        <v>30-44</v>
      </c>
      <c r="AG1940" s="6"/>
      <c r="AH1940" s="6"/>
      <c r="AI1940" s="6"/>
      <c r="AJ1940" s="6"/>
      <c r="AK1940" s="6"/>
      <c r="AL1940" s="6"/>
      <c r="AM1940" s="6"/>
    </row>
    <row r="1941">
      <c r="A1941" s="6">
        <v>1940.0</v>
      </c>
      <c r="B1941" s="6" t="str">
        <f>IFERROR(__xludf.DUMMYFUNCTION("""COMPUTED_VALUE"""),"Интернет и ИТ")</f>
        <v>Интернет и ИТ</v>
      </c>
      <c r="C1941" s="6" t="str">
        <f>IFERROR(__xludf.DUMMYFUNCTION("""COMPUTED_VALUE"""),"Автомобиль, компьютер ")</f>
        <v>Автомобиль, компьютер </v>
      </c>
      <c r="D1941" s="6" t="str">
        <f>IFERROR(__xludf.DUMMYFUNCTION("""COMPUTED_VALUE"""),"Южный ")</f>
        <v>Южный </v>
      </c>
      <c r="E1941" s="6" t="str">
        <f>IFERROR(__xludf.DUMMYFUNCTION("""COMPUTED_VALUE"""),"Драмтеатр")</f>
        <v>Драмтеатр</v>
      </c>
      <c r="F1941" s="6" t="str">
        <f>IFERROR(__xludf.DUMMYFUNCTION("""COMPUTED_VALUE"""),"Живу здесь с рождения")</f>
        <v>Живу здесь с рождения</v>
      </c>
      <c r="G1941" s="6" t="str">
        <f>IFERROR(__xludf.DUMMYFUNCTION("""COMPUTED_VALUE"""),"Парки")</f>
        <v>Парки</v>
      </c>
      <c r="H1941" s="6" t="str">
        <f>IFERROR(__xludf.DUMMYFUNCTION("""COMPUTED_VALUE"""),"Томь, Кузбасс, уголь, тулеев, зимняя вишня")</f>
        <v>Томь, Кузбасс, уголь, тулеев, зимняя вишня</v>
      </c>
      <c r="I1941" s="6" t="str">
        <f>IFERROR(__xludf.DUMMYFUNCTION("""COMPUTED_VALUE"""),"Не вспомню ")</f>
        <v>Не вспомню </v>
      </c>
      <c r="J1941" s="6" t="str">
        <f>IFERROR(__xludf.DUMMYFUNCTION("""COMPUTED_VALUE"""),"Тулеев ")</f>
        <v>Тулеев </v>
      </c>
      <c r="K1941" s="6" t="str">
        <f>IFERROR(__xludf.DUMMYFUNCTION("""COMPUTED_VALUE"""),"Набережная, драмтеатр, орбита, филармония, парк победы")</f>
        <v>Набережная, драмтеатр, орбита, филармония, парк победы</v>
      </c>
      <c r="L1941" s="6" t="str">
        <f>IFERROR(__xludf.DUMMYFUNCTION("""COMPUTED_VALUE"""),"Не знаю ")</f>
        <v>Не знаю </v>
      </c>
      <c r="M1941" s="6" t="str">
        <f>IFERROR(__xludf.DUMMYFUNCTION("""COMPUTED_VALUE"""),"Драма - драмтеатр, елка за 18 лямов")</f>
        <v>Драма - драмтеатр, елка за 18 лямов</v>
      </c>
      <c r="N1941" s="6" t="str">
        <f>IFERROR(__xludf.DUMMYFUNCTION("""COMPUTED_VALUE"""),"Экономика, экология, развлечения ")</f>
        <v>Экономика, экология, развлечения </v>
      </c>
      <c r="O1941" s="6" t="str">
        <f>IFERROR(__xludf.DUMMYFUNCTION("""COMPUTED_VALUE"""),"Экологию, дороги ")</f>
        <v>Экологию, дороги </v>
      </c>
      <c r="P1941" s="6" t="str">
        <f>IFERROR(__xludf.DUMMYFUNCTION("""COMPUTED_VALUE"""),"Интернет")</f>
        <v>Интернет</v>
      </c>
      <c r="Q1941"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1941" s="6" t="str">
        <f>IFERROR(__xludf.DUMMYFUNCTION("""COMPUTED_VALUE"""),"9 мая, день города, новый год")</f>
        <v>9 мая, день города, новый год</v>
      </c>
      <c r="S1941" s="6" t="str">
        <f>IFERROR(__xludf.DUMMYFUNCTION("""COMPUTED_VALUE"""),"Организация Goodline open")</f>
        <v>Организация Goodline open</v>
      </c>
      <c r="T1941" s="6" t="str">
        <f>IFERROR(__xludf.DUMMYFUNCTION("""COMPUTED_VALUE"""),"Зимняя вишня, тулеев, елка за 18 лямов")</f>
        <v>Зимняя вишня, тулеев, елка за 18 лямов</v>
      </c>
      <c r="U1941" s="6" t="str">
        <f>IFERROR(__xludf.DUMMYFUNCTION("""COMPUTED_VALUE"""),"Драмтеатр ")</f>
        <v>Драмтеатр </v>
      </c>
      <c r="V1941" s="6" t="str">
        <f>IFERROR(__xludf.DUMMYFUNCTION("""COMPUTED_VALUE"""),"Мало чего, везде один бизнес и запреты")</f>
        <v>Мало чего, везде один бизнес и запреты</v>
      </c>
      <c r="W1941" s="6" t="str">
        <f>IFERROR(__xludf.DUMMYFUNCTION("""COMPUTED_VALUE"""),"Разные ")</f>
        <v>Разные </v>
      </c>
      <c r="X1941" s="6" t="str">
        <f>IFERROR(__xludf.DUMMYFUNCTION("""COMPUTED_VALUE"""),"Центр, набережная, бульвар строителей ")</f>
        <v>Центр, набережная, бульвар строителей </v>
      </c>
      <c r="Y1941" s="6" t="str">
        <f>IFERROR(__xludf.DUMMYFUNCTION("""COMPUTED_VALUE"""),"Каждый год одно и тоже ")</f>
        <v>Каждый год одно и тоже </v>
      </c>
      <c r="Z1941" s="6" t="str">
        <f>IFERROR(__xludf.DUMMYFUNCTION("""COMPUTED_VALUE"""),"Герои мирового рока")</f>
        <v>Герои мирового рока</v>
      </c>
      <c r="AA1941" s="6" t="str">
        <f>IFERROR(__xludf.DUMMYFUNCTION("""COMPUTED_VALUE"""),"Зимняя вишня, запрет митингов, коррупция, плохие дороги ")</f>
        <v>Зимняя вишня, запрет митингов, коррупция, плохие дороги </v>
      </c>
      <c r="AB1941" s="6" t="str">
        <f>IFERROR(__xludf.DUMMYFUNCTION("""COMPUTED_VALUE"""),"Не знаю ")</f>
        <v>Не знаю </v>
      </c>
      <c r="AC1941" s="6" t="str">
        <f>IFERROR(__xludf.DUMMYFUNCTION("""COMPUTED_VALUE"""),"Культурно развлекательные")</f>
        <v>Культурно развлекательные</v>
      </c>
      <c r="AD1941"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941" s="6" t="str">
        <f>IFERROR(__xludf.DUMMYFUNCTION("""COMPUTED_VALUE"""),"Мужской")</f>
        <v>Мужской</v>
      </c>
      <c r="AF1941" s="6" t="str">
        <f>IFERROR(__xludf.DUMMYFUNCTION("""COMPUTED_VALUE"""),"30-44")</f>
        <v>30-44</v>
      </c>
      <c r="AG1941" s="6"/>
      <c r="AH1941" s="6"/>
      <c r="AI1941" s="6"/>
      <c r="AJ1941" s="6"/>
      <c r="AK1941" s="6"/>
      <c r="AL1941" s="6"/>
      <c r="AM1941" s="6"/>
    </row>
    <row r="1942">
      <c r="A1942" s="6">
        <v>1941.0</v>
      </c>
      <c r="B1942" s="6" t="str">
        <f>IFERROR(__xludf.DUMMYFUNCTION("""COMPUTED_VALUE"""),"Сотрудник лучшей организации города Кемерово. Контролирую качество сырья.")</f>
        <v>Сотрудник лучшей организации города Кемерово. Контролирую качество сырья.</v>
      </c>
      <c r="C1942" s="6" t="str">
        <f>IFERROR(__xludf.DUMMYFUNCTION("""COMPUTED_VALUE"""),"Вязание и сбор пазлов")</f>
        <v>Вязание и сбор пазлов</v>
      </c>
      <c r="D1942" s="6" t="str">
        <f>IFERROR(__xludf.DUMMYFUNCTION("""COMPUTED_VALUE"""),"Рудничный ""Радуга""")</f>
        <v>Рудничный "Радуга"</v>
      </c>
      <c r="E1942" s="6" t="str">
        <f>IFERROR(__xludf.DUMMYFUNCTION("""COMPUTED_VALUE"""),"Сосновый бор")</f>
        <v>Сосновый бор</v>
      </c>
      <c r="F1942" s="6" t="str">
        <f>IFERROR(__xludf.DUMMYFUNCTION("""COMPUTED_VALUE"""),"Живу здесь с рождения")</f>
        <v>Живу здесь с рождения</v>
      </c>
      <c r="G1942" s="6" t="str">
        <f>IFERROR(__xludf.DUMMYFUNCTION("""COMPUTED_VALUE"""),"Набережная Кировского района")</f>
        <v>Набережная Кировского района</v>
      </c>
      <c r="H1942" s="6" t="str">
        <f>IFERROR(__xludf.DUMMYFUNCTION("""COMPUTED_VALUE"""),"Кузбасс, Искитимка, Красная горка, Памятник шахтеров, Михайло Волков ")</f>
        <v>Кузбасс, Искитимка, Красная горка, Памятник шахтеров, Михайло Волков </v>
      </c>
      <c r="I1942" s="6" t="str">
        <f>IFERROR(__xludf.DUMMYFUNCTION("""COMPUTED_VALUE"""),"Аман Гумирович Тулеев, Алексей Леонов, Владимир Михайлов")</f>
        <v>Аман Гумирович Тулеев, Алексей Леонов, Владимир Михайлов</v>
      </c>
      <c r="J1942" s="6" t="str">
        <f>IFERROR(__xludf.DUMMYFUNCTION("""COMPUTED_VALUE"""),"Панькова А.Ю., Середюк И.В.")</f>
        <v>Панькова А.Ю., Середюк И.В.</v>
      </c>
      <c r="K1942" s="6" t="str">
        <f>IFERROR(__xludf.DUMMYFUNCTION("""COMPUTED_VALUE"""),"Памятник Шахтерам, Кадетский корпус (Бульвар Строителей),Парк Победы ")</f>
        <v>Памятник Шахтерам, Кадетский корпус (Бульвар Строителей),Парк Победы </v>
      </c>
      <c r="L1942" s="6" t="str">
        <f>IFERROR(__xludf.DUMMYFUNCTION("""COMPUTED_VALUE"""),"История о том, как М. Волков нашел уголь")</f>
        <v>История о том, как М. Волков нашел уголь</v>
      </c>
      <c r="M1942" s="6" t="str">
        <f>IFERROR(__xludf.DUMMYFUNCTION("""COMPUTED_VALUE"""),"нет")</f>
        <v>нет</v>
      </c>
      <c r="N1942" s="6" t="str">
        <f>IFERROR(__xludf.DUMMYFUNCTION("""COMPUTED_VALUE"""),"Доступное образование детям; отремонтированные дворы с детскими площадками, чистота и порядок, развитая транспортная структура, удобство ")</f>
        <v>Доступное образование детям; отремонтированные дворы с детскими площадками, чистота и порядок, развитая транспортная структура, удобство </v>
      </c>
      <c r="O1942" s="6" t="str">
        <f>IFERROR(__xludf.DUMMYFUNCTION("""COMPUTED_VALUE"""),"Ремонт детских площадок, организация детских центров с дополнительным образованием")</f>
        <v>Ремонт детских площадок, организация детских центров с дополнительным образованием</v>
      </c>
      <c r="P1942" s="6" t="str">
        <f>IFERROR(__xludf.DUMMYFUNCTION("""COMPUTED_VALUE"""),"Интернет, инстаграмм")</f>
        <v>Интернет, инстаграмм</v>
      </c>
      <c r="Q1942" s="6" t="str">
        <f>IFERROR(__xludf.DUMMYFUNCTION("""COMPUTED_VALUE"""),"городская афиша (кино/театр/концерты), новости про новые профессии/куда поступать/вакансии")</f>
        <v>городская афиша (кино/театр/концерты), новости про новые профессии/куда поступать/вакансии</v>
      </c>
      <c r="R1942" s="6" t="str">
        <f>IFERROR(__xludf.DUMMYFUNCTION("""COMPUTED_VALUE"""),"9 мая, Новый год, День Шахтера, День ГОрода")</f>
        <v>9 мая, Новый год, День Шахтера, День ГОрода</v>
      </c>
      <c r="S1942" s="6" t="str">
        <f>IFERROR(__xludf.DUMMYFUNCTION("""COMPUTED_VALUE"""),"Нет, не приходилось")</f>
        <v>Нет, не приходилось</v>
      </c>
      <c r="T1942" s="6" t="str">
        <f>IFERROR(__xludf.DUMMYFUNCTION("""COMPUTED_VALUE"""),"М. Волковым")</f>
        <v>М. Волковым</v>
      </c>
      <c r="U1942" s="6" t="str">
        <f>IFERROR(__xludf.DUMMYFUNCTION("""COMPUTED_VALUE"""),"Площадь Советов")</f>
        <v>Площадь Советов</v>
      </c>
      <c r="V1942" s="6" t="str">
        <f>IFERROR(__xludf.DUMMYFUNCTION("""COMPUTED_VALUE"""),"Ничего")</f>
        <v>Ничего</v>
      </c>
      <c r="W1942" s="6" t="str">
        <f>IFERROR(__xludf.DUMMYFUNCTION("""COMPUTED_VALUE"""),"Доброжелательность")</f>
        <v>Доброжелательность</v>
      </c>
      <c r="X1942" s="6" t="str">
        <f>IFERROR(__xludf.DUMMYFUNCTION("""COMPUTED_VALUE"""),"Бульвар Строителей, Парк Победы")</f>
        <v>Бульвар Строителей, Парк Победы</v>
      </c>
      <c r="Y1942" s="6" t="str">
        <f>IFERROR(__xludf.DUMMYFUNCTION("""COMPUTED_VALUE"""),"100 летие города")</f>
        <v>100 летие города</v>
      </c>
      <c r="Z1942" s="6" t="str">
        <f>IFERROR(__xludf.DUMMYFUNCTION("""COMPUTED_VALUE"""),"100 летие города")</f>
        <v>100 летие города</v>
      </c>
      <c r="AA1942" s="6" t="str">
        <f>IFERROR(__xludf.DUMMYFUNCTION("""COMPUTED_VALUE"""),"Пожар в Зимней Вишне")</f>
        <v>Пожар в Зимней Вишне</v>
      </c>
      <c r="AB1942" s="6" t="str">
        <f>IFERROR(__xludf.DUMMYFUNCTION("""COMPUTED_VALUE"""),"никаких")</f>
        <v>никаких</v>
      </c>
      <c r="AC1942" s="6" t="str">
        <f>IFERROR(__xludf.DUMMYFUNCTION("""COMPUTED_VALUE"""),"-")</f>
        <v>-</v>
      </c>
      <c r="AD194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42" s="6" t="str">
        <f>IFERROR(__xludf.DUMMYFUNCTION("""COMPUTED_VALUE"""),"Женский")</f>
        <v>Женский</v>
      </c>
      <c r="AF1942" s="6" t="str">
        <f>IFERROR(__xludf.DUMMYFUNCTION("""COMPUTED_VALUE"""),"18-29")</f>
        <v>18-29</v>
      </c>
      <c r="AG1942" s="6"/>
      <c r="AH1942" s="6"/>
      <c r="AI1942" s="6"/>
      <c r="AJ1942" s="6"/>
      <c r="AK1942" s="6"/>
      <c r="AL1942" s="6"/>
      <c r="AM1942" s="6"/>
    </row>
    <row r="1943">
      <c r="A1943" s="6">
        <v>1942.0</v>
      </c>
      <c r="B1943" s="6" t="str">
        <f>IFERROR(__xludf.DUMMYFUNCTION("""COMPUTED_VALUE"""),"В декрете")</f>
        <v>В декрете</v>
      </c>
      <c r="C1943" s="6" t="str">
        <f>IFERROR(__xludf.DUMMYFUNCTION("""COMPUTED_VALUE"""),"Вышивка, волейбол")</f>
        <v>Вышивка, волейбол</v>
      </c>
      <c r="D1943" s="6" t="str">
        <f>IFERROR(__xludf.DUMMYFUNCTION("""COMPUTED_VALUE"""),"Центральный")</f>
        <v>Центральный</v>
      </c>
      <c r="E1943" s="6" t="str">
        <f>IFERROR(__xludf.DUMMYFUNCTION("""COMPUTED_VALUE"""),"Фонтан, горсад")</f>
        <v>Фонтан, горсад</v>
      </c>
      <c r="F1943" s="6" t="str">
        <f>IFERROR(__xludf.DUMMYFUNCTION("""COMPUTED_VALUE"""),"Переехал сюда из другого места (откуда? укажите в графе другое), Из Топкинского района")</f>
        <v>Переехал сюда из другого места (откуда? укажите в графе другое), Из Топкинского района</v>
      </c>
      <c r="G1943" s="6" t="str">
        <f>IFERROR(__xludf.DUMMYFUNCTION("""COMPUTED_VALUE"""),"Бульвар Строителей, театр, филармония")</f>
        <v>Бульвар Строителей, театр, филармония</v>
      </c>
      <c r="H1943" s="6" t="str">
        <f>IFERROR(__xludf.DUMMYFUNCTION("""COMPUTED_VALUE"""),"Уголь, учёба, Томь, Кузбасс, дом")</f>
        <v>Уголь, учёба, Томь, Кузбасс, дом</v>
      </c>
      <c r="I1943" s="6" t="str">
        <f>IFERROR(__xludf.DUMMYFUNCTION("""COMPUTED_VALUE"""),"Волков, Леонов")</f>
        <v>Волков, Леонов</v>
      </c>
      <c r="J1943" s="6" t="str">
        <f>IFERROR(__xludf.DUMMYFUNCTION("""COMPUTED_VALUE"""),"Тулеев, Середюк")</f>
        <v>Тулеев, Середюк</v>
      </c>
      <c r="K1943" s="6" t="str">
        <f>IFERROR(__xludf.DUMMYFUNCTION("""COMPUTED_VALUE"""),"Набережная")</f>
        <v>Набережная</v>
      </c>
      <c r="L1943" s="6" t="str">
        <f>IFERROR(__xludf.DUMMYFUNCTION("""COMPUTED_VALUE"""),"Затрудняюсь")</f>
        <v>Затрудняюсь</v>
      </c>
      <c r="M1943" s="6" t="str">
        <f>IFERROR(__xludf.DUMMYFUNCTION("""COMPUTED_VALUE"""),"Затрудняюсь")</f>
        <v>Затрудняюсь</v>
      </c>
      <c r="N1943" s="6" t="str">
        <f>IFERROR(__xludf.DUMMYFUNCTION("""COMPUTED_VALUE"""),"Дороги, общественный транспорт, культурный кластер, кафе, парки")</f>
        <v>Дороги, общественный транспорт, культурный кластер, кафе, парки</v>
      </c>
      <c r="O1943" s="6" t="str">
        <f>IFERROR(__xludf.DUMMYFUNCTION("""COMPUTED_VALUE"""),"Экологическую ситуацию")</f>
        <v>Экологическую ситуацию</v>
      </c>
      <c r="P1943" s="6" t="str">
        <f>IFERROR(__xludf.DUMMYFUNCTION("""COMPUTED_VALUE"""),"ВК, Инстаграмм, афиша.ру")</f>
        <v>ВК, Инстаграмм, афиша.ру</v>
      </c>
      <c r="Q1943"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943" s="6" t="str">
        <f>IFERROR(__xludf.DUMMYFUNCTION("""COMPUTED_VALUE"""),"День города, День шахтёра")</f>
        <v>День города, День шахтёра</v>
      </c>
      <c r="S1943" s="6" t="str">
        <f>IFERROR(__xludf.DUMMYFUNCTION("""COMPUTED_VALUE"""),"Нет, не приходилось")</f>
        <v>Нет, не приходилось</v>
      </c>
      <c r="T1943" s="6" t="str">
        <f>IFERROR(__xludf.DUMMYFUNCTION("""COMPUTED_VALUE"""),"Людьми")</f>
        <v>Людьми</v>
      </c>
      <c r="U1943" s="6" t="str">
        <f>IFERROR(__xludf.DUMMYFUNCTION("""COMPUTED_VALUE"""),"Фонтан у драмтеатра")</f>
        <v>Фонтан у драмтеатра</v>
      </c>
      <c r="V1943" s="6" t="str">
        <f>IFERROR(__xludf.DUMMYFUNCTION("""COMPUTED_VALUE"""),"Работали на заводах")</f>
        <v>Работали на заводах</v>
      </c>
      <c r="W1943" s="6" t="str">
        <f>IFERROR(__xludf.DUMMYFUNCTION("""COMPUTED_VALUE"""),"Разные")</f>
        <v>Разные</v>
      </c>
      <c r="X1943" s="6" t="str">
        <f>IFERROR(__xludf.DUMMYFUNCTION("""COMPUTED_VALUE"""),"От набережной по Весенней до памятника Михайло Волкову")</f>
        <v>От набережной по Весенней до памятника Михайло Волкову</v>
      </c>
      <c r="Y1943" s="6" t="str">
        <f>IFERROR(__xludf.DUMMYFUNCTION("""COMPUTED_VALUE"""),"Зимняя вишня")</f>
        <v>Зимняя вишня</v>
      </c>
      <c r="Z1943" s="6" t="str">
        <f>IFERROR(__xludf.DUMMYFUNCTION("""COMPUTED_VALUE"""),"Строительство Президентского кадетского училища и парка к нему, строительство Арены на набережной")</f>
        <v>Строительство Президентского кадетского училища и парка к нему, строительство Арены на набережной</v>
      </c>
      <c r="AA1943" s="6" t="str">
        <f>IFERROR(__xludf.DUMMYFUNCTION("""COMPUTED_VALUE"""),"Задержка строительства аквапарка, необоснованный масочный режим ")</f>
        <v>Задержка строительства аквапарка, необоснованный масочный режим </v>
      </c>
      <c r="AB1943" s="6" t="str">
        <f>IFERROR(__xludf.DUMMYFUNCTION("""COMPUTED_VALUE"""),"Всё есть")</f>
        <v>Всё есть</v>
      </c>
      <c r="AC1943" s="6" t="str">
        <f>IFERROR(__xludf.DUMMYFUNCTION("""COMPUTED_VALUE"""),"Больше театров")</f>
        <v>Больше театров</v>
      </c>
      <c r="AD194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943" s="6" t="str">
        <f>IFERROR(__xludf.DUMMYFUNCTION("""COMPUTED_VALUE"""),"Женский")</f>
        <v>Женский</v>
      </c>
      <c r="AF1943" s="6" t="str">
        <f>IFERROR(__xludf.DUMMYFUNCTION("""COMPUTED_VALUE"""),"30-44")</f>
        <v>30-44</v>
      </c>
      <c r="AG1943" s="6"/>
      <c r="AH1943" s="6"/>
      <c r="AI1943" s="6"/>
      <c r="AJ1943" s="6"/>
      <c r="AK1943" s="6"/>
      <c r="AL1943" s="6"/>
      <c r="AM1943" s="6"/>
    </row>
    <row r="1944">
      <c r="A1944" s="6">
        <v>1943.0</v>
      </c>
      <c r="B1944" s="6" t="str">
        <f>IFERROR(__xludf.DUMMYFUNCTION("""COMPUTED_VALUE"""),"экономика")</f>
        <v>экономика</v>
      </c>
      <c r="C1944" s="6" t="str">
        <f>IFERROR(__xludf.DUMMYFUNCTION("""COMPUTED_VALUE"""),"вязание")</f>
        <v>вязание</v>
      </c>
      <c r="D1944" s="6" t="str">
        <f>IFERROR(__xludf.DUMMYFUNCTION("""COMPUTED_VALUE"""),"Пионерский бульвар")</f>
        <v>Пионерский бульвар</v>
      </c>
      <c r="E1944" s="6" t="str">
        <f>IFERROR(__xludf.DUMMYFUNCTION("""COMPUTED_VALUE"""),"бульвар, площадь перед Кузбассразрезуглем")</f>
        <v>бульвар, площадь перед Кузбассразрезуглем</v>
      </c>
      <c r="F1944" s="6" t="str">
        <f>IFERROR(__xludf.DUMMYFUNCTION("""COMPUTED_VALUE"""),"Живу здесь с рождения")</f>
        <v>Живу здесь с рождения</v>
      </c>
      <c r="G1944" s="6" t="str">
        <f>IFERROR(__xludf.DUMMYFUNCTION("""COMPUTED_VALUE"""),"набережная Кировского района, ул.Весенняя, Пионерский бульвар")</f>
        <v>набережная Кировского района, ул.Весенняя, Пионерский бульвар</v>
      </c>
      <c r="H1944" s="6" t="str">
        <f>IFERROR(__xludf.DUMMYFUNCTION("""COMPUTED_VALUE"""),"Азот, старые дома в центре, горсад, цирк, вокзал")</f>
        <v>Азот, старые дома в центре, горсад, цирк, вокзал</v>
      </c>
      <c r="I1944" s="6" t="str">
        <f>IFERROR(__xludf.DUMMYFUNCTION("""COMPUTED_VALUE"""),"Мартемьянов В.Д.,  В.Волошина")</f>
        <v>Мартемьянов В.Д.,  В.Волошина</v>
      </c>
      <c r="J1944" s="6" t="str">
        <f>IFERROR(__xludf.DUMMYFUNCTION("""COMPUTED_VALUE"""),"Леонов, Гришковец")</f>
        <v>Леонов, Гришковец</v>
      </c>
      <c r="K1944" s="6" t="str">
        <f>IFERROR(__xludf.DUMMYFUNCTION("""COMPUTED_VALUE"""),"старый причал, Томская писаница")</f>
        <v>старый причал, Томская писаница</v>
      </c>
      <c r="L1944" s="6" t="str">
        <f>IFERROR(__xludf.DUMMYFUNCTION("""COMPUTED_VALUE"""),"не хочу думать, многое подходит")</f>
        <v>не хочу думать, многое подходит</v>
      </c>
      <c r="M1944" s="6" t="str">
        <f>IFERROR(__xludf.DUMMYFUNCTION("""COMPUTED_VALUE"""),"нет")</f>
        <v>нет</v>
      </c>
      <c r="N1944" s="6" t="str">
        <f>IFERROR(__xludf.DUMMYFUNCTION("""COMPUTED_VALUE"""),"экология, рабочие места, инфраструктура, дороги, развлечения")</f>
        <v>экология, рабочие места, инфраструктура, дороги, развлечения</v>
      </c>
      <c r="O1944" s="6" t="str">
        <f>IFERROR(__xludf.DUMMYFUNCTION("""COMPUTED_VALUE"""),"экологию")</f>
        <v>экологию</v>
      </c>
      <c r="P1944" s="6" t="str">
        <f>IFERROR(__xludf.DUMMYFUNCTION("""COMPUTED_VALUE"""),"инстаграмм, афиша Кузбасса")</f>
        <v>инстаграмм, афиша Кузбасса</v>
      </c>
      <c r="Q1944"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944" s="6" t="str">
        <f>IFERROR(__xludf.DUMMYFUNCTION("""COMPUTED_VALUE"""),"никакие")</f>
        <v>никакие</v>
      </c>
      <c r="S1944" s="6" t="str">
        <f>IFERROR(__xludf.DUMMYFUNCTION("""COMPUTED_VALUE"""),"Нет, не приходилось")</f>
        <v>Нет, не приходилось</v>
      </c>
      <c r="T1944" s="6" t="str">
        <f>IFERROR(__xludf.DUMMYFUNCTION("""COMPUTED_VALUE"""),"Зимняя Вишня ославила город")</f>
        <v>Зимняя Вишня ославила город</v>
      </c>
      <c r="U1944" s="6" t="str">
        <f>IFERROR(__xludf.DUMMYFUNCTION("""COMPUTED_VALUE"""),"ул.Весенняя")</f>
        <v>ул.Весенняя</v>
      </c>
      <c r="V1944" s="6" t="str">
        <f>IFERROR(__xludf.DUMMYFUNCTION("""COMPUTED_VALUE"""),"развили промышленность")</f>
        <v>развили промышленность</v>
      </c>
      <c r="W1944" s="6" t="str">
        <f>IFERROR(__xludf.DUMMYFUNCTION("""COMPUTED_VALUE"""),"суровые")</f>
        <v>суровые</v>
      </c>
      <c r="X1944" s="6" t="str">
        <f>IFERROR(__xludf.DUMMYFUNCTION("""COMPUTED_VALUE"""),"набережная, городской парк")</f>
        <v>набережная, городской парк</v>
      </c>
      <c r="Y1944" s="6" t="str">
        <f>IFERROR(__xludf.DUMMYFUNCTION("""COMPUTED_VALUE"""),"концерт Би-2 в апреле 2021г.")</f>
        <v>концерт Би-2 в апреле 2021г.</v>
      </c>
      <c r="Z1944" s="6" t="str">
        <f>IFERROR(__xludf.DUMMYFUNCTION("""COMPUTED_VALUE"""),"нет таких")</f>
        <v>нет таких</v>
      </c>
      <c r="AA1944" s="6" t="str">
        <f>IFERROR(__xludf.DUMMYFUNCTION("""COMPUTED_VALUE"""),"беспредел властей")</f>
        <v>беспредел властей</v>
      </c>
      <c r="AB1944" s="6" t="str">
        <f>IFERROR(__xludf.DUMMYFUNCTION("""COMPUTED_VALUE"""),"всего хватает")</f>
        <v>всего хватает</v>
      </c>
      <c r="AC1944" s="6" t="str">
        <f>IFERROR(__xludf.DUMMYFUNCTION("""COMPUTED_VALUE"""),"культурно-массовые")</f>
        <v>культурно-массовые</v>
      </c>
      <c r="AD1944" s="6" t="str">
        <f>IFERROR(__xludf.DUMMYFUNCTION("""COMPUTED_VALUE"""),"Партнера. Скинуться (деньгами, материалами, инструментом) с другими жителями на благоустройство двора, микрорайона")</f>
        <v>Партнера. Скинуться (деньгами, материалами, инструментом) с другими жителями на благоустройство двора, микрорайона</v>
      </c>
      <c r="AE1944" s="6" t="str">
        <f>IFERROR(__xludf.DUMMYFUNCTION("""COMPUTED_VALUE"""),"Женский")</f>
        <v>Женский</v>
      </c>
      <c r="AF1944" s="6" t="str">
        <f>IFERROR(__xludf.DUMMYFUNCTION("""COMPUTED_VALUE"""),"30-44")</f>
        <v>30-44</v>
      </c>
      <c r="AG1944" s="6"/>
      <c r="AH1944" s="6"/>
      <c r="AI1944" s="6"/>
      <c r="AJ1944" s="6"/>
      <c r="AK1944" s="6"/>
      <c r="AL1944" s="6"/>
      <c r="AM1944" s="6"/>
    </row>
    <row r="1945">
      <c r="A1945" s="6">
        <v>1944.0</v>
      </c>
      <c r="B1945" s="6" t="str">
        <f>IFERROR(__xludf.DUMMYFUNCTION("""COMPUTED_VALUE"""),"Работаю")</f>
        <v>Работаю</v>
      </c>
      <c r="C1945" s="6" t="str">
        <f>IFERROR(__xludf.DUMMYFUNCTION("""COMPUTED_VALUE"""),"Спорт, коллекционирование")</f>
        <v>Спорт, коллекционирование</v>
      </c>
      <c r="D1945" s="6" t="str">
        <f>IFERROR(__xludf.DUMMYFUNCTION("""COMPUTED_VALUE"""),"Заводский. Называю Центр)")</f>
        <v>Заводский. Называю Центр)</v>
      </c>
      <c r="E1945" s="6" t="str">
        <f>IFERROR(__xludf.DUMMYFUNCTION("""COMPUTED_VALUE"""),"Аллея ДК Строителей (Называется сейчас ""Аллея новорожденных"" у Дворца Молодежи), Сквер Юности, Площадь Волкова.")</f>
        <v>Аллея ДК Строителей (Называется сейчас "Аллея новорожденных" у Дворца Молодежи), Сквер Юности, Площадь Волкова.</v>
      </c>
      <c r="F1945" s="6" t="str">
        <f>IFERROR(__xludf.DUMMYFUNCTION("""COMPUTED_VALUE"""),"Живу здесь с рождения")</f>
        <v>Живу здесь с рождения</v>
      </c>
      <c r="G1945" s="6" t="str">
        <f>IFERROR(__xludf.DUMMYFUNCTION("""COMPUTED_VALUE"""),"Филармония, театр Драмы, театр для детей и молодежи, музыкальный театр Кузбасса, Дом художника (ныне Кузбасский центр искусств), Мюнхен, Reload, Харатс, Жара, Чикаго, шашлычные на Ноябрьской, Хмельной Залив, Байконур, Аллея ДК Строителей (Называется сейча"&amp;"с ""Аллея новорожденных"" у Дворца Молодежи), Сквер Юности, Площадь Волкова, аллея на Патриотов, аллея на Весенней, набережная в центре, набережная в Кировском.")</f>
        <v>Филармония, театр Драмы, театр для детей и молодежи, музыкальный театр Кузбасса, Дом художника (ныне Кузбасский центр искусств), Мюнхен, Reload, Харатс, Жара, Чикаго, шашлычные на Ноябрьской, Хмельной Залив, Байконур, Аллея ДК Строителей (Называется сейчас "Аллея новорожденных" у Дворца Молодежи), Сквер Юности, Площадь Волкова, аллея на Патриотов, аллея на Весенней, набережная в центре, набережная в Кировском.</v>
      </c>
      <c r="H1945" s="6" t="str">
        <f>IFERROR(__xludf.DUMMYFUNCTION("""COMPUTED_VALUE"""),"Уголь, экология, тупик, провинция, Родина")</f>
        <v>Уголь, экология, тупик, провинция, Родина</v>
      </c>
      <c r="I1945" s="6" t="str">
        <f>IFERROR(__xludf.DUMMYFUNCTION("""COMPUTED_VALUE"""),"Михайло Волков, Рутгерс, Аман Тулеев")</f>
        <v>Михайло Волков, Рутгерс, Аман Тулеев</v>
      </c>
      <c r="J1945" s="6" t="str">
        <f>IFERROR(__xludf.DUMMYFUNCTION("""COMPUTED_VALUE"""),"Все люди, которые добросовестно выполняют свою работу.")</f>
        <v>Все люди, которые добросовестно выполняют свою работу.</v>
      </c>
      <c r="K1945" s="6" t="str">
        <f>IFERROR(__xludf.DUMMYFUNCTION("""COMPUTED_VALUE"""),"Красная горка, Томская писаница, ботанический сад, памятник Сердце шахтера.")</f>
        <v>Красная горка, Томская писаница, ботанический сад, памятник Сердце шахтера.</v>
      </c>
      <c r="L1945" s="6" t="str">
        <f>IFERROR(__xludf.DUMMYFUNCTION("""COMPUTED_VALUE"""),"""Почему в такой ж...е? Потому что культура!"" (Масяня)")</f>
        <v>"Почему в такой ж...е? Потому что культура!" (Масяня)</v>
      </c>
      <c r="M1945" s="6" t="str">
        <f>IFERROR(__xludf.DUMMYFUNCTION("""COMPUTED_VALUE"""),"""В Кемерово, а не в Кемерове"")))")</f>
        <v>"В Кемерово, а не в Кемерове")))</v>
      </c>
      <c r="N1945" s="6" t="str">
        <f>IFERROR(__xludf.DUMMYFUNCTION("""COMPUTED_VALUE"""),"Качественное жилье, разнообразный досуг, чистый город (в физическом и экологическом плане), красивая природа рядом, высокооплачиваемый рынок труда.")</f>
        <v>Качественное жилье, разнообразный досуг, чистый город (в физическом и экологическом плане), красивая природа рядом, высокооплачиваемый рынок труда.</v>
      </c>
      <c r="O1945" s="6" t="str">
        <f>IFERROR(__xludf.DUMMYFUNCTION("""COMPUTED_VALUE"""),"Приоритетно строить производственные объекты, а не торговые. Строго следить за фильтрацией выхлопов производственных предприятий. Обратить внимание на состояние в медицинской сфере. ")</f>
        <v>Приоритетно строить производственные объекты, а не торговые. Строго следить за фильтрацией выхлопов производственных предприятий. Обратить внимание на состояние в медицинской сфере. </v>
      </c>
      <c r="P1945" s="6" t="str">
        <f>IFERROR(__xludf.DUMMYFUNCTION("""COMPUTED_VALUE"""),"ВК, Инстаграм, Все42, А42, интернет-афиши")</f>
        <v>ВК, Инстаграм, Все42, А42, интернет-афиши</v>
      </c>
      <c r="Q1945" s="6" t="str">
        <f>IFERROR(__xludf.DUMMYFUNCTION("""COMPUTED_VALUE"""),"куда пойти в свободное время, городская афиша (кино/театр/концерты), криминальные новости (происшествия/преступления)")</f>
        <v>куда пойти в свободное время, городская афиша (кино/театр/концерты), криминальные новости (происшествия/преступления)</v>
      </c>
      <c r="R1945" s="6" t="str">
        <f>IFERROR(__xludf.DUMMYFUNCTION("""COMPUTED_VALUE"""),"9 мая, 12 июня, новый год")</f>
        <v>9 мая, 12 июня, новый год</v>
      </c>
      <c r="S1945" s="6" t="str">
        <f>IFERROR(__xludf.DUMMYFUNCTION("""COMPUTED_VALUE"""),"Через социальные сети (Какие? Укажите в графе другое), ВК")</f>
        <v>Через социальные сети (Какие? Укажите в графе другое), ВК</v>
      </c>
      <c r="T1945" s="6" t="str">
        <f>IFERROR(__xludf.DUMMYFUNCTION("""COMPUTED_VALUE"""),"Затрудняюсь ответить")</f>
        <v>Затрудняюсь ответить</v>
      </c>
      <c r="U1945" s="6" t="str">
        <f>IFERROR(__xludf.DUMMYFUNCTION("""COMPUTED_VALUE"""),"Старый центр (Весеняя, Советский, Орджоникидзе, Арочная, Притомская набережная, Кирова, Н. Островского, Дзержинского, Рукавишникова, Черняховского), Сарыгина, Мичурина.")</f>
        <v>Старый центр (Весеняя, Советский, Орджоникидзе, Арочная, Притомская набережная, Кирова, Н. Островского, Дзержинского, Рукавишникова, Черняховского), Сарыгина, Мичурина.</v>
      </c>
      <c r="V1945" s="6" t="str">
        <f>IFERROR(__xludf.DUMMYFUNCTION("""COMPUTED_VALUE"""),"Затрудняюсь ответить")</f>
        <v>Затрудняюсь ответить</v>
      </c>
      <c r="W1945" s="6" t="str">
        <f>IFERROR(__xludf.DUMMYFUNCTION("""COMPUTED_VALUE"""),"Неторопливые, равнодушные, не разбалованные культурой и искусством.")</f>
        <v>Неторопливые, равнодушные, не разбалованные культурой и искусством.</v>
      </c>
      <c r="X1945" s="6" t="str">
        <f>IFERROR(__xludf.DUMMYFUNCTION("""COMPUTED_VALUE"""),"Старый центр")</f>
        <v>Старый центр</v>
      </c>
      <c r="Y1945" s="6" t="str">
        <f>IFERROR(__xludf.DUMMYFUNCTION("""COMPUTED_VALUE"""),"Затрудняюсь ответить")</f>
        <v>Затрудняюсь ответить</v>
      </c>
      <c r="Z1945" s="6" t="str">
        <f>IFERROR(__xludf.DUMMYFUNCTION("""COMPUTED_VALUE"""),"Посещение театров и музеев, выступления рок-групп.")</f>
        <v>Посещение театров и музеев, выступления рок-групп.</v>
      </c>
      <c r="AA1945" s="6" t="str">
        <f>IFERROR(__xludf.DUMMYFUNCTION("""COMPUTED_VALUE"""),"Пандемия и распоряжения губернатора.")</f>
        <v>Пандемия и распоряжения губернатора.</v>
      </c>
      <c r="AB1945" s="6" t="str">
        <f>IFERROR(__xludf.DUMMYFUNCTION("""COMPUTED_VALUE"""),"Не нуждаюсь в сообществах)")</f>
        <v>Не нуждаюсь в сообществах)</v>
      </c>
      <c r="AC1945" s="6" t="str">
        <f>IFERROR(__xludf.DUMMYFUNCTION("""COMPUTED_VALUE"""),"Больше исторических экскурсий по городу, бесплатных тематических мероприятий (например, масленица, концерты самодеятельности, выступление музыкантов и пр.), различных мастер-классов.")</f>
        <v>Больше исторических экскурсий по городу, бесплатных тематических мероприятий (например, масленица, концерты самодеятельности, выступление музыкантов и пр.), различных мастер-классов.</v>
      </c>
      <c r="AD1945" s="6" t="str">
        <f>IFERROR(__xludf.DUMMYFUNCTION("""COMPUTED_VALUE"""),"Запустить свой предпринимательский проект, организовать компанию.")</f>
        <v>Запустить свой предпринимательский проект, организовать компанию.</v>
      </c>
      <c r="AE1945" s="6" t="str">
        <f>IFERROR(__xludf.DUMMYFUNCTION("""COMPUTED_VALUE"""),"Женский")</f>
        <v>Женский</v>
      </c>
      <c r="AF1945" s="6" t="str">
        <f>IFERROR(__xludf.DUMMYFUNCTION("""COMPUTED_VALUE"""),"30-44")</f>
        <v>30-44</v>
      </c>
      <c r="AG1945" s="6"/>
      <c r="AH1945" s="6"/>
      <c r="AI1945" s="6"/>
      <c r="AJ1945" s="6"/>
      <c r="AK1945" s="6"/>
      <c r="AL1945" s="6"/>
      <c r="AM1945" s="6"/>
    </row>
    <row r="1946">
      <c r="A1946" s="6">
        <v>1945.0</v>
      </c>
      <c r="B1946" s="6" t="str">
        <f>IFERROR(__xludf.DUMMYFUNCTION("""COMPUTED_VALUE"""),"Проектирование горнодобывающих предприятий ")</f>
        <v>Проектирование горнодобывающих предприятий </v>
      </c>
      <c r="C1946" s="6" t="str">
        <f>IFERROR(__xludf.DUMMYFUNCTION("""COMPUTED_VALUE"""),"Дети")</f>
        <v>Дети</v>
      </c>
      <c r="D1946" s="6" t="str">
        <f>IFERROR(__xludf.DUMMYFUNCTION("""COMPUTED_VALUE"""),"Ленинский.")</f>
        <v>Ленинский.</v>
      </c>
      <c r="E1946" s="6" t="str">
        <f>IFERROR(__xludf.DUMMYFUNCTION("""COMPUTED_VALUE"""),"Бульвар строителей ")</f>
        <v>Бульвар строителей </v>
      </c>
      <c r="F1946" s="6" t="str">
        <f>IFERROR(__xludf.DUMMYFUNCTION("""COMPUTED_VALUE"""),"Живу здесь с рождения")</f>
        <v>Живу здесь с рождения</v>
      </c>
      <c r="G1946" s="6" t="str">
        <f>IFERROR(__xludf.DUMMYFUNCTION("""COMPUTED_VALUE"""),"Дача")</f>
        <v>Дача</v>
      </c>
      <c r="H1946" s="6" t="str">
        <f>IFERROR(__xludf.DUMMYFUNCTION("""COMPUTED_VALUE"""),"Грязь, плохая экология, смог, дороговизна, столица Кузбасса ")</f>
        <v>Грязь, плохая экология, смог, дороговизна, столица Кузбасса </v>
      </c>
      <c r="I1946" s="6" t="str">
        <f>IFERROR(__xludf.DUMMYFUNCTION("""COMPUTED_VALUE"""),"Леонов, Волков, Тулеев")</f>
        <v>Леонов, Волков, Тулеев</v>
      </c>
      <c r="J1946" s="6" t="str">
        <f>IFERROR(__xludf.DUMMYFUNCTION("""COMPUTED_VALUE"""),"Их нет")</f>
        <v>Их нет</v>
      </c>
      <c r="K1946" s="6" t="str">
        <f>IFERROR(__xludf.DUMMYFUNCTION("""COMPUTED_VALUE"""),"Красная горка, а больше не хер показывать. У нас болото.")</f>
        <v>Красная горка, а больше не хер показывать. У нас болото.</v>
      </c>
      <c r="L1946" s="6" t="str">
        <f>IFERROR(__xludf.DUMMYFUNCTION("""COMPUTED_VALUE"""),"Их нет")</f>
        <v>Их нет</v>
      </c>
      <c r="M1946" s="6" t="str">
        <f>IFERROR(__xludf.DUMMYFUNCTION("""COMPUTED_VALUE"""),"Нет")</f>
        <v>Нет</v>
      </c>
      <c r="N1946" s="6" t="str">
        <f>IFERROR(__xludf.DUMMYFUNCTION("""COMPUTED_VALUE"""),"Парки, спортивные комплексы и площадки, места различений для молодёжи.")</f>
        <v>Парки, спортивные комплексы и площадки, места различений для молодёжи.</v>
      </c>
      <c r="O1946" s="6" t="str">
        <f>IFERROR(__xludf.DUMMYFUNCTION("""COMPUTED_VALUE"""),"Экологию")</f>
        <v>Экологию</v>
      </c>
      <c r="P1946" s="6" t="str">
        <f>IFERROR(__xludf.DUMMYFUNCTION("""COMPUTED_VALUE"""),"Яндекс и сестра брата")</f>
        <v>Яндекс и сестра брата</v>
      </c>
      <c r="Q1946" s="6" t="str">
        <f>IFERROR(__xludf.DUMMYFUNCTION("""COMPUTED_VALUE"""),"городская афиша (кино/театр/концерты)")</f>
        <v>городская афиша (кино/театр/концерты)</v>
      </c>
      <c r="R1946" s="6" t="str">
        <f>IFERROR(__xludf.DUMMYFUNCTION("""COMPUTED_VALUE"""),"День Победы ")</f>
        <v>День Победы </v>
      </c>
      <c r="S1946" s="6" t="str">
        <f>IFERROR(__xludf.DUMMYFUNCTION("""COMPUTED_VALUE"""),"Нет, не приходилось")</f>
        <v>Нет, не приходилось</v>
      </c>
      <c r="T1946" s="6" t="str">
        <f>IFERROR(__xludf.DUMMYFUNCTION("""COMPUTED_VALUE"""),"Ресторан Забой")</f>
        <v>Ресторан Забой</v>
      </c>
      <c r="U1946" s="6" t="str">
        <f>IFERROR(__xludf.DUMMYFUNCTION("""COMPUTED_VALUE"""),"Площадь советов")</f>
        <v>Площадь советов</v>
      </c>
      <c r="V1946" s="6" t="str">
        <f>IFERROR(__xludf.DUMMYFUNCTION("""COMPUTED_VALUE"""),"-")</f>
        <v>-</v>
      </c>
      <c r="W1946" s="6" t="str">
        <f>IFERROR(__xludf.DUMMYFUNCTION("""COMPUTED_VALUE"""),"Злые и больные")</f>
        <v>Злые и больные</v>
      </c>
      <c r="X1946" s="6" t="str">
        <f>IFERROR(__xludf.DUMMYFUNCTION("""COMPUTED_VALUE"""),"-")</f>
        <v>-</v>
      </c>
      <c r="Y1946" s="6" t="str">
        <f>IFERROR(__xludf.DUMMYFUNCTION("""COMPUTED_VALUE"""),"Ничего ")</f>
        <v>Ничего </v>
      </c>
      <c r="Z1946" s="6" t="str">
        <f>IFERROR(__xludf.DUMMYFUNCTION("""COMPUTED_VALUE"""),"Ничего ")</f>
        <v>Ничего </v>
      </c>
      <c r="AA1946" s="6" t="str">
        <f>IFERROR(__xludf.DUMMYFUNCTION("""COMPUTED_VALUE"""),"Зимняя вишня")</f>
        <v>Зимняя вишня</v>
      </c>
      <c r="AB1946" s="6" t="str">
        <f>IFERROR(__xludf.DUMMYFUNCTION("""COMPUTED_VALUE"""),"-")</f>
        <v>-</v>
      </c>
      <c r="AC1946" s="6" t="str">
        <f>IFERROR(__xludf.DUMMYFUNCTION("""COMPUTED_VALUE"""),"Нужно всё менять")</f>
        <v>Нужно всё менять</v>
      </c>
      <c r="AD1946"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Участник"&amp;"а: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946" s="6" t="str">
        <f>IFERROR(__xludf.DUMMYFUNCTION("""COMPUTED_VALUE"""),"Мужской")</f>
        <v>Мужской</v>
      </c>
      <c r="AF1946" s="6" t="str">
        <f>IFERROR(__xludf.DUMMYFUNCTION("""COMPUTED_VALUE"""),"30-44")</f>
        <v>30-44</v>
      </c>
      <c r="AG1946" s="6"/>
      <c r="AH1946" s="6"/>
      <c r="AI1946" s="6"/>
      <c r="AJ1946" s="6"/>
      <c r="AK1946" s="6"/>
      <c r="AL1946" s="6"/>
      <c r="AM1946" s="6"/>
    </row>
    <row r="1947">
      <c r="A1947" s="6">
        <v>1946.0</v>
      </c>
      <c r="B1947" s="6" t="str">
        <f>IFERROR(__xludf.DUMMYFUNCTION("""COMPUTED_VALUE"""),"Работаю в образовании")</f>
        <v>Работаю в образовании</v>
      </c>
      <c r="C1947" s="6" t="str">
        <f>IFERROR(__xludf.DUMMYFUNCTION("""COMPUTED_VALUE"""),"Люблю готовить")</f>
        <v>Люблю готовить</v>
      </c>
      <c r="D1947" s="6" t="str">
        <f>IFERROR(__xludf.DUMMYFUNCTION("""COMPUTED_VALUE"""),"Кировский")</f>
        <v>Кировский</v>
      </c>
      <c r="E1947" s="6" t="str">
        <f>IFERROR(__xludf.DUMMYFUNCTION("""COMPUTED_VALUE"""),"Набережная")</f>
        <v>Набережная</v>
      </c>
      <c r="F1947" s="6" t="str">
        <f>IFERROR(__xludf.DUMMYFUNCTION("""COMPUTED_VALUE"""),"Живу здесь с рождения")</f>
        <v>Живу здесь с рождения</v>
      </c>
      <c r="G1947" s="6" t="str">
        <f>IFERROR(__xludf.DUMMYFUNCTION("""COMPUTED_VALUE"""),"В своем районе это Набережная, на левом берегу - Парк Чудес, Парк Жукова, Антошка")</f>
        <v>В своем районе это Набережная, на левом берегу - Парк Чудес, Парк Жукова, Антошка</v>
      </c>
      <c r="H1947" s="6" t="str">
        <f>IFERROR(__xludf.DUMMYFUNCTION("""COMPUTED_VALUE"""),"дом, дороги, деревья, роща, река")</f>
        <v>дом, дороги, деревья, роща, река</v>
      </c>
      <c r="I1947" s="6" t="str">
        <f>IFERROR(__xludf.DUMMYFUNCTION("""COMPUTED_VALUE"""),"Леонов, Назаров, Волков")</f>
        <v>Леонов, Назаров, Волков</v>
      </c>
      <c r="J1947" s="6" t="str">
        <f>IFERROR(__xludf.DUMMYFUNCTION("""COMPUTED_VALUE"""),"не знаю")</f>
        <v>не знаю</v>
      </c>
      <c r="K1947" s="6" t="str">
        <f>IFERROR(__xludf.DUMMYFUNCTION("""COMPUTED_VALUE"""),"Парк Победы, Вечный огонь")</f>
        <v>Парк Победы, Вечный огонь</v>
      </c>
      <c r="L1947" s="6" t="str">
        <f>IFERROR(__xludf.DUMMYFUNCTION("""COMPUTED_VALUE"""),"Не хлебом единым жив человек")</f>
        <v>Не хлебом единым жив человек</v>
      </c>
      <c r="M1947" s="6" t="str">
        <f>IFERROR(__xludf.DUMMYFUNCTION("""COMPUTED_VALUE"""),"Кировчане")</f>
        <v>Кировчане</v>
      </c>
      <c r="N1947" s="6" t="str">
        <f>IFERROR(__xludf.DUMMYFUNCTION("""COMPUTED_VALUE"""),"улица, двор, дорога, дом, семья")</f>
        <v>улица, двор, дорога, дом, семья</v>
      </c>
      <c r="O1947" s="6" t="str">
        <f>IFERROR(__xludf.DUMMYFUNCTION("""COMPUTED_VALUE"""),"Фасады домов и дороги")</f>
        <v>Фасады домов и дороги</v>
      </c>
      <c r="P1947" s="6" t="str">
        <f>IFERROR(__xludf.DUMMYFUNCTION("""COMPUTED_VALUE"""),"Россия 1. Вести Кузбасс")</f>
        <v>Россия 1. Вести Кузбасс</v>
      </c>
      <c r="Q1947"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947" s="6" t="str">
        <f>IFERROR(__xludf.DUMMYFUNCTION("""COMPUTED_VALUE"""),"9 мая")</f>
        <v>9 мая</v>
      </c>
      <c r="S1947" s="6" t="str">
        <f>IFERROR(__xludf.DUMMYFUNCTION("""COMPUTED_VALUE"""),"Нет, не приходилось")</f>
        <v>Нет, не приходилось</v>
      </c>
      <c r="T1947" s="6" t="str">
        <f>IFERROR(__xludf.DUMMYFUNCTION("""COMPUTED_VALUE"""),"Добыча угля")</f>
        <v>Добыча угля</v>
      </c>
      <c r="U1947" s="6" t="str">
        <f>IFERROR(__xludf.DUMMYFUNCTION("""COMPUTED_VALUE"""),"Площадь советов")</f>
        <v>Площадь советов</v>
      </c>
      <c r="V1947" s="6" t="str">
        <f>IFERROR(__xludf.DUMMYFUNCTION("""COMPUTED_VALUE"""),"Построили новые дома, культурные центры")</f>
        <v>Построили новые дома, культурные центры</v>
      </c>
      <c r="W1947" s="6" t="str">
        <f>IFERROR(__xludf.DUMMYFUNCTION("""COMPUTED_VALUE"""),"Добрые и отзывчивые, трудяги")</f>
        <v>Добрые и отзывчивые, трудяги</v>
      </c>
      <c r="X1947" s="6" t="str">
        <f>IFERROR(__xludf.DUMMYFUNCTION("""COMPUTED_VALUE"""),"Достопримечательности города")</f>
        <v>Достопримечательности города</v>
      </c>
      <c r="Y1947" s="6" t="str">
        <f>IFERROR(__xludf.DUMMYFUNCTION("""COMPUTED_VALUE"""),"затрудняюсь ответить")</f>
        <v>затрудняюсь ответить</v>
      </c>
      <c r="Z1947" s="6" t="str">
        <f>IFERROR(__xludf.DUMMYFUNCTION("""COMPUTED_VALUE"""),"хорошо, что стали праздновать в одном из городов День шахтера")</f>
        <v>хорошо, что стали праздновать в одном из городов День шахтера</v>
      </c>
      <c r="AA1947" s="6" t="str">
        <f>IFERROR(__xludf.DUMMYFUNCTION("""COMPUTED_VALUE"""),"ношение масок")</f>
        <v>ношение масок</v>
      </c>
      <c r="AB1947" s="6" t="str">
        <f>IFERROR(__xludf.DUMMYFUNCTION("""COMPUTED_VALUE"""),"для родителей с маленькими детьми")</f>
        <v>для родителей с маленькими детьми</v>
      </c>
      <c r="AC1947" s="6" t="str">
        <f>IFERROR(__xludf.DUMMYFUNCTION("""COMPUTED_VALUE"""),"Больше площадок")</f>
        <v>Больше площадок</v>
      </c>
      <c r="AD1947"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47" s="6" t="str">
        <f>IFERROR(__xludf.DUMMYFUNCTION("""COMPUTED_VALUE"""),"Женский")</f>
        <v>Женский</v>
      </c>
      <c r="AF1947" s="6" t="str">
        <f>IFERROR(__xludf.DUMMYFUNCTION("""COMPUTED_VALUE"""),"45-55")</f>
        <v>45-55</v>
      </c>
      <c r="AG1947" s="6"/>
      <c r="AH1947" s="6"/>
      <c r="AI1947" s="6"/>
      <c r="AJ1947" s="6"/>
      <c r="AK1947" s="6"/>
      <c r="AL1947" s="6"/>
      <c r="AM1947" s="6"/>
    </row>
    <row r="1948">
      <c r="A1948" s="6">
        <v>1947.0</v>
      </c>
      <c r="B1948" s="6" t="str">
        <f>IFERROR(__xludf.DUMMYFUNCTION("""COMPUTED_VALUE"""),"Работаю главным экономистом в строительной компании")</f>
        <v>Работаю главным экономистом в строительной компании</v>
      </c>
      <c r="C1948" s="6" t="str">
        <f>IFERROR(__xludf.DUMMYFUNCTION("""COMPUTED_VALUE"""),"Плавание, чтение")</f>
        <v>Плавание, чтение</v>
      </c>
      <c r="D1948" s="6" t="str">
        <f>IFERROR(__xludf.DUMMYFUNCTION("""COMPUTED_VALUE"""),"Радуга (Рудничный район)")</f>
        <v>Радуга (Рудничный район)</v>
      </c>
      <c r="E1948" s="6" t="str">
        <f>IFERROR(__xludf.DUMMYFUNCTION("""COMPUTED_VALUE"""),"Никаких")</f>
        <v>Никаких</v>
      </c>
      <c r="F1948" s="6" t="str">
        <f>IFERROR(__xludf.DUMMYFUNCTION("""COMPUTED_VALUE"""),"Переехал сюда из другого места (откуда? укажите в графе другое), Анжеро- Судженск, но собираюсь переезжать в связи с низкими зарплатами и отсутствия возможности развития")</f>
        <v>Переехал сюда из другого места (откуда? укажите в графе другое), Анжеро- Судженск, но собираюсь переезжать в связи с низкими зарплатами и отсутствия возможности развития</v>
      </c>
      <c r="G1948" s="6" t="str">
        <f>IFERROR(__xludf.DUMMYFUNCTION("""COMPUTED_VALUE"""),"Прогулки возле кадетского училища, лесная поляна")</f>
        <v>Прогулки возле кадетского училища, лесная поляна</v>
      </c>
      <c r="H1948" s="6" t="str">
        <f>IFERROR(__xludf.DUMMYFUNCTION("""COMPUTED_VALUE"""),"Антиэкология, коррупция, непонимание")</f>
        <v>Антиэкология, коррупция, непонимание</v>
      </c>
      <c r="I1948" s="6" t="str">
        <f>IFERROR(__xludf.DUMMYFUNCTION("""COMPUTED_VALUE"""),"Волошина В., Леонов А., Бессмертных А., директора шахт за период до 2015 года ")</f>
        <v>Волошина В., Леонов А., Бессмертных А., директора шахт за период до 2015 года </v>
      </c>
      <c r="J1948" s="6" t="str">
        <f>IFERROR(__xludf.DUMMYFUNCTION("""COMPUTED_VALUE"""),"Современных нет")</f>
        <v>Современных нет</v>
      </c>
      <c r="K1948" s="6" t="str">
        <f>IFERROR(__xludf.DUMMYFUNCTION("""COMPUTED_VALUE"""),"Аллея на Кадетском училище, лесная поляна, Бульвар строителей")</f>
        <v>Аллея на Кадетском училище, лесная поляна, Бульвар строителей</v>
      </c>
      <c r="L1948" s="6" t="str">
        <f>IFERROR(__xludf.DUMMYFUNCTION("""COMPUTED_VALUE"""),"-Росстат, что за дела? Продукты подорожали на треть, а индекс инфляции 2%? 
-А мы потом на рейтинг доверия правительству умножаем.")</f>
        <v>-Росстат, что за дела? Продукты подорожали на треть, а индекс инфляции 2%? 
-А мы потом на рейтинг доверия правительству умножаем.</v>
      </c>
      <c r="M1948" s="6" t="str">
        <f>IFERROR(__xludf.DUMMYFUNCTION("""COMPUTED_VALUE"""),"Нет")</f>
        <v>Нет</v>
      </c>
      <c r="N1948" s="6" t="str">
        <f>IFERROR(__xludf.DUMMYFUNCTION("""COMPUTED_VALUE"""),"Хорошее образование, наличие рабочих мест с зп не за выживание, спортивные комплексы, возможность спокойно дышать")</f>
        <v>Хорошее образование, наличие рабочих мест с зп не за выживание, спортивные комплексы, возможность спокойно дышать</v>
      </c>
      <c r="O1948" s="6" t="str">
        <f>IFERROR(__xludf.DUMMYFUNCTION("""COMPUTED_VALUE"""),"Построить университеты, создать рабочие места, сделать жильё доступным, а не показывать как процент ипотечного кредитования упал и в то же время жильё подорожало, стало хуже, а не лучше, хочется жить на зарплату и с неё не только ипотеку гасить и коммунал"&amp;"ьные, но и есть нормально и отдыхать раз в год")</f>
        <v>Построить университеты, создать рабочие места, сделать жильё доступным, а не показывать как процент ипотечного кредитования упал и в то же время жильё подорожало, стало хуже, а не лучше, хочется жить на зарплату и с неё не только ипотеку гасить и коммунальные, но и есть нормально и отдыхать раз в год</v>
      </c>
      <c r="P1948" s="6" t="str">
        <f>IFERROR(__xludf.DUMMYFUNCTION("""COMPUTED_VALUE"""),"Инстаграм")</f>
        <v>Инстаграм</v>
      </c>
      <c r="Q1948" s="6" t="str">
        <f>IFERROR(__xludf.DUMMYFUNCTION("""COMPUTED_VALUE"""),"городская афиша (кино/театр/концерты), интервью с местными политиками,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ис"&amp;"следований (рейтинги/аналитика/тенденции)")</f>
        <v>городская афиша (кино/театр/концерты), интервью с местными политиками,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v>
      </c>
      <c r="R1948" s="6" t="str">
        <f>IFERROR(__xludf.DUMMYFUNCTION("""COMPUTED_VALUE"""),"День шахтёра")</f>
        <v>День шахтёра</v>
      </c>
      <c r="S1948" s="6" t="str">
        <f>IFERROR(__xludf.DUMMYFUNCTION("""COMPUTED_VALUE"""),"Нет, не приходилось")</f>
        <v>Нет, не приходилось</v>
      </c>
      <c r="T1948" s="6" t="str">
        <f>IFERROR(__xludf.DUMMYFUNCTION("""COMPUTED_VALUE"""),"Пожар в зимней вишне")</f>
        <v>Пожар в зимней вишне</v>
      </c>
      <c r="U1948" s="6" t="str">
        <f>IFERROR(__xludf.DUMMYFUNCTION("""COMPUTED_VALUE"""),"Крест в Рудничном районе")</f>
        <v>Крест в Рудничном районе</v>
      </c>
      <c r="V1948" s="6" t="str">
        <f>IFERROR(__xludf.DUMMYFUNCTION("""COMPUTED_VALUE"""),"Всегда была стройка, всегда ценили шахтёров, сейчас все закрыли и кинули выживать")</f>
        <v>Всегда была стройка, всегда ценили шахтёров, сейчас все закрыли и кинули выживать</v>
      </c>
      <c r="W1948" s="6" t="str">
        <f>IFERROR(__xludf.DUMMYFUNCTION("""COMPUTED_VALUE"""),"Свободолюбивые, торопливые")</f>
        <v>Свободолюбивые, торопливые</v>
      </c>
      <c r="X1948" s="6" t="str">
        <f>IFERROR(__xludf.DUMMYFUNCTION("""COMPUTED_VALUE"""),"Бульвар Строителей- Кадетское училище")</f>
        <v>Бульвар Строителей- Кадетское училище</v>
      </c>
      <c r="Y1948" s="6" t="str">
        <f>IFERROR(__xludf.DUMMYFUNCTION("""COMPUTED_VALUE"""),"Нет")</f>
        <v>Нет</v>
      </c>
      <c r="Z1948" s="6" t="str">
        <f>IFERROR(__xludf.DUMMYFUNCTION("""COMPUTED_VALUE"""),"Нет")</f>
        <v>Нет</v>
      </c>
      <c r="AA1948" s="6" t="str">
        <f>IFERROR(__xludf.DUMMYFUNCTION("""COMPUTED_VALUE"""),"Смена губернатора, компания СДС- Строй кинула много подрядчиков так и не заплатив им в связи с чем забанкротилось большинство компаний, разбиты судьбы людей.")</f>
        <v>Смена губернатора, компания СДС- Строй кинула много подрядчиков так и не заплатив им в связи с чем забанкротилось большинство компаний, разбиты судьбы людей.</v>
      </c>
      <c r="AB1948" s="6" t="str">
        <f>IFERROR(__xludf.DUMMYFUNCTION("""COMPUTED_VALUE"""),"Нет")</f>
        <v>Нет</v>
      </c>
      <c r="AC1948" s="6" t="str">
        <f>IFERROR(__xludf.DUMMYFUNCTION("""COMPUTED_VALUE"""),"Нет")</f>
        <v>Нет</v>
      </c>
      <c r="AD1948"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Запустить свой предпринимательский проект, организовать компанию.</v>
      </c>
      <c r="AE1948" s="6" t="str">
        <f>IFERROR(__xludf.DUMMYFUNCTION("""COMPUTED_VALUE"""),"Женский")</f>
        <v>Женский</v>
      </c>
      <c r="AF1948" s="6" t="str">
        <f>IFERROR(__xludf.DUMMYFUNCTION("""COMPUTED_VALUE"""),"30-44")</f>
        <v>30-44</v>
      </c>
      <c r="AG1948" s="6"/>
      <c r="AH1948" s="6"/>
      <c r="AI1948" s="6"/>
      <c r="AJ1948" s="6"/>
      <c r="AK1948" s="6"/>
      <c r="AL1948" s="6"/>
      <c r="AM1948" s="6"/>
    </row>
    <row r="1949">
      <c r="A1949" s="6">
        <v>1948.0</v>
      </c>
      <c r="B1949" s="6" t="str">
        <f>IFERROR(__xludf.DUMMYFUNCTION("""COMPUTED_VALUE"""),"Преподаватель.")</f>
        <v>Преподаватель.</v>
      </c>
      <c r="C1949" s="6" t="str">
        <f>IFERROR(__xludf.DUMMYFUNCTION("""COMPUTED_VALUE"""),"Путешествия, спорт, рукоделие.")</f>
        <v>Путешествия, спорт, рукоделие.</v>
      </c>
      <c r="D1949" s="6" t="str">
        <f>IFERROR(__xludf.DUMMYFUNCTION("""COMPUTED_VALUE"""),"Заводский (Цирк).")</f>
        <v>Заводский (Цирк).</v>
      </c>
      <c r="E1949" s="6" t="str">
        <f>IFERROR(__xludf.DUMMYFUNCTION("""COMPUTED_VALUE"""),"Знаменский собор, Цирк, набережная Искитимки, парк ""Антошка"", парк Победы, парк Ангелов.")</f>
        <v>Знаменский собор, Цирк, набережная Искитимки, парк "Антошка", парк Победы, парк Ангелов.</v>
      </c>
      <c r="F1949" s="6" t="str">
        <f>IFERROR(__xludf.DUMMYFUNCTION("""COMPUTED_VALUE"""),"Живу здесь с рождения")</f>
        <v>Живу здесь с рождения</v>
      </c>
      <c r="G1949" s="6" t="str">
        <f>IFERROR(__xludf.DUMMYFUNCTION("""COMPUTED_VALUE"""),"Бор, центр (ул. Весенняя, Притомская набережная, пр. Советский), парк ""Антошка"", парк Победы, парк Ангелов, парк им. Веры Волошиной (Комсомольский).")</f>
        <v>Бор, центр (ул. Весенняя, Притомская набережная, пр. Советский), парк "Антошка", парк Победы, парк Ангелов, парк им. Веры Волошиной (Комсомольский).</v>
      </c>
      <c r="H1949" s="6" t="str">
        <f>IFERROR(__xludf.DUMMYFUNCTION("""COMPUTED_VALUE"""),"Загроможденность, несочетаемость, грязь, зелень, Родина.")</f>
        <v>Загроможденность, несочетаемость, грязь, зелень, Родина.</v>
      </c>
      <c r="I1949" s="6" t="str">
        <f>IFERROR(__xludf.DUMMYFUNCTION("""COMPUTED_VALUE"""),"Волков, Леонов, Мартемьянов, Волошина, Двужильный, Красильников, Рутгерс")</f>
        <v>Волков, Леонов, Мартемьянов, Волошина, Двужильный, Красильников, Рутгерс</v>
      </c>
      <c r="J1949" s="6" t="str">
        <f>IFERROR(__xludf.DUMMYFUNCTION("""COMPUTED_VALUE"""),"Михайлов, Гришковец")</f>
        <v>Михайлов, Гришковец</v>
      </c>
      <c r="K1949" s="6" t="str">
        <f>IFERROR(__xludf.DUMMYFUNCTION("""COMPUTED_VALUE"""),"Бор, центр, парк Ангелов, Лесная поляна")</f>
        <v>Бор, центр, парк Ангелов, Лесная поляна</v>
      </c>
      <c r="L1949" s="6" t="str">
        <f>IFERROR(__xludf.DUMMYFUNCTION("""COMPUTED_VALUE"""),"Гребенщиков - ""Человек из Кемерово"".")</f>
        <v>Гребенщиков - "Человек из Кемерово".</v>
      </c>
      <c r="M1949" s="6" t="str">
        <f>IFERROR(__xludf.DUMMYFUNCTION("""COMPUTED_VALUE"""),"Мультифора, колба, батониться и др. сибирские слова и выражения.")</f>
        <v>Мультифора, колба, батониться и др. сибирские слова и выражения.</v>
      </c>
      <c r="N1949" s="6" t="str">
        <f>IFERROR(__xludf.DUMMYFUNCTION("""COMPUTED_VALUE"""),"Здоровая экология, комфортная городская среда, современная квартальная застройка, обилие зелени, чистота, в т.ч. незагроможденность городской скульптурой, например, деревянными уточками ;)")</f>
        <v>Здоровая экология, комфортная городская среда, современная квартальная застройка, обилие зелени, чистота, в т.ч. незагроможденность городской скульптурой, например, деревянными уточками ;)</v>
      </c>
      <c r="O1949" s="6" t="str">
        <f>IFERROR(__xludf.DUMMYFUNCTION("""COMPUTED_VALUE"""),"Улучшить экологию, снести заброшенные и аляпистые сооружения, убрать большую часть городской скульптуры, улучшить городскую среду, модернизировать общественный транспорт, добавить зелени.")</f>
        <v>Улучшить экологию, снести заброшенные и аляпистые сооружения, убрать большую часть городской скульптуры, улучшить городскую среду, модернизировать общественный транспорт, добавить зелени.</v>
      </c>
      <c r="P1949" s="6" t="str">
        <f>IFERROR(__xludf.DUMMYFUNCTION("""COMPUTED_VALUE"""),"Vse42, инстаграм Александра Патрина")</f>
        <v>Vse42, инстаграм Александра Патрина</v>
      </c>
      <c r="Q1949" s="6" t="str">
        <f>IFERROR(__xludf.DUMMYFUNCTION("""COMPUTED_VALUE"""),"куда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f>
        <v>куда пойти в свободное время, где вкусно поесть/открытие новых кафе/ресторанов, городская афиша (кино/театр/концерты), результаты местных исследований (рейтинги/аналитика/тенденции)</v>
      </c>
      <c r="R1949" s="6" t="str">
        <f>IFERROR(__xludf.DUMMYFUNCTION("""COMPUTED_VALUE"""),"День города")</f>
        <v>День города</v>
      </c>
      <c r="S1949" s="6" t="str">
        <f>IFERROR(__xludf.DUMMYFUNCTION("""COMPUTED_VALUE"""),"Нет, не приходилось")</f>
        <v>Нет, не приходилось</v>
      </c>
      <c r="T1949" s="6" t="str">
        <f>IFERROR(__xludf.DUMMYFUNCTION("""COMPUTED_VALUE"""),"К сожалению, знаменит Зимней вишней. Имею большое количество друзей из других, более крупных, городов, которые регулярно приезжают в гости. Большинство из них считают Кемерово отсталым, дырой. Интерес представляет только бор, т.е. можно сказать, что привл"&amp;"екателен он только природой. По опыту, то, что интересно местным жителям (история АИК), неинтересно гостям города. ")</f>
        <v>К сожалению, знаменит Зимней вишней. Имею большое количество друзей из других, более крупных, городов, которые регулярно приезжают в гости. Большинство из них считают Кемерово отсталым, дырой. Интерес представляет только бор, т.е. можно сказать, что привлекателен он только природой. По опыту, то, что интересно местным жителям (история АИК), неинтересно гостям города. </v>
      </c>
      <c r="U1949" s="6" t="str">
        <f>IFERROR(__xludf.DUMMYFUNCTION("""COMPUTED_VALUE"""),"Пересечение пр. Советского и ул. Весенней.")</f>
        <v>Пересечение пр. Советского и ул. Весенней.</v>
      </c>
      <c r="V1949" s="6" t="str">
        <f>IFERROR(__xludf.DUMMYFUNCTION("""COMPUTED_VALUE"""),"Прославили город своими подвигами.")</f>
        <v>Прославили город своими подвигами.</v>
      </c>
      <c r="W1949" s="6" t="str">
        <f>IFERROR(__xludf.DUMMYFUNCTION("""COMPUTED_VALUE"""),"Разные, как и в любом другом городе.")</f>
        <v>Разные, как и в любом другом городе.</v>
      </c>
      <c r="X1949" s="6" t="str">
        <f>IFERROR(__xludf.DUMMYFUNCTION("""COMPUTED_VALUE"""),"Парк Ангелов, Парк Антошка и Парк Победы (когда их приведут в порядок), часовня ""Всех скорбящих радость"", пр. Советский, площадь Пушкина (если ее расчистить от автомобилей), Притомская набережная, ул. Весенняя, пл. Волкова.")</f>
        <v>Парк Ангелов, Парк Антошка и Парк Победы (когда их приведут в порядок), часовня "Всех скорбящих радость", пр. Советский, площадь Пушкина (если ее расчистить от автомобилей), Притомская набережная, ул. Весенняя, пл. Волкова.</v>
      </c>
      <c r="Y1949" s="6" t="str">
        <f>IFERROR(__xludf.DUMMYFUNCTION("""COMPUTED_VALUE"""),"К сожалению, пожар в ""Зимней вишни"".")</f>
        <v>К сожалению, пожар в "Зимней вишни".</v>
      </c>
      <c r="Z1949" s="6" t="str">
        <f>IFERROR(__xludf.DUMMYFUNCTION("""COMPUTED_VALUE"""),"Нет таких.")</f>
        <v>Нет таких.</v>
      </c>
      <c r="AA1949" s="6" t="str">
        <f>IFERROR(__xludf.DUMMYFUNCTION("""COMPUTED_VALUE"""),"Без комментариев.")</f>
        <v>Без комментариев.</v>
      </c>
      <c r="AB1949" s="6" t="str">
        <f>IFERROR(__xludf.DUMMYFUNCTION("""COMPUTED_VALUE"""),"Популяризация проекта ""Городские проекты"" И. Варламова.")</f>
        <v>Популяризация проекта "Городские проекты" И. Варламова.</v>
      </c>
      <c r="AC1949" s="6" t="str">
        <f>IFERROR(__xludf.DUMMYFUNCTION("""COMPUTED_VALUE"""),"Расширение афиши кинотеатров, интересные выставки ИЗО (а не репродукции картин известных художников и т.п.), современные городские мероприятия (по факту у нас из года в год одно и то же), новые лица.")</f>
        <v>Расширение афиши кинотеатров, интересные выставки ИЗО (а не репродукции картин известных художников и т.п.), современные городские мероприятия (по факту у нас из года в год одно и то же), новые лица.</v>
      </c>
      <c r="AD1949" s="6" t="str">
        <f>IFERROR(__xludf.DUMMYFUNCTION("""COMPUTED_VALUE"""),"Не готов принимать личное участие (укажите, пожалуйста, причину в поле «Другое»), Недовольна реализуемыми городскими проектами.")</f>
        <v>Не готов принимать личное участие (укажите, пожалуйста, причину в поле «Другое»), Недовольна реализуемыми городскими проектами.</v>
      </c>
      <c r="AE1949" s="6" t="str">
        <f>IFERROR(__xludf.DUMMYFUNCTION("""COMPUTED_VALUE"""),"Женский")</f>
        <v>Женский</v>
      </c>
      <c r="AF1949" s="6" t="str">
        <f>IFERROR(__xludf.DUMMYFUNCTION("""COMPUTED_VALUE"""),"30-44")</f>
        <v>30-44</v>
      </c>
      <c r="AG1949" s="6"/>
      <c r="AH1949" s="6"/>
      <c r="AI1949" s="6"/>
      <c r="AJ1949" s="6"/>
      <c r="AK1949" s="6"/>
      <c r="AL1949" s="6"/>
      <c r="AM1949" s="6"/>
    </row>
    <row r="1950">
      <c r="A1950" s="6">
        <v>1949.0</v>
      </c>
      <c r="B1950" s="6" t="str">
        <f>IFERROR(__xludf.DUMMYFUNCTION("""COMPUTED_VALUE"""),"Рабочий")</f>
        <v>Рабочий</v>
      </c>
      <c r="C1950" s="6" t="str">
        <f>IFERROR(__xludf.DUMMYFUNCTION("""COMPUTED_VALUE"""),"Нет")</f>
        <v>Нет</v>
      </c>
      <c r="D1950" s="6" t="str">
        <f>IFERROR(__xludf.DUMMYFUNCTION("""COMPUTED_VALUE"""),"Ягуновка")</f>
        <v>Ягуновка</v>
      </c>
      <c r="E1950" s="6" t="str">
        <f>IFERROR(__xludf.DUMMYFUNCTION("""COMPUTED_VALUE"""),"Цирк, набережная")</f>
        <v>Цирк, набережная</v>
      </c>
      <c r="F1950" s="6" t="str">
        <f>IFERROR(__xludf.DUMMYFUNCTION("""COMPUTED_VALUE"""),"Переехал сюда из другого места (откуда? укажите в графе другое), Мыски")</f>
        <v>Переехал сюда из другого места (откуда? укажите в графе другое), Мыски</v>
      </c>
      <c r="G1950" s="6" t="str">
        <f>IFERROR(__xludf.DUMMYFUNCTION("""COMPUTED_VALUE"""),"Парк Жукова")</f>
        <v>Парк Жукова</v>
      </c>
      <c r="H1950" s="6" t="str">
        <f>IFERROR(__xludf.DUMMYFUNCTION("""COMPUTED_VALUE"""),"Кузбасс, уголь, шахты, красота, томь")</f>
        <v>Кузбасс, уголь, шахты, красота, томь</v>
      </c>
      <c r="I1950" s="6" t="str">
        <f>IFERROR(__xludf.DUMMYFUNCTION("""COMPUTED_VALUE"""),"Ленин")</f>
        <v>Ленин</v>
      </c>
      <c r="J1950" s="6" t="str">
        <f>IFERROR(__xludf.DUMMYFUNCTION("""COMPUTED_VALUE"""),"Алла Пугачева")</f>
        <v>Алла Пугачева</v>
      </c>
      <c r="K1950" s="6" t="str">
        <f>IFERROR(__xludf.DUMMYFUNCTION("""COMPUTED_VALUE"""),"Парк Ангелов")</f>
        <v>Парк Ангелов</v>
      </c>
      <c r="L1950" s="6" t="str">
        <f>IFERROR(__xludf.DUMMYFUNCTION("""COMPUTED_VALUE"""),"Не знаю")</f>
        <v>Не знаю</v>
      </c>
      <c r="M1950" s="6" t="str">
        <f>IFERROR(__xludf.DUMMYFUNCTION("""COMPUTED_VALUE"""),"Мы родились в Кировском, в нем и живем")</f>
        <v>Мы родились в Кировском, в нем и живем</v>
      </c>
      <c r="N1950" s="6" t="str">
        <f>IFERROR(__xludf.DUMMYFUNCTION("""COMPUTED_VALUE"""),"Удобства, проезд, общ. питание, развлечения, ")</f>
        <v>Удобства, проезд, общ. питание, развлечения, </v>
      </c>
      <c r="O1950" s="6" t="str">
        <f>IFERROR(__xludf.DUMMYFUNCTION("""COMPUTED_VALUE"""),"Мэра")</f>
        <v>Мэра</v>
      </c>
      <c r="P1950" s="6" t="str">
        <f>IFERROR(__xludf.DUMMYFUNCTION("""COMPUTED_VALUE"""),"Вк, одноклассники, ютуб")</f>
        <v>Вк, одноклассники, ютуб</v>
      </c>
      <c r="Q1950" s="6" t="str">
        <f>IFERROR(__xludf.DUMMYFUNCTION("""COMPUTED_VALUE"""),"куда пойти в свободное время, где вкусно поесть/открытие новых кафе/ресторанов, новости про новые профессии/куда поступать/вакансии")</f>
        <v>куда пойти в свободное время, где вкусно поесть/открытие новых кафе/ресторанов, новости про новые профессии/куда поступать/вакансии</v>
      </c>
      <c r="R1950" s="6" t="str">
        <f>IFERROR(__xludf.DUMMYFUNCTION("""COMPUTED_VALUE"""),"День города")</f>
        <v>День города</v>
      </c>
      <c r="S1950" s="6" t="str">
        <f>IFERROR(__xludf.DUMMYFUNCTION("""COMPUTED_VALUE"""),"Нет, не приходилось")</f>
        <v>Нет, не приходилось</v>
      </c>
      <c r="T1950" s="6" t="str">
        <f>IFERROR(__xludf.DUMMYFUNCTION("""COMPUTED_VALUE"""),"Знаменит шахтами, выдержка людей жить в бедности, уникальна")</f>
        <v>Знаменит шахтами, выдержка людей жить в бедности, уникальна</v>
      </c>
      <c r="U1950" s="6" t="str">
        <f>IFERROR(__xludf.DUMMYFUNCTION("""COMPUTED_VALUE"""),"Парк чудес, парк Ангелов")</f>
        <v>Парк чудес, парк Ангелов</v>
      </c>
      <c r="V1950" s="6" t="str">
        <f>IFERROR(__xludf.DUMMYFUNCTION("""COMPUTED_VALUE"""),"Достижений очень много, люди радушные")</f>
        <v>Достижений очень много, люди радушные</v>
      </c>
      <c r="W1950" s="6" t="str">
        <f>IFERROR(__xludf.DUMMYFUNCTION("""COMPUTED_VALUE"""),"Расспахни рубашку, может помочь, не агрессивные")</f>
        <v>Расспахни рубашку, может помочь, не агрессивные</v>
      </c>
      <c r="X1950" s="6" t="str">
        <f>IFERROR(__xludf.DUMMYFUNCTION("""COMPUTED_VALUE"""),"10")</f>
        <v>10</v>
      </c>
      <c r="Y1950" s="6" t="str">
        <f>IFERROR(__xludf.DUMMYFUNCTION("""COMPUTED_VALUE"""),"Не знаю")</f>
        <v>Не знаю</v>
      </c>
      <c r="Z1950" s="6" t="str">
        <f>IFERROR(__xludf.DUMMYFUNCTION("""COMPUTED_VALUE"""),"Масленница, пасха, день города")</f>
        <v>Масленница, пасха, день города</v>
      </c>
      <c r="AA1950" s="6" t="str">
        <f>IFERROR(__xludf.DUMMYFUNCTION("""COMPUTED_VALUE"""),"Закрытие шахт, поля запущены")</f>
        <v>Закрытие шахт, поля запущены</v>
      </c>
      <c r="AB1950" s="6" t="str">
        <f>IFERROR(__xludf.DUMMYFUNCTION("""COMPUTED_VALUE"""),"Для детей побольше бесплатных выставок, зоопарк")</f>
        <v>Для детей побольше бесплатных выставок, зоопарк</v>
      </c>
      <c r="AC1950" s="6" t="str">
        <f>IFERROR(__xludf.DUMMYFUNCTION("""COMPUTED_VALUE"""),"Культурно массовых")</f>
        <v>Культурно массовых</v>
      </c>
      <c r="AD195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50" s="6" t="str">
        <f>IFERROR(__xludf.DUMMYFUNCTION("""COMPUTED_VALUE"""),"Мужской")</f>
        <v>Мужской</v>
      </c>
      <c r="AF1950" s="6" t="str">
        <f>IFERROR(__xludf.DUMMYFUNCTION("""COMPUTED_VALUE"""),"45-55")</f>
        <v>45-55</v>
      </c>
      <c r="AG1950" s="6"/>
      <c r="AH1950" s="6"/>
      <c r="AI1950" s="6"/>
      <c r="AJ1950" s="6"/>
      <c r="AK1950" s="6"/>
      <c r="AL1950" s="6"/>
      <c r="AM1950" s="6"/>
    </row>
    <row r="1951">
      <c r="A1951" s="6">
        <v>1950.0</v>
      </c>
      <c r="B1951" s="6" t="str">
        <f>IFERROR(__xludf.DUMMYFUNCTION("""COMPUTED_VALUE"""),"Юрист")</f>
        <v>Юрист</v>
      </c>
      <c r="C1951" s="6" t="str">
        <f>IFERROR(__xludf.DUMMYFUNCTION("""COMPUTED_VALUE"""),"Музыка")</f>
        <v>Музыка</v>
      </c>
      <c r="D1951" s="6" t="str">
        <f>IFERROR(__xludf.DUMMYFUNCTION("""COMPUTED_VALUE"""),"Ленинский")</f>
        <v>Ленинский</v>
      </c>
      <c r="E1951" s="6" t="str">
        <f>IFERROR(__xludf.DUMMYFUNCTION("""COMPUTED_VALUE"""),"Набережная")</f>
        <v>Набережная</v>
      </c>
      <c r="F1951" s="6" t="str">
        <f>IFERROR(__xludf.DUMMYFUNCTION("""COMPUTED_VALUE"""),"Родился здесь,но сейчас живу в другом городе, Переехал сюда из другого места (откуда? укажите в графе другое)")</f>
        <v>Родился здесь,но сейчас живу в другом городе, Переехал сюда из другого места (откуда? укажите в графе другое)</v>
      </c>
      <c r="G1951" s="6" t="str">
        <f>IFERROR(__xludf.DUMMYFUNCTION("""COMPUTED_VALUE"""),"Центр города")</f>
        <v>Центр города</v>
      </c>
      <c r="H1951" s="6" t="str">
        <f>IFERROR(__xludf.DUMMYFUNCTION("""COMPUTED_VALUE"""),"Аккуратность, дым, заводы, красивый центр, дорогие квартиры")</f>
        <v>Аккуратность, дым, заводы, красивый центр, дорогие квартиры</v>
      </c>
      <c r="I1951" s="6" t="str">
        <f>IFERROR(__xludf.DUMMYFUNCTION("""COMPUTED_VALUE"""),"-")</f>
        <v>-</v>
      </c>
      <c r="J1951" s="6" t="str">
        <f>IFERROR(__xludf.DUMMYFUNCTION("""COMPUTED_VALUE"""),"Логинов, Малышева, Гришковец, Тиньков")</f>
        <v>Логинов, Малышева, Гришковец, Тиньков</v>
      </c>
      <c r="K1951" s="6" t="str">
        <f>IFERROR(__xludf.DUMMYFUNCTION("""COMPUTED_VALUE"""),"Красная горка")</f>
        <v>Красная горка</v>
      </c>
      <c r="L1951" s="6" t="str">
        <f>IFERROR(__xludf.DUMMYFUNCTION("""COMPUTED_VALUE"""),"-")</f>
        <v>-</v>
      </c>
      <c r="M1951" s="6" t="str">
        <f>IFERROR(__xludf.DUMMYFUNCTION("""COMPUTED_VALUE"""),"мультифора")</f>
        <v>мультифора</v>
      </c>
      <c r="N1951" s="6" t="str">
        <f>IFERROR(__xludf.DUMMYFUNCTION("""COMPUTED_VALUE"""),"Чистый воздух, адекватно стоящее жилье, наличие парков, скверов, мест проведения досуга, большое количество высоко оплачиваемых рабочих мест, нормальный автомобильный трафик")</f>
        <v>Чистый воздух, адекватно стоящее жилье, наличие парков, скверов, мест проведения досуга, большое количество высоко оплачиваемых рабочих мест, нормальный автомобильный трафик</v>
      </c>
      <c r="O1951" s="6" t="str">
        <f>IFERROR(__xludf.DUMMYFUNCTION("""COMPUTED_VALUE"""),"Убрать заводы из центра города")</f>
        <v>Убрать заводы из центра города</v>
      </c>
      <c r="P1951" s="6" t="str">
        <f>IFERROR(__xludf.DUMMYFUNCTION("""COMPUTED_VALUE"""),"интернет")</f>
        <v>интернет</v>
      </c>
      <c r="Q1951" s="6" t="str">
        <f>IFERROR(__xludf.DUMMYFUNCTION("""COMPUTED_VALUE"""),"городская афиша (кино/театр/концерты),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f>
        <v>городская афиша (кино/театр/концерты),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951" s="6" t="str">
        <f>IFERROR(__xludf.DUMMYFUNCTION("""COMPUTED_VALUE"""),"-")</f>
        <v>-</v>
      </c>
      <c r="S1951" s="6" t="str">
        <f>IFERROR(__xludf.DUMMYFUNCTION("""COMPUTED_VALUE"""),"Выступал организатором большого количества различных мероприятия городского, областного и всероссийского уровней")</f>
        <v>Выступал организатором большого количества различных мероприятия городского, областного и всероссийского уровней</v>
      </c>
      <c r="T1951" s="6" t="str">
        <f>IFERROR(__xludf.DUMMYFUNCTION("""COMPUTED_VALUE"""),"Как бы это ни было печально, но только трагедией ""Зимней вишни""")</f>
        <v>Как бы это ни было печально, но только трагедией "Зимней вишни"</v>
      </c>
      <c r="U1951" s="6" t="str">
        <f>IFERROR(__xludf.DUMMYFUNCTION("""COMPUTED_VALUE"""),"Советский проспект")</f>
        <v>Советский проспект</v>
      </c>
      <c r="V1951" s="6" t="str">
        <f>IFERROR(__xludf.DUMMYFUNCTION("""COMPUTED_VALUE"""),"-")</f>
        <v>-</v>
      </c>
      <c r="W1951" s="6" t="str">
        <f>IFERROR(__xludf.DUMMYFUNCTION("""COMPUTED_VALUE"""),"Абсолютно обычные люди, с присущими всем жителям российской периферии качествами")</f>
        <v>Абсолютно обычные люди, с присущими всем жителям российской периферии качествами</v>
      </c>
      <c r="X1951" s="6" t="str">
        <f>IFERROR(__xludf.DUMMYFUNCTION("""COMPUTED_VALUE"""),"Советский проспект-набережная реки Томь")</f>
        <v>Советский проспект-набережная реки Томь</v>
      </c>
      <c r="Y1951" s="6" t="str">
        <f>IFERROR(__xludf.DUMMYFUNCTION("""COMPUTED_VALUE"""),"-")</f>
        <v>-</v>
      </c>
      <c r="Z1951" s="6" t="str">
        <f>IFERROR(__xludf.DUMMYFUNCTION("""COMPUTED_VALUE"""),"Концерт ""Звезды мирового рока""")</f>
        <v>Концерт "Звезды мирового рока"</v>
      </c>
      <c r="AA1951" s="6" t="str">
        <f>IFERROR(__xludf.DUMMYFUNCTION("""COMPUTED_VALUE"""),"-")</f>
        <v>-</v>
      </c>
      <c r="AB1951" s="6" t="str">
        <f>IFERROR(__xludf.DUMMYFUNCTION("""COMPUTED_VALUE"""),"-")</f>
        <v>-</v>
      </c>
      <c r="AC1951" s="6" t="str">
        <f>IFERROR(__xludf.DUMMYFUNCTION("""COMPUTED_VALUE"""),"-")</f>
        <v>-</v>
      </c>
      <c r="AD195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п"&amp;"оле ""Другое"")")</f>
        <v>Организатора. Собрать соседей/знакомых для обсуждения и решения районных и городских проблем, собрать подписи, поучаствовать в организации., Профессионала. Обучать, проводить занятия, мастер-классы, лекции, тренинги, оказать консультацию (укажите тему в поле "Другое")</v>
      </c>
      <c r="AE1951" s="6" t="str">
        <f>IFERROR(__xludf.DUMMYFUNCTION("""COMPUTED_VALUE"""),"Мужской")</f>
        <v>Мужской</v>
      </c>
      <c r="AF1951" s="6" t="str">
        <f>IFERROR(__xludf.DUMMYFUNCTION("""COMPUTED_VALUE"""),"18-29")</f>
        <v>18-29</v>
      </c>
      <c r="AG1951" s="6"/>
      <c r="AH1951" s="6"/>
      <c r="AI1951" s="6"/>
      <c r="AJ1951" s="6"/>
      <c r="AK1951" s="6"/>
      <c r="AL1951" s="6"/>
      <c r="AM1951" s="6"/>
    </row>
    <row r="1952">
      <c r="A1952" s="6">
        <v>1951.0</v>
      </c>
      <c r="B1952" s="6" t="str">
        <f>IFERROR(__xludf.DUMMYFUNCTION("""COMPUTED_VALUE"""),"IT")</f>
        <v>IT</v>
      </c>
      <c r="C1952" s="6" t="str">
        <f>IFERROR(__xludf.DUMMYFUNCTION("""COMPUTED_VALUE"""),"Горные лыжи, путешествия, кроссфит")</f>
        <v>Горные лыжи, путешествия, кроссфит</v>
      </c>
      <c r="D1952" s="6" t="str">
        <f>IFERROR(__xludf.DUMMYFUNCTION("""COMPUTED_VALUE"""),"Ленинский")</f>
        <v>Ленинский</v>
      </c>
      <c r="E1952" s="6" t="str">
        <f>IFERROR(__xludf.DUMMYFUNCTION("""COMPUTED_VALUE"""),"Променад-2, Миртек, Спутник на Комсомольском, Хлеб Соль, Парк на Химиков")</f>
        <v>Променад-2, Миртек, Спутник на Комсомольском, Хлеб Соль, Парк на Химиков</v>
      </c>
      <c r="F1952" s="6" t="str">
        <f>IFERROR(__xludf.DUMMYFUNCTION("""COMPUTED_VALUE"""),"Переехал сюда из другого места (откуда? укажите в графе другое), д. Старочервово, Кемеровский район")</f>
        <v>Переехал сюда из другого места (откуда? укажите в графе другое), д. Старочервово, Кемеровский район</v>
      </c>
      <c r="G1952" s="6" t="str">
        <f>IFERROR(__xludf.DUMMYFUNCTION("""COMPUTED_VALUE"""),"Люблю гулять в парках и прогулочных зонах, хожу в кафе, кино, на лыжах, Хаски в Елыкаево, Томская писаница, Танай, Озеро в Кедровом бору по яшкинской трассе")</f>
        <v>Люблю гулять в парках и прогулочных зонах, хожу в кафе, кино, на лыжах, Хаски в Елыкаево, Томская писаница, Танай, Озеро в Кедровом бору по яшкинской трассе</v>
      </c>
      <c r="H1952" s="6" t="str">
        <f>IFERROR(__xludf.DUMMYFUNCTION("""COMPUTED_VALUE"""),"Зеленый город, Сибирские Блины")</f>
        <v>Зеленый город, Сибирские Блины</v>
      </c>
      <c r="I1952" s="6" t="str">
        <f>IFERROR(__xludf.DUMMYFUNCTION("""COMPUTED_VALUE"""),"Леонов, Панин Андрей")</f>
        <v>Леонов, Панин Андрей</v>
      </c>
      <c r="J1952" s="6" t="str">
        <f>IFERROR(__xludf.DUMMYFUNCTION("""COMPUTED_VALUE"""),"Без понятия")</f>
        <v>Без понятия</v>
      </c>
      <c r="K1952" s="6" t="str">
        <f>IFERROR(__xludf.DUMMYFUNCTION("""COMPUTED_VALUE"""),"Памятник Шахтеру, Красная Горка, Лесная Поляна, Парк Ангелов, Авиатор, Завтра кать, Бульвар Строителей")</f>
        <v>Памятник Шахтеру, Красная Горка, Лесная Поляна, Парк Ангелов, Авиатор, Завтра кать, Бульвар Строителей</v>
      </c>
      <c r="L1952" s="6" t="str">
        <f>IFERROR(__xludf.DUMMYFUNCTION("""COMPUTED_VALUE"""),"-")</f>
        <v>-</v>
      </c>
      <c r="M1952" s="6" t="str">
        <f>IFERROR(__xludf.DUMMYFUNCTION("""COMPUTED_VALUE"""),"-")</f>
        <v>-</v>
      </c>
      <c r="N1952" s="6" t="str">
        <f>IFERROR(__xludf.DUMMYFUNCTION("""COMPUTED_VALUE"""),"Комфортные дворы в жилых районах (предпочтительно машины на паркингах, а не во дворах, просторная застройка, развитая транспортная инфраструктура, качественное и доступное здравоохранение, наличие конкурентного образования: начиная от дошкольного до ВУЗов")</f>
        <v>Комфортные дворы в жилых районах (предпочтительно машины на паркингах, а не во дворах, просторная застройка, развитая транспортная инфраструктура, качественное и доступное здравоохранение, наличие конкурентного образования: начиная от дошкольного до ВУЗов</v>
      </c>
      <c r="O1952" s="6" t="str">
        <f>IFERROR(__xludf.DUMMYFUNCTION("""COMPUTED_VALUE"""),"Не хватает объездной, практически отсутствует ВУЗовское образование, конкурентное с другими ВУЗами страны")</f>
        <v>Не хватает объездной, практически отсутствует ВУЗовское образование, конкурентное с другими ВУЗами страны</v>
      </c>
      <c r="P1952" s="6" t="str">
        <f>IFERROR(__xludf.DUMMYFUNCTION("""COMPUTED_VALUE"""),"СМИ (a42, vse42) баннеры, инста")</f>
        <v>СМИ (a42, vse42) баннеры, инста</v>
      </c>
      <c r="Q1952"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 результаты местных исследований (рейтинги/ан"&amp;"алитика/тенденции)")</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 результаты местных исследований (рейтинги/аналитика/тенденции)</v>
      </c>
      <c r="R1952" s="6" t="str">
        <f>IFERROR(__xludf.DUMMYFUNCTION("""COMPUTED_VALUE"""),"-")</f>
        <v>-</v>
      </c>
      <c r="S1952" s="6" t="str">
        <f>IFERROR(__xludf.DUMMYFUNCTION("""COMPUTED_VALUE"""),"Нет, не приходилось")</f>
        <v>Нет, не приходилось</v>
      </c>
      <c r="T1952" s="6" t="str">
        <f>IFERROR(__xludf.DUMMYFUNCTION("""COMPUTED_VALUE"""),"Уютный, зеленый город, расположенный выгодно от Горного Алтая, Шерегеша, Кузнецкого Алатау, Новосибирска, Томска")</f>
        <v>Уютный, зеленый город, расположенный выгодно от Горного Алтая, Шерегеша, Кузнецкого Алатау, Новосибирска, Томска</v>
      </c>
      <c r="U1952" s="6" t="str">
        <f>IFERROR(__xludf.DUMMYFUNCTION("""COMPUTED_VALUE"""),"Площадь советов, Набережная, Весенька, Комсомольский Парк")</f>
        <v>Площадь советов, Набережная, Весенька, Комсомольский Парк</v>
      </c>
      <c r="V1952" s="6" t="str">
        <f>IFERROR(__xludf.DUMMYFUNCTION("""COMPUTED_VALUE"""),"-")</f>
        <v>-</v>
      </c>
      <c r="W1952" s="6" t="str">
        <f>IFERROR(__xludf.DUMMYFUNCTION("""COMPUTED_VALUE"""),"-")</f>
        <v>-</v>
      </c>
      <c r="X1952" s="6" t="str">
        <f>IFERROR(__xludf.DUMMYFUNCTION("""COMPUTED_VALUE"""),"Весенька + Набережная")</f>
        <v>Весенька + Набережная</v>
      </c>
      <c r="Y1952" s="6" t="str">
        <f>IFERROR(__xludf.DUMMYFUNCTION("""COMPUTED_VALUE"""),"-")</f>
        <v>-</v>
      </c>
      <c r="Z1952" s="6" t="str">
        <f>IFERROR(__xludf.DUMMYFUNCTION("""COMPUTED_VALUE"""),"Рок-фестиваль, который устроил Стройсервис")</f>
        <v>Рок-фестиваль, который устроил Стройсервис</v>
      </c>
      <c r="AA1952" s="6" t="str">
        <f>IFERROR(__xludf.DUMMYFUNCTION("""COMPUTED_VALUE"""),"-")</f>
        <v>-</v>
      </c>
      <c r="AB1952" s="6" t="str">
        <f>IFERROR(__xludf.DUMMYFUNCTION("""COMPUTED_VALUE"""),"-")</f>
        <v>-</v>
      </c>
      <c r="AC1952" s="6" t="str">
        <f>IFERROR(__xludf.DUMMYFUNCTION("""COMPUTED_VALUE"""),"-")</f>
        <v>-</v>
      </c>
      <c r="AD1952"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52" s="6" t="str">
        <f>IFERROR(__xludf.DUMMYFUNCTION("""COMPUTED_VALUE"""),"Мужской")</f>
        <v>Мужской</v>
      </c>
      <c r="AF1952" s="6" t="str">
        <f>IFERROR(__xludf.DUMMYFUNCTION("""COMPUTED_VALUE"""),"30-44")</f>
        <v>30-44</v>
      </c>
      <c r="AG1952" s="6"/>
      <c r="AH1952" s="6"/>
      <c r="AI1952" s="6"/>
      <c r="AJ1952" s="6"/>
      <c r="AK1952" s="6"/>
      <c r="AL1952" s="6"/>
      <c r="AM1952" s="6"/>
    </row>
    <row r="1953">
      <c r="A1953" s="6">
        <v>1952.0</v>
      </c>
      <c r="B1953" s="6" t="str">
        <f>IFERROR(__xludf.DUMMYFUNCTION("""COMPUTED_VALUE"""),"Безработный")</f>
        <v>Безработный</v>
      </c>
      <c r="C1953" s="6" t="str">
        <f>IFERROR(__xludf.DUMMYFUNCTION("""COMPUTED_VALUE"""),"Да. Киберспорт.")</f>
        <v>Да. Киберспорт.</v>
      </c>
      <c r="D1953" s="6" t="str">
        <f>IFERROR(__xludf.DUMMYFUNCTION("""COMPUTED_VALUE"""),"Центральный. Центр.")</f>
        <v>Центральный. Центр.</v>
      </c>
      <c r="E1953" s="6" t="str">
        <f>IFERROR(__xludf.DUMMYFUNCTION("""COMPUTED_VALUE"""),"Районы от Кузнецкого моста до Красноармейской улицу, от неё до цирка, от университетского Моста через набережную обратно до Кузнецкого моста. Вот этот районный квадрат начертил весь значимый для меня!")</f>
        <v>Районы от Кузнецкого моста до Красноармейской улицу, от неё до цирка, от университетского Моста через набережную обратно до Кузнецкого моста. Вот этот районный квадрат начертил весь значимый для меня!</v>
      </c>
      <c r="F1953" s="6" t="str">
        <f>IFERROR(__xludf.DUMMYFUNCTION("""COMPUTED_VALUE"""),"Живу здесь с рождения")</f>
        <v>Живу здесь с рождения</v>
      </c>
      <c r="G1953" s="6" t="str">
        <f>IFERROR(__xludf.DUMMYFUNCTION("""COMPUTED_VALUE"""),"Прогулки по центральному району ")</f>
        <v>Прогулки по центральному району </v>
      </c>
      <c r="H1953" s="6" t="str">
        <f>IFERROR(__xludf.DUMMYFUNCTION("""COMPUTED_VALUE"""),"Сибирь , Кузбасс , хоккей с мячом , зимняя вишня , Тулеев ")</f>
        <v>Сибирь , Кузбасс , хоккей с мячом , зимняя вишня , Тулеев </v>
      </c>
      <c r="I1953" s="6" t="str">
        <f>IFERROR(__xludf.DUMMYFUNCTION("""COMPUTED_VALUE""")," Виталий Раздаев, Тулеев ")</f>
        <v> Виталий Раздаев, Тулеев </v>
      </c>
      <c r="J1953" s="6" t="str">
        <f>IFERROR(__xludf.DUMMYFUNCTION("""COMPUTED_VALUE"""),"Не могу выделить кого-то , т.к. не вижу прогресса в городе ")</f>
        <v>Не могу выделить кого-то , т.к. не вижу прогресса в городе </v>
      </c>
      <c r="K1953" s="6" t="str">
        <f>IFERROR(__xludf.DUMMYFUNCTION("""COMPUTED_VALUE"""),"Парк Ангелов , набережная с парком чудес , красная горка")</f>
        <v>Парк Ангелов , набережная с парком чудес , красная горка</v>
      </c>
      <c r="L1953" s="6" t="str">
        <f>IFERROR(__xludf.DUMMYFUNCTION("""COMPUTED_VALUE"""),"Честно не знаю ")</f>
        <v>Честно не знаю </v>
      </c>
      <c r="M1953" s="6" t="str">
        <f>IFERROR(__xludf.DUMMYFUNCTION("""COMPUTED_VALUE"""),"Я думаю они есть, но они настолько обыденны , что не могу назвать , потому что не приходят в голову ")</f>
        <v>Я думаю они есть, но они настолько обыденны , что не могу назвать , потому что не приходят в голову </v>
      </c>
      <c r="N1953" s="6" t="str">
        <f>IFERROR(__xludf.DUMMYFUNCTION("""COMPUTED_VALUE"""),"Чистота, минимальное количество машин , большое количество людей на улицах, большой выбор магазинов, больше мест для прогулок")</f>
        <v>Чистота, минимальное количество машин , большое количество людей на улицах, большой выбор магазинов, больше мест для прогулок</v>
      </c>
      <c r="O1953" s="6" t="str">
        <f>IFERROR(__xludf.DUMMYFUNCTION("""COMPUTED_VALUE"""),"Построить объездную дорогу , чтобы разгрузить бедный Кузнецкий проспект .")</f>
        <v>Построить объездную дорогу , чтобы разгрузить бедный Кузнецкий проспект .</v>
      </c>
      <c r="P1953" s="6" t="str">
        <f>IFERROR(__xludf.DUMMYFUNCTION("""COMPUTED_VALUE"""),"ВКонтакте и Инстаграм , инцидент Кемерово , Кузбасс новости и прочие они все одинаковые ")</f>
        <v>ВКонтакте и Инстаграм , инцидент Кемерово , Кузбасс новости и прочие они все одинаковые </v>
      </c>
      <c r="Q1953" s="6" t="str">
        <f>IFERROR(__xludf.DUMMYFUNCTION("""COMPUTED_VALUE"""),"городская афиша (кино/театр/концерты), криминальные новости (происшествия/преступления), результаты местных исследований (рейтинги/аналитика/тенденции)")</f>
        <v>городская афиша (кино/театр/концерты), криминальные новости (происшествия/преступления), результаты местных исследований (рейтинги/аналитика/тенденции)</v>
      </c>
      <c r="R1953" s="6" t="str">
        <f>IFERROR(__xludf.DUMMYFUNCTION("""COMPUTED_VALUE"""),"Таковых нет")</f>
        <v>Таковых нет</v>
      </c>
      <c r="S1953" s="6" t="str">
        <f>IFERROR(__xludf.DUMMYFUNCTION("""COMPUTED_VALUE"""),"Нет, не приходилось")</f>
        <v>Нет, не приходилось</v>
      </c>
      <c r="T1953" s="6" t="str">
        <f>IFERROR(__xludf.DUMMYFUNCTION("""COMPUTED_VALUE"""),"Зимняя вишня , последние 3 года , когда куда-то выбираюсь , отвечая , что из Кемерово напоминают про эту печальную известность.")</f>
        <v>Зимняя вишня , последние 3 года , когда куда-то выбираюсь , отвечая , что из Кемерово напоминают про эту печальную известность.</v>
      </c>
      <c r="U1953" s="6" t="str">
        <f>IFERROR(__xludf.DUMMYFUNCTION("""COMPUTED_VALUE"""),"Выделю площадь советов ")</f>
        <v>Выделю площадь советов </v>
      </c>
      <c r="V1953" s="6" t="str">
        <f>IFERROR(__xludf.DUMMYFUNCTION("""COMPUTED_VALUE"""),"Был спорт футбол и хоккей с мячом , Кемерово там признавали, а сейчас он умер. Из последнего волейбол Кемерово признают. Из других направлений в голову ничего не приходит .")</f>
        <v>Был спорт футбол и хоккей с мячом , Кемерово там признавали, а сейчас он умер. Из последнего волейбол Кемерово признают. Из других направлений в голову ничего не приходит .</v>
      </c>
      <c r="W1953" s="6" t="str">
        <f>IFERROR(__xludf.DUMMYFUNCTION("""COMPUTED_VALUE"""),"Думаю всё-таки , попросить помощь в экстренной ситуации они помогут , не отвернутся . Вроде город большой, но у нас тут все друг друга знают.")</f>
        <v>Думаю всё-таки , попросить помощь в экстренной ситуации они помогут , не отвернутся . Вроде город большой, но у нас тут все друг друга знают.</v>
      </c>
      <c r="X1953" s="6" t="str">
        <f>IFERROR(__xludf.DUMMYFUNCTION("""COMPUTED_VALUE"""),"Смотря с какого района, если от моего дома , то это от горсада через набережную до красной , с неё до весенней , парк ангелов обратно до советского.")</f>
        <v>Смотря с какого района, если от моего дома , то это от горсада через набережную до красной , с неё до весенней , парк ангелов обратно до советского.</v>
      </c>
      <c r="Y1953" s="6" t="str">
        <f>IFERROR(__xludf.DUMMYFUNCTION("""COMPUTED_VALUE"""),"Приходят только печальные события. Отвечал до этого . Возможно чемпионы России по волейболу и чемпионат мира по хоккею с мячом . Был реальный бум. Нужен толчок в городе , чтобы у людей проснулся интерес к чему либо.")</f>
        <v>Приходят только печальные события. Отвечал до этого . Возможно чемпионы России по волейболу и чемпионат мира по хоккею с мячом . Был реальный бум. Нужен толчок в городе , чтобы у людей проснулся интерес к чему либо.</v>
      </c>
      <c r="Z1953" s="6" t="str">
        <f>IFERROR(__xludf.DUMMYFUNCTION("""COMPUTED_VALUE"""),"Кормят обещаниями , что стадион химик переделают под футбол ")</f>
        <v>Кормят обещаниями , что стадион химик переделают под футбол </v>
      </c>
      <c r="AA1953" s="6" t="str">
        <f>IFERROR(__xludf.DUMMYFUNCTION("""COMPUTED_VALUE"""),"Ограничения из-за пандемии ")</f>
        <v>Ограничения из-за пандемии </v>
      </c>
      <c r="AB1953" s="6" t="str">
        <f>IFERROR(__xludf.DUMMYFUNCTION("""COMPUTED_VALUE"""),"-")</f>
        <v>-</v>
      </c>
      <c r="AC1953" s="6" t="str">
        <f>IFERROR(__xludf.DUMMYFUNCTION("""COMPUTED_VALUE"""),"В первую очередь это сто процентов спорт международного уровня, будут туристы, болельщики с других городов/стран, а так получается у нас город тупик никому не интересен ")</f>
        <v>В первую очередь это сто процентов спорт международного уровня, будут туристы, болельщики с других городов/стран, а так получается у нас город тупик никому не интересен </v>
      </c>
      <c r="AD195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53" s="6" t="str">
        <f>IFERROR(__xludf.DUMMYFUNCTION("""COMPUTED_VALUE"""),"Мужской")</f>
        <v>Мужской</v>
      </c>
      <c r="AF1953" s="6" t="str">
        <f>IFERROR(__xludf.DUMMYFUNCTION("""COMPUTED_VALUE"""),"18-29")</f>
        <v>18-29</v>
      </c>
      <c r="AG1953" s="6"/>
      <c r="AH1953" s="6"/>
      <c r="AI1953" s="6"/>
      <c r="AJ1953" s="6"/>
      <c r="AK1953" s="6"/>
      <c r="AL1953" s="6"/>
      <c r="AM1953" s="6"/>
    </row>
    <row r="1954">
      <c r="A1954" s="6">
        <v>1953.0</v>
      </c>
      <c r="B1954" s="6" t="str">
        <f>IFERROR(__xludf.DUMMYFUNCTION("""COMPUTED_VALUE"""),"Мама в декрете")</f>
        <v>Мама в декрете</v>
      </c>
      <c r="C1954" s="6" t="str">
        <f>IFERROR(__xludf.DUMMYFUNCTION("""COMPUTED_VALUE"""),"Рукоделие,музыка")</f>
        <v>Рукоделие,музыка</v>
      </c>
      <c r="D1954" s="6" t="str">
        <f>IFERROR(__xludf.DUMMYFUNCTION("""COMPUTED_VALUE"""),"Ленинский")</f>
        <v>Ленинский</v>
      </c>
      <c r="E1954" s="6" t="str">
        <f>IFERROR(__xludf.DUMMYFUNCTION("""COMPUTED_VALUE"""),"Бульвар строителей")</f>
        <v>Бульвар строителей</v>
      </c>
      <c r="F1954" s="6" t="str">
        <f>IFERROR(__xludf.DUMMYFUNCTION("""COMPUTED_VALUE"""),"Живу здесь с рождения")</f>
        <v>Живу здесь с рождения</v>
      </c>
      <c r="G1954" s="6" t="str">
        <f>IFERROR(__xludf.DUMMYFUNCTION("""COMPUTED_VALUE"""),"Набережная,парк чудес,бульвар строителей,ТЦ Я,Лето,Облака")</f>
        <v>Набережная,парк чудес,бульвар строителей,ТЦ Я,Лето,Облака</v>
      </c>
      <c r="H1954" s="6" t="str">
        <f>IFERROR(__xludf.DUMMYFUNCTION("""COMPUTED_VALUE"""),"Пробки (логовое шоссе, красноармейская),смог зимой,поджог мусорных контейнеров в частном секторе,красивая Томь летом,Кузбасский парк")</f>
        <v>Пробки (логовое шоссе, красноармейская),смог зимой,поджог мусорных контейнеров в частном секторе,красивая Томь летом,Кузбасский парк</v>
      </c>
      <c r="I1954" s="6" t="str">
        <f>IFERROR(__xludf.DUMMYFUNCTION("""COMPUTED_VALUE"""),"Леонов")</f>
        <v>Леонов</v>
      </c>
      <c r="J1954" s="6" t="str">
        <f>IFERROR(__xludf.DUMMYFUNCTION("""COMPUTED_VALUE"""),"Гришковец самый известный выходец из Кемерово. Тулеев много сделал для пенсионеров")</f>
        <v>Гришковец самый известный выходец из Кемерово. Тулеев много сделал для пенсионеров</v>
      </c>
      <c r="K1954" s="6" t="str">
        <f>IFERROR(__xludf.DUMMYFUNCTION("""COMPUTED_VALUE"""),"Памятник шахтёру, Крест,Лесная поляна (почти Европейский район,по мнению гостей из Москвы), Набережная")</f>
        <v>Памятник шахтёру, Крест,Лесная поляна (почти Европейский район,по мнению гостей из Москвы), Набережная</v>
      </c>
      <c r="L1954" s="6" t="str">
        <f>IFERROR(__xludf.DUMMYFUNCTION("""COMPUTED_VALUE"""),"""Денег нет,но вы держитесь"". ")</f>
        <v>"Денег нет,но вы держитесь". </v>
      </c>
      <c r="M1954" s="6" t="str">
        <f>IFERROR(__xludf.DUMMYFUNCTION("""COMPUTED_VALUE"""),"Мультифора,вехотка-в столице не понимают значение этих слов.")</f>
        <v>Мультифора,вехотка-в столице не понимают значение этих слов.</v>
      </c>
      <c r="N1954" s="6" t="str">
        <f>IFERROR(__xludf.DUMMYFUNCTION("""COMPUTED_VALUE"""),"Доступный транспорт (не переполненные старые маршрутки),наличие аптек в пешей доступности, наличие современных детских площадок и уличных тренажеров, наличие парков в пешей доступности,развитая культурная жизнь в городе (концерты,спектакли)")</f>
        <v>Доступный транспорт (не переполненные старые маршрутки),наличие аптек в пешей доступности, наличие современных детских площадок и уличных тренажеров, наличие парков в пешей доступности,развитая культурная жизнь в городе (концерты,спектакли)</v>
      </c>
      <c r="O1954" s="6" t="str">
        <f>IFERROR(__xludf.DUMMYFUNCTION("""COMPUTED_VALUE"""),"Экологическую обстановку и проблему с общественным транспортом")</f>
        <v>Экологическую обстановку и проблему с общественным транспортом</v>
      </c>
      <c r="P1954" s="6" t="str">
        <f>IFERROR(__xludf.DUMMYFUNCTION("""COMPUTED_VALUE"""),"Все 42")</f>
        <v>Все 42</v>
      </c>
      <c r="Q1954" s="6" t="str">
        <f>IFERROR(__xludf.DUMMYFUNCTION("""COMPUTED_VALUE"""),"городская афиша (кино/театр/концерты), культурные новинки (что почитать/что послушать), результаты местных исследований (рейтинги/аналитика/тенденции)")</f>
        <v>городская афиша (кино/театр/концерты), культурные новинки (что почитать/что послушать), результаты местных исследований (рейтинги/аналитика/тенденции)</v>
      </c>
      <c r="R1954" s="6" t="str">
        <f>IFERROR(__xludf.DUMMYFUNCTION("""COMPUTED_VALUE"""),"День города,9 мая,день шахтера")</f>
        <v>День города,9 мая,день шахтера</v>
      </c>
      <c r="S1954" s="6" t="str">
        <f>IFERROR(__xludf.DUMMYFUNCTION("""COMPUTED_VALUE"""),"Нет, не приходилось")</f>
        <v>Нет, не приходилось</v>
      </c>
      <c r="T1954" s="6" t="str">
        <f>IFERROR(__xludf.DUMMYFUNCTION("""COMPUTED_VALUE"""),"Угольный край")</f>
        <v>Угольный край</v>
      </c>
      <c r="U1954" s="6" t="str">
        <f>IFERROR(__xludf.DUMMYFUNCTION("""COMPUTED_VALUE"""),"Драма-набережная")</f>
        <v>Драма-набережная</v>
      </c>
      <c r="V1954" s="6" t="str">
        <f>IFERROR(__xludf.DUMMYFUNCTION("""COMPUTED_VALUE"""),"Построили Лесную поляну")</f>
        <v>Построили Лесную поляну</v>
      </c>
      <c r="W1954" s="6" t="str">
        <f>IFERROR(__xludf.DUMMYFUNCTION("""COMPUTED_VALUE"""),"Закрытые,честные, справедливые")</f>
        <v>Закрытые,честные, справедливые</v>
      </c>
      <c r="X1954" s="6" t="str">
        <f>IFERROR(__xludf.DUMMYFUNCTION("""COMPUTED_VALUE"""),"Площадь Кирова-администрация-драма-набережная-памятник Шахтёру")</f>
        <v>Площадь Кирова-администрация-драма-набережная-памятник Шахтёру</v>
      </c>
      <c r="Y1954" s="6" t="str">
        <f>IFERROR(__xludf.DUMMYFUNCTION("""COMPUTED_VALUE"""),"Открытие нового моста")</f>
        <v>Открытие нового моста</v>
      </c>
      <c r="Z1954" s="6" t="str">
        <f>IFERROR(__xludf.DUMMYFUNCTION("""COMPUTED_VALUE"""),"Концерт группы Louna")</f>
        <v>Концерт группы Louna</v>
      </c>
      <c r="AA1954" s="6" t="str">
        <f>IFERROR(__xludf.DUMMYFUNCTION("""COMPUTED_VALUE"""),"Смог")</f>
        <v>Смог</v>
      </c>
      <c r="AB1954" s="6" t="str">
        <f>IFERROR(__xludf.DUMMYFUNCTION("""COMPUTED_VALUE"""),"Людей, ведущих ЗОЖ")</f>
        <v>Людей, ведущих ЗОЖ</v>
      </c>
      <c r="AC1954" s="6" t="str">
        <f>IFERROR(__xludf.DUMMYFUNCTION("""COMPUTED_VALUE"""),"Концерты хорошей музыки, спортивные мероприятия")</f>
        <v>Концерты хорошей музыки, спортивные мероприятия</v>
      </c>
      <c r="AD1954" s="6" t="str">
        <f>IFERROR(__xludf.DUMMYFUNCTION("""COMPUTED_VALUE"""),"Не готов принимать личное участие (укажите, пожалуйста, причину в поле «Другое»), Маленький ребенок")</f>
        <v>Не готов принимать личное участие (укажите, пожалуйста, причину в поле «Другое»), Маленький ребенок</v>
      </c>
      <c r="AE1954" s="6" t="str">
        <f>IFERROR(__xludf.DUMMYFUNCTION("""COMPUTED_VALUE"""),"Женский")</f>
        <v>Женский</v>
      </c>
      <c r="AF1954" s="6" t="str">
        <f>IFERROR(__xludf.DUMMYFUNCTION("""COMPUTED_VALUE"""),"30-44")</f>
        <v>30-44</v>
      </c>
      <c r="AG1954" s="6"/>
      <c r="AH1954" s="6"/>
      <c r="AI1954" s="6"/>
      <c r="AJ1954" s="6"/>
      <c r="AK1954" s="6"/>
      <c r="AL1954" s="6"/>
      <c r="AM1954" s="6"/>
    </row>
    <row r="1955">
      <c r="A1955" s="6">
        <v>1954.0</v>
      </c>
      <c r="B1955" s="6" t="str">
        <f>IFERROR(__xludf.DUMMYFUNCTION("""COMPUTED_VALUE"""),"Артист, музыкант")</f>
        <v>Артист, музыкант</v>
      </c>
      <c r="C1955" s="6" t="str">
        <f>IFERROR(__xludf.DUMMYFUNCTION("""COMPUTED_VALUE"""),"Настольные и настольно-ролевые игры")</f>
        <v>Настольные и настольно-ролевые игры</v>
      </c>
      <c r="D1955" s="6" t="str">
        <f>IFERROR(__xludf.DUMMYFUNCTION("""COMPUTED_VALUE"""),"Ленинградский")</f>
        <v>Ленинградский</v>
      </c>
      <c r="E1955" s="6" t="str">
        <f>IFERROR(__xludf.DUMMYFUNCTION("""COMPUTED_VALUE"""),"Кузнецкий парк, бульвар строителей - аллея")</f>
        <v>Кузнецкий парк, бульвар строителей - аллея</v>
      </c>
      <c r="F1955" s="6" t="str">
        <f>IFERROR(__xludf.DUMMYFUNCTION("""COMPUTED_VALUE"""),"Переехал сюда из другого места (откуда? укажите в графе другое), Переехала из Назарово (Красноярский край)  учиться - закончила. Работаю и живу в Кемерово")</f>
        <v>Переехал сюда из другого места (откуда? укажите в графе другое), Переехала из Назарово (Красноярский край)  учиться - закончила. Работаю и живу в Кемерово</v>
      </c>
      <c r="G1955" s="6" t="str">
        <f>IFERROR(__xludf.DUMMYFUNCTION("""COMPUTED_VALUE"""),"Парк Чудес, Кузнецкий парк, Клуб настольных игр G&amp;R, Театр для детей и молодежи, кинотеатры, сосновый бор.")</f>
        <v>Парк Чудес, Кузнецкий парк, Клуб настольных игр G&amp;R, Театр для детей и молодежи, кинотеатры, сосновый бор.</v>
      </c>
      <c r="H1955" s="6" t="str">
        <f>IFERROR(__xludf.DUMMYFUNCTION("""COMPUTED_VALUE"""),"Зелень, Осадки, Работа, Транспортные проблемы, Большая деревня")</f>
        <v>Зелень, Осадки, Работа, Транспортные проблемы, Большая деревня</v>
      </c>
      <c r="I1955" s="6" t="str">
        <f>IFERROR(__xludf.DUMMYFUNCTION("""COMPUTED_VALUE"""),"Леонов, Гришковец, Вера Волошина")</f>
        <v>Леонов, Гришковец, Вера Волошина</v>
      </c>
      <c r="J1955" s="6" t="str">
        <f>IFERROR(__xludf.DUMMYFUNCTION("""COMPUTED_VALUE"""),"Не знаю")</f>
        <v>Не знаю</v>
      </c>
      <c r="K1955" s="6" t="str">
        <f>IFERROR(__xludf.DUMMYFUNCTION("""COMPUTED_VALUE"""),"Томская писаница, музей Красная горка, Парк чудес, Набережная")</f>
        <v>Томская писаница, музей Красная горка, Парк чудес, Набережная</v>
      </c>
      <c r="L1955" s="6" t="str">
        <f>IFERROR(__xludf.DUMMYFUNCTION("""COMPUTED_VALUE"""),"Чем богаты - тем и рады. Люди ВЕЗДЕ разные. ")</f>
        <v>Чем богаты - тем и рады. Люди ВЕЗДЕ разные. </v>
      </c>
      <c r="M1955" s="6" t="str">
        <f>IFERROR(__xludf.DUMMYFUNCTION("""COMPUTED_VALUE"""),"Пачка - в переводе прикол")</f>
        <v>Пачка - в переводе прикол</v>
      </c>
      <c r="N1955" s="6" t="str">
        <f>IFERROR(__xludf.DUMMYFUNCTION("""COMPUTED_VALUE"""),"1. Много зелени
2. чистый воздух
3. много общественного транспорта, который ходит до поздна
4.  Уборка территорий и снега
5. благожелательные люди")</f>
        <v>1. Много зелени
2. чистый воздух
3. много общественного транспорта, который ходит до поздна
4.  Уборка территорий и снега
5. благожелательные люди</v>
      </c>
      <c r="O1955" s="6" t="str">
        <f>IFERROR(__xludf.DUMMYFUNCTION("""COMPUTED_VALUE"""),"цены на квартиры")</f>
        <v>цены на квартиры</v>
      </c>
      <c r="P1955" s="6" t="str">
        <f>IFERROR(__xludf.DUMMYFUNCTION("""COMPUTED_VALUE"""),"через знакомых, инстаграмм.")</f>
        <v>через знакомых, инстаграмм.</v>
      </c>
      <c r="Q1955" s="6" t="str">
        <f>IFERROR(__xludf.DUMMYFUNCTION("""COMPUTED_VALUE"""),"куда пойти в свободное время, городская афиша (кино/театр/концерты), новости про новые профессии/куда поступать/вакансии")</f>
        <v>куда пойти в свободное время, городская афиша (кино/театр/концерты), новости про новые профессии/куда поступать/вакансии</v>
      </c>
      <c r="R1955" s="6" t="str">
        <f>IFERROR(__xludf.DUMMYFUNCTION("""COMPUTED_VALUE"""),"Новый год")</f>
        <v>Новый год</v>
      </c>
      <c r="S1955" s="6" t="str">
        <f>IFERROR(__xludf.DUMMYFUNCTION("""COMPUTED_VALUE"""),"Нет, не приходилось")</f>
        <v>Нет, не приходилось</v>
      </c>
      <c r="T1955" s="6" t="str">
        <f>IFERROR(__xludf.DUMMYFUNCTION("""COMPUTED_VALUE"""),"Зимняя вишня, шахты")</f>
        <v>Зимняя вишня, шахты</v>
      </c>
      <c r="U1955" s="6" t="str">
        <f>IFERROR(__xludf.DUMMYFUNCTION("""COMPUTED_VALUE"""),"Парк Чудес и набережная")</f>
        <v>Парк Чудес и набережная</v>
      </c>
      <c r="V1955" s="6" t="str">
        <f>IFERROR(__xludf.DUMMYFUNCTION("""COMPUTED_VALUE"""),"развили инфраструктуру, настроили ТЦ")</f>
        <v>развили инфраструктуру, настроили ТЦ</v>
      </c>
      <c r="W1955" s="6" t="str">
        <f>IFERROR(__xludf.DUMMYFUNCTION("""COMPUTED_VALUE"""),"ВСЕ ЛЮДИ РАЗНЫЕ")</f>
        <v>ВСЕ ЛЮДИ РАЗНЫЕ</v>
      </c>
      <c r="X1955" s="6" t="str">
        <f>IFERROR(__xludf.DUMMYFUNCTION("""COMPUTED_VALUE"""),"Красная горка - парк чудес - набережная - драмтеатр - администрация - филармония")</f>
        <v>Красная горка - парк чудес - набережная - драмтеатр - администрация - филармония</v>
      </c>
      <c r="Y1955" s="6" t="str">
        <f>IFERROR(__xludf.DUMMYFUNCTION("""COMPUTED_VALUE"""),"Зимняя вишня")</f>
        <v>Зимняя вишня</v>
      </c>
      <c r="Z1955" s="6" t="str">
        <f>IFERROR(__xludf.DUMMYFUNCTION("""COMPUTED_VALUE"""),"новый фонтан у  филармонии, концерт Within Temptation")</f>
        <v>новый фонтан у  филармонии, концерт Within Temptation</v>
      </c>
      <c r="AA1955" s="6" t="str">
        <f>IFERROR(__xludf.DUMMYFUNCTION("""COMPUTED_VALUE"""),"-")</f>
        <v>-</v>
      </c>
      <c r="AB1955" s="6" t="str">
        <f>IFERROR(__xludf.DUMMYFUNCTION("""COMPUTED_VALUE"""),"государственный творческий центр для взрослых ")</f>
        <v>государственный творческий центр для взрослых </v>
      </c>
      <c r="AC1955" s="6" t="str">
        <f>IFERROR(__xludf.DUMMYFUNCTION("""COMPUTED_VALUE"""),"тематические праздники, маскарады")</f>
        <v>тематические праздники, маскарады</v>
      </c>
      <c r="AD1955"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55" s="6" t="str">
        <f>IFERROR(__xludf.DUMMYFUNCTION("""COMPUTED_VALUE"""),"Женский")</f>
        <v>Женский</v>
      </c>
      <c r="AF1955" s="6" t="str">
        <f>IFERROR(__xludf.DUMMYFUNCTION("""COMPUTED_VALUE"""),"18-29")</f>
        <v>18-29</v>
      </c>
      <c r="AG1955" s="6"/>
      <c r="AH1955" s="6"/>
      <c r="AI1955" s="6"/>
      <c r="AJ1955" s="6"/>
      <c r="AK1955" s="6"/>
      <c r="AL1955" s="6"/>
      <c r="AM1955" s="6"/>
    </row>
    <row r="1956">
      <c r="A1956" s="6">
        <v>1955.0</v>
      </c>
      <c r="B1956" s="6" t="str">
        <f>IFERROR(__xludf.DUMMYFUNCTION("""COMPUTED_VALUE"""),"Сметное дело, экономиечская безопасность")</f>
        <v>Сметное дело, экономиечская безопасность</v>
      </c>
      <c r="C1956" s="6" t="str">
        <f>IFERROR(__xludf.DUMMYFUNCTION("""COMPUTED_VALUE"""),"Интерисуюсь космосом и медиакультурой")</f>
        <v>Интерисуюсь космосом и медиакультурой</v>
      </c>
      <c r="D1956" s="6" t="str">
        <f>IFERROR(__xludf.DUMMYFUNCTION("""COMPUTED_VALUE"""),"Центральный")</f>
        <v>Центральный</v>
      </c>
      <c r="E1956" s="6" t="str">
        <f>IFERROR(__xludf.DUMMYFUNCTION("""COMPUTED_VALUE"""),"Пионерский, Площадь ленина, Филка, Драма, Набережная")</f>
        <v>Пионерский, Площадь ленина, Филка, Драма, Набережная</v>
      </c>
      <c r="F1956" s="6" t="str">
        <f>IFERROR(__xludf.DUMMYFUNCTION("""COMPUTED_VALUE"""),"Живу здесь с рождения")</f>
        <v>Живу здесь с рождения</v>
      </c>
      <c r="G1956" s="6" t="str">
        <f>IFERROR(__xludf.DUMMYFUNCTION("""COMPUTED_VALUE"""),"До магазина, иногда обратно")</f>
        <v>До магазина, иногда обратно</v>
      </c>
      <c r="H1956" s="6" t="str">
        <f>IFERROR(__xludf.DUMMYFUNCTION("""COMPUTED_VALUE"""),"Уголь, Тварь из Томи, Тулеев, Йети, Сибирь")</f>
        <v>Уголь, Тварь из Томи, Тулеев, Йети, Сибирь</v>
      </c>
      <c r="I1956" s="6" t="str">
        <f>IFERROR(__xludf.DUMMYFUNCTION("""COMPUTED_VALUE"""),"Самый популярный ответ будет - Волков, проверяйте")</f>
        <v>Самый популярный ответ будет - Волков, проверяйте</v>
      </c>
      <c r="J1956" s="6" t="str">
        <f>IFERROR(__xludf.DUMMYFUNCTION("""COMPUTED_VALUE"""),"ИП Мокина Н.А. , ИП Усольцев А.В.")</f>
        <v>ИП Мокина Н.А. , ИП Усольцев А.В.</v>
      </c>
      <c r="K1956" s="6" t="str">
        <f>IFERROR(__xludf.DUMMYFUNCTION("""COMPUTED_VALUE"""),"Арарат ресторан ")</f>
        <v>Арарат ресторан </v>
      </c>
      <c r="L1956" s="6" t="str">
        <f>IFERROR(__xludf.DUMMYFUNCTION("""COMPUTED_VALUE"""),"История человечества
Была бы не так крива
Если б они догадались связаться
С человеком из Кемерова")</f>
        <v>История человечества
Была бы не так крива
Если б они догадались связаться
С человеком из Кемерова</v>
      </c>
      <c r="M1956" s="6" t="str">
        <f>IFERROR(__xludf.DUMMYFUNCTION("""COMPUTED_VALUE"""),"Мультифора, вехотка, вода бежит, прививку ставить ")</f>
        <v>Мультифора, вехотка, вода бежит, прививку ставить </v>
      </c>
      <c r="N1956" s="6" t="str">
        <f>IFERROR(__xludf.DUMMYFUNCTION("""COMPUTED_VALUE"""),"Дороги, школы, частный бизнес, инфраструктура, трансопрт ")</f>
        <v>Дороги, школы, частный бизнес, инфраструктура, трансопрт </v>
      </c>
      <c r="O1956" s="6" t="str">
        <f>IFERROR(__xludf.DUMMYFUNCTION("""COMPUTED_VALUE"""),"Экологию и открытыю добычу ")</f>
        <v>Экологию и открытыю добычу </v>
      </c>
      <c r="P1956" s="6" t="str">
        <f>IFERROR(__xludf.DUMMYFUNCTION("""COMPUTED_VALUE"""),"Медуза, афиша")</f>
        <v>Медуза, афиша</v>
      </c>
      <c r="Q1956" s="6" t="str">
        <f>IFERROR(__xludf.DUMMYFUNCTION("""COMPUTED_VALUE"""),"Ничего ")</f>
        <v>Ничего </v>
      </c>
      <c r="R1956" s="6" t="str">
        <f>IFERROR(__xludf.DUMMYFUNCTION("""COMPUTED_VALUE"""),"Нет таких ")</f>
        <v>Нет таких </v>
      </c>
      <c r="S1956" s="6" t="str">
        <f>IFERROR(__xludf.DUMMYFUNCTION("""COMPUTED_VALUE"""),"Нет, не приходилось")</f>
        <v>Нет, не приходилось</v>
      </c>
      <c r="T1956" s="6" t="str">
        <f>IFERROR(__xludf.DUMMYFUNCTION("""COMPUTED_VALUE"""),"Казуальная провинция")</f>
        <v>Казуальная провинция</v>
      </c>
      <c r="U1956" s="6" t="str">
        <f>IFERROR(__xludf.DUMMYFUNCTION("""COMPUTED_VALUE"""),"Площадь или драма")</f>
        <v>Площадь или драма</v>
      </c>
      <c r="V1956" s="6" t="str">
        <f>IFERROR(__xludf.DUMMYFUNCTION("""COMPUTED_VALUE"""),"Жили и умирали")</f>
        <v>Жили и умирали</v>
      </c>
      <c r="W1956" s="6" t="str">
        <f>IFERROR(__xludf.DUMMYFUNCTION("""COMPUTED_VALUE"""),"Уставшие")</f>
        <v>Уставшие</v>
      </c>
      <c r="X1956" s="6" t="str">
        <f>IFERROR(__xludf.DUMMYFUNCTION("""COMPUTED_VALUE"""),"Трасса Кемерово - Новосибирск")</f>
        <v>Трасса Кемерово - Новосибирск</v>
      </c>
      <c r="Y1956" s="6" t="str">
        <f>IFERROR(__xludf.DUMMYFUNCTION("""COMPUTED_VALUE"""),"2008 год, чм по хоккею с мячом. Только сейчас заметил, что вы пишите ""в Кемерове"", до сих пор слух режит")</f>
        <v>2008 год, чм по хоккею с мячом. Только сейчас заметил, что вы пишите "в Кемерове", до сих пор слух режит</v>
      </c>
      <c r="Z1956" s="6" t="str">
        <f>IFERROR(__xludf.DUMMYFUNCTION("""COMPUTED_VALUE"""),"Начало строительство московской площади")</f>
        <v>Начало строительство московской площади</v>
      </c>
      <c r="AA1956" s="6" t="str">
        <f>IFERROR(__xludf.DUMMYFUNCTION("""COMPUTED_VALUE"""),"Очевидно, зимняя вишня, хоть и было несколько раньше ")</f>
        <v>Очевидно, зимняя вишня, хоть и было несколько раньше </v>
      </c>
      <c r="AB1956" s="6" t="str">
        <f>IFERROR(__xludf.DUMMYFUNCTION("""COMPUTED_VALUE"""),"Массоны, рептилоиды, иллюминаты. Не понятна суть вопроса, кружки по интересам, извините за тафтологию, никому не интересны. Кроме сообществ анонимных алкоголиков")</f>
        <v>Массоны, рептилоиды, иллюминаты. Не понятна суть вопроса, кружки по интересам, извините за тафтологию, никому не интересны. Кроме сообществ анонимных алкоголиков</v>
      </c>
      <c r="AC1956" s="6" t="str">
        <f>IFERROR(__xludf.DUMMYFUNCTION("""COMPUTED_VALUE"""),"Дворовая физкультура")</f>
        <v>Дворовая физкультура</v>
      </c>
      <c r="AD1956" s="6" t="str">
        <f>IFERROR(__xludf.DUMMYFUNCTION("""COMPUTED_VALUE"""),"Не готов принимать личное участие (укажите, пожалуйста, причину в поле «Другое»), Планирую переезд")</f>
        <v>Не готов принимать личное участие (укажите, пожалуйста, причину в поле «Другое»), Планирую переезд</v>
      </c>
      <c r="AE1956" s="6" t="str">
        <f>IFERROR(__xludf.DUMMYFUNCTION("""COMPUTED_VALUE"""),"Мужской")</f>
        <v>Мужской</v>
      </c>
      <c r="AF1956" s="6" t="str">
        <f>IFERROR(__xludf.DUMMYFUNCTION("""COMPUTED_VALUE"""),"18-29")</f>
        <v>18-29</v>
      </c>
      <c r="AG1956" s="6"/>
      <c r="AH1956" s="6"/>
      <c r="AI1956" s="6"/>
      <c r="AJ1956" s="6"/>
      <c r="AK1956" s="6"/>
      <c r="AL1956" s="6"/>
      <c r="AM1956" s="6"/>
    </row>
    <row r="1957">
      <c r="A1957" s="6">
        <v>1956.0</v>
      </c>
      <c r="B1957" s="6" t="str">
        <f>IFERROR(__xludf.DUMMYFUNCTION("""COMPUTED_VALUE"""),"образовательная деятельность")</f>
        <v>образовательная деятельность</v>
      </c>
      <c r="C1957" s="6" t="str">
        <f>IFERROR(__xludf.DUMMYFUNCTION("""COMPUTED_VALUE"""),"писательство")</f>
        <v>писательство</v>
      </c>
      <c r="D1957" s="6" t="str">
        <f>IFERROR(__xludf.DUMMYFUNCTION("""COMPUTED_VALUE"""),"Ленинский")</f>
        <v>Ленинский</v>
      </c>
      <c r="E1957" s="6" t="str">
        <f>IFERROR(__xludf.DUMMYFUNCTION("""COMPUTED_VALUE"""),"прогулочная зона вокруг кадетского училища и вдоль по бульвару Строителей, Красное озеро, Кузбасский парк - места, где можно проводить время с детьми")</f>
        <v>прогулочная зона вокруг кадетского училища и вдоль по бульвару Строителей, Красное озеро, Кузбасский парк - места, где можно проводить время с детьми</v>
      </c>
      <c r="F1957" s="6" t="str">
        <f>IFERROR(__xludf.DUMMYFUNCTION("""COMPUTED_VALUE"""),"Переехал сюда из другого места (откуда? укажите в графе другое), приехала учиться в вузе из области и осталась")</f>
        <v>Переехал сюда из другого места (откуда? укажите в графе другое), приехала учиться в вузе из области и осталась</v>
      </c>
      <c r="G1957" s="6" t="str">
        <f>IFERROR(__xludf.DUMMYFUNCTION("""COMPUTED_VALUE"""),"гулять с детьми : 1. в чистые места с хорошим асфальтовым покрытием, детскими площадками, кафешками (горсад, бульвар Строителей, парк им.Веры Волошиной, площадь Советов) 2. Красная горка, Кузбасский парк, Сосновый бор (Крест), озеро Красное, Серебрянный б"&amp;"ор (лес) 3. Томская Писаница, Притомье")</f>
        <v>гулять с детьми : 1. в чистые места с хорошим асфальтовым покрытием, детскими площадками, кафешками (горсад, бульвар Строителей, парк им.Веры Волошиной, площадь Советов) 2. Красная горка, Кузбасский парк, Сосновый бор (Крест), озеро Красное, Серебрянный бор (лес) 3. Томская Писаница, Притомье</v>
      </c>
      <c r="H1957" s="6" t="str">
        <f>IFERROR(__xludf.DUMMYFUNCTION("""COMPUTED_VALUE"""),"Уютный, провинциальный, компактный, дымящие трубы, безработица")</f>
        <v>Уютный, провинциальный, компактный, дымящие трубы, безработица</v>
      </c>
      <c r="I1957" s="6" t="str">
        <f>IFERROR(__xludf.DUMMYFUNCTION("""COMPUTED_VALUE"""),"Евгений Гришковец, Аман Тулеев, Андрей Панин, Алена Бабенко")</f>
        <v>Евгений Гришковец, Аман Тулеев, Андрей Панин, Алена Бабенко</v>
      </c>
      <c r="J1957" s="6" t="str">
        <f>IFERROR(__xludf.DUMMYFUNCTION("""COMPUTED_VALUE"""),"В голову приходят названия кампаний, которые спонсируют улучшения в городе, конкретных имен не знаю. Лавочки в парке победы ""от семьи таких-то"" не в счет... Люди, которые ведут просветительскую деятельность - Владимир Сухацкий, например.")</f>
        <v>В голову приходят названия кампаний, которые спонсируют улучшения в городе, конкретных имен не знаю. Лавочки в парке победы "от семьи таких-то" не в счет... Люди, которые ведут просветительскую деятельность - Владимир Сухацкий, например.</v>
      </c>
      <c r="K1957" s="6" t="str">
        <f>IFERROR(__xludf.DUMMYFUNCTION("""COMPUTED_VALUE"""),"Вид на город с Красной горки (от памятника Э. Неизвестного)  и Креста, дом Рутгерса, Лесная Поляна - места, где хорошо и комфортно гулять, новый ботанический сад, планетарий в КемГУ, набережная и горсад. Парк ангелов - для любопытствующих приехавших, у на"&amp;"с с ним только очень тяжелые ассоциации.")</f>
        <v>Вид на город с Красной горки (от памятника Э. Неизвестного)  и Креста, дом Рутгерса, Лесная Поляна - места, где хорошо и комфортно гулять, новый ботанический сад, планетарий в КемГУ, набережная и горсад. Парк ангелов - для любопытствующих приехавших, у нас с ним только очень тяжелые ассоциации.</v>
      </c>
      <c r="L1957" s="6" t="str">
        <f>IFERROR(__xludf.DUMMYFUNCTION("""COMPUTED_VALUE"""),"Не было бы счастья, да несчастье помогло. Дурная голова ногам покоя не дает. (в основном, это вариации на тему ""сначала строим, потом ломаем, потому что сразу не предусмотрели что-то"")")</f>
        <v>Не было бы счастья, да несчастье помогло. Дурная голова ногам покоя не дает. (в основном, это вариации на тему "сначала строим, потом ломаем, потому что сразу не предусмотрели что-то")</v>
      </c>
      <c r="M1957" s="6" t="str">
        <f>IFERROR(__xludf.DUMMYFUNCTION("""COMPUTED_VALUE"""),"нет")</f>
        <v>нет</v>
      </c>
      <c r="N1957" s="6" t="str">
        <f>IFERROR(__xludf.DUMMYFUNCTION("""COMPUTED_VALUE"""),"Безопасность, чистота, озеленение (природа в городе), красота (архитектура, план застройки), доступность всего людям с ограниченными физическими возможностями")</f>
        <v>Безопасность, чистота, озеленение (природа в городе), красота (архитектура, план застройки), доступность всего людям с ограниченными физическими возможностями</v>
      </c>
      <c r="O1957" s="6" t="str">
        <f>IFERROR(__xludf.DUMMYFUNCTION("""COMPUTED_VALUE"""),"думаю, решать проблемы нужно все-таки комплексно. Например, при застройке новых жилых комплексов разграничить транспортные и пешеходные потоки (в новых домах машины паркуются друг на друга, негде пройти), адаптировать все для инвалидов, цифровизовать пере"&amp;"дачу данных по счетчикам (вода, свет). Сейчас я плачу за квартиру в одну организацию, за отопление и воду - в другую. Каждая присылает по три бумаги в месяц, потому что есть несколько дней, когда  еще не приняли показания, но уже констатировали долг, кото"&amp;"рого нет. На все это тратится куча нервов, бумаги и, соответственно, денег. А можно по-другому. Можно кучу процессов перевести в интернет, телеграм-чат. В том числе рекламу, которая уродует город.")</f>
        <v>думаю, решать проблемы нужно все-таки комплексно. Например, при застройке новых жилых комплексов разграничить транспортные и пешеходные потоки (в новых домах машины паркуются друг на друга, негде пройти), адаптировать все для инвалидов, цифровизовать передачу данных по счетчикам (вода, свет). Сейчас я плачу за квартиру в одну организацию, за отопление и воду - в другую. Каждая присылает по три бумаги в месяц, потому что есть несколько дней, когда  еще не приняли показания, но уже констатировали долг, которого нет. На все это тратится куча нервов, бумаги и, соответственно, денег. А можно по-другому. Можно кучу процессов перевести в интернет, телеграм-чат. В том числе рекламу, которая уродует город.</v>
      </c>
      <c r="P1957" s="6" t="str">
        <f>IFERROR(__xludf.DUMMYFUNCTION("""COMPUTED_VALUE"""),"Инстаграм, телеграм, сарафанное радио, подписка на региональную афишу")</f>
        <v>Инстаграм, телеграм, сарафанное радио, подписка на региональную афишу</v>
      </c>
      <c r="Q1957" s="6" t="str">
        <f>IFERROR(__xludf.DUMMYFUNCTION("""COMPUTED_VALUE"""),"куда пойти в свободное время,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ак"&amp;"ции/запуск новых предприятий)")</f>
        <v>куда пойти в свободное время, культурные новинки (что почитать/что послушать), интервью с местными творческими личностями,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v>
      </c>
      <c r="R1957" s="6" t="str">
        <f>IFERROR(__xludf.DUMMYFUNCTION("""COMPUTED_VALUE"""),"Парад на 9 мая")</f>
        <v>Парад на 9 мая</v>
      </c>
      <c r="S1957" s="6" t="str">
        <f>IFERROR(__xludf.DUMMYFUNCTION("""COMPUTED_VALUE"""),"только по работе")</f>
        <v>только по работе</v>
      </c>
      <c r="T1957" s="6" t="str">
        <f>IFERROR(__xludf.DUMMYFUNCTION("""COMPUTED_VALUE"""),"Известен ""Зимней вишней"". Думаю, большинство горожан любят город, потому что родились в нем или очень давно живут, ценят компактность и маленькие расстояния, ""свой мирок"". Для иногородних Кемерово достаточно чистый и зеленый, но без уникального ""лица"&amp;""". У нас есть областные достопримечательности, городских на открытку, на мой взгляд, нет")</f>
        <v>Известен "Зимней вишней". Думаю, большинство горожан любят город, потому что родились в нем или очень давно живут, ценят компактность и маленькие расстояния, "свой мирок". Для иногородних Кемерово достаточно чистый и зеленый, но без уникального "лица". У нас есть областные достопримечательности, городских на открытку, на мой взгляд, нет</v>
      </c>
      <c r="U1957" s="6" t="str">
        <f>IFERROR(__xludf.DUMMYFUNCTION("""COMPUTED_VALUE"""),"Площадь Советов, ул. Весенняя, Набережная, парк Победы, КемГУ")</f>
        <v>Площадь Советов, ул. Весенняя, Набережная, парк Победы, КемГУ</v>
      </c>
      <c r="V1957" s="6" t="str">
        <f>IFERROR(__xludf.DUMMYFUNCTION("""COMPUTED_VALUE"""),"Отстояли сосновый бор от строительства монументов, представляли город на федеральных площадках (конкурсы, спорт). Создают локальные проекты по благоустройству города, организации отдыха горожан. Занимаются просвещением (мастер-классы для детей, бесплатные"&amp;" уроки, площадки для самовыражения). Например, Анна Даутова - чудо-человек, организатор рождественских и весенних ярмарок. Это любимейшее мероприятие у всех моих друзей и знакомых, коллег.")</f>
        <v>Отстояли сосновый бор от строительства монументов, представляли город на федеральных площадках (конкурсы, спорт). Создают локальные проекты по благоустройству города, организации отдыха горожан. Занимаются просвещением (мастер-классы для детей, бесплатные уроки, площадки для самовыражения). Например, Анна Даутова - чудо-человек, организатор рождественских и весенних ярмарок. Это любимейшее мероприятие у всех моих друзей и знакомых, коллег.</v>
      </c>
      <c r="W1957" s="6" t="str">
        <f>IFERROR(__xludf.DUMMYFUNCTION("""COMPUTED_VALUE"""),"Я могу характеризовать только свое окружение - хорошие, добрые, отзывчивые, адекватные, активные, любознательные, патриотичные (топят за свой город и край, в том числе, через критику, инициируют процесс), с чувством собственного достоинства и справедливос"&amp;"ти, без снобизма и высокомерия.")</f>
        <v>Я могу характеризовать только свое окружение - хорошие, добрые, отзывчивые, адекватные, активные, любознательные, патриотичные (топят за свой город и край, в том числе, через критику, инициируют процесс), с чувством собственного достоинства и справедливости, без снобизма и высокомерия.</v>
      </c>
      <c r="X1957" s="6" t="str">
        <f>IFERROR(__xludf.DUMMYFUNCTION("""COMPUTED_VALUE"""),"Зависит от ходоков и времени года) Красная горка - памятник Неизвестного, вниз до Советского - Площадь Советов - парки Победы и Антошка. Или только бульвар Строителей от начала до конца. Или только Поляна. Или бор, если хочется дышать лесом.")</f>
        <v>Зависит от ходоков и времени года) Красная горка - памятник Неизвестного, вниз до Советского - Площадь Советов - парки Победы и Антошка. Или только бульвар Строителей от начала до конца. Или только Поляна. Или бор, если хочется дышать лесом.</v>
      </c>
      <c r="Y1957" s="6" t="str">
        <f>IFERROR(__xludf.DUMMYFUNCTION("""COMPUTED_VALUE"""),"Самое? Наверное, АИК Кузбасс")</f>
        <v>Самое? Наверное, АИК Кузбасс</v>
      </c>
      <c r="Z1957" s="6" t="str">
        <f>IFERROR(__xludf.DUMMYFUNCTION("""COMPUTED_VALUE"""),"Благоустройство района по пр-ту Московский (облагородили старые дома, привели в порядок дворы, сделали тротуары, новую транспортную развязку), ежегодные рождественские ярмарки Папершоп, рок-фестиваль в юбилей Стройсервиса, вселяет надежды благоустройство "&amp;"территории вокруг нового ледового дворца ""Кузбасс""...  ")</f>
        <v>Благоустройство района по пр-ту Московский (облагородили старые дома, привели в порядок дворы, сделали тротуары, новую транспортную развязку), ежегодные рождественские ярмарки Папершоп, рок-фестиваль в юбилей Стройсервиса, вселяет надежды благоустройство территории вокруг нового ледового дворца "Кузбасс"...  </v>
      </c>
      <c r="AA1957" s="6" t="str">
        <f>IFERROR(__xludf.DUMMYFUNCTION("""COMPUTED_VALUE"""),"Безусловно, ""Зимняя Вишня"". И наш бесконечный ""режим черного неба/снега/воздуха"", который под ""контролем"".")</f>
        <v>Безусловно, "Зимняя Вишня". И наш бесконечный "режим черного неба/снега/воздуха", который под "контролем".</v>
      </c>
      <c r="AB1957" s="6" t="str">
        <f>IFERROR(__xludf.DUMMYFUNCTION("""COMPUTED_VALUE"""),"Образовательных, в том числе для взрослых; экологических; музыкальных")</f>
        <v>Образовательных, в том числе для взрослых; экологических; музыкальных</v>
      </c>
      <c r="AC1957" s="6" t="str">
        <f>IFERROR(__xludf.DUMMYFUNCTION("""COMPUTED_VALUE"""),"Мотивирующих учиться, заниматься спортом, иметь хобби, беречь город и экологию. Мероприятия семейного формата (уличные кинопоказы, концерты). Для подростков и детей разного материального достатка - креативные, с интересными хэдлайнерами,  актуальные. Горо"&amp;"дские мероприятия от Теле2 были очень интересными и живыми.")</f>
        <v>Мотивирующих учиться, заниматься спортом, иметь хобби, беречь город и экологию. Мероприятия семейного формата (уличные кинопоказы, концерты). Для подростков и детей разного материального достатка - креативные, с интересными хэдлайнерами,  актуальные. Городские мероприятия от Теле2 были очень интересными и живыми.</v>
      </c>
      <c r="AD1957" s="6" t="str">
        <f>IFERROR(__xludf.DUMMYFUNCTION("""COMPUTED_VALUE"""),"Волонтера: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ком"&amp;"панию.")</f>
        <v>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957" s="6" t="str">
        <f>IFERROR(__xludf.DUMMYFUNCTION("""COMPUTED_VALUE"""),"Женский")</f>
        <v>Женский</v>
      </c>
      <c r="AF1957" s="6" t="str">
        <f>IFERROR(__xludf.DUMMYFUNCTION("""COMPUTED_VALUE"""),"30-44")</f>
        <v>30-44</v>
      </c>
      <c r="AG1957" s="6"/>
      <c r="AH1957" s="6"/>
      <c r="AI1957" s="6"/>
      <c r="AJ1957" s="6"/>
      <c r="AK1957" s="6"/>
      <c r="AL1957" s="6"/>
      <c r="AM1957" s="6"/>
    </row>
    <row r="1958">
      <c r="A1958" s="6">
        <v>1957.0</v>
      </c>
      <c r="B1958" s="6" t="str">
        <f>IFERROR(__xludf.DUMMYFUNCTION("""COMPUTED_VALUE"""),"образование")</f>
        <v>образование</v>
      </c>
      <c r="C1958" s="6" t="str">
        <f>IFERROR(__xludf.DUMMYFUNCTION("""COMPUTED_VALUE"""),"цветы на даче")</f>
        <v>цветы на даче</v>
      </c>
      <c r="D1958" s="6" t="str">
        <f>IFERROR(__xludf.DUMMYFUNCTION("""COMPUTED_VALUE"""),"центральный")</f>
        <v>центральный</v>
      </c>
      <c r="E1958" s="6" t="str">
        <f>IFERROR(__xludf.DUMMYFUNCTION("""COMPUTED_VALUE"""),"улица весенняя")</f>
        <v>улица весенняя</v>
      </c>
      <c r="F1958" s="6" t="str">
        <f>IFERROR(__xludf.DUMMYFUNCTION("""COMPUTED_VALUE"""),"Живу здесь с рождения")</f>
        <v>Живу здесь с рождения</v>
      </c>
      <c r="G1958" s="6" t="str">
        <f>IFERROR(__xludf.DUMMYFUNCTION("""COMPUTED_VALUE"""),"на дачу, ул. Весенняя, набережная")</f>
        <v>на дачу, ул. Весенняя, набережная</v>
      </c>
      <c r="H1958" s="6" t="str">
        <f>IFERROR(__xludf.DUMMYFUNCTION("""COMPUTED_VALUE"""),"промышленный, уютный, родной")</f>
        <v>промышленный, уютный, родной</v>
      </c>
      <c r="I1958" s="6" t="str">
        <f>IFERROR(__xludf.DUMMYFUNCTION("""COMPUTED_VALUE"""),"Михайлов А.В., Тулеев А.Г.")</f>
        <v>Михайлов А.В., Тулеев А.Г.</v>
      </c>
      <c r="J1958" s="6" t="str">
        <f>IFERROR(__xludf.DUMMYFUNCTION("""COMPUTED_VALUE"""),"затрудняюсь")</f>
        <v>затрудняюсь</v>
      </c>
      <c r="K1958" s="6" t="str">
        <f>IFERROR(__xludf.DUMMYFUNCTION("""COMPUTED_VALUE"""),"разрез Кедровский, улица Весенняя, шахтерское сердце")</f>
        <v>разрез Кедровский, улица Весенняя, шахтерское сердце</v>
      </c>
      <c r="L1958" s="6" t="str">
        <f>IFERROR(__xludf.DUMMYFUNCTION("""COMPUTED_VALUE"""),"не знаю")</f>
        <v>не знаю</v>
      </c>
      <c r="M1958" s="6" t="str">
        <f>IFERROR(__xludf.DUMMYFUNCTION("""COMPUTED_VALUE"""),"не знаю")</f>
        <v>не знаю</v>
      </c>
      <c r="N1958" s="6" t="str">
        <f>IFERROR(__xludf.DUMMYFUNCTION("""COMPUTED_VALUE"""),"транспорт, чистота, доступная среда,")</f>
        <v>транспорт, чистота, доступная среда,</v>
      </c>
      <c r="O1958" s="6" t="str">
        <f>IFERROR(__xludf.DUMMYFUNCTION("""COMPUTED_VALUE"""),"транспортные развязки, чистоту улиц, уборка снега зимой")</f>
        <v>транспортные развязки, чистоту улиц, уборка снега зимой</v>
      </c>
      <c r="P1958" s="6" t="str">
        <f>IFERROR(__xludf.DUMMYFUNCTION("""COMPUTED_VALUE"""),"электронные источники")</f>
        <v>электронные источники</v>
      </c>
      <c r="Q1958" s="6" t="str">
        <f>IFERROR(__xludf.DUMMYFUNCTION("""COMPUTED_VALUE"""),"результаты местных исследований (рейтинги/аналитика/тенденции), интервью с экспертами на разные темы (напишите в разделе Другое свои предложения)")</f>
        <v>результаты местных исследований (рейтинги/аналитика/тенденции), интервью с экспертами на разные темы (напишите в разделе Другое свои предложения)</v>
      </c>
      <c r="R1958" s="6" t="str">
        <f>IFERROR(__xludf.DUMMYFUNCTION("""COMPUTED_VALUE"""),"день города")</f>
        <v>день города</v>
      </c>
      <c r="S1958" s="6" t="str">
        <f>IFERROR(__xludf.DUMMYFUNCTION("""COMPUTED_VALUE"""),"Обращался в редакции электронных городских СМИ")</f>
        <v>Обращался в редакции электронных городских СМИ</v>
      </c>
      <c r="T1958" s="6" t="str">
        <f>IFERROR(__xludf.DUMMYFUNCTION("""COMPUTED_VALUE"""),"главный город шахтерского края")</f>
        <v>главный город шахтерского края</v>
      </c>
      <c r="U1958" s="6" t="str">
        <f>IFERROR(__xludf.DUMMYFUNCTION("""COMPUTED_VALUE"""),"улицу весеннюю, площадь пушкина, площадь советов")</f>
        <v>улицу весеннюю, площадь пушкина, площадь советов</v>
      </c>
      <c r="V1958" s="6" t="str">
        <f>IFERROR(__xludf.DUMMYFUNCTION("""COMPUTED_VALUE"""),"много работали")</f>
        <v>много работали</v>
      </c>
      <c r="W1958" s="6" t="str">
        <f>IFERROR(__xludf.DUMMYFUNCTION("""COMPUTED_VALUE"""),"суровые, но отзывчивые, с открытой душой")</f>
        <v>суровые, но отзывчивые, с открытой душой</v>
      </c>
      <c r="X1958" s="6" t="str">
        <f>IFERROR(__xludf.DUMMYFUNCTION("""COMPUTED_VALUE"""),"улица весенняя и набережная")</f>
        <v>улица весенняя и набережная</v>
      </c>
      <c r="Y1958" s="6" t="str">
        <f>IFERROR(__xludf.DUMMYFUNCTION("""COMPUTED_VALUE"""),"забастовка шахтеров")</f>
        <v>забастовка шахтеров</v>
      </c>
      <c r="Z1958" s="6" t="str">
        <f>IFERROR(__xludf.DUMMYFUNCTION("""COMPUTED_VALUE"""),"активное строительство культурного кластера")</f>
        <v>активное строительство культурного кластера</v>
      </c>
      <c r="AA1958" s="6" t="str">
        <f>IFERROR(__xludf.DUMMYFUNCTION("""COMPUTED_VALUE"""),"не припомню таких")</f>
        <v>не припомню таких</v>
      </c>
      <c r="AB1958" s="6" t="str">
        <f>IFERROR(__xludf.DUMMYFUNCTION("""COMPUTED_VALUE"""),"всего хватает")</f>
        <v>всего хватает</v>
      </c>
      <c r="AC1958" s="6" t="str">
        <f>IFERROR(__xludf.DUMMYFUNCTION("""COMPUTED_VALUE"""),"достаточно мероприятий, по эпидемической обстановке")</f>
        <v>достаточно мероприятий, по эпидемической обстановке</v>
      </c>
      <c r="AD195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58" s="6" t="str">
        <f>IFERROR(__xludf.DUMMYFUNCTION("""COMPUTED_VALUE"""),"Женский")</f>
        <v>Женский</v>
      </c>
      <c r="AF1958" s="6" t="str">
        <f>IFERROR(__xludf.DUMMYFUNCTION("""COMPUTED_VALUE"""),"старше 55")</f>
        <v>старше 55</v>
      </c>
      <c r="AG1958" s="6"/>
      <c r="AH1958" s="6"/>
      <c r="AI1958" s="6"/>
      <c r="AJ1958" s="6"/>
      <c r="AK1958" s="6"/>
      <c r="AL1958" s="6"/>
      <c r="AM1958" s="6"/>
    </row>
    <row r="1959">
      <c r="A1959" s="6">
        <v>1958.0</v>
      </c>
      <c r="B1959" s="6" t="str">
        <f>IFERROR(__xludf.DUMMYFUNCTION("""COMPUTED_VALUE"""),"Автомобили. Ремонт")</f>
        <v>Автомобили. Ремонт</v>
      </c>
      <c r="C1959" s="6" t="str">
        <f>IFERROR(__xludf.DUMMYFUNCTION("""COMPUTED_VALUE"""),"Компьютерные игры, комиксы")</f>
        <v>Компьютерные игры, комиксы</v>
      </c>
      <c r="D1959" s="6" t="str">
        <f>IFERROR(__xludf.DUMMYFUNCTION("""COMPUTED_VALUE"""),"Центральный район. Центр центра")</f>
        <v>Центральный район. Центр центра</v>
      </c>
      <c r="E1959" s="6" t="str">
        <f>IFERROR(__xludf.DUMMYFUNCTION("""COMPUTED_VALUE"""),"Парки Ангелов, Жукова, Чудес, Антошка.")</f>
        <v>Парки Ангелов, Жукова, Чудес, Антошка.</v>
      </c>
      <c r="F1959" s="6" t="str">
        <f>IFERROR(__xludf.DUMMYFUNCTION("""COMPUTED_VALUE"""),"Живу здесь с рождения")</f>
        <v>Живу здесь с рождения</v>
      </c>
      <c r="G1959" s="6" t="str">
        <f>IFERROR(__xludf.DUMMYFUNCTION("""COMPUTED_VALUE"""),"Набережная, парки, ТЦ Ситипарк/Облака/Лента/Я")</f>
        <v>Набережная, парки, ТЦ Ситипарк/Облака/Лента/Я</v>
      </c>
      <c r="H1959" s="6" t="str">
        <f>IFERROR(__xludf.DUMMYFUNCTION("""COMPUTED_VALUE"""),"Уголь, Зимняя Вишня, Томь, Тулеев, Дом")</f>
        <v>Уголь, Зимняя Вишня, Томь, Тулеев, Дом</v>
      </c>
      <c r="I1959" s="6" t="str">
        <f>IFERROR(__xludf.DUMMYFUNCTION("""COMPUTED_VALUE"""),"Леонов, Титов. Булгаков, Подгорбунский")</f>
        <v>Леонов, Титов. Булгаков, Подгорбунский</v>
      </c>
      <c r="J1959" s="6" t="str">
        <f>IFERROR(__xludf.DUMMYFUNCTION("""COMPUTED_VALUE"""),"Нет таких")</f>
        <v>Нет таких</v>
      </c>
      <c r="K1959" s="6" t="str">
        <f>IFERROR(__xludf.DUMMYFUNCTION("""COMPUTED_VALUE"""),"Памятник неизвестному Шахтеру, Парк Ангелов, Набережная")</f>
        <v>Памятник неизвестному Шахтеру, Парк Ангелов, Набережная</v>
      </c>
      <c r="L1959" s="6" t="str">
        <f>IFERROR(__xludf.DUMMYFUNCTION("""COMPUTED_VALUE"""),"Вечный мороз, Медведи по улице ходят")</f>
        <v>Вечный мороз, Медведи по улице ходят</v>
      </c>
      <c r="M1959" s="6" t="str">
        <f>IFERROR(__xludf.DUMMYFUNCTION("""COMPUTED_VALUE"""),"нет")</f>
        <v>нет</v>
      </c>
      <c r="N1959" s="6" t="str">
        <f>IFERROR(__xludf.DUMMYFUNCTION("""COMPUTED_VALUE"""),"Чистота, Большое количество мировых брендов/фирм, безопастные дороги, Экология, Бесплатное лечение")</f>
        <v>Чистота, Большое количество мировых брендов/фирм, безопастные дороги, Экология, Бесплатное лечение</v>
      </c>
      <c r="O1959" s="6" t="str">
        <f>IFERROR(__xludf.DUMMYFUNCTION("""COMPUTED_VALUE"""),"ремонт дорог и чистота дворов")</f>
        <v>ремонт дорог и чистота дворов</v>
      </c>
      <c r="P1959" s="6" t="str">
        <f>IFERROR(__xludf.DUMMYFUNCTION("""COMPUTED_VALUE"""),"Типичный Кемерово вконтакте, яндекс новости в кемерово, радио")</f>
        <v>Типичный Кемерово вконтакте, яндекс новости в кемерово, радио</v>
      </c>
      <c r="Q1959" s="6" t="str">
        <f>IFERROR(__xludf.DUMMYFUNCTION("""COMPUTED_VALUE"""),"где вкусно поесть/открытие новых кафе/ресторанов, городская афиша (кино/театр/концерты), криминальные новости (происшествия/преступления)")</f>
        <v>где вкусно поесть/открытие новых кафе/ресторанов, городская афиша (кино/театр/концерты), криминальные новости (происшествия/преступления)</v>
      </c>
      <c r="R1959" s="6" t="str">
        <f>IFERROR(__xludf.DUMMYFUNCTION("""COMPUTED_VALUE"""),"День Шахтера, День Города")</f>
        <v>День Шахтера, День Города</v>
      </c>
      <c r="S1959" s="6" t="str">
        <f>IFERROR(__xludf.DUMMYFUNCTION("""COMPUTED_VALUE"""),"Нет, не приходилось")</f>
        <v>Нет, не приходилось</v>
      </c>
      <c r="T1959" s="6" t="str">
        <f>IFERROR(__xludf.DUMMYFUNCTION("""COMPUTED_VALUE"""),"Столица Кузбасса, Пожар Зимней вишни. Мы Сибиряки")</f>
        <v>Столица Кузбасса, Пожар Зимней вишни. Мы Сибиряки</v>
      </c>
      <c r="U1959" s="6" t="str">
        <f>IFERROR(__xludf.DUMMYFUNCTION("""COMPUTED_VALUE"""),"Главпочтамт, Площадь Ленина")</f>
        <v>Главпочтамт, Площадь Ленина</v>
      </c>
      <c r="V1959" s="6" t="str">
        <f>IFERROR(__xludf.DUMMYFUNCTION("""COMPUTED_VALUE"""),"Не мусорили")</f>
        <v>Не мусорили</v>
      </c>
      <c r="W1959" s="6" t="str">
        <f>IFERROR(__xludf.DUMMYFUNCTION("""COMPUTED_VALUE"""),"Суровые, неубиваемые, готовые на все, живучие")</f>
        <v>Суровые, неубиваемые, готовые на все, живучие</v>
      </c>
      <c r="X1959" s="6" t="str">
        <f>IFERROR(__xludf.DUMMYFUNCTION("""COMPUTED_VALUE"""),"Парк Антошка-Парк Жукова, Бассейн Лазурный, Филармония, Набережная, Парк Чудес, улица Кирова, Фонтан, ул.Весенняя")</f>
        <v>Парк Антошка-Парк Жукова, Бассейн Лазурный, Филармония, Набережная, Парк Чудес, улица Кирова, Фонтан, ул.Весенняя</v>
      </c>
      <c r="Y1959" s="6" t="str">
        <f>IFERROR(__xludf.DUMMYFUNCTION("""COMPUTED_VALUE"""),"Пожар Зимней Вишне")</f>
        <v>Пожар Зимней Вишне</v>
      </c>
      <c r="Z1959" s="6" t="str">
        <f>IFERROR(__xludf.DUMMYFUNCTION("""COMPUTED_VALUE"""),"Салюты на городские праздники, стройка набережной и ледового на притомской набережной")</f>
        <v>Салюты на городские праздники, стройка набережной и ледового на притомской набережной</v>
      </c>
      <c r="AA1959" s="6" t="str">
        <f>IFERROR(__xludf.DUMMYFUNCTION("""COMPUTED_VALUE"""),"Пожар Зимней Вишне")</f>
        <v>Пожар Зимней Вишне</v>
      </c>
      <c r="AB1959" s="6" t="str">
        <f>IFERROR(__xludf.DUMMYFUNCTION("""COMPUTED_VALUE"""),"Настольные игры")</f>
        <v>Настольные игры</v>
      </c>
      <c r="AC1959" s="6" t="str">
        <f>IFERROR(__xludf.DUMMYFUNCTION("""COMPUTED_VALUE"""),"Аэрошоу")</f>
        <v>Аэрошоу</v>
      </c>
      <c r="AD1959"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959" s="6" t="str">
        <f>IFERROR(__xludf.DUMMYFUNCTION("""COMPUTED_VALUE"""),"Мужской")</f>
        <v>Мужской</v>
      </c>
      <c r="AF1959" s="6" t="str">
        <f>IFERROR(__xludf.DUMMYFUNCTION("""COMPUTED_VALUE"""),"30-44")</f>
        <v>30-44</v>
      </c>
      <c r="AG1959" s="6"/>
      <c r="AH1959" s="6"/>
      <c r="AI1959" s="6"/>
      <c r="AJ1959" s="6"/>
      <c r="AK1959" s="6"/>
      <c r="AL1959" s="6"/>
      <c r="AM1959" s="6"/>
    </row>
    <row r="1960">
      <c r="A1960" s="6">
        <v>1959.0</v>
      </c>
      <c r="B1960" s="6" t="str">
        <f>IFERROR(__xludf.DUMMYFUNCTION("""COMPUTED_VALUE"""),"специалист по закупкам")</f>
        <v>специалист по закупкам</v>
      </c>
      <c r="C1960" s="6" t="str">
        <f>IFERROR(__xludf.DUMMYFUNCTION("""COMPUTED_VALUE"""),"йога")</f>
        <v>йога</v>
      </c>
      <c r="D1960" s="6" t="str">
        <f>IFERROR(__xludf.DUMMYFUNCTION("""COMPUTED_VALUE"""),"Рудничный район, ""Радуга""")</f>
        <v>Рудничный район, "Радуга"</v>
      </c>
      <c r="E1960" s="6" t="str">
        <f>IFERROR(__xludf.DUMMYFUNCTION("""COMPUTED_VALUE"""),"""Сосновый Бор""")</f>
        <v>"Сосновый Бор"</v>
      </c>
      <c r="F1960" s="6" t="str">
        <f>IFERROR(__xludf.DUMMYFUNCTION("""COMPUTED_VALUE"""),"Живу здесь с рождения")</f>
        <v>Живу здесь с рождения</v>
      </c>
      <c r="G1960" s="6" t="str">
        <f>IFERROR(__xludf.DUMMYFUNCTION("""COMPUTED_VALUE"""),"в театры, кинотеатры, кафе, парки, торговые центры.")</f>
        <v>в театры, кинотеатры, кафе, парки, торговые центры.</v>
      </c>
      <c r="H1960" s="6" t="str">
        <f>IFERROR(__xludf.DUMMYFUNCTION("""COMPUTED_VALUE"""),"Родной, загазованный, уютный, речной, загроможденный тяжелым транспортом.")</f>
        <v>Родной, загазованный, уютный, речной, загроможденный тяжелым транспортом.</v>
      </c>
      <c r="I1960" s="6" t="str">
        <f>IFERROR(__xludf.DUMMYFUNCTION("""COMPUTED_VALUE"""),"Михайло Волков, Подгорбунский Михаил Алексеевич, Василий Дмитриевич Фёдоров, .")</f>
        <v>Михайло Волков, Подгорбунский Михаил Алексеевич, Василий Дмитриевич Фёдоров, .</v>
      </c>
      <c r="J1960" s="6" t="str">
        <f>IFERROR(__xludf.DUMMYFUNCTION("""COMPUTED_VALUE"""),"Аман Гумирович Тулеев, Андрей Андреев.")</f>
        <v>Аман Гумирович Тулеев, Андрей Андреев.</v>
      </c>
      <c r="K1960" s="6" t="str">
        <f>IFERROR(__xludf.DUMMYFUNCTION("""COMPUTED_VALUE"""),"Памятник ""Сердце шахтера"", музей-заповедник "" Томская писаница"", прогулялись бы по набережной, мимо гостиницы ""Томь""")</f>
        <v>Памятник "Сердце шахтера", музей-заповедник " Томская писаница", прогулялись бы по набережной, мимо гостиницы "Томь"</v>
      </c>
      <c r="L1960" s="6" t="str">
        <f>IFERROR(__xludf.DUMMYFUNCTION("""COMPUTED_VALUE"""),"""Уголек, как золото: и блестит и ценится.""")</f>
        <v>"Уголек, как золото: и блестит и ценится."</v>
      </c>
      <c r="M1960" s="6" t="str">
        <f>IFERROR(__xludf.DUMMYFUNCTION("""COMPUTED_VALUE"""),"""Кировские пацаны"" ")</f>
        <v>"Кировские пацаны" </v>
      </c>
      <c r="N1960" s="6" t="str">
        <f>IFERROR(__xludf.DUMMYFUNCTION("""COMPUTED_VALUE"""),"Чистый воздух, контингент жителей, наличие доступной и высокооплачиваемой работы в городе, качественные и широкополосные дороги, соответствующие находящемуся в городе транспорту, наличие бесплатных культурно-развлекательных мест для проведения семейного д"&amp;"осуга.")</f>
        <v>Чистый воздух, контингент жителей, наличие доступной и высокооплачиваемой работы в городе, качественные и широкополосные дороги, соответствующие находящемуся в городе транспорту, наличие бесплатных культурно-развлекательных мест для проведения семейного досуга.</v>
      </c>
      <c r="O1960" s="6" t="str">
        <f>IFERROR(__xludf.DUMMYFUNCTION("""COMPUTED_VALUE"""),"Избавиться от крупногабаритного транспорта в самом городе и сделать для них объездную дорогу, сделать подземный тоннель для поездов на выезде из города в сторону Новосибирска, чтобы в пятницу люди выезжали свободно за пределы города и без пробок, запретит"&amp;"ь сбрасывать едкий и ядовитый дым  промышленным предприятиям без очистки, чтобы люди не задыхались. Построить еще один мост через реку Томь и расширить дороги.")</f>
        <v>Избавиться от крупногабаритного транспорта в самом городе и сделать для них объездную дорогу, сделать подземный тоннель для поездов на выезде из города в сторону Новосибирска, чтобы в пятницу люди выезжали свободно за пределы города и без пробок, запретить сбрасывать едкий и ядовитый дым  промышленным предприятиям без очистки, чтобы люди не задыхались. Построить еще один мост через реку Томь и расширить дороги.</v>
      </c>
      <c r="P1960" s="6" t="str">
        <f>IFERROR(__xludf.DUMMYFUNCTION("""COMPUTED_VALUE"""),"""Инстаграм"", ""В контакте"" и новости Кузбасса по телевидению.")</f>
        <v>"Инстаграм", "В контакте" и новости Кузбасса по телевидению.</v>
      </c>
      <c r="Q1960"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f>
        <v>городская афиша (кино/театр/концерты), интервью с местными творческими личностями, результаты местных исследований (рейтинги/аналитика/тенденции), интервью с экспертами на разные темы (напишите в разделе Другое свои предложения)</v>
      </c>
      <c r="R1960" s="6" t="str">
        <f>IFERROR(__xludf.DUMMYFUNCTION("""COMPUTED_VALUE"""),"""День Города"", ""День шахтера"" и празднование ""Дня Победы"".")</f>
        <v>"День Города", "День шахтера" и празднование "Дня Победы".</v>
      </c>
      <c r="S1960" s="6" t="str">
        <f>IFERROR(__xludf.DUMMYFUNCTION("""COMPUTED_VALUE"""),"Нет, не приходилось")</f>
        <v>Нет, не приходилось</v>
      </c>
      <c r="T1960" s="6" t="str">
        <f>IFERROR(__xludf.DUMMYFUNCTION("""COMPUTED_VALUE"""),"Музей-заповедник ""Томская писаница"" и ""Театр для детей и молодежи""")</f>
        <v>Музей-заповедник "Томская писаница" и "Театр для детей и молодежи"</v>
      </c>
      <c r="U1960" s="6" t="str">
        <f>IFERROR(__xludf.DUMMYFUNCTION("""COMPUTED_VALUE"""),"Набережная с "" Вечным огнем""")</f>
        <v>Набережная с " Вечным огнем"</v>
      </c>
      <c r="V1960" s="6" t="str">
        <f>IFERROR(__xludf.DUMMYFUNCTION("""COMPUTED_VALUE"""),"Создали этот город, вместо обычной деревни.")</f>
        <v>Создали этот город, вместо обычной деревни.</v>
      </c>
      <c r="W1960" s="6" t="str">
        <f>IFERROR(__xludf.DUMMYFUNCTION("""COMPUTED_VALUE"""),"Абсолютно разные.")</f>
        <v>Абсолютно разные.</v>
      </c>
      <c r="X1960" s="6" t="str">
        <f>IFERROR(__xludf.DUMMYFUNCTION("""COMPUTED_VALUE"""),"""Центральная часть города""")</f>
        <v>"Центральная часть города"</v>
      </c>
      <c r="Y1960" s="6" t="str">
        <f>IFERROR(__xludf.DUMMYFUNCTION("""COMPUTED_VALUE"""),"Был построен новый мост.")</f>
        <v>Был построен новый мост.</v>
      </c>
      <c r="Z1960" s="6" t="str">
        <f>IFERROR(__xludf.DUMMYFUNCTION("""COMPUTED_VALUE"""),"Фестиваль «Герои мирового рока» в честь 25-летия компании ЗАО «Стройсервис»")</f>
        <v>Фестиваль «Герои мирового рока» в честь 25-летия компании ЗАО «Стройсервис»</v>
      </c>
      <c r="AA1960" s="6" t="str">
        <f>IFERROR(__xludf.DUMMYFUNCTION("""COMPUTED_VALUE"""),"Пожар в ""Зимней Вишне"" ((((")</f>
        <v>Пожар в "Зимней Вишне" ((((</v>
      </c>
      <c r="AB1960" s="6" t="str">
        <f>IFERROR(__xludf.DUMMYFUNCTION("""COMPUTED_VALUE"""),"Клубов по интересам для людей за ""60+"", не для себя, а для родителей!")</f>
        <v>Клубов по интересам для людей за "60+", не для себя, а для родителей!</v>
      </c>
      <c r="AC1960" s="6" t="str">
        <f>IFERROR(__xludf.DUMMYFUNCTION("""COMPUTED_VALUE"""),"Обновить во всех районах города детские площадки!!!")</f>
        <v>Обновить во всех районах города детские площадки!!!</v>
      </c>
      <c r="AD196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60" s="6" t="str">
        <f>IFERROR(__xludf.DUMMYFUNCTION("""COMPUTED_VALUE"""),"Женский")</f>
        <v>Женский</v>
      </c>
      <c r="AF1960" s="6" t="str">
        <f>IFERROR(__xludf.DUMMYFUNCTION("""COMPUTED_VALUE"""),"30-44")</f>
        <v>30-44</v>
      </c>
      <c r="AG1960" s="6"/>
      <c r="AH1960" s="6"/>
      <c r="AI1960" s="6"/>
      <c r="AJ1960" s="6"/>
      <c r="AK1960" s="6"/>
      <c r="AL1960" s="6"/>
      <c r="AM1960" s="6"/>
    </row>
    <row r="1961">
      <c r="A1961" s="6">
        <v>1960.0</v>
      </c>
      <c r="B1961" s="6" t="str">
        <f>IFERROR(__xludf.DUMMYFUNCTION("""COMPUTED_VALUE"""),"Финансовые рынки")</f>
        <v>Финансовые рынки</v>
      </c>
      <c r="C1961" s="6" t="str">
        <f>IFERROR(__xludf.DUMMYFUNCTION("""COMPUTED_VALUE"""),"Тренажерный зал")</f>
        <v>Тренажерный зал</v>
      </c>
      <c r="D1961" s="6" t="str">
        <f>IFERROR(__xludf.DUMMYFUNCTION("""COMPUTED_VALUE"""),"на Московском")</f>
        <v>на Московском</v>
      </c>
      <c r="E1961" s="6" t="str">
        <f>IFERROR(__xludf.DUMMYFUNCTION("""COMPUTED_VALUE"""),"Кадетское училище")</f>
        <v>Кадетское училище</v>
      </c>
      <c r="F1961" s="6" t="str">
        <f>IFERROR(__xludf.DUMMYFUNCTION("""COMPUTED_VALUE"""),"Живу здесь с рождения")</f>
        <v>Живу здесь с рождения</v>
      </c>
      <c r="G1961" s="6" t="str">
        <f>IFERROR(__xludf.DUMMYFUNCTION("""COMPUTED_VALUE"""),"Набережная, Бульвар, Кадетское училище.")</f>
        <v>Набережная, Бульвар, Кадетское училище.</v>
      </c>
      <c r="H1961" s="6" t="str">
        <f>IFERROR(__xludf.DUMMYFUNCTION("""COMPUTED_VALUE"""),"Уголь, Пыль, Сажа, Аллергия, Уныние")</f>
        <v>Уголь, Пыль, Сажа, Аллергия, Уныние</v>
      </c>
      <c r="I1961" s="6" t="str">
        <f>IFERROR(__xludf.DUMMYFUNCTION("""COMPUTED_VALUE"""),"Аман Гумирович Тулеев")</f>
        <v>Аман Гумирович Тулеев</v>
      </c>
      <c r="J1961" s="6" t="str">
        <f>IFERROR(__xludf.DUMMYFUNCTION("""COMPUTED_VALUE"""),"Считаю нашего Мэра на данный момент очень неплохим управленцем, точно гораздо лучше предыдущих")</f>
        <v>Считаю нашего Мэра на данный момент очень неплохим управленцем, точно гораздо лучше предыдущих</v>
      </c>
      <c r="K1961" s="6" t="str">
        <f>IFERROR(__xludf.DUMMYFUNCTION("""COMPUTED_VALUE"""),"Наверное показал бы Лесную поляну")</f>
        <v>Наверное показал бы Лесную поляну</v>
      </c>
      <c r="L1961" s="6" t="str">
        <f>IFERROR(__xludf.DUMMYFUNCTION("""COMPUTED_VALUE"""),"Крысы бегут с корабля.")</f>
        <v>Крысы бегут с корабля.</v>
      </c>
      <c r="M1961" s="6" t="str">
        <f>IFERROR(__xludf.DUMMYFUNCTION("""COMPUTED_VALUE"""),"-")</f>
        <v>-</v>
      </c>
      <c r="N1961" s="6" t="str">
        <f>IFERROR(__xludf.DUMMYFUNCTION("""COMPUTED_VALUE"""),"1. Хорошая экологическая и климатическая атмосфера города; 2. Развивающийся бизнес = рабочие места с приемлемой заработной платой; 3. Нормальные ТРЦ, а не базары как в Кемерово; 4. Транспортная развязка (то есть улететь или уехать на поезде можно из город"&amp;"а в любом направлении по приемлемой цене); 5. Возможность инвестиций.")</f>
        <v>1. Хорошая экологическая и климатическая атмосфера города; 2. Развивающийся бизнес = рабочие места с приемлемой заработной платой; 3. Нормальные ТРЦ, а не базары как в Кемерово; 4. Транспортная развязка (то есть улететь или уехать на поезде можно из города в любом направлении по приемлемой цене); 5. Возможность инвестиций.</v>
      </c>
      <c r="O1961" s="6" t="str">
        <f>IFERROR(__xludf.DUMMYFUNCTION("""COMPUTED_VALUE"""),"Экологическую обстановку - это самое больное место города. ")</f>
        <v>Экологическую обстановку - это самое больное место города. </v>
      </c>
      <c r="P1961" s="6" t="str">
        <f>IFERROR(__xludf.DUMMYFUNCTION("""COMPUTED_VALUE"""),"Кемеровские паблики в инстаграмме")</f>
        <v>Кемеровские паблики в инстаграмме</v>
      </c>
      <c r="Q1961" s="6" t="str">
        <f>IFERROR(__xludf.DUMMYFUNCTION("""COMPUTED_VALUE"""),"где вкусно поесть/открытие новых кафе/ресторанов, городская афиша (кино/театр/концерты), бизнес-новости (средний чек/рекламные акции/запуск новых предприятий)")</f>
        <v>где вкусно поесть/открытие новых кафе/ресторанов, городская афиша (кино/театр/концерты), бизнес-новости (средний чек/рекламные акции/запуск новых предприятий)</v>
      </c>
      <c r="R1961" s="6" t="str">
        <f>IFERROR(__xludf.DUMMYFUNCTION("""COMPUTED_VALUE"""),"-")</f>
        <v>-</v>
      </c>
      <c r="S1961" s="6" t="str">
        <f>IFERROR(__xludf.DUMMYFUNCTION("""COMPUTED_VALUE"""),"Нет, не приходилось")</f>
        <v>Нет, не приходилось</v>
      </c>
      <c r="T1961" s="6" t="str">
        <f>IFERROR(__xludf.DUMMYFUNCTION("""COMPUTED_VALUE"""),"В Сибири действительно красивая природа, но Кемерово знаменит к сожалению только негативными событиями, и постоянно занимает лидирующие позиции в антирейтингах.")</f>
        <v>В Сибири действительно красивая природа, но Кемерово знаменит к сожалению только негативными событиями, и постоянно занимает лидирующие позиции в антирейтингах.</v>
      </c>
      <c r="U1961" s="6" t="str">
        <f>IFERROR(__xludf.DUMMYFUNCTION("""COMPUTED_VALUE"""),"Фонтан на драм театре")</f>
        <v>Фонтан на драм театре</v>
      </c>
      <c r="V1961" s="6" t="str">
        <f>IFERROR(__xludf.DUMMYFUNCTION("""COMPUTED_VALUE"""),"В городе только с приходом Цивелева началось хоть какое то движение, началась масштабная стройка, а до этого был застой. Весь интерес был в угле, от которого сам город и его жители получали только пыль. ")</f>
        <v>В городе только с приходом Цивелева началось хоть какое то движение, началась масштабная стройка, а до этого был застой. Весь интерес был в угле, от которого сам город и его жители получали только пыль. </v>
      </c>
      <c r="W1961" s="6" t="str">
        <f>IFERROR(__xludf.DUMMYFUNCTION("""COMPUTED_VALUE"""),"Ну летом у всех настроение получше, а вот зимой в холода и непроглядном тумане вонючей дымки думаю позитивных людей немного.")</f>
        <v>Ну летом у всех настроение получше, а вот зимой в холода и непроглядном тумане вонючей дымки думаю позитивных людей немного.</v>
      </c>
      <c r="X1961" s="6" t="str">
        <f>IFERROR(__xludf.DUMMYFUNCTION("""COMPUTED_VALUE"""),"Лесная поляна, но скоро будет Притомский (действительно делают очень здорово) :)")</f>
        <v>Лесная поляна, но скоро будет Притомский (действительно делают очень здорово) :)</v>
      </c>
      <c r="Y1961" s="6" t="str">
        <f>IFERROR(__xludf.DUMMYFUNCTION("""COMPUTED_VALUE"""),"В далёком 2007 году Бэнди. И было очень круто когда в НК Москва очень часто приезжали мировые диджеи.")</f>
        <v>В далёком 2007 году Бэнди. И было очень круто когда в НК Москва очень часто приезжали мировые диджеи.</v>
      </c>
      <c r="Z1961" s="6" t="str">
        <f>IFERROR(__xludf.DUMMYFUNCTION("""COMPUTED_VALUE"""),"Мне очень нравится, что много строят интересных объектов, облагораживают город в целом, поэтому конкретно что то выделить не могу.")</f>
        <v>Мне очень нравится, что много строят интересных объектов, облагораживают город в целом, поэтому конкретно что то выделить не могу.</v>
      </c>
      <c r="AA1961" s="6" t="str">
        <f>IFERROR(__xludf.DUMMYFUNCTION("""COMPUTED_VALUE"""),"Тема с угольным разрезом недалеко от Лесной поляны, Загазованность в зимний период.")</f>
        <v>Тема с угольным разрезом недалеко от Лесной поляны, Загазованность в зимний период.</v>
      </c>
      <c r="AB1961" s="6" t="str">
        <f>IFERROR(__xludf.DUMMYFUNCTION("""COMPUTED_VALUE"""),"Инвестиции и финансы. Хотелось бы организовать. ")</f>
        <v>Инвестиции и финансы. Хотелось бы организовать. </v>
      </c>
      <c r="AC1961" s="6" t="str">
        <f>IFERROR(__xludf.DUMMYFUNCTION("""COMPUTED_VALUE"""),"Организация Культурного досуга, какие либо концерты (качественные), Залы Филармонии и Драмы оставляют желать лучшего, особенно кресла - вернее неудобные стулья.")</f>
        <v>Организация Культурного досуга, какие либо концерты (качественные), Залы Филармонии и Драмы оставляют желать лучшего, особенно кресла - вернее неудобные стулья.</v>
      </c>
      <c r="AD1961"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Запустить свой предпринимательский проект, организовать"&amp;" компанию., Финансовые рынки.")</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Запустить свой предпринимательский проект, организовать компанию., Финансовые рынки.</v>
      </c>
      <c r="AE1961" s="6" t="str">
        <f>IFERROR(__xludf.DUMMYFUNCTION("""COMPUTED_VALUE"""),"Мужской")</f>
        <v>Мужской</v>
      </c>
      <c r="AF1961" s="6" t="str">
        <f>IFERROR(__xludf.DUMMYFUNCTION("""COMPUTED_VALUE"""),"30-44")</f>
        <v>30-44</v>
      </c>
      <c r="AG1961" s="6"/>
      <c r="AH1961" s="6"/>
      <c r="AI1961" s="6"/>
      <c r="AJ1961" s="6"/>
      <c r="AK1961" s="6"/>
      <c r="AL1961" s="6"/>
      <c r="AM1961" s="6"/>
    </row>
    <row r="1962">
      <c r="A1962" s="6">
        <v>1961.0</v>
      </c>
      <c r="B1962" s="6" t="str">
        <f>IFERROR(__xludf.DUMMYFUNCTION("""COMPUTED_VALUE"""),"государственная служба")</f>
        <v>государственная служба</v>
      </c>
      <c r="C1962" s="6" t="str">
        <f>IFERROR(__xludf.DUMMYFUNCTION("""COMPUTED_VALUE"""),"декупаж, рисование")</f>
        <v>декупаж, рисование</v>
      </c>
      <c r="D1962" s="6" t="str">
        <f>IFERROR(__xludf.DUMMYFUNCTION("""COMPUTED_VALUE"""),"Заводский район (Южный)")</f>
        <v>Заводский район (Южный)</v>
      </c>
      <c r="E1962" s="6" t="str">
        <f>IFERROR(__xludf.DUMMYFUNCTION("""COMPUTED_VALUE"""),"бульвар Патриотов")</f>
        <v>бульвар Патриотов</v>
      </c>
      <c r="F1962" s="6" t="str">
        <f>IFERROR(__xludf.DUMMYFUNCTION("""COMPUTED_VALUE"""),"Переехал сюда из другого места (откуда? укажите в графе другое)")</f>
        <v>Переехал сюда из другого места (откуда? укажите в графе другое)</v>
      </c>
      <c r="G1962" s="6" t="str">
        <f>IFERROR(__xludf.DUMMYFUNCTION("""COMPUTED_VALUE"""),"бульвар Строителей, Набережная, Площадь Советов, Сосновый бор")</f>
        <v>бульвар Строителей, Набережная, Площадь Советов, Сосновый бор</v>
      </c>
      <c r="H1962" s="6" t="str">
        <f>IFERROR(__xludf.DUMMYFUNCTION("""COMPUTED_VALUE"""),"шахта, уголь, Тулеев, Зимняя Вишня, Красная горка, Томская писанница, Сосновый бор")</f>
        <v>шахта, уголь, Тулеев, Зимняя Вишня, Красная горка, Томская писанница, Сосновый бор</v>
      </c>
      <c r="I1962" s="6" t="str">
        <f>IFERROR(__xludf.DUMMYFUNCTION("""COMPUTED_VALUE"""),"Тулеев, Волков, Михайлов, Леонов А.А.")</f>
        <v>Тулеев, Волков, Михайлов, Леонов А.А.</v>
      </c>
      <c r="J1962" s="6" t="str">
        <f>IFERROR(__xludf.DUMMYFUNCTION("""COMPUTED_VALUE"""),"Михайлов Владимир Васильевич - бывший мэр Кемерово")</f>
        <v>Михайлов Владимир Васильевич - бывший мэр Кемерово</v>
      </c>
      <c r="K1962" s="6" t="str">
        <f>IFERROR(__xludf.DUMMYFUNCTION("""COMPUTED_VALUE"""),"Набережную, Драм-Театр, площадь Волкова, музей Красная Горка, Томская писаница, Сосновый бор")</f>
        <v>Набережную, Драм-Театр, площадь Волкова, музей Красная Горка, Томская писаница, Сосновый бор</v>
      </c>
      <c r="L1962" s="6" t="str">
        <f>IFERROR(__xludf.DUMMYFUNCTION("""COMPUTED_VALUE"""),"У меня идея - провести саммит Россия - Кемерово, на котором списать долги жителей, потому что у них всё равно нет возможности их отдавать.")</f>
        <v>У меня идея - провести саммит Россия - Кемерово, на котором списать долги жителей, потому что у них всё равно нет возможности их отдавать.</v>
      </c>
      <c r="M1962" s="6" t="str">
        <f>IFERROR(__xludf.DUMMYFUNCTION("""COMPUTED_VALUE"""),"мультифора, земляника")</f>
        <v>мультифора, земляника</v>
      </c>
      <c r="N1962" s="6" t="str">
        <f>IFERROR(__xludf.DUMMYFUNCTION("""COMPUTED_VALUE"""),"1) наличие рабочих мест 2) доступность автранспорта 3) облагораживание территории возле дома 4) парки 5) чистота города")</f>
        <v>1) наличие рабочих мест 2) доступность автранспорта 3) облагораживание территории возле дома 4) парки 5) чистота города</v>
      </c>
      <c r="O1962" s="6" t="str">
        <f>IFERROR(__xludf.DUMMYFUNCTION("""COMPUTED_VALUE"""),"Воздух и дороги")</f>
        <v>Воздух и дороги</v>
      </c>
      <c r="P1962" s="6" t="str">
        <f>IFERROR(__xludf.DUMMYFUNCTION("""COMPUTED_VALUE"""),"VSE42, Афиша Кемерово")</f>
        <v>VSE42, Афиша Кемерово</v>
      </c>
      <c r="Q1962" s="6" t="str">
        <f>IFERROR(__xludf.DUMMYFUNCTION("""COMPUTED_VALUE"""),"городская афиша (кино/театр/концерты), 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f>
        <v>городская афиша (кино/театр/концерты), культурные новинки (что почитать/что послушать), криминальные новости (происшествия/преступления), результаты местных исследований (рейтинги/аналитика/тенденции)</v>
      </c>
      <c r="R1962" s="6" t="str">
        <f>IFERROR(__xludf.DUMMYFUNCTION("""COMPUTED_VALUE"""),"День города, День Шахтера, день динозавров в шестаково")</f>
        <v>День города, День Шахтера, день динозавров в шестаково</v>
      </c>
      <c r="S1962" s="6" t="str">
        <f>IFERROR(__xludf.DUMMYFUNCTION("""COMPUTED_VALUE"""),"Нет, не приходилось")</f>
        <v>Нет, не приходилось</v>
      </c>
      <c r="T1962" s="6" t="str">
        <f>IFERROR(__xludf.DUMMYFUNCTION("""COMPUTED_VALUE"""),"музей Красная горка, пожар в Зимней Вишне, останки динозавров в Шестаково")</f>
        <v>музей Красная горка, пожар в Зимней Вишне, останки динозавров в Шестаково</v>
      </c>
      <c r="U1962" s="6" t="str">
        <f>IFERROR(__xludf.DUMMYFUNCTION("""COMPUTED_VALUE"""),"площадь Советов, Набережная")</f>
        <v>площадь Советов, Набережная</v>
      </c>
      <c r="V1962" s="6" t="str">
        <f>IFERROR(__xludf.DUMMYFUNCTION("""COMPUTED_VALUE"""),"нашли уголь))) ")</f>
        <v>нашли уголь))) </v>
      </c>
      <c r="W1962" s="6" t="str">
        <f>IFERROR(__xludf.DUMMYFUNCTION("""COMPUTED_VALUE"""),"Доброжелательные, приветливые, всегда готовые придти на помощь, выносливые, храбрые")</f>
        <v>Доброжелательные, приветливые, всегда готовые придти на помощь, выносливые, храбрые</v>
      </c>
      <c r="X1962" s="6" t="str">
        <f>IFERROR(__xludf.DUMMYFUNCTION("""COMPUTED_VALUE"""),"с набережной до Соснового бора ")</f>
        <v>с набережной до Соснового бора </v>
      </c>
      <c r="Y1962" s="6" t="str">
        <f>IFERROR(__xludf.DUMMYFUNCTION("""COMPUTED_VALUE"""),"Найдены кости динозавров")</f>
        <v>Найдены кости динозавров</v>
      </c>
      <c r="Z1962" s="6" t="str">
        <f>IFERROR(__xludf.DUMMYFUNCTION("""COMPUTED_VALUE"""),"открытие бассейна ""Лазурный"", нашли кости динозавров, турнир по бенди (но это прошло больше 2 лет)")</f>
        <v>открытие бассейна "Лазурный", нашли кости динозавров, турнир по бенди (но это прошло больше 2 лет)</v>
      </c>
      <c r="AA1962" s="6" t="str">
        <f>IFERROR(__xludf.DUMMYFUNCTION("""COMPUTED_VALUE"""),"пожар в Зимней Вишне, зимой не убирали и не вывозили снег")</f>
        <v>пожар в Зимней Вишне, зимой не убирали и не вывозили снег</v>
      </c>
      <c r="AB1962" s="6" t="str">
        <f>IFERROR(__xludf.DUMMYFUNCTION("""COMPUTED_VALUE"""),"нет")</f>
        <v>нет</v>
      </c>
      <c r="AC1962" s="6" t="str">
        <f>IFERROR(__xludf.DUMMYFUNCTION("""COMPUTED_VALUE"""),"Культурно развивать, приглашать поэтов, авторов книг на встречи с читателями")</f>
        <v>Культурно развивать, приглашать поэтов, авторов книг на встречи с читателями</v>
      </c>
      <c r="AD196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62" s="6" t="str">
        <f>IFERROR(__xludf.DUMMYFUNCTION("""COMPUTED_VALUE"""),"Женский")</f>
        <v>Женский</v>
      </c>
      <c r="AF1962" s="6" t="str">
        <f>IFERROR(__xludf.DUMMYFUNCTION("""COMPUTED_VALUE"""),"30-44")</f>
        <v>30-44</v>
      </c>
      <c r="AG1962" s="6"/>
      <c r="AH1962" s="6"/>
      <c r="AI1962" s="6"/>
      <c r="AJ1962" s="6"/>
      <c r="AK1962" s="6"/>
      <c r="AL1962" s="6"/>
      <c r="AM1962" s="6"/>
    </row>
    <row r="1963">
      <c r="A1963" s="6">
        <v>1962.0</v>
      </c>
      <c r="B1963" s="6" t="str">
        <f>IFERROR(__xludf.DUMMYFUNCTION("""COMPUTED_VALUE"""),"Социальный работник")</f>
        <v>Социальный работник</v>
      </c>
      <c r="C1963" s="6" t="str">
        <f>IFERROR(__xludf.DUMMYFUNCTION("""COMPUTED_VALUE"""),"Нет")</f>
        <v>Нет</v>
      </c>
      <c r="D1963" s="6" t="str">
        <f>IFERROR(__xludf.DUMMYFUNCTION("""COMPUTED_VALUE"""),"Кировский")</f>
        <v>Кировский</v>
      </c>
      <c r="E1963" s="6" t="str">
        <f>IFERROR(__xludf.DUMMYFUNCTION("""COMPUTED_VALUE"""),"Тц ""Кировский"", Набережная р. Томь")</f>
        <v>Тц "Кировский", Набережная р. Томь</v>
      </c>
      <c r="F1963" s="6" t="str">
        <f>IFERROR(__xludf.DUMMYFUNCTION("""COMPUTED_VALUE"""),"Живу здесь с рождения")</f>
        <v>Живу здесь с рождения</v>
      </c>
      <c r="G1963" s="6" t="str">
        <f>IFERROR(__xludf.DUMMYFUNCTION("""COMPUTED_VALUE"""),"Набережная")</f>
        <v>Набережная</v>
      </c>
      <c r="H1963" s="6" t="str">
        <f>IFERROR(__xludf.DUMMYFUNCTION("""COMPUTED_VALUE"""),"Пыльный, неухоженный, не обустроенный, невнимательный")</f>
        <v>Пыльный, неухоженный, не обустроенный, невнимательный</v>
      </c>
      <c r="I1963" s="6" t="str">
        <f>IFERROR(__xludf.DUMMYFUNCTION("""COMPUTED_VALUE"""),"Леонов, Терешкова")</f>
        <v>Леонов, Терешкова</v>
      </c>
      <c r="J1963" s="6" t="str">
        <f>IFERROR(__xludf.DUMMYFUNCTION("""COMPUTED_VALUE"""),"-")</f>
        <v>-</v>
      </c>
      <c r="K1963" s="6" t="str">
        <f>IFERROR(__xludf.DUMMYFUNCTION("""COMPUTED_VALUE"""),"-")</f>
        <v>-</v>
      </c>
      <c r="L1963" s="6" t="str">
        <f>IFERROR(__xludf.DUMMYFUNCTION("""COMPUTED_VALUE"""),"-")</f>
        <v>-</v>
      </c>
      <c r="M1963" s="6" t="str">
        <f>IFERROR(__xludf.DUMMYFUNCTION("""COMPUTED_VALUE"""),"-")</f>
        <v>-</v>
      </c>
      <c r="N1963" s="6" t="str">
        <f>IFERROR(__xludf.DUMMYFUNCTION("""COMPUTED_VALUE"""),"1. Доступная медицина,
2. Чистота улиц,
3. Удобные и доступные туалеты в местах, где гуляют люди, 
4. Недорогие кафе,
5. Отсутствие экскрементов животных на пешеходных тротуарах ")</f>
        <v>1. Доступная медицина,
2. Чистота улиц,
3. Удобные и доступные туалеты в местах, где гуляют люди, 
4. Недорогие кафе,
5. Отсутствие экскрементов животных на пешеходных тротуарах </v>
      </c>
      <c r="O1963" s="6" t="str">
        <f>IFERROR(__xludf.DUMMYFUNCTION("""COMPUTED_VALUE"""),"В Кировском районе нет ни одного нормального тц. В других районах их по несколько. Тц ""Кировский"" только недавно начал свою работу. Хотелось бы, чтобы он был похож на тц других районов, а именно - туалеты, зоны с различными кафе, кинотеатр, развлечения "&amp;"для детей, фото зоны, зоны отдыха...")</f>
        <v>В Кировском районе нет ни одного нормального тц. В других районах их по несколько. Тц "Кировский" только недавно начал свою работу. Хотелось бы, чтобы он был похож на тц других районов, а именно - туалеты, зоны с различными кафе, кинотеатр, развлечения для детей, фото зоны, зоны отдыха...</v>
      </c>
      <c r="P1963" s="6" t="str">
        <f>IFERROR(__xludf.DUMMYFUNCTION("""COMPUTED_VALUE"""),"Инстаграм, Телеграм, интернет")</f>
        <v>Инстаграм, Телеграм, интернет</v>
      </c>
      <c r="Q1963"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963" s="6" t="str">
        <f>IFERROR(__xludf.DUMMYFUNCTION("""COMPUTED_VALUE"""),"День города, день защиты детей")</f>
        <v>День города, день защиты детей</v>
      </c>
      <c r="S1963" s="6" t="str">
        <f>IFERROR(__xludf.DUMMYFUNCTION("""COMPUTED_VALUE"""),"Нет, не приходилось")</f>
        <v>Нет, не приходилось</v>
      </c>
      <c r="T1963" s="6" t="str">
        <f>IFERROR(__xludf.DUMMYFUNCTION("""COMPUTED_VALUE"""),"Запах с очистных сооружений, угольная пыль, безразличные к проблемам других и окружающему миру люди")</f>
        <v>Запах с очистных сооружений, угольная пыль, безразличные к проблемам других и окружающему миру люди</v>
      </c>
      <c r="U1963" s="6" t="str">
        <f>IFERROR(__xludf.DUMMYFUNCTION("""COMPUTED_VALUE"""),"В каждом районе должен быть свой маленький центр, где людям будет приятно проводить время. В Кировском районе-это набережная. Но и там нет, например, кафе. Никакого!")</f>
        <v>В каждом районе должен быть свой маленький центр, где людям будет приятно проводить время. В Кировском районе-это набережная. Но и там нет, например, кафе. Никакого!</v>
      </c>
      <c r="V1963" s="6" t="str">
        <f>IFERROR(__xludf.DUMMYFUNCTION("""COMPUTED_VALUE"""),"Каждое поколение в своё время вносило определённый вклад в развитие города.")</f>
        <v>Каждое поколение в своё время вносило определённый вклад в развитие города.</v>
      </c>
      <c r="W1963" s="6" t="str">
        <f>IFERROR(__xludf.DUMMYFUNCTION("""COMPUTED_VALUE"""),"Нуждающиеся. Нуждающиеся не только в финансовом плане, но и в плане проведения досуга. Я не хочу для того, чтобы отдохнуть, погулять или вкусно поесть ездить в другой район города. А так же в плане медицинского обслуживания. К врачу по телефону невозможно"&amp;" записаться. Карточку в поликлинике не допросишься.")</f>
        <v>Нуждающиеся. Нуждающиеся не только в финансовом плане, но и в плане проведения досуга. Я не хочу для того, чтобы отдохнуть, погулять или вкусно поесть ездить в другой район города. А так же в плане медицинского обслуживания. К врачу по телефону невозможно записаться. Карточку в поликлинике не допросишься.</v>
      </c>
      <c r="X1963" s="6" t="str">
        <f>IFERROR(__xludf.DUMMYFUNCTION("""COMPUTED_VALUE"""),"Набережная-там природа, длинная дорога и разные люди, встречающиеся по дороге.")</f>
        <v>Набережная-там природа, длинная дорога и разные люди, встречающиеся по дороге.</v>
      </c>
      <c r="Y1963" s="6" t="str">
        <f>IFERROR(__xludf.DUMMYFUNCTION("""COMPUTED_VALUE"""),"-")</f>
        <v>-</v>
      </c>
      <c r="Z1963" s="6" t="str">
        <f>IFERROR(__xludf.DUMMYFUNCTION("""COMPUTED_VALUE"""),"-")</f>
        <v>-</v>
      </c>
      <c r="AA1963" s="6" t="str">
        <f>IFERROR(__xludf.DUMMYFUNCTION("""COMPUTED_VALUE"""),"Любое проявление агрессии, митинги, крики и незаконные шествия.")</f>
        <v>Любое проявление агрессии, митинги, крики и незаконные шествия.</v>
      </c>
      <c r="AB1963" s="6" t="str">
        <f>IFERROR(__xludf.DUMMYFUNCTION("""COMPUTED_VALUE"""),"-")</f>
        <v>-</v>
      </c>
      <c r="AC1963" s="6" t="str">
        <f>IFERROR(__xludf.DUMMYFUNCTION("""COMPUTED_VALUE"""),"В городе много молодёжи, подростков и младших школьников. Нужно организовывать для них интересные мероприятия с помощью правительства. Это могут быть и соревнования по езде на роликах, скейтах, велосипедах. Прыжки с парашютом. Конкурс по аквагриму, забавн"&amp;"ым портретам. Ни мне ни моей семье не интересны выступления певцов, в десятки раз старше нас.")</f>
        <v>В городе много молодёжи, подростков и младших школьников. Нужно организовывать для них интересные мероприятия с помощью правительства. Это могут быть и соревнования по езде на роликах, скейтах, велосипедах. Прыжки с парашютом. Конкурс по аквагриму, забавным портретам. Ни мне ни моей семье не интересны выступления певцов, в десятки раз старше нас.</v>
      </c>
      <c r="AD196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63" s="6" t="str">
        <f>IFERROR(__xludf.DUMMYFUNCTION("""COMPUTED_VALUE"""),"Женский")</f>
        <v>Женский</v>
      </c>
      <c r="AF1963" s="6" t="str">
        <f>IFERROR(__xludf.DUMMYFUNCTION("""COMPUTED_VALUE"""),"30-44")</f>
        <v>30-44</v>
      </c>
      <c r="AG1963" s="6"/>
      <c r="AH1963" s="6"/>
      <c r="AI1963" s="6"/>
      <c r="AJ1963" s="6"/>
      <c r="AK1963" s="6"/>
      <c r="AL1963" s="6"/>
      <c r="AM1963" s="6"/>
    </row>
    <row r="1964">
      <c r="A1964" s="6">
        <v>1963.0</v>
      </c>
      <c r="B1964" s="6" t="str">
        <f>IFERROR(__xludf.DUMMYFUNCTION("""COMPUTED_VALUE"""),"творчество и образование")</f>
        <v>творчество и образование</v>
      </c>
      <c r="C1964" s="6" t="str">
        <f>IFERROR(__xludf.DUMMYFUNCTION("""COMPUTED_VALUE"""),"бегония")</f>
        <v>бегония</v>
      </c>
      <c r="D1964" s="6" t="str">
        <f>IFERROR(__xludf.DUMMYFUNCTION("""COMPUTED_VALUE"""),"Центральный, Гондурас")</f>
        <v>Центральный, Гондурас</v>
      </c>
      <c r="E1964" s="6" t="str">
        <f>IFERROR(__xludf.DUMMYFUNCTION("""COMPUTED_VALUE"""),"Зимняя вишня")</f>
        <v>Зимняя вишня</v>
      </c>
      <c r="F1964" s="6" t="str">
        <f>IFERROR(__xludf.DUMMYFUNCTION("""COMPUTED_VALUE"""),"Живу здесь с рождения")</f>
        <v>Живу здесь с рождения</v>
      </c>
      <c r="G1964" s="6" t="str">
        <f>IFERROR(__xludf.DUMMYFUNCTION("""COMPUTED_VALUE"""),"парк Антошка, Зимняя вишня, храм на Дзержинского")</f>
        <v>парк Антошка, Зимняя вишня, храм на Дзержинского</v>
      </c>
      <c r="H1964" s="6" t="str">
        <f>IFERROR(__xludf.DUMMYFUNCTION("""COMPUTED_VALUE"""),"НБК им. Фёдорова, Театр Драмы Луначарского, Театр оперетты Боброва, Музей Изо, Знаменский кафедральный собор")</f>
        <v>НБК им. Фёдорова, Театр Драмы Луначарского, Театр оперетты Боброва, Музей Изо, Знаменский кафедральный собор</v>
      </c>
      <c r="I1964" s="6" t="str">
        <f>IFERROR(__xludf.DUMMYFUNCTION("""COMPUTED_VALUE"""),"Галина Скударнова, Руденский, Галина Кузнецова, Александр Бобров")</f>
        <v>Галина Скударнова, Руденский, Галина Кузнецова, Александр Бобров</v>
      </c>
      <c r="J1964" s="6" t="str">
        <f>IFERROR(__xludf.DUMMYFUNCTION("""COMPUTED_VALUE"""),"Мэр города Кемерово Вл. Михайлов, мэр города Илья Середюк, Владимир Зубицкий, музыкант")</f>
        <v>Мэр города Кемерово Вл. Михайлов, мэр города Илья Середюк, Владимир Зубицкий, музыкант</v>
      </c>
      <c r="K1964" s="6" t="str">
        <f>IFERROR(__xludf.DUMMYFUNCTION("""COMPUTED_VALUE"""),"Кемерово, старый центр.")</f>
        <v>Кемерово, старый центр.</v>
      </c>
      <c r="L1964" s="6" t="str">
        <f>IFERROR(__xludf.DUMMYFUNCTION("""COMPUTED_VALUE"""),"нет")</f>
        <v>нет</v>
      </c>
      <c r="M1964" s="6" t="str">
        <f>IFERROR(__xludf.DUMMYFUNCTION("""COMPUTED_VALUE"""),"названия старых магазинов, название соц. город, теперь Гондурас")</f>
        <v>названия старых магазинов, название соц. город, теперь Гондурас</v>
      </c>
      <c r="N1964" s="6" t="str">
        <f>IFERROR(__xludf.DUMMYFUNCTION("""COMPUTED_VALUE"""),"Аллеи и парки города, заведения культуры, храмы города, набережная Томи, парк Зимняя вишня")</f>
        <v>Аллеи и парки города, заведения культуры, храмы города, набережная Томи, парк Зимняя вишня</v>
      </c>
      <c r="O1964" s="6" t="str">
        <f>IFERROR(__xludf.DUMMYFUNCTION("""COMPUTED_VALUE"""),"места для Б/О.")</f>
        <v>места для Б/О.</v>
      </c>
      <c r="P1964" s="6" t="str">
        <f>IFERROR(__xludf.DUMMYFUNCTION("""COMPUTED_VALUE"""),"Газета АиФ, Мэйл. Ру")</f>
        <v>Газета АиФ, Мэйл. Ру</v>
      </c>
      <c r="Q1964"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1964" s="6" t="str">
        <f>IFERROR(__xludf.DUMMYFUNCTION("""COMPUTED_VALUE"""),"день города")</f>
        <v>день города</v>
      </c>
      <c r="S1964" s="6" t="str">
        <f>IFERROR(__xludf.DUMMYFUNCTION("""COMPUTED_VALUE"""),"Проведение факультативов православной тематики, проведение экскурсий")</f>
        <v>Проведение факультативов православной тематики, проведение экскурсий</v>
      </c>
      <c r="T1964" s="6" t="str">
        <f>IFERROR(__xludf.DUMMYFUNCTION("""COMPUTED_VALUE"""),"Бор")</f>
        <v>Бор</v>
      </c>
      <c r="U1964" s="6" t="str">
        <f>IFERROR(__xludf.DUMMYFUNCTION("""COMPUTED_VALUE"""),"Улица Весенняя")</f>
        <v>Улица Весенняя</v>
      </c>
      <c r="V1964" s="6" t="str">
        <f>IFERROR(__xludf.DUMMYFUNCTION("""COMPUTED_VALUE"""),"Построили город")</f>
        <v>Построили город</v>
      </c>
      <c r="W1964" s="6" t="str">
        <f>IFERROR(__xludf.DUMMYFUNCTION("""COMPUTED_VALUE"""),"Разные... культурные, интеллигентные, активные и гопники")</f>
        <v>Разные... культурные, интеллигентные, активные и гопники</v>
      </c>
      <c r="X1964" s="6" t="str">
        <f>IFERROR(__xludf.DUMMYFUNCTION("""COMPUTED_VALUE"""),"От ж/д вокзала по старому городу")</f>
        <v>От ж/д вокзала по старому городу</v>
      </c>
      <c r="Y1964" s="6" t="str">
        <f>IFERROR(__xludf.DUMMYFUNCTION("""COMPUTED_VALUE"""),"их много")</f>
        <v>их много</v>
      </c>
      <c r="Z1964" s="6" t="str">
        <f>IFERROR(__xludf.DUMMYFUNCTION("""COMPUTED_VALUE"""),"Выставки в Музее Изо.")</f>
        <v>Выставки в Музее Изо.</v>
      </c>
      <c r="AA1964" s="6" t="str">
        <f>IFERROR(__xludf.DUMMYFUNCTION("""COMPUTED_VALUE"""),"Трагедия в Зимней вишне, открытие штаба Навального рядом с местом трагедии и последствия")</f>
        <v>Трагедия в Зимней вишне, открытие штаба Навального рядом с местом трагедии и последствия</v>
      </c>
      <c r="AB1964" s="6" t="str">
        <f>IFERROR(__xludf.DUMMYFUNCTION("""COMPUTED_VALUE"""),"Школа творчества для взрослых")</f>
        <v>Школа творчества для взрослых</v>
      </c>
      <c r="AC1964" s="6" t="str">
        <f>IFERROR(__xludf.DUMMYFUNCTION("""COMPUTED_VALUE"""),"Открытые театрализованные площадки и уличные выставки")</f>
        <v>Открытые театрализованные площадки и уличные выставки</v>
      </c>
      <c r="AD1964"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64" s="6" t="str">
        <f>IFERROR(__xludf.DUMMYFUNCTION("""COMPUTED_VALUE"""),"Женский")</f>
        <v>Женский</v>
      </c>
      <c r="AF1964" s="6" t="str">
        <f>IFERROR(__xludf.DUMMYFUNCTION("""COMPUTED_VALUE"""),"старше 55")</f>
        <v>старше 55</v>
      </c>
      <c r="AG1964" s="6"/>
      <c r="AH1964" s="6"/>
      <c r="AI1964" s="6"/>
      <c r="AJ1964" s="6"/>
      <c r="AK1964" s="6"/>
      <c r="AL1964" s="6"/>
      <c r="AM1964" s="6"/>
    </row>
    <row r="1965">
      <c r="A1965" s="6">
        <v>1964.0</v>
      </c>
      <c r="B1965" s="6" t="str">
        <f>IFERROR(__xludf.DUMMYFUNCTION("""COMPUTED_VALUE"""),"Инженер")</f>
        <v>Инженер</v>
      </c>
      <c r="C1965" s="6" t="str">
        <f>IFERROR(__xludf.DUMMYFUNCTION("""COMPUTED_VALUE"""),"Футбол, Баскетбол")</f>
        <v>Футбол, Баскетбол</v>
      </c>
      <c r="D1965" s="6" t="str">
        <f>IFERROR(__xludf.DUMMYFUNCTION("""COMPUTED_VALUE"""),"Заводской")</f>
        <v>Заводской</v>
      </c>
      <c r="E1965" s="6" t="str">
        <f>IFERROR(__xludf.DUMMYFUNCTION("""COMPUTED_VALUE"""),"теплотрасса на сибирякох")</f>
        <v>теплотрасса на сибирякох</v>
      </c>
      <c r="F1965" s="6" t="str">
        <f>IFERROR(__xludf.DUMMYFUNCTION("""COMPUTED_VALUE"""),"Живу здесь с рождения")</f>
        <v>Живу здесь с рождения</v>
      </c>
      <c r="G1965" s="6" t="str">
        <f>IFERROR(__xludf.DUMMYFUNCTION("""COMPUTED_VALUE"""),"на спортивные площадки, которых по пальцам пересчитать нормальных")</f>
        <v>на спортивные площадки, которых по пальцам пересчитать нормальных</v>
      </c>
      <c r="H1965" s="6" t="str">
        <f>IFERROR(__xludf.DUMMYFUNCTION("""COMPUTED_VALUE"""),"Город развивается, люди не очень, все что дальше центра - быдло")</f>
        <v>Город развивается, люди не очень, все что дальше центра - быдло</v>
      </c>
      <c r="I1965" s="6" t="str">
        <f>IFERROR(__xludf.DUMMYFUNCTION("""COMPUTED_VALUE"""),"хз")</f>
        <v>хз</v>
      </c>
      <c r="J1965" s="6" t="str">
        <f>IFERROR(__xludf.DUMMYFUNCTION("""COMPUTED_VALUE"""),"-")</f>
        <v>-</v>
      </c>
      <c r="K1965" s="6" t="str">
        <f>IFERROR(__xludf.DUMMYFUNCTION("""COMPUTED_VALUE"""),"Лесная поляна")</f>
        <v>Лесная поляна</v>
      </c>
      <c r="L1965" s="6" t="str">
        <f>IFERROR(__xludf.DUMMYFUNCTION("""COMPUTED_VALUE"""),"-")</f>
        <v>-</v>
      </c>
      <c r="M1965" s="6" t="str">
        <f>IFERROR(__xludf.DUMMYFUNCTION("""COMPUTED_VALUE"""),"в КемеровЕ")</f>
        <v>в КемеровЕ</v>
      </c>
      <c r="N1965" s="6" t="str">
        <f>IFERROR(__xludf.DUMMYFUNCTION("""COMPUTED_VALUE"""),"Чистота, образованные люди, хорошая инфраструктура и развитый спорт")</f>
        <v>Чистота, образованные люди, хорошая инфраструктура и развитый спорт</v>
      </c>
      <c r="O1965" s="6" t="str">
        <f>IFERROR(__xludf.DUMMYFUNCTION("""COMPUTED_VALUE"""),"менталитет людей. Больше спортивных площадок, нормальных, а не для галочки и не детских до 3 лет, а для взрослых.")</f>
        <v>менталитет людей. Больше спортивных площадок, нормальных, а не для галочки и не детских до 3 лет, а для взрослых.</v>
      </c>
      <c r="P1965" s="6" t="str">
        <f>IFERROR(__xludf.DUMMYFUNCTION("""COMPUTED_VALUE"""),"интернет, новостные порталы и паблики")</f>
        <v>интернет, новостные порталы и паблики</v>
      </c>
      <c r="Q1965" s="6" t="str">
        <f>IFERROR(__xludf.DUMMYFUNCTION("""COMPUTED_VALUE"""),"куда пойти в свободное время, 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f>
        <v>куда пойти в свободное время, городская афиша (кино/театр/концерты), новости про новые профессии/куда поступать/вакансии, интервью с экспертами на разные темы (напишите в разделе Другое свои предложения)</v>
      </c>
      <c r="R1965" s="6" t="str">
        <f>IFERROR(__xludf.DUMMYFUNCTION("""COMPUTED_VALUE"""),"никакие")</f>
        <v>никакие</v>
      </c>
      <c r="S1965" s="6" t="str">
        <f>IFERROR(__xludf.DUMMYFUNCTION("""COMPUTED_VALUE"""),"организовывал спортивные мероприятия")</f>
        <v>организовывал спортивные мероприятия</v>
      </c>
      <c r="T1965" s="6" t="str">
        <f>IFERROR(__xludf.DUMMYFUNCTION("""COMPUTED_VALUE"""),"ничего, кокс по вечером в воздухе")</f>
        <v>ничего, кокс по вечером в воздухе</v>
      </c>
      <c r="U1965" s="6" t="str">
        <f>IFERROR(__xludf.DUMMYFUNCTION("""COMPUTED_VALUE"""),"Драма и окрестности ")</f>
        <v>Драма и окрестности </v>
      </c>
      <c r="V1965" s="6" t="str">
        <f>IFERROR(__xludf.DUMMYFUNCTION("""COMPUTED_VALUE"""),"ничего")</f>
        <v>ничего</v>
      </c>
      <c r="W1965" s="6" t="str">
        <f>IFERROR(__xludf.DUMMYFUNCTION("""COMPUTED_VALUE"""),"в центре фрики (молодежь) и элита, остальное быдло в 90%")</f>
        <v>в центре фрики (молодежь) и элита, остальное быдло в 90%</v>
      </c>
      <c r="X1965" s="6" t="str">
        <f>IFERROR(__xludf.DUMMYFUNCTION("""COMPUTED_VALUE"""),"бор")</f>
        <v>бор</v>
      </c>
      <c r="Y1965" s="6" t="str">
        <f>IFERROR(__xludf.DUMMYFUNCTION("""COMPUTED_VALUE"""),"-")</f>
        <v>-</v>
      </c>
      <c r="Z1965" s="6" t="str">
        <f>IFERROR(__xludf.DUMMYFUNCTION("""COMPUTED_VALUE"""),"-")</f>
        <v>-</v>
      </c>
      <c r="AA1965" s="6" t="str">
        <f>IFERROR(__xludf.DUMMYFUNCTION("""COMPUTED_VALUE"""),"люди - свиньи, мусорят везде, ведут себя плохо")</f>
        <v>люди - свиньи, мусорят везде, ведут себя плохо</v>
      </c>
      <c r="AB1965" s="6" t="str">
        <f>IFERROR(__xludf.DUMMYFUNCTION("""COMPUTED_VALUE"""),"спорт")</f>
        <v>спорт</v>
      </c>
      <c r="AC1965" s="6" t="str">
        <f>IFERROR(__xludf.DUMMYFUNCTION("""COMPUTED_VALUE"""),"больше возможности для развития в любых направлениях, желательно бесплатно, хотя бы на начальном этапе, что попробовать себя везде и во всем")</f>
        <v>больше возможности для развития в любых направлениях, желательно бесплатно, хотя бы на начальном этапе, что попробовать себя везде и во всем</v>
      </c>
      <c r="AD196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965" s="6" t="str">
        <f>IFERROR(__xludf.DUMMYFUNCTION("""COMPUTED_VALUE"""),"Мужской")</f>
        <v>Мужской</v>
      </c>
      <c r="AF1965" s="6" t="str">
        <f>IFERROR(__xludf.DUMMYFUNCTION("""COMPUTED_VALUE"""),"30-44")</f>
        <v>30-44</v>
      </c>
      <c r="AG1965" s="6"/>
      <c r="AH1965" s="6"/>
      <c r="AI1965" s="6"/>
      <c r="AJ1965" s="6"/>
      <c r="AK1965" s="6"/>
      <c r="AL1965" s="6"/>
      <c r="AM1965" s="6"/>
    </row>
    <row r="1966">
      <c r="A1966" s="6">
        <v>1965.0</v>
      </c>
      <c r="B1966" s="6" t="str">
        <f>IFERROR(__xludf.DUMMYFUNCTION("""COMPUTED_VALUE"""),"Программист")</f>
        <v>Программист</v>
      </c>
      <c r="C1966" s="6" t="str">
        <f>IFERROR(__xludf.DUMMYFUNCTION("""COMPUTED_VALUE"""),"Программирование, баскетбол.")</f>
        <v>Программирование, баскетбол.</v>
      </c>
      <c r="D1966" s="6" t="str">
        <f>IFERROR(__xludf.DUMMYFUNCTION("""COMPUTED_VALUE"""),"Центральный. Возле цирка.")</f>
        <v>Центральный. Возле цирка.</v>
      </c>
      <c r="E1966" s="6" t="str">
        <f>IFERROR(__xludf.DUMMYFUNCTION("""COMPUTED_VALUE"""),"Площадь советов, парк имени Жукова, фонтан возле драмтеатра, набережная, парк чудес")</f>
        <v>Площадь советов, парк имени Жукова, фонтан возле драмтеатра, набережная, парк чудес</v>
      </c>
      <c r="F1966" s="6" t="str">
        <f>IFERROR(__xludf.DUMMYFUNCTION("""COMPUTED_VALUE"""),"Живу здесь с рождения, Родился здесь,но сейчас живу в другом городе")</f>
        <v>Живу здесь с рождения, Родился здесь,но сейчас живу в другом городе</v>
      </c>
      <c r="G1966" s="6" t="str">
        <f>IFERROR(__xludf.DUMMYFUNCTION("""COMPUTED_VALUE"""),"Парк имени Жукова, набережная, парк чудес")</f>
        <v>Парк имени Жукова, набережная, парк чудес</v>
      </c>
      <c r="H1966" s="6" t="str">
        <f>IFERROR(__xludf.DUMMYFUNCTION("""COMPUTED_VALUE"""),"РежимЧерногоНеба. зимой холодно, летом жарко, весной и осенью грязь и слякоть.
Срубили деревья возле реки - стало еще и пыльно.
")</f>
        <v>РежимЧерногоНеба. зимой холодно, летом жарко, весной и осенью грязь и слякоть.
Срубили деревья возле реки - стало еще и пыльно.
</v>
      </c>
      <c r="I1966" s="6" t="str">
        <f>IFERROR(__xludf.DUMMYFUNCTION("""COMPUTED_VALUE"""),"Я не помню.")</f>
        <v>Я не помню.</v>
      </c>
      <c r="J1966" s="6" t="str">
        <f>IFERROR(__xludf.DUMMYFUNCTION("""COMPUTED_VALUE"""),"Я не знаю.")</f>
        <v>Я не знаю.</v>
      </c>
      <c r="K1966" s="6" t="str">
        <f>IFERROR(__xludf.DUMMYFUNCTION("""COMPUTED_VALUE"""),"Площадь советов, набережную, фонтан. Остров возле набережной.")</f>
        <v>Площадь советов, набережную, фонтан. Остров возле набережной.</v>
      </c>
      <c r="L1966" s="6" t="str">
        <f>IFERROR(__xludf.DUMMYFUNCTION("""COMPUTED_VALUE"""),"Не знаю.")</f>
        <v>Не знаю.</v>
      </c>
      <c r="M1966" s="6" t="str">
        <f>IFERROR(__xludf.DUMMYFUNCTION("""COMPUTED_VALUE"""),"Не знаю.")</f>
        <v>Не знаю.</v>
      </c>
      <c r="N1966" s="6" t="str">
        <f>IFERROR(__xludf.DUMMYFUNCTION("""COMPUTED_VALUE"""),"Большие дороги...")</f>
        <v>Большие дороги...</v>
      </c>
      <c r="O1966" s="6" t="str">
        <f>IFERROR(__xludf.DUMMYFUNCTION("""COMPUTED_VALUE"""),"РежимЧерногоНеба убрать.")</f>
        <v>РежимЧерногоНеба убрать.</v>
      </c>
      <c r="P1966" s="6" t="str">
        <f>IFERROR(__xludf.DUMMYFUNCTION("""COMPUTED_VALUE"""),"Узнаю от знакомых.")</f>
        <v>Узнаю от знакомых.</v>
      </c>
      <c r="Q1966" s="6" t="str">
        <f>IFERROR(__xludf.DUMMYFUNCTION("""COMPUTED_VALUE"""),"результаты местных исследований (рейтинги/аналитика/тенденции), интервью с экспертами на разные темы (напишите в разделе Другое свои предложения)")</f>
        <v>результаты местных исследований (рейтинги/аналитика/тенденции), интервью с экспертами на разные темы (напишите в разделе Другое свои предложения)</v>
      </c>
      <c r="R1966" s="6" t="str">
        <f>IFERROR(__xludf.DUMMYFUNCTION("""COMPUTED_VALUE"""),"Близким интересен день города. А я не особо люблю праздники.")</f>
        <v>Близким интересен день города. А я не особо люблю праздники.</v>
      </c>
      <c r="S1966" s="6" t="str">
        <f>IFERROR(__xludf.DUMMYFUNCTION("""COMPUTED_VALUE"""),"Нет, не приходилось")</f>
        <v>Нет, не приходилось</v>
      </c>
      <c r="T1966" s="6" t="str">
        <f>IFERROR(__xludf.DUMMYFUNCTION("""COMPUTED_VALUE"""),"Угольный край.")</f>
        <v>Угольный край.</v>
      </c>
      <c r="U1966" s="6" t="str">
        <f>IFERROR(__xludf.DUMMYFUNCTION("""COMPUTED_VALUE"""),"Площадь советов")</f>
        <v>Площадь советов</v>
      </c>
      <c r="V1966" s="6" t="str">
        <f>IFERROR(__xludf.DUMMYFUNCTION("""COMPUTED_VALUE"""),"Какой-то философский вопрос.")</f>
        <v>Какой-то философский вопрос.</v>
      </c>
      <c r="W1966" s="6" t="str">
        <f>IFERROR(__xludf.DUMMYFUNCTION("""COMPUTED_VALUE"""),"Везде люди примерно одинаковые.")</f>
        <v>Везде люди примерно одинаковые.</v>
      </c>
      <c r="X1966" s="6" t="str">
        <f>IFERROR(__xludf.DUMMYFUNCTION("""COMPUTED_VALUE"""),"От цирка по мосту с октябрьского до советского пр. мимо (ныне закрытого ) бассейна, до площади советов, потом до драмтеатра, потом до вечного огня и по набережной до парка чудес и из него до кирова.")</f>
        <v>От цирка по мосту с октябрьского до советского пр. мимо (ныне закрытого ) бассейна, до площади советов, потом до драмтеатра, потом до вечного огня и по набережной до парка чудес и из него до кирова.</v>
      </c>
      <c r="Y1966" s="6" t="str">
        <f>IFERROR(__xludf.DUMMYFUNCTION("""COMPUTED_VALUE"""),"Не знаю.")</f>
        <v>Не знаю.</v>
      </c>
      <c r="Z1966" s="6" t="str">
        <f>IFERROR(__xludf.DUMMYFUNCTION("""COMPUTED_VALUE"""),"Стритбольные соревнования. Построили много детских площадок.")</f>
        <v>Стритбольные соревнования. Построили много детских площадок.</v>
      </c>
      <c r="AA1966" s="6" t="str">
        <f>IFERROR(__xludf.DUMMYFUNCTION("""COMPUTED_VALUE"""),"Деревья срубили возле искитимки, стало пыльнее.
И РежимЧерногНеба появился.")</f>
        <v>Деревья срубили возле искитимки, стало пыльнее.
И РежимЧерногНеба появился.</v>
      </c>
      <c r="AB1966" s="6" t="str">
        <f>IFERROR(__xludf.DUMMYFUNCTION("""COMPUTED_VALUE"""),"Не знаю.")</f>
        <v>Не знаю.</v>
      </c>
      <c r="AC1966" s="6" t="str">
        <f>IFERROR(__xludf.DUMMYFUNCTION("""COMPUTED_VALUE"""),"Не заню.")</f>
        <v>Не заню.</v>
      </c>
      <c r="AD1966" s="6" t="str">
        <f>IFERROR(__xludf.DUMMYFUNCTION("""COMPUTED_VALUE"""),"Участника: Поучаствовать в обсуждении улучшений, собраниях горожан;, Пункт про ""партнера"" сильный. Есть же бюджет, из него должно все строиться и благоустраиваться.")</f>
        <v>Участника: Поучаствовать в обсуждении улучшений, собраниях горожан;, Пункт про "партнера" сильный. Есть же бюджет, из него должно все строиться и благоустраиваться.</v>
      </c>
      <c r="AE1966" s="6" t="str">
        <f>IFERROR(__xludf.DUMMYFUNCTION("""COMPUTED_VALUE"""),"Мужской")</f>
        <v>Мужской</v>
      </c>
      <c r="AF1966" s="6" t="str">
        <f>IFERROR(__xludf.DUMMYFUNCTION("""COMPUTED_VALUE"""),"30-44")</f>
        <v>30-44</v>
      </c>
      <c r="AG1966" s="6"/>
      <c r="AH1966" s="6"/>
      <c r="AI1966" s="6"/>
      <c r="AJ1966" s="6"/>
      <c r="AK1966" s="6"/>
      <c r="AL1966" s="6"/>
      <c r="AM1966" s="6"/>
    </row>
    <row r="1967">
      <c r="A1967" s="6">
        <v>1966.0</v>
      </c>
      <c r="B1967" s="6" t="str">
        <f>IFERROR(__xludf.DUMMYFUNCTION("""COMPUTED_VALUE"""),"пенсионер")</f>
        <v>пенсионер</v>
      </c>
      <c r="C1967" s="6" t="str">
        <f>IFERROR(__xludf.DUMMYFUNCTION("""COMPUTED_VALUE"""),"чтение книг")</f>
        <v>чтение книг</v>
      </c>
      <c r="D1967" s="6" t="str">
        <f>IFERROR(__xludf.DUMMYFUNCTION("""COMPUTED_VALUE"""),"заводский")</f>
        <v>заводский</v>
      </c>
      <c r="E1967" s="6" t="str">
        <f>IFERROR(__xludf.DUMMYFUNCTION("""COMPUTED_VALUE"""),"губернский рынок")</f>
        <v>губернский рынок</v>
      </c>
      <c r="F1967" s="6" t="str">
        <f>IFERROR(__xludf.DUMMYFUNCTION("""COMPUTED_VALUE"""),"Живу здесь с рождения")</f>
        <v>Живу здесь с рождения</v>
      </c>
      <c r="G1967" s="6" t="str">
        <f>IFERROR(__xludf.DUMMYFUNCTION("""COMPUTED_VALUE"""),"парк ангелов, парк чудес, парк Жукова, театры ")</f>
        <v>парк ангелов, парк чудес, парк Жукова, театры </v>
      </c>
      <c r="H1967" s="6" t="str">
        <f>IFERROR(__xludf.DUMMYFUNCTION("""COMPUTED_VALUE"""),"город большой химии ( в прошлом)")</f>
        <v>город большой химии ( в прошлом)</v>
      </c>
      <c r="I1967" s="6" t="str">
        <f>IFERROR(__xludf.DUMMYFUNCTION("""COMPUTED_VALUE"""),"Чихачев, АИК Кузбасс")</f>
        <v>Чихачев, АИК Кузбасс</v>
      </c>
      <c r="J1967" s="6" t="str">
        <f>IFERROR(__xludf.DUMMYFUNCTION("""COMPUTED_VALUE"""),"мэр Владимир Михайлов, губернатор Аман Тулеев")</f>
        <v>мэр Владимир Михайлов, губернатор Аман Тулеев</v>
      </c>
      <c r="K1967" s="6" t="str">
        <f>IFERROR(__xludf.DUMMYFUNCTION("""COMPUTED_VALUE"""),"набережную реки Томи, филармонию, улицу Весеннюю")</f>
        <v>набережную реки Томи, филармонию, улицу Весеннюю</v>
      </c>
      <c r="L1967" s="6" t="str">
        <f>IFERROR(__xludf.DUMMYFUNCTION("""COMPUTED_VALUE"""),"не знаю")</f>
        <v>не знаю</v>
      </c>
      <c r="M1967" s="6" t="str">
        <f>IFERROR(__xludf.DUMMYFUNCTION("""COMPUTED_VALUE"""),"не знаю")</f>
        <v>не знаю</v>
      </c>
      <c r="N1967" s="6" t="str">
        <f>IFERROR(__xludf.DUMMYFUNCTION("""COMPUTED_VALUE"""),"развитая инфраструктура, хорошие дороги, чистота на улицах и во дворах, чистый воздух, доступные цены на продукты и товары первой необходимости")</f>
        <v>развитая инфраструктура, хорошие дороги, чистота на улицах и во дворах, чистый воздух, доступные цены на продукты и товары первой необходимости</v>
      </c>
      <c r="O1967" s="6" t="str">
        <f>IFERROR(__xludf.DUMMYFUNCTION("""COMPUTED_VALUE"""),"снизить вредные выбросы в атмосферу работающих предприятий")</f>
        <v>снизить вредные выбросы в атмосферу работающих предприятий</v>
      </c>
      <c r="P1967" s="6" t="str">
        <f>IFERROR(__xludf.DUMMYFUNCTION("""COMPUTED_VALUE"""),"интернет")</f>
        <v>интернет</v>
      </c>
      <c r="Q1967"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криминальные новости (происшествия/преступления), бизнес-ново"&amp;"сти (средний чек/рекламные акции/запуск новых предприятий), результаты местных исследований (рейтинги/аналитика/тенденции)")</f>
        <v>куда пойти в свободное время,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v>
      </c>
      <c r="R1967" s="6" t="str">
        <f>IFERROR(__xludf.DUMMYFUNCTION("""COMPUTED_VALUE"""),"день победы, день города")</f>
        <v>день победы, день города</v>
      </c>
      <c r="S1967" s="6" t="str">
        <f>IFERROR(__xludf.DUMMYFUNCTION("""COMPUTED_VALUE"""),"Нет, не приходилось")</f>
        <v>Нет, не приходилось</v>
      </c>
      <c r="T1967" s="6" t="str">
        <f>IFERROR(__xludf.DUMMYFUNCTION("""COMPUTED_VALUE"""),"областной центр")</f>
        <v>областной центр</v>
      </c>
      <c r="U1967" s="6" t="str">
        <f>IFERROR(__xludf.DUMMYFUNCTION("""COMPUTED_VALUE"""),"площадь советов")</f>
        <v>площадь советов</v>
      </c>
      <c r="V1967" s="6" t="str">
        <f>IFERROR(__xludf.DUMMYFUNCTION("""COMPUTED_VALUE"""),"построили промышленные предприятия ")</f>
        <v>построили промышленные предприятия </v>
      </c>
      <c r="W1967" s="6" t="str">
        <f>IFERROR(__xludf.DUMMYFUNCTION("""COMPUTED_VALUE"""),"разные")</f>
        <v>разные</v>
      </c>
      <c r="X1967" s="6" t="str">
        <f>IFERROR(__xludf.DUMMYFUNCTION("""COMPUTED_VALUE"""),"Советский проспект")</f>
        <v>Советский проспект</v>
      </c>
      <c r="Y1967" s="6" t="str">
        <f>IFERROR(__xludf.DUMMYFUNCTION("""COMPUTED_VALUE"""),"строительство жилья")</f>
        <v>строительство жилья</v>
      </c>
      <c r="Z1967" s="6" t="str">
        <f>IFERROR(__xludf.DUMMYFUNCTION("""COMPUTED_VALUE"""),"строительство новых культурных центров")</f>
        <v>строительство новых культурных центров</v>
      </c>
      <c r="AA1967" s="6" t="str">
        <f>IFERROR(__xludf.DUMMYFUNCTION("""COMPUTED_VALUE"""),"пожар в ТЦ Зимняя вишня")</f>
        <v>пожар в ТЦ Зимняя вишня</v>
      </c>
      <c r="AB1967" s="6" t="str">
        <f>IFERROR(__xludf.DUMMYFUNCTION("""COMPUTED_VALUE"""),"мало парков")</f>
        <v>мало парков</v>
      </c>
      <c r="AC1967" s="6" t="str">
        <f>IFERROR(__xludf.DUMMYFUNCTION("""COMPUTED_VALUE"""),"проведение ярмарок")</f>
        <v>проведение ярмарок</v>
      </c>
      <c r="AD1967"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67" s="6" t="str">
        <f>IFERROR(__xludf.DUMMYFUNCTION("""COMPUTED_VALUE"""),"Женский")</f>
        <v>Женский</v>
      </c>
      <c r="AF1967" s="6" t="str">
        <f>IFERROR(__xludf.DUMMYFUNCTION("""COMPUTED_VALUE"""),"старше 55")</f>
        <v>старше 55</v>
      </c>
      <c r="AG1967" s="6"/>
      <c r="AH1967" s="6"/>
      <c r="AI1967" s="6"/>
      <c r="AJ1967" s="6"/>
      <c r="AK1967" s="6"/>
      <c r="AL1967" s="6"/>
      <c r="AM1967" s="6"/>
    </row>
    <row r="1968">
      <c r="A1968" s="6">
        <v>1967.0</v>
      </c>
      <c r="B1968" s="6" t="str">
        <f>IFERROR(__xludf.DUMMYFUNCTION("""COMPUTED_VALUE"""),"Инструктор по SUP, сноуборду и горным лыжам.")</f>
        <v>Инструктор по SUP, сноуборду и горным лыжам.</v>
      </c>
      <c r="C1968" s="6" t="str">
        <f>IFERROR(__xludf.DUMMYFUNCTION("""COMPUTED_VALUE"""),"Роликовые коньки")</f>
        <v>Роликовые коньки</v>
      </c>
      <c r="D1968" s="6" t="str">
        <f>IFERROR(__xludf.DUMMYFUNCTION("""COMPUTED_VALUE"""),"Рудничный. 
Радуга.
")</f>
        <v>Рудничный. 
Радуга.
</v>
      </c>
      <c r="E1968" s="6" t="str">
        <f>IFERROR(__xludf.DUMMYFUNCTION("""COMPUTED_VALUE"""),"Сосновый бор")</f>
        <v>Сосновый бор</v>
      </c>
      <c r="F1968" s="6" t="str">
        <f>IFERROR(__xludf.DUMMYFUNCTION("""COMPUTED_VALUE"""),"Переехал сюда из другого места (откуда? укажите в графе другое), Анжеро-Судженск")</f>
        <v>Переехал сюда из другого места (откуда? укажите в графе другое), Анжеро-Судженск</v>
      </c>
      <c r="G1968" s="6" t="str">
        <f>IFERROR(__xludf.DUMMYFUNCTION("""COMPUTED_VALUE"""),"Набережная
Люскус")</f>
        <v>Набережная
Люскус</v>
      </c>
      <c r="H1968" s="6" t="str">
        <f>IFERROR(__xludf.DUMMYFUNCTION("""COMPUTED_VALUE"""),"Чистый 
Развивающийся
Загазованный
")</f>
        <v>Чистый 
Развивающийся
Загазованный
</v>
      </c>
      <c r="I1968" s="6" t="str">
        <f>IFERROR(__xludf.DUMMYFUNCTION("""COMPUTED_VALUE"""),"Тулеев
Леонов")</f>
        <v>Тулеев
Леонов</v>
      </c>
      <c r="J1968" s="6" t="str">
        <f>IFERROR(__xludf.DUMMYFUNCTION("""COMPUTED_VALUE"""),"Середюк")</f>
        <v>Середюк</v>
      </c>
      <c r="K1968" s="6" t="str">
        <f>IFERROR(__xludf.DUMMYFUNCTION("""COMPUTED_VALUE"""),"Весенняя улица(летом)
Набережная
Сосновый бор
Бульвар строителей
Сердце шахтёра")</f>
        <v>Весенняя улица(летом)
Набережная
Сосновый бор
Бульвар строителей
Сердце шахтёра</v>
      </c>
      <c r="L1968" s="6" t="str">
        <f>IFERROR(__xludf.DUMMYFUNCTION("""COMPUTED_VALUE"""),"Нет")</f>
        <v>Нет</v>
      </c>
      <c r="M1968" s="6" t="str">
        <f>IFERROR(__xludf.DUMMYFUNCTION("""COMPUTED_VALUE"""),"Нет")</f>
        <v>Нет</v>
      </c>
      <c r="N1968" s="6" t="str">
        <f>IFERROR(__xludf.DUMMYFUNCTION("""COMPUTED_VALUE"""),"Чистота на улицах и во дворах
Хорошие дороги и асфальтированные тротуары
Красивые, отремонтированные фасады зданий
Много парков и скверов")</f>
        <v>Чистота на улицах и во дворах
Хорошие дороги и асфальтированные тротуары
Красивые, отремонтированные фасады зданий
Много парков и скверов</v>
      </c>
      <c r="O1968" s="6" t="str">
        <f>IFERROR(__xludf.DUMMYFUNCTION("""COMPUTED_VALUE"""),"Улучшить экологическую обстановку")</f>
        <v>Улучшить экологическую обстановку</v>
      </c>
      <c r="P1968" s="7" t="str">
        <f>IFERROR(__xludf.DUMMYFUNCTION("""COMPUTED_VALUE"""),"https://www.instagram.com/ilyaseredyuk/")</f>
        <v>https://www.instagram.com/ilyaseredyuk/</v>
      </c>
      <c r="Q1968" s="6" t="str">
        <f>IFERROR(__xludf.DUMMYFUNCTION("""COMPUTED_VALUE"""),"городская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f>
        <v>городская афиша (кино/театр/концерты), культурные новинки (что почитать/что послушать), интервью с экспертами на разные темы (напишите в разделе Другое свои предложения)</v>
      </c>
      <c r="R1968" s="6" t="str">
        <f>IFERROR(__xludf.DUMMYFUNCTION("""COMPUTED_VALUE"""),"День победы
День молодёжи
День города
Новый год")</f>
        <v>День победы
День молодёжи
День города
Новый год</v>
      </c>
      <c r="S1968" s="6" t="str">
        <f>IFERROR(__xludf.DUMMYFUNCTION("""COMPUTED_VALUE"""),"Нет, не приходилось")</f>
        <v>Нет, не приходилось</v>
      </c>
      <c r="T1968" s="6" t="str">
        <f>IFERROR(__xludf.DUMMYFUNCTION("""COMPUTED_VALUE"""),"Фестиваль Полный газ
Угольная, химическая промышленность")</f>
        <v>Фестиваль Полный газ
Угольная, химическая промышленность</v>
      </c>
      <c r="U1968" s="6" t="str">
        <f>IFERROR(__xludf.DUMMYFUNCTION("""COMPUTED_VALUE"""),"Весенняя улица")</f>
        <v>Весенняя улица</v>
      </c>
      <c r="V1968" s="6" t="str">
        <f>IFERROR(__xludf.DUMMYFUNCTION("""COMPUTED_VALUE"""),"Нет ответа")</f>
        <v>Нет ответа</v>
      </c>
      <c r="W1968" s="6" t="str">
        <f>IFERROR(__xludf.DUMMYFUNCTION("""COMPUTED_VALUE"""),"Все разные")</f>
        <v>Все разные</v>
      </c>
      <c r="X1968" s="6" t="str">
        <f>IFERROR(__xludf.DUMMYFUNCTION("""COMPUTED_VALUE"""),"Центр города
Притомский пр-т")</f>
        <v>Центр города
Притомский пр-т</v>
      </c>
      <c r="Y1968" s="6" t="str">
        <f>IFERROR(__xludf.DUMMYFUNCTION("""COMPUTED_VALUE"""),"Смена Губернатора")</f>
        <v>Смена Губернатора</v>
      </c>
      <c r="Z1968" s="6" t="str">
        <f>IFERROR(__xludf.DUMMYFUNCTION("""COMPUTED_VALUE"""),"Развитие центрального района")</f>
        <v>Развитие центрального района</v>
      </c>
      <c r="AA1968" s="6" t="str">
        <f>IFERROR(__xludf.DUMMYFUNCTION("""COMPUTED_VALUE"""),"Патрули в период пандемии")</f>
        <v>Патрули в период пандемии</v>
      </c>
      <c r="AB1968" s="6" t="str">
        <f>IFERROR(__xludf.DUMMYFUNCTION("""COMPUTED_VALUE"""),"По экстремальным видам спорта")</f>
        <v>По экстремальным видам спорта</v>
      </c>
      <c r="AC1968" s="6" t="str">
        <f>IFERROR(__xludf.DUMMYFUNCTION("""COMPUTED_VALUE"""),"Музыкальные, творческие фестивали")</f>
        <v>Музыкальные, творческие фестивали</v>
      </c>
      <c r="AD1968"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968" s="6" t="str">
        <f>IFERROR(__xludf.DUMMYFUNCTION("""COMPUTED_VALUE"""),"Мужской")</f>
        <v>Мужской</v>
      </c>
      <c r="AF1968" s="6" t="str">
        <f>IFERROR(__xludf.DUMMYFUNCTION("""COMPUTED_VALUE"""),"30-44")</f>
        <v>30-44</v>
      </c>
      <c r="AG1968" s="6"/>
      <c r="AH1968" s="6"/>
      <c r="AI1968" s="6"/>
      <c r="AJ1968" s="6"/>
      <c r="AK1968" s="6"/>
      <c r="AL1968" s="6"/>
      <c r="AM1968" s="6"/>
    </row>
    <row r="1969">
      <c r="A1969" s="6">
        <v>1968.0</v>
      </c>
      <c r="B1969" s="6" t="str">
        <f>IFERROR(__xludf.DUMMYFUNCTION("""COMPUTED_VALUE"""),"водитель")</f>
        <v>водитель</v>
      </c>
      <c r="C1969" s="6" t="str">
        <f>IFERROR(__xludf.DUMMYFUNCTION("""COMPUTED_VALUE"""),"фехтование")</f>
        <v>фехтование</v>
      </c>
      <c r="D1969" s="6" t="str">
        <f>IFERROR(__xludf.DUMMYFUNCTION("""COMPUTED_VALUE"""),"фпк")</f>
        <v>фпк</v>
      </c>
      <c r="E1969" s="6" t="str">
        <f>IFERROR(__xludf.DUMMYFUNCTION("""COMPUTED_VALUE"""),"фонтан, площадь Советов")</f>
        <v>фонтан, площадь Советов</v>
      </c>
      <c r="F1969" s="6" t="str">
        <f>IFERROR(__xludf.DUMMYFUNCTION("""COMPUTED_VALUE"""),"Живу здесь с рождения")</f>
        <v>Живу здесь с рождения</v>
      </c>
      <c r="G1969" s="6" t="str">
        <f>IFERROR(__xludf.DUMMYFUNCTION("""COMPUTED_VALUE"""),"центр города, фпк")</f>
        <v>центр города, фпк</v>
      </c>
      <c r="H1969" s="6" t="str">
        <f>IFERROR(__xludf.DUMMYFUNCTION("""COMPUTED_VALUE"""),"шахтер, столица, зеленый, Ленина, бор")</f>
        <v>шахтер, столица, зеленый, Ленина, бор</v>
      </c>
      <c r="I1969" s="6" t="str">
        <f>IFERROR(__xludf.DUMMYFUNCTION("""COMPUTED_VALUE"""),"Волков, Сарыгин, Леонов")</f>
        <v>Волков, Сарыгин, Леонов</v>
      </c>
      <c r="J1969" s="6" t="str">
        <f>IFERROR(__xludf.DUMMYFUNCTION("""COMPUTED_VALUE"""),"Гришковец")</f>
        <v>Гришковец</v>
      </c>
      <c r="K1969" s="6" t="str">
        <f>IFERROR(__xludf.DUMMYFUNCTION("""COMPUTED_VALUE"""),"""Крест"" в бору")</f>
        <v>"Крест" в бору</v>
      </c>
      <c r="L1969" s="6" t="str">
        <f>IFERROR(__xludf.DUMMYFUNCTION("""COMPUTED_VALUE"""),"-")</f>
        <v>-</v>
      </c>
      <c r="M1969" s="6" t="str">
        <f>IFERROR(__xludf.DUMMYFUNCTION("""COMPUTED_VALUE"""),"нет")</f>
        <v>нет</v>
      </c>
      <c r="N1969" s="6" t="str">
        <f>IFERROR(__xludf.DUMMYFUNCTION("""COMPUTED_VALUE"""),"чистые улицы, обилие парковых зон, отсутствие пробок, небольшие кафе")</f>
        <v>чистые улицы, обилие парковых зон, отсутствие пробок, небольшие кафе</v>
      </c>
      <c r="O1969" s="6" t="str">
        <f>IFERROR(__xludf.DUMMYFUNCTION("""COMPUTED_VALUE"""),"отремонтировать или перестроить бордюры, чтобы отделить проезжую часть от газонов, и чтобы грязь с газонов не попадала на проезжую часть")</f>
        <v>отремонтировать или перестроить бордюры, чтобы отделить проезжую часть от газонов, и чтобы грязь с газонов не попадала на проезжую часть</v>
      </c>
      <c r="P1969" s="6" t="str">
        <f>IFERROR(__xludf.DUMMYFUNCTION("""COMPUTED_VALUE"""),"от знакомых")</f>
        <v>от знакомых</v>
      </c>
      <c r="Q1969" s="6" t="str">
        <f>IFERROR(__xludf.DUMMYFUNCTION("""COMPUTED_VALUE"""),"городская афиша (кино/театр/концерты), интервью с местными предпринимателями, бизнес-новости (средний чек/рекламные акции/запуск новых предприятий)")</f>
        <v>городская афиша (кино/театр/концерты), интервью с местными предпринимателями, бизнес-новости (средний чек/рекламные акции/запуск новых предприятий)</v>
      </c>
      <c r="R1969" s="6" t="str">
        <f>IFERROR(__xludf.DUMMYFUNCTION("""COMPUTED_VALUE"""),"День Победы")</f>
        <v>День Победы</v>
      </c>
      <c r="S1969" s="6" t="str">
        <f>IFERROR(__xludf.DUMMYFUNCTION("""COMPUTED_VALUE"""),"Нет, не приходилось")</f>
        <v>Нет, не приходилось</v>
      </c>
      <c r="T1969" s="6" t="str">
        <f>IFERROR(__xludf.DUMMYFUNCTION("""COMPUTED_VALUE"""),"угольная столица России")</f>
        <v>угольная столица России</v>
      </c>
      <c r="U1969" s="6" t="str">
        <f>IFERROR(__xludf.DUMMYFUNCTION("""COMPUTED_VALUE"""),"набережная, ул. Весенняя")</f>
        <v>набережная, ул. Весенняя</v>
      </c>
      <c r="V1969" s="6" t="str">
        <f>IFERROR(__xludf.DUMMYFUNCTION("""COMPUTED_VALUE"""),"много и хорошо работали")</f>
        <v>много и хорошо работали</v>
      </c>
      <c r="W1969" s="6" t="str">
        <f>IFERROR(__xludf.DUMMYFUNCTION("""COMPUTED_VALUE"""),"это качества, свойственные современникам из средних по размеру городам: неприветливость, невежливость")</f>
        <v>это качества, свойственные современникам из средних по размеру городам: неприветливость, невежливость</v>
      </c>
      <c r="X1969" s="6" t="str">
        <f>IFERROR(__xludf.DUMMYFUNCTION("""COMPUTED_VALUE"""),"набережная")</f>
        <v>набережная</v>
      </c>
      <c r="Y1969" s="6" t="str">
        <f>IFERROR(__xludf.DUMMYFUNCTION("""COMPUTED_VALUE"""),"пожар в ""Зимней вишне""")</f>
        <v>пожар в "Зимней вишне"</v>
      </c>
      <c r="Z1969" s="6" t="str">
        <f>IFERROR(__xludf.DUMMYFUNCTION("""COMPUTED_VALUE"""),"-")</f>
        <v>-</v>
      </c>
      <c r="AA1969" s="6" t="str">
        <f>IFERROR(__xludf.DUMMYFUNCTION("""COMPUTED_VALUE"""),"-")</f>
        <v>-</v>
      </c>
      <c r="AB1969" s="6" t="str">
        <f>IFERROR(__xludf.DUMMYFUNCTION("""COMPUTED_VALUE"""),"спортивных секций по различным направлениям фехтования; других спортивных сообществ")</f>
        <v>спортивных секций по различным направлениям фехтования; других спортивных сообществ</v>
      </c>
      <c r="AC1969" s="6" t="str">
        <f>IFERROR(__xludf.DUMMYFUNCTION("""COMPUTED_VALUE"""),"благоустройство парков, дорог, тротуаров, открытие новых производств")</f>
        <v>благоустройство парков, дорог, тротуаров, открытие новых производств</v>
      </c>
      <c r="AD1969"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1969" s="6" t="str">
        <f>IFERROR(__xludf.DUMMYFUNCTION("""COMPUTED_VALUE"""),"Мужской")</f>
        <v>Мужской</v>
      </c>
      <c r="AF1969" s="6" t="str">
        <f>IFERROR(__xludf.DUMMYFUNCTION("""COMPUTED_VALUE"""),"30-44")</f>
        <v>30-44</v>
      </c>
      <c r="AG1969" s="6"/>
      <c r="AH1969" s="6"/>
      <c r="AI1969" s="6"/>
      <c r="AJ1969" s="6"/>
      <c r="AK1969" s="6"/>
      <c r="AL1969" s="6"/>
      <c r="AM1969" s="6"/>
    </row>
    <row r="1970">
      <c r="A1970" s="6">
        <v>1969.0</v>
      </c>
      <c r="B1970" s="6" t="str">
        <f>IFERROR(__xludf.DUMMYFUNCTION("""COMPUTED_VALUE"""),"Предприниматель")</f>
        <v>Предприниматель</v>
      </c>
      <c r="C1970" s="6" t="str">
        <f>IFERROR(__xludf.DUMMYFUNCTION("""COMPUTED_VALUE"""),"Танцы, книги")</f>
        <v>Танцы, книги</v>
      </c>
      <c r="D1970" s="6" t="str">
        <f>IFERROR(__xludf.DUMMYFUNCTION("""COMPUTED_VALUE"""),"Ленинский")</f>
        <v>Ленинский</v>
      </c>
      <c r="E1970" s="6" t="str">
        <f>IFERROR(__xludf.DUMMYFUNCTION("""COMPUTED_VALUE"""),"Красное озеро грязное.  Кадетский корпус и танк. Не очень то")</f>
        <v>Красное озеро грязное.  Кадетский корпус и танк. Не очень то</v>
      </c>
      <c r="F1970" s="6" t="str">
        <f>IFERROR(__xludf.DUMMYFUNCTION("""COMPUTED_VALUE"""),"Живу здесь с рождения")</f>
        <v>Живу здесь с рождения</v>
      </c>
      <c r="G1970" s="6" t="str">
        <f>IFERROR(__xludf.DUMMYFUNCTION("""COMPUTED_VALUE"""),"Не куда ходить особенно с детьми")</f>
        <v>Не куда ходить особенно с детьми</v>
      </c>
      <c r="H1970" s="6" t="str">
        <f>IFERROR(__xludf.DUMMYFUNCTION("""COMPUTED_VALUE"""),"Серость, плохая экология, откачка денег, ограниченность")</f>
        <v>Серость, плохая экология, откачка денег, ограниченность</v>
      </c>
      <c r="I1970" s="6" t="str">
        <f>IFERROR(__xludf.DUMMYFUNCTION("""COMPUTED_VALUE"""),"Алексей Леонов")</f>
        <v>Алексей Леонов</v>
      </c>
      <c r="J1970" s="6" t="str">
        <f>IFERROR(__xludf.DUMMYFUNCTION("""COMPUTED_VALUE"""),"Предприниматели")</f>
        <v>Предприниматели</v>
      </c>
      <c r="K1970" s="6" t="str">
        <f>IFERROR(__xludf.DUMMYFUNCTION("""COMPUTED_VALUE"""),"Район Лесная поляна ")</f>
        <v>Район Лесная поляна </v>
      </c>
      <c r="L1970" s="6" t="str">
        <f>IFERROR(__xludf.DUMMYFUNCTION("""COMPUTED_VALUE"""),"Нет")</f>
        <v>Нет</v>
      </c>
      <c r="M1970" s="6" t="str">
        <f>IFERROR(__xludf.DUMMYFUNCTION("""COMPUTED_VALUE"""),"Нет таких")</f>
        <v>Нет таких</v>
      </c>
      <c r="N1970" s="6" t="str">
        <f>IFERROR(__xludf.DUMMYFUNCTION("""COMPUTED_VALUE"""),"Полноценный аэропорт с возможностью вылета в разные страны, жд сообщение, дороги, образование")</f>
        <v>Полноценный аэропорт с возможностью вылета в разные страны, жд сообщение, дороги, образование</v>
      </c>
      <c r="O1970" s="6" t="str">
        <f>IFERROR(__xludf.DUMMYFUNCTION("""COMPUTED_VALUE"""),"Почаще менять власть, тогда хоть что то начинает делаться")</f>
        <v>Почаще менять власть, тогда хоть что то начинает делаться</v>
      </c>
      <c r="P1970" s="6" t="str">
        <f>IFERROR(__xludf.DUMMYFUNCTION("""COMPUTED_VALUE"""),"Интернет, инстаграмм")</f>
        <v>Интернет, инстаграмм</v>
      </c>
      <c r="Q1970" s="6" t="str">
        <f>IFERROR(__xludf.DUMMYFUNCTION("""COMPUTED_VALUE"""),"интервью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предпринимателями, результаты местных исследований (рейтинги/аналитика/тенденции), интервью с экспертами на разные темы (напишите в разделе Другое свои предложения)</v>
      </c>
      <c r="R1970" s="6" t="str">
        <f>IFERROR(__xludf.DUMMYFUNCTION("""COMPUTED_VALUE"""),"Нет таких")</f>
        <v>Нет таких</v>
      </c>
      <c r="S1970" s="6" t="str">
        <f>IFERROR(__xludf.DUMMYFUNCTION("""COMPUTED_VALUE"""),"Нет, не приходилось")</f>
        <v>Нет, не приходилось</v>
      </c>
      <c r="T1970" s="6" t="str">
        <f>IFERROR(__xludf.DUMMYFUNCTION("""COMPUTED_VALUE"""),"Углём, Тулеевым, Зимней вишней ")</f>
        <v>Углём, Тулеевым, Зимней вишней </v>
      </c>
      <c r="U1970" s="6" t="str">
        <f>IFERROR(__xludf.DUMMYFUNCTION("""COMPUTED_VALUE"""),"Московский проспект")</f>
        <v>Московский проспект</v>
      </c>
      <c r="V1970" s="6" t="str">
        <f>IFERROR(__xludf.DUMMYFUNCTION("""COMPUTED_VALUE"""),"Ничего")</f>
        <v>Ничего</v>
      </c>
      <c r="W1970" s="6" t="str">
        <f>IFERROR(__xludf.DUMMYFUNCTION("""COMPUTED_VALUE"""),"Всем людям присущи примерно одни и те же качества не важно в каком городе они живут . ")</f>
        <v>Всем людям присущи примерно одни и те же качества не важно в каком городе они живут . </v>
      </c>
      <c r="X1970" s="6" t="str">
        <f>IFERROR(__xludf.DUMMYFUNCTION("""COMPUTED_VALUE"""),"Район Лесная поляна")</f>
        <v>Район Лесная поляна</v>
      </c>
      <c r="Y1970" s="6" t="str">
        <f>IFERROR(__xludf.DUMMYFUNCTION("""COMPUTED_VALUE"""),"Никакого. Строится культурный кластер это хорошо")</f>
        <v>Никакого. Строится культурный кластер это хорошо</v>
      </c>
      <c r="Z1970" s="6" t="str">
        <f>IFERROR(__xludf.DUMMYFUNCTION("""COMPUTED_VALUE"""),"Никаких")</f>
        <v>Никаких</v>
      </c>
      <c r="AA1970" s="6" t="str">
        <f>IFERROR(__xludf.DUMMYFUNCTION("""COMPUTED_VALUE"""),"Нет")</f>
        <v>Нет</v>
      </c>
      <c r="AB1970" s="6" t="str">
        <f>IFERROR(__xludf.DUMMYFUNCTION("""COMPUTED_VALUE"""),"Нет")</f>
        <v>Нет</v>
      </c>
      <c r="AC1970" s="6" t="str">
        <f>IFERROR(__xludf.DUMMYFUNCTION("""COMPUTED_VALUE"""),"Полноценные выставки, музеи, музыкальные фестивали, молодежные движения , кинотеатры на открытом воздухе летом, мероприятия для детей, концерты с нормальными звёздами ,  просто больше парков, скверов ")</f>
        <v>Полноценные выставки, музеи, музыкальные фестивали, молодежные движения , кинотеатры на открытом воздухе летом, мероприятия для детей, концерты с нормальными звёздами ,  просто больше парков, скверов </v>
      </c>
      <c r="AD197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уч"&amp;"астников")</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970" s="6" t="str">
        <f>IFERROR(__xludf.DUMMYFUNCTION("""COMPUTED_VALUE"""),"Женский")</f>
        <v>Женский</v>
      </c>
      <c r="AF1970" s="6" t="str">
        <f>IFERROR(__xludf.DUMMYFUNCTION("""COMPUTED_VALUE"""),"30-44")</f>
        <v>30-44</v>
      </c>
      <c r="AG1970" s="6"/>
      <c r="AH1970" s="6"/>
      <c r="AI1970" s="6"/>
      <c r="AJ1970" s="6"/>
      <c r="AK1970" s="6"/>
      <c r="AL1970" s="6"/>
      <c r="AM1970" s="6"/>
    </row>
    <row r="1971">
      <c r="A1971" s="6">
        <v>1970.0</v>
      </c>
      <c r="B1971" s="6" t="str">
        <f>IFERROR(__xludf.DUMMYFUNCTION("""COMPUTED_VALUE"""),"работаю в журнале ""Антенна-ТелеСемь""")</f>
        <v>работаю в журнале "Антенна-ТелеСемь"</v>
      </c>
      <c r="C1971" s="6" t="str">
        <f>IFERROR(__xludf.DUMMYFUNCTION("""COMPUTED_VALUE"""),"цветы")</f>
        <v>цветы</v>
      </c>
      <c r="D1971" s="6" t="str">
        <f>IFERROR(__xludf.DUMMYFUNCTION("""COMPUTED_VALUE"""),"Заводский")</f>
        <v>Заводский</v>
      </c>
      <c r="E1971" s="6" t="str">
        <f>IFERROR(__xludf.DUMMYFUNCTION("""COMPUTED_VALUE"""),"Парк Ангелов")</f>
        <v>Парк Ангелов</v>
      </c>
      <c r="F1971" s="6" t="str">
        <f>IFERROR(__xludf.DUMMYFUNCTION("""COMPUTED_VALUE"""),"Переехал сюда из другого места (откуда? укажите в графе другое), из Ленинска-Кузнецка")</f>
        <v>Переехал сюда из другого места (откуда? укажите в графе другое), из Ленинска-Кузнецка</v>
      </c>
      <c r="G1971" s="6" t="str">
        <f>IFERROR(__xludf.DUMMYFUNCTION("""COMPUTED_VALUE"""),"Парк Жукова, Площадь Советов")</f>
        <v>Парк Жукова, Площадь Советов</v>
      </c>
      <c r="H1971" s="6" t="str">
        <f>IFERROR(__xludf.DUMMYFUNCTION("""COMPUTED_VALUE""")," Тулеев, уголь, Леонов, пожар, Красная горка,")</f>
        <v> Тулеев, уголь, Леонов, пожар, Красная горка,</v>
      </c>
      <c r="I1971" s="6" t="str">
        <f>IFERROR(__xludf.DUMMYFUNCTION("""COMPUTED_VALUE""")," Тулеев, Волков, Леонов")</f>
        <v> Тулеев, Волков, Леонов</v>
      </c>
      <c r="J1971" s="6" t="str">
        <f>IFERROR(__xludf.DUMMYFUNCTION("""COMPUTED_VALUE""")," Тулеев")</f>
        <v> Тулеев</v>
      </c>
      <c r="K1971" s="6" t="str">
        <f>IFERROR(__xludf.DUMMYFUNCTION("""COMPUTED_VALUE"""),"Парк Ангелов")</f>
        <v>Парк Ангелов</v>
      </c>
      <c r="L1971" s="6" t="str">
        <f>IFERROR(__xludf.DUMMYFUNCTION("""COMPUTED_VALUE"""),"-")</f>
        <v>-</v>
      </c>
      <c r="M1971" s="6" t="str">
        <f>IFERROR(__xludf.DUMMYFUNCTION("""COMPUTED_VALUE"""),"-")</f>
        <v>-</v>
      </c>
      <c r="N1971" s="6" t="str">
        <f>IFERROR(__xludf.DUMMYFUNCTION("""COMPUTED_VALUE"""),"-")</f>
        <v>-</v>
      </c>
      <c r="O1971" s="6" t="str">
        <f>IFERROR(__xludf.DUMMYFUNCTION("""COMPUTED_VALUE"""),"Власть")</f>
        <v>Власть</v>
      </c>
      <c r="P1971" s="6" t="str">
        <f>IFERROR(__xludf.DUMMYFUNCTION("""COMPUTED_VALUE"""),"журнал ТелеСемь, соцсети, новости в соцсетях")</f>
        <v>журнал ТелеСемь, соцсети, новости в соцсетях</v>
      </c>
      <c r="Q1971" s="6" t="str">
        <f>IFERROR(__xludf.DUMMYFUNCTION("""COMPUTED_VALUE"""),"интервью с местными политиками, новости про новые профессии/куда поступать/вакансии, бизнес-новости (средний чек/рекламные акции/запуск новых предприятий)")</f>
        <v>интервью с местными политиками, новости про новые профессии/куда поступать/вакансии, бизнес-новости (средний чек/рекламные акции/запуск новых предприятий)</v>
      </c>
      <c r="R1971" s="6" t="str">
        <f>IFERROR(__xludf.DUMMYFUNCTION("""COMPUTED_VALUE"""),"день города")</f>
        <v>день города</v>
      </c>
      <c r="S1971" s="6" t="str">
        <f>IFERROR(__xludf.DUMMYFUNCTION("""COMPUTED_VALUE"""),"Через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f>
        <v>Через социальные сети (Какие? Укажите в графе другое), Делал рассылку по электронной почте, Обращался в редакции электронных городских СМИ, Обращался в редакции городских газет, телевидения, радио</v>
      </c>
      <c r="T1971" s="6" t="str">
        <f>IFERROR(__xludf.DUMMYFUNCTION("""COMPUTED_VALUE"""),"Торговые центры, скидки в магазинах эконом класса")</f>
        <v>Торговые центры, скидки в магазинах эконом класса</v>
      </c>
      <c r="U1971" s="6" t="str">
        <f>IFERROR(__xludf.DUMMYFUNCTION("""COMPUTED_VALUE"""),"Цирк, ЦУМ, ресторан Солнечный")</f>
        <v>Цирк, ЦУМ, ресторан Солнечный</v>
      </c>
      <c r="V1971" s="6" t="str">
        <f>IFERROR(__xludf.DUMMYFUNCTION("""COMPUTED_VALUE"""),"Каждый человек, житель или чиновник вложил свой вклад и мерить кто больше, кто меньше - это неправильно. У кого то больше возможности, у кого то меньше. ")</f>
        <v>Каждый человек, житель или чиновник вложил свой вклад и мерить кто больше, кто меньше - это неправильно. У кого то больше возможности, у кого то меньше. </v>
      </c>
      <c r="W1971" s="6" t="str">
        <f>IFERROR(__xludf.DUMMYFUNCTION("""COMPUTED_VALUE"""),"Сложно. Люди с каждым годом становятся все жестче и жёстче.  ")</f>
        <v>Сложно. Люди с каждым годом становятся все жестче и жёстче.  </v>
      </c>
      <c r="X1971" s="6" t="str">
        <f>IFERROR(__xludf.DUMMYFUNCTION("""COMPUTED_VALUE"""),"парк Ангелов, Победы, площадь советов, набережная, Городской парк ")</f>
        <v>парк Ангелов, Победы, площадь советов, набережная, Городской парк </v>
      </c>
      <c r="Y1971" s="6" t="str">
        <f>IFERROR(__xludf.DUMMYFUNCTION("""COMPUTED_VALUE"""),"их много. каждый год облагораживают разные районы города. город становится всё краше и краше")</f>
        <v>их много. каждый год облагораживают разные районы города. город становится всё краше и краше</v>
      </c>
      <c r="Z1971" s="6" t="str">
        <f>IFERROR(__xludf.DUMMYFUNCTION("""COMPUTED_VALUE"""),"их нет. Пожар ""Зимняя вишня"" а после пандемия....")</f>
        <v>их нет. Пожар "Зимняя вишня" а после пандемия....</v>
      </c>
      <c r="AA1971" s="6" t="str">
        <f>IFERROR(__xludf.DUMMYFUNCTION("""COMPUTED_VALUE"""),"Пожар ""Зимняя вишня"", после пандемия, митинги...")</f>
        <v>Пожар "Зимняя вишня", после пандемия, митинги...</v>
      </c>
      <c r="AB1971" s="6" t="str">
        <f>IFERROR(__xludf.DUMMYFUNCTION("""COMPUTED_VALUE"""),"затрудняюсь ответить")</f>
        <v>затрудняюсь ответить</v>
      </c>
      <c r="AC1971" s="6" t="str">
        <f>IFERROR(__xludf.DUMMYFUNCTION("""COMPUTED_VALUE"""),"Народные гулянья.  Масленицу сжигать не в Томской писанице, а в центре, что бы всем людям можно было приехать погулять. поиграть...Как с салютом на 9 мая! со всех районов съезжаются люди. встречаются и общаются")</f>
        <v>Народные гулянья.  Масленицу сжигать не в Томской писанице, а в центре, что бы всем людям можно было приехать погулять. поиграть...Как с салютом на 9 мая! со всех районов съезжаются люди. встречаются и общаются</v>
      </c>
      <c r="AD1971" s="6" t="str">
        <f>IFERROR(__xludf.DUMMYFUNCTION("""COMPUTED_VALUE"""),"Партнера.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пот"&amp;"енциально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971" s="6" t="str">
        <f>IFERROR(__xludf.DUMMYFUNCTION("""COMPUTED_VALUE"""),"Женский")</f>
        <v>Женский</v>
      </c>
      <c r="AF1971" s="6" t="str">
        <f>IFERROR(__xludf.DUMMYFUNCTION("""COMPUTED_VALUE"""),"30-44")</f>
        <v>30-44</v>
      </c>
      <c r="AG1971" s="6"/>
      <c r="AH1971" s="6"/>
      <c r="AI1971" s="6"/>
      <c r="AJ1971" s="6"/>
      <c r="AK1971" s="6"/>
      <c r="AL1971" s="6"/>
      <c r="AM1971" s="6"/>
    </row>
    <row r="1972">
      <c r="A1972" s="6">
        <v>1971.0</v>
      </c>
      <c r="B1972" s="6" t="str">
        <f>IFERROR(__xludf.DUMMYFUNCTION("""COMPUTED_VALUE"""),"юриспруденция")</f>
        <v>юриспруденция</v>
      </c>
      <c r="C1972" s="6" t="str">
        <f>IFERROR(__xludf.DUMMYFUNCTION("""COMPUTED_VALUE"""),"охота, туризм, кулинария")</f>
        <v>охота, туризм, кулинария</v>
      </c>
      <c r="D1972" s="6" t="str">
        <f>IFERROR(__xludf.DUMMYFUNCTION("""COMPUTED_VALUE"""),"ФПК (каменные джунгли)")</f>
        <v>ФПК (каменные джунгли)</v>
      </c>
      <c r="E1972" s="6" t="str">
        <f>IFERROR(__xludf.DUMMYFUNCTION("""COMPUTED_VALUE"""),"ТРК Гринвич")</f>
        <v>ТРК Гринвич</v>
      </c>
      <c r="F1972" s="6" t="str">
        <f>IFERROR(__xludf.DUMMYFUNCTION("""COMPUTED_VALUE"""),"Живу здесь с рождения")</f>
        <v>Живу здесь с рождения</v>
      </c>
      <c r="G1972" s="6" t="str">
        <f>IFERROR(__xludf.DUMMYFUNCTION("""COMPUTED_VALUE"""),"Парки, побережье Томи во всех районах и пригороде, озера")</f>
        <v>Парки, побережье Томи во всех районах и пригороде, озера</v>
      </c>
      <c r="H1972" s="6" t="str">
        <f>IFERROR(__xludf.DUMMYFUNCTION("""COMPUTED_VALUE"""),"Томь,  некомпетентность, загазованность, грязь, юность.")</f>
        <v>Томь,  некомпетентность, загазованность, грязь, юность.</v>
      </c>
      <c r="I1972" s="6" t="str">
        <f>IFERROR(__xludf.DUMMYFUNCTION("""COMPUTED_VALUE"""),"Волков, Красильников, ")</f>
        <v>Волков, Красильников, </v>
      </c>
      <c r="J1972" s="6" t="str">
        <f>IFERROR(__xludf.DUMMYFUNCTION("""COMPUTED_VALUE"""),"Михайлов (бывш Глава города), Бессертных, Леонов,  Соловьев Л")</f>
        <v>Михайлов (бывш Глава города), Бессертных, Леонов,  Соловьев Л</v>
      </c>
      <c r="K1972" s="6" t="str">
        <f>IFERROR(__xludf.DUMMYFUNCTION("""COMPUTED_VALUE"""),"Крест, побережья Томи, панорама с горы Люскус, панорама долины реки с Елыкаевской возвышенности, шашлычки в д. Красно и Сухово, б-р Строителей, фонтан у Драмтеатра и набережная.")</f>
        <v>Крест, побережья Томи, панорама с горы Люскус, панорама долины реки с Елыкаевской возвышенности, шашлычки в д. Красно и Сухово, б-р Строителей, фонтан у Драмтеатра и набережная.</v>
      </c>
      <c r="L1972" s="6" t="str">
        <f>IFERROR(__xludf.DUMMYFUNCTION("""COMPUTED_VALUE"""),"нет")</f>
        <v>нет</v>
      </c>
      <c r="M1972" s="6" t="str">
        <f>IFERROR(__xludf.DUMMYFUNCTION("""COMPUTED_VALUE"""),"нет")</f>
        <v>нет</v>
      </c>
      <c r="N1972" s="6" t="str">
        <f>IFERROR(__xludf.DUMMYFUNCTION("""COMPUTED_VALUE"""),"наличие МАРШРУТОВ для пеших прогулок МЕЖДУ районами (в т.ч. на велотранспорте, самокатах и т.п.) - в настоящее время много мест не имеют даже тротуаров (с ФПК например очень трудно остаться чистым если пойдешь в ЛЮБОЙ другой район пешком - это в частности"&amp;"), чистые ДИКИЕ места для отдыха в пригороде для семейного пикника (без платы за стоянку, сервис, возможность отдыха на воде и у воды), чистые водоемы, чистый воздух, наличие экономического роста и развития города, КАЧЕСТВЕННЫЙ ремонт и благоустройство об"&amp;"щественных мест (негативный пример - пионерский бульвар и покосившиеся полуразрушенные парапеты у пр. Притомского и жд управления)")</f>
        <v>наличие МАРШРУТОВ для пеших прогулок МЕЖДУ районами (в т.ч. на велотранспорте, самокатах и т.п.) - в настоящее время много мест не имеют даже тротуаров (с ФПК например очень трудно остаться чистым если пойдешь в ЛЮБОЙ другой район пешком - это в частности), чистые ДИКИЕ места для отдыха в пригороде для семейного пикника (без платы за стоянку, сервис, возможность отдыха на воде и у воды), чистые водоемы, чистый воздух, наличие экономического роста и развития города, КАЧЕСТВЕННЫЙ ремонт и благоустройство общественных мест (негативный пример - пионерский бульвар и покосившиеся полуразрушенные парапеты у пр. Притомского и жд управления)</v>
      </c>
      <c r="O1972" s="6" t="str">
        <f>IFERROR(__xludf.DUMMYFUNCTION("""COMPUTED_VALUE"""),"создать прогулочные МАРШРУТЫ между районами, а также ввести контроль за  КАЧЕСТВОМ строительных РАБОТ и выбором строительных материалов при благоустройстве города, построить тротуары там, где они отсутствуют. Работы по благоустройству координировать с пла"&amp;"новыми ремонтными работами коммунальных служб. Контроль за восстановлением газонов и тротуаров коммунальщиками после аварийных и плановых работ в общественных местах и дворовых территориях. Повышение КУЛЬТУРЫ выполнения РАБОТ подрядчиками, а МОТИВАЦИЯ гос"&amp;"ударственных служащих на неформальный подход при выполнении поставленных задач. Стимулирование и создание условий для развития новых сфер бизнеса, производства, для создания дополнительных рабочих мест и уменьшению оттока местных жителей в поисках более в"&amp;"ысокооплачиваемой работы и работы вообще (имеется в виду условный средний класс).")</f>
        <v>создать прогулочные МАРШРУТЫ между районами, а также ввести контроль за  КАЧЕСТВОМ строительных РАБОТ и выбором строительных материалов при благоустройстве города, построить тротуары там, где они отсутствуют. Работы по благоустройству координировать с плановыми ремонтными работами коммунальных служб. Контроль за восстановлением газонов и тротуаров коммунальщиками после аварийных и плановых работ в общественных местах и дворовых территориях. Повышение КУЛЬТУРЫ выполнения РАБОТ подрядчиками, а МОТИВАЦИЯ государственных служащих на неформальный подход при выполнении поставленных задач. Стимулирование и создание условий для развития новых сфер бизнеса, производства, для создания дополнительных рабочих мест и уменьшению оттока местных жителей в поисках более высокооплачиваемой работы и работы вообще (имеется в виду условный средний класс).</v>
      </c>
      <c r="P1972" s="6" t="str">
        <f>IFERROR(__xludf.DUMMYFUNCTION("""COMPUTED_VALUE"""),"A42, яндекс, KUZBASS NEWS в инстаграмм.")</f>
        <v>A42, яндекс, KUZBASS NEWS в инстаграмм.</v>
      </c>
      <c r="Q1972"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"&amp;"местными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(рейтинги/аналитика/т"&amp;"енденции), интервью с экспертами на разные темы (напишите в разделе Другое свои предложения), чем больше разных сфер новостей -  тем лучше. Однако качество публикаций местных ресурсов оставляет желать лучшего, в частности ""Сибдепо"".")</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политиками, интервью с местными творческими личностями, интервью с местными предпринимателями, криминальные новости (происшествия/преступления),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чем больше разных сфер новостей -  тем лучше. Однако качество публикаций местных ресурсов оставляет желать лучшего, в частности "Сибдепо".</v>
      </c>
      <c r="R1972" s="6" t="str">
        <f>IFERROR(__xludf.DUMMYFUNCTION("""COMPUTED_VALUE"""),"9 мая, День Шахтера, День города, Новый год, Рождество, Пасха.")</f>
        <v>9 мая, День Шахтера, День города, Новый год, Рождество, Пасха.</v>
      </c>
      <c r="S1972" s="6" t="str">
        <f>IFERROR(__xludf.DUMMYFUNCTION("""COMPUTED_VALUE"""),"Нет, не приходилось")</f>
        <v>Нет, не приходилось</v>
      </c>
      <c r="T1972" s="6" t="str">
        <f>IFERROR(__xludf.DUMMYFUNCTION("""COMPUTED_VALUE"""),"Уникальности города нет, кроме его юности и центрального географического расположения в стране.")</f>
        <v>Уникальности города нет, кроме его юности и центрального географического расположения в стране.</v>
      </c>
      <c r="U1972" s="6" t="str">
        <f>IFERROR(__xludf.DUMMYFUNCTION("""COMPUTED_VALUE"""),"Стелла КУЗБАСС, Крест, Фонтан у драмтеатра, отремонтированный бульвар Строителей.")</f>
        <v>Стелла КУЗБАСС, Крест, Фонтан у драмтеатра, отремонтированный бульвар Строителей.</v>
      </c>
      <c r="V1972" s="6" t="str">
        <f>IFERROR(__xludf.DUMMYFUNCTION("""COMPUTED_VALUE"""),"Строили и развивали город")</f>
        <v>Строили и развивали город</v>
      </c>
      <c r="W1972" s="6" t="str">
        <f>IFERROR(__xludf.DUMMYFUNCTION("""COMPUTED_VALUE"""),"некомпетентность.")</f>
        <v>некомпетентность.</v>
      </c>
      <c r="X1972" s="6" t="str">
        <f>IFERROR(__xludf.DUMMYFUNCTION("""COMPUTED_VALUE"""),"Начать с бульвара Строителей. К сожалению маршрутов для пеших прогулок между районами нет, поэтому придется затем доехать до Драмтеатра, ул. Весенней и набережной реки Томь.")</f>
        <v>Начать с бульвара Строителей. К сожалению маршрутов для пеших прогулок между районами нет, поэтому придется затем доехать до Драмтеатра, ул. Весенней и набережной реки Томь.</v>
      </c>
      <c r="Y1972" s="6" t="str">
        <f>IFERROR(__xludf.DUMMYFUNCTION("""COMPUTED_VALUE"""),"Придание ему статуса столицы Кемеровской области.")</f>
        <v>Придание ему статуса столицы Кемеровской области.</v>
      </c>
      <c r="Z1972" s="6" t="str">
        <f>IFERROR(__xludf.DUMMYFUNCTION("""COMPUTED_VALUE"""),"масштабные благоустроительные работы (к сожалению, некачественные) и контроль за вредными выбросами предприятий.")</f>
        <v>масштабные благоустроительные работы (к сожалению, некачественные) и контроль за вредными выбросами предприятий.</v>
      </c>
      <c r="AA1972" s="6" t="str">
        <f>IFERROR(__xludf.DUMMYFUNCTION("""COMPUTED_VALUE"""),"нет")</f>
        <v>нет</v>
      </c>
      <c r="AB1972" s="6" t="str">
        <f>IFERROR(__xludf.DUMMYFUNCTION("""COMPUTED_VALUE"""),"нет")</f>
        <v>нет</v>
      </c>
      <c r="AC1972" s="6" t="str">
        <f>IFERROR(__xludf.DUMMYFUNCTION("""COMPUTED_VALUE"""),"те, которые способны объединить и сплотить разобщенные социальные категории граждан, имеющих зачастую разные ценности, приоритеты, взгляды.")</f>
        <v>те, которые способны объединить и сплотить разобщенные социальные категории граждан, имеющих зачастую разные ценности, приоритеты, взгляды.</v>
      </c>
      <c r="AD197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72" s="6" t="str">
        <f>IFERROR(__xludf.DUMMYFUNCTION("""COMPUTED_VALUE"""),"Мужской")</f>
        <v>Мужской</v>
      </c>
      <c r="AF1972" s="6" t="str">
        <f>IFERROR(__xludf.DUMMYFUNCTION("""COMPUTED_VALUE"""),"30-44")</f>
        <v>30-44</v>
      </c>
      <c r="AG1972" s="6"/>
      <c r="AH1972" s="6"/>
      <c r="AI1972" s="6"/>
      <c r="AJ1972" s="6"/>
      <c r="AK1972" s="6"/>
      <c r="AL1972" s="6"/>
      <c r="AM1972" s="6"/>
    </row>
    <row r="1973">
      <c r="A1973" s="6">
        <v>1972.0</v>
      </c>
      <c r="B1973" s="6" t="str">
        <f>IFERROR(__xludf.DUMMYFUNCTION("""COMPUTED_VALUE"""),"безработная")</f>
        <v>безработная</v>
      </c>
      <c r="C1973" s="6" t="str">
        <f>IFERROR(__xludf.DUMMYFUNCTION("""COMPUTED_VALUE"""),"Прогулки в парке, концерты классической музыки. Читать люблю...")</f>
        <v>Прогулки в парке, концерты классической музыки. Читать люблю...</v>
      </c>
      <c r="D1973" s="6" t="str">
        <f>IFERROR(__xludf.DUMMYFUNCTION("""COMPUTED_VALUE"""),"пересечение Сибиряков-Гвардейцев и Мичурина/ Медвежий угол")</f>
        <v>пересечение Сибиряков-Гвардейцев и Мичурина/ Медвежий угол</v>
      </c>
      <c r="E1973" s="6" t="str">
        <f>IFERROR(__xludf.DUMMYFUNCTION("""COMPUTED_VALUE"""),"Ничего нет!((")</f>
        <v>Ничего нет!((</v>
      </c>
      <c r="F1973" s="6" t="str">
        <f>IFERROR(__xludf.DUMMYFUNCTION("""COMPUTED_VALUE"""),"Переехал сюда из другого места (откуда? укажите в графе другое), Переехала  с Донбасса в 1982 году")</f>
        <v>Переехал сюда из другого места (откуда? укажите в графе другое), Переехала  с Донбасса в 1982 году</v>
      </c>
      <c r="G1973" s="6" t="str">
        <f>IFERROR(__xludf.DUMMYFUNCTION("""COMPUTED_VALUE"""),"Оттуда, где я живу, до любых ""окрестностей"" можно исключительно на такси добраться - транспорт у нас только в Ленинский район по утрам хорошо ходит, а вечером (когда, собственно, и появляется время для досуга) вообще нереально хоть куда-то уехать и верн"&amp;"уться обратно((")</f>
        <v>Оттуда, где я живу, до любых "окрестностей" можно исключительно на такси добраться - транспорт у нас только в Ленинский район по утрам хорошо ходит, а вечером (когда, собственно, и появляется время для досуга) вообще нереально хоть куда-то уехать и вернуться обратно((</v>
      </c>
      <c r="H1973" s="6" t="str">
        <f>IFERROR(__xludf.DUMMYFUNCTION("""COMPUTED_VALUE"""),"Суд, ""газовая атака"", торговый центр, безработица, оптимизация медицины((")</f>
        <v>Суд, "газовая атака", торговый центр, безработица, оптимизация медицины((</v>
      </c>
      <c r="I1973" s="6" t="str">
        <f>IFERROR(__xludf.DUMMYFUNCTION("""COMPUTED_VALUE"""),"Леонов, Подгорбунский, Рутгерс.")</f>
        <v>Леонов, Подгорбунский, Рутгерс.</v>
      </c>
      <c r="J1973" s="6" t="str">
        <f>IFERROR(__xludf.DUMMYFUNCTION("""COMPUTED_VALUE"""),"Не знаю таких. ")</f>
        <v>Не знаю таких. </v>
      </c>
      <c r="K1973" s="6" t="str">
        <f>IFERROR(__xludf.DUMMYFUNCTION("""COMPUTED_VALUE"""),"Ул. Весеннюю, набережную, Музей ""Красная Горка"". Разруха на территориях закрытых заводов в Кировском чрезвычайно живописно выглядит - насыщенная такая атмосфера постапокалипсиса, можно в аренду Голливуду для съемок блокбастеров сдавать, озолотимся!")</f>
        <v>Ул. Весеннюю, набережную, Музей "Красная Горка". Разруха на территориях закрытых заводов в Кировском чрезвычайно живописно выглядит - насыщенная такая атмосфера постапокалипсиса, можно в аренду Голливуду для съемок блокбастеров сдавать, озолотимся!</v>
      </c>
      <c r="L1973" s="6" t="str">
        <f>IFERROR(__xludf.DUMMYFUNCTION("""COMPUTED_VALUE"""),"Кроме ""анекдота"" про кемеровчанина, который теряет сознание от чистого воздуха и приходит в чувство, когда его к выхлопной трубе авто подносят подышать, что-то больше ничего в голову не приходит, извините!")</f>
        <v>Кроме "анекдота" про кемеровчанина, который теряет сознание от чистого воздуха и приходит в чувство, когда его к выхлопной трубе авто подносят подышать, что-то больше ничего в голову не приходит, извините!</v>
      </c>
      <c r="M1973" s="6" t="str">
        <f>IFERROR(__xludf.DUMMYFUNCTION("""COMPUTED_VALUE"""),"""свешайте"" вместо ""взвесьте"" в магазине, ещё ""мультифора"" - по ней нас и в столицах узнают!))")</f>
        <v>"свешайте" вместо "взвесьте" в магазине, ещё "мультифора" - по ней нас и в столицах узнают!))</v>
      </c>
      <c r="N1973" s="6" t="str">
        <f>IFERROR(__xludf.DUMMYFUNCTION("""COMPUTED_VALUE"""),"1)Возможность добраться общественным транспортом куда и откуда угодно в черте города и после 19:00-20:00.( Почему маршрутки так рано заканчивают ходить к нам??? Люди до 20:00-21:00 и даже и дольше работают! А для того, чтобы добраться от нас на ФПК, напри"&amp;"мер, и речи не идет! Пешком через частный сектор 45 минут идти, а если общ. транспортом, то сначала до Швейки пилить, там дожидаться, плюс поездка - так еще больше времени уходит, хотя район рядом! Позор!!! А Кировский и Радуга для нас и вовсе на другой п"&amp;"ланете.) 2) Доступная бесплатная, по ОМС, медицина. 3) Очереди на жильё когда начнут сокращаться? Мы с дочерью уже 32 года стоим! 4)Чистота улиц и дворов не только в центре. 5) Территории, пригодные для прогулок и отдыха - парк, сквер, фонтан, скамейки - "&amp;"в шаговой доступности. У нас тут единственный скверик рядом с ""Ретро"", и тот на ладан дышит(( А велосипедную дорожку на Сибиряках вы видели? Приезжайте, посмотрите - обхохочетесь!")</f>
        <v>1)Возможность добраться общественным транспортом куда и откуда угодно в черте города и после 19:00-20:00.( Почему маршрутки так рано заканчивают ходить к нам??? Люди до 20:00-21:00 и даже и дольше работают! А для того, чтобы добраться от нас на ФПК, например, и речи не идет! Пешком через частный сектор 45 минут идти, а если общ. транспортом, то сначала до Швейки пилить, там дожидаться, плюс поездка - так еще больше времени уходит, хотя район рядом! Позор!!! А Кировский и Радуга для нас и вовсе на другой планете.) 2) Доступная бесплатная, по ОМС, медицина. 3) Очереди на жильё когда начнут сокращаться? Мы с дочерью уже 32 года стоим! 4)Чистота улиц и дворов не только в центре. 5) Территории, пригодные для прогулок и отдыха - парк, сквер, фонтан, скамейки - в шаговой доступности. У нас тут единственный скверик рядом с "Ретро", и тот на ладан дышит(( А велосипедную дорожку на Сибиряках вы видели? Приезжайте, посмотрите - обхохочетесь!</v>
      </c>
      <c r="O1973" s="6" t="str">
        <f>IFERROR(__xludf.DUMMYFUNCTION("""COMPUTED_VALUE"""),"Общественный транспорт - мне сложно найти работу в том числе и потому, что не добраться никуда от нас, как в лесу живем!")</f>
        <v>Общественный транспорт - мне сложно найти работу в том числе и потому, что не добраться никуда от нас, как в лесу живем!</v>
      </c>
      <c r="P1973" s="6" t="str">
        <f>IFERROR(__xludf.DUMMYFUNCTION("""COMPUTED_VALUE"""),"Новости Гугл - Местные новости и ВК ""Кемеровская область -Кузбасс"".")</f>
        <v>Новости Гугл - Местные новости и ВК "Кемеровская область -Кузбасс".</v>
      </c>
      <c r="Q1973" s="6" t="str">
        <f>IFERROR(__xludf.DUMMYFUNCTION("""COMPUTED_VALUE"""),"интервью с местными политиками, результаты местных исследований (рейтинги/аналитика/тенденции), Очень приятно и интересно узнавать об открытии новых школ, детских садов, строительстве и сдаче доступного жилья, больниц, культурных и спортивных центров, соз"&amp;"дании новых рабочих мест, промышленных предприятий. Новости о сторительстве все новых и новых ТЦ  просто бесят! Их и так предостаточно! ")</f>
        <v>интервью с местными политиками, результаты местных исследований (рейтинги/аналитика/тенденции), Очень приятно и интересно узнавать об открытии новых школ, детских садов, строительстве и сдаче доступного жилья, больниц, культурных и спортивных центров, создании новых рабочих мест, промышленных предприятий. Новости о сторительстве все новых и новых ТЦ  просто бесят! Их и так предостаточно! </v>
      </c>
      <c r="R1973" s="6" t="str">
        <f>IFERROR(__xludf.DUMMYFUNCTION("""COMPUTED_VALUE"""),"Нет таких - как-то скучно, примитивно, официозно всё, даже при Леониде Ильиче  подобные мероприятия зажигательнее были.")</f>
        <v>Нет таких - как-то скучно, примитивно, официозно всё, даже при Леониде Ильиче  подобные мероприятия зажигательнее были.</v>
      </c>
      <c r="S1973" s="6" t="str">
        <f>IFERROR(__xludf.DUMMYFUNCTION("""COMPUTED_VALUE"""),"Нет, не приходилось, Даже о тех интересных мне событиях, которые происходят в городе, не всегда узнаю, потому что инфа о них размещается там, куда я никогда не захожу - на дремучих ресурсах каких-то(( Потом только из новостей узнаю, что состоялось голосов"&amp;"ание и ли прошел опрос... А я тоже хотела бы участие принять, а уже всё((.")</f>
        <v>Нет, не приходилось, Даже о тех интересных мне событиях, которые происходят в городе, не всегда узнаю, потому что инфа о них размещается там, куда я никогда не захожу - на дремучих ресурсах каких-то(( Потом только из новостей узнаю, что состоялось голосование и ли прошел опрос... А я тоже хотела бы участие принять, а уже всё((.</v>
      </c>
      <c r="T1973" s="6" t="str">
        <f>IFERROR(__xludf.DUMMYFUNCTION("""COMPUTED_VALUE"""),"Из уникального - Сосновый бор, музей ""Красная горка"". Из самого знаменитого - ""Зимняя Вишня"".")</f>
        <v>Из уникального - Сосновый бор, музей "Красная горка". Из самого знаменитого - "Зимняя Вишня".</v>
      </c>
      <c r="U1973" s="6" t="str">
        <f>IFERROR(__xludf.DUMMYFUNCTION("""COMPUTED_VALUE""")," Музей ""Красная горка"" - АИК Кузбасс - это символический центр.")</f>
        <v> Музей "Красная горка" - АИК Кузбасс - это символический центр.</v>
      </c>
      <c r="V1973" s="6" t="str">
        <f>IFERROR(__xludf.DUMMYFUNCTION("""COMPUTED_VALUE"""),"Кемеровчане в доперестроечные времена вкалывали - строили и запускали заводы, шахты, инфраструктуру, жилье. Сейчас только группы неравнодушных граждан отвоевали Сосновый бор, что-то предлагают, суетятся в соцсетях... Остальные просто мечтают уехать из гор"&amp;"ода.")</f>
        <v>Кемеровчане в доперестроечные времена вкалывали - строили и запускали заводы, шахты, инфраструктуру, жилье. Сейчас только группы неравнодушных граждан отвоевали Сосновый бор, что-то предлагают, суетятся в соцсетях... Остальные просто мечтают уехать из города.</v>
      </c>
      <c r="W1973" s="6" t="str">
        <f>IFERROR(__xludf.DUMMYFUNCTION("""COMPUTED_VALUE"""),"Я в общежитии живу - сами представляете, как выглядят тут кемеровчане. Пиво, мусор в окно и ""Пора валить"". Плюс наплевательское отношение к окружающим и уверенность в своём бессмертии - маски не носит почти никто.")</f>
        <v>Я в общежитии живу - сами представляете, как выглядят тут кемеровчане. Пиво, мусор в окно и "Пора валить". Плюс наплевательское отношение к окружающим и уверенность в своём бессмертии - маски не носит почти никто.</v>
      </c>
      <c r="X1973" s="6" t="str">
        <f>IFERROR(__xludf.DUMMYFUNCTION("""COMPUTED_VALUE"""),"Весенняя - набережная - Красная горка.")</f>
        <v>Весенняя - набережная - Красная горка.</v>
      </c>
      <c r="Y1973" s="6" t="str">
        <f>IFERROR(__xludf.DUMMYFUNCTION("""COMPUTED_VALUE"""),"Создание АИК ""Кузбасс"".")</f>
        <v>Создание АИК "Кузбасс".</v>
      </c>
      <c r="Z1973" s="6" t="str">
        <f>IFERROR(__xludf.DUMMYFUNCTION("""COMPUTED_VALUE"""),"??? Ни-ка-ки-е!")</f>
        <v>??? Ни-ка-ки-е!</v>
      </c>
      <c r="AA1973" s="6" t="str">
        <f>IFERROR(__xludf.DUMMYFUNCTION("""COMPUTED_VALUE"""),"Варварские вырубки зеленых насаждений, чудовищное состояние ""второстепенных"" дорог и дворов этой зимой, окончательно заоптимизированная медицина и невозможность получить своевременную помощь профильных специалистов, поскольку все силы брошены на ковид. ")</f>
        <v>Варварские вырубки зеленых насаждений, чудовищное состояние "второстепенных" дорог и дворов этой зимой, окончательно заоптимизированная медицина и невозможность получить своевременную помощь профильных специалистов, поскольку все силы брошены на ковид. </v>
      </c>
      <c r="AB1973" s="6" t="str">
        <f>IFERROR(__xludf.DUMMYFUNCTION("""COMPUTED_VALUE"""),"Бесплатной и грамотной юридической помощи для тех, кто не может оплачивать гонорары адвокатам. Плюс любых сообществ, ратующих за развитие человеческого потенциала в Кузбассе, но только без настойчивой опеки ""товарища майора"".")</f>
        <v>Бесплатной и грамотной юридической помощи для тех, кто не может оплачивать гонорары адвокатам. Плюс любых сообществ, ратующих за развитие человеческого потенциала в Кузбассе, но только без настойчивой опеки "товарища майора".</v>
      </c>
      <c r="AC1973" s="6" t="str">
        <f>IFERROR(__xludf.DUMMYFUNCTION("""COMPUTED_VALUE"""),"Предоставить уже наконец жилье тем, кто в Администрации десятилетиями стоит плюс вообще решить вопрос доступного жилья - это и оптимизма добавит гражданам, и торговлю подстегнет: стройматериалы, мебель, бытовая техника... Бесплатные кружки и спортивные се"&amp;"кции для детей рядом с домом, спортивные площадки во дворах, удобные велодорожки (а не такие, как у нас вдоль Сибиряков от Мичурина до Кузнецкого!) и тропинки для бега рядом с домом. Высокотехнологичные  рабочие места создать, много. А Администрация, похо"&amp;"же, думает, что достаточно народ развлекать качественно, и можно на острые социальные вопросы забить. Классиков читать надо: ""Базис важнее надстройки"". Сначала свое благоустроенное жилье, интересная работа с достойной оплатой, а после уже можно и о ""ме"&amp;"роприятиях"" спрашивать.")</f>
        <v>Предоставить уже наконец жилье тем, кто в Администрации десятилетиями стоит плюс вообще решить вопрос доступного жилья - это и оптимизма добавит гражданам, и торговлю подстегнет: стройматериалы, мебель, бытовая техника... Бесплатные кружки и спортивные секции для детей рядом с домом, спортивные площадки во дворах, удобные велодорожки (а не такие, как у нас вдоль Сибиряков от Мичурина до Кузнецкого!) и тропинки для бега рядом с домом. Высокотехнологичные  рабочие места создать, много. А Администрация, похоже, думает, что достаточно народ развлекать качественно, и можно на острые социальные вопросы забить. Классиков читать надо: "Базис важнее надстройки". Сначала свое благоустроенное жилье, интересная работа с достойной оплатой, а после уже можно и о "мероприятиях" спрашивать.</v>
      </c>
      <c r="AD1973"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73" s="6" t="str">
        <f>IFERROR(__xludf.DUMMYFUNCTION("""COMPUTED_VALUE"""),"Женский")</f>
        <v>Женский</v>
      </c>
      <c r="AF1973" s="6" t="str">
        <f>IFERROR(__xludf.DUMMYFUNCTION("""COMPUTED_VALUE"""),"45-55")</f>
        <v>45-55</v>
      </c>
      <c r="AG1973" s="6"/>
      <c r="AH1973" s="6"/>
      <c r="AI1973" s="6"/>
      <c r="AJ1973" s="6"/>
      <c r="AK1973" s="6"/>
      <c r="AL1973" s="6"/>
      <c r="AM1973" s="6"/>
    </row>
    <row r="1974">
      <c r="A1974" s="6">
        <v>1973.0</v>
      </c>
      <c r="B1974" s="6" t="str">
        <f>IFERROR(__xludf.DUMMYFUNCTION("""COMPUTED_VALUE"""),"Воспитатель ")</f>
        <v>Воспитатель </v>
      </c>
      <c r="C1974" s="6" t="str">
        <f>IFERROR(__xludf.DUMMYFUNCTION("""COMPUTED_VALUE"""),"Вязание ")</f>
        <v>Вязание </v>
      </c>
      <c r="D1974" s="6" t="str">
        <f>IFERROR(__xludf.DUMMYFUNCTION("""COMPUTED_VALUE"""),"Южный")</f>
        <v>Южный</v>
      </c>
      <c r="E1974" s="6" t="str">
        <f>IFERROR(__xludf.DUMMYFUNCTION("""COMPUTED_VALUE"""),"Затрудняюсь ответить")</f>
        <v>Затрудняюсь ответить</v>
      </c>
      <c r="F1974" s="6" t="str">
        <f>IFERROR(__xludf.DUMMYFUNCTION("""COMPUTED_VALUE"""),"Живу здесь с рождения")</f>
        <v>Живу здесь с рождения</v>
      </c>
      <c r="G1974" s="6" t="str">
        <f>IFERROR(__xludf.DUMMYFUNCTION("""COMPUTED_VALUE"""),"Театры, набережная ")</f>
        <v>Театры, набережная </v>
      </c>
      <c r="H1974" s="6" t="str">
        <f>IFERROR(__xludf.DUMMYFUNCTION("""COMPUTED_VALUE"""),"Красивый город, уютный, обновлённый")</f>
        <v>Красивый город, уютный, обновлённый</v>
      </c>
      <c r="I1974" s="6" t="str">
        <f>IFERROR(__xludf.DUMMYFUNCTION("""COMPUTED_VALUE"""),"Алексей Леонов, Вера Волошина")</f>
        <v>Алексей Леонов, Вера Волошина</v>
      </c>
      <c r="J1974" s="6" t="str">
        <f>IFERROR(__xludf.DUMMYFUNCTION("""COMPUTED_VALUE"""),"Евгений Гришковец, С Е Цивилёв ")</f>
        <v>Евгений Гришковец, С Е Цивилёв </v>
      </c>
      <c r="K1974" s="6" t="str">
        <f>IFERROR(__xludf.DUMMYFUNCTION("""COMPUTED_VALUE"""),"Посетить театры города ")</f>
        <v>Посетить театры города </v>
      </c>
      <c r="L1974" s="6" t="str">
        <f>IFERROR(__xludf.DUMMYFUNCTION("""COMPUTED_VALUE"""),"Затрудняюсь ")</f>
        <v>Затрудняюсь </v>
      </c>
      <c r="M1974" s="6" t="str">
        <f>IFERROR(__xludf.DUMMYFUNCTION("""COMPUTED_VALUE"""),"Нет ")</f>
        <v>Нет </v>
      </c>
      <c r="N1974" s="6" t="str">
        <f>IFERROR(__xludf.DUMMYFUNCTION("""COMPUTED_VALUE"""),"Чистота, доступность дополнительного образования для детей, доступные цены (соответствующие зарплатам воспитателей), доступная бесплатная медицина, отсутствие огромных очередей на квоты  ")</f>
        <v>Чистота, доступность дополнительного образования для детей, доступные цены (соответствующие зарплатам воспитателей), доступная бесплатная медицина, отсутствие огромных очередей на квоты  </v>
      </c>
      <c r="O1974" s="6" t="str">
        <f>IFERROR(__xludf.DUMMYFUNCTION("""COMPUTED_VALUE"""),"Не хватает специально оборудованных площадок для выгула собак (с урнами ), запретить цирк с животными")</f>
        <v>Не хватает специально оборудованных площадок для выгула собак (с урнами ), запретить цирк с животными</v>
      </c>
      <c r="P1974" s="6" t="str">
        <f>IFERROR(__xludf.DUMMYFUNCTION("""COMPUTED_VALUE"""),"Инстаграм ")</f>
        <v>Инстаграм </v>
      </c>
      <c r="Q1974" s="6" t="str">
        <f>IFERROR(__xludf.DUMMYFUNCTION("""COMPUTED_VALUE"""),"городская афиша (кино/театр/концерты), интервью с местными творческими личностями, результаты местных исследований (рейтинги/аналитика/тенденции)")</f>
        <v>городская афиша (кино/театр/концерты), интервью с местными творческими личностями, результаты местных исследований (рейтинги/аналитика/тенденции)</v>
      </c>
      <c r="R1974" s="6" t="str">
        <f>IFERROR(__xludf.DUMMYFUNCTION("""COMPUTED_VALUE"""),"9 мая, ")</f>
        <v>9 мая, </v>
      </c>
      <c r="S1974" s="6" t="str">
        <f>IFERROR(__xludf.DUMMYFUNCTION("""COMPUTED_VALUE"""),"Нет, не приходилось")</f>
        <v>Нет, не приходилось</v>
      </c>
      <c r="T1974" s="6" t="str">
        <f>IFERROR(__xludf.DUMMYFUNCTION("""COMPUTED_VALUE"""),"Хотелось бы, чтоб все помнили о Алексее Леонове. Но все помнят о Зимней Вишне")</f>
        <v>Хотелось бы, чтоб все помнили о Алексее Леонове. Но все помнят о Зимней Вишне</v>
      </c>
      <c r="U1974" s="6" t="str">
        <f>IFERROR(__xludf.DUMMYFUNCTION("""COMPUTED_VALUE"""),"Драмтеатр ")</f>
        <v>Драмтеатр </v>
      </c>
      <c r="V1974" s="6" t="str">
        <f>IFERROR(__xludf.DUMMYFUNCTION("""COMPUTED_VALUE"""),"Затрудняюсь ответить")</f>
        <v>Затрудняюсь ответить</v>
      </c>
      <c r="W1974" s="6" t="str">
        <f>IFERROR(__xludf.DUMMYFUNCTION("""COMPUTED_VALUE"""),"Вечно не довольные  ")</f>
        <v>Вечно не довольные  </v>
      </c>
      <c r="X1974" s="6" t="str">
        <f>IFERROR(__xludf.DUMMYFUNCTION("""COMPUTED_VALUE"""),"По центру города ")</f>
        <v>По центру города </v>
      </c>
      <c r="Y1974" s="6" t="str">
        <f>IFERROR(__xludf.DUMMYFUNCTION("""COMPUTED_VALUE"""),"Затрудняюсь ответить ")</f>
        <v>Затрудняюсь ответить </v>
      </c>
      <c r="Z1974" s="6" t="str">
        <f>IFERROR(__xludf.DUMMYFUNCTION("""COMPUTED_VALUE"""),"У нас потрясающие актёры в драмтеатре и оперетте, каждое посещения спектакля как большое событие. 
Концерт группы Би-2, запомнится на долго, спасибо организаторам ")</f>
        <v>У нас потрясающие актёры в драмтеатре и оперетте, каждое посещения спектакля как большое событие. 
Концерт группы Би-2, запомнится на долго, спасибо организаторам </v>
      </c>
      <c r="AA1974" s="6" t="str">
        <f>IFERROR(__xludf.DUMMYFUNCTION("""COMPUTED_VALUE"""),"Интервью Андрея Балахнина (отчим погибшей девочки в Зимней Вишне)")</f>
        <v>Интервью Андрея Балахнина (отчим погибшей девочки в Зимней Вишне)</v>
      </c>
      <c r="AB1974" s="6" t="str">
        <f>IFERROR(__xludf.DUMMYFUNCTION("""COMPUTED_VALUE"""),"Лично мне всего хватает )")</f>
        <v>Лично мне всего хватает )</v>
      </c>
      <c r="AC1974" s="6" t="str">
        <f>IFERROR(__xludf.DUMMYFUNCTION("""COMPUTED_VALUE"""),"Организация сбора мусора")</f>
        <v>Организация сбора мусора</v>
      </c>
      <c r="AD1974"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974" s="6" t="str">
        <f>IFERROR(__xludf.DUMMYFUNCTION("""COMPUTED_VALUE"""),"Женский")</f>
        <v>Женский</v>
      </c>
      <c r="AF1974" s="6" t="str">
        <f>IFERROR(__xludf.DUMMYFUNCTION("""COMPUTED_VALUE"""),"30-44")</f>
        <v>30-44</v>
      </c>
      <c r="AG1974" s="6"/>
      <c r="AH1974" s="6"/>
      <c r="AI1974" s="6"/>
      <c r="AJ1974" s="6"/>
      <c r="AK1974" s="6"/>
      <c r="AL1974" s="6"/>
      <c r="AM1974" s="6"/>
    </row>
    <row r="1975">
      <c r="A1975" s="6">
        <v>1974.0</v>
      </c>
      <c r="B1975" s="6" t="str">
        <f>IFERROR(__xludf.DUMMYFUNCTION("""COMPUTED_VALUE"""),"Работаю программистом в IT компании, учусь в аспирантуре")</f>
        <v>Работаю программистом в IT компании, учусь в аспирантуре</v>
      </c>
      <c r="C1975" s="6" t="str">
        <f>IFERROR(__xludf.DUMMYFUNCTION("""COMPUTED_VALUE"""),"Лыжи, шахматы, велоспорт.")</f>
        <v>Лыжи, шахматы, велоспорт.</v>
      </c>
      <c r="D1975" s="6" t="str">
        <f>IFERROR(__xludf.DUMMYFUNCTION("""COMPUTED_VALUE"""),"Кировский")</f>
        <v>Кировский</v>
      </c>
      <c r="E1975" s="6" t="str">
        <f>IFERROR(__xludf.DUMMYFUNCTION("""COMPUTED_VALUE"""),"Набережная, роща.")</f>
        <v>Набережная, роща.</v>
      </c>
      <c r="F1975" s="6" t="str">
        <f>IFERROR(__xludf.DUMMYFUNCTION("""COMPUTED_VALUE"""),"Живу здесь с рождения")</f>
        <v>Живу здесь с рождения</v>
      </c>
      <c r="G1975" s="6" t="str">
        <f>IFERROR(__xludf.DUMMYFUNCTION("""COMPUTED_VALUE"""),"В сосновый бор, на набережную, в парк чудес, в кафе.")</f>
        <v>В сосновый бор, на набережную, в парк чудес, в кафе.</v>
      </c>
      <c r="H1975" s="6" t="str">
        <f>IFERROR(__xludf.DUMMYFUNCTION("""COMPUTED_VALUE"""),"Уголь, зелень, чистота, широта, река.")</f>
        <v>Уголь, зелень, чистота, широта, река.</v>
      </c>
      <c r="I1975" s="6" t="str">
        <f>IFERROR(__xludf.DUMMYFUNCTION("""COMPUTED_VALUE"""),"Леонов.")</f>
        <v>Леонов.</v>
      </c>
      <c r="J1975" s="6" t="str">
        <f>IFERROR(__xludf.DUMMYFUNCTION("""COMPUTED_VALUE"""),"???")</f>
        <v>???</v>
      </c>
      <c r="K1975" s="6" t="str">
        <f>IFERROR(__xludf.DUMMYFUNCTION("""COMPUTED_VALUE"""),"ТЦ.")</f>
        <v>ТЦ.</v>
      </c>
      <c r="L1975" s="6" t="str">
        <f>IFERROR(__xludf.DUMMYFUNCTION("""COMPUTED_VALUE"""),"Есть песня такая, человек из Кемерово, загуглите.")</f>
        <v>Есть песня такая, человек из Кемерово, загуглите.</v>
      </c>
      <c r="M1975" s="6" t="str">
        <f>IFERROR(__xludf.DUMMYFUNCTION("""COMPUTED_VALUE"""),"Микрашка, пистерёвка.))")</f>
        <v>Микрашка, пистерёвка.))</v>
      </c>
      <c r="N1975" s="6" t="str">
        <f>IFERROR(__xludf.DUMMYFUNCTION("""COMPUTED_VALUE"""),"Много зелени (чем больше тем лучше), чистый воздух.")</f>
        <v>Много зелени (чем больше тем лучше), чистый воздух.</v>
      </c>
      <c r="O1975" s="6" t="str">
        <f>IFERROR(__xludf.DUMMYFUNCTION("""COMPUTED_VALUE"""),"Ремонт фасадов обветшалых дворов.")</f>
        <v>Ремонт фасадов обветшалых дворов.</v>
      </c>
      <c r="P1975" s="6" t="str">
        <f>IFERROR(__xludf.DUMMYFUNCTION("""COMPUTED_VALUE"""),"Сарафанное радио.")</f>
        <v>Сарафанное радио.</v>
      </c>
      <c r="Q1975"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криминальные новости (происшествия/преступления), новости про новые профессии/куда поступать/вака"&amp;"нсии")</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криминальные новости (происшествия/преступления), новости про новые профессии/куда поступать/вакансии</v>
      </c>
      <c r="R1975" s="6" t="str">
        <f>IFERROR(__xludf.DUMMYFUNCTION("""COMPUTED_VALUE"""),"9 мая.")</f>
        <v>9 мая.</v>
      </c>
      <c r="S1975" s="6" t="str">
        <f>IFERROR(__xludf.DUMMYFUNCTION("""COMPUTED_VALUE"""),"Нет, не приходилось")</f>
        <v>Нет, не приходилось</v>
      </c>
      <c r="T1975" s="6" t="str">
        <f>IFERROR(__xludf.DUMMYFUNCTION("""COMPUTED_VALUE"""),"Обычно когда говоришь, Кемерово, все сразу думают об угле и Тулееве.")</f>
        <v>Обычно когда говоришь, Кемерово, все сразу думают об угле и Тулееве.</v>
      </c>
      <c r="U1975" s="6" t="str">
        <f>IFERROR(__xludf.DUMMYFUNCTION("""COMPUTED_VALUE"""),"Площадь перед администрацией.")</f>
        <v>Площадь перед администрацией.</v>
      </c>
      <c r="V1975" s="6" t="str">
        <f>IFERROR(__xludf.DUMMYFUNCTION("""COMPUTED_VALUE"""),"Строили.)")</f>
        <v>Строили.)</v>
      </c>
      <c r="W1975" s="6" t="str">
        <f>IFERROR(__xludf.DUMMYFUNCTION("""COMPUTED_VALUE"""),"Хмурые, но выглянит солнце и они веселеют.)")</f>
        <v>Хмурые, но выглянит солнце и они веселеют.)</v>
      </c>
      <c r="X1975" s="6" t="str">
        <f>IFERROR(__xludf.DUMMYFUNCTION("""COMPUTED_VALUE"""),"По набережной.")</f>
        <v>По набережной.</v>
      </c>
      <c r="Y1975" s="6" t="str">
        <f>IFERROR(__xludf.DUMMYFUNCTION("""COMPUTED_VALUE"""),"Сложна.")</f>
        <v>Сложна.</v>
      </c>
      <c r="Z1975" s="6" t="str">
        <f>IFERROR(__xludf.DUMMYFUNCTION("""COMPUTED_VALUE"""),"Празднование 9 мая.")</f>
        <v>Празднование 9 мая.</v>
      </c>
      <c r="AA1975" s="6" t="str">
        <f>IFERROR(__xludf.DUMMYFUNCTION("""COMPUTED_VALUE"""),"Зимняя вишня.")</f>
        <v>Зимняя вишня.</v>
      </c>
      <c r="AB1975" s="6" t="str">
        <f>IFERROR(__xludf.DUMMYFUNCTION("""COMPUTED_VALUE"""),"По велоспорту.")</f>
        <v>По велоспорту.</v>
      </c>
      <c r="AC1975" s="6" t="str">
        <f>IFERROR(__xludf.DUMMYFUNCTION("""COMPUTED_VALUE"""),"Велоспорт.")</f>
        <v>Велоспорт.</v>
      </c>
      <c r="AD1975" s="6" t="str">
        <f>IFERROR(__xludf.DUMMYFUNCTION("""COMPUTED_VALUE"""),"Профессионала. Обучать, проводить занятия, мастер-классы, лекции, тренинги, оказать консультацию (укажите тему в поле ""Другое"")")</f>
        <v>Профессионала. Обучать, проводить занятия, мастер-классы, лекции, тренинги, оказать консультацию (укажите тему в поле "Другое")</v>
      </c>
      <c r="AE1975" s="6" t="str">
        <f>IFERROR(__xludf.DUMMYFUNCTION("""COMPUTED_VALUE"""),"Мужской")</f>
        <v>Мужской</v>
      </c>
      <c r="AF1975" s="6" t="str">
        <f>IFERROR(__xludf.DUMMYFUNCTION("""COMPUTED_VALUE"""),"18-29")</f>
        <v>18-29</v>
      </c>
      <c r="AG1975" s="6"/>
      <c r="AH1975" s="6"/>
      <c r="AI1975" s="6"/>
      <c r="AJ1975" s="6"/>
      <c r="AK1975" s="6"/>
      <c r="AL1975" s="6"/>
      <c r="AM1975" s="6"/>
    </row>
    <row r="1976">
      <c r="A1976" s="6">
        <v>1975.0</v>
      </c>
      <c r="B1976" s="6" t="str">
        <f>IFERROR(__xludf.DUMMYFUNCTION("""COMPUTED_VALUE"""),"консультант")</f>
        <v>консультант</v>
      </c>
      <c r="C1976" s="6" t="str">
        <f>IFERROR(__xludf.DUMMYFUNCTION("""COMPUTED_VALUE"""),"велосипед")</f>
        <v>велосипед</v>
      </c>
      <c r="D1976" s="6" t="str">
        <f>IFERROR(__xludf.DUMMYFUNCTION("""COMPUTED_VALUE"""),"Центральный")</f>
        <v>Центральный</v>
      </c>
      <c r="E1976" s="6" t="str">
        <f>IFERROR(__xludf.DUMMYFUNCTION("""COMPUTED_VALUE"""),"полянка для собак")</f>
        <v>полянка для собак</v>
      </c>
      <c r="F1976" s="6" t="str">
        <f>IFERROR(__xludf.DUMMYFUNCTION("""COMPUTED_VALUE"""),"Живу здесь с рождения")</f>
        <v>Живу здесь с рождения</v>
      </c>
      <c r="G1976" s="6" t="str">
        <f>IFERROR(__xludf.DUMMYFUNCTION("""COMPUTED_VALUE"""),"никуда")</f>
        <v>никуда</v>
      </c>
      <c r="H1976" s="6" t="str">
        <f>IFERROR(__xludf.DUMMYFUNCTION("""COMPUTED_VALUE"""),"Грязный, бездорожье, малозеленый, скучный, необразованный")</f>
        <v>Грязный, бездорожье, малозеленый, скучный, необразованный</v>
      </c>
      <c r="I1976" s="6" t="str">
        <f>IFERROR(__xludf.DUMMYFUNCTION("""COMPUTED_VALUE"""),"не знаю ни одного")</f>
        <v>не знаю ни одного</v>
      </c>
      <c r="J1976" s="6" t="str">
        <f>IFERROR(__xludf.DUMMYFUNCTION("""COMPUTED_VALUE"""),"см. п. 8")</f>
        <v>см. п. 8</v>
      </c>
      <c r="K1976" s="6" t="str">
        <f>IFERROR(__xludf.DUMMYFUNCTION("""COMPUTED_VALUE"""),"не стыдно показать Томскую писаницу, и то, потому что там лес")</f>
        <v>не стыдно показать Томскую писаницу, и то, потому что там лес</v>
      </c>
      <c r="L1976" s="6" t="str">
        <f>IFERROR(__xludf.DUMMYFUNCTION("""COMPUTED_VALUE"""),"не знаю")</f>
        <v>не знаю</v>
      </c>
      <c r="M1976" s="6" t="str">
        <f>IFERROR(__xludf.DUMMYFUNCTION("""COMPUTED_VALUE"""),"мультифора?")</f>
        <v>мультифора?</v>
      </c>
      <c r="N1976" s="6" t="str">
        <f>IFERROR(__xludf.DUMMYFUNCTION("""COMPUTED_VALUE"""),"Хорошие деревья, велосипедные дорожки, качественный асфальт, оборудованные места для выгула своих домашних питомцев, аквапарк!")</f>
        <v>Хорошие деревья, велосипедные дорожки, качественный асфальт, оборудованные места для выгула своих домашних питомцев, аквапарк!</v>
      </c>
      <c r="O1976" s="6" t="str">
        <f>IFERROR(__xludf.DUMMYFUNCTION("""COMPUTED_VALUE"""),"губернатора и его администрацию")</f>
        <v>губернатора и его администрацию</v>
      </c>
      <c r="P1976" s="6" t="str">
        <f>IFERROR(__xludf.DUMMYFUNCTION("""COMPUTED_VALUE"""),"никаких интересных событий не происходит")</f>
        <v>никаких интересных событий не происходит</v>
      </c>
      <c r="Q1976" s="6" t="str">
        <f>IFERROR(__xludf.DUMMYFUNCTION("""COMPUTED_VALUE"""),"куда пойти в свободное время, точно не интервью с политиками...")</f>
        <v>куда пойти в свободное время, точно не интервью с политиками...</v>
      </c>
      <c r="R1976" s="6" t="str">
        <f>IFERROR(__xludf.DUMMYFUNCTION("""COMPUTED_VALUE"""),"9 мая, день города, новый год")</f>
        <v>9 мая, день города, новый год</v>
      </c>
      <c r="S1976" s="6" t="str">
        <f>IFERROR(__xludf.DUMMYFUNCTION("""COMPUTED_VALUE"""),"Нет, не приходилось")</f>
        <v>Нет, не приходилось</v>
      </c>
      <c r="T1976" s="6" t="str">
        <f>IFERROR(__xludf.DUMMYFUNCTION("""COMPUTED_VALUE"""),"угольной промышленностью, что касается уникального - ничего")</f>
        <v>угольной промышленностью, что касается уникального - ничего</v>
      </c>
      <c r="U1976" s="6" t="str">
        <f>IFERROR(__xludf.DUMMYFUNCTION("""COMPUTED_VALUE"""),"крест в сосновом бору")</f>
        <v>крест в сосновом бору</v>
      </c>
      <c r="V1976" s="6" t="str">
        <f>IFERROR(__xludf.DUMMYFUNCTION("""COMPUTED_VALUE"""),"гордиться нечем, город разграблен, деревья вырубают, дома строят один на другом, вечные проблемы с парковками")</f>
        <v>гордиться нечем, город разграблен, деревья вырубают, дома строят один на другом, вечные проблемы с парковками</v>
      </c>
      <c r="W1976" s="6" t="str">
        <f>IFERROR(__xludf.DUMMYFUNCTION("""COMPUTED_VALUE"""),"вот лично у меня претензии к водителям, которые выбрасывают окурки прямо из своих окон во время движения, это шокирует меня ежедневно, в нашем городе много пьют алкогольных напитков, в частности пивных, эти ""пивные академии"" на каждом углу, деградация н"&amp;"аселения во всей красе")</f>
        <v>вот лично у меня претензии к водителям, которые выбрасывают окурки прямо из своих окон во время движения, это шокирует меня ежедневно, в нашем городе много пьют алкогольных напитков, в частности пивных, эти "пивные академии" на каждом углу, деградация населения во всей красе</v>
      </c>
      <c r="X1976" s="6" t="str">
        <f>IFERROR(__xludf.DUMMYFUNCTION("""COMPUTED_VALUE"""),"ну не знаю, на Лесной поляне")</f>
        <v>ну не знаю, на Лесной поляне</v>
      </c>
      <c r="Y1976" s="6" t="str">
        <f>IFERROR(__xludf.DUMMYFUNCTION("""COMPUTED_VALUE"""),"не знаю")</f>
        <v>не знаю</v>
      </c>
      <c r="Z1976" s="6" t="str">
        <f>IFERROR(__xludf.DUMMYFUNCTION("""COMPUTED_VALUE"""),"фейерверк")</f>
        <v>фейерверк</v>
      </c>
      <c r="AA1976" s="6" t="str">
        <f>IFERROR(__xludf.DUMMYFUNCTION("""COMPUTED_VALUE"""),"много дорожных происшествий, ввиду бесконечных гонок автолюбителей, которые не соблюдают скоростные режимы, дистанцию, не пропускают пешеходов в положенных местах, бесконечная грызня соседей по поводу парковочных мест")</f>
        <v>много дорожных происшествий, ввиду бесконечных гонок автолюбителей, которые не соблюдают скоростные режимы, дистанцию, не пропускают пешеходов в положенных местах, бесконечная грызня соседей по поводу парковочных мест</v>
      </c>
      <c r="AB1976" s="6" t="str">
        <f>IFERROR(__xludf.DUMMYFUNCTION("""COMPUTED_VALUE"""),"не знаю")</f>
        <v>не знаю</v>
      </c>
      <c r="AC1976" s="6" t="str">
        <f>IFERROR(__xludf.DUMMYFUNCTION("""COMPUTED_VALUE"""),"субботник!")</f>
        <v>субботник!</v>
      </c>
      <c r="AD1976"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976" s="6" t="str">
        <f>IFERROR(__xludf.DUMMYFUNCTION("""COMPUTED_VALUE"""),"Женский")</f>
        <v>Женский</v>
      </c>
      <c r="AF1976" s="6" t="str">
        <f>IFERROR(__xludf.DUMMYFUNCTION("""COMPUTED_VALUE"""),"30-44")</f>
        <v>30-44</v>
      </c>
      <c r="AG1976" s="6"/>
      <c r="AH1976" s="6"/>
      <c r="AI1976" s="6"/>
      <c r="AJ1976" s="6"/>
      <c r="AK1976" s="6"/>
      <c r="AL1976" s="6"/>
      <c r="AM1976" s="6"/>
    </row>
    <row r="1977">
      <c r="A1977" s="6">
        <v>1976.0</v>
      </c>
      <c r="B1977" s="6" t="str">
        <f>IFERROR(__xludf.DUMMYFUNCTION("""COMPUTED_VALUE"""),"Студент 5 курса строительного института, также инженер-стажер ")</f>
        <v>Студент 5 курса строительного института, также инженер-стажер </v>
      </c>
      <c r="C1977" s="6" t="str">
        <f>IFERROR(__xludf.DUMMYFUNCTION("""COMPUTED_VALUE"""),"Танцы,фитнес,рисование")</f>
        <v>Танцы,фитнес,рисование</v>
      </c>
      <c r="D1977" s="6" t="str">
        <f>IFERROR(__xludf.DUMMYFUNCTION("""COMPUTED_VALUE"""),"Ленинский")</f>
        <v>Ленинский</v>
      </c>
      <c r="E1977" s="6" t="str">
        <f>IFERROR(__xludf.DUMMYFUNCTION("""COMPUTED_VALUE"""),"Ул.Весенняя,площадь Советов,бульвар строителей,парк Ангелов")</f>
        <v>Ул.Весенняя,площадь Советов,бульвар строителей,парк Ангелов</v>
      </c>
      <c r="F1977" s="6" t="str">
        <f>IFERROR(__xludf.DUMMYFUNCTION("""COMPUTED_VALUE"""),"Живу здесь с рождения")</f>
        <v>Живу здесь с рождения</v>
      </c>
      <c r="G1977" s="6" t="str">
        <f>IFERROR(__xludf.DUMMYFUNCTION("""COMPUTED_VALUE"""),"Центральный район,бульвар строителей,проспект Шахтеров, Комсомольский парк, пионерский бульвар")</f>
        <v>Центральный район,бульвар строителей,проспект Шахтеров, Комсомольский парк, пионерский бульвар</v>
      </c>
      <c r="H1977" s="6" t="str">
        <f>IFERROR(__xludf.DUMMYFUNCTION("""COMPUTED_VALUE"""),"Промышленный, молодой,умеренный темп,провинциальный")</f>
        <v>Промышленный, молодой,умеренный темп,провинциальный</v>
      </c>
      <c r="I1977" s="6" t="str">
        <f>IFERROR(__xludf.DUMMYFUNCTION("""COMPUTED_VALUE"""),"Вера Волошина, Леонов, Михайло Волков, А.Г.Тулеев")</f>
        <v>Вера Волошина, Леонов, Михайло Волков, А.Г.Тулеев</v>
      </c>
      <c r="J1977" s="6" t="str">
        <f>IFERROR(__xludf.DUMMYFUNCTION("""COMPUTED_VALUE"""),"Е.В.Петерс")</f>
        <v>Е.В.Петерс</v>
      </c>
      <c r="K1977" s="6" t="str">
        <f>IFERROR(__xludf.DUMMYFUNCTION("""COMPUTED_VALUE"""),"Набережная центрального р-на,парк Ангелов,бульвар строителей, памятник Шахтерам,красная горка")</f>
        <v>Набережная центрального р-на,парк Ангелов,бульвар строителей, памятник Шахтерам,красная горка</v>
      </c>
      <c r="L1977" s="6" t="str">
        <f>IFERROR(__xludf.DUMMYFUNCTION("""COMPUTED_VALUE"""),"Ни рыба ни мясо,кашу маслом не испортишь(про архитектуру), дитя не плачет-мать не разумеет (жители)
В России 2 беды - дураки и дороги.")</f>
        <v>Ни рыба ни мясо,кашу маслом не испортишь(про архитектуру), дитя не плачет-мать не разумеет (жители)
В России 2 беды - дураки и дороги.</v>
      </c>
      <c r="M1977" s="6" t="str">
        <f>IFERROR(__xludf.DUMMYFUNCTION("""COMPUTED_VALUE"""),"Радуга (рудничный район)")</f>
        <v>Радуга (рудничный район)</v>
      </c>
      <c r="N1977" s="6" t="str">
        <f>IFERROR(__xludf.DUMMYFUNCTION("""COMPUTED_VALUE"""),"Качественное и грамотное благоустройство(озеленение,тротуары,парковые зоны,контейнеры для раздельного сбора мусора),закрытые стоянки, чистота , преобладание пешехода и общественного транспорта.")</f>
        <v>Качественное и грамотное благоустройство(озеленение,тротуары,парковые зоны,контейнеры для раздельного сбора мусора),закрытые стоянки, чистота , преобладание пешехода и общественного транспорта.</v>
      </c>
      <c r="O1977" s="6" t="str">
        <f>IFERROR(__xludf.DUMMYFUNCTION("""COMPUTED_VALUE"""),"Экологию (усилить качество и контроль очистных систем заводов, создание производств по переработке вторсырья большинства категорий,внедрение экологически более чистого общественного транспорта)")</f>
        <v>Экологию (усилить качество и контроль очистных систем заводов, создание производств по переработке вторсырья большинства категорий,внедрение экологически более чистого общественного транспорта)</v>
      </c>
      <c r="P1977" s="6" t="str">
        <f>IFERROR(__xludf.DUMMYFUNCTION("""COMPUTED_VALUE"""),"Instagram,vse42,знакомые")</f>
        <v>Instagram,vse42,знакомые</v>
      </c>
      <c r="Q1977" s="6" t="str">
        <f>IFERROR(__xludf.DUMMYFUNCTION("""COMPUTED_VALUE"""),"куда пойти в свободное время, городская афиша (кино/театр/концерты), Строительство осуществляемое в городе,экологические мероприятия,новости города во всех сферах")</f>
        <v>куда пойти в свободное время, городская афиша (кино/театр/концерты), Строительство осуществляемое в городе,экологические мероприятия,новости города во всех сферах</v>
      </c>
      <c r="R1977" s="6" t="str">
        <f>IFERROR(__xludf.DUMMYFUNCTION("""COMPUTED_VALUE"""),"9 мая,день Шахтёра,день города")</f>
        <v>9 мая,день Шахтёра,день города</v>
      </c>
      <c r="S1977" s="6" t="str">
        <f>IFERROR(__xludf.DUMMYFUNCTION("""COMPUTED_VALUE"""),"Нет, не приходилось")</f>
        <v>Нет, не приходилось</v>
      </c>
      <c r="T1977" s="6" t="str">
        <f>IFERROR(__xludf.DUMMYFUNCTION("""COMPUTED_VALUE"""),"Добычей угля,Зимняя вишня, столица Кемеровской области")</f>
        <v>Добычей угля,Зимняя вишня, столица Кемеровской области</v>
      </c>
      <c r="U1977" s="6" t="str">
        <f>IFERROR(__xludf.DUMMYFUNCTION("""COMPUTED_VALUE"""),"Красная горка,памятник Шахтерам")</f>
        <v>Красная горка,памятник Шахтерам</v>
      </c>
      <c r="V1977" s="6" t="str">
        <f>IFERROR(__xludf.DUMMYFUNCTION("""COMPUTED_VALUE"""),"Работа в тылу во времена Великой отечественной; Застройка города в сжатые сроки в послевоенное время; Строительство заводов, важных для экономики города;  Начало облагораживания города интересными не савдеповскими проектами (бульвар строителей), строитель"&amp;"ство культурного кластера в городе (настоящее время) , что поможет городу приобрести новые значения,не только угледобыча.")</f>
        <v>Работа в тылу во времена Великой отечественной; Застройка города в сжатые сроки в послевоенное время; Строительство заводов, важных для экономики города;  Начало облагораживания города интересными не савдеповскими проектами (бульвар строителей), строительство культурного кластера в городе (настоящее время) , что поможет городу приобрести новые значения,не только угледобыча.</v>
      </c>
      <c r="W1977" s="6" t="str">
        <f>IFERROR(__xludf.DUMMYFUNCTION("""COMPUTED_VALUE"""),"Несуетливые, провинциальные, не желающие что либо сделать для города,но уверенные,что им все обязаны:D Конечно же это не все жители. Также много людей горящих, желающих менять город к лучшему.")</f>
        <v>Несуетливые, провинциальные, не желающие что либо сделать для города,но уверенные,что им все обязаны:D Конечно же это не все жители. Также много людей горящих, желающих менять город к лучшему.</v>
      </c>
      <c r="X1977" s="6" t="str">
        <f>IFERROR(__xludf.DUMMYFUNCTION("""COMPUTED_VALUE"""),"Парк Ангелов - Площадь Советов - ул. Весенняя- набережная- памятник Шахтеров")</f>
        <v>Парк Ангелов - Площадь Советов - ул. Весенняя- набережная- памятник Шахтеров</v>
      </c>
      <c r="Y1977" s="6" t="str">
        <f>IFERROR(__xludf.DUMMYFUNCTION("""COMPUTED_VALUE"""),"К сожалению,на ум приходит ""Зимняя вишня"". Из культурных- строительство культурного кластера, нового спортивного комплекса ""Кузбасс-Арена""")</f>
        <v>К сожалению,на ум приходит "Зимняя вишня". Из культурных- строительство культурного кластера, нового спортивного комплекса "Кузбасс-Арена"</v>
      </c>
      <c r="Z1977" s="6" t="str">
        <f>IFERROR(__xludf.DUMMYFUNCTION("""COMPUTED_VALUE"""),"Установка сеток и контейнеров для втор.сырья во дворах и все большая вовлеченность в дела экологии, много нового строительства государственного значения,как следствие облагораживание близ расположенных территорий. строительство новых жилых комплеков, ремо"&amp;"нт дорог, новый автопарк общественного транспорта.")</f>
        <v>Установка сеток и контейнеров для втор.сырья во дворах и все большая вовлеченность в дела экологии, много нового строительства государственного значения,как следствие облагораживание близ расположенных территорий. строительство новых жилых комплеков, ремонт дорог, новый автопарк общественного транспорта.</v>
      </c>
      <c r="AA1977" s="6" t="str">
        <f>IFERROR(__xludf.DUMMYFUNCTION("""COMPUTED_VALUE"""),"Нехватка парковок,как следствие парковка на газонах во дворах,и постоянный рост автомобилей. ")</f>
        <v>Нехватка парковок,как следствие парковка на газонах во дворах,и постоянный рост автомобилей. </v>
      </c>
      <c r="AB1977" s="6" t="str">
        <f>IFERROR(__xludf.DUMMYFUNCTION("""COMPUTED_VALUE"""),"Хватает")</f>
        <v>Хватает</v>
      </c>
      <c r="AC1977" s="6" t="str">
        <f>IFERROR(__xludf.DUMMYFUNCTION("""COMPUTED_VALUE"""),"Больше музыкальных концертов знаменитых музыкальных групп")</f>
        <v>Больше музыкальных концертов знаменитых музыкальных групп</v>
      </c>
      <c r="AD197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77" s="6" t="str">
        <f>IFERROR(__xludf.DUMMYFUNCTION("""COMPUTED_VALUE"""),"Женский")</f>
        <v>Женский</v>
      </c>
      <c r="AF1977" s="6" t="str">
        <f>IFERROR(__xludf.DUMMYFUNCTION("""COMPUTED_VALUE"""),"18-29")</f>
        <v>18-29</v>
      </c>
      <c r="AG1977" s="6"/>
      <c r="AH1977" s="6"/>
      <c r="AI1977" s="6"/>
      <c r="AJ1977" s="6"/>
      <c r="AK1977" s="6"/>
      <c r="AL1977" s="6"/>
      <c r="AM1977" s="6"/>
    </row>
    <row r="1978">
      <c r="A1978" s="6">
        <v>1977.0</v>
      </c>
      <c r="B1978" s="6" t="str">
        <f>IFERROR(__xludf.DUMMYFUNCTION("""COMPUTED_VALUE"""),"Домохозяйка ")</f>
        <v>Домохозяйка </v>
      </c>
      <c r="C1978" s="6" t="str">
        <f>IFERROR(__xludf.DUMMYFUNCTION("""COMPUTED_VALUE"""),"Путешествия")</f>
        <v>Путешествия</v>
      </c>
      <c r="D1978" s="6" t="str">
        <f>IFERROR(__xludf.DUMMYFUNCTION("""COMPUTED_VALUE"""),"Ленинский район. Спальный район города.")</f>
        <v>Ленинский район. Спальный район города.</v>
      </c>
      <c r="E1978" s="6" t="str">
        <f>IFERROR(__xludf.DUMMYFUNCTION("""COMPUTED_VALUE"""),"ЗАГС Ленинского района")</f>
        <v>ЗАГС Ленинского района</v>
      </c>
      <c r="F1978" s="6" t="str">
        <f>IFERROR(__xludf.DUMMYFUNCTION("""COMPUTED_VALUE"""),"Живу здесь с рождения")</f>
        <v>Живу здесь с рождения</v>
      </c>
      <c r="G1978" s="6" t="str">
        <f>IFERROR(__xludf.DUMMYFUNCTION("""COMPUTED_VALUE"""),"Сосновый Бор; набережная реки Томь")</f>
        <v>Сосновый Бор; набережная реки Томь</v>
      </c>
      <c r="H1978" s="6" t="str">
        <f>IFERROR(__xludf.DUMMYFUNCTION("""COMPUTED_VALUE"""),"Парки, скверы, пешеходные зоны, детские площадки, озеленение.")</f>
        <v>Парки, скверы, пешеходные зоны, детские площадки, озеленение.</v>
      </c>
      <c r="I1978" s="6" t="str">
        <f>IFERROR(__xludf.DUMMYFUNCTION("""COMPUTED_VALUE"""),"Волков,  Космодемьянская, Леонов")</f>
        <v>Волков,  Космодемьянская, Леонов</v>
      </c>
      <c r="J1978" s="6" t="str">
        <f>IFERROR(__xludf.DUMMYFUNCTION("""COMPUTED_VALUE"""),"Тулеев")</f>
        <v>Тулеев</v>
      </c>
      <c r="K1978" s="6" t="str">
        <f>IFERROR(__xludf.DUMMYFUNCTION("""COMPUTED_VALUE"""),"Сосновый Бор, памятники на набережной реки Томь")</f>
        <v>Сосновый Бор, памятники на набережной реки Томь</v>
      </c>
      <c r="L1978" s="6" t="str">
        <f>IFERROR(__xludf.DUMMYFUNCTION("""COMPUTED_VALUE"""),"18 миллионов - это не 30 миллионов (о стоимости Кемеровской ели на площади Советов).")</f>
        <v>18 миллионов - это не 30 миллионов (о стоимости Кемеровской ели на площади Советов).</v>
      </c>
      <c r="M1978" s="6" t="str">
        <f>IFERROR(__xludf.DUMMYFUNCTION("""COMPUTED_VALUE"""),"Нет")</f>
        <v>Нет</v>
      </c>
      <c r="N1978" s="6" t="str">
        <f>IFERROR(__xludf.DUMMYFUNCTION("""COMPUTED_VALUE"""),"Скверы, лавочки, прогулочные зоны, детские парки, фонтанчики воды")</f>
        <v>Скверы, лавочки, прогулочные зоны, детские парки, фонтанчики воды</v>
      </c>
      <c r="O1978" s="6" t="str">
        <f>IFERROR(__xludf.DUMMYFUNCTION("""COMPUTED_VALUE"""),"Отремонтировать детские площадки и построить новые, где они требуются (например, частный сектор).")</f>
        <v>Отремонтировать детские площадки и построить новые, где они требуются (например, частный сектор).</v>
      </c>
      <c r="P1978" s="6" t="str">
        <f>IFERROR(__xludf.DUMMYFUNCTION("""COMPUTED_VALUE"""),"От друзей.")</f>
        <v>От друзей.</v>
      </c>
      <c r="Q1978" s="6" t="str">
        <f>IFERROR(__xludf.DUMMYFUNCTION("""COMPUTED_VALUE"""),"городская афиша (кино/театр/концерты), культурные новинки (что почитать/что послушать), новости про новые профессии/куда поступать/вакансии")</f>
        <v>городская афиша (кино/театр/концерты), культурные новинки (что почитать/что послушать), новости про новые профессии/куда поступать/вакансии</v>
      </c>
      <c r="R1978" s="6" t="str">
        <f>IFERROR(__xludf.DUMMYFUNCTION("""COMPUTED_VALUE"""),"Новый год и 9 мая")</f>
        <v>Новый год и 9 мая</v>
      </c>
      <c r="S1978" s="6" t="str">
        <f>IFERROR(__xludf.DUMMYFUNCTION("""COMPUTED_VALUE"""),"Нет, не приходилось")</f>
        <v>Нет, не приходилось</v>
      </c>
      <c r="T1978" s="6" t="str">
        <f>IFERROR(__xludf.DUMMYFUNCTION("""COMPUTED_VALUE"""),"Затрудняюсь ответить.")</f>
        <v>Затрудняюсь ответить.</v>
      </c>
      <c r="U1978" s="6" t="str">
        <f>IFERROR(__xludf.DUMMYFUNCTION("""COMPUTED_VALUE"""),"Памятник Шахтёру")</f>
        <v>Памятник Шахтёру</v>
      </c>
      <c r="V1978" s="6" t="str">
        <f>IFERROR(__xludf.DUMMYFUNCTION("""COMPUTED_VALUE"""),"Затрудняюсь ответить.")</f>
        <v>Затрудняюсь ответить.</v>
      </c>
      <c r="W1978" s="6" t="str">
        <f>IFERROR(__xludf.DUMMYFUNCTION("""COMPUTED_VALUE"""),"Затрудняюсь ответить.")</f>
        <v>Затрудняюсь ответить.</v>
      </c>
      <c r="X1978" s="6" t="str">
        <f>IFERROR(__xludf.DUMMYFUNCTION("""COMPUTED_VALUE"""),"Красная Горка, Сосновый Бор. ")</f>
        <v>Красная Горка, Сосновый Бор. </v>
      </c>
      <c r="Y1978" s="6" t="str">
        <f>IFERROR(__xludf.DUMMYFUNCTION("""COMPUTED_VALUE"""),"Затрудняюсь ответить.")</f>
        <v>Затрудняюсь ответить.</v>
      </c>
      <c r="Z1978" s="6" t="str">
        <f>IFERROR(__xludf.DUMMYFUNCTION("""COMPUTED_VALUE"""),"Никакие!!!")</f>
        <v>Никакие!!!</v>
      </c>
      <c r="AA1978" s="6" t="str">
        <f>IFERROR(__xludf.DUMMYFUNCTION("""COMPUTED_VALUE"""),"Пожар в «Зимней вишне».")</f>
        <v>Пожар в «Зимней вишне».</v>
      </c>
      <c r="AB1978" s="6" t="str">
        <f>IFERROR(__xludf.DUMMYFUNCTION("""COMPUTED_VALUE"""),"Затрудняюсь ответить.")</f>
        <v>Затрудняюсь ответить.</v>
      </c>
      <c r="AC1978" s="6" t="str">
        <f>IFERROR(__xludf.DUMMYFUNCTION("""COMPUTED_VALUE"""),"Затрудняюсь ответить.")</f>
        <v>Затрудняюсь ответить.</v>
      </c>
      <c r="AD1978"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78" s="6" t="str">
        <f>IFERROR(__xludf.DUMMYFUNCTION("""COMPUTED_VALUE"""),"Женский")</f>
        <v>Женский</v>
      </c>
      <c r="AF1978" s="6" t="str">
        <f>IFERROR(__xludf.DUMMYFUNCTION("""COMPUTED_VALUE"""),"30-44")</f>
        <v>30-44</v>
      </c>
      <c r="AG1978" s="6"/>
      <c r="AH1978" s="6"/>
      <c r="AI1978" s="6"/>
      <c r="AJ1978" s="6"/>
      <c r="AK1978" s="6"/>
      <c r="AL1978" s="6"/>
      <c r="AM1978" s="6"/>
    </row>
    <row r="1979">
      <c r="A1979" s="6">
        <v>1978.0</v>
      </c>
      <c r="B1979" s="6" t="str">
        <f>IFERROR(__xludf.DUMMYFUNCTION("""COMPUTED_VALUE"""),"инженер")</f>
        <v>инженер</v>
      </c>
      <c r="C1979" s="6" t="str">
        <f>IFERROR(__xludf.DUMMYFUNCTION("""COMPUTED_VALUE"""),"Натуралист")</f>
        <v>Натуралист</v>
      </c>
      <c r="D1979" s="6" t="str">
        <f>IFERROR(__xludf.DUMMYFUNCTION("""COMPUTED_VALUE"""),"Лесная поляна. Самый лучший")</f>
        <v>Лесная поляна. Самый лучший</v>
      </c>
      <c r="E1979" s="6" t="str">
        <f>IFERROR(__xludf.DUMMYFUNCTION("""COMPUTED_VALUE"""),"Само по себе знаковое место. Все жилье в Стране должно быть не хуже.")</f>
        <v>Само по себе знаковое место. Все жилье в Стране должно быть не хуже.</v>
      </c>
      <c r="F1979" s="6" t="str">
        <f>IFERROR(__xludf.DUMMYFUNCTION("""COMPUTED_VALUE"""),"Живу здесь с рождения, Родился здесь,но сейчас живу в другом городе, Не живу,но приезжаю сюда (к родственникам/друзьям)")</f>
        <v>Живу здесь с рождения, Родился здесь,но сейчас живу в другом городе, Не живу,но приезжаю сюда (к родственникам/друзьям)</v>
      </c>
      <c r="G1979" s="6" t="str">
        <f>IFERROR(__xludf.DUMMYFUNCTION("""COMPUTED_VALUE"""),"Сосновый бор, Комсомольский парк, Парк Чудес, Парк Антошка все мест моего счастливого детства")</f>
        <v>Сосновый бор, Комсомольский парк, Парк Чудес, Парк Антошка все мест моего счастливого детства</v>
      </c>
      <c r="H1979" s="6" t="str">
        <f>IFERROR(__xludf.DUMMYFUNCTION("""COMPUTED_VALUE"""),"грязь, смог, плохая экология, пло х....ый губернатор,  хорошие люди")</f>
        <v>грязь, смог, плохая экология, пло х....ый губернатор,  хорошие люди</v>
      </c>
      <c r="I1979" s="6" t="str">
        <f>IFERROR(__xludf.DUMMYFUNCTION("""COMPUTED_VALUE"""),"Леонов, Михайло Волков, Заузелков, Иоханес Бернардес ван Лохем")</f>
        <v>Леонов, Михайло Волков, Заузелков, Иоханес Бернардес ван Лохем</v>
      </c>
      <c r="J1979" s="6" t="str">
        <f>IFERROR(__xludf.DUMMYFUNCTION("""COMPUTED_VALUE"""),"Анисимов Дмитрий Викторович - первый заместитель Главы Кемерово")</f>
        <v>Анисимов Дмитрий Викторович - первый заместитель Главы Кемерово</v>
      </c>
      <c r="K1979" s="6" t="str">
        <f>IFERROR(__xludf.DUMMYFUNCTION("""COMPUTED_VALUE"""),"Кузбасская природа - Главная достопримечательность, но ее скоро погубят")</f>
        <v>Кузбасская природа - Главная достопримечательность, но ее скоро погубят</v>
      </c>
      <c r="L1979" s="6" t="str">
        <f>IFERROR(__xludf.DUMMYFUNCTION("""COMPUTED_VALUE"""),"не знаю ")</f>
        <v>не знаю </v>
      </c>
      <c r="M1979" s="6" t="str">
        <f>IFERROR(__xludf.DUMMYFUNCTION("""COMPUTED_VALUE"""),"не знаю")</f>
        <v>не знаю</v>
      </c>
      <c r="N1979" s="6" t="str">
        <f>IFERROR(__xludf.DUMMYFUNCTION("""COMPUTED_VALUE"""),"хорошие дороги, обеспеченность социальной инфраструктуры, экология, отсутствие безработицы")</f>
        <v>хорошие дороги, обеспеченность социальной инфраструктуры, экология, отсутствие безработицы</v>
      </c>
      <c r="O1979" s="6" t="str">
        <f>IFERROR(__xludf.DUMMYFUNCTION("""COMPUTED_VALUE"""),"Бизнесменов из власти надо поменять на патриотов своего региона")</f>
        <v>Бизнесменов из власти надо поменять на патриотов своего региона</v>
      </c>
      <c r="P1979" s="6" t="str">
        <f>IFERROR(__xludf.DUMMYFUNCTION("""COMPUTED_VALUE"""),"Паблики в соц сетях")</f>
        <v>Паблики в соц сетях</v>
      </c>
      <c r="Q1979"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предпринимателями, новости про новые профессии/куда поступать/вакансии, бизнес-новости (средний чек/рекламные акции/з"&amp;"апуск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инвестиции, бизнес, архитектура, градостроительство, недвижимость")</f>
        <v>куда пойти в свободное время, городская афиша (кино/театр/концерты), культурные новинки (что почитать/что послушать), интервью с местными предпринимателями, новости про новые профессии/куда поступать/вакансии,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 инвестиции, бизнес, архитектура, градостроительство, недвижимость</v>
      </c>
      <c r="R1979" s="6" t="str">
        <f>IFERROR(__xludf.DUMMYFUNCTION("""COMPUTED_VALUE"""),"День города 12 июня")</f>
        <v>День города 12 июня</v>
      </c>
      <c r="S1979" s="6" t="str">
        <f>IFERROR(__xludf.DUMMYFUNCTION("""COMPUTED_VALUE"""),"Писал и расклеивал объявления/афиши")</f>
        <v>Писал и расклеивал объявления/афиши</v>
      </c>
      <c r="T1979" s="6" t="str">
        <f>IFERROR(__xludf.DUMMYFUNCTION("""COMPUTED_VALUE"""),"Трагедия ЗВ, Антирейтинг Губернатора ЦСЕ, экология, массовая миграция жителей в другие регионы")</f>
        <v>Трагедия ЗВ, Антирейтинг Губернатора ЦСЕ, экология, массовая миграция жителей в другие регионы</v>
      </c>
      <c r="U1979" s="6" t="str">
        <f>IFERROR(__xludf.DUMMYFUNCTION("""COMPUTED_VALUE"""),"Площадь Советов, ул. Весенняя, Притомская набережная, Сосновый Бор, Парк Чудес,")</f>
        <v>Площадь Советов, ул. Весенняя, Притомская набережная, Сосновый Бор, Парк Чудес,</v>
      </c>
      <c r="V1979" s="6" t="str">
        <f>IFERROR(__xludf.DUMMYFUNCTION("""COMPUTED_VALUE"""),"Все чем можно гордится Кемеровчанам, сделано не современниками, а современники не могут это содержать в достойном состоянии")</f>
        <v>Все чем можно гордится Кемеровчанам, сделано не современниками, а современники не могут это содержать в достойном состоянии</v>
      </c>
      <c r="W1979" s="6" t="str">
        <f>IFERROR(__xludf.DUMMYFUNCTION("""COMPUTED_VALUE"""),"Открытые и добрые люди в целом, уставшие от нищенских зарплат и произвола чиновников всех уровней и структур ( от силовых структур до судебной власти)")</f>
        <v>Открытые и добрые люди в целом, уставшие от нищенских зарплат и произвола чиновников всех уровней и структур ( от силовых структур до судебной власти)</v>
      </c>
      <c r="X1979" s="6" t="str">
        <f>IFERROR(__xludf.DUMMYFUNCTION("""COMPUTED_VALUE"""),"Парк Жукова - Филармония - Притомская набережная - Парк Чудес - ул. Весенняя - просп. Советский  - Площадь Советов ")</f>
        <v>Парк Жукова - Филармония - Притомская набережная - Парк Чудес - ул. Весенняя - просп. Советский  - Площадь Советов </v>
      </c>
      <c r="Y1979" s="6" t="str">
        <f>IFERROR(__xludf.DUMMYFUNCTION("""COMPUTED_VALUE"""),"Трагедия все затмевает.... ")</f>
        <v>Трагедия все затмевает.... </v>
      </c>
      <c r="Z1979" s="6" t="str">
        <f>IFERROR(__xludf.DUMMYFUNCTION("""COMPUTED_VALUE"""),"ничего")</f>
        <v>ничего</v>
      </c>
      <c r="AA1979" s="6" t="str">
        <f>IFERROR(__xludf.DUMMYFUNCTION("""COMPUTED_VALUE"""),"Рост цен ЖКХ и на все остальное")</f>
        <v>Рост цен ЖКХ и на все остальное</v>
      </c>
      <c r="AB1979" s="6" t="str">
        <f>IFERROR(__xludf.DUMMYFUNCTION("""COMPUTED_VALUE"""),"созидающих что-то и объединяющих людей делать что-то полезное для них самих, т.к. люди себя развлекают в основном алкоголем и т.п.")</f>
        <v>созидающих что-то и объединяющих людей делать что-то полезное для них самих, т.к. люди себя развлекают в основном алкоголем и т.п.</v>
      </c>
      <c r="AC1979" s="6" t="str">
        <f>IFERROR(__xludf.DUMMYFUNCTION("""COMPUTED_VALUE"""),"Увеличение зарплаты пропорционально росту цен позволит людям жить комфортно и интереснее в любом городе")</f>
        <v>Увеличение зарплаты пропорционально росту цен позволит людям жить комфортно и интереснее в любом городе</v>
      </c>
      <c r="AD1979"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Коммуникатора: Готов задействовать свои знако"&amp;"мства для приглашения потенциально заинтересованных участников")</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v>
      </c>
      <c r="AE1979" s="6" t="str">
        <f>IFERROR(__xludf.DUMMYFUNCTION("""COMPUTED_VALUE"""),"Мужской")</f>
        <v>Мужской</v>
      </c>
      <c r="AF1979" s="6" t="str">
        <f>IFERROR(__xludf.DUMMYFUNCTION("""COMPUTED_VALUE"""),"30-44")</f>
        <v>30-44</v>
      </c>
      <c r="AG1979" s="6"/>
      <c r="AH1979" s="6"/>
      <c r="AI1979" s="6"/>
      <c r="AJ1979" s="6"/>
      <c r="AK1979" s="6"/>
      <c r="AL1979" s="6"/>
      <c r="AM1979" s="6"/>
    </row>
    <row r="1980">
      <c r="A1980" s="6">
        <v>1979.0</v>
      </c>
      <c r="B1980" s="6" t="str">
        <f>IFERROR(__xludf.DUMMYFUNCTION("""COMPUTED_VALUE"""),"Работаю бухгалтером")</f>
        <v>Работаю бухгалтером</v>
      </c>
      <c r="C1980" s="6" t="str">
        <f>IFERROR(__xludf.DUMMYFUNCTION("""COMPUTED_VALUE"""),"Шью одежду")</f>
        <v>Шью одежду</v>
      </c>
      <c r="D1980" s="6" t="str">
        <f>IFERROR(__xludf.DUMMYFUNCTION("""COMPUTED_VALUE"""),"В Заводском. На Швейке")</f>
        <v>В Заводском. На Швейке</v>
      </c>
      <c r="E1980" s="6" t="str">
        <f>IFERROR(__xludf.DUMMYFUNCTION("""COMPUTED_VALUE"""),"Парк Ангелов, Вокзал, дк Молодежи")</f>
        <v>Парк Ангелов, Вокзал, дк Молодежи</v>
      </c>
      <c r="F1980" s="6" t="str">
        <f>IFERROR(__xludf.DUMMYFUNCTION("""COMPUTED_VALUE"""),"Живу здесь с рождения")</f>
        <v>Живу здесь с рождения</v>
      </c>
      <c r="G1980" s="6" t="str">
        <f>IFERROR(__xludf.DUMMYFUNCTION("""COMPUTED_VALUE"""),"Парк Ангелов, сквер дк Молодёжи, Искитимский мост, Парк Антошка, Лесная поляна, Арена и Комсомольский парк")</f>
        <v>Парк Ангелов, сквер дк Молодёжи, Искитимский мост, Парк Антошка, Лесная поляна, Арена и Комсомольский парк</v>
      </c>
      <c r="H1980" s="6" t="str">
        <f>IFERROR(__xludf.DUMMYFUNCTION("""COMPUTED_VALUE"""),"Суровый, Деловой, Озабоченный, Поднимающийся ни смотря ни на что, Теплый")</f>
        <v>Суровый, Деловой, Озабоченный, Поднимающийся ни смотря ни на что, Теплый</v>
      </c>
      <c r="I1980" s="6" t="str">
        <f>IFERROR(__xludf.DUMMYFUNCTION("""COMPUTED_VALUE"""),"Волков")</f>
        <v>Волков</v>
      </c>
      <c r="J1980" s="6" t="str">
        <f>IFERROR(__xludf.DUMMYFUNCTION("""COMPUTED_VALUE"""),"Тулеев, Панин, Машков")</f>
        <v>Тулеев, Панин, Машков</v>
      </c>
      <c r="K1980" s="6" t="str">
        <f>IFERROR(__xludf.DUMMYFUNCTION("""COMPUTED_VALUE"""),"Лесную поляну, Томскую писаница, набережную Томи и Памятник кузбассовцам погибшим в ВОВ, Парк Ангелов")</f>
        <v>Лесную поляну, Томскую писаница, набережную Томи и Памятник кузбассовцам погибшим в ВОВ, Парк Ангелов</v>
      </c>
      <c r="L1980" s="6" t="str">
        <f>IFERROR(__xludf.DUMMYFUNCTION("""COMPUTED_VALUE"""),"Не припоминаю таких")</f>
        <v>Не припоминаю таких</v>
      </c>
      <c r="M1980" s="6" t="str">
        <f>IFERROR(__xludf.DUMMYFUNCTION("""COMPUTED_VALUE"""),"Затрудняюсь ")</f>
        <v>Затрудняюсь </v>
      </c>
      <c r="N1980" s="6" t="str">
        <f>IFERROR(__xludf.DUMMYFUNCTION("""COMPUTED_VALUE"""),"Доступность аптек и магазинов первой необходимост; добросовесная работа ЖКХ; наличие мест для прогулок, отдыха, занятий спортом на природе; доступная и хорошо организованная медицина; удобный общественный транспорт и дороги")</f>
        <v>Доступность аптек и магазинов первой необходимост; добросовесная работа ЖКХ; наличие мест для прогулок, отдыха, занятий спортом на природе; доступная и хорошо организованная медицина; удобный общественный транспорт и дороги</v>
      </c>
      <c r="O1980" s="6" t="str">
        <f>IFERROR(__xludf.DUMMYFUNCTION("""COMPUTED_VALUE"""),"Доступность и качество медицинской помощи")</f>
        <v>Доступность и качество медицинской помощи</v>
      </c>
      <c r="P1980" s="6" t="str">
        <f>IFERROR(__xludf.DUMMYFUNCTION("""COMPUTED_VALUE"""),"Интернет: инстаграм, яндекс, гугл")</f>
        <v>Интернет: инстаграм, яндекс, гугл</v>
      </c>
      <c r="Q1980"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1980" s="6" t="str">
        <f>IFERROR(__xludf.DUMMYFUNCTION("""COMPUTED_VALUE"""),"Шествие Бессмертного полка, День города, День Шахтёра, Новогодние гуляния")</f>
        <v>Шествие Бессмертного полка, День города, День Шахтёра, Новогодние гуляния</v>
      </c>
      <c r="S1980" s="6" t="str">
        <f>IFERROR(__xludf.DUMMYFUNCTION("""COMPUTED_VALUE"""),"Нет, не приходилось")</f>
        <v>Нет, не приходилось</v>
      </c>
      <c r="T1980" s="6" t="str">
        <f>IFERROR(__xludf.DUMMYFUNCTION("""COMPUTED_VALUE"""),"Трудом и трудовым людьми. Шерегешем")</f>
        <v>Трудом и трудовым людьми. Шерегешем</v>
      </c>
      <c r="U1980" s="6" t="str">
        <f>IFERROR(__xludf.DUMMYFUNCTION("""COMPUTED_VALUE"""),"Памятник Кузбассовцам, Драмтеатр")</f>
        <v>Памятник Кузбассовцам, Драмтеатр</v>
      </c>
      <c r="V1980" s="6" t="str">
        <f>IFERROR(__xludf.DUMMYFUNCTION("""COMPUTED_VALUE"""),"Работали, учились, растили детей, строили красивый город")</f>
        <v>Работали, учились, растили детей, строили красивый город</v>
      </c>
      <c r="W1980" s="6" t="str">
        <f>IFERROR(__xludf.DUMMYFUNCTION("""COMPUTED_VALUE"""),"Стойкие, твёрдые, суровые, жизнелюбивые, любопытные ")</f>
        <v>Стойкие, твёрдые, суровые, жизнелюбивые, любопытные </v>
      </c>
      <c r="X1980" s="6" t="str">
        <f>IFERROR(__xludf.DUMMYFUNCTION("""COMPUTED_VALUE"""),"Вдоль Томи: набережные, мосты, смотровые площадки, Центр города")</f>
        <v>Вдоль Томи: набережные, мосты, смотровые площадки, Центр города</v>
      </c>
      <c r="Y1980" s="6" t="str">
        <f>IFERROR(__xludf.DUMMYFUNCTION("""COMPUTED_VALUE"""),"К нам приехал президент")</f>
        <v>К нам приехал президент</v>
      </c>
      <c r="Z1980" s="6" t="str">
        <f>IFERROR(__xludf.DUMMYFUNCTION("""COMPUTED_VALUE"""),"Построили и запустили Кадетское училище")</f>
        <v>Построили и запустили Кадетское училище</v>
      </c>
      <c r="AA1980" s="6" t="str">
        <f>IFERROR(__xludf.DUMMYFUNCTION("""COMPUTED_VALUE"""),"Очень долго приходится ждать записи к врачам, записи на анализы и обследования. ")</f>
        <v>Очень долго приходится ждать записи к врачам, записи на анализы и обследования. </v>
      </c>
      <c r="AB1980" s="6" t="str">
        <f>IFERROR(__xludf.DUMMYFUNCTION("""COMPUTED_VALUE"""),"Затрудняюсь ")</f>
        <v>Затрудняюсь </v>
      </c>
      <c r="AC1980" s="6" t="str">
        <f>IFERROR(__xludf.DUMMYFUNCTION("""COMPUTED_VALUE"""),"Спортивные соревнования для спортсменов разных уровней с хорошей информационной поддержкой и крутыми призами")</f>
        <v>Спортивные соревнования для спортсменов разных уровней с хорошей информационной поддержкой и крутыми призами</v>
      </c>
      <c r="AD1980"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980" s="6" t="str">
        <f>IFERROR(__xludf.DUMMYFUNCTION("""COMPUTED_VALUE"""),"Женский")</f>
        <v>Женский</v>
      </c>
      <c r="AF1980" s="6" t="str">
        <f>IFERROR(__xludf.DUMMYFUNCTION("""COMPUTED_VALUE"""),"45-55")</f>
        <v>45-55</v>
      </c>
      <c r="AG1980" s="6"/>
      <c r="AH1980" s="6"/>
      <c r="AI1980" s="6"/>
      <c r="AJ1980" s="6"/>
      <c r="AK1980" s="6"/>
      <c r="AL1980" s="6"/>
      <c r="AM1980" s="6"/>
    </row>
    <row r="1981">
      <c r="A1981" s="6">
        <v>1980.0</v>
      </c>
      <c r="B1981" s="6" t="str">
        <f>IFERROR(__xludf.DUMMYFUNCTION("""COMPUTED_VALUE"""),"Ит сфера")</f>
        <v>Ит сфера</v>
      </c>
      <c r="C1981" s="6" t="str">
        <f>IFERROR(__xludf.DUMMYFUNCTION("""COMPUTED_VALUE"""),"Видеоигры, книги, спорт")</f>
        <v>Видеоигры, книги, спорт</v>
      </c>
      <c r="D1981" s="6" t="str">
        <f>IFERROR(__xludf.DUMMYFUNCTION("""COMPUTED_VALUE"""),"Кемерово")</f>
        <v>Кемерово</v>
      </c>
      <c r="E1981" s="6" t="str">
        <f>IFERROR(__xludf.DUMMYFUNCTION("""COMPUTED_VALUE"""),"Обновленный бульвар строителей")</f>
        <v>Обновленный бульвар строителей</v>
      </c>
      <c r="F1981" s="6" t="str">
        <f>IFERROR(__xludf.DUMMYFUNCTION("""COMPUTED_VALUE"""),"Переехал сюда из другого места (откуда? укажите в графе другое), Мариинск")</f>
        <v>Переехал сюда из другого места (откуда? укажите в графе другое), Мариинск</v>
      </c>
      <c r="G1981" s="6" t="str">
        <f>IFERROR(__xludf.DUMMYFUNCTION("""COMPUTED_VALUE"""),"В основном кино и кафе")</f>
        <v>В основном кино и кафе</v>
      </c>
      <c r="H1981" s="6" t="str">
        <f>IFERROR(__xludf.DUMMYFUNCTION("""COMPUTED_VALUE"""),"Уголь, Столица, Развитие, Дороги, Дом")</f>
        <v>Уголь, Столица, Развитие, Дороги, Дом</v>
      </c>
      <c r="I1981" s="6" t="str">
        <f>IFERROR(__xludf.DUMMYFUNCTION("""COMPUTED_VALUE"""),"Леонов")</f>
        <v>Леонов</v>
      </c>
      <c r="J1981" s="6" t="str">
        <f>IFERROR(__xludf.DUMMYFUNCTION("""COMPUTED_VALUE"""),"???")</f>
        <v>???</v>
      </c>
      <c r="K1981" s="6" t="str">
        <f>IFERROR(__xludf.DUMMYFUNCTION("""COMPUTED_VALUE"""),"Парк Ангелов лучший парк города, жалко что такое место появилось в связи с трагедией")</f>
        <v>Парк Ангелов лучший парк города, жалко что такое место появилось в связи с трагедией</v>
      </c>
      <c r="L1981" s="6" t="str">
        <f>IFERROR(__xludf.DUMMYFUNCTION("""COMPUTED_VALUE"""),"???")</f>
        <v>???</v>
      </c>
      <c r="M1981" s="6" t="str">
        <f>IFERROR(__xludf.DUMMYFUNCTION("""COMPUTED_VALUE"""),"""Мультифора"" насколько помню, так ""файл"" называют только за Уралом")</f>
        <v>"Мультифора" насколько помню, так "файл" называют только за Уралом</v>
      </c>
      <c r="N1981" s="6" t="str">
        <f>IFERROR(__xludf.DUMMYFUNCTION("""COMPUTED_VALUE"""),"Комфортные дорожные развязки, инфраструктура районов, парки и пешие зоны, наличие сетевых магазинов/заведений, наличие аэропорта")</f>
        <v>Комфортные дорожные развязки, инфраструктура районов, парки и пешие зоны, наличие сетевых магазинов/заведений, наличие аэропорта</v>
      </c>
      <c r="O1981" s="6" t="str">
        <f>IFERROR(__xludf.DUMMYFUNCTION("""COMPUTED_VALUE"""),"Меньше домов муравейников, больше малоэтажной застройки")</f>
        <v>Меньше домов муравейников, больше малоэтажной застройки</v>
      </c>
      <c r="P1981" s="6" t="str">
        <f>IFERROR(__xludf.DUMMYFUNCTION("""COMPUTED_VALUE"""),"Отовсюду помаленьку")</f>
        <v>Отовсюду помаленьку</v>
      </c>
      <c r="Q1981" s="6" t="str">
        <f>IFERROR(__xludf.DUMMYFUNCTION("""COMPUTED_VALUE"""),"куда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интервью с местными предпринимателями, новости про новые профессии/куда поступать/вакансии</v>
      </c>
      <c r="R1981" s="6" t="str">
        <f>IFERROR(__xludf.DUMMYFUNCTION("""COMPUTED_VALUE"""),"-")</f>
        <v>-</v>
      </c>
      <c r="S1981" s="6" t="str">
        <f>IFERROR(__xludf.DUMMYFUNCTION("""COMPUTED_VALUE"""),"Нет, не приходилось")</f>
        <v>Нет, не приходилось</v>
      </c>
      <c r="T1981" s="6" t="str">
        <f>IFERROR(__xludf.DUMMYFUNCTION("""COMPUTED_VALUE"""),"Затрудняюсь ответить")</f>
        <v>Затрудняюсь ответить</v>
      </c>
      <c r="U1981" s="6" t="str">
        <f>IFERROR(__xludf.DUMMYFUNCTION("""COMPUTED_VALUE"""),"Центр города, как ни странно: Площадь советов, советский проспект")</f>
        <v>Центр города, как ни странно: Площадь советов, советский проспект</v>
      </c>
      <c r="V1981" s="6" t="str">
        <f>IFERROR(__xludf.DUMMYFUNCTION("""COMPUTED_VALUE"""),"Затрудняюсь ответить")</f>
        <v>Затрудняюсь ответить</v>
      </c>
      <c r="W1981" s="6" t="str">
        <f>IFERROR(__xludf.DUMMYFUNCTION("""COMPUTED_VALUE"""),"Сложно сказать, мало был за пределами края, мне кажется все такие же угрюмые как и по все стране")</f>
        <v>Сложно сказать, мало был за пределами края, мне кажется все такие же угрюмые как и по все стране</v>
      </c>
      <c r="X1981" s="6" t="str">
        <f>IFERROR(__xludf.DUMMYFUNCTION("""COMPUTED_VALUE"""),"Площадь Советов, Советский проспект до Кирова, Островкого, Пушкина, затем на весеннюю и в парк Ангелов")</f>
        <v>Площадь Советов, Советский проспект до Кирова, Островкого, Пушкина, затем на весеннюю и в парк Ангелов</v>
      </c>
      <c r="Y1981" s="6" t="str">
        <f>IFERROR(__xludf.DUMMYFUNCTION("""COMPUTED_VALUE"""),"Затрудняюсь ответить")</f>
        <v>Затрудняюсь ответить</v>
      </c>
      <c r="Z1981" s="6" t="str">
        <f>IFERROR(__xludf.DUMMYFUNCTION("""COMPUTED_VALUE"""),"Не помню таких")</f>
        <v>Не помню таких</v>
      </c>
      <c r="AA1981" s="6" t="str">
        <f>IFERROR(__xludf.DUMMYFUNCTION("""COMPUTED_VALUE"""),"Зимняя вишня")</f>
        <v>Зимняя вишня</v>
      </c>
      <c r="AB1981" s="6" t="str">
        <f>IFERROR(__xludf.DUMMYFUNCTION("""COMPUTED_VALUE"""),"Более развитого ИТ сообщества")</f>
        <v>Более развитого ИТ сообщества</v>
      </c>
      <c r="AC1981" s="6" t="str">
        <f>IFERROR(__xludf.DUMMYFUNCTION("""COMPUTED_VALUE"""),"Затрудняюсь ответить")</f>
        <v>Затрудняюсь ответить</v>
      </c>
      <c r="AD1981"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81" s="6" t="str">
        <f>IFERROR(__xludf.DUMMYFUNCTION("""COMPUTED_VALUE"""),"Мужской")</f>
        <v>Мужской</v>
      </c>
      <c r="AF1981" s="6" t="str">
        <f>IFERROR(__xludf.DUMMYFUNCTION("""COMPUTED_VALUE"""),"18-29")</f>
        <v>18-29</v>
      </c>
      <c r="AG1981" s="6"/>
      <c r="AH1981" s="6"/>
      <c r="AI1981" s="6"/>
      <c r="AJ1981" s="6"/>
      <c r="AK1981" s="6"/>
      <c r="AL1981" s="6"/>
      <c r="AM1981" s="6"/>
    </row>
    <row r="1982">
      <c r="A1982" s="6">
        <v>1981.0</v>
      </c>
      <c r="B1982" s="6" t="str">
        <f>IFERROR(__xludf.DUMMYFUNCTION("""COMPUTED_VALUE"""),"Пенсионер")</f>
        <v>Пенсионер</v>
      </c>
      <c r="C1982" s="6" t="str">
        <f>IFERROR(__xludf.DUMMYFUNCTION("""COMPUTED_VALUE"""),"Фотография")</f>
        <v>Фотография</v>
      </c>
      <c r="D1982" s="6" t="str">
        <f>IFERROR(__xludf.DUMMYFUNCTION("""COMPUTED_VALUE"""),"Ленинский район. Так и называю.")</f>
        <v>Ленинский район. Так и называю.</v>
      </c>
      <c r="E1982" s="6" t="str">
        <f>IFERROR(__xludf.DUMMYFUNCTION("""COMPUTED_VALUE"""),"Бульвар строителей. Кадетский корпус.")</f>
        <v>Бульвар строителей. Кадетский корпус.</v>
      </c>
      <c r="F1982" s="6" t="str">
        <f>IFERROR(__xludf.DUMMYFUNCTION("""COMPUTED_VALUE"""),"Живу здесь с рождения")</f>
        <v>Живу здесь с рождения</v>
      </c>
      <c r="G1982" s="6" t="str">
        <f>IFERROR(__xludf.DUMMYFUNCTION("""COMPUTED_VALUE"""),"Горсад, Набережная, озеро Красное, парк Кузбасский, Жургавань")</f>
        <v>Горсад, Набережная, озеро Красное, парк Кузбасский, Жургавань</v>
      </c>
      <c r="H1982" s="6" t="str">
        <f>IFERROR(__xludf.DUMMYFUNCTION("""COMPUTED_VALUE"""),"Промышленность, Красная горка, Сосновый бор, Тулеев, Щетинкин лог")</f>
        <v>Промышленность, Красная горка, Сосновый бор, Тулеев, Щетинкин лог</v>
      </c>
      <c r="I1982" s="6" t="str">
        <f>IFERROR(__xludf.DUMMYFUNCTION("""COMPUTED_VALUE"""),"Владимир Мартемьянов, Владимир Раздаев, Вадим Бакатин - выдающаяся сволочь, Аман Тулеев")</f>
        <v>Владимир Мартемьянов, Владимир Раздаев, Вадим Бакатин - выдающаяся сволочь, Аман Тулеев</v>
      </c>
      <c r="J1982" s="6" t="str">
        <f>IFERROR(__xludf.DUMMYFUNCTION("""COMPUTED_VALUE"""),"Владимир Михайлов")</f>
        <v>Владимир Михайлов</v>
      </c>
      <c r="K1982" s="6" t="str">
        <f>IFERROR(__xludf.DUMMYFUNCTION("""COMPUTED_VALUE"""),"Монумент шахтёрам Кузбасса на Красной горке")</f>
        <v>Монумент шахтёрам Кузбасса на Красной горке</v>
      </c>
      <c r="L1982" s="6" t="str">
        <f>IFERROR(__xludf.DUMMYFUNCTION("""COMPUTED_VALUE"""),"На горе стоит корова - это город КемерОво.")</f>
        <v>На горе стоит корова - это город КемерОво.</v>
      </c>
      <c r="M1982" s="6" t="str">
        <f>IFERROR(__xludf.DUMMYFUNCTION("""COMPUTED_VALUE"""),"Нет")</f>
        <v>Нет</v>
      </c>
      <c r="N1982" s="6" t="str">
        <f>IFERROR(__xludf.DUMMYFUNCTION("""COMPUTED_VALUE"""),"Парки, сады, бульвары по площади равные другой застройке; Городской транспорт, позволяющий добраться в любую часть города; Объекты соцкультбыта в шаговой доступности; Наличие мест массового отдыха (стадион, пляж, театр, концертная площадка и т.п.) пропорц"&amp;"ионально численности населения; Атмосферный воздух без промышленных и автомобильных выбросов, вода в Томи без загрязнений.")</f>
        <v>Парки, сады, бульвары по площади равные другой застройке; Городской транспорт, позволяющий добраться в любую часть города; Объекты соцкультбыта в шаговой доступности; Наличие мест массового отдыха (стадион, пляж, театр, концертная площадка и т.п.) пропорционально численности населения; Атмосферный воздух без промышленных и автомобильных выбросов, вода в Томи без загрязнений.</v>
      </c>
      <c r="O1982" s="6" t="str">
        <f>IFERROR(__xludf.DUMMYFUNCTION("""COMPUTED_VALUE"""),"Главу города")</f>
        <v>Главу города</v>
      </c>
      <c r="P1982" s="6" t="str">
        <f>IFERROR(__xludf.DUMMYFUNCTION("""COMPUTED_VALUE"""),"Радио, телевидение, интернет ресурсы где упоминается Кемерово.")</f>
        <v>Радио, телевидение, интернет ресурсы где упоминается Кемерово.</v>
      </c>
      <c r="Q1982" s="6" t="str">
        <f>IFERROR(__xludf.DUMMYFUNCTION("""COMPUTED_VALUE"""),"городская афиша (кино/театр/концерты), интервью с местными творческими личностями, Новости строительства и реконструкции городских объектов.")</f>
        <v>городская афиша (кино/театр/концерты), интервью с местными творческими личностями, Новости строительства и реконструкции городских объектов.</v>
      </c>
      <c r="R1982" s="6" t="str">
        <f>IFERROR(__xludf.DUMMYFUNCTION("""COMPUTED_VALUE"""),"1-е и 9-е мая, Новогодние мероприятия.")</f>
        <v>1-е и 9-е мая, Новогодние мероприятия.</v>
      </c>
      <c r="S1982" s="6" t="str">
        <f>IFERROR(__xludf.DUMMYFUNCTION("""COMPUTED_VALUE"""),"Нет, не приходилось")</f>
        <v>Нет, не приходилось</v>
      </c>
      <c r="T1982" s="6" t="str">
        <f>IFERROR(__xludf.DUMMYFUNCTION("""COMPUTED_VALUE"""),"Столица угольного края, Монумент шахтёрам Кузбасса на Красной горке.")</f>
        <v>Столица угольного края, Монумент шахтёрам Кузбасса на Красной горке.</v>
      </c>
      <c r="U1982" s="6" t="str">
        <f>IFERROR(__xludf.DUMMYFUNCTION("""COMPUTED_VALUE"""),"Горсад, площадь Пушкина.")</f>
        <v>Горсад, площадь Пушкина.</v>
      </c>
      <c r="V1982" s="6" t="str">
        <f>IFERROR(__xludf.DUMMYFUNCTION("""COMPUTED_VALUE"""),"Работали, служили и когда надо воевали.")</f>
        <v>Работали, служили и когда надо воевали.</v>
      </c>
      <c r="W1982" s="6" t="str">
        <f>IFERROR(__xludf.DUMMYFUNCTION("""COMPUTED_VALUE"""),"Уникальных свойств не знаю.")</f>
        <v>Уникальных свойств не знаю.</v>
      </c>
      <c r="X1982" s="6" t="str">
        <f>IFERROR(__xludf.DUMMYFUNCTION("""COMPUTED_VALUE"""),"Красная горка - район Коксохимзавода и Химпром - Советский проспект - улица Весенняя - площадь Пушкина - Притомский проспект - Кадетское училище.")</f>
        <v>Красная горка - район Коксохимзавода и Химпром - Советский проспект - улица Весенняя - площадь Пушкина - Притомский проспект - Кадетское училище.</v>
      </c>
      <c r="Y1982" s="6" t="str">
        <f>IFERROR(__xludf.DUMMYFUNCTION("""COMPUTED_VALUE"""),"Преобразование из Щегловска в Кемерово, а затем в областной центр.")</f>
        <v>Преобразование из Щегловска в Кемерово, а затем в областной центр.</v>
      </c>
      <c r="Z1982" s="6" t="str">
        <f>IFERROR(__xludf.DUMMYFUNCTION("""COMPUTED_VALUE"""),"Закладка и начало строительства новых культурных объектов. ")</f>
        <v>Закладка и начало строительства новых культурных объектов. </v>
      </c>
      <c r="AA1982" s="6" t="str">
        <f>IFERROR(__xludf.DUMMYFUNCTION("""COMPUTED_VALUE"""),"Застройка Соснового бора, застройка объектами культа любого свободного участка.")</f>
        <v>Застройка Соснового бора, застройка объектами культа любого свободного участка.</v>
      </c>
      <c r="AB1982" s="6" t="str">
        <f>IFERROR(__xludf.DUMMYFUNCTION("""COMPUTED_VALUE"""),"Сообщество - это что?")</f>
        <v>Сообщество - это что?</v>
      </c>
      <c r="AC1982" s="6" t="str">
        <f>IFERROR(__xludf.DUMMYFUNCTION("""COMPUTED_VALUE"""),"Индексация пенсий за счёт городского бюджета.")</f>
        <v>Индексация пенсий за счёт городского бюджета.</v>
      </c>
      <c r="AD198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82" s="6" t="str">
        <f>IFERROR(__xludf.DUMMYFUNCTION("""COMPUTED_VALUE"""),"Мужской")</f>
        <v>Мужской</v>
      </c>
      <c r="AF1982" s="6" t="str">
        <f>IFERROR(__xludf.DUMMYFUNCTION("""COMPUTED_VALUE"""),"старше 55")</f>
        <v>старше 55</v>
      </c>
      <c r="AG1982" s="6"/>
      <c r="AH1982" s="6"/>
      <c r="AI1982" s="6"/>
      <c r="AJ1982" s="6"/>
      <c r="AK1982" s="6"/>
      <c r="AL1982" s="6"/>
      <c r="AM1982" s="6"/>
    </row>
    <row r="1983">
      <c r="A1983" s="6">
        <v>1982.0</v>
      </c>
      <c r="B1983" s="6" t="str">
        <f>IFERROR(__xludf.DUMMYFUNCTION("""COMPUTED_VALUE"""),"Учусь")</f>
        <v>Учусь</v>
      </c>
      <c r="C1983" s="6" t="str">
        <f>IFERROR(__xludf.DUMMYFUNCTION("""COMPUTED_VALUE"""),"нет")</f>
        <v>нет</v>
      </c>
      <c r="D1983" s="6" t="str">
        <f>IFERROR(__xludf.DUMMYFUNCTION("""COMPUTED_VALUE"""),"Цетральный")</f>
        <v>Цетральный</v>
      </c>
      <c r="E1983" s="6" t="str">
        <f>IFERROR(__xludf.DUMMYFUNCTION("""COMPUTED_VALUE"""),"набережная")</f>
        <v>набережная</v>
      </c>
      <c r="F1983" s="6" t="str">
        <f>IFERROR(__xludf.DUMMYFUNCTION("""COMPUTED_VALUE"""),"Живу здесь с рождения")</f>
        <v>Живу здесь с рождения</v>
      </c>
      <c r="G1983" s="6" t="str">
        <f>IFERROR(__xludf.DUMMYFUNCTION("""COMPUTED_VALUE"""),"на набережную, страюсь за город.")</f>
        <v>на набережную, страюсь за город.</v>
      </c>
      <c r="H1983" s="6" t="str">
        <f>IFERROR(__xludf.DUMMYFUNCTION("""COMPUTED_VALUE"""),"серый, скучный, шахты, уголь, молодой")</f>
        <v>серый, скучный, шахты, уголь, молодой</v>
      </c>
      <c r="I1983" s="6" t="str">
        <f>IFERROR(__xludf.DUMMYFUNCTION("""COMPUTED_VALUE"""),"М.Волков")</f>
        <v>М.Волков</v>
      </c>
      <c r="J1983" s="6" t="str">
        <f>IFERROR(__xludf.DUMMYFUNCTION("""COMPUTED_VALUE"""),"не знаю")</f>
        <v>не знаю</v>
      </c>
      <c r="K1983" s="6" t="str">
        <f>IFERROR(__xludf.DUMMYFUNCTION("""COMPUTED_VALUE"""),"ничего")</f>
        <v>ничего</v>
      </c>
      <c r="L1983" s="6" t="str">
        <f>IFERROR(__xludf.DUMMYFUNCTION("""COMPUTED_VALUE"""),"нет")</f>
        <v>нет</v>
      </c>
      <c r="M1983" s="6" t="str">
        <f>IFERROR(__xludf.DUMMYFUNCTION("""COMPUTED_VALUE"""),"нет")</f>
        <v>нет</v>
      </c>
      <c r="N1983" s="6" t="str">
        <f>IFERROR(__xludf.DUMMYFUNCTION("""COMPUTED_VALUE"""),"в шаговой доступности, развлечения, обучение, мобильность, нормальные дороги.")</f>
        <v>в шаговой доступности, развлечения, обучение, мобильность, нормальные дороги.</v>
      </c>
      <c r="O1983" s="6" t="str">
        <f>IFERROR(__xludf.DUMMYFUNCTION("""COMPUTED_VALUE"""),"ДОРОГИ")</f>
        <v>ДОРОГИ</v>
      </c>
      <c r="P1983" s="6" t="str">
        <f>IFERROR(__xludf.DUMMYFUNCTION("""COMPUTED_VALUE"""),"Инстаграм ")</f>
        <v>Инстаграм </v>
      </c>
      <c r="Q1983" s="6" t="str">
        <f>IFERROR(__xludf.DUMMYFUNCTION("""COMPUTED_VALUE"""),"куда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f>
        <v>куда пойти в свободное время, где вкусно поесть/открытие новых кафе/ресторанов, городская афиша (кино/театр/концерты), новости про новые профессии/куда поступать/вакансии</v>
      </c>
      <c r="R1983" s="6" t="str">
        <f>IFERROR(__xludf.DUMMYFUNCTION("""COMPUTED_VALUE"""),"Никакие, т.к. дороги перекрывают, домой не попадешь.")</f>
        <v>Никакие, т.к. дороги перекрывают, домой не попадешь.</v>
      </c>
      <c r="S1983" s="6" t="str">
        <f>IFERROR(__xludf.DUMMYFUNCTION("""COMPUTED_VALUE"""),"Нет, не приходилось")</f>
        <v>Нет, не приходилось</v>
      </c>
      <c r="T1983" s="6" t="str">
        <f>IFERROR(__xludf.DUMMYFUNCTION("""COMPUTED_VALUE"""),"Уголь, шахты и разрезы")</f>
        <v>Уголь, шахты и разрезы</v>
      </c>
      <c r="U1983" s="6" t="str">
        <f>IFERROR(__xludf.DUMMYFUNCTION("""COMPUTED_VALUE"""),"Глав. почтамт")</f>
        <v>Глав. почтамт</v>
      </c>
      <c r="V1983" s="6" t="str">
        <f>IFERROR(__xludf.DUMMYFUNCTION("""COMPUTED_VALUE"""),"пытались, привлечь людей и облагораживать местность.")</f>
        <v>пытались, привлечь людей и облагораживать местность.</v>
      </c>
      <c r="W1983" s="6" t="str">
        <f>IFERROR(__xludf.DUMMYFUNCTION("""COMPUTED_VALUE"""),"серьезные, хмурые, недовольные, ленивые.")</f>
        <v>серьезные, хмурые, недовольные, ленивые.</v>
      </c>
      <c r="X1983" s="6" t="str">
        <f>IFERROR(__xludf.DUMMYFUNCTION("""COMPUTED_VALUE"""),"по отремонтированным местам, бульвар, набережная, со стороны Кировского")</f>
        <v>по отремонтированным местам, бульвар, набережная, со стороны Кировского</v>
      </c>
      <c r="Y1983" s="6" t="str">
        <f>IFERROR(__xludf.DUMMYFUNCTION("""COMPUTED_VALUE"""),"затрудняюсь ответить")</f>
        <v>затрудняюсь ответить</v>
      </c>
      <c r="Z1983" s="6" t="str">
        <f>IFERROR(__xludf.DUMMYFUNCTION("""COMPUTED_VALUE"""),"затрудняюсь ответить")</f>
        <v>затрудняюсь ответить</v>
      </c>
      <c r="AA1983" s="6" t="str">
        <f>IFERROR(__xludf.DUMMYFUNCTION("""COMPUTED_VALUE"""),"Covid-19")</f>
        <v>Covid-19</v>
      </c>
      <c r="AB1983" s="6" t="str">
        <f>IFERROR(__xludf.DUMMYFUNCTION("""COMPUTED_VALUE"""),"спортивных секций, увеселительных мест, прогулочных парков, рабочих мест и условий.")</f>
        <v>спортивных секций, увеселительных мест, прогулочных парков, рабочих мест и условий.</v>
      </c>
      <c r="AC1983" s="6" t="str">
        <f>IFERROR(__xludf.DUMMYFUNCTION("""COMPUTED_VALUE"""),"Выше перечислено.")</f>
        <v>Выше перечислено.</v>
      </c>
      <c r="AD1983"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1983" s="6" t="str">
        <f>IFERROR(__xludf.DUMMYFUNCTION("""COMPUTED_VALUE"""),"Женский")</f>
        <v>Женский</v>
      </c>
      <c r="AF1983" s="6" t="str">
        <f>IFERROR(__xludf.DUMMYFUNCTION("""COMPUTED_VALUE"""),"18-29")</f>
        <v>18-29</v>
      </c>
      <c r="AG1983" s="6"/>
      <c r="AH1983" s="6"/>
      <c r="AI1983" s="6"/>
      <c r="AJ1983" s="6"/>
      <c r="AK1983" s="6"/>
      <c r="AL1983" s="6"/>
      <c r="AM1983" s="6"/>
    </row>
    <row r="1984">
      <c r="A1984" s="6">
        <v>1983.0</v>
      </c>
      <c r="B1984" s="6" t="str">
        <f>IFERROR(__xludf.DUMMYFUNCTION("""COMPUTED_VALUE"""),"пенсионер")</f>
        <v>пенсионер</v>
      </c>
      <c r="C1984" s="6" t="str">
        <f>IFERROR(__xludf.DUMMYFUNCTION("""COMPUTED_VALUE"""),"хоккей, футбол")</f>
        <v>хоккей, футбол</v>
      </c>
      <c r="D1984" s="6" t="str">
        <f>IFERROR(__xludf.DUMMYFUNCTION("""COMPUTED_VALUE"""),"Ленинский")</f>
        <v>Ленинский</v>
      </c>
      <c r="E1984" s="6" t="str">
        <f>IFERROR(__xludf.DUMMYFUNCTION("""COMPUTED_VALUE"""),"Кольцо, бульвар, универсам-2")</f>
        <v>Кольцо, бульвар, универсам-2</v>
      </c>
      <c r="F1984" s="6" t="str">
        <f>IFERROR(__xludf.DUMMYFUNCTION("""COMPUTED_VALUE"""),"Живу здесь с рождения")</f>
        <v>Живу здесь с рождения</v>
      </c>
      <c r="G1984" s="6" t="str">
        <f>IFERROR(__xludf.DUMMYFUNCTION("""COMPUTED_VALUE"""),"Сижу дома")</f>
        <v>Сижу дома</v>
      </c>
      <c r="H1984" s="6" t="str">
        <f>IFERROR(__xludf.DUMMYFUNCTION("""COMPUTED_VALUE"""),"Томь, Кузбасс, столица, химик, Кемерово")</f>
        <v>Томь, Кузбасс, столица, химик, Кемерово</v>
      </c>
      <c r="I1984" s="6" t="str">
        <f>IFERROR(__xludf.DUMMYFUNCTION("""COMPUTED_VALUE"""),"Космонавт Алексей Леонов, футболист Виталий Раздаев, Михайло Волков")</f>
        <v>Космонавт Алексей Леонов, футболист Виталий Раздаев, Михайло Волков</v>
      </c>
      <c r="J1984" s="6" t="str">
        <f>IFERROR(__xludf.DUMMYFUNCTION("""COMPUTED_VALUE"""),"Таких не знаю, на кого бы равнялись горожане. ")</f>
        <v>Таких не знаю, на кого бы равнялись горожане. </v>
      </c>
      <c r="K1984" s="6" t="str">
        <f>IFERROR(__xludf.DUMMYFUNCTION("""COMPUTED_VALUE"""),"Комсомольский парк, набережную реки Томь, проспект Ленина, стадион ""Химик""")</f>
        <v>Комсомольский парк, набережную реки Томь, проспект Ленина, стадион "Химик"</v>
      </c>
      <c r="L1984" s="6" t="str">
        <f>IFERROR(__xludf.DUMMYFUNCTION("""COMPUTED_VALUE"""),"Не вспомню")</f>
        <v>Не вспомню</v>
      </c>
      <c r="M1984" s="6" t="str">
        <f>IFERROR(__xludf.DUMMYFUNCTION("""COMPUTED_VALUE"""),"Нет")</f>
        <v>Нет</v>
      </c>
      <c r="N1984" s="6" t="str">
        <f>IFERROR(__xludf.DUMMYFUNCTION("""COMPUTED_VALUE"""),"Компактность, город детства, есть где погулять на воздухе, много магазинов, есть вокзалы и аэропорт.")</f>
        <v>Компактность, город детства, есть где погулять на воздухе, много магазинов, есть вокзалы и аэропорт.</v>
      </c>
      <c r="O1984" s="6" t="str">
        <f>IFERROR(__xludf.DUMMYFUNCTION("""COMPUTED_VALUE"""),"Расширить дороги, т.к. во многих местах бывают пробки")</f>
        <v>Расширить дороги, т.к. во многих местах бывают пробки</v>
      </c>
      <c r="P1984" s="6" t="str">
        <f>IFERROR(__xludf.DUMMYFUNCTION("""COMPUTED_VALUE"""),"Интернет")</f>
        <v>Интернет</v>
      </c>
      <c r="Q1984" s="6" t="str">
        <f>IFERROR(__xludf.DUMMYFUNCTION("""COMPUTED_VALUE"""),"куда пойти в свободное время, где вкусно поесть/открытие новых кафе/ресторанов, результаты местных исследований (рейтинги/аналитика/тенденции)")</f>
        <v>куда пойти в свободное время, где вкусно поесть/открытие новых кафе/ресторанов, результаты местных исследований (рейтинги/аналитика/тенденции)</v>
      </c>
      <c r="R1984" s="6" t="str">
        <f>IFERROR(__xludf.DUMMYFUNCTION("""COMPUTED_VALUE"""),"Новый год, день города")</f>
        <v>Новый год, день города</v>
      </c>
      <c r="S1984" s="6" t="str">
        <f>IFERROR(__xludf.DUMMYFUNCTION("""COMPUTED_VALUE"""),"Нет, не приходилось")</f>
        <v>Нет, не приходилось</v>
      </c>
      <c r="T1984" s="6" t="str">
        <f>IFERROR(__xludf.DUMMYFUNCTION("""COMPUTED_VALUE"""),"Столица Кузбасса")</f>
        <v>Столица Кузбасса</v>
      </c>
      <c r="U1984" s="6" t="str">
        <f>IFERROR(__xludf.DUMMYFUNCTION("""COMPUTED_VALUE"""),"Проспекты Ленина, Советский, Кузнецкий. Площадь Советов. Набережная")</f>
        <v>Проспекты Ленина, Советский, Кузнецкий. Площадь Советов. Набережная</v>
      </c>
      <c r="V1984" s="6" t="str">
        <f>IFERROR(__xludf.DUMMYFUNCTION("""COMPUTED_VALUE"""),"Наша футбольная команда ""Кузбасс"" в семидесятые дважды обыграла московский ""Спартак"". Космонавт А. Леонов первый в мире вышел в открытый космос.")</f>
        <v>Наша футбольная команда "Кузбасс" в семидесятые дважды обыграла московский "Спартак". Космонавт А. Леонов первый в мире вышел в открытый космос.</v>
      </c>
      <c r="W1984" s="6" t="str">
        <f>IFERROR(__xludf.DUMMYFUNCTION("""COMPUTED_VALUE"""),"Доброта, честность, простота")</f>
        <v>Доброта, честность, простота</v>
      </c>
      <c r="X1984" s="6" t="str">
        <f>IFERROR(__xludf.DUMMYFUNCTION("""COMPUTED_VALUE"""),"В разных районах по разному")</f>
        <v>В разных районах по разному</v>
      </c>
      <c r="Y1984" s="6" t="str">
        <f>IFERROR(__xludf.DUMMYFUNCTION("""COMPUTED_VALUE"""),"Когда наш город был выбран областным центром")</f>
        <v>Когда наш город был выбран областным центром</v>
      </c>
      <c r="Z1984" s="6" t="str">
        <f>IFERROR(__xludf.DUMMYFUNCTION("""COMPUTED_VALUE"""),"Отремонтировали бульвар Строителей")</f>
        <v>Отремонтировали бульвар Строителей</v>
      </c>
      <c r="AA1984" s="6" t="str">
        <f>IFERROR(__xludf.DUMMYFUNCTION("""COMPUTED_VALUE"""),"Пожар в ТРК ""Зимняя вишня"" и всё что с ним связано")</f>
        <v>Пожар в ТРК "Зимняя вишня" и всё что с ним связано</v>
      </c>
      <c r="AB1984" s="6" t="str">
        <f>IFERROR(__xludf.DUMMYFUNCTION("""COMPUTED_VALUE"""),"Нет команды по хоккею с шайбой. Это мой любимый вид спорта. Так же нет достойной футбольной команды как раньше.")</f>
        <v>Нет команды по хоккею с шайбой. Это мой любимый вид спорта. Так же нет достойной футбольной команды как раньше.</v>
      </c>
      <c r="AC1984" s="6" t="str">
        <f>IFERROR(__xludf.DUMMYFUNCTION("""COMPUTED_VALUE"""),"Сюда не приезжают легенды рок музыки. Разве только ""Назарет"".")</f>
        <v>Сюда не приезжают легенды рок музыки. Разве только "Назарет".</v>
      </c>
      <c r="AD1984" s="6" t="str">
        <f>IFERROR(__xludf.DUMMYFUNCTION("""COMPUTED_VALUE"""),"Не готов принимать личное участие (укажите, пожалуйста, причину в поле «Другое»), Нет у меня талантов в этом направлении")</f>
        <v>Не готов принимать личное участие (укажите, пожалуйста, причину в поле «Другое»), Нет у меня талантов в этом направлении</v>
      </c>
      <c r="AE1984" s="6" t="str">
        <f>IFERROR(__xludf.DUMMYFUNCTION("""COMPUTED_VALUE"""),"Мужской")</f>
        <v>Мужской</v>
      </c>
      <c r="AF1984" s="6" t="str">
        <f>IFERROR(__xludf.DUMMYFUNCTION("""COMPUTED_VALUE"""),"45-55")</f>
        <v>45-55</v>
      </c>
      <c r="AG1984" s="6"/>
      <c r="AH1984" s="6"/>
      <c r="AI1984" s="6"/>
      <c r="AJ1984" s="6"/>
      <c r="AK1984" s="6"/>
      <c r="AL1984" s="6"/>
      <c r="AM1984" s="6"/>
    </row>
    <row r="1985">
      <c r="A1985" s="6">
        <v>1984.0</v>
      </c>
      <c r="B1985" s="6" t="str">
        <f>IFERROR(__xludf.DUMMYFUNCTION("""COMPUTED_VALUE"""),"инженер на заводе")</f>
        <v>инженер на заводе</v>
      </c>
      <c r="C1985" s="6" t="str">
        <f>IFERROR(__xludf.DUMMYFUNCTION("""COMPUTED_VALUE"""),"дача")</f>
        <v>дача</v>
      </c>
      <c r="D1985" s="6" t="str">
        <f>IFERROR(__xludf.DUMMYFUNCTION("""COMPUTED_VALUE"""),"Южный район")</f>
        <v>Южный район</v>
      </c>
      <c r="E1985" s="6" t="str">
        <f>IFERROR(__xludf.DUMMYFUNCTION("""COMPUTED_VALUE"""),"нет")</f>
        <v>нет</v>
      </c>
      <c r="F1985" s="6" t="str">
        <f>IFERROR(__xludf.DUMMYFUNCTION("""COMPUTED_VALUE"""),"Переехал сюда из другого места (откуда? укажите в графе другое), Переехал из Томской области с родителями в детстве")</f>
        <v>Переехал сюда из другого места (откуда? укажите в графе другое), Переехал из Томской области с родителями в детстве</v>
      </c>
      <c r="G1985" s="6" t="str">
        <f>IFERROR(__xludf.DUMMYFUNCTION("""COMPUTED_VALUE"""),"В центр города")</f>
        <v>В центр города</v>
      </c>
      <c r="H1985" s="6" t="str">
        <f>IFERROR(__xludf.DUMMYFUNCTION("""COMPUTED_VALUE"""),"Кокс, Азот, Драмтеатр, Красная горка")</f>
        <v>Кокс, Азот, Драмтеатр, Красная горка</v>
      </c>
      <c r="I1985" s="6" t="str">
        <f>IFERROR(__xludf.DUMMYFUNCTION("""COMPUTED_VALUE"""),"Михайло Волков, Рутгерс")</f>
        <v>Михайло Волков, Рутгерс</v>
      </c>
      <c r="J1985" s="6" t="str">
        <f>IFERROR(__xludf.DUMMYFUNCTION("""COMPUTED_VALUE"""),"А.Г.Тулеев, И.В.Середюк")</f>
        <v>А.Г.Тулеев, И.В.Середюк</v>
      </c>
      <c r="K1985" s="6" t="str">
        <f>IFERROR(__xludf.DUMMYFUNCTION("""COMPUTED_VALUE"""),"фонтан на площади Драм.театра, Красная горка, Набережная Томи")</f>
        <v>фонтан на площади Драм.театра, Красная горка, Набережная Томи</v>
      </c>
      <c r="L1985" s="6" t="str">
        <f>IFERROR(__xludf.DUMMYFUNCTION("""COMPUTED_VALUE"""),"песня БГ ""Человек из Кемерова""")</f>
        <v>песня БГ "Человек из Кемерова"</v>
      </c>
      <c r="M1985" s="6" t="str">
        <f>IFERROR(__xludf.DUMMYFUNCTION("""COMPUTED_VALUE"""),"нет")</f>
        <v>нет</v>
      </c>
      <c r="N1985" s="6" t="str">
        <f>IFERROR(__xludf.DUMMYFUNCTION("""COMPUTED_VALUE"""),"достаточное количество парковок в микрорайоне Южный, достаточное количество детских и взрослых поликлиник, достаточное количество школ на Южном так как школы переполнены, удобство проезда на личном и общественном транспорте из дома на работу в центр город"&amp;"а (без пробок), отсутствие бродячих животных и запрет на выгул собак в общественных местах (усиление контроля и увеличение штрафов)")</f>
        <v>достаточное количество парковок в микрорайоне Южный, достаточное количество детских и взрослых поликлиник, достаточное количество школ на Южном так как школы переполнены, удобство проезда на личном и общественном транспорте из дома на работу в центр города (без пробок), отсутствие бродячих животных и запрет на выгул собак в общественных местах (усиление контроля и увеличение штрафов)</v>
      </c>
      <c r="O1985" s="6" t="str">
        <f>IFERROR(__xludf.DUMMYFUNCTION("""COMPUTED_VALUE"""),"расширить главные дороги для уменьшения пробок (пр.Советский, пр.Кузнецкий, ул.Красноармейская), Проложить дополнительную дорогу на Южный из центра города (например через бывшее военное училище связи)")</f>
        <v>расширить главные дороги для уменьшения пробок (пр.Советский, пр.Кузнецкий, ул.Красноармейская), Проложить дополнительную дорогу на Южный из центра города (например через бывшее военное училище связи)</v>
      </c>
      <c r="P1985" s="6" t="str">
        <f>IFERROR(__xludf.DUMMYFUNCTION("""COMPUTED_VALUE"""),"инстаграм, сибдепо")</f>
        <v>инстаграм, сибдепо</v>
      </c>
      <c r="Q198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v>
      </c>
      <c r="R1985" s="6" t="str">
        <f>IFERROR(__xludf.DUMMYFUNCTION("""COMPUTED_VALUE"""),"День города, 9 мая, Новый год")</f>
        <v>День города, 9 мая, Новый год</v>
      </c>
      <c r="S1985" s="6" t="str">
        <f>IFERROR(__xludf.DUMMYFUNCTION("""COMPUTED_VALUE"""),"Нет, не приходилось")</f>
        <v>Нет, не приходилось</v>
      </c>
      <c r="T1985" s="6" t="str">
        <f>IFERROR(__xludf.DUMMYFUNCTION("""COMPUTED_VALUE"""),"нет вариантов")</f>
        <v>нет вариантов</v>
      </c>
      <c r="U1985" s="6" t="str">
        <f>IFERROR(__xludf.DUMMYFUNCTION("""COMPUTED_VALUE"""),"Площадь советов и Драм.театр")</f>
        <v>Площадь советов и Драм.театр</v>
      </c>
      <c r="V1985" s="6" t="str">
        <f>IFERROR(__xludf.DUMMYFUNCTION("""COMPUTED_VALUE"""),"нет вариантов")</f>
        <v>нет вариантов</v>
      </c>
      <c r="W1985" s="6" t="str">
        <f>IFERROR(__xludf.DUMMYFUNCTION("""COMPUTED_VALUE"""),"Суровые, измученные тяжелой работой")</f>
        <v>Суровые, измученные тяжелой работой</v>
      </c>
      <c r="X1985" s="6" t="str">
        <f>IFERROR(__xludf.DUMMYFUNCTION("""COMPUTED_VALUE"""),"на набережную р.Томь, по Весенней улице, на Красную горку")</f>
        <v>на набережную р.Томь, по Весенней улице, на Красную горку</v>
      </c>
      <c r="Y1985" s="6" t="str">
        <f>IFERROR(__xludf.DUMMYFUNCTION("""COMPUTED_VALUE"""),"строительство градообразующих предприятий")</f>
        <v>строительство градообразующих предприятий</v>
      </c>
      <c r="Z1985" s="6" t="str">
        <f>IFERROR(__xludf.DUMMYFUNCTION("""COMPUTED_VALUE"""),"РОК ФЕСТИВАЛЬ 2019Г")</f>
        <v>РОК ФЕСТИВАЛЬ 2019Г</v>
      </c>
      <c r="AA1985" s="6" t="str">
        <f>IFERROR(__xludf.DUMMYFUNCTION("""COMPUTED_VALUE"""),"НЕТ ВАРИАНОВ")</f>
        <v>НЕТ ВАРИАНОВ</v>
      </c>
      <c r="AB1985" s="6" t="str">
        <f>IFERROR(__xludf.DUMMYFUNCTION("""COMPUTED_VALUE"""),"НЕТ ВАРИАНТОВ")</f>
        <v>НЕТ ВАРИАНТОВ</v>
      </c>
      <c r="AC1985" s="6" t="str">
        <f>IFERROR(__xludf.DUMMYFUNCTION("""COMPUTED_VALUE"""),"в летнее время можно разрешить выступать на улицах молодым коллективам (ВИА) по примеру г.С-Петербурга, можно построить благоустроенный пляж на набережной р.ТОМЬ")</f>
        <v>в летнее время можно разрешить выступать на улицах молодым коллективам (ВИА) по примеру г.С-Петербурга, можно построить благоустроенный пляж на набережной р.ТОМЬ</v>
      </c>
      <c r="AD1985" s="6" t="str">
        <f>IFERROR(__xludf.DUMMYFUNCTION("""COMPUTED_VALUE"""),"готов давать идеи для улучшения")</f>
        <v>готов давать идеи для улучшения</v>
      </c>
      <c r="AE1985" s="6" t="str">
        <f>IFERROR(__xludf.DUMMYFUNCTION("""COMPUTED_VALUE"""),"Мужской")</f>
        <v>Мужской</v>
      </c>
      <c r="AF1985" s="6" t="str">
        <f>IFERROR(__xludf.DUMMYFUNCTION("""COMPUTED_VALUE"""),"30-44")</f>
        <v>30-44</v>
      </c>
      <c r="AG1985" s="6"/>
      <c r="AH1985" s="6"/>
      <c r="AI1985" s="6"/>
      <c r="AJ1985" s="6"/>
      <c r="AK1985" s="6"/>
      <c r="AL1985" s="6"/>
      <c r="AM1985" s="6"/>
    </row>
    <row r="1986">
      <c r="A1986" s="6">
        <v>1985.0</v>
      </c>
      <c r="B1986" s="6" t="str">
        <f>IFERROR(__xludf.DUMMYFUNCTION("""COMPUTED_VALUE"""),"почти пенсионер")</f>
        <v>почти пенсионер</v>
      </c>
      <c r="C1986" s="6" t="str">
        <f>IFERROR(__xludf.DUMMYFUNCTION("""COMPUTED_VALUE"""),"садоводство")</f>
        <v>садоводство</v>
      </c>
      <c r="D1986" s="6" t="str">
        <f>IFERROR(__xludf.DUMMYFUNCTION("""COMPUTED_VALUE"""),"Южный")</f>
        <v>Южный</v>
      </c>
      <c r="E1986" s="6" t="str">
        <f>IFERROR(__xludf.DUMMYFUNCTION("""COMPUTED_VALUE"""),"аллея Патриотов и детская площадка у церкви ( там гуляем с внуком)")</f>
        <v>аллея Патриотов и детская площадка у церкви ( там гуляем с внуком)</v>
      </c>
      <c r="F1986" s="6" t="str">
        <f>IFERROR(__xludf.DUMMYFUNCTION("""COMPUTED_VALUE"""),"с 1970 года")</f>
        <v>с 1970 года</v>
      </c>
      <c r="G1986" s="6" t="str">
        <f>IFERROR(__xludf.DUMMYFUNCTION("""COMPUTED_VALUE"""),"парк Жукова")</f>
        <v>парк Жукова</v>
      </c>
      <c r="H1986" s="6" t="str">
        <f>IFERROR(__xludf.DUMMYFUNCTION("""COMPUTED_VALUE"""),"аллея Славы на Весенней, Драматический театр, памятник Волкову, памятник Шахтерам, Училище Связи.")</f>
        <v>аллея Славы на Весенней, Драматический театр, памятник Волкову, памятник Шахтерам, Училище Связи.</v>
      </c>
      <c r="I1986" s="6" t="str">
        <f>IFERROR(__xludf.DUMMYFUNCTION("""COMPUTED_VALUE"""),"Волков, Волошина, Двужильный, Марковцев,  Леонов, Гришковец, Бабенко.")</f>
        <v>Волков, Волошина, Двужильный, Марковцев,  Леонов, Гришковец, Бабенко.</v>
      </c>
      <c r="J1986" s="6" t="str">
        <f>IFERROR(__xludf.DUMMYFUNCTION("""COMPUTED_VALUE"""),"Тулеев")</f>
        <v>Тулеев</v>
      </c>
      <c r="K1986" s="6" t="str">
        <f>IFERROR(__xludf.DUMMYFUNCTION("""COMPUTED_VALUE"""),"предложила бы проехать по ночному городу")</f>
        <v>предложила бы проехать по ночному городу</v>
      </c>
      <c r="L1986" s="6" t="str">
        <f>IFERROR(__xludf.DUMMYFUNCTION("""COMPUTED_VALUE"""),"свинья грязь везде найдет")</f>
        <v>свинья грязь везде найдет</v>
      </c>
      <c r="M1986" s="6" t="str">
        <f>IFERROR(__xludf.DUMMYFUNCTION("""COMPUTED_VALUE"""),"нет")</f>
        <v>нет</v>
      </c>
      <c r="N1986" s="6" t="str">
        <f>IFERROR(__xludf.DUMMYFUNCTION("""COMPUTED_VALUE"""),"чистая окружающая среда,доступный и удобный транспорт,чистые улицы и дворовые территории,безопасные детские площадки,бесплатные и оборудованные пляжи")</f>
        <v>чистая окружающая среда,доступный и удобный транспорт,чистые улицы и дворовые территории,безопасные детские площадки,бесплатные и оборудованные пляжи</v>
      </c>
      <c r="O1986" s="6" t="str">
        <f>IFERROR(__xludf.DUMMYFUNCTION("""COMPUTED_VALUE"""),"экология, транспорт, чистота")</f>
        <v>экология, транспорт, чистота</v>
      </c>
      <c r="P1986" s="6" t="str">
        <f>IFERROR(__xludf.DUMMYFUNCTION("""COMPUTED_VALUE"""),"Вести Кузбасс, МэруназаметкуКемерово")</f>
        <v>Вести Кузбасс, МэруназаметкуКемерово</v>
      </c>
      <c r="Q1986" s="6" t="str">
        <f>IFERROR(__xludf.DUMMYFUNCTION("""COMPUTED_VALUE"""),"криминальные новости (происшествия/преступления), интервью с экспертами на разные темы (напишите в разделе Другое свои предложения)")</f>
        <v>криминальные новости (происшествия/преступления), интервью с экспертами на разные темы (напишите в разделе Другое свои предложения)</v>
      </c>
      <c r="R1986" s="6" t="str">
        <f>IFERROR(__xludf.DUMMYFUNCTION("""COMPUTED_VALUE"""),"День Города, День Победы, День защиты детей")</f>
        <v>День Города, День Победы, День защиты детей</v>
      </c>
      <c r="S1986" s="6" t="str">
        <f>IFERROR(__xludf.DUMMYFUNCTION("""COMPUTED_VALUE"""),"Нет, не приходилось")</f>
        <v>Нет, не приходилось</v>
      </c>
      <c r="T1986" s="6" t="str">
        <f>IFERROR(__xludf.DUMMYFUNCTION("""COMPUTED_VALUE"""),"город шахтеров и химиков")</f>
        <v>город шахтеров и химиков</v>
      </c>
      <c r="U1986" s="6" t="str">
        <f>IFERROR(__xludf.DUMMYFUNCTION("""COMPUTED_VALUE"""),"ул Весенняя, парк Жукова")</f>
        <v>ул Весенняя, парк Жукова</v>
      </c>
      <c r="V1986" s="6" t="str">
        <f>IFERROR(__xludf.DUMMYFUNCTION("""COMPUTED_VALUE"""),"возвели мосты, построили заводы и фабрики (которых уже нет), создали новые микрорайоны")</f>
        <v>возвели мосты, построили заводы и фабрики (которых уже нет), создали новые микрорайоны</v>
      </c>
      <c r="W1986" s="6" t="str">
        <f>IFERROR(__xludf.DUMMYFUNCTION("""COMPUTED_VALUE"""),"обычные люди, красивые и не очень, добрые и озлобленные, честные и хапуги")</f>
        <v>обычные люди, красивые и не очень, добрые и озлобленные, честные и хапуги</v>
      </c>
      <c r="X1986" s="6" t="str">
        <f>IFERROR(__xludf.DUMMYFUNCTION("""COMPUTED_VALUE"""),"затрудняюсь ответить")</f>
        <v>затрудняюсь ответить</v>
      </c>
      <c r="Y1986" s="6" t="str">
        <f>IFERROR(__xludf.DUMMYFUNCTION("""COMPUTED_VALUE"""),"забастовка шахтеров")</f>
        <v>забастовка шахтеров</v>
      </c>
      <c r="Z1986" s="6" t="str">
        <f>IFERROR(__xludf.DUMMYFUNCTION("""COMPUTED_VALUE"""),"а такие были?")</f>
        <v>а такие были?</v>
      </c>
      <c r="AA1986" s="6" t="str">
        <f>IFERROR(__xludf.DUMMYFUNCTION("""COMPUTED_VALUE"""),"пожар в Зимней Вишне")</f>
        <v>пожар в Зимней Вишне</v>
      </c>
      <c r="AB1986" s="6" t="str">
        <f>IFERROR(__xludf.DUMMYFUNCTION("""COMPUTED_VALUE"""),"мое главное сообщество - это СЕМЬЯ")</f>
        <v>мое главное сообщество - это СЕМЬЯ</v>
      </c>
      <c r="AC1986" s="6" t="str">
        <f>IFERROR(__xludf.DUMMYFUNCTION("""COMPUTED_VALUE"""),"может быть больше живой музыки, как это было раньше в Городском Саду")</f>
        <v>может быть больше живой музыки, как это было раньше в Городском Саду</v>
      </c>
      <c r="AD1986" s="6" t="str">
        <f>IFERROR(__xludf.DUMMYFUNCTION("""COMPUTED_VALUE"""),"только в роли зрителя( возраст)")</f>
        <v>только в роли зрителя( возраст)</v>
      </c>
      <c r="AE1986" s="6" t="str">
        <f>IFERROR(__xludf.DUMMYFUNCTION("""COMPUTED_VALUE"""),"Женский")</f>
        <v>Женский</v>
      </c>
      <c r="AF1986" s="6" t="str">
        <f>IFERROR(__xludf.DUMMYFUNCTION("""COMPUTED_VALUE"""),"старше 55")</f>
        <v>старше 55</v>
      </c>
      <c r="AG1986" s="6"/>
      <c r="AH1986" s="6"/>
      <c r="AI1986" s="6"/>
      <c r="AJ1986" s="6"/>
      <c r="AK1986" s="6"/>
      <c r="AL1986" s="6"/>
      <c r="AM1986" s="6"/>
    </row>
    <row r="1987">
      <c r="A1987" s="6">
        <v>1986.0</v>
      </c>
      <c r="B1987" s="6" t="str">
        <f>IFERROR(__xludf.DUMMYFUNCTION("""COMPUTED_VALUE"""),"преподаю, участвую в исторических и археологических исследованиях")</f>
        <v>преподаю, участвую в исторических и археологических исследованиях</v>
      </c>
      <c r="C1987" s="6" t="str">
        <f>IFERROR(__xludf.DUMMYFUNCTION("""COMPUTED_VALUE"""),"читать книги")</f>
        <v>читать книги</v>
      </c>
      <c r="D1987" s="6" t="str">
        <f>IFERROR(__xludf.DUMMYFUNCTION("""COMPUTED_VALUE"""),"кемерово-сити")</f>
        <v>кемерово-сити</v>
      </c>
      <c r="E1987" s="6" t="str">
        <f>IFERROR(__xludf.DUMMYFUNCTION("""COMPUTED_VALUE"""),"парк им. Резника, ")</f>
        <v>парк им. Резника, </v>
      </c>
      <c r="F1987" s="6" t="str">
        <f>IFERROR(__xludf.DUMMYFUNCTION("""COMPUTED_VALUE"""),"Живу здесь с рождения")</f>
        <v>Живу здесь с рождения</v>
      </c>
      <c r="G1987" s="6" t="str">
        <f>IFERROR(__xludf.DUMMYFUNCTION("""COMPUTED_VALUE"""),"в ресторан, кино, парк чудес, иногда в бор")</f>
        <v>в ресторан, кино, парк чудес, иногда в бор</v>
      </c>
      <c r="H1987" s="6" t="str">
        <f>IFERROR(__xludf.DUMMYFUNCTION("""COMPUTED_VALUE"""),"черное небо, родной, красивый летом, грязный")</f>
        <v>черное небо, родной, красивый летом, грязный</v>
      </c>
      <c r="I1987" s="6" t="str">
        <f>IFERROR(__xludf.DUMMYFUNCTION("""COMPUTED_VALUE"""),"М. Волков, А. Ф. Иштокин, А. Бобров, В. Раздаев, В. В. Михайлов, А. И. Мартынов")</f>
        <v>М. Волков, А. Ф. Иштокин, А. Бобров, В. Раздаев, В. В. Михайлов, А. И. Мартынов</v>
      </c>
      <c r="J1987" s="6" t="str">
        <f>IFERROR(__xludf.DUMMYFUNCTION("""COMPUTED_VALUE""")," В. В. Бобров, Л. Ю. Говоров, Н. С. Бледнова, И. Ю. Усков")</f>
        <v> В. В. Бобров, Л. Ю. Говоров, Н. С. Бледнова, И. Ю. Усков</v>
      </c>
      <c r="K1987" s="6" t="str">
        <f>IFERROR(__xludf.DUMMYFUNCTION("""COMPUTED_VALUE"""),"ул. Весенняя от площади Волкова со всеми памятниками, Красная горка и скульптура ""Память шахтерам Кузбасса"", ресторан ""Забой"", набрежная, парк Ангелов и др. ")</f>
        <v>ул. Весенняя от площади Волкова со всеми памятниками, Красная горка и скульптура "Память шахтерам Кузбасса", ресторан "Забой", набрежная, парк Ангелов и др. </v>
      </c>
      <c r="L1987" s="6" t="str">
        <f>IFERROR(__xludf.DUMMYFUNCTION("""COMPUTED_VALUE"""),"не могу вспомнить")</f>
        <v>не могу вспомнить</v>
      </c>
      <c r="M1987" s="6" t="str">
        <f>IFERROR(__xludf.DUMMYFUNCTION("""COMPUTED_VALUE"""),"про дороги - ""сделано по-кемеровски""")</f>
        <v>про дороги - "сделано по-кемеровски"</v>
      </c>
      <c r="N1987" s="6" t="str">
        <f>IFERROR(__xludf.DUMMYFUNCTION("""COMPUTED_VALUE"""),"экология (чистый воздух, вода, активность городского сообщества), качественные дороги, дорожки для пешеходов и велосепедистов, с уборкой их в зимний период, зеленые зоны и парки в каждом районе, доступная городская интернет-сеть, хотя бы элементы умного г"&amp;"орода")</f>
        <v>экология (чистый воздух, вода, активность городского сообщества), качественные дороги, дорожки для пешеходов и велосепедистов, с уборкой их в зимний период, зеленые зоны и парки в каждом районе, доступная городская интернет-сеть, хотя бы элементы умного города</v>
      </c>
      <c r="O1987" s="6" t="str">
        <f>IFERROR(__xludf.DUMMYFUNCTION("""COMPUTED_VALUE"""),"активно решать экологические проблемы, устанавливать современные очистительные сооружения, исключить приближение к городской черте разрезов, строить мусорный завод по примеру мусорного завода г. Стокгольма, проводить озеленение районов, улиц, дороог")</f>
        <v>активно решать экологические проблемы, устанавливать современные очистительные сооружения, исключить приближение к городской черте разрезов, строить мусорный завод по примеру мусорного завода г. Стокгольма, проводить озеленение районов, улиц, дороог</v>
      </c>
      <c r="P1987" s="6" t="str">
        <f>IFERROR(__xludf.DUMMYFUNCTION("""COMPUTED_VALUE"""),"Наука42, А42, новостные летны")</f>
        <v>Наука42, А42, новостные летны</v>
      </c>
      <c r="Q1987" s="6" t="str">
        <f>IFERROR(__xludf.DUMMYFUNCTION("""COMPUTED_VALUE"""),"городская афиша (кино/театр/концерты), результаты местных исследований (рейтинги/аналитика/тенденции), решение о строительстве новых объектов")</f>
        <v>городская афиша (кино/театр/концерты), результаты местных исследований (рейтинги/аналитика/тенденции), решение о строительстве новых объектов</v>
      </c>
      <c r="R1987" s="6" t="str">
        <f>IFERROR(__xludf.DUMMYFUNCTION("""COMPUTED_VALUE"""),"День города; парад Победы; не хватает действительно значимого городского событийного мероприятия, которое привлекало бы в Кемерово гостей и делало бы их пребывание в городе интересным")</f>
        <v>День города; парад Победы; не хватает действительно значимого городского событийного мероприятия, которое привлекало бы в Кемерово гостей и делало бы их пребывание в городе интересным</v>
      </c>
      <c r="S1987" s="6" t="str">
        <f>IFERROR(__xludf.DUMMYFUNCTION("""COMPUTED_VALUE"""),"Через социальные сети (Какие? Укажите в графе другое), Обращался в редакции городских газет, телевидения, радио, археологические раскопки в городе (Люскус, памятник ""Деревня Кемерово"" и др.)")</f>
        <v>Через социальные сети (Какие? Укажите в графе другое), Обращался в редакции городских газет, телевидения, радио, археологические раскопки в городе (Люскус, памятник "Деревня Кемерово" и др.)</v>
      </c>
      <c r="T1987" s="6" t="str">
        <f>IFERROR(__xludf.DUMMYFUNCTION("""COMPUTED_VALUE"""),"открытием угля академической экспедицией и М. Волковым (памятник ему); Кемеровский рудник и АИК;  промышленными предприятиями; забастовками шахтеров; А. Г. Тулеевым, скульптурой ""Память шахтерам Кузбасса"" Э. Неизвестного; бор;  ")</f>
        <v>открытием угля академической экспедицией и М. Волковым (памятник ему); Кемеровский рудник и АИК;  промышленными предприятиями; забастовками шахтеров; А. Г. Тулеевым, скульптурой "Память шахтерам Кузбасса" Э. Неизвестного; бор;  </v>
      </c>
      <c r="U1987" s="6" t="str">
        <f>IFERROR(__xludf.DUMMYFUNCTION("""COMPUTED_VALUE"""),"пр. Советский от пр. Кузнецкого и до бассейна; Кировская набережная; бульвар Строителей")</f>
        <v>пр. Советский от пр. Кузнецкого и до бассейна; Кировская набережная; бульвар Строителей</v>
      </c>
      <c r="V1987" s="6" t="str">
        <f>IFERROR(__xludf.DUMMYFUNCTION("""COMPUTED_VALUE"""),"Создали промышленный комплекс для нужд фронта в годы Второй Мировой войны; построили городской центр - пр. Советский, ул. Островского, ул. Весенняя, в том числе с помощью пленных немцев, спортивные достижения в области футбола (пусть не на уровне лучших к"&amp;"оманд СССР, но для города важно), хоккей с мячом, хоккей с шайбой, волейбол; театр драмы, музыкальный театр, филормонию и др. культурные объекты; не вырубили бор (!);  ")</f>
        <v>Создали промышленный комплекс для нужд фронта в годы Второй Мировой войны; построили городской центр - пр. Советский, ул. Островского, ул. Весенняя, в том числе с помощью пленных немцев, спортивные достижения в области футбола (пусть не на уровне лучших команд СССР, но для города важно), хоккей с мячом, хоккей с шайбой, волейбол; театр драмы, музыкальный театр, филормонию и др. культурные объекты; не вырубили бор (!);  </v>
      </c>
      <c r="W1987" s="6" t="str">
        <f>IFERROR(__xludf.DUMMYFUNCTION("""COMPUTED_VALUE"""),"Кемеровчане как и жители других городов РФ разные, поэтому трудно выделить какие-то особые черты; кое-что можно сказать: сибиряки, жители столицы Кузбасса ")</f>
        <v>Кемеровчане как и жители других городов РФ разные, поэтому трудно выделить какие-то особые черты; кое-что можно сказать: сибиряки, жители столицы Кузбасса </v>
      </c>
      <c r="X1987" s="6" t="str">
        <f>IFERROR(__xludf.DUMMYFUNCTION("""COMPUTED_VALUE"""),"По старым улицам города, чтобы понять из чего он рос")</f>
        <v>По старым улицам города, чтобы понять из чего он рос</v>
      </c>
      <c r="Y1987" s="6" t="str">
        <f>IFERROR(__xludf.DUMMYFUNCTION("""COMPUTED_VALUE"""),"присвоение статуса столицы Кузбасса")</f>
        <v>присвоение статуса столицы Кузбасса</v>
      </c>
      <c r="Z1987" s="6" t="str">
        <f>IFERROR(__xludf.DUMMYFUNCTION("""COMPUTED_VALUE"""),"рок-фестиваль «Герои мирового рока» в честь 25-летия компании ЗАО «Стройсервис» ")</f>
        <v>рок-фестиваль «Герои мирового рока» в честь 25-летия компании ЗАО «Стройсервис» </v>
      </c>
      <c r="AA1987" s="6" t="str">
        <f>IFERROR(__xludf.DUMMYFUNCTION("""COMPUTED_VALUE"""),"Выбросы промышленных отходов по выходным, когда не измеряется присутствие в воздухе вредных веществ")</f>
        <v>Выбросы промышленных отходов по выходным, когда не измеряется присутствие в воздухе вредных веществ</v>
      </c>
      <c r="AB1987" s="6" t="str">
        <f>IFERROR(__xludf.DUMMYFUNCTION("""COMPUTED_VALUE"""),"сообщества, с которым власти согласовывали свои проекты, убеждали в их необходимости, экологического общества; защитников историко-культурного наследия города")</f>
        <v>сообщества, с которым власти согласовывали свои проекты, убеждали в их необходимости, экологического общества; защитников историко-культурного наследия города</v>
      </c>
      <c r="AC1987" s="6" t="str">
        <f>IFERROR(__xludf.DUMMYFUNCTION("""COMPUTED_VALUE"""),"Крупное туристское событийное мероприятие (фестиваль), превращение округи музея-заповедника ""Красная горка"" в культурно-развлекательную зону с разными атракциями для детей и взрослых; развитие системы ""умный город""")</f>
        <v>Крупное туристское событийное мероприятие (фестиваль), превращение округи музея-заповедника "Красная горка" в культурно-развлекательную зону с разными атракциями для детей и взрослых; развитие системы "умный город"</v>
      </c>
      <c r="AD1987" s="6" t="str">
        <f>IFERROR(__xludf.DUMMYFUNCTION("""COMPUTED_VALUE"""),"Профессионала.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f>
        <v>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v>
      </c>
      <c r="AE1987" s="6" t="str">
        <f>IFERROR(__xludf.DUMMYFUNCTION("""COMPUTED_VALUE"""),"Мужской")</f>
        <v>Мужской</v>
      </c>
      <c r="AF1987" s="6" t="str">
        <f>IFERROR(__xludf.DUMMYFUNCTION("""COMPUTED_VALUE"""),"45-55")</f>
        <v>45-55</v>
      </c>
      <c r="AG1987" s="6"/>
      <c r="AH1987" s="6"/>
      <c r="AI1987" s="6"/>
      <c r="AJ1987" s="6"/>
      <c r="AK1987" s="6"/>
      <c r="AL1987" s="6"/>
      <c r="AM1987" s="6"/>
    </row>
    <row r="1988">
      <c r="A1988" s="6">
        <v>1987.0</v>
      </c>
      <c r="B1988" s="6" t="str">
        <f>IFERROR(__xludf.DUMMYFUNCTION("""COMPUTED_VALUE"""),"Пенсионер ")</f>
        <v>Пенсионер </v>
      </c>
      <c r="C1988" s="6" t="str">
        <f>IFERROR(__xludf.DUMMYFUNCTION("""COMPUTED_VALUE"""),"Путешествие ")</f>
        <v>Путешествие </v>
      </c>
      <c r="D1988" s="6" t="str">
        <f>IFERROR(__xludf.DUMMYFUNCTION("""COMPUTED_VALUE"""),"Центр ")</f>
        <v>Центр </v>
      </c>
      <c r="E1988" s="6" t="str">
        <f>IFERROR(__xludf.DUMMYFUNCTION("""COMPUTED_VALUE"""),"Их много ")</f>
        <v>Их много </v>
      </c>
      <c r="F1988" s="6" t="str">
        <f>IFERROR(__xludf.DUMMYFUNCTION("""COMPUTED_VALUE"""),"Живу здесь с рождения")</f>
        <v>Живу здесь с рождения</v>
      </c>
      <c r="G1988" s="6" t="str">
        <f>IFERROR(__xludf.DUMMYFUNCTION("""COMPUTED_VALUE"""),"Набережная ")</f>
        <v>Набережная </v>
      </c>
      <c r="H1988" s="6" t="str">
        <f>IFERROR(__xludf.DUMMYFUNCTION("""COMPUTED_VALUE"""),"Родина")</f>
        <v>Родина</v>
      </c>
      <c r="I1988" s="6" t="str">
        <f>IFERROR(__xludf.DUMMYFUNCTION("""COMPUTED_VALUE"""),"Бобров")</f>
        <v>Бобров</v>
      </c>
      <c r="J1988" s="6" t="str">
        <f>IFERROR(__xludf.DUMMYFUNCTION("""COMPUTED_VALUE"""),"Михайлов")</f>
        <v>Михайлов</v>
      </c>
      <c r="K1988" s="6" t="str">
        <f>IFERROR(__xludf.DUMMYFUNCTION("""COMPUTED_VALUE"""),"Улица Весенняя")</f>
        <v>Улица Весенняя</v>
      </c>
      <c r="L1988" s="6" t="str">
        <f>IFERROR(__xludf.DUMMYFUNCTION("""COMPUTED_VALUE"""),"Не знаю ")</f>
        <v>Не знаю </v>
      </c>
      <c r="M1988" s="6" t="str">
        <f>IFERROR(__xludf.DUMMYFUNCTION("""COMPUTED_VALUE"""),"Нет")</f>
        <v>Нет</v>
      </c>
      <c r="N1988" s="6" t="str">
        <f>IFERROR(__xludf.DUMMYFUNCTION("""COMPUTED_VALUE"""),"Чистота комфорт уют логистика")</f>
        <v>Чистота комфорт уют логистика</v>
      </c>
      <c r="O1988" s="6" t="str">
        <f>IFERROR(__xludf.DUMMYFUNCTION("""COMPUTED_VALUE"""),"Не знаю ")</f>
        <v>Не знаю </v>
      </c>
      <c r="P1988" s="6" t="str">
        <f>IFERROR(__xludf.DUMMYFUNCTION("""COMPUTED_VALUE"""),"Интернет Инстограм ")</f>
        <v>Интернет Инстограм </v>
      </c>
      <c r="Q1988" s="6" t="str">
        <f>IFERROR(__xludf.DUMMYFUNCTION("""COMPUTED_VALUE"""),"куда пойти в свободное время, где вкусно поесть/открытие новых кафе/ресторанов, городская афиша (кино/театр/концерты)")</f>
        <v>куда пойти в свободное время, где вкусно поесть/открытие новых кафе/ресторанов, городская афиша (кино/театр/концерты)</v>
      </c>
      <c r="R1988" s="6" t="str">
        <f>IFERROR(__xludf.DUMMYFUNCTION("""COMPUTED_VALUE"""),"9мая")</f>
        <v>9мая</v>
      </c>
      <c r="S1988" s="6" t="str">
        <f>IFERROR(__xludf.DUMMYFUNCTION("""COMPUTED_VALUE"""),"Нет, не приходилось")</f>
        <v>Нет, не приходилось</v>
      </c>
      <c r="T1988" s="6" t="str">
        <f>IFERROR(__xludf.DUMMYFUNCTION("""COMPUTED_VALUE"""),"Гостеприимство ")</f>
        <v>Гостеприимство </v>
      </c>
      <c r="U1988" s="6" t="str">
        <f>IFERROR(__xludf.DUMMYFUNCTION("""COMPUTED_VALUE"""),"Драмтеатр ")</f>
        <v>Драмтеатр </v>
      </c>
      <c r="V1988" s="6" t="str">
        <f>IFERROR(__xludf.DUMMYFUNCTION("""COMPUTED_VALUE"""),"Затрудняюсь ")</f>
        <v>Затрудняюсь </v>
      </c>
      <c r="W1988" s="6" t="str">
        <f>IFERROR(__xludf.DUMMYFUNCTION("""COMPUTED_VALUE"""),"Добрый ")</f>
        <v>Добрый </v>
      </c>
      <c r="X1988" s="6" t="str">
        <f>IFERROR(__xludf.DUMMYFUNCTION("""COMPUTED_VALUE"""),"Улица Весенняя ")</f>
        <v>Улица Весенняя </v>
      </c>
      <c r="Y1988" s="6" t="str">
        <f>IFERROR(__xludf.DUMMYFUNCTION("""COMPUTED_VALUE"""),"Чемпионат мира по хоккею ")</f>
        <v>Чемпионат мира по хоккею </v>
      </c>
      <c r="Z1988" s="6" t="str">
        <f>IFERROR(__xludf.DUMMYFUNCTION("""COMPUTED_VALUE"""),"Строительство ")</f>
        <v>Строительство </v>
      </c>
      <c r="AA1988" s="6" t="str">
        <f>IFERROR(__xludf.DUMMYFUNCTION("""COMPUTED_VALUE"""),"Нет")</f>
        <v>Нет</v>
      </c>
      <c r="AB1988" s="6" t="str">
        <f>IFERROR(__xludf.DUMMYFUNCTION("""COMPUTED_VALUE"""),"Не знаю")</f>
        <v>Не знаю</v>
      </c>
      <c r="AC1988" s="6" t="str">
        <f>IFERROR(__xludf.DUMMYFUNCTION("""COMPUTED_VALUE"""),"Затрудняюсь ответить")</f>
        <v>Затрудняюсь ответить</v>
      </c>
      <c r="AD1988"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988" s="6" t="str">
        <f>IFERROR(__xludf.DUMMYFUNCTION("""COMPUTED_VALUE"""),"Мужской")</f>
        <v>Мужской</v>
      </c>
      <c r="AF1988" s="6" t="str">
        <f>IFERROR(__xludf.DUMMYFUNCTION("""COMPUTED_VALUE"""),"старше 55")</f>
        <v>старше 55</v>
      </c>
      <c r="AG1988" s="6"/>
      <c r="AH1988" s="6"/>
      <c r="AI1988" s="6"/>
      <c r="AJ1988" s="6"/>
      <c r="AK1988" s="6"/>
      <c r="AL1988" s="6"/>
      <c r="AM1988" s="6"/>
    </row>
    <row r="1989">
      <c r="A1989" s="6">
        <v>1988.0</v>
      </c>
      <c r="B1989" s="6" t="str">
        <f>IFERROR(__xludf.DUMMYFUNCTION("""COMPUTED_VALUE"""),"Рабочий")</f>
        <v>Рабочий</v>
      </c>
      <c r="C1989" s="6" t="str">
        <f>IFERROR(__xludf.DUMMYFUNCTION("""COMPUTED_VALUE"""),"Художественная литература, онлайн игры")</f>
        <v>Художественная литература, онлайн игры</v>
      </c>
      <c r="D1989" s="6" t="str">
        <f>IFERROR(__xludf.DUMMYFUNCTION("""COMPUTED_VALUE"""),"Центральный")</f>
        <v>Центральный</v>
      </c>
      <c r="E1989" s="6" t="str">
        <f>IFERROR(__xludf.DUMMYFUNCTION("""COMPUTED_VALUE"""),"Набережная, Сосновый бор")</f>
        <v>Набережная, Сосновый бор</v>
      </c>
      <c r="F1989" s="6" t="str">
        <f>IFERROR(__xludf.DUMMYFUNCTION("""COMPUTED_VALUE"""),"Живу здесь с рождения")</f>
        <v>Живу здесь с рождения</v>
      </c>
      <c r="G1989" s="6" t="str">
        <f>IFERROR(__xludf.DUMMYFUNCTION("""COMPUTED_VALUE"""),"Сосновый бор, Комсомольский парк")</f>
        <v>Сосновый бор, Комсомольский парк</v>
      </c>
      <c r="H1989" s="6" t="str">
        <f>IFERROR(__xludf.DUMMYFUNCTION("""COMPUTED_VALUE"""),"Смог, химия, Томь, шахтёр, хоккей с мячом")</f>
        <v>Смог, химия, Томь, шахтёр, хоккей с мячом</v>
      </c>
      <c r="I1989" s="6" t="str">
        <f>IFERROR(__xludf.DUMMYFUNCTION("""COMPUTED_VALUE"""),"Тулеев, Раздаев, Приставка")</f>
        <v>Тулеев, Раздаев, Приставка</v>
      </c>
      <c r="J1989" s="6" t="str">
        <f>IFERROR(__xludf.DUMMYFUNCTION("""COMPUTED_VALUE"""),"Сельский, Цивилев")</f>
        <v>Сельский, Цивилев</v>
      </c>
      <c r="K1989" s="6" t="str">
        <f>IFERROR(__xludf.DUMMYFUNCTION("""COMPUTED_VALUE"""),"Горсад, парк Жукова")</f>
        <v>Горсад, парк Жукова</v>
      </c>
      <c r="L1989" s="6" t="str">
        <f>IFERROR(__xludf.DUMMYFUNCTION("""COMPUTED_VALUE"""),"В армии в 1998  всех кемеровчан считали бандитами и наркоманами")</f>
        <v>В армии в 1998  всех кемеровчан считали бандитами и наркоманами</v>
      </c>
      <c r="M1989" s="6" t="str">
        <f>IFERROR(__xludf.DUMMYFUNCTION("""COMPUTED_VALUE"""),"Нет")</f>
        <v>Нет</v>
      </c>
      <c r="N1989" s="6" t="str">
        <f>IFERROR(__xludf.DUMMYFUNCTION("""COMPUTED_VALUE"""),"Общественный транспорт, чистый воздух, не разбитые дороги, чистая вода из крана, не криминализованное общество")</f>
        <v>Общественный транспорт, чистый воздух, не разбитые дороги, чистая вода из крана, не криминализованное общество</v>
      </c>
      <c r="O1989" s="6" t="str">
        <f>IFERROR(__xludf.DUMMYFUNCTION("""COMPUTED_VALUE"""),"Газифицировать частный сектор")</f>
        <v>Газифицировать частный сектор</v>
      </c>
      <c r="P1989" s="6" t="str">
        <f>IFERROR(__xludf.DUMMYFUNCTION("""COMPUTED_VALUE"""),"Интернет, паблики в контакте")</f>
        <v>Интернет, паблики в контакте</v>
      </c>
      <c r="Q1989" s="6" t="str">
        <f>IFERROR(__xludf.DUMMYFUNCTION("""COMPUTED_VALUE"""),"городская афиша (кино/театр/концерты), интервью с местными творческими личностями, Все официальные СМИ слишком долго согласовывают разрешённые темы и их новости устаревают")</f>
        <v>городская афиша (кино/театр/концерты), интервью с местными творческими личностями, Все официальные СМИ слишком долго согласовывают разрешённые темы и их новости устаревают</v>
      </c>
      <c r="R1989" s="6" t="str">
        <f>IFERROR(__xludf.DUMMYFUNCTION("""COMPUTED_VALUE"""),"Нет таких")</f>
        <v>Нет таких</v>
      </c>
      <c r="S1989" s="6" t="str">
        <f>IFERROR(__xludf.DUMMYFUNCTION("""COMPUTED_VALUE"""),"Обращался в редакции электронных городских СМИ")</f>
        <v>Обращался в редакции электронных городских СМИ</v>
      </c>
      <c r="T1989" s="6" t="str">
        <f>IFERROR(__xludf.DUMMYFUNCTION("""COMPUTED_VALUE"""),"Зимняя вишня, относительно удобное расположение транспортных магистралей (парелельные Октябрьский, Ленина, Сибиряков Гвардейцев) ")</f>
        <v>Зимняя вишня, относительно удобное расположение транспортных магистралей (парелельные Октябрьский, Ленина, Сибиряков Гвардейцев) </v>
      </c>
      <c r="U1989" s="6" t="str">
        <f>IFERROR(__xludf.DUMMYFUNCTION("""COMPUTED_VALUE"""),"Весенняя улица")</f>
        <v>Весенняя улица</v>
      </c>
      <c r="V1989" s="6" t="str">
        <f>IFERROR(__xludf.DUMMYFUNCTION("""COMPUTED_VALUE"""),"Не вырубили сосновый бор")</f>
        <v>Не вырубили сосновый бор</v>
      </c>
      <c r="W1989" s="6" t="str">
        <f>IFERROR(__xludf.DUMMYFUNCTION("""COMPUTED_VALUE"""),"Разные")</f>
        <v>Разные</v>
      </c>
      <c r="X1989" s="6" t="str">
        <f>IFERROR(__xludf.DUMMYFUNCTION("""COMPUTED_VALUE"""),"Химик, Кирова, горсад, набережная, парк победы, парк ангелов. ")</f>
        <v>Химик, Кирова, горсад, набережная, парк победы, парк ангелов. </v>
      </c>
      <c r="Y1989" s="6" t="str">
        <f>IFERROR(__xludf.DUMMYFUNCTION("""COMPUTED_VALUE"""),"Чемпионат мира по хоккею с мячом")</f>
        <v>Чемпионат мира по хоккею с мячом</v>
      </c>
      <c r="Z1989" s="6" t="str">
        <f>IFERROR(__xludf.DUMMYFUNCTION("""COMPUTED_VALUE"""),"Ремонт тротуаров в центре")</f>
        <v>Ремонт тротуаров в центре</v>
      </c>
      <c r="AA1989" s="6" t="str">
        <f>IFERROR(__xludf.DUMMYFUNCTION("""COMPUTED_VALUE"""),"Адвокат негодяев задавил женщину, елка за 18 миллионов")</f>
        <v>Адвокат негодяев задавил женщину, елка за 18 миллионов</v>
      </c>
      <c r="AB1989" s="6" t="str">
        <f>IFERROR(__xludf.DUMMYFUNCTION("""COMPUTED_VALUE"""),"Влияющих на принятия решений по рациональному расходованию бюджета")</f>
        <v>Влияющих на принятия решений по рациональному расходованию бюджета</v>
      </c>
      <c r="AC1989" s="6" t="str">
        <f>IFERROR(__xludf.DUMMYFUNCTION("""COMPUTED_VALUE"""),"Публичные (казни коррупционеров)-зачеркнуто# события, с участием публичных лиц смогут содействовать сплоченности")</f>
        <v>Публичные (казни коррупционеров)-зачеркнуто# события, с участием публичных лиц смогут содействовать сплоченности</v>
      </c>
      <c r="AD1989"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1989" s="6" t="str">
        <f>IFERROR(__xludf.DUMMYFUNCTION("""COMPUTED_VALUE"""),"Мужской")</f>
        <v>Мужской</v>
      </c>
      <c r="AF1989" s="6" t="str">
        <f>IFERROR(__xludf.DUMMYFUNCTION("""COMPUTED_VALUE"""),"30-44")</f>
        <v>30-44</v>
      </c>
      <c r="AG1989" s="6"/>
      <c r="AH1989" s="6"/>
      <c r="AI1989" s="6"/>
      <c r="AJ1989" s="6"/>
      <c r="AK1989" s="6"/>
      <c r="AL1989" s="6"/>
      <c r="AM1989" s="6"/>
    </row>
    <row r="1990">
      <c r="A1990" s="6">
        <v>1989.0</v>
      </c>
      <c r="B1990" s="6" t="str">
        <f>IFERROR(__xludf.DUMMYFUNCTION("""COMPUTED_VALUE"""),"Ногтевой сервис")</f>
        <v>Ногтевой сервис</v>
      </c>
      <c r="C1990" s="6" t="str">
        <f>IFERROR(__xludf.DUMMYFUNCTION("""COMPUTED_VALUE"""),"Моя работа")</f>
        <v>Моя работа</v>
      </c>
      <c r="D1990" s="6" t="str">
        <f>IFERROR(__xludf.DUMMYFUNCTION("""COMPUTED_VALUE"""),"Ленинский ")</f>
        <v>Ленинский </v>
      </c>
      <c r="E1990" s="6" t="str">
        <f>IFERROR(__xludf.DUMMYFUNCTION("""COMPUTED_VALUE"""),"Парк")</f>
        <v>Парк</v>
      </c>
      <c r="F1990" s="6" t="str">
        <f>IFERROR(__xludf.DUMMYFUNCTION("""COMPUTED_VALUE"""),"2007 год,приехала учиться и осталаст")</f>
        <v>2007 год,приехала учиться и осталаст</v>
      </c>
      <c r="G1990" s="6" t="str">
        <f>IFERROR(__xludf.DUMMYFUNCTION("""COMPUTED_VALUE"""),"Прогулки по паркам")</f>
        <v>Прогулки по паркам</v>
      </c>
      <c r="H1990" s="6" t="str">
        <f>IFERROR(__xludf.DUMMYFUNCTION("""COMPUTED_VALUE"""),"Красная горка, зимняя вишня,лесная поляна,томь,заводы")</f>
        <v>Красная горка, зимняя вишня,лесная поляна,томь,заводы</v>
      </c>
      <c r="I1990" s="6" t="str">
        <f>IFERROR(__xludf.DUMMYFUNCTION("""COMPUTED_VALUE"""),"Волков")</f>
        <v>Волков</v>
      </c>
      <c r="J1990" s="6" t="str">
        <f>IFERROR(__xludf.DUMMYFUNCTION("""COMPUTED_VALUE"""),"Гришковец")</f>
        <v>Гришковец</v>
      </c>
      <c r="K1990" s="6" t="str">
        <f>IFERROR(__xludf.DUMMYFUNCTION("""COMPUTED_VALUE"""),"Не знаю")</f>
        <v>Не знаю</v>
      </c>
      <c r="L1990" s="6" t="str">
        <f>IFERROR(__xludf.DUMMYFUNCTION("""COMPUTED_VALUE"""),"Нет ответа")</f>
        <v>Нет ответа</v>
      </c>
      <c r="M1990" s="6" t="str">
        <f>IFERROR(__xludf.DUMMYFUNCTION("""COMPUTED_VALUE"""),"Нет")</f>
        <v>Нет</v>
      </c>
      <c r="N1990" s="6" t="str">
        <f>IFERROR(__xludf.DUMMYFUNCTION("""COMPUTED_VALUE"""),"Затрудняюсь ответить ")</f>
        <v>Затрудняюсь ответить </v>
      </c>
      <c r="O1990" s="6" t="str">
        <f>IFERROR(__xludf.DUMMYFUNCTION("""COMPUTED_VALUE"""),"Экологию")</f>
        <v>Экологию</v>
      </c>
      <c r="P1990" s="6" t="str">
        <f>IFERROR(__xludf.DUMMYFUNCTION("""COMPUTED_VALUE"""),"Инстаграм")</f>
        <v>Инстаграм</v>
      </c>
      <c r="Q1990" s="6" t="str">
        <f>IFERROR(__xludf.DUMMYFUNCTION("""COMPUTED_VALUE"""),"куда пойти в свободное время, криминальные новости (происшествия/преступления), бизнес-новости (средний чек/рекламные акции/запуск новых предприятий)")</f>
        <v>куда пойти в свободное время, криминальные новости (происшествия/преступления), бизнес-новости (средний чек/рекламные акции/запуск новых предприятий)</v>
      </c>
      <c r="R1990" s="6" t="str">
        <f>IFERROR(__xludf.DUMMYFUNCTION("""COMPUTED_VALUE"""),"9 мая")</f>
        <v>9 мая</v>
      </c>
      <c r="S1990" s="6" t="str">
        <f>IFERROR(__xludf.DUMMYFUNCTION("""COMPUTED_VALUE"""),"Нет, не приходилось")</f>
        <v>Нет, не приходилось</v>
      </c>
      <c r="T1990" s="6" t="str">
        <f>IFERROR(__xludf.DUMMYFUNCTION("""COMPUTED_VALUE"""),"История угля")</f>
        <v>История угля</v>
      </c>
      <c r="U1990" s="6" t="str">
        <f>IFERROR(__xludf.DUMMYFUNCTION("""COMPUTED_VALUE"""),"Площадь Советов,Драматический театр")</f>
        <v>Площадь Советов,Драматический театр</v>
      </c>
      <c r="V1990" s="6" t="str">
        <f>IFERROR(__xludf.DUMMYFUNCTION("""COMPUTED_VALUE"""),"Затрудняюсь ответить ")</f>
        <v>Затрудняюсь ответить </v>
      </c>
      <c r="W1990" s="6" t="str">
        <f>IFERROR(__xludf.DUMMYFUNCTION("""COMPUTED_VALUE"""),"Торопливые")</f>
        <v>Торопливые</v>
      </c>
      <c r="X1990" s="6" t="str">
        <f>IFERROR(__xludf.DUMMYFUNCTION("""COMPUTED_VALUE"""),"Через площадь Пушкина на набережную, затем музей Красная горка")</f>
        <v>Через площадь Пушкина на набережную, затем музей Красная горка</v>
      </c>
      <c r="Y1990" s="6" t="str">
        <f>IFERROR(__xludf.DUMMYFUNCTION("""COMPUTED_VALUE"""),"-")</f>
        <v>-</v>
      </c>
      <c r="Z1990" s="6" t="str">
        <f>IFERROR(__xludf.DUMMYFUNCTION("""COMPUTED_VALUE"""),"Нашла свою любовь")</f>
        <v>Нашла свою любовь</v>
      </c>
      <c r="AA1990" s="6" t="str">
        <f>IFERROR(__xludf.DUMMYFUNCTION("""COMPUTED_VALUE"""),"Ухудшение экологической ситуации ")</f>
        <v>Ухудшение экологической ситуации </v>
      </c>
      <c r="AB1990" s="6" t="str">
        <f>IFERROR(__xludf.DUMMYFUNCTION("""COMPUTED_VALUE"""),"Магазинов известных брендов (zara и т.д.)")</f>
        <v>Магазинов известных брендов (zara и т.д.)</v>
      </c>
      <c r="AC1990" s="6" t="str">
        <f>IFERROR(__xludf.DUMMYFUNCTION("""COMPUTED_VALUE"""),"-")</f>
        <v>-</v>
      </c>
      <c r="AD1990" s="6" t="str">
        <f>IFERROR(__xludf.DUMMYFUNCTION("""COMPUTED_VALUE"""),"Профессионала.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f>
        <v>Профессионала. Обучать, проводить занятия, мастер-классы, лекции, тренинги, оказать консультацию (укажите тему в поле "Другое"), Запустить свой предпринимательский проект, организовать компанию.</v>
      </c>
      <c r="AE1990" s="6" t="str">
        <f>IFERROR(__xludf.DUMMYFUNCTION("""COMPUTED_VALUE"""),"Женский")</f>
        <v>Женский</v>
      </c>
      <c r="AF1990" s="6" t="str">
        <f>IFERROR(__xludf.DUMMYFUNCTION("""COMPUTED_VALUE"""),"30-44")</f>
        <v>30-44</v>
      </c>
      <c r="AG1990" s="6"/>
      <c r="AH1990" s="6"/>
      <c r="AI1990" s="6"/>
      <c r="AJ1990" s="6"/>
      <c r="AK1990" s="6"/>
      <c r="AL1990" s="6"/>
      <c r="AM1990" s="6"/>
    </row>
    <row r="1991">
      <c r="A1991" s="6">
        <v>1990.0</v>
      </c>
      <c r="B1991" s="6" t="str">
        <f>IFERROR(__xludf.DUMMYFUNCTION("""COMPUTED_VALUE"""),"директор")</f>
        <v>директор</v>
      </c>
      <c r="C1991" s="6" t="str">
        <f>IFERROR(__xludf.DUMMYFUNCTION("""COMPUTED_VALUE"""),"ломать")</f>
        <v>ломать</v>
      </c>
      <c r="D1991" s="6" t="str">
        <f>IFERROR(__xludf.DUMMYFUNCTION("""COMPUTED_VALUE"""),"кемерово")</f>
        <v>кемерово</v>
      </c>
      <c r="E1991" s="6" t="str">
        <f>IFERROR(__xludf.DUMMYFUNCTION("""COMPUTED_VALUE"""),"зимняя вишня")</f>
        <v>зимняя вишня</v>
      </c>
      <c r="F1991" s="6" t="str">
        <f>IFERROR(__xludf.DUMMYFUNCTION("""COMPUTED_VALUE"""),"Живу здесь с рождения")</f>
        <v>Живу здесь с рождения</v>
      </c>
      <c r="G1991" s="6" t="str">
        <f>IFERROR(__xludf.DUMMYFUNCTION("""COMPUTED_VALUE"""),"на работу")</f>
        <v>на работу</v>
      </c>
      <c r="H1991" s="6" t="str">
        <f>IFERROR(__xludf.DUMMYFUNCTION("""COMPUTED_VALUE"""),"помойка, бомжи, гвозди под ногами, закатать в асфальт, мало выхлопов с завода надо добавить.")</f>
        <v>помойка, бомжи, гвозди под ногами, закатать в асфальт, мало выхлопов с завода надо добавить.</v>
      </c>
      <c r="I1991" s="6" t="str">
        <f>IFERROR(__xludf.DUMMYFUNCTION("""COMPUTED_VALUE"""),"леонов, малышева, логинов.")</f>
        <v>леонов, малышева, логинов.</v>
      </c>
      <c r="J1991" s="6" t="str">
        <f>IFERROR(__xludf.DUMMYFUNCTION("""COMPUTED_VALUE"""),"нет таких")</f>
        <v>нет таких</v>
      </c>
      <c r="K1991" s="6" t="str">
        <f>IFERROR(__xludf.DUMMYFUNCTION("""COMPUTED_VALUE"""),"вокзал")</f>
        <v>вокзал</v>
      </c>
      <c r="L1991" s="6" t="str">
        <f>IFERROR(__xludf.DUMMYFUNCTION("""COMPUTED_VALUE"""),"не зная брода, не лезь в воду.")</f>
        <v>не зная брода, не лезь в воду.</v>
      </c>
      <c r="M1991" s="6" t="str">
        <f>IFERROR(__xludf.DUMMYFUNCTION("""COMPUTED_VALUE"""),"всё снести, законсервировать, отмолчаться.")</f>
        <v>всё снести, законсервировать, отмолчаться.</v>
      </c>
      <c r="N1991" s="6" t="str">
        <f>IFERROR(__xludf.DUMMYFUNCTION("""COMPUTED_VALUE"""),"просторы, мало людей, первозданная без цивилизации природа, нет производства, ничего не производим, полная стагнация. ")</f>
        <v>просторы, мало людей, первозданная без цивилизации природа, нет производства, ничего не производим, полная стагнация. </v>
      </c>
      <c r="O1991" s="6" t="str">
        <f>IFERROR(__xludf.DUMMYFUNCTION("""COMPUTED_VALUE"""),"всё снести, разровнять и закатать в асфальт.")</f>
        <v>всё снести, разровнять и закатать в асфальт.</v>
      </c>
      <c r="P1991" s="6" t="str">
        <f>IFERROR(__xludf.DUMMYFUNCTION("""COMPUTED_VALUE"""),"а что в городе что-то происходит?")</f>
        <v>а что в городе что-то происходит?</v>
      </c>
      <c r="Q1991" s="6" t="str">
        <f>IFERROR(__xludf.DUMMYFUNCTION("""COMPUTED_VALUE"""),"поспать")</f>
        <v>поспать</v>
      </c>
      <c r="R1991" s="6" t="str">
        <f>IFERROR(__xludf.DUMMYFUNCTION("""COMPUTED_VALUE"""),"похороны")</f>
        <v>похороны</v>
      </c>
      <c r="S1991" s="6" t="str">
        <f>IFERROR(__xludf.DUMMYFUNCTION("""COMPUTED_VALUE"""),"встряпывался")</f>
        <v>встряпывался</v>
      </c>
      <c r="T1991" s="6" t="str">
        <f>IFERROR(__xludf.DUMMYFUNCTION("""COMPUTED_VALUE"""),"уголь")</f>
        <v>уголь</v>
      </c>
      <c r="U1991" s="6" t="str">
        <f>IFERROR(__xludf.DUMMYFUNCTION("""COMPUTED_VALUE"""),"""швей. фабрика""")</f>
        <v>"швей. фабрика"</v>
      </c>
      <c r="V1991" s="6" t="str">
        <f>IFERROR(__xludf.DUMMYFUNCTION("""COMPUTED_VALUE"""),"уехать в Москву")</f>
        <v>уехать в Москву</v>
      </c>
      <c r="W1991" s="6" t="str">
        <f>IFERROR(__xludf.DUMMYFUNCTION("""COMPUTED_VALUE"""),"спокойные, дружелюбные, сильные духом.")</f>
        <v>спокойные, дружелюбные, сильные духом.</v>
      </c>
      <c r="X1991" s="6" t="str">
        <f>IFERROR(__xludf.DUMMYFUNCTION("""COMPUTED_VALUE"""),"на работу, с работы в магазин.")</f>
        <v>на работу, с работы в магазин.</v>
      </c>
      <c r="Y1991" s="6" t="str">
        <f>IFERROR(__xludf.DUMMYFUNCTION("""COMPUTED_VALUE"""),"зимняя вишня")</f>
        <v>зимняя вишня</v>
      </c>
      <c r="Z1991" s="6" t="str">
        <f>IFERROR(__xludf.DUMMYFUNCTION("""COMPUTED_VALUE"""),"тайком сделали зимнюю вишню")</f>
        <v>тайком сделали зимнюю вишню</v>
      </c>
      <c r="AA1991" s="6" t="str">
        <f>IFERROR(__xludf.DUMMYFUNCTION("""COMPUTED_VALUE"""),"снег на пешеходных тропинках.")</f>
        <v>снег на пешеходных тропинках.</v>
      </c>
      <c r="AB1991" s="6" t="str">
        <f>IFERROR(__xludf.DUMMYFUNCTION("""COMPUTED_VALUE"""),"товарищества собственников жилья.")</f>
        <v>товарищества собственников жилья.</v>
      </c>
      <c r="AC1991" s="6" t="str">
        <f>IFERROR(__xludf.DUMMYFUNCTION("""COMPUTED_VALUE"""),"снос ветхого жилья.")</f>
        <v>снос ветхого жилья.</v>
      </c>
      <c r="AD1991" s="6" t="str">
        <f>IFERROR(__xludf.DUMMYFUNCTION("""COMPUTED_VALUE"""),"объяснить жителям города Кемерово, что пора уезжать в другой город.")</f>
        <v>объяснить жителям города Кемерово, что пора уезжать в другой город.</v>
      </c>
      <c r="AE1991" s="6" t="str">
        <f>IFERROR(__xludf.DUMMYFUNCTION("""COMPUTED_VALUE"""),"Мужской")</f>
        <v>Мужской</v>
      </c>
      <c r="AF1991" s="6" t="str">
        <f>IFERROR(__xludf.DUMMYFUNCTION("""COMPUTED_VALUE"""),"старше 55")</f>
        <v>старше 55</v>
      </c>
      <c r="AG1991" s="6"/>
      <c r="AH1991" s="6"/>
      <c r="AI1991" s="6"/>
      <c r="AJ1991" s="6"/>
      <c r="AK1991" s="6"/>
      <c r="AL1991" s="6"/>
      <c r="AM1991" s="6"/>
    </row>
    <row r="1992">
      <c r="A1992" s="6">
        <v>1991.0</v>
      </c>
      <c r="B1992" s="6" t="str">
        <f>IFERROR(__xludf.DUMMYFUNCTION("""COMPUTED_VALUE"""),"Работаю")</f>
        <v>Работаю</v>
      </c>
      <c r="C1992" s="6" t="str">
        <f>IFERROR(__xludf.DUMMYFUNCTION("""COMPUTED_VALUE"""),"Нет")</f>
        <v>Нет</v>
      </c>
      <c r="D1992" s="6" t="str">
        <f>IFERROR(__xludf.DUMMYFUNCTION("""COMPUTED_VALUE"""),"Рудничный, Радуга")</f>
        <v>Рудничный, Радуга</v>
      </c>
      <c r="E1992" s="6" t="str">
        <f>IFERROR(__xludf.DUMMYFUNCTION("""COMPUTED_VALUE"""),"Их не перечесть")</f>
        <v>Их не перечесть</v>
      </c>
      <c r="F1992" s="6" t="str">
        <f>IFERROR(__xludf.DUMMYFUNCTION("""COMPUTED_VALUE"""),"Живу здесь с рождения")</f>
        <v>Живу здесь с рождения</v>
      </c>
      <c r="G1992" s="6" t="str">
        <f>IFERROR(__xludf.DUMMYFUNCTION("""COMPUTED_VALUE"""),"В магазин")</f>
        <v>В магазин</v>
      </c>
      <c r="H1992" s="6" t="str">
        <f>IFERROR(__xludf.DUMMYFUNCTION("""COMPUTED_VALUE"""),"Пи-пи-пи")</f>
        <v>Пи-пи-пи</v>
      </c>
      <c r="I1992" s="6" t="str">
        <f>IFERROR(__xludf.DUMMYFUNCTION("""COMPUTED_VALUE"""),"Михайло")</f>
        <v>Михайло</v>
      </c>
      <c r="J1992" s="6" t="str">
        <f>IFERROR(__xludf.DUMMYFUNCTION("""COMPUTED_VALUE"""),"Аман")</f>
        <v>Аман</v>
      </c>
      <c r="K1992" s="6" t="str">
        <f>IFERROR(__xludf.DUMMYFUNCTION("""COMPUTED_VALUE"""),"Тайга, в смысле не населённый пункт")</f>
        <v>Тайга, в смысле не населённый пункт</v>
      </c>
      <c r="L1992" s="6" t="str">
        <f>IFERROR(__xludf.DUMMYFUNCTION("""COMPUTED_VALUE"""),"Мы с приятелем вдвоём работали на дизеле, он лопух и я лопух, у нас теплушку украли!")</f>
        <v>Мы с приятелем вдвоём работали на дизеле, он лопух и я лопух, у нас теплушку украли!</v>
      </c>
      <c r="M1992" s="6" t="str">
        <f>IFERROR(__xludf.DUMMYFUNCTION("""COMPUTED_VALUE"""),"Нет")</f>
        <v>Нет</v>
      </c>
      <c r="N1992" s="6" t="str">
        <f>IFERROR(__xludf.DUMMYFUNCTION("""COMPUTED_VALUE"""),"Их нет")</f>
        <v>Их нет</v>
      </c>
      <c r="O1992" s="6" t="str">
        <f>IFERROR(__xludf.DUMMYFUNCTION("""COMPUTED_VALUE"""),"Всё")</f>
        <v>Всё</v>
      </c>
      <c r="P1992" s="6" t="str">
        <f>IFERROR(__xludf.DUMMYFUNCTION("""COMPUTED_VALUE"""),"Здесь ничего интересного не происходит")</f>
        <v>Здесь ничего интересного не происходит</v>
      </c>
      <c r="Q1992" s="6" t="str">
        <f>IFERROR(__xludf.DUMMYFUNCTION("""COMPUTED_VALUE"""),"Их нет")</f>
        <v>Их нет</v>
      </c>
      <c r="R1992" s="6" t="str">
        <f>IFERROR(__xludf.DUMMYFUNCTION("""COMPUTED_VALUE"""),"День шахтёра")</f>
        <v>День шахтёра</v>
      </c>
      <c r="S1992" s="6" t="str">
        <f>IFERROR(__xludf.DUMMYFUNCTION("""COMPUTED_VALUE"""),"Нет, не приходилось")</f>
        <v>Нет, не приходилось</v>
      </c>
      <c r="T1992" s="6" t="str">
        <f>IFERROR(__xludf.DUMMYFUNCTION("""COMPUTED_VALUE"""),"Фраза из фильма: Кузбасс-всесоюзная кузница.")</f>
        <v>Фраза из фильма: Кузбасс-всесоюзная кузница.</v>
      </c>
      <c r="U1992" s="6" t="str">
        <f>IFERROR(__xludf.DUMMYFUNCTION("""COMPUTED_VALUE"""),"Шахта Центральная")</f>
        <v>Шахта Центральная</v>
      </c>
      <c r="V1992" s="6" t="str">
        <f>IFERROR(__xludf.DUMMYFUNCTION("""COMPUTED_VALUE"""),"Сделали всё, что смогли")</f>
        <v>Сделали всё, что смогли</v>
      </c>
      <c r="W1992" s="6" t="str">
        <f>IFERROR(__xludf.DUMMYFUNCTION("""COMPUTED_VALUE"""),"Такие же как все, марсиан здесь нет")</f>
        <v>Такие же как все, марсиан здесь нет</v>
      </c>
      <c r="X1992" s="6" t="str">
        <f>IFERROR(__xludf.DUMMYFUNCTION("""COMPUTED_VALUE"""),"Спать")</f>
        <v>Спать</v>
      </c>
      <c r="Y1992" s="6" t="str">
        <f>IFERROR(__xludf.DUMMYFUNCTION("""COMPUTED_VALUE"""),"Открытие памятника В. И. Ленину")</f>
        <v>Открытие памятника В. И. Ленину</v>
      </c>
      <c r="Z1992" s="6" t="str">
        <f>IFERROR(__xludf.DUMMYFUNCTION("""COMPUTED_VALUE"""),"Никаких")</f>
        <v>Никаких</v>
      </c>
      <c r="AA1992" s="6" t="str">
        <f>IFERROR(__xludf.DUMMYFUNCTION("""COMPUTED_VALUE"""),"Никакие")</f>
        <v>Никакие</v>
      </c>
      <c r="AB1992" s="6" t="str">
        <f>IFERROR(__xludf.DUMMYFUNCTION("""COMPUTED_VALUE"""),"Никаких")</f>
        <v>Никаких</v>
      </c>
      <c r="AC1992" s="6" t="str">
        <f>IFERROR(__xludf.DUMMYFUNCTION("""COMPUTED_VALUE"""),"Их не перечесть")</f>
        <v>Их не перечесть</v>
      </c>
      <c r="AD1992" s="6" t="str">
        <f>IFERROR(__xludf.DUMMYFUNCTION("""COMPUTED_VALUE"""),"*")</f>
        <v>*</v>
      </c>
      <c r="AE1992" s="6" t="str">
        <f>IFERROR(__xludf.DUMMYFUNCTION("""COMPUTED_VALUE"""),"Мужской")</f>
        <v>Мужской</v>
      </c>
      <c r="AF1992" s="6" t="str">
        <f>IFERROR(__xludf.DUMMYFUNCTION("""COMPUTED_VALUE"""),"45-55")</f>
        <v>45-55</v>
      </c>
      <c r="AG1992" s="6"/>
      <c r="AH1992" s="6"/>
      <c r="AI1992" s="6"/>
      <c r="AJ1992" s="6"/>
      <c r="AK1992" s="6"/>
      <c r="AL1992" s="6"/>
      <c r="AM1992" s="6"/>
    </row>
    <row r="1993">
      <c r="A1993" s="6">
        <v>1992.0</v>
      </c>
      <c r="B1993" s="6" t="str">
        <f>IFERROR(__xludf.DUMMYFUNCTION("""COMPUTED_VALUE"""),"Торговля, работаю в ювелирном салоне")</f>
        <v>Торговля, работаю в ювелирном салоне</v>
      </c>
      <c r="C1993" s="6" t="str">
        <f>IFERROR(__xludf.DUMMYFUNCTION("""COMPUTED_VALUE"""),"Спорт")</f>
        <v>Спорт</v>
      </c>
      <c r="D1993" s="6" t="str">
        <f>IFERROR(__xludf.DUMMYFUNCTION("""COMPUTED_VALUE"""),"Рудничный,радуга")</f>
        <v>Рудничный,радуга</v>
      </c>
      <c r="E1993" s="6" t="str">
        <f>IFERROR(__xludf.DUMMYFUNCTION("""COMPUTED_VALUE"""),"Парк ангелов, веры Волошиной ")</f>
        <v>Парк ангелов, веры Волошиной </v>
      </c>
      <c r="F1993" s="6" t="str">
        <f>IFERROR(__xludf.DUMMYFUNCTION("""COMPUTED_VALUE"""),"Живу здесь с рождения")</f>
        <v>Живу здесь с рождения</v>
      </c>
      <c r="G1993" s="6" t="str">
        <f>IFERROR(__xludf.DUMMYFUNCTION("""COMPUTED_VALUE"""),"Бульвар строителей")</f>
        <v>Бульвар строителей</v>
      </c>
      <c r="H1993" s="6" t="str">
        <f>IFERROR(__xludf.DUMMYFUNCTION("""COMPUTED_VALUE"""),"Уголь,холод, пробки, Томь, детство")</f>
        <v>Уголь,холод, пробки, Томь, детство</v>
      </c>
      <c r="I1993" s="6" t="str">
        <f>IFERROR(__xludf.DUMMYFUNCTION("""COMPUTED_VALUE"""),"Александр Антипов, Михаил Волков, вера Волошина")</f>
        <v>Александр Антипов, Михаил Волков, вера Волошина</v>
      </c>
      <c r="J1993" s="6" t="str">
        <f>IFERROR(__xludf.DUMMYFUNCTION("""COMPUTED_VALUE"""),"Теперь уже затрудняюсь ответить")</f>
        <v>Теперь уже затрудняюсь ответить</v>
      </c>
      <c r="K1993" s="6" t="str">
        <f>IFERROR(__xludf.DUMMYFUNCTION("""COMPUTED_VALUE"""),"Парк ангелов, набережная, кадетский корпус,всё!")</f>
        <v>Парк ангелов, набережная, кадетский корпус,всё!</v>
      </c>
      <c r="L1993" s="6" t="str">
        <f>IFERROR(__xludf.DUMMYFUNCTION("""COMPUTED_VALUE"""),"Нет")</f>
        <v>Нет</v>
      </c>
      <c r="M1993" s="6" t="str">
        <f>IFERROR(__xludf.DUMMYFUNCTION("""COMPUTED_VALUE"""),"Нет")</f>
        <v>Нет</v>
      </c>
      <c r="N1993" s="6" t="str">
        <f>IFERROR(__xludf.DUMMYFUNCTION("""COMPUTED_VALUE"""),"Хорошие дороги, минимум пробок, благоустройство дворовых территорий, достойные заработные оплаты труда, доступная медицина и образование, разумные оплата ЖКХ")</f>
        <v>Хорошие дороги, минимум пробок, благоустройство дворовых территорий, достойные заработные оплаты труда, доступная медицина и образование, разумные оплата ЖКХ</v>
      </c>
      <c r="O1993" s="6" t="str">
        <f>IFERROR(__xludf.DUMMYFUNCTION("""COMPUTED_VALUE"""),"Разгрузить дорожное движение ")</f>
        <v>Разгрузить дорожное движение </v>
      </c>
      <c r="P1993" s="6" t="str">
        <f>IFERROR(__xludf.DUMMYFUNCTION("""COMPUTED_VALUE"""),"Инстаграм")</f>
        <v>Инстаграм</v>
      </c>
      <c r="Q1993" s="6" t="str">
        <f>IFERROR(__xludf.DUMMYFUNCTION("""COMPUTED_VALUE"""),"городская афиша (кино/театр/концерты), криминальные новости (происшествия/преступления), новости про новые профессии/куда поступать/вакансии")</f>
        <v>городская афиша (кино/театр/концерты), криминальные новости (происшествия/преступления), новости про новые профессии/куда поступать/вакансии</v>
      </c>
      <c r="R1993" s="6" t="str">
        <f>IFERROR(__xludf.DUMMYFUNCTION("""COMPUTED_VALUE"""),"9 мая, новый год, 1 июня ")</f>
        <v>9 мая, новый год, 1 июня </v>
      </c>
      <c r="S1993" s="6" t="str">
        <f>IFERROR(__xludf.DUMMYFUNCTION("""COMPUTED_VALUE"""),"Нет, не приходилось")</f>
        <v>Нет, не приходилось</v>
      </c>
      <c r="T1993" s="6" t="str">
        <f>IFERROR(__xludf.DUMMYFUNCTION("""COMPUTED_VALUE"""),"затрудняюсь ответить в уникальности города")</f>
        <v>затрудняюсь ответить в уникальности города</v>
      </c>
      <c r="U1993" s="6" t="str">
        <f>IFERROR(__xludf.DUMMYFUNCTION("""COMPUTED_VALUE"""),"Площадь советов")</f>
        <v>Площадь советов</v>
      </c>
      <c r="V1993" s="6" t="str">
        <f>IFERROR(__xludf.DUMMYFUNCTION("""COMPUTED_VALUE"""),"Не знаю")</f>
        <v>Не знаю</v>
      </c>
      <c r="W1993" s="6" t="str">
        <f>IFERROR(__xludf.DUMMYFUNCTION("""COMPUTED_VALUE"""),"Разные")</f>
        <v>Разные</v>
      </c>
      <c r="X1993" s="6" t="str">
        <f>IFERROR(__xludf.DUMMYFUNCTION("""COMPUTED_VALUE"""),"Парк ангелов, горсад, набережная, весенняя и всё")</f>
        <v>Парк ангелов, горсад, набережная, весенняя и всё</v>
      </c>
      <c r="Y1993" s="6" t="str">
        <f>IFERROR(__xludf.DUMMYFUNCTION("""COMPUTED_VALUE"""),"Затрудняюсь с ответом")</f>
        <v>Затрудняюсь с ответом</v>
      </c>
      <c r="Z1993" s="6" t="str">
        <f>IFERROR(__xludf.DUMMYFUNCTION("""COMPUTED_VALUE"""),"Нет ")</f>
        <v>Нет </v>
      </c>
      <c r="AA1993" s="6" t="str">
        <f>IFERROR(__xludf.DUMMYFUNCTION("""COMPUTED_VALUE"""),"Короновирус")</f>
        <v>Короновирус</v>
      </c>
      <c r="AB1993" s="6" t="str">
        <f>IFERROR(__xludf.DUMMYFUNCTION("""COMPUTED_VALUE"""),"Без понятия")</f>
        <v>Без понятия</v>
      </c>
      <c r="AC1993" s="6" t="str">
        <f>IFERROR(__xludf.DUMMYFUNCTION("""COMPUTED_VALUE"""),"Больше развлекательных программ в городе")</f>
        <v>Больше развлекательных программ в городе</v>
      </c>
      <c r="AD1993"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993" s="6" t="str">
        <f>IFERROR(__xludf.DUMMYFUNCTION("""COMPUTED_VALUE"""),"Женский")</f>
        <v>Женский</v>
      </c>
      <c r="AF1993" s="6" t="str">
        <f>IFERROR(__xludf.DUMMYFUNCTION("""COMPUTED_VALUE"""),"30-44")</f>
        <v>30-44</v>
      </c>
      <c r="AG1993" s="6"/>
      <c r="AH1993" s="6"/>
      <c r="AI1993" s="6"/>
      <c r="AJ1993" s="6"/>
      <c r="AK1993" s="6"/>
      <c r="AL1993" s="6"/>
      <c r="AM1993" s="6"/>
    </row>
    <row r="1994">
      <c r="A1994" s="6">
        <v>1993.0</v>
      </c>
      <c r="B1994" s="6" t="str">
        <f>IFERROR(__xludf.DUMMYFUNCTION("""COMPUTED_VALUE"""),"Торговля, работаю в ювелирном салоне")</f>
        <v>Торговля, работаю в ювелирном салоне</v>
      </c>
      <c r="C1994" s="6" t="str">
        <f>IFERROR(__xludf.DUMMYFUNCTION("""COMPUTED_VALUE"""),"Спорт")</f>
        <v>Спорт</v>
      </c>
      <c r="D1994" s="6" t="str">
        <f>IFERROR(__xludf.DUMMYFUNCTION("""COMPUTED_VALUE"""),"Рудничный,радуга")</f>
        <v>Рудничный,радуга</v>
      </c>
      <c r="E1994" s="6" t="str">
        <f>IFERROR(__xludf.DUMMYFUNCTION("""COMPUTED_VALUE"""),"Парк ангелов, веры Волошиной ")</f>
        <v>Парк ангелов, веры Волошиной </v>
      </c>
      <c r="F1994" s="6" t="str">
        <f>IFERROR(__xludf.DUMMYFUNCTION("""COMPUTED_VALUE"""),"Живу здесь с рождения")</f>
        <v>Живу здесь с рождения</v>
      </c>
      <c r="G1994" s="6" t="str">
        <f>IFERROR(__xludf.DUMMYFUNCTION("""COMPUTED_VALUE"""),"Бульвар строителей")</f>
        <v>Бульвар строителей</v>
      </c>
      <c r="H1994" s="6" t="str">
        <f>IFERROR(__xludf.DUMMYFUNCTION("""COMPUTED_VALUE"""),"Уголь,холод, пробки, Томь, детство")</f>
        <v>Уголь,холод, пробки, Томь, детство</v>
      </c>
      <c r="I1994" s="6" t="str">
        <f>IFERROR(__xludf.DUMMYFUNCTION("""COMPUTED_VALUE"""),"Александр Антипов, Михаил Волков, вера Волошина")</f>
        <v>Александр Антипов, Михаил Волков, вера Волошина</v>
      </c>
      <c r="J1994" s="6" t="str">
        <f>IFERROR(__xludf.DUMMYFUNCTION("""COMPUTED_VALUE"""),"Теперь уже затрудняюсь ответить")</f>
        <v>Теперь уже затрудняюсь ответить</v>
      </c>
      <c r="K1994" s="6" t="str">
        <f>IFERROR(__xludf.DUMMYFUNCTION("""COMPUTED_VALUE"""),"Парк ангелов, набережная, кадетский корпус,всё!")</f>
        <v>Парк ангелов, набережная, кадетский корпус,всё!</v>
      </c>
      <c r="L1994" s="6" t="str">
        <f>IFERROR(__xludf.DUMMYFUNCTION("""COMPUTED_VALUE"""),"Нет")</f>
        <v>Нет</v>
      </c>
      <c r="M1994" s="6" t="str">
        <f>IFERROR(__xludf.DUMMYFUNCTION("""COMPUTED_VALUE"""),"Нет")</f>
        <v>Нет</v>
      </c>
      <c r="N1994" s="6" t="str">
        <f>IFERROR(__xludf.DUMMYFUNCTION("""COMPUTED_VALUE"""),"Хорошие дороги, минимум пробок, благоустройство дворовых территорий, достойные заработные оплаты труда, доступная медицина и образование, разумные оплата ЖКХ")</f>
        <v>Хорошие дороги, минимум пробок, благоустройство дворовых территорий, достойные заработные оплаты труда, доступная медицина и образование, разумные оплата ЖКХ</v>
      </c>
      <c r="O1994" s="6" t="str">
        <f>IFERROR(__xludf.DUMMYFUNCTION("""COMPUTED_VALUE"""),"Разгрузить дорожное движение ")</f>
        <v>Разгрузить дорожное движение </v>
      </c>
      <c r="P1994" s="6" t="str">
        <f>IFERROR(__xludf.DUMMYFUNCTION("""COMPUTED_VALUE"""),"Инстаграм")</f>
        <v>Инстаграм</v>
      </c>
      <c r="Q1994" s="6" t="str">
        <f>IFERROR(__xludf.DUMMYFUNCTION("""COMPUTED_VALUE"""),"городская афиша (кино/театр/концерты), криминальные новости (происшествия/преступления), новости про новые профессии/куда поступать/вакансии")</f>
        <v>городская афиша (кино/театр/концерты), криминальные новости (происшествия/преступления), новости про новые профессии/куда поступать/вакансии</v>
      </c>
      <c r="R1994" s="6" t="str">
        <f>IFERROR(__xludf.DUMMYFUNCTION("""COMPUTED_VALUE"""),"9 мая, новый год, 1 июня ")</f>
        <v>9 мая, новый год, 1 июня </v>
      </c>
      <c r="S1994" s="6" t="str">
        <f>IFERROR(__xludf.DUMMYFUNCTION("""COMPUTED_VALUE"""),"Нет, не приходилось")</f>
        <v>Нет, не приходилось</v>
      </c>
      <c r="T1994" s="6" t="str">
        <f>IFERROR(__xludf.DUMMYFUNCTION("""COMPUTED_VALUE"""),"затрудняюсь ответить в уникальности города")</f>
        <v>затрудняюсь ответить в уникальности города</v>
      </c>
      <c r="U1994" s="6" t="str">
        <f>IFERROR(__xludf.DUMMYFUNCTION("""COMPUTED_VALUE"""),"Площадь советов")</f>
        <v>Площадь советов</v>
      </c>
      <c r="V1994" s="6" t="str">
        <f>IFERROR(__xludf.DUMMYFUNCTION("""COMPUTED_VALUE"""),"Не знаю")</f>
        <v>Не знаю</v>
      </c>
      <c r="W1994" s="6" t="str">
        <f>IFERROR(__xludf.DUMMYFUNCTION("""COMPUTED_VALUE"""),"Разные")</f>
        <v>Разные</v>
      </c>
      <c r="X1994" s="6" t="str">
        <f>IFERROR(__xludf.DUMMYFUNCTION("""COMPUTED_VALUE"""),"Парк ангелов, горсад, набережная, весенняя и всё")</f>
        <v>Парк ангелов, горсад, набережная, весенняя и всё</v>
      </c>
      <c r="Y1994" s="6" t="str">
        <f>IFERROR(__xludf.DUMMYFUNCTION("""COMPUTED_VALUE"""),"Затрудняюсь с ответом")</f>
        <v>Затрудняюсь с ответом</v>
      </c>
      <c r="Z1994" s="6" t="str">
        <f>IFERROR(__xludf.DUMMYFUNCTION("""COMPUTED_VALUE"""),"Нет ")</f>
        <v>Нет </v>
      </c>
      <c r="AA1994" s="6" t="str">
        <f>IFERROR(__xludf.DUMMYFUNCTION("""COMPUTED_VALUE"""),"Короновирус")</f>
        <v>Короновирус</v>
      </c>
      <c r="AB1994" s="6" t="str">
        <f>IFERROR(__xludf.DUMMYFUNCTION("""COMPUTED_VALUE"""),"Без понятия")</f>
        <v>Без понятия</v>
      </c>
      <c r="AC1994" s="6" t="str">
        <f>IFERROR(__xludf.DUMMYFUNCTION("""COMPUTED_VALUE"""),"Больше развлекательных программ в городе")</f>
        <v>Больше развлекательных программ в городе</v>
      </c>
      <c r="AD199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f>
        <v>Организатора. Собрать соседей/знакомых для обсуждения и решения районных и городских проблем, собрать подписи, поучаствовать в организации.</v>
      </c>
      <c r="AE1994" s="6" t="str">
        <f>IFERROR(__xludf.DUMMYFUNCTION("""COMPUTED_VALUE"""),"Женский")</f>
        <v>Женский</v>
      </c>
      <c r="AF1994" s="6" t="str">
        <f>IFERROR(__xludf.DUMMYFUNCTION("""COMPUTED_VALUE"""),"30-44")</f>
        <v>30-44</v>
      </c>
      <c r="AG1994" s="6"/>
      <c r="AH1994" s="6"/>
      <c r="AI1994" s="6"/>
      <c r="AJ1994" s="6"/>
      <c r="AK1994" s="6"/>
      <c r="AL1994" s="6"/>
      <c r="AM1994" s="6"/>
    </row>
    <row r="1995">
      <c r="A1995" s="6">
        <v>1994.0</v>
      </c>
      <c r="B1995" s="6" t="str">
        <f>IFERROR(__xludf.DUMMYFUNCTION("""COMPUTED_VALUE"""),"Преподаватель вуза")</f>
        <v>Преподаватель вуза</v>
      </c>
      <c r="C1995" s="6" t="str">
        <f>IFERROR(__xludf.DUMMYFUNCTION("""COMPUTED_VALUE"""),"Пение, танцы")</f>
        <v>Пение, танцы</v>
      </c>
      <c r="D1995" s="6" t="str">
        <f>IFERROR(__xludf.DUMMYFUNCTION("""COMPUTED_VALUE"""),"Рудничный. Радуга")</f>
        <v>Рудничный. Радуга</v>
      </c>
      <c r="E1995" s="6" t="str">
        <f>IFERROR(__xludf.DUMMYFUNCTION("""COMPUTED_VALUE"""),"Бор, Сосновый Бор, ТЦ Радуга, площадка рядом с Радугой, кафе «Первая кондитерская»")</f>
        <v>Бор, Сосновый Бор, ТЦ Радуга, площадка рядом с Радугой, кафе «Первая кондитерская»</v>
      </c>
      <c r="F1995" s="6" t="str">
        <f>IFERROR(__xludf.DUMMYFUNCTION("""COMPUTED_VALUE"""),"Переехал сюда из другого места (откуда? укажите в графе другое), Топки")</f>
        <v>Переехал сюда из другого места (откуда? укажите в графе другое), Топки</v>
      </c>
      <c r="G1995" s="6" t="str">
        <f>IFERROR(__xludf.DUMMYFUNCTION("""COMPUTED_VALUE"""),"Набережная, площадь Советов, Весенняя, Томская Писаница, музей ИЗО, Дом Художников, гуляю по проспекту Шахтеров, Театр кукол, Мемориал шахтеров, Парк Чудес, театр Боброва, сосновый Бор, крест ")</f>
        <v>Набережная, площадь Советов, Весенняя, Томская Писаница, музей ИЗО, Дом Художников, гуляю по проспекту Шахтеров, Театр кукол, Мемориал шахтеров, Парк Чудес, театр Боброва, сосновый Бор, крест </v>
      </c>
      <c r="H1995" s="6" t="str">
        <f>IFERROR(__xludf.DUMMYFUNCTION("""COMPUTED_VALUE"""),"Контрастный. Есть очень красивые места, отходишь в сторону - грязь и разруха. Спокойный. Приятный. ")</f>
        <v>Контрастный. Есть очень красивые места, отходишь в сторону - грязь и разруха. Спокойный. Приятный. </v>
      </c>
      <c r="I1995" s="6" t="str">
        <f>IFERROR(__xludf.DUMMYFUNCTION("""COMPUTED_VALUE"""),"Вера Волошина, Юрий Двужильный, Бобров, Рутгерс, Алексей Леонов, Михайло Волков")</f>
        <v>Вера Волошина, Юрий Двужильный, Бобров, Рутгерс, Алексей Леонов, Михайло Волков</v>
      </c>
      <c r="J1995" s="6" t="str">
        <f>IFERROR(__xludf.DUMMYFUNCTION("""COMPUTED_VALUE"""),"Евгений Гришковец, Аман Тулеев, Владимир Волчек (для КемГУ), Шер Яков Абрамович (для археологии) ")</f>
        <v>Евгений Гришковец, Аман Тулеев, Владимир Волчек (для КемГУ), Шер Яков Абрамович (для археологии) </v>
      </c>
      <c r="K1995" s="6" t="str">
        <f>IFERROR(__xludf.DUMMYFUNCTION("""COMPUTED_VALUE"""),"Томскую Писаницу, набережную, космонавтов на набережной с Белкой и Стрелкой, мемориал Шахтерам, мне очень нравится Сосновый Бор, но он совсем плохо выглядит с точки зрения новизны и удобства. Хотя там так здорово гулять. ")</f>
        <v>Томскую Писаницу, набережную, космонавтов на набережной с Белкой и Стрелкой, мемориал Шахтерам, мне очень нравится Сосновый Бор, но он совсем плохо выглядит с точки зрения новизны и удобства. Хотя там так здорово гулять. </v>
      </c>
      <c r="L1995" s="6" t="str">
        <f>IFERROR(__xludf.DUMMYFUNCTION("""COMPUTED_VALUE"""),"Песня Гребенщикова «Человек из Кемерова»")</f>
        <v>Песня Гребенщикова «Человек из Кемерова»</v>
      </c>
      <c r="M1995" s="6" t="str">
        <f>IFERROR(__xludf.DUMMYFUNCTION("""COMPUTED_VALUE"""),"Радуга про Рудничный, ехать на бульвар (чаще про бульвар Строителей, хотя есть ещё бульвары) «встретимся у Драмы» про Драмтеатр. ")</f>
        <v>Радуга про Рудничный, ехать на бульвар (чаще про бульвар Строителей, хотя есть ещё бульвары) «встретимся у Драмы» про Драмтеатр. </v>
      </c>
      <c r="N1995" s="6" t="str">
        <f>IFERROR(__xludf.DUMMYFUNCTION("""COMPUTED_VALUE"""),"Ровные дороги, наличие безопасных тротуаров везде, отсутствие грязи, современные парки и площадки для детей, пандусы для колясок и детей, и инвалидов везде. ")</f>
        <v>Ровные дороги, наличие безопасных тротуаров везде, отсутствие грязи, современные парки и площадки для детей, пандусы для колясок и детей, и инвалидов везде. </v>
      </c>
      <c r="O1995" s="6" t="str">
        <f>IFERROR(__xludf.DUMMYFUNCTION("""COMPUTED_VALUE"""),"Сделать Сосновый Бор таким же красивым как парк Ангелов")</f>
        <v>Сделать Сосновый Бор таким же красивым как парк Ангелов</v>
      </c>
      <c r="P1995" s="6" t="str">
        <f>IFERROR(__xludf.DUMMYFUNCTION("""COMPUTED_VALUE"""),"Обычно из Гугла, СибДэпо, от знакомых")</f>
        <v>Обычно из Гугла, СибДэпо, от знакомых</v>
      </c>
      <c r="Q1995"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н"&amp;"а разные темы (напишите в разделе Другое свои предложения)")</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результаты местных исследований (рейтинги/аналитика/тенденции), интервью с экспертами на разные темы (напишите в разделе Другое свои предложения)</v>
      </c>
      <c r="R1995" s="6" t="str">
        <f>IFERROR(__xludf.DUMMYFUNCTION("""COMPUTED_VALUE"""),"Масленица")</f>
        <v>Масленица</v>
      </c>
      <c r="S1995" s="6" t="str">
        <f>IFERROR(__xludf.DUMMYFUNCTION("""COMPUTED_VALUE"""),"Нет, не приходилось")</f>
        <v>Нет, не приходилось</v>
      </c>
      <c r="T1995" s="6" t="str">
        <f>IFERROR(__xludf.DUMMYFUNCTION("""COMPUTED_VALUE"""),"Углём, рекой Томью. Если про уникальность, то, наверное, только Красная горка и Томская Писаница")</f>
        <v>Углём, рекой Томью. Если про уникальность, то, наверное, только Красная горка и Томская Писаница</v>
      </c>
      <c r="U1995" s="6" t="str">
        <f>IFERROR(__xludf.DUMMYFUNCTION("""COMPUTED_VALUE"""),"Театр Драмы и фонтан рядом с ним, Филармония, набережная")</f>
        <v>Театр Драмы и фонтан рядом с ним, Филармония, набережная</v>
      </c>
      <c r="V1995" s="6" t="str">
        <f>IFERROR(__xludf.DUMMYFUNCTION("""COMPUTED_VALUE"""),"Все, что было в их силах")</f>
        <v>Все, что было в их силах</v>
      </c>
      <c r="W1995" s="6" t="str">
        <f>IFERROR(__xludf.DUMMYFUNCTION("""COMPUTED_VALUE"""),"Серьезные, озабоченные проблемами, погружённые в себя, простые")</f>
        <v>Серьезные, озабоченные проблемами, погружённые в себя, простые</v>
      </c>
      <c r="X1995" s="6" t="str">
        <f>IFERROR(__xludf.DUMMYFUNCTION("""COMPUTED_VALUE"""),"Однозначно набережная до парка Чудес")</f>
        <v>Однозначно набережная до парка Чудес</v>
      </c>
      <c r="Y1995" s="6" t="str">
        <f>IFERROR(__xludf.DUMMYFUNCTION("""COMPUTED_VALUE"""),"Чемпионат мира по Банди")</f>
        <v>Чемпионат мира по Банди</v>
      </c>
      <c r="Z1995" s="6" t="str">
        <f>IFERROR(__xludf.DUMMYFUNCTION("""COMPUTED_VALUE"""),"Строительство новых спортивных объектов, выставка Ван Гога, Фриды Кало, открытие японского бара Домо")</f>
        <v>Строительство новых спортивных объектов, выставка Ван Гога, Фриды Кало, открытие японского бара Домо</v>
      </c>
      <c r="AA1995" s="6" t="str">
        <f>IFERROR(__xludf.DUMMYFUNCTION("""COMPUTED_VALUE"""),"Самоизоляция, жуткие автомобильные аварии")</f>
        <v>Самоизоляция, жуткие автомобильные аварии</v>
      </c>
      <c r="AB1995" s="6" t="str">
        <f>IFERROR(__xludf.DUMMYFUNCTION("""COMPUTED_VALUE"""),"Не понимаю вопроса")</f>
        <v>Не понимаю вопроса</v>
      </c>
      <c r="AC1995" s="6" t="str">
        <f>IFERROR(__xludf.DUMMYFUNCTION("""COMPUTED_VALUE"""),"Мы сами делаем свою жизнь интересной)")</f>
        <v>Мы сами делаем свою жизнь интересной)</v>
      </c>
      <c r="AD1995"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Участник"&amp;"а: Поучаствовать в обсуждении улучшений, собраниях горожан;, Волонтера: оказать любую посильную помощь непосредственно во время реализации проекта")</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1995" s="6" t="str">
        <f>IFERROR(__xludf.DUMMYFUNCTION("""COMPUTED_VALUE"""),"Женский")</f>
        <v>Женский</v>
      </c>
      <c r="AF1995" s="6" t="str">
        <f>IFERROR(__xludf.DUMMYFUNCTION("""COMPUTED_VALUE"""),"30-44")</f>
        <v>30-44</v>
      </c>
      <c r="AG1995" s="6"/>
      <c r="AH1995" s="6"/>
      <c r="AI1995" s="6"/>
      <c r="AJ1995" s="6"/>
      <c r="AK1995" s="6"/>
      <c r="AL1995" s="6"/>
      <c r="AM1995" s="6"/>
    </row>
    <row r="1996">
      <c r="A1996" s="6">
        <v>1995.0</v>
      </c>
      <c r="B1996" s="6" t="str">
        <f>IFERROR(__xludf.DUMMYFUNCTION("""COMPUTED_VALUE"""),"Наёмный работник")</f>
        <v>Наёмный работник</v>
      </c>
      <c r="C1996" s="6" t="str">
        <f>IFERROR(__xludf.DUMMYFUNCTION("""COMPUTED_VALUE"""),"Спорт. Хоккей")</f>
        <v>Спорт. Хоккей</v>
      </c>
      <c r="D1996" s="6" t="str">
        <f>IFERROR(__xludf.DUMMYFUNCTION("""COMPUTED_VALUE"""),"Южный, никому не нужный")</f>
        <v>Южный, никому не нужный</v>
      </c>
      <c r="E1996" s="6" t="str">
        <f>IFERROR(__xludf.DUMMYFUNCTION("""COMPUTED_VALUE"""),"Нет")</f>
        <v>Нет</v>
      </c>
      <c r="F1996" s="6" t="str">
        <f>IFERROR(__xludf.DUMMYFUNCTION("""COMPUTED_VALUE"""),"Переехал сюда из другого места (откуда? укажите в графе другое), Промышленная ")</f>
        <v>Переехал сюда из другого места (откуда? укажите в графе другое), Промышленная </v>
      </c>
      <c r="G1996" s="6" t="str">
        <f>IFERROR(__xludf.DUMMYFUNCTION("""COMPUTED_VALUE"""),"На детские площадки, парки, набережные. ")</f>
        <v>На детские площадки, парки, набережные. </v>
      </c>
      <c r="H1996" s="6" t="str">
        <f>IFERROR(__xludf.DUMMYFUNCTION("""COMPUTED_VALUE"""),"Смог, чёрный снег, алчность, безразличие, дороги")</f>
        <v>Смог, чёрный снег, алчность, безразличие, дороги</v>
      </c>
      <c r="I1996" s="6" t="str">
        <f>IFERROR(__xludf.DUMMYFUNCTION("""COMPUTED_VALUE"""),"Не знаю")</f>
        <v>Не знаю</v>
      </c>
      <c r="J1996" s="6" t="str">
        <f>IFERROR(__xludf.DUMMYFUNCTION("""COMPUTED_VALUE"""),"Михайлов")</f>
        <v>Михайлов</v>
      </c>
      <c r="K1996" s="6" t="str">
        <f>IFERROR(__xludf.DUMMYFUNCTION("""COMPUTED_VALUE"""),"Набережная, бор")</f>
        <v>Набережная, бор</v>
      </c>
      <c r="L1996" s="6" t="str">
        <f>IFERROR(__xludf.DUMMYFUNCTION("""COMPUTED_VALUE"""),"Не знаю")</f>
        <v>Не знаю</v>
      </c>
      <c r="M1996" s="6" t="str">
        <f>IFERROR(__xludf.DUMMYFUNCTION("""COMPUTED_VALUE"""),"Нет")</f>
        <v>Нет</v>
      </c>
      <c r="N1996" s="6" t="str">
        <f>IFERROR(__xludf.DUMMYFUNCTION("""COMPUTED_VALUE"""),"Чистота на улице и во дворах, 
качественные дороги во дворах и не только на центральных улицах, 
тротуары, 
детские площадки,
место под парковки ")</f>
        <v>Чистота на улице и во дворах, 
качественные дороги во дворах и не только на центральных улицах, 
тротуары, 
детские площадки,
место под парковки </v>
      </c>
      <c r="O1996" s="6" t="str">
        <f>IFERROR(__xludf.DUMMYFUNCTION("""COMPUTED_VALUE"""),"На руководящих должностях области, каждого города и района должны стоять исключительно коренные жители данных территорий!!! ")</f>
        <v>На руководящих должностях области, каждого города и района должны стоять исключительно коренные жители данных территорий!!! </v>
      </c>
      <c r="P1996" s="6" t="str">
        <f>IFERROR(__xludf.DUMMYFUNCTION("""COMPUTED_VALUE"""),"Яндекс, сибдепо")</f>
        <v>Яндекс, сибдепо</v>
      </c>
      <c r="Q1996" s="6" t="str">
        <f>IFERROR(__xludf.DUMMYFUNCTION("""COMPUTED_VALUE"""),"интервью с местными политиками,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(рейтинги/аналитика/тенденции),"&amp;" интервью с экспертами на разные темы (напишите в разделе Другое свои предложения)")</f>
        <v>интервью с местными политиками, интервью с местными предпринимателями,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1996" s="6" t="str">
        <f>IFERROR(__xludf.DUMMYFUNCTION("""COMPUTED_VALUE"""),"9 мая, день города")</f>
        <v>9 мая, день города</v>
      </c>
      <c r="S1996" s="6" t="str">
        <f>IFERROR(__xludf.DUMMYFUNCTION("""COMPUTED_VALUE"""),"Нет, не приходилось")</f>
        <v>Нет, не приходилось</v>
      </c>
      <c r="T1996" s="6" t="str">
        <f>IFERROR(__xludf.DUMMYFUNCTION("""COMPUTED_VALUE"""),"Чем известен не знаю, но в центре города практически каждый день воняет химией от Азота, да так что просто дышать не чем, я думаю, что это уникальность, другого такого города нет")</f>
        <v>Чем известен не знаю, но в центре города практически каждый день воняет химией от Азота, да так что просто дышать не чем, я думаю, что это уникальность, другого такого города нет</v>
      </c>
      <c r="U1996" s="6" t="str">
        <f>IFERROR(__xludf.DUMMYFUNCTION("""COMPUTED_VALUE"""),"Набережная")</f>
        <v>Набережная</v>
      </c>
      <c r="V1996" s="6" t="str">
        <f>IFERROR(__xludf.DUMMYFUNCTION("""COMPUTED_VALUE"""),"Когда построили КЭМЗ, на котором создавали защищённые грустныеэлектродвигатели для космической промышленности. ")</f>
        <v>Когда построили КЭМЗ, на котором создавали защищённые грустныеэлектродвигатели для космической промышленности. </v>
      </c>
      <c r="W1996" s="6" t="str">
        <f>IFERROR(__xludf.DUMMYFUNCTION("""COMPUTED_VALUE"""),"Грустные, замкнутый, вечно спешащие")</f>
        <v>Грустные, замкнутый, вечно спешащие</v>
      </c>
      <c r="X1996" s="6" t="str">
        <f>IFERROR(__xludf.DUMMYFUNCTION("""COMPUTED_VALUE"""),"Набережная")</f>
        <v>Набережная</v>
      </c>
      <c r="Y1996" s="6" t="str">
        <f>IFERROR(__xludf.DUMMYFUNCTION("""COMPUTED_VALUE"""),"Не в курсе")</f>
        <v>Не в курсе</v>
      </c>
      <c r="Z1996" s="6" t="str">
        <f>IFERROR(__xludf.DUMMYFUNCTION("""COMPUTED_VALUE"""),"Родился сын! ")</f>
        <v>Родился сын! </v>
      </c>
      <c r="AA1996" s="6" t="str">
        <f>IFERROR(__xludf.DUMMYFUNCTION("""COMPUTED_VALUE"""),"Не было")</f>
        <v>Не было</v>
      </c>
      <c r="AB1996" s="6" t="str">
        <f>IFERROR(__xludf.DUMMYFUNCTION("""COMPUTED_VALUE"""),"Не интересуюсь.")</f>
        <v>Не интересуюсь.</v>
      </c>
      <c r="AC1996" s="6" t="str">
        <f>IFERROR(__xludf.DUMMYFUNCTION("""COMPUTED_VALUE"""),"Футбол на уровне РФПЛ, Хоккей на уровне КХЛ")</f>
        <v>Футбол на уровне РФПЛ, Хоккей на уровне КХЛ</v>
      </c>
      <c r="AD1996"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Коммуникатора: Готов задействовать свои знако"&amp;"мства для приглашения потенциально заинтересованных участников, Запустить свой предпринимательский проект, организовать компанию.")</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Коммуникатора: Готов задействовать свои знакомства для приглашения потенциально заинтересованных участников, Запустить свой предпринимательский проект, организовать компанию.</v>
      </c>
      <c r="AE1996" s="6" t="str">
        <f>IFERROR(__xludf.DUMMYFUNCTION("""COMPUTED_VALUE"""),"Мужской")</f>
        <v>Мужской</v>
      </c>
      <c r="AF1996" s="6" t="str">
        <f>IFERROR(__xludf.DUMMYFUNCTION("""COMPUTED_VALUE"""),"30-44")</f>
        <v>30-44</v>
      </c>
      <c r="AG1996" s="6"/>
      <c r="AH1996" s="6"/>
      <c r="AI1996" s="6"/>
      <c r="AJ1996" s="6"/>
      <c r="AK1996" s="6"/>
      <c r="AL1996" s="6"/>
      <c r="AM1996" s="6"/>
    </row>
    <row r="1997">
      <c r="A1997" s="6">
        <v>1996.0</v>
      </c>
      <c r="B1997" s="6" t="str">
        <f>IFERROR(__xludf.DUMMYFUNCTION("""COMPUTED_VALUE"""),"госслужба")</f>
        <v>госслужба</v>
      </c>
      <c r="C1997" s="6" t="str">
        <f>IFERROR(__xludf.DUMMYFUNCTION("""COMPUTED_VALUE"""),"вязание")</f>
        <v>вязание</v>
      </c>
      <c r="D1997" s="6" t="str">
        <f>IFERROR(__xludf.DUMMYFUNCTION("""COMPUTED_VALUE"""),"центральный, центр")</f>
        <v>центральный, центр</v>
      </c>
      <c r="E1997" s="6" t="str">
        <f>IFERROR(__xludf.DUMMYFUNCTION("""COMPUTED_VALUE"""),"набережная, около филармонии, площадь Пушкина")</f>
        <v>набережная, около филармонии, площадь Пушкина</v>
      </c>
      <c r="F1997" s="6" t="str">
        <f>IFERROR(__xludf.DUMMYFUNCTION("""COMPUTED_VALUE"""),"Живу здесь с рождения")</f>
        <v>Живу здесь с рождения</v>
      </c>
      <c r="G1997" s="6" t="str">
        <f>IFERROR(__xludf.DUMMYFUNCTION("""COMPUTED_VALUE"""),"набережная")</f>
        <v>набережная</v>
      </c>
      <c r="H1997" s="6" t="str">
        <f>IFERROR(__xludf.DUMMYFUNCTION("""COMPUTED_VALUE"""),"плохой воздух, газ, пыль, черный снег")</f>
        <v>плохой воздух, газ, пыль, черный снег</v>
      </c>
      <c r="I1997" s="6" t="str">
        <f>IFERROR(__xludf.DUMMYFUNCTION("""COMPUTED_VALUE"""),"Балибалов")</f>
        <v>Балибалов</v>
      </c>
      <c r="J1997" s="6" t="str">
        <f>IFERROR(__xludf.DUMMYFUNCTION("""COMPUTED_VALUE"""),"Михайлов")</f>
        <v>Михайлов</v>
      </c>
      <c r="K1997" s="6" t="str">
        <f>IFERROR(__xludf.DUMMYFUNCTION("""COMPUTED_VALUE"""),"весь центр")</f>
        <v>весь центр</v>
      </c>
      <c r="L1997" s="6" t="str">
        <f>IFERROR(__xludf.DUMMYFUNCTION("""COMPUTED_VALUE"""),"не знаю")</f>
        <v>не знаю</v>
      </c>
      <c r="M1997" s="6" t="str">
        <f>IFERROR(__xludf.DUMMYFUNCTION("""COMPUTED_VALUE"""),"нет")</f>
        <v>нет</v>
      </c>
      <c r="N1997" s="6" t="str">
        <f>IFERROR(__xludf.DUMMYFUNCTION("""COMPUTED_VALUE"""),"хорошие тротуары")</f>
        <v>хорошие тротуары</v>
      </c>
      <c r="O1997" s="6" t="str">
        <f>IFERROR(__xludf.DUMMYFUNCTION("""COMPUTED_VALUE"""),"лучше ничего не менять, все делают только хуже")</f>
        <v>лучше ничего не менять, все делают только хуже</v>
      </c>
      <c r="P1997" s="6" t="str">
        <f>IFERROR(__xludf.DUMMYFUNCTION("""COMPUTED_VALUE"""),"инстаграмм")</f>
        <v>инстаграмм</v>
      </c>
      <c r="Q1997" s="6" t="str">
        <f>IFERROR(__xludf.DUMMYFUNCTION("""COMPUTED_VALUE"""),"куда пойти в свободное время, городская афиша (кино/театр/концерты),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f>
        <v>куда пойти в свободное время, городская афиша (кино/театр/концерты), интервью с местными творческими личностями, бизнес-новости (средний чек/рекламные акции/запуск новых предприятий), результаты местных исследований (рейтинги/аналитика/тенденции)</v>
      </c>
      <c r="R1997" s="6" t="str">
        <f>IFERROR(__xludf.DUMMYFUNCTION("""COMPUTED_VALUE"""),"салют на студенческом мосту")</f>
        <v>салют на студенческом мосту</v>
      </c>
      <c r="S1997" s="6" t="str">
        <f>IFERROR(__xludf.DUMMYFUNCTION("""COMPUTED_VALUE"""),"Нет, не приходилось")</f>
        <v>Нет, не приходилось</v>
      </c>
      <c r="T1997" s="6" t="str">
        <f>IFERROR(__xludf.DUMMYFUNCTION("""COMPUTED_VALUE"""),"-")</f>
        <v>-</v>
      </c>
      <c r="U1997" s="6" t="str">
        <f>IFERROR(__xludf.DUMMYFUNCTION("""COMPUTED_VALUE"""),"набережная")</f>
        <v>набережная</v>
      </c>
      <c r="V1997" s="6" t="str">
        <f>IFERROR(__xludf.DUMMYFUNCTION("""COMPUTED_VALUE"""),"много, все не скажешь")</f>
        <v>много, все не скажешь</v>
      </c>
      <c r="W1997" s="6" t="str">
        <f>IFERROR(__xludf.DUMMYFUNCTION("""COMPUTED_VALUE"""),"в основном спокойные и с юмором")</f>
        <v>в основном спокойные и с юмором</v>
      </c>
      <c r="X1997" s="6" t="str">
        <f>IFERROR(__xludf.DUMMYFUNCTION("""COMPUTED_VALUE"""),"в целом - хорошие, немного психованные")</f>
        <v>в целом - хорошие, немного психованные</v>
      </c>
      <c r="Y1997" s="6" t="str">
        <f>IFERROR(__xludf.DUMMYFUNCTION("""COMPUTED_VALUE"""),"не помню")</f>
        <v>не помню</v>
      </c>
      <c r="Z1997" s="6" t="str">
        <f>IFERROR(__xludf.DUMMYFUNCTION("""COMPUTED_VALUE"""),"не могу сказать")</f>
        <v>не могу сказать</v>
      </c>
      <c r="AA1997" s="6" t="str">
        <f>IFERROR(__xludf.DUMMYFUNCTION("""COMPUTED_VALUE"""),"Зимняя вишня, строительство кафе на набережной напротив парка Орбита")</f>
        <v>Зимняя вишня, строительство кафе на набережной напротив парка Орбита</v>
      </c>
      <c r="AB1997" s="6" t="str">
        <f>IFERROR(__xludf.DUMMYFUNCTION("""COMPUTED_VALUE"""),"не знаю")</f>
        <v>не знаю</v>
      </c>
      <c r="AC1997" s="6" t="str">
        <f>IFERROR(__xludf.DUMMYFUNCTION("""COMPUTED_VALUE"""),"больше массовых праздников")</f>
        <v>больше массовых праздников</v>
      </c>
      <c r="AD1997" s="6" t="str">
        <f>IFERROR(__xludf.DUMMYFUNCTION("""COMPUTED_VALUE"""),"Не готов принимать личное участие (укажите, пожалуйста, причину в поле «Другое»), я не участник активных групп")</f>
        <v>Не готов принимать личное участие (укажите, пожалуйста, причину в поле «Другое»), я не участник активных групп</v>
      </c>
      <c r="AE1997" s="6" t="str">
        <f>IFERROR(__xludf.DUMMYFUNCTION("""COMPUTED_VALUE"""),"Женский")</f>
        <v>Женский</v>
      </c>
      <c r="AF1997" s="6" t="str">
        <f>IFERROR(__xludf.DUMMYFUNCTION("""COMPUTED_VALUE"""),"45-55")</f>
        <v>45-55</v>
      </c>
      <c r="AG1997" s="6"/>
      <c r="AH1997" s="6"/>
      <c r="AI1997" s="6"/>
      <c r="AJ1997" s="6"/>
      <c r="AK1997" s="6"/>
      <c r="AL1997" s="6"/>
      <c r="AM1997" s="6"/>
    </row>
    <row r="1998">
      <c r="A1998" s="6">
        <v>1997.0</v>
      </c>
      <c r="B1998" s="6" t="str">
        <f>IFERROR(__xludf.DUMMYFUNCTION("""COMPUTED_VALUE"""),"Госучреждение, бюджетник, медицина")</f>
        <v>Госучреждение, бюджетник, медицина</v>
      </c>
      <c r="C1998" s="6" t="str">
        <f>IFERROR(__xludf.DUMMYFUNCTION("""COMPUTED_VALUE"""),"Вышивка, вязание")</f>
        <v>Вышивка, вязание</v>
      </c>
      <c r="D1998" s="6" t="str">
        <f>IFERROR(__xludf.DUMMYFUNCTION("""COMPUTED_VALUE"""),"ФПК, заводский район")</f>
        <v>ФПК, заводский район</v>
      </c>
      <c r="E1998" s="6" t="str">
        <f>IFERROR(__xludf.DUMMYFUNCTION("""COMPUTED_VALUE"""),"Гринвич")</f>
        <v>Гринвич</v>
      </c>
      <c r="F1998" s="6" t="str">
        <f>IFERROR(__xludf.DUMMYFUNCTION("""COMPUTED_VALUE"""),"Живу здесь с рождения")</f>
        <v>Живу здесь с рождения</v>
      </c>
      <c r="G1998" s="6" t="str">
        <f>IFERROR(__xludf.DUMMYFUNCTION("""COMPUTED_VALUE"""),"Набережная, бульвар Строителей, парк на Комсомольском проспекте у Променада 2")</f>
        <v>Набережная, бульвар Строителей, парк на Комсомольском проспекте у Променада 2</v>
      </c>
      <c r="H1998" s="6" t="str">
        <f>IFERROR(__xludf.DUMMYFUNCTION("""COMPUTED_VALUE"""),"Тихий, к сожалению разрушенный, без зелени, маленький городок")</f>
        <v>Тихий, к сожалению разрушенный, без зелени, маленький городок</v>
      </c>
      <c r="I1998" s="6" t="str">
        <f>IFERROR(__xludf.DUMMYFUNCTION("""COMPUTED_VALUE"""),"Леонов, Подгорбунский, Михайлов, Тулеев, Бобров")</f>
        <v>Леонов, Подгорбунский, Михайлов, Тулеев, Бобров</v>
      </c>
      <c r="J1998" s="6" t="str">
        <f>IFERROR(__xludf.DUMMYFUNCTION("""COMPUTED_VALUE"""),"Гришковец, Быков")</f>
        <v>Гришковец, Быков</v>
      </c>
      <c r="K1998" s="6" t="str">
        <f>IFERROR(__xludf.DUMMYFUNCTION("""COMPUTED_VALUE"""),"Сосновый бор")</f>
        <v>Сосновый бор</v>
      </c>
      <c r="L1998" s="6" t="str">
        <f>IFERROR(__xludf.DUMMYFUNCTION("""COMPUTED_VALUE"""),"Кто последний будет улетать из Кемерово, не забудьте выключить свет в аэропорту")</f>
        <v>Кто последний будет улетать из Кемерово, не забудьте выключить свет в аэропорту</v>
      </c>
      <c r="M1998" s="6" t="str">
        <f>IFERROR(__xludf.DUMMYFUNCTION("""COMPUTED_VALUE"""),"Нет")</f>
        <v>Нет</v>
      </c>
      <c r="N1998" s="6" t="str">
        <f>IFERROR(__xludf.DUMMYFUNCTION("""COMPUTED_VALUE"""),"Чистота, озеленение, комфорт, доступность, инновационность")</f>
        <v>Чистота, озеленение, комфорт, доступность, инновационность</v>
      </c>
      <c r="O1998" s="6" t="str">
        <f>IFERROR(__xludf.DUMMYFUNCTION("""COMPUTED_VALUE"""),"Не разрушать историю")</f>
        <v>Не разрушать историю</v>
      </c>
      <c r="P1998" s="6" t="str">
        <f>IFERROR(__xludf.DUMMYFUNCTION("""COMPUTED_VALUE"""),"Контакт, новости яндекс")</f>
        <v>Контакт, новости яндекс</v>
      </c>
      <c r="Q1998" s="6" t="str">
        <f>IFERROR(__xludf.DUMMYFUNCTION("""COMPUTED_VALUE"""),"куда пойти в свободное время, городская афиша (кино/театр/концерты), интервью с экспертами на разные темы (напишите в разделе Другое свои предложения)")</f>
        <v>куда пойти в свободное время, городская афиша (кино/театр/концерты), интервью с экспертами на разные темы (напишите в разделе Другое свои предложения)</v>
      </c>
      <c r="R1998" s="6" t="str">
        <f>IFERROR(__xludf.DUMMYFUNCTION("""COMPUTED_VALUE"""),"9 мая, день города")</f>
        <v>9 мая, день города</v>
      </c>
      <c r="S1998" s="6" t="str">
        <f>IFERROR(__xludf.DUMMYFUNCTION("""COMPUTED_VALUE"""),"Писал и расклеивал объявления/афиши")</f>
        <v>Писал и расклеивал объявления/афиши</v>
      </c>
      <c r="T1998" s="6" t="str">
        <f>IFERROR(__xludf.DUMMYFUNCTION("""COMPUTED_VALUE"""),"Природные ресурсы")</f>
        <v>Природные ресурсы</v>
      </c>
      <c r="U1998" s="6" t="str">
        <f>IFERROR(__xludf.DUMMYFUNCTION("""COMPUTED_VALUE"""),"Набережная")</f>
        <v>Набережная</v>
      </c>
      <c r="V1998" s="6" t="str">
        <f>IFERROR(__xludf.DUMMYFUNCTION("""COMPUTED_VALUE"""),"Вклад в развитие страны")</f>
        <v>Вклад в развитие страны</v>
      </c>
      <c r="W1998" s="6" t="str">
        <f>IFERROR(__xludf.DUMMYFUNCTION("""COMPUTED_VALUE"""),"Доброжелательные, немного хмурые, где то веселые")</f>
        <v>Доброжелательные, немного хмурые, где то веселые</v>
      </c>
      <c r="X1998" s="6" t="str">
        <f>IFERROR(__xludf.DUMMYFUNCTION("""COMPUTED_VALUE"""),"Красная горка")</f>
        <v>Красная горка</v>
      </c>
      <c r="Y1998" s="6" t="str">
        <f>IFERROR(__xludf.DUMMYFUNCTION("""COMPUTED_VALUE"""),"Выступление Хворостовского с оркестром")</f>
        <v>Выступление Хворостовского с оркестром</v>
      </c>
      <c r="Z1998" s="6" t="str">
        <f>IFERROR(__xludf.DUMMYFUNCTION("""COMPUTED_VALUE"""),"Концерты")</f>
        <v>Концерты</v>
      </c>
      <c r="AA1998" s="6" t="str">
        <f>IFERROR(__xludf.DUMMYFUNCTION("""COMPUTED_VALUE"""),"Закрытие бассейна, вырубка деревьев")</f>
        <v>Закрытие бассейна, вырубка деревьев</v>
      </c>
      <c r="AB1998" s="6" t="str">
        <f>IFERROR(__xludf.DUMMYFUNCTION("""COMPUTED_VALUE"""),"Культурных")</f>
        <v>Культурных</v>
      </c>
      <c r="AC1998" s="6" t="str">
        <f>IFERROR(__xludf.DUMMYFUNCTION("""COMPUTED_VALUE"""),"Игра оркестра, выступление артистов")</f>
        <v>Игра оркестра, выступление артистов</v>
      </c>
      <c r="AD1998"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v>
      </c>
      <c r="AE1998" s="6" t="str">
        <f>IFERROR(__xludf.DUMMYFUNCTION("""COMPUTED_VALUE"""),"Женский")</f>
        <v>Женский</v>
      </c>
      <c r="AF1998" s="6" t="str">
        <f>IFERROR(__xludf.DUMMYFUNCTION("""COMPUTED_VALUE"""),"30-44")</f>
        <v>30-44</v>
      </c>
      <c r="AG1998" s="6"/>
      <c r="AH1998" s="6"/>
      <c r="AI1998" s="6"/>
      <c r="AJ1998" s="6"/>
      <c r="AK1998" s="6"/>
      <c r="AL1998" s="6"/>
      <c r="AM1998" s="6"/>
    </row>
    <row r="1999">
      <c r="A1999" s="6">
        <v>1998.0</v>
      </c>
      <c r="B1999" s="6" t="str">
        <f>IFERROR(__xludf.DUMMYFUNCTION("""COMPUTED_VALUE"""),"Преподавание")</f>
        <v>Преподавание</v>
      </c>
      <c r="C1999" s="6" t="str">
        <f>IFERROR(__xludf.DUMMYFUNCTION("""COMPUTED_VALUE"""),"Собаководство")</f>
        <v>Собаководство</v>
      </c>
      <c r="D1999" s="6" t="str">
        <f>IFERROR(__xludf.DUMMYFUNCTION("""COMPUTED_VALUE"""),"Центральный, Центр")</f>
        <v>Центральный, Центр</v>
      </c>
      <c r="E1999" s="6" t="str">
        <f>IFERROR(__xludf.DUMMYFUNCTION("""COMPUTED_VALUE"""),"Памятник павшим Кузбассовцам, набережная")</f>
        <v>Памятник павшим Кузбассовцам, набережная</v>
      </c>
      <c r="F1999" s="6" t="str">
        <f>IFERROR(__xludf.DUMMYFUNCTION("""COMPUTED_VALUE"""),"Живу здесь с рождения")</f>
        <v>Живу здесь с рождения</v>
      </c>
      <c r="G1999" s="6" t="str">
        <f>IFERROR(__xludf.DUMMYFUNCTION("""COMPUTED_VALUE"""),"Набережная, Весенняя, Бор")</f>
        <v>Набережная, Весенняя, Бор</v>
      </c>
      <c r="H1999" s="6" t="str">
        <f>IFERROR(__xludf.DUMMYFUNCTION("""COMPUTED_VALUE"""),"Дым от труб, Смог, грязь")</f>
        <v>Дым от труб, Смог, грязь</v>
      </c>
      <c r="I1999" s="6" t="str">
        <f>IFERROR(__xludf.DUMMYFUNCTION("""COMPUTED_VALUE"""),"Подгорбунский, Симонов")</f>
        <v>Подгорбунский, Симонов</v>
      </c>
      <c r="J1999" s="6" t="str">
        <f>IFERROR(__xludf.DUMMYFUNCTION("""COMPUTED_VALUE"""),"Михайлов В.В.")</f>
        <v>Михайлов В.В.</v>
      </c>
      <c r="K1999" s="6" t="str">
        <f>IFERROR(__xludf.DUMMYFUNCTION("""COMPUTED_VALUE"""),"Бор")</f>
        <v>Бор</v>
      </c>
      <c r="L1999" s="6" t="str">
        <f>IFERROR(__xludf.DUMMYFUNCTION("""COMPUTED_VALUE"""),"Посадили немцы в газовую камеру русского, пустили газ. Открываю, а он живой. Удивляются, а он им и говорит: ""Я из Кемерово"".")</f>
        <v>Посадили немцы в газовую камеру русского, пустили газ. Открываю, а он живой. Удивляются, а он им и говорит: "Я из Кемерово".</v>
      </c>
      <c r="M1999" s="6" t="str">
        <f>IFERROR(__xludf.DUMMYFUNCTION("""COMPUTED_VALUE"""),"Почти все такие слова и выражения уже московские.")</f>
        <v>Почти все такие слова и выражения уже московские.</v>
      </c>
      <c r="N1999" s="6" t="str">
        <f>IFERROR(__xludf.DUMMYFUNCTION("""COMPUTED_VALUE"""),"Развитая инфраструктура, чистый воздух, транспортная доступность, наличие рекреационных зон, и много чего еще. ")</f>
        <v>Развитая инфраструктура, чистый воздух, транспортная доступность, наличие рекреационных зон, и много чего еще. </v>
      </c>
      <c r="O1999" s="6" t="str">
        <f>IFERROR(__xludf.DUMMYFUNCTION("""COMPUTED_VALUE"""),"В двух словах и не опишешь.")</f>
        <v>В двух словах и не опишешь.</v>
      </c>
      <c r="P1999" s="6" t="str">
        <f>IFERROR(__xludf.DUMMYFUNCTION("""COMPUTED_VALUE"""),"В основном, от знакомых.")</f>
        <v>В основном, от знакомых.</v>
      </c>
      <c r="Q1999" s="6" t="str">
        <f>IFERROR(__xludf.DUMMYFUNCTION("""COMPUTED_VALUE"""),"куда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f>
        <v>куда пойти в свободное время, где вкусно поесть/открытие новых кафе/ресторанов, городская афиша (кино/театр/концерты), культурные новинки (что почитать/что послушать), интервью с местными творческими личностями</v>
      </c>
      <c r="R1999" s="6" t="str">
        <f>IFERROR(__xludf.DUMMYFUNCTION("""COMPUTED_VALUE"""),"День Победы, День города, День Шахтера.")</f>
        <v>День Победы, День города, День Шахтера.</v>
      </c>
      <c r="S1999" s="6" t="str">
        <f>IFERROR(__xludf.DUMMYFUNCTION("""COMPUTED_VALUE"""),"Нет, не приходилось")</f>
        <v>Нет, не приходилось</v>
      </c>
      <c r="T1999" s="6" t="str">
        <f>IFERROR(__xludf.DUMMYFUNCTION("""COMPUTED_VALUE"""),"Уголь и химическая промышленность. Забастовки шахтеров.")</f>
        <v>Уголь и химическая промышленность. Забастовки шахтеров.</v>
      </c>
      <c r="U1999" s="6" t="str">
        <f>IFERROR(__xludf.DUMMYFUNCTION("""COMPUTED_VALUE"""),"Памятник кузбассовцам, павшим в годы ВОВ. Аллея героев. ")</f>
        <v>Памятник кузбассовцам, павшим в годы ВОВ. Аллея героев. </v>
      </c>
      <c r="V1999" s="6" t="str">
        <f>IFERROR(__xludf.DUMMYFUNCTION("""COMPUTED_VALUE"""),"Создавали и сохраняли город. Каждый по-своему и понемногу.")</f>
        <v>Создавали и сохраняли город. Каждый по-своему и понемногу.</v>
      </c>
      <c r="W1999" s="6" t="str">
        <f>IFERROR(__xludf.DUMMYFUNCTION("""COMPUTED_VALUE"""),"Добрые.")</f>
        <v>Добрые.</v>
      </c>
      <c r="X1999" s="6" t="str">
        <f>IFERROR(__xludf.DUMMYFUNCTION("""COMPUTED_VALUE"""),"Набережная, Весенняя")</f>
        <v>Набережная, Весенняя</v>
      </c>
      <c r="Y1999" s="6" t="str">
        <f>IFERROR(__xludf.DUMMYFUNCTION("""COMPUTED_VALUE"""),"Его основание.")</f>
        <v>Его основание.</v>
      </c>
      <c r="Z1999" s="6" t="str">
        <f>IFERROR(__xludf.DUMMYFUNCTION("""COMPUTED_VALUE"""),"Никакие.")</f>
        <v>Никакие.</v>
      </c>
      <c r="AA1999" s="6" t="str">
        <f>IFERROR(__xludf.DUMMYFUNCTION("""COMPUTED_VALUE"""),"Не перечесть.")</f>
        <v>Не перечесть.</v>
      </c>
      <c r="AB1999" s="6" t="str">
        <f>IFERROR(__xludf.DUMMYFUNCTION("""COMPUTED_VALUE"""),"Интеллектуальных.")</f>
        <v>Интеллектуальных.</v>
      </c>
      <c r="AC1999" s="6" t="str">
        <f>IFERROR(__xludf.DUMMYFUNCTION("""COMPUTED_VALUE"""),"Целый комплекс.")</f>
        <v>Целый комплекс.</v>
      </c>
      <c r="AD1999" s="6" t="str">
        <f>IFERROR(__xludf.DUMMYFUNCTION("""COMPUTED_VALUE"""),"Партнера.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Участник"&amp;"а: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f>
        <v>Партнера. Скинуться (деньгами, материалами, инструментом) с другими жителями на благоустройство двора, микрорайона, Профессионала. Обучать, проводить занятия, мастер-классы, лекции, тренинги, оказать консультацию (укажите тему в поле "Другое"),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1999" s="6" t="str">
        <f>IFERROR(__xludf.DUMMYFUNCTION("""COMPUTED_VALUE"""),"Мужской")</f>
        <v>Мужской</v>
      </c>
      <c r="AF1999" s="6" t="str">
        <f>IFERROR(__xludf.DUMMYFUNCTION("""COMPUTED_VALUE"""),"30-44")</f>
        <v>30-44</v>
      </c>
      <c r="AG1999" s="6"/>
      <c r="AH1999" s="6"/>
      <c r="AI1999" s="6"/>
      <c r="AJ1999" s="6"/>
      <c r="AK1999" s="6"/>
      <c r="AL1999" s="6"/>
      <c r="AM1999" s="6"/>
    </row>
    <row r="2000">
      <c r="A2000" s="6">
        <v>1999.0</v>
      </c>
      <c r="B2000" s="6" t="str">
        <f>IFERROR(__xludf.DUMMYFUNCTION("""COMPUTED_VALUE"""),"продавец")</f>
        <v>продавец</v>
      </c>
      <c r="C2000" s="6" t="str">
        <f>IFERROR(__xludf.DUMMYFUNCTION("""COMPUTED_VALUE"""),"нумизматика")</f>
        <v>нумизматика</v>
      </c>
      <c r="D2000" s="6" t="str">
        <f>IFERROR(__xludf.DUMMYFUNCTION("""COMPUTED_VALUE"""),"В Ленинском. В лучшем районе Кемерова.")</f>
        <v>В Ленинском. В лучшем районе Кемерова.</v>
      </c>
      <c r="E2000" s="6" t="str">
        <f>IFERROR(__xludf.DUMMYFUNCTION("""COMPUTED_VALUE"""),"Бульвар Строителей")</f>
        <v>Бульвар Строителей</v>
      </c>
      <c r="F2000" s="6" t="str">
        <f>IFERROR(__xludf.DUMMYFUNCTION("""COMPUTED_VALUE"""),"Живу здесь с рождения")</f>
        <v>Живу здесь с рождения</v>
      </c>
      <c r="G2000" s="6" t="str">
        <f>IFERROR(__xludf.DUMMYFUNCTION("""COMPUTED_VALUE"""),"Бульвар Строителей")</f>
        <v>Бульвар Строителей</v>
      </c>
      <c r="H2000" s="6" t="str">
        <f>IFERROR(__xludf.DUMMYFUNCTION("""COMPUTED_VALUE"""),"Смог, дыра, деревня и тп")</f>
        <v>Смог, дыра, деревня и тп</v>
      </c>
      <c r="I2000" s="6" t="str">
        <f>IFERROR(__xludf.DUMMYFUNCTION("""COMPUTED_VALUE"""),"М.Волков, А.Тулеев.")</f>
        <v>М.Волков, А.Тулеев.</v>
      </c>
      <c r="J2000" s="6" t="str">
        <f>IFERROR(__xludf.DUMMYFUNCTION("""COMPUTED_VALUE"""),"Нет")</f>
        <v>Нет</v>
      </c>
      <c r="K2000" s="6" t="str">
        <f>IFERROR(__xludf.DUMMYFUNCTION("""COMPUTED_VALUE"""),"Парк ангелов, набережная реки Томь.")</f>
        <v>Парк ангелов, набережная реки Томь.</v>
      </c>
      <c r="L2000" s="6" t="str">
        <f>IFERROR(__xludf.DUMMYFUNCTION("""COMPUTED_VALUE"""),"Каждый кулик хвалит своё болото. ")</f>
        <v>Каждый кулик хвалит своё болото. </v>
      </c>
      <c r="M2000" s="6" t="str">
        <f>IFERROR(__xludf.DUMMYFUNCTION("""COMPUTED_VALUE"""),"Пентагон, три поросёнка, лапа.")</f>
        <v>Пентагон, три поросёнка, лапа.</v>
      </c>
      <c r="N2000" s="6" t="str">
        <f>IFERROR(__xludf.DUMMYFUNCTION("""COMPUTED_VALUE"""),"Чистота и безопасность.")</f>
        <v>Чистота и безопасность.</v>
      </c>
      <c r="O2000" s="6" t="str">
        <f>IFERROR(__xludf.DUMMYFUNCTION("""COMPUTED_VALUE"""),"Строить доступное жильё для молодёжи.")</f>
        <v>Строить доступное жильё для молодёжи.</v>
      </c>
      <c r="P2000" s="6" t="str">
        <f>IFERROR(__xludf.DUMMYFUNCTION("""COMPUTED_VALUE"""),"ВК, инстаграмм.")</f>
        <v>ВК, инстаграмм.</v>
      </c>
      <c r="Q2000" s="6" t="str">
        <f>IFERROR(__xludf.DUMMYFUNCTION("""COMPUTED_VALUE"""),"интервью с местными политиками, интервью с местными предпринимателями, результаты местных исследований (рейтинги/аналитика/тенденции)")</f>
        <v>интервью с местными политиками, интервью с местными предпринимателями, результаты местных исследований (рейтинги/аналитика/тенденции)</v>
      </c>
      <c r="R2000" s="6" t="str">
        <f>IFERROR(__xludf.DUMMYFUNCTION("""COMPUTED_VALUE"""),"Нет")</f>
        <v>Нет</v>
      </c>
      <c r="S2000" s="6" t="str">
        <f>IFERROR(__xludf.DUMMYFUNCTION("""COMPUTED_VALUE"""),"Нет, не приходилось")</f>
        <v>Нет, не приходилось</v>
      </c>
      <c r="T2000" s="6" t="str">
        <f>IFERROR(__xludf.DUMMYFUNCTION("""COMPUTED_VALUE"""),"Зимняя вишня.")</f>
        <v>Зимняя вишня.</v>
      </c>
      <c r="U2000" s="6" t="str">
        <f>IFERROR(__xludf.DUMMYFUNCTION("""COMPUTED_VALUE"""),"Лапландия")</f>
        <v>Лапландия</v>
      </c>
      <c r="V2000" s="6" t="str">
        <f>IFERROR(__xludf.DUMMYFUNCTION("""COMPUTED_VALUE"""),"Ничего.")</f>
        <v>Ничего.</v>
      </c>
      <c r="W2000" s="6" t="str">
        <f>IFERROR(__xludf.DUMMYFUNCTION("""COMPUTED_VALUE"""),"Добрые и глупые.")</f>
        <v>Добрые и глупые.</v>
      </c>
      <c r="X2000" s="6" t="str">
        <f>IFERROR(__xludf.DUMMYFUNCTION("""COMPUTED_VALUE"""),"Нет")</f>
        <v>Нет</v>
      </c>
      <c r="Y2000" s="6" t="str">
        <f>IFERROR(__xludf.DUMMYFUNCTION("""COMPUTED_VALUE"""),"Пожар в зимней вишне")</f>
        <v>Пожар в зимней вишне</v>
      </c>
      <c r="Z2000" s="6" t="str">
        <f>IFERROR(__xludf.DUMMYFUNCTION("""COMPUTED_VALUE"""),"Остановки, что греют голову. Рок концерт. А, вообще, плакать хочется.")</f>
        <v>Остановки, что греют голову. Рок концерт. А, вообще, плакать хочется.</v>
      </c>
      <c r="AA2000" s="6" t="str">
        <f>IFERROR(__xludf.DUMMYFUNCTION("""COMPUTED_VALUE"""),"Два спорткомплекса сделали торговыми и строят третий, под мостом. Живу хуже, чем два года назад.")</f>
        <v>Два спорткомплекса сделали торговыми и строят третий, под мостом. Живу хуже, чем два года назад.</v>
      </c>
      <c r="AB2000" s="6" t="str">
        <f>IFERROR(__xludf.DUMMYFUNCTION("""COMPUTED_VALUE"""),"На кой они нужны?!")</f>
        <v>На кой они нужны?!</v>
      </c>
      <c r="AC2000" s="6" t="str">
        <f>IFERROR(__xludf.DUMMYFUNCTION("""COMPUTED_VALUE"""),"Пир во время чумы?")</f>
        <v>Пир во время чумы?</v>
      </c>
      <c r="AD2000" s="6" t="str">
        <f>IFERROR(__xludf.DUMMYFUNCTION("""COMPUTED_VALUE"""),"нет времени, работаю 13/24 и 27/30")</f>
        <v>нет времени, работаю 13/24 и 27/30</v>
      </c>
      <c r="AE2000" s="6" t="str">
        <f>IFERROR(__xludf.DUMMYFUNCTION("""COMPUTED_VALUE"""),"Женский")</f>
        <v>Женский</v>
      </c>
      <c r="AF2000" s="6" t="str">
        <f>IFERROR(__xludf.DUMMYFUNCTION("""COMPUTED_VALUE"""),"30-44")</f>
        <v>30-44</v>
      </c>
      <c r="AG2000" s="6"/>
      <c r="AH2000" s="6"/>
      <c r="AI2000" s="6"/>
      <c r="AJ2000" s="6"/>
      <c r="AK2000" s="6"/>
      <c r="AL2000" s="6"/>
      <c r="AM2000" s="6"/>
    </row>
    <row r="2001">
      <c r="A2001" s="6">
        <v>2000.0</v>
      </c>
      <c r="B2001" s="6" t="str">
        <f>IFERROR(__xludf.DUMMYFUNCTION("""COMPUTED_VALUE"""),"домохозяйка")</f>
        <v>домохозяйка</v>
      </c>
      <c r="C2001" s="6" t="str">
        <f>IFERROR(__xludf.DUMMYFUNCTION("""COMPUTED_VALUE"""),"нет")</f>
        <v>нет</v>
      </c>
      <c r="D2001" s="6" t="str">
        <f>IFERROR(__xludf.DUMMYFUNCTION("""COMPUTED_VALUE"""),"Южный")</f>
        <v>Южный</v>
      </c>
      <c r="E2001" s="6" t="str">
        <f>IFERROR(__xludf.DUMMYFUNCTION("""COMPUTED_VALUE"""),"церковь")</f>
        <v>церковь</v>
      </c>
      <c r="F2001" s="6" t="str">
        <f>IFERROR(__xludf.DUMMYFUNCTION("""COMPUTED_VALUE"""),"Переехал сюда из другого места (откуда? укажите в графе другое), распределилась после ВУЗа")</f>
        <v>Переехал сюда из другого места (откуда? укажите в графе другое), распределилась после ВУЗа</v>
      </c>
      <c r="G2001" s="6" t="str">
        <f>IFERROR(__xludf.DUMMYFUNCTION("""COMPUTED_VALUE"""),"Никуда, на Южном нет мест для гуляний")</f>
        <v>Никуда, на Южном нет мест для гуляний</v>
      </c>
      <c r="H2001" s="6" t="str">
        <f>IFERROR(__xludf.DUMMYFUNCTION("""COMPUTED_VALUE"""),"Кокс, Азот, хоккейный клуб ""Кузбасс"", Кадетский корпус, Томская писаница, Красная горка")</f>
        <v>Кокс, Азот, хоккейный клуб "Кузбасс", Кадетский корпус, Томская писаница, Красная горка</v>
      </c>
      <c r="I2001" s="6" t="str">
        <f>IFERROR(__xludf.DUMMYFUNCTION("""COMPUTED_VALUE"""),"Виталий Раздаев, Алексей Леонов, Борис Волынов, Николай Масалов, Алена Бабенко")</f>
        <v>Виталий Раздаев, Алексей Леонов, Борис Волынов, Николай Масалов, Алена Бабенко</v>
      </c>
      <c r="J2001" s="6" t="str">
        <f>IFERROR(__xludf.DUMMYFUNCTION("""COMPUTED_VALUE"""),"Не знаю таких.")</f>
        <v>Не знаю таких.</v>
      </c>
      <c r="K2001" s="6" t="str">
        <f>IFERROR(__xludf.DUMMYFUNCTION("""COMPUTED_VALUE"""),"Томская писаница, Красная горка, парк Ангелов, памятник погибшим воинам с вечным огнем")</f>
        <v>Томская писаница, Красная горка, парк Ангелов, памятник погибшим воинам с вечным огнем</v>
      </c>
      <c r="L2001" s="6" t="str">
        <f>IFERROR(__xludf.DUMMYFUNCTION("""COMPUTED_VALUE"""),"не знаю")</f>
        <v>не знаю</v>
      </c>
      <c r="M2001" s="6" t="str">
        <f>IFERROR(__xludf.DUMMYFUNCTION("""COMPUTED_VALUE"""),"не знаю")</f>
        <v>не знаю</v>
      </c>
      <c r="N2001" s="6" t="str">
        <f>IFERROR(__xludf.DUMMYFUNCTION("""COMPUTED_VALUE"""),"компактность районов, сеть ""Лента"", ""Леруа Мерлен""")</f>
        <v>компактность районов, сеть "Лента", "Леруа Мерлен"</v>
      </c>
      <c r="O2001" s="6" t="str">
        <f>IFERROR(__xludf.DUMMYFUNCTION("""COMPUTED_VALUE"""),"построить на Южном спортивный комплекс, сделать парковые зоны, скверы")</f>
        <v>построить на Южном спортивный комплекс, сделать парковые зоны, скверы</v>
      </c>
      <c r="P2001" s="6" t="str">
        <f>IFERROR(__xludf.DUMMYFUNCTION("""COMPUTED_VALUE"""),"ТВ")</f>
        <v>ТВ</v>
      </c>
      <c r="Q2001" s="6" t="str">
        <f>IFERROR(__xludf.DUMMYFUNCTION("""COMPUTED_VALUE"""),"куда пойти в свободное время, городская афиша (кино/театр/концерты),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и"&amp;"нтервью с экспертами на разные темы (напишите в разделе Другое свои предложения)")</f>
        <v>куда пойти в свободное время, городская афиша (кино/театр/концерты), криминальные новости (происшествия/преступления), бизнес-новости (средний чек/рекламные акции/запуск новых предприятий), результаты местных исследований (рейтинги/аналитика/тенденции), интервью с экспертами на разные темы (напишите в разделе Другое свои предложения)</v>
      </c>
      <c r="R2001" s="6" t="str">
        <f>IFERROR(__xludf.DUMMYFUNCTION("""COMPUTED_VALUE"""),"День победы")</f>
        <v>День победы</v>
      </c>
      <c r="S2001" s="6" t="str">
        <f>IFERROR(__xludf.DUMMYFUNCTION("""COMPUTED_VALUE"""),"Нет, не приходилось")</f>
        <v>Нет, не приходилось</v>
      </c>
      <c r="T2001" s="6" t="str">
        <f>IFERROR(__xludf.DUMMYFUNCTION("""COMPUTED_VALUE"""),"Стал известен после пожара в ТЦ ""Зимняя вишня"", ничем не уникален")</f>
        <v>Стал известен после пожара в ТЦ "Зимняя вишня", ничем не уникален</v>
      </c>
      <c r="U2001" s="6" t="str">
        <f>IFERROR(__xludf.DUMMYFUNCTION("""COMPUTED_VALUE"""),"Цирк, памятник Ленину, площадь Волкова")</f>
        <v>Цирк, памятник Ленину, площадь Волкова</v>
      </c>
      <c r="V2001" s="6" t="str">
        <f>IFERROR(__xludf.DUMMYFUNCTION("""COMPUTED_VALUE"""),"Ничего, как такового")</f>
        <v>Ничего, как такового</v>
      </c>
      <c r="W2001" s="6" t="str">
        <f>IFERROR(__xludf.DUMMYFUNCTION("""COMPUTED_VALUE"""),"Такие же, как и жители других городов, отличительных качеств нет.")</f>
        <v>Такие же, как и жители других городов, отличительных качеств нет.</v>
      </c>
      <c r="X2001" s="6" t="str">
        <f>IFERROR(__xludf.DUMMYFUNCTION("""COMPUTED_VALUE"""),"От площади Волкова до набережной Искитимки, через парк Победы к памятнику Ленина, от него к драмтеатру, потом к Вечному огню, потом в Парк Чудес, через Кузбасский мост в музей Красная горка")</f>
        <v>От площади Волкова до набережной Искитимки, через парк Победы к памятнику Ленина, от него к драмтеатру, потом к Вечному огню, потом в Парк Чудес, через Кузбасский мост в музей Красная горка</v>
      </c>
      <c r="Y2001" s="6" t="str">
        <f>IFERROR(__xludf.DUMMYFUNCTION("""COMPUTED_VALUE"""),"Чемпионат мира по хоккею с мячом")</f>
        <v>Чемпионат мира по хоккею с мячом</v>
      </c>
      <c r="Z2001" s="6" t="str">
        <f>IFERROR(__xludf.DUMMYFUNCTION("""COMPUTED_VALUE"""),"Никакие")</f>
        <v>Никакие</v>
      </c>
      <c r="AA2001" s="6" t="str">
        <f>IFERROR(__xludf.DUMMYFUNCTION("""COMPUTED_VALUE"""),"Никакие")</f>
        <v>Никакие</v>
      </c>
      <c r="AB2001" s="6" t="str">
        <f>IFERROR(__xludf.DUMMYFUNCTION("""COMPUTED_VALUE"""),"не участвую в сообществах")</f>
        <v>не участвую в сообществах</v>
      </c>
      <c r="AC2001" s="6" t="str">
        <f>IFERROR(__xludf.DUMMYFUNCTION("""COMPUTED_VALUE"""),"флеш-мобы (с уклоном очистки города)")</f>
        <v>флеш-мобы (с уклоном очистки города)</v>
      </c>
      <c r="AD200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"&amp;"участников")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2001" s="6" t="str">
        <f>IFERROR(__xludf.DUMMYFUNCTION("""COMPUTED_VALUE"""),"Женский")</f>
        <v>Женский</v>
      </c>
      <c r="AF2001" s="6" t="str">
        <f>IFERROR(__xludf.DUMMYFUNCTION("""COMPUTED_VALUE"""),"45-55")</f>
        <v>45-55</v>
      </c>
      <c r="AG2001" s="6"/>
      <c r="AH2001" s="6"/>
      <c r="AI2001" s="6"/>
      <c r="AJ2001" s="6"/>
      <c r="AK2001" s="6"/>
      <c r="AL2001" s="6"/>
      <c r="AM2001" s="6"/>
    </row>
    <row r="2002">
      <c r="A2002" s="6">
        <v>2001.0</v>
      </c>
      <c r="B2002" s="6" t="str">
        <f>IFERROR(__xludf.DUMMYFUNCTION("""COMPUTED_VALUE"""),"IT специалист")</f>
        <v>IT специалист</v>
      </c>
      <c r="C2002" s="6" t="str">
        <f>IFERROR(__xludf.DUMMYFUNCTION("""COMPUTED_VALUE"""),"Пешие прогулки")</f>
        <v>Пешие прогулки</v>
      </c>
      <c r="D2002" s="6" t="str">
        <f>IFERROR(__xludf.DUMMYFUNCTION("""COMPUTED_VALUE"""),"Заводский")</f>
        <v>Заводский</v>
      </c>
      <c r="E2002" s="6" t="str">
        <f>IFERROR(__xludf.DUMMYFUNCTION("""COMPUTED_VALUE"""),"Парк Ангелов")</f>
        <v>Парк Ангелов</v>
      </c>
      <c r="F2002" s="6" t="str">
        <f>IFERROR(__xludf.DUMMYFUNCTION("""COMPUTED_VALUE"""),"Живу здесь с рождения")</f>
        <v>Живу здесь с рождения</v>
      </c>
      <c r="G2002" s="6" t="str">
        <f>IFERROR(__xludf.DUMMYFUNCTION("""COMPUTED_VALUE"""),"Рудничный бор (Сосновый бор), Парк Ангелов, Центр города, Набережная")</f>
        <v>Рудничный бор (Сосновый бор), Парк Ангелов, Центр города, Набережная</v>
      </c>
      <c r="H2002" s="6" t="str">
        <f>IFERROR(__xludf.DUMMYFUNCTION("""COMPUTED_VALUE"""),"Мусор, Грязь, Плохие дворы")</f>
        <v>Мусор, Грязь, Плохие дворы</v>
      </c>
      <c r="I2002" s="6" t="str">
        <f>IFERROR(__xludf.DUMMYFUNCTION("""COMPUTED_VALUE"""),"Леонов")</f>
        <v>Леонов</v>
      </c>
      <c r="J2002" s="6" t="str">
        <f>IFERROR(__xludf.DUMMYFUNCTION("""COMPUTED_VALUE"""),"Федяев, Алфёров (активист)")</f>
        <v>Федяев, Алфёров (активист)</v>
      </c>
      <c r="K2002" s="6" t="str">
        <f>IFERROR(__xludf.DUMMYFUNCTION("""COMPUTED_VALUE"""),"Красная горка, Парк Ангелов, Набережная, стройку на Притомском")</f>
        <v>Красная горка, Парк Ангелов, Набережная, стройку на Притомском</v>
      </c>
      <c r="L2002" s="6" t="str">
        <f>IFERROR(__xludf.DUMMYFUNCTION("""COMPUTED_VALUE"""),"Человек из Кемерово")</f>
        <v>Человек из Кемерово</v>
      </c>
      <c r="M2002" s="6" t="str">
        <f>IFERROR(__xludf.DUMMYFUNCTION("""COMPUTED_VALUE"""),"нет")</f>
        <v>нет</v>
      </c>
      <c r="N2002" s="6" t="str">
        <f>IFERROR(__xludf.DUMMYFUNCTION("""COMPUTED_VALUE"""),"Доступная городская среда, дворы без машин, чистота улиц, качественные общественные пространства, отремонтированные дворы и фасады зданий")</f>
        <v>Доступная городская среда, дворы без машин, чистота улиц, качественные общественные пространства, отремонтированные дворы и фасады зданий</v>
      </c>
      <c r="O2002" s="6" t="str">
        <f>IFERROR(__xludf.DUMMYFUNCTION("""COMPUTED_VALUE"""),"отремонтировать дворы. улучшить качество дорог, построить больше общественных пространств")</f>
        <v>отремонтировать дворы. улучшить качество дорог, построить больше общественных пространств</v>
      </c>
      <c r="P2002" s="6" t="str">
        <f>IFERROR(__xludf.DUMMYFUNCTION("""COMPUTED_VALUE"""),"Instagram")</f>
        <v>Instagram</v>
      </c>
      <c r="Q2002" s="6" t="str">
        <f>IFERROR(__xludf.DUMMYFUNCTION("""COMPUTED_VALUE"""),"куда пойти в свободное время, где вкусно поесть/открытие новых кафе/ресторанов,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(рейтинги/аналитика/тенденци"&amp;"и)")</f>
        <v>куда пойти в свободное время, где вкусно поесть/открытие новых кафе/ресторанов,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v>
      </c>
      <c r="R2002" s="6" t="str">
        <f>IFERROR(__xludf.DUMMYFUNCTION("""COMPUTED_VALUE"""),"День города")</f>
        <v>День города</v>
      </c>
      <c r="S2002" s="6" t="str">
        <f>IFERROR(__xludf.DUMMYFUNCTION("""COMPUTED_VALUE"""),"Нет, не приходилось")</f>
        <v>Нет, не приходилось</v>
      </c>
      <c r="T2002" s="6" t="str">
        <f>IFERROR(__xludf.DUMMYFUNCTION("""COMPUTED_VALUE"""),"Лучшая волейбольная команда России (Кузбасс)")</f>
        <v>Лучшая волейбольная команда России (Кузбасс)</v>
      </c>
      <c r="U2002" s="6" t="str">
        <f>IFERROR(__xludf.DUMMYFUNCTION("""COMPUTED_VALUE"""),"Улица Весенняя, Набережная")</f>
        <v>Улица Весенняя, Набережная</v>
      </c>
      <c r="V2002" s="6" t="str">
        <f>IFERROR(__xludf.DUMMYFUNCTION("""COMPUTED_VALUE"""),"создали волейбольный клуб Кузбасс")</f>
        <v>создали волейбольный клуб Кузбасс</v>
      </c>
      <c r="W2002" s="6" t="str">
        <f>IFERROR(__xludf.DUMMYFUNCTION("""COMPUTED_VALUE"""),"грустные")</f>
        <v>грустные</v>
      </c>
      <c r="X2002" s="6" t="str">
        <f>IFERROR(__xludf.DUMMYFUNCTION("""COMPUTED_VALUE"""),"Парк Ангелов, Парк Антошка, Парк Победы имени Жукова, Филармония Кузбасса,  Часовня, Драм театр, ул. Весенняя, Набережная, перекусить в KFC или Макдоналдс Кирова")</f>
        <v>Парк Ангелов, Парк Антошка, Парк Победы имени Жукова, Филармония Кузбасса,  Часовня, Драм театр, ул. Весенняя, Набережная, перекусить в KFC или Макдоналдс Кирова</v>
      </c>
      <c r="Y2002" s="6" t="str">
        <f>IFERROR(__xludf.DUMMYFUNCTION("""COMPUTED_VALUE"""),"не знаю")</f>
        <v>не знаю</v>
      </c>
      <c r="Z2002" s="6" t="str">
        <f>IFERROR(__xludf.DUMMYFUNCTION("""COMPUTED_VALUE"""),"ВК Кузбасс стал чемпионом России по волейболу в 2018/19")</f>
        <v>ВК Кузбасс стал чемпионом России по волейболу в 2018/19</v>
      </c>
      <c r="AA2002" s="6" t="str">
        <f>IFERROR(__xludf.DUMMYFUNCTION("""COMPUTED_VALUE"""),"Пожар в ТРЦ Зимняя вишня")</f>
        <v>Пожар в ТРЦ Зимняя вишня</v>
      </c>
      <c r="AB2002" s="6" t="str">
        <f>IFERROR(__xludf.DUMMYFUNCTION("""COMPUTED_VALUE"""),"не знаю")</f>
        <v>не знаю</v>
      </c>
      <c r="AC2002" s="6" t="str">
        <f>IFERROR(__xludf.DUMMYFUNCTION("""COMPUTED_VALUE"""),"Больше значимых спортивных событий")</f>
        <v>Больше значимых спортивных событий</v>
      </c>
      <c r="AD2002"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2002" s="6" t="str">
        <f>IFERROR(__xludf.DUMMYFUNCTION("""COMPUTED_VALUE"""),"Мужской")</f>
        <v>Мужской</v>
      </c>
      <c r="AF2002" s="6" t="str">
        <f>IFERROR(__xludf.DUMMYFUNCTION("""COMPUTED_VALUE"""),"30-44")</f>
        <v>30-44</v>
      </c>
      <c r="AG2002" s="6"/>
      <c r="AH2002" s="6"/>
      <c r="AI2002" s="6"/>
      <c r="AJ2002" s="6"/>
      <c r="AK2002" s="6"/>
      <c r="AL2002" s="6"/>
      <c r="AM2002" s="6"/>
    </row>
    <row r="2003">
      <c r="A2003" s="6">
        <v>2002.0</v>
      </c>
      <c r="B2003" s="6" t="str">
        <f>IFERROR(__xludf.DUMMYFUNCTION("""COMPUTED_VALUE"""),"IT специалист")</f>
        <v>IT специалист</v>
      </c>
      <c r="C2003" s="6" t="str">
        <f>IFERROR(__xludf.DUMMYFUNCTION("""COMPUTED_VALUE"""),"Пешие прогулки")</f>
        <v>Пешие прогулки</v>
      </c>
      <c r="D2003" s="6" t="str">
        <f>IFERROR(__xludf.DUMMYFUNCTION("""COMPUTED_VALUE"""),"Заводский")</f>
        <v>Заводский</v>
      </c>
      <c r="E2003" s="6" t="str">
        <f>IFERROR(__xludf.DUMMYFUNCTION("""COMPUTED_VALUE"""),"Парк Ангелов")</f>
        <v>Парк Ангелов</v>
      </c>
      <c r="F2003" s="6" t="str">
        <f>IFERROR(__xludf.DUMMYFUNCTION("""COMPUTED_VALUE"""),"Живу здесь с рождения")</f>
        <v>Живу здесь с рождения</v>
      </c>
      <c r="G2003" s="6" t="str">
        <f>IFERROR(__xludf.DUMMYFUNCTION("""COMPUTED_VALUE"""),"Рудничный бор (Сосновый бор), Парк Ангелов, Центр города, Набережная")</f>
        <v>Рудничный бор (Сосновый бор), Парк Ангелов, Центр города, Набережная</v>
      </c>
      <c r="H2003" s="6" t="str">
        <f>IFERROR(__xludf.DUMMYFUNCTION("""COMPUTED_VALUE"""),"Мусор, Грязь, Плохие дворы")</f>
        <v>Мусор, Грязь, Плохие дворы</v>
      </c>
      <c r="I2003" s="6" t="str">
        <f>IFERROR(__xludf.DUMMYFUNCTION("""COMPUTED_VALUE"""),"Леонов")</f>
        <v>Леонов</v>
      </c>
      <c r="J2003" s="6" t="str">
        <f>IFERROR(__xludf.DUMMYFUNCTION("""COMPUTED_VALUE"""),"Федяев, Алфёров (активист)")</f>
        <v>Федяев, Алфёров (активист)</v>
      </c>
      <c r="K2003" s="6" t="str">
        <f>IFERROR(__xludf.DUMMYFUNCTION("""COMPUTED_VALUE"""),"Красная горка, Парк Ангелов, Набережная, стройку на Притомском")</f>
        <v>Красная горка, Парк Ангелов, Набережная, стройку на Притомском</v>
      </c>
      <c r="L2003" s="6" t="str">
        <f>IFERROR(__xludf.DUMMYFUNCTION("""COMPUTED_VALUE"""),"Человек из Кемерово")</f>
        <v>Человек из Кемерово</v>
      </c>
      <c r="M2003" s="6" t="str">
        <f>IFERROR(__xludf.DUMMYFUNCTION("""COMPUTED_VALUE"""),"нет")</f>
        <v>нет</v>
      </c>
      <c r="N2003" s="6" t="str">
        <f>IFERROR(__xludf.DUMMYFUNCTION("""COMPUTED_VALUE"""),"Доступная городская среда, дворы без машин, чистота улиц, качественные общественные пространства, отремонтированные дворы и фасады зданий")</f>
        <v>Доступная городская среда, дворы без машин, чистота улиц, качественные общественные пространства, отремонтированные дворы и фасады зданий</v>
      </c>
      <c r="O2003" s="6" t="str">
        <f>IFERROR(__xludf.DUMMYFUNCTION("""COMPUTED_VALUE"""),"отремонтировать дворы. улучшить качество дорог, построить больше общественных пространств")</f>
        <v>отремонтировать дворы. улучшить качество дорог, построить больше общественных пространств</v>
      </c>
      <c r="P2003" s="6" t="str">
        <f>IFERROR(__xludf.DUMMYFUNCTION("""COMPUTED_VALUE"""),"Instagram")</f>
        <v>Instagram</v>
      </c>
      <c r="Q2003" s="6" t="str">
        <f>IFERROR(__xludf.DUMMYFUNCTION("""COMPUTED_VALUE"""),"куда пойти в свободное время, где вкусно поесть/открытие новых кафе/ресторанов,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(рейтинги/аналитика/тенденци"&amp;"и)")</f>
        <v>куда пойти в свободное время, где вкусно поесть/открытие новых кафе/ресторанов, интервью с местными политиками, интервью с местными творческими личностями, интервью с местными предпринимателями, результаты местных исследований (рейтинги/аналитика/тенденции)</v>
      </c>
      <c r="R2003" s="6" t="str">
        <f>IFERROR(__xludf.DUMMYFUNCTION("""COMPUTED_VALUE"""),"День города")</f>
        <v>День города</v>
      </c>
      <c r="S2003" s="6" t="str">
        <f>IFERROR(__xludf.DUMMYFUNCTION("""COMPUTED_VALUE"""),"Нет, не приходилось")</f>
        <v>Нет, не приходилось</v>
      </c>
      <c r="T2003" s="6" t="str">
        <f>IFERROR(__xludf.DUMMYFUNCTION("""COMPUTED_VALUE"""),"Лучшая волейбольная команда России (Кузбасс)")</f>
        <v>Лучшая волейбольная команда России (Кузбасс)</v>
      </c>
      <c r="U2003" s="6" t="str">
        <f>IFERROR(__xludf.DUMMYFUNCTION("""COMPUTED_VALUE"""),"Улица Весенняя, Набережная")</f>
        <v>Улица Весенняя, Набережная</v>
      </c>
      <c r="V2003" s="6" t="str">
        <f>IFERROR(__xludf.DUMMYFUNCTION("""COMPUTED_VALUE"""),"создали волейбольный клуб Кузбасс")</f>
        <v>создали волейбольный клуб Кузбасс</v>
      </c>
      <c r="W2003" s="6" t="str">
        <f>IFERROR(__xludf.DUMMYFUNCTION("""COMPUTED_VALUE"""),"грустные")</f>
        <v>грустные</v>
      </c>
      <c r="X2003" s="6" t="str">
        <f>IFERROR(__xludf.DUMMYFUNCTION("""COMPUTED_VALUE"""),"Парк Ангелов, Парк Антошка, Парк Победы имени Жукова, Филармония Кузбасса,  Часовня, Драм театр, ул. Весенняя, Набережная, перекусить в KFC или Макдоналдс Кирова")</f>
        <v>Парк Ангелов, Парк Антошка, Парк Победы имени Жукова, Филармония Кузбасса,  Часовня, Драм театр, ул. Весенняя, Набережная, перекусить в KFC или Макдоналдс Кирова</v>
      </c>
      <c r="Y2003" s="6" t="str">
        <f>IFERROR(__xludf.DUMMYFUNCTION("""COMPUTED_VALUE"""),"не знаю")</f>
        <v>не знаю</v>
      </c>
      <c r="Z2003" s="6" t="str">
        <f>IFERROR(__xludf.DUMMYFUNCTION("""COMPUTED_VALUE"""),"ВК Кузбасс стал чемпионом России по волейболу в 2018/19")</f>
        <v>ВК Кузбасс стал чемпионом России по волейболу в 2018/19</v>
      </c>
      <c r="AA2003" s="6" t="str">
        <f>IFERROR(__xludf.DUMMYFUNCTION("""COMPUTED_VALUE"""),"Пожар в ТРЦ Зимняя вишня")</f>
        <v>Пожар в ТРЦ Зимняя вишня</v>
      </c>
      <c r="AB2003" s="6" t="str">
        <f>IFERROR(__xludf.DUMMYFUNCTION("""COMPUTED_VALUE"""),"не знаю")</f>
        <v>не знаю</v>
      </c>
      <c r="AC2003" s="6" t="str">
        <f>IFERROR(__xludf.DUMMYFUNCTION("""COMPUTED_VALUE"""),"Больше значимых спортивных событий")</f>
        <v>Больше значимых спортивных событий</v>
      </c>
      <c r="AD2003" s="6" t="str">
        <f>IFERROR(__xludf.DUMMYFUNCTION("""COMPUTED_VALUE"""),"Волонтера: оказать любую посильную помощь непосредственно во время реализации проекта")</f>
        <v>Волонтера: оказать любую посильную помощь непосредственно во время реализации проекта</v>
      </c>
      <c r="AE2003" s="6" t="str">
        <f>IFERROR(__xludf.DUMMYFUNCTION("""COMPUTED_VALUE"""),"Мужской")</f>
        <v>Мужской</v>
      </c>
      <c r="AF2003" s="6" t="str">
        <f>IFERROR(__xludf.DUMMYFUNCTION("""COMPUTED_VALUE"""),"30-44")</f>
        <v>30-44</v>
      </c>
      <c r="AG2003" s="6"/>
      <c r="AH2003" s="6"/>
      <c r="AI2003" s="6"/>
      <c r="AJ2003" s="6"/>
      <c r="AK2003" s="6"/>
      <c r="AL2003" s="6"/>
      <c r="AM2003" s="6"/>
    </row>
    <row r="2004">
      <c r="A2004" s="6">
        <v>2003.0</v>
      </c>
      <c r="B2004" s="6" t="str">
        <f>IFERROR(__xludf.DUMMYFUNCTION("""COMPUTED_VALUE"""),"Инженер по проектированию зданий и сооружений")</f>
        <v>Инженер по проектированию зданий и сооружений</v>
      </c>
      <c r="C2004" s="6" t="str">
        <f>IFERROR(__xludf.DUMMYFUNCTION("""COMPUTED_VALUE"""),"Музыка, спорт")</f>
        <v>Музыка, спорт</v>
      </c>
      <c r="D2004" s="6" t="str">
        <f>IFERROR(__xludf.DUMMYFUNCTION("""COMPUTED_VALUE"""),"Заводский, фпк")</f>
        <v>Заводский, фпк</v>
      </c>
      <c r="E2004" s="6" t="str">
        <f>IFERROR(__xludf.DUMMYFUNCTION("""COMPUTED_VALUE"""),"Сквер новорожденных")</f>
        <v>Сквер новорожденных</v>
      </c>
      <c r="F2004" s="6" t="str">
        <f>IFERROR(__xludf.DUMMYFUNCTION("""COMPUTED_VALUE"""),"Переехал сюда из другого места (откуда? укажите в графе другое), Из г. Полысаево , открытие бОльших перспектив в работе и досуге")</f>
        <v>Переехал сюда из другого места (откуда? укажите в графе другое), Из г. Полысаево , открытие бОльших перспектив в работе и досуге</v>
      </c>
      <c r="G2004" s="6" t="str">
        <f>IFERROR(__xludf.DUMMYFUNCTION("""COMPUTED_VALUE"""),"Набережная, ул. Весенняя, бульвар Строителей, парк Веры Волошиной, парк в Лесной Поляне, парки Антошка и Победы")</f>
        <v>Набережная, ул. Весенняя, бульвар Строителей, парк Веры Волошиной, парк в Лесной Поляне, парки Антошка и Победы</v>
      </c>
      <c r="H2004" s="6" t="str">
        <f>IFERROR(__xludf.DUMMYFUNCTION("""COMPUTED_VALUE"""),"Просторные улицы, отзывчивые люди, красивая река Томь, новые жилые высотные дома, плохая экология")</f>
        <v>Просторные улицы, отзывчивые люди, красивая река Томь, новые жилые высотные дома, плохая экология</v>
      </c>
      <c r="I2004" s="6" t="str">
        <f>IFERROR(__xludf.DUMMYFUNCTION("""COMPUTED_VALUE"""),"Михайло Волков, Алексей Архипович Леонов")</f>
        <v>Михайло Волков, Алексей Архипович Леонов</v>
      </c>
      <c r="J2004" s="6" t="str">
        <f>IFERROR(__xludf.DUMMYFUNCTION("""COMPUTED_VALUE"""),"Аман Гумирович Тулеев, Валентина Петровна Царева ")</f>
        <v>Аман Гумирович Тулеев, Валентина Петровна Царева </v>
      </c>
      <c r="K2004" s="6" t="str">
        <f>IFERROR(__xludf.DUMMYFUNCTION("""COMPUTED_VALUE"""),"Парк Ангелов, набережная")</f>
        <v>Парк Ангелов, набережная</v>
      </c>
      <c r="L2004" s="6" t="str">
        <f>IFERROR(__xludf.DUMMYFUNCTION("""COMPUTED_VALUE"""),"Если вы заблудились в лесу, то скажите ""в КемеровЕ"", и тогда вас быстро найдут толпы кемеровчан с упреками, потому что вообще-то правильно ""в КемеровО""")</f>
        <v>Если вы заблудились в лесу, то скажите "в КемеровЕ", и тогда вас быстро найдут толпы кемеровчан с упреками, потому что вообще-то правильно "в КемеровО"</v>
      </c>
      <c r="M2004" s="6" t="str">
        <f>IFERROR(__xludf.DUMMYFUNCTION("""COMPUTED_VALUE"""),"""Мультифора""-файл, ""кочевряжиться""-вредничать, ""до талого"" - до самого конца")</f>
        <v>"Мультифора"-файл, "кочевряжиться"-вредничать, "до талого" - до самого конца</v>
      </c>
      <c r="N2004" s="6" t="str">
        <f>IFERROR(__xludf.DUMMYFUNCTION("""COMPUTED_VALUE"""),"Чистота, развитие карьеры, современность в архитектуре, мобильность, развлечения")</f>
        <v>Чистота, развитие карьеры, современность в архитектуре, мобильность, развлечения</v>
      </c>
      <c r="O2004" s="6" t="str">
        <f>IFERROR(__xludf.DUMMYFUNCTION("""COMPUTED_VALUE"""),"Облагородить остров в реке Томь напротив набережной, сделать пешеходную и велосипедную зоны. Снести частный сектор в заводском районе, он портит вид города.")</f>
        <v>Облагородить остров в реке Томь напротив набережной, сделать пешеходную и велосипедную зоны. Снести частный сектор в заводском районе, он портит вид города.</v>
      </c>
      <c r="P2004" s="6" t="str">
        <f>IFERROR(__xludf.DUMMYFUNCTION("""COMPUTED_VALUE"""),"Телевидение, Интернет (Регион 42 Кемерово, Афиша Кемерово, вконтакте, инстаграмм), наружная реклама (редко)")</f>
        <v>Телевидение, Интернет (Регион 42 Кемерово, Афиша Кемерово, вконтакте, инстаграмм), наружная реклама (редко)</v>
      </c>
      <c r="Q2004" s="6" t="str">
        <f>IFERROR(__xludf.DUMMYFUNCTION("""COMPUTED_VALUE"""),"куда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f>
        <v>куда пойти в свободное время, городская афиша (кино/театр/концерты), культурные новинки (что почитать/что послушать), интервью с местными творческими личностями, бизнес-новости (средний чек/рекламные акции/запуск новых предприятий)</v>
      </c>
      <c r="R2004" s="6" t="str">
        <f>IFERROR(__xludf.DUMMYFUNCTION("""COMPUTED_VALUE"""),"9 мая, день города, День Шахтера")</f>
        <v>9 мая, день города, День Шахтера</v>
      </c>
      <c r="S2004" s="6" t="str">
        <f>IFERROR(__xludf.DUMMYFUNCTION("""COMPUTED_VALUE"""),"Нет, не приходилось")</f>
        <v>Нет, не приходилось</v>
      </c>
      <c r="T2004" s="6" t="str">
        <f>IFERROR(__xludf.DUMMYFUNCTION("""COMPUTED_VALUE"""),"Угольная столица. Уютный и динамично развивающийся город.")</f>
        <v>Угольная столица. Уютный и динамично развивающийся город.</v>
      </c>
      <c r="U2004" s="6" t="str">
        <f>IFERROR(__xludf.DUMMYFUNCTION("""COMPUTED_VALUE"""),"Статуя В.И. Ленина на пл. Советов, гостиница Кристалл")</f>
        <v>Статуя В.И. Ленина на пл. Советов, гостиница Кристалл</v>
      </c>
      <c r="V2004" s="6" t="str">
        <f>IFERROR(__xludf.DUMMYFUNCTION("""COMPUTED_VALUE"""),"Архитектурная застройка города, установка памятников великой отечественной войны, высадка деревьев, открытие детских площадок и развивающих центров.")</f>
        <v>Архитектурная застройка города, установка памятников великой отечественной войны, высадка деревьев, открытие детских площадок и развивающих центров.</v>
      </c>
      <c r="W2004" s="6" t="str">
        <f>IFERROR(__xludf.DUMMYFUNCTION("""COMPUTED_VALUE"""),"Терпеливые, отзывчивые, добрые, молчаливые")</f>
        <v>Терпеливые, отзывчивые, добрые, молчаливые</v>
      </c>
      <c r="X2004" s="6" t="str">
        <f>IFERROR(__xludf.DUMMYFUNCTION("""COMPUTED_VALUE"""),"пр. Ленина- пр. Дзержинского-ул. Кирова - Набережная - ул. Весенняя - пл. Советов - парк Победы им. Жукова - ул. Красноармейская - пр. Ленина - бульвар Строителей")</f>
        <v>пр. Ленина- пр. Дзержинского-ул. Кирова - Набережная - ул. Весенняя - пл. Советов - парк Победы им. Жукова - ул. Красноармейская - пр. Ленина - бульвар Строителей</v>
      </c>
      <c r="Y2004" s="6" t="str">
        <f>IFERROR(__xludf.DUMMYFUNCTION("""COMPUTED_VALUE"""),"1978 г. — на стадионе «Химик» областного центра состоялся международный турнир по хоккею с мячом. В турнире принимали участие команды Швеции, Норвегии, Финляндии, СССР.")</f>
        <v>1978 г. — на стадионе «Химик» областного центра состоялся международный турнир по хоккею с мячом. В турнире принимали участие команды Швеции, Норвегии, Финляндии, СССР.</v>
      </c>
      <c r="Z2004" s="6" t="str">
        <f>IFERROR(__xludf.DUMMYFUNCTION("""COMPUTED_VALUE"""),"Концерт ""Герои мирового рока"" в 2019 г")</f>
        <v>Концерт "Герои мирового рока" в 2019 г</v>
      </c>
      <c r="AA2004" s="6" t="str">
        <f>IFERROR(__xludf.DUMMYFUNCTION("""COMPUTED_VALUE"""),"Пожар в тц ""Зимняя вишня""")</f>
        <v>Пожар в тц "Зимняя вишня"</v>
      </c>
      <c r="AB2004" s="6" t="str">
        <f>IFERROR(__xludf.DUMMYFUNCTION("""COMPUTED_VALUE"""),"Спортивных, современных творческих")</f>
        <v>Спортивных, современных творческих</v>
      </c>
      <c r="AC2004" s="6" t="str">
        <f>IFERROR(__xludf.DUMMYFUNCTION("""COMPUTED_VALUE"""),"Открытие пешеходных зон, велодорожек, аквапарка, зоопарка")</f>
        <v>Открытие пешеходных зон, велодорожек, аквапарка, зоопарка</v>
      </c>
      <c r="AD2004"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"&amp;"участников")</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 Коммуникатора: Готов задействовать свои знакомства для приглашения потенциально заинтересованных участников</v>
      </c>
      <c r="AE2004" s="6" t="str">
        <f>IFERROR(__xludf.DUMMYFUNCTION("""COMPUTED_VALUE"""),"Женский")</f>
        <v>Женский</v>
      </c>
      <c r="AF2004" s="6" t="str">
        <f>IFERROR(__xludf.DUMMYFUNCTION("""COMPUTED_VALUE"""),"30-44")</f>
        <v>30-44</v>
      </c>
      <c r="AG2004" s="6"/>
      <c r="AH2004" s="6"/>
      <c r="AI2004" s="6"/>
      <c r="AJ2004" s="6"/>
      <c r="AK2004" s="6"/>
      <c r="AL2004" s="6"/>
      <c r="AM2004" s="6"/>
    </row>
    <row r="2005">
      <c r="A2005" s="6">
        <v>2004.0</v>
      </c>
      <c r="B2005" s="6" t="str">
        <f>IFERROR(__xludf.DUMMYFUNCTION("""COMPUTED_VALUE"""),"Работаю переводчиком")</f>
        <v>Работаю переводчиком</v>
      </c>
      <c r="C2005" s="6" t="str">
        <f>IFERROR(__xludf.DUMMYFUNCTION("""COMPUTED_VALUE"""),"спорт, юмор, путешествия")</f>
        <v>спорт, юмор, путешествия</v>
      </c>
      <c r="D2005" s="6" t="str">
        <f>IFERROR(__xludf.DUMMYFUNCTION("""COMPUTED_VALUE"""),"центральный")</f>
        <v>центральный</v>
      </c>
      <c r="E2005" s="6" t="str">
        <f>IFERROR(__xludf.DUMMYFUNCTION("""COMPUTED_VALUE"""),"Пионерский бульвар, Набережная, улица Весенняя, парк Жукова, парк чудес")</f>
        <v>Пионерский бульвар, Набережная, улица Весенняя, парк Жукова, парк чудес</v>
      </c>
      <c r="F2005" s="6" t="str">
        <f>IFERROR(__xludf.DUMMYFUNCTION("""COMPUTED_VALUE"""),"Живу здесь с рождения")</f>
        <v>Живу здесь с рождения</v>
      </c>
      <c r="G2005" s="6" t="str">
        <f>IFERROR(__xludf.DUMMYFUNCTION("""COMPUTED_VALUE"""),"На хоккей, в кино, в парк Жукова, музей Красная горка, набережная и Парк чудес, на каток")</f>
        <v>На хоккей, в кино, в парк Жукова, музей Красная горка, набережная и Парк чудес, на каток</v>
      </c>
      <c r="H2005" s="6" t="str">
        <f>IFERROR(__xludf.DUMMYFUNCTION("""COMPUTED_VALUE"""),"светлый, уютный, компактный, удобный, холодный")</f>
        <v>светлый, уютный, компактный, удобный, холодный</v>
      </c>
      <c r="I2005" s="6" t="str">
        <f>IFERROR(__xludf.DUMMYFUNCTION("""COMPUTED_VALUE"""),"Леонов, Подгорбунский, Тулеев")</f>
        <v>Леонов, Подгорбунский, Тулеев</v>
      </c>
      <c r="J2005" s="6" t="str">
        <f>IFERROR(__xludf.DUMMYFUNCTION("""COMPUTED_VALUE"""),"-")</f>
        <v>-</v>
      </c>
      <c r="K2005" s="6" t="str">
        <f>IFERROR(__xludf.DUMMYFUNCTION("""COMPUTED_VALUE"""),"Памятник шахтерской славы, набережная, лесная поляна, музей-заповедник Томская писаница, музей-заповедник Красная горка, проспект Советский, парк Ангелов.")</f>
        <v>Памятник шахтерской славы, набережная, лесная поляна, музей-заповедник Томская писаница, музей-заповедник Красная горка, проспект Советский, парк Ангелов.</v>
      </c>
      <c r="L2005" s="6" t="str">
        <f>IFERROR(__xludf.DUMMYFUNCTION("""COMPUTED_VALUE"""),"история о том как в Искитимку сбежал Бегемот, история АИК Кузбасс")</f>
        <v>история о том как в Искитимку сбежал Бегемот, история АИК Кузбасс</v>
      </c>
      <c r="M2005" s="6" t="str">
        <f>IFERROR(__xludf.DUMMYFUNCTION("""COMPUTED_VALUE"""),"нет")</f>
        <v>нет</v>
      </c>
      <c r="N2005" s="6" t="str">
        <f>IFERROR(__xludf.DUMMYFUNCTION("""COMPUTED_VALUE"""),"болое количество парков, компактность расположения ключевых объектов, удобный общественный транспорт, наличие рабочих мест, чистота")</f>
        <v>болое количество парков, компактность расположения ключевых объектов, удобный общественный транспорт, наличие рабочих мест, чистота</v>
      </c>
      <c r="O2005" s="6" t="str">
        <f>IFERROR(__xludf.DUMMYFUNCTION("""COMPUTED_VALUE"""),"открыть бассейн на 50м")</f>
        <v>открыть бассейн на 50м</v>
      </c>
      <c r="P2005" s="6" t="str">
        <f>IFERROR(__xludf.DUMMYFUNCTION("""COMPUTED_VALUE"""),"от друзей и родственников, из уличной рекламы")</f>
        <v>от друзей и родственников, из уличной рекламы</v>
      </c>
      <c r="Q2005"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2005" s="6" t="str">
        <f>IFERROR(__xludf.DUMMYFUNCTION("""COMPUTED_VALUE"""),"День Победы, День города, День шахтёра, день молодёжи")</f>
        <v>День Победы, День города, День шахтёра, день молодёжи</v>
      </c>
      <c r="S2005" s="6" t="str">
        <f>IFERROR(__xludf.DUMMYFUNCTION("""COMPUTED_VALUE"""),"Писал и расклеивал объявления/афиши, Через социальные сети (Какие? Укажите в графе другое), vk.ru")</f>
        <v>Писал и расклеивал объявления/афиши, Через социальные сети (Какие? Укажите в графе другое), vk.ru</v>
      </c>
      <c r="T2005" s="6" t="str">
        <f>IFERROR(__xludf.DUMMYFUNCTION("""COMPUTED_VALUE"""),"столица шахтёрского края, развитие хоккея с мячом и волейбола.")</f>
        <v>столица шахтёрского края, развитие хоккея с мячом и волейбола.</v>
      </c>
      <c r="U2005" s="6" t="str">
        <f>IFERROR(__xludf.DUMMYFUNCTION("""COMPUTED_VALUE"""),"площадь Советов")</f>
        <v>площадь Советов</v>
      </c>
      <c r="V2005" s="6" t="str">
        <f>IFERROR(__xludf.DUMMYFUNCTION("""COMPUTED_VALUE"""),"Много всего")</f>
        <v>Много всего</v>
      </c>
      <c r="W2005" s="6" t="str">
        <f>IFERROR(__xludf.DUMMYFUNCTION("""COMPUTED_VALUE"""),"Злые, прямолинейные, необразованные, грубые.")</f>
        <v>Злые, прямолинейные, необразованные, грубые.</v>
      </c>
      <c r="X2005" s="6" t="str">
        <f>IFERROR(__xludf.DUMMYFUNCTION("""COMPUTED_VALUE"""),"по проспекту Советский в парк чудес до музея Красная горка")</f>
        <v>по проспекту Советский в парк чудес до музея Красная горка</v>
      </c>
      <c r="Y2005" s="6" t="str">
        <f>IFERROR(__xludf.DUMMYFUNCTION("""COMPUTED_VALUE"""),"Чемпионат мира по хоккею с мячом.")</f>
        <v>Чемпионат мира по хоккею с мячом.</v>
      </c>
      <c r="Z2005" s="6" t="str">
        <f>IFERROR(__xludf.DUMMYFUNCTION("""COMPUTED_VALUE"""),"оппозиционные митинги")</f>
        <v>оппозиционные митинги</v>
      </c>
      <c r="AA2005" s="6" t="str">
        <f>IFERROR(__xludf.DUMMYFUNCTION("""COMPUTED_VALUE"""),"все инициативы губернатора")</f>
        <v>все инициативы губернатора</v>
      </c>
      <c r="AB2005" s="6" t="str">
        <f>IFERROR(__xludf.DUMMYFUNCTION("""COMPUTED_VALUE"""),"беговых клубов")</f>
        <v>беговых клубов</v>
      </c>
      <c r="AC2005" s="6" t="str">
        <f>IFERROR(__xludf.DUMMYFUNCTION("""COMPUTED_VALUE"""),"культурные фестивали")</f>
        <v>культурные фестивали</v>
      </c>
      <c r="AD2005"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неп"&amp;"осредственно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2005" s="6" t="str">
        <f>IFERROR(__xludf.DUMMYFUNCTION("""COMPUTED_VALUE"""),"Мужской")</f>
        <v>Мужской</v>
      </c>
      <c r="AF2005" s="6" t="str">
        <f>IFERROR(__xludf.DUMMYFUNCTION("""COMPUTED_VALUE"""),"30-44")</f>
        <v>30-44</v>
      </c>
      <c r="AG2005" s="6"/>
      <c r="AH2005" s="6"/>
      <c r="AI2005" s="6"/>
      <c r="AJ2005" s="6"/>
      <c r="AK2005" s="6"/>
      <c r="AL2005" s="6"/>
      <c r="AM2005" s="6"/>
    </row>
    <row r="2006">
      <c r="A2006" s="6">
        <v>2005.0</v>
      </c>
      <c r="B2006" s="6" t="str">
        <f>IFERROR(__xludf.DUMMYFUNCTION("""COMPUTED_VALUE"""),"Бухгалтерия")</f>
        <v>Бухгалтерия</v>
      </c>
      <c r="C2006" s="6" t="str">
        <f>IFERROR(__xludf.DUMMYFUNCTION("""COMPUTED_VALUE"""),"Спорт")</f>
        <v>Спорт</v>
      </c>
      <c r="D2006" s="6" t="str">
        <f>IFERROR(__xludf.DUMMYFUNCTION("""COMPUTED_VALUE"""),"Ленинский")</f>
        <v>Ленинский</v>
      </c>
      <c r="E2006" s="6" t="str">
        <f>IFERROR(__xludf.DUMMYFUNCTION("""COMPUTED_VALUE"""),"Бульвар Строителей, озеро Красное")</f>
        <v>Бульвар Строителей, озеро Красное</v>
      </c>
      <c r="F2006" s="6" t="str">
        <f>IFERROR(__xludf.DUMMYFUNCTION("""COMPUTED_VALUE"""),"Живу здесь с рождения")</f>
        <v>Живу здесь с рождения</v>
      </c>
      <c r="G2006" s="6" t="str">
        <f>IFERROR(__xludf.DUMMYFUNCTION("""COMPUTED_VALUE"""),"Кедровый бор, озеро Красное, Томская писаница")</f>
        <v>Кедровый бор, озеро Красное, Томская писаница</v>
      </c>
      <c r="H2006" s="6" t="str">
        <f>IFERROR(__xludf.DUMMYFUNCTION("""COMPUTED_VALUE"""),"Родина, детство, семья, друзья, счастье")</f>
        <v>Родина, детство, семья, друзья, счастье</v>
      </c>
      <c r="I2006" s="6" t="str">
        <f>IFERROR(__xludf.DUMMYFUNCTION("""COMPUTED_VALUE"""),"Алексей Леонов")</f>
        <v>Алексей Леонов</v>
      </c>
      <c r="J2006" s="6" t="str">
        <f>IFERROR(__xludf.DUMMYFUNCTION("""COMPUTED_VALUE"""),"Михайлов")</f>
        <v>Михайлов</v>
      </c>
      <c r="K2006" s="6" t="str">
        <f>IFERROR(__xludf.DUMMYFUNCTION("""COMPUTED_VALUE"""),"Томская писаница")</f>
        <v>Томская писаница</v>
      </c>
      <c r="L2006" s="6" t="str">
        <f>IFERROR(__xludf.DUMMYFUNCTION("""COMPUTED_VALUE"""),"не знаю таких")</f>
        <v>не знаю таких</v>
      </c>
      <c r="M2006" s="6" t="str">
        <f>IFERROR(__xludf.DUMMYFUNCTION("""COMPUTED_VALUE"""),"не знаю
")</f>
        <v>не знаю
</v>
      </c>
      <c r="N2006" s="6" t="str">
        <f>IFERROR(__xludf.DUMMYFUNCTION("""COMPUTED_VALUE"""),"Чистота, озеленение, транспорт, чистый воздух, парки")</f>
        <v>Чистота, озеленение, транспорт, чистый воздух, парки</v>
      </c>
      <c r="O2006" s="6" t="str">
        <f>IFERROR(__xludf.DUMMYFUNCTION("""COMPUTED_VALUE"""),"повысить ответственность чиновников за принимаемые решения
")</f>
        <v>повысить ответственность чиновников за принимаемые решения
</v>
      </c>
      <c r="P2006" s="6" t="str">
        <f>IFERROR(__xludf.DUMMYFUNCTION("""COMPUTED_VALUE"""),"инстаграмм")</f>
        <v>инстаграмм</v>
      </c>
      <c r="Q2006" s="6" t="str">
        <f>IFERROR(__xludf.DUMMYFUNCTION("""COMPUTED_VALUE"""),"куда пойти в свободное время, городская афиша (кино/театр/концерты), культурные новинки (что почитать/что послушать)")</f>
        <v>куда пойти в свободное время, городская афиша (кино/театр/концерты), культурные новинки (что почитать/что послушать)</v>
      </c>
      <c r="R2006" s="6" t="str">
        <f>IFERROR(__xludf.DUMMYFUNCTION("""COMPUTED_VALUE"""),"Новый год, День Победы, День города")</f>
        <v>Новый год, День Победы, День города</v>
      </c>
      <c r="S2006" s="6" t="str">
        <f>IFERROR(__xludf.DUMMYFUNCTION("""COMPUTED_VALUE"""),"Нет, не приходилось")</f>
        <v>Нет, не приходилось</v>
      </c>
      <c r="T2006" s="6" t="str">
        <f>IFERROR(__xludf.DUMMYFUNCTION("""COMPUTED_VALUE"""),"трудно сказать")</f>
        <v>трудно сказать</v>
      </c>
      <c r="U2006" s="6" t="str">
        <f>IFERROR(__xludf.DUMMYFUNCTION("""COMPUTED_VALUE"""),"площадь Советов")</f>
        <v>площадь Советов</v>
      </c>
      <c r="V2006" s="6" t="str">
        <f>IFERROR(__xludf.DUMMYFUNCTION("""COMPUTED_VALUE"""),"затрудняюсь ответить")</f>
        <v>затрудняюсь ответить</v>
      </c>
      <c r="W2006" s="6" t="str">
        <f>IFERROR(__xludf.DUMMYFUNCTION("""COMPUTED_VALUE"""),"такие же как все россияне")</f>
        <v>такие же как все россияне</v>
      </c>
      <c r="X2006" s="6" t="str">
        <f>IFERROR(__xludf.DUMMYFUNCTION("""COMPUTED_VALUE"""),"набережная")</f>
        <v>набережная</v>
      </c>
      <c r="Y2006" s="6" t="str">
        <f>IFERROR(__xludf.DUMMYFUNCTION("""COMPUTED_VALUE"""),"затрудняюсь")</f>
        <v>затрудняюсь</v>
      </c>
      <c r="Z2006" s="6" t="str">
        <f>IFERROR(__xludf.DUMMYFUNCTION("""COMPUTED_VALUE"""),"обновление бульвара Строителей,  появление Кадетского училища")</f>
        <v>обновление бульвара Строителей,  появление Кадетского училища</v>
      </c>
      <c r="AA2006" s="6" t="str">
        <f>IFERROR(__xludf.DUMMYFUNCTION("""COMPUTED_VALUE"""),"отсутствие мест отдыха у воды в черте города")</f>
        <v>отсутствие мест отдыха у воды в черте города</v>
      </c>
      <c r="AB2006" s="6" t="str">
        <f>IFERROR(__xludf.DUMMYFUNCTION("""COMPUTED_VALUE"""),"женских объединений")</f>
        <v>женских объединений</v>
      </c>
      <c r="AC2006" s="6" t="str">
        <f>IFERROR(__xludf.DUMMYFUNCTION("""COMPUTED_VALUE"""),"выставки")</f>
        <v>выставки</v>
      </c>
      <c r="AD2006" s="6" t="str">
        <f>IFERROR(__xludf.DUMMYFUNCTION("""COMPUTED_VALUE"""),"если будет интересно обязательно приду")</f>
        <v>если будет интересно обязательно приду</v>
      </c>
      <c r="AE2006" s="6" t="str">
        <f>IFERROR(__xludf.DUMMYFUNCTION("""COMPUTED_VALUE"""),"Женский")</f>
        <v>Женский</v>
      </c>
      <c r="AF2006" s="6" t="str">
        <f>IFERROR(__xludf.DUMMYFUNCTION("""COMPUTED_VALUE"""),"старше 55")</f>
        <v>старше 55</v>
      </c>
      <c r="AG2006" s="6"/>
      <c r="AH2006" s="6"/>
      <c r="AI2006" s="6"/>
      <c r="AJ2006" s="6"/>
      <c r="AK2006" s="6"/>
      <c r="AL2006" s="6"/>
      <c r="AM2006" s="6"/>
    </row>
    <row r="2007">
      <c r="A2007" s="6">
        <v>2006.0</v>
      </c>
      <c r="B2007" s="6" t="str">
        <f>IFERROR(__xludf.DUMMYFUNCTION("""COMPUTED_VALUE"""),"Рабочий")</f>
        <v>Рабочий</v>
      </c>
      <c r="C2007" s="6" t="str">
        <f>IFERROR(__xludf.DUMMYFUNCTION("""COMPUTED_VALUE"""),"Путешествия, чтение, музыка")</f>
        <v>Путешествия, чтение, музыка</v>
      </c>
      <c r="D2007" s="6" t="str">
        <f>IFERROR(__xludf.DUMMYFUNCTION("""COMPUTED_VALUE"""),"Южный")</f>
        <v>Южный</v>
      </c>
      <c r="E2007" s="6" t="str">
        <f>IFERROR(__xludf.DUMMYFUNCTION("""COMPUTED_VALUE"""),"Храм, памятник Гагарину, бульвар Патриотов, Лента, Привоз.")</f>
        <v>Храм, памятник Гагарину, бульвар Патриотов, Лента, Привоз.</v>
      </c>
      <c r="F2007" s="6" t="str">
        <f>IFERROR(__xludf.DUMMYFUNCTION("""COMPUTED_VALUE"""),"Живу здесь с рождения")</f>
        <v>Живу здесь с рождения</v>
      </c>
      <c r="G2007" s="6" t="str">
        <f>IFERROR(__xludf.DUMMYFUNCTION("""COMPUTED_VALUE"""),"Бассейны, кафе, музеи, библиотеки, кинотеатры, магазины.")</f>
        <v>Бассейны, кафе, музеи, библиотеки, кинотеатры, магазины.</v>
      </c>
      <c r="H2007" s="6" t="str">
        <f>IFERROR(__xludf.DUMMYFUNCTION("""COMPUTED_VALUE"""),"""Лазурный"", ""Азот"", КемГУ, набережная, трамвай.")</f>
        <v>"Лазурный", "Азот", КемГУ, набережная, трамвай.</v>
      </c>
      <c r="I2007" s="6" t="str">
        <f>IFERROR(__xludf.DUMMYFUNCTION("""COMPUTED_VALUE"""),"Подгорбунский, Леонов, Вера Волошина, Вдовин.")</f>
        <v>Подгорбунский, Леонов, Вера Волошина, Вдовин.</v>
      </c>
      <c r="J2007" s="6" t="str">
        <f>IFERROR(__xludf.DUMMYFUNCTION("""COMPUTED_VALUE"""),"Говоров Ю.Л. - экс. декан истфака КемГУ, Мазур Андрей Владимирович - преподаватель лицея ГКЛ, Понутриев Г.Г.- врач, мануальный терапевт, Евгений Гришковец.")</f>
        <v>Говоров Ю.Л. - экс. декан истфака КемГУ, Мазур Андрей Владимирович - преподаватель лицея ГКЛ, Понутриев Г.Г.- врач, мануальный терапевт, Евгений Гришковец.</v>
      </c>
      <c r="K2007" s="6" t="str">
        <f>IFERROR(__xludf.DUMMYFUNCTION("""COMPUTED_VALUE"""),"Бор, остров на Томи, площадь Пушкина, музей Изо, трц ""Я"" и Лапландия.")</f>
        <v>Бор, остров на Томи, площадь Пушкина, музей Изо, трц "Я" и Лапландия.</v>
      </c>
      <c r="L2007" s="6" t="str">
        <f>IFERROR(__xludf.DUMMYFUNCTION("""COMPUTED_VALUE"""),"""Южный - никому не нужный :)""
Съездить провериться по 17-му маршруту.")</f>
        <v>"Южный - никому не нужный :)"
Съездить провериться по 17-му маршруту.</v>
      </c>
      <c r="M2007" s="6" t="str">
        <f>IFERROR(__xludf.DUMMYFUNCTION("""COMPUTED_VALUE"""),"Швейка.
Завокзалье.
Колос.
Яшка.")</f>
        <v>Швейка.
Завокзалье.
Колос.
Яшка.</v>
      </c>
      <c r="N2007" s="6" t="str">
        <f>IFERROR(__xludf.DUMMYFUNCTION("""COMPUTED_VALUE"""),"1.Наличие рабочих мест с достойной оплатой. 
2.Бесперебойное электро, водо, теплоснабжение.
3.Здравоохранение.
4.Транспорт. Магазины.
5.Спортивные, религиозные, культурные объекты.")</f>
        <v>1.Наличие рабочих мест с достойной оплатой. 
2.Бесперебойное электро, водо, теплоснабжение.
3.Здравоохранение.
4.Транспорт. Магазины.
5.Спортивные, религиозные, культурные объекты.</v>
      </c>
      <c r="O2007" s="6" t="str">
        <f>IFERROR(__xludf.DUMMYFUNCTION("""COMPUTED_VALUE"""),"Экономическое развитие, повышающее благосостояние населения.")</f>
        <v>Экономическое развитие, повышающее благосостояние населения.</v>
      </c>
      <c r="P2007" s="6" t="str">
        <f>IFERROR(__xludf.DUMMYFUNCTION("""COMPUTED_VALUE"""),"ВКонтакте, сайты учреждений, реклама по радио и ТВ.")</f>
        <v>ВКонтакте, сайты учреждений, реклама по радио и ТВ.</v>
      </c>
      <c r="Q2007" s="6" t="str">
        <f>IFERROR(__xludf.DUMMYFUNCTION("""COMPUTED_VALUE"""),"куда пойти в свободное время, городская афиша (кино/театр/концерты), интервью с местными творческими личностями")</f>
        <v>куда пойти в свободное время, городская афиша (кино/театр/концерты), интервью с местными творческими личностями</v>
      </c>
      <c r="R2007" s="6" t="str">
        <f>IFERROR(__xludf.DUMMYFUNCTION("""COMPUTED_VALUE"""),"День города, Пасха, 9 Мая, Новый год.")</f>
        <v>День города, Пасха, 9 Мая, Новый год.</v>
      </c>
      <c r="S2007" s="6" t="str">
        <f>IFERROR(__xludf.DUMMYFUNCTION("""COMPUTED_VALUE"""),"Нет, не приходилось")</f>
        <v>Нет, не приходилось</v>
      </c>
      <c r="T2007" s="6" t="str">
        <f>IFERROR(__xludf.DUMMYFUNCTION("""COMPUTED_VALUE"""),"Шахтёрами, химиками.")</f>
        <v>Шахтёрами, химиками.</v>
      </c>
      <c r="U2007" s="6" t="str">
        <f>IFERROR(__xludf.DUMMYFUNCTION("""COMPUTED_VALUE"""),"Набережная р.Томь.
Ул.Весенняя.")</f>
        <v>Набережная р.Томь.
Ул.Весенняя.</v>
      </c>
      <c r="V2007" s="6" t="str">
        <f>IFERROR(__xludf.DUMMYFUNCTION("""COMPUTED_VALUE"""),"Развитие города, промышленности, культуры, образования в сибирских климатических условиях. Вклад в победу в ВОВ (производство боеприпасов, добыча угля, работа госпиталей и т.д.).")</f>
        <v>Развитие города, промышленности, культуры, образования в сибирских климатических условиях. Вклад в победу в ВОВ (производство боеприпасов, добыча угля, работа госпиталей и т.д.).</v>
      </c>
      <c r="W2007" s="6" t="str">
        <f>IFERROR(__xludf.DUMMYFUNCTION("""COMPUTED_VALUE"""),"Надежда на лучшее.")</f>
        <v>Надежда на лучшее.</v>
      </c>
      <c r="X2007" s="6" t="str">
        <f>IFERROR(__xludf.DUMMYFUNCTION("""COMPUTED_VALUE"""),"пр.Советский, ул.Весенняя, набережная Томи и через мост до Красной горки.")</f>
        <v>пр.Советский, ул.Весенняя, набережная Томи и через мост до Красной горки.</v>
      </c>
      <c r="Y2007" s="6" t="str">
        <f>IFERROR(__xludf.DUMMYFUNCTION("""COMPUTED_VALUE"""),"Присвоение Кемерову статуса областного центра.")</f>
        <v>Присвоение Кемерову статуса областного центра.</v>
      </c>
      <c r="Z2007" s="6" t="str">
        <f>IFERROR(__xludf.DUMMYFUNCTION("""COMPUTED_VALUE"""),"Строительство нового жилья и объектов. Открытие новой поликлиники на Южном. Снятие ограничений вызванных пандемией. Ремонт крыш. Вывоз снега.")</f>
        <v>Строительство нового жилья и объектов. Открытие новой поликлиники на Южном. Снятие ограничений вызванных пандемией. Ремонт крыш. Вывоз снега.</v>
      </c>
      <c r="AA2007" s="6" t="str">
        <f>IFERROR(__xludf.DUMMYFUNCTION("""COMPUTED_VALUE"""),"Пожары. Закрытие""Лазурного"". Ограничения в связи с пандемией.")</f>
        <v>Пожары. Закрытие"Лазурного". Ограничения в связи с пандемией.</v>
      </c>
      <c r="AB2007" s="6" t="str">
        <f>IFERROR(__xludf.DUMMYFUNCTION("""COMPUTED_VALUE"""),"Неравнодушных, деятельных.")</f>
        <v>Неравнодушных, деятельных.</v>
      </c>
      <c r="AC2007" s="6" t="str">
        <f>IFERROR(__xludf.DUMMYFUNCTION("""COMPUTED_VALUE"""),"Праздники.")</f>
        <v>Праздники.</v>
      </c>
      <c r="AD2007"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2007" s="6" t="str">
        <f>IFERROR(__xludf.DUMMYFUNCTION("""COMPUTED_VALUE"""),"Мужской")</f>
        <v>Мужской</v>
      </c>
      <c r="AF2007" s="6" t="str">
        <f>IFERROR(__xludf.DUMMYFUNCTION("""COMPUTED_VALUE"""),"45-55")</f>
        <v>45-55</v>
      </c>
      <c r="AG2007" s="6"/>
      <c r="AH2007" s="6"/>
      <c r="AI2007" s="6"/>
      <c r="AJ2007" s="6"/>
      <c r="AK2007" s="6"/>
      <c r="AL2007" s="6"/>
      <c r="AM2007" s="6"/>
    </row>
    <row r="2008">
      <c r="A2008" s="6">
        <v>2007.0</v>
      </c>
      <c r="B2008" s="6" t="str">
        <f>IFERROR(__xludf.DUMMYFUNCTION("""COMPUTED_VALUE"""),"Нефтяная промышленность")</f>
        <v>Нефтяная промышленность</v>
      </c>
      <c r="C2008" s="6" t="str">
        <f>IFERROR(__xludf.DUMMYFUNCTION("""COMPUTED_VALUE"""),"Баскетбол, музыка, покер")</f>
        <v>Баскетбол, музыка, покер</v>
      </c>
      <c r="D2008" s="6" t="str">
        <f>IFERROR(__xludf.DUMMYFUNCTION("""COMPUTED_VALUE"""),"Ленинский район, Комсомольский")</f>
        <v>Ленинский район, Комсомольский</v>
      </c>
      <c r="E2008" s="6" t="str">
        <f>IFERROR(__xludf.DUMMYFUNCTION("""COMPUTED_VALUE"""),"Бульвар строителей, Сухово")</f>
        <v>Бульвар строителей, Сухово</v>
      </c>
      <c r="F2008" s="6" t="str">
        <f>IFERROR(__xludf.DUMMYFUNCTION("""COMPUTED_VALUE"""),"Переехал сюда из другого места (откуда? укажите в графе другое), Переехал из г.Норильск, так как Кемерово мой второй город, бывал каждое лето у бабушки, учился в институте, родители переехали с Норильска в Кемерово")</f>
        <v>Переехал сюда из другого места (откуда? укажите в графе другое), Переехал из г.Норильск, так как Кемерово мой второй город, бывал каждое лето у бабушки, учился в институте, родители переехали с Норильска в Кемерово</v>
      </c>
      <c r="G2008" s="6" t="str">
        <f>IFERROR(__xludf.DUMMYFUNCTION("""COMPUTED_VALUE"""),"Парк чудес, кинотеатр Юбилейный, ресторан Шашлыков, бульвар Строителей, Жургавань, Томская писаница")</f>
        <v>Парк чудес, кинотеатр Юбилейный, ресторан Шашлыков, бульвар Строителей, Жургавань, Томская писаница</v>
      </c>
      <c r="H2008" s="6" t="str">
        <f>IFERROR(__xludf.DUMMYFUNCTION("""COMPUTED_VALUE"""),"Томь, Кузбасс, Тайга, Тулеев, Уголь")</f>
        <v>Томь, Кузбасс, Тайга, Тулеев, Уголь</v>
      </c>
      <c r="I2008" s="6" t="str">
        <f>IFERROR(__xludf.DUMMYFUNCTION("""COMPUTED_VALUE"""),"Тулеев")</f>
        <v>Тулеев</v>
      </c>
      <c r="J2008" s="6" t="str">
        <f>IFERROR(__xludf.DUMMYFUNCTION("""COMPUTED_VALUE"""),"Тулеев")</f>
        <v>Тулеев</v>
      </c>
      <c r="K2008" s="6" t="str">
        <f>IFERROR(__xludf.DUMMYFUNCTION("""COMPUTED_VALUE"""),"Набережная, Сосновый бор, Бульвар Строителей")</f>
        <v>Набережная, Сосновый бор, Бульвар Строителей</v>
      </c>
      <c r="L2008" s="6" t="str">
        <f>IFERROR(__xludf.DUMMYFUNCTION("""COMPUTED_VALUE"""),"Не знаю")</f>
        <v>Не знаю</v>
      </c>
      <c r="M2008" s="6" t="str">
        <f>IFERROR(__xludf.DUMMYFUNCTION("""COMPUTED_VALUE"""),"Не знаю")</f>
        <v>Не знаю</v>
      </c>
      <c r="N2008" s="6" t="str">
        <f>IFERROR(__xludf.DUMMYFUNCTION("""COMPUTED_VALUE"""),"Озеленение, Дороги, Инфраструктура дворов, Парковки, Парки")</f>
        <v>Озеленение, Дороги, Инфраструктура дворов, Парковки, Парки</v>
      </c>
      <c r="O2008" s="6" t="str">
        <f>IFERROR(__xludf.DUMMYFUNCTION("""COMPUTED_VALUE"""),"Построить 3й мост")</f>
        <v>Построить 3й мост</v>
      </c>
      <c r="P2008" s="6" t="str">
        <f>IFERROR(__xludf.DUMMYFUNCTION("""COMPUTED_VALUE"""),"Кузбасс новости в инстаграмм")</f>
        <v>Кузбасс новости в инстаграмм</v>
      </c>
      <c r="Q2008" s="6" t="str">
        <f>IFERROR(__xludf.DUMMYFUNCTION("""COMPUTED_VALUE"""),"где вкусно поесть/открытие новых кафе/ресторанов, интервью с местными творческими личностями, криминальные новости (происшествия/преступления)")</f>
        <v>где вкусно поесть/открытие новых кафе/ресторанов, интервью с местными творческими личностями, криминальные новости (происшествия/преступления)</v>
      </c>
      <c r="R2008" s="6" t="str">
        <f>IFERROR(__xludf.DUMMYFUNCTION("""COMPUTED_VALUE"""),"1 июня - День защиты детей")</f>
        <v>1 июня - День защиты детей</v>
      </c>
      <c r="S2008" s="6" t="str">
        <f>IFERROR(__xludf.DUMMYFUNCTION("""COMPUTED_VALUE"""),"Нет, не приходилось")</f>
        <v>Нет, не приходилось</v>
      </c>
      <c r="T2008" s="6" t="str">
        <f>IFERROR(__xludf.DUMMYFUNCTION("""COMPUTED_VALUE"""),"Очень красивый город с хорошими дорогами")</f>
        <v>Очень красивый город с хорошими дорогами</v>
      </c>
      <c r="U2008" s="6" t="str">
        <f>IFERROR(__xludf.DUMMYFUNCTION("""COMPUTED_VALUE"""),"Набережная Притомская")</f>
        <v>Набережная Притомская</v>
      </c>
      <c r="V2008" s="6" t="str">
        <f>IFERROR(__xludf.DUMMYFUNCTION("""COMPUTED_VALUE"""),"Старались не мусорить")</f>
        <v>Старались не мусорить</v>
      </c>
      <c r="W2008" s="6" t="str">
        <f>IFERROR(__xludf.DUMMYFUNCTION("""COMPUTED_VALUE"""),"Помогают друг другу")</f>
        <v>Помогают друг другу</v>
      </c>
      <c r="X2008" s="6" t="str">
        <f>IFERROR(__xludf.DUMMYFUNCTION("""COMPUTED_VALUE"""),"По Ленинском проспекту от бульвара Строителей до Вокзала")</f>
        <v>По Ленинском проспекту от бульвара Строителей до Вокзала</v>
      </c>
      <c r="Y2008" s="6" t="str">
        <f>IFERROR(__xludf.DUMMYFUNCTION("""COMPUTED_VALUE"""),"Не знаю")</f>
        <v>Не знаю</v>
      </c>
      <c r="Z2008" s="6" t="str">
        <f>IFERROR(__xludf.DUMMYFUNCTION("""COMPUTED_VALUE"""),"Строительство объектов инфраструктуры")</f>
        <v>Строительство объектов инфраструктуры</v>
      </c>
      <c r="AA2008" s="6" t="str">
        <f>IFERROR(__xludf.DUMMYFUNCTION("""COMPUTED_VALUE"""),"ЭКОЛОГИЯ")</f>
        <v>ЭКОЛОГИЯ</v>
      </c>
      <c r="AB2008" s="6" t="str">
        <f>IFERROR(__xludf.DUMMYFUNCTION("""COMPUTED_VALUE"""),"Рок клубов")</f>
        <v>Рок клубов</v>
      </c>
      <c r="AC2008" s="6" t="str">
        <f>IFERROR(__xludf.DUMMYFUNCTION("""COMPUTED_VALUE"""),"Развития рок музыки по примеру Томска, проведение рок-фестивалей, Фестивалей авторской песни")</f>
        <v>Развития рок музыки по примеру Томска, проведение рок-фестивалей, Фестивалей авторской песни</v>
      </c>
      <c r="AD2008" s="6" t="str">
        <f>IFERROR(__xludf.DUMMYFUNCTION("""COMPUTED_VALUE"""),"Не готов принимать личное участие (укажите, пожалуйста, причину в поле «Другое»), Работа не позволит уделять должное время")</f>
        <v>Не готов принимать личное участие (укажите, пожалуйста, причину в поле «Другое»), Работа не позволит уделять должное время</v>
      </c>
      <c r="AE2008" s="6" t="str">
        <f>IFERROR(__xludf.DUMMYFUNCTION("""COMPUTED_VALUE"""),"Мужской")</f>
        <v>Мужской</v>
      </c>
      <c r="AF2008" s="6" t="str">
        <f>IFERROR(__xludf.DUMMYFUNCTION("""COMPUTED_VALUE"""),"30-44")</f>
        <v>30-44</v>
      </c>
      <c r="AG2008" s="6"/>
      <c r="AH2008" s="6"/>
      <c r="AI2008" s="6"/>
      <c r="AJ2008" s="6"/>
      <c r="AK2008" s="6"/>
      <c r="AL2008" s="6"/>
      <c r="AM2008" s="6"/>
    </row>
    <row r="2009">
      <c r="A2009" s="6">
        <v>2008.0</v>
      </c>
      <c r="B2009" s="6" t="str">
        <f>IFERROR(__xludf.DUMMYFUNCTION("""COMPUTED_VALUE"""),"сплю и отдыхаю")</f>
        <v>сплю и отдыхаю</v>
      </c>
      <c r="C2009" s="6" t="str">
        <f>IFERROR(__xludf.DUMMYFUNCTION("""COMPUTED_VALUE"""),"радиолюбитель")</f>
        <v>радиолюбитель</v>
      </c>
      <c r="D2009" s="6" t="str">
        <f>IFERROR(__xludf.DUMMYFUNCTION("""COMPUTED_VALUE"""),"Ленинский р-н")</f>
        <v>Ленинский р-н</v>
      </c>
      <c r="E2009" s="6" t="str">
        <f>IFERROR(__xludf.DUMMYFUNCTION("""COMPUTED_VALUE"""),"кадетское училище")</f>
        <v>кадетское училище</v>
      </c>
      <c r="F2009" s="6" t="str">
        <f>IFERROR(__xludf.DUMMYFUNCTION("""COMPUTED_VALUE"""),"Живу здесь с рождения")</f>
        <v>Живу здесь с рождения</v>
      </c>
      <c r="G2009" s="6" t="str">
        <f>IFERROR(__xludf.DUMMYFUNCTION("""COMPUTED_VALUE"""),"Писаный скалы.")</f>
        <v>Писаный скалы.</v>
      </c>
      <c r="H2009" s="6" t="str">
        <f>IFERROR(__xludf.DUMMYFUNCTION("""COMPUTED_VALUE"""),"нет")</f>
        <v>нет</v>
      </c>
      <c r="I2009" s="6" t="str">
        <f>IFERROR(__xludf.DUMMYFUNCTION("""COMPUTED_VALUE"""),"незнаю")</f>
        <v>незнаю</v>
      </c>
      <c r="J2009" s="6" t="str">
        <f>IFERROR(__xludf.DUMMYFUNCTION("""COMPUTED_VALUE"""),"незнаю")</f>
        <v>незнаю</v>
      </c>
      <c r="K2009" s="6" t="str">
        <f>IFERROR(__xludf.DUMMYFUNCTION("""COMPUTED_VALUE"""),"памятник воинам ВоВ")</f>
        <v>памятник воинам ВоВ</v>
      </c>
      <c r="L2009" s="6" t="str">
        <f>IFERROR(__xludf.DUMMYFUNCTION("""COMPUTED_VALUE"""),"не знаю")</f>
        <v>не знаю</v>
      </c>
      <c r="M2009" s="6" t="str">
        <f>IFERROR(__xludf.DUMMYFUNCTION("""COMPUTED_VALUE"""),"не знаю")</f>
        <v>не знаю</v>
      </c>
      <c r="N2009" s="6" t="str">
        <f>IFERROR(__xludf.DUMMYFUNCTION("""COMPUTED_VALUE"""),"Нет их.")</f>
        <v>Нет их.</v>
      </c>
      <c r="O2009" s="6" t="str">
        <f>IFERROR(__xludf.DUMMYFUNCTION("""COMPUTED_VALUE"""),"Помыть улицы от пыли.Народ задыхается.А Мэр этого не видит.")</f>
        <v>Помыть улицы от пыли.Народ задыхается.А Мэр этого не видит.</v>
      </c>
      <c r="P2009" s="6" t="str">
        <f>IFERROR(__xludf.DUMMYFUNCTION("""COMPUTED_VALUE"""),"Интернет")</f>
        <v>Интернет</v>
      </c>
      <c r="Q2009" s="6" t="str">
        <f>IFERROR(__xludf.DUMMYFUNCTION("""COMPUTED_VALUE"""),"Нет тем интересных.")</f>
        <v>Нет тем интересных.</v>
      </c>
      <c r="R2009" s="6" t="str">
        <f>IFERROR(__xludf.DUMMYFUNCTION("""COMPUTED_VALUE"""),"Юбилей города.")</f>
        <v>Юбилей города.</v>
      </c>
      <c r="S2009" s="6" t="str">
        <f>IFERROR(__xludf.DUMMYFUNCTION("""COMPUTED_VALUE"""),"Нет, не приходилось")</f>
        <v>Нет, не приходилось</v>
      </c>
      <c r="T2009" s="6" t="str">
        <f>IFERROR(__xludf.DUMMYFUNCTION("""COMPUTED_VALUE"""),"Пока нет.")</f>
        <v>Пока нет.</v>
      </c>
      <c r="U2009" s="6" t="str">
        <f>IFERROR(__xludf.DUMMYFUNCTION("""COMPUTED_VALUE"""),"Бульвар Строителей.Но он сейчас весь перекопан.")</f>
        <v>Бульвар Строителей.Но он сейчас весь перекопан.</v>
      </c>
      <c r="V2009" s="6" t="str">
        <f>IFERROR(__xludf.DUMMYFUNCTION("""COMPUTED_VALUE"""),"Бывшие заводы который закрыли.")</f>
        <v>Бывшие заводы который закрыли.</v>
      </c>
      <c r="W2009" s="6" t="str">
        <f>IFERROR(__xludf.DUMMYFUNCTION("""COMPUTED_VALUE"""),"Грубые и хамоватые.Жизня такая.")</f>
        <v>Грубые и хамоватые.Жизня такая.</v>
      </c>
      <c r="X2009" s="6" t="str">
        <f>IFERROR(__xludf.DUMMYFUNCTION("""COMPUTED_VALUE"""),"Я на авто ездию куда хочю.")</f>
        <v>Я на авто ездию куда хочю.</v>
      </c>
      <c r="Y2009" s="6" t="str">
        <f>IFERROR(__xludf.DUMMYFUNCTION("""COMPUTED_VALUE"""),"300лет Кузбассу.")</f>
        <v>300лет Кузбассу.</v>
      </c>
      <c r="Z2009" s="6" t="str">
        <f>IFERROR(__xludf.DUMMYFUNCTION("""COMPUTED_VALUE"""),"Не каких.")</f>
        <v>Не каких.</v>
      </c>
      <c r="AA2009" s="6" t="str">
        <f>IFERROR(__xludf.DUMMYFUNCTION("""COMPUTED_VALUE"""),"Повышение тарифов ЖКХ.Достали.")</f>
        <v>Повышение тарифов ЖКХ.Достали.</v>
      </c>
      <c r="AB2009" s="6" t="str">
        <f>IFERROR(__xludf.DUMMYFUNCTION("""COMPUTED_VALUE"""),"Все хватает.")</f>
        <v>Все хватает.</v>
      </c>
      <c r="AC2009" s="6" t="str">
        <f>IFERROR(__xludf.DUMMYFUNCTION("""COMPUTED_VALUE"""),"По больше внимания  к городу со стороны Адмистрации города.")</f>
        <v>По больше внимания  к городу со стороны Адмистрации города.</v>
      </c>
      <c r="AD2009" s="6" t="str">
        <f>IFERROR(__xludf.DUMMYFUNCTION("""COMPUTED_VALUE"""),"Не вижу смысла.")</f>
        <v>Не вижу смысла.</v>
      </c>
      <c r="AE2009" s="6" t="str">
        <f>IFERROR(__xludf.DUMMYFUNCTION("""COMPUTED_VALUE"""),"Мужской")</f>
        <v>Мужской</v>
      </c>
      <c r="AF2009" s="6" t="str">
        <f>IFERROR(__xludf.DUMMYFUNCTION("""COMPUTED_VALUE"""),"старше 55")</f>
        <v>старше 55</v>
      </c>
      <c r="AG2009" s="6"/>
      <c r="AH2009" s="6"/>
      <c r="AI2009" s="6"/>
      <c r="AJ2009" s="6"/>
      <c r="AK2009" s="6"/>
      <c r="AL2009" s="6"/>
      <c r="AM2009" s="6"/>
    </row>
    <row r="2010">
      <c r="A2010" s="6">
        <v>2009.0</v>
      </c>
      <c r="B2010" s="6" t="str">
        <f>IFERROR(__xludf.DUMMYFUNCTION("""COMPUTED_VALUE"""),"Самозанятость")</f>
        <v>Самозанятость</v>
      </c>
      <c r="C2010" s="6" t="str">
        <f>IFERROR(__xludf.DUMMYFUNCTION("""COMPUTED_VALUE"""),"Зооволонтер, эколог")</f>
        <v>Зооволонтер, эколог</v>
      </c>
      <c r="D2010" s="6" t="str">
        <f>IFERROR(__xludf.DUMMYFUNCTION("""COMPUTED_VALUE"""),"Кировский, жопа мира")</f>
        <v>Кировский, жопа мира</v>
      </c>
      <c r="E2010" s="6" t="str">
        <f>IFERROR(__xludf.DUMMYFUNCTION("""COMPUTED_VALUE"""),"Памятник СССР - березовая роща")</f>
        <v>Памятник СССР - березовая роща</v>
      </c>
      <c r="F2010" s="6" t="str">
        <f>IFERROR(__xludf.DUMMYFUNCTION("""COMPUTED_VALUE"""),"Переехал сюда из другого места (откуда? укажите в графе другое), Из Мариинска. Более 10-ти лет назад")</f>
        <v>Переехал сюда из другого места (откуда? укажите в графе другое), Из Мариинска. Более 10-ти лет назад</v>
      </c>
      <c r="G2010" s="6" t="str">
        <f>IFERROR(__xludf.DUMMYFUNCTION("""COMPUTED_VALUE"""),"За город.")</f>
        <v>За город.</v>
      </c>
      <c r="H2010" s="6" t="str">
        <f>IFERROR(__xludf.DUMMYFUNCTION("""COMPUTED_VALUE"""),"Сибирь, глушь, выживание, зима, костность")</f>
        <v>Сибирь, глушь, выживание, зима, костность</v>
      </c>
      <c r="I2010" s="6" t="str">
        <f>IFERROR(__xludf.DUMMYFUNCTION("""COMPUTED_VALUE"""),"Волков. Сожалею, что больше никто не приходит на ум")</f>
        <v>Волков. Сожалею, что больше никто не приходит на ум</v>
      </c>
      <c r="J2010" s="6" t="str">
        <f>IFERROR(__xludf.DUMMYFUNCTION("""COMPUTED_VALUE"""),"Не знаю")</f>
        <v>Не знаю</v>
      </c>
      <c r="K2010" s="6" t="str">
        <f>IFERROR(__xludf.DUMMYFUNCTION("""COMPUTED_VALUE"""),"Набережная (разбитая и убогая, но с прекрасным видом), часть Весенней и Островского. Перекрёстки с разрисованными домами, вид на город с горы, где установлен крест (зачем только, не понятно)")</f>
        <v>Набережная (разбитая и убогая, но с прекрасным видом), часть Весенней и Островского. Перекрёстки с разрисованными домами, вид на город с горы, где установлен крест (зачем только, не понятно)</v>
      </c>
      <c r="L2010" s="6" t="str">
        <f>IFERROR(__xludf.DUMMYFUNCTION("""COMPUTED_VALUE"""),"Женщина, качающая пресс. Так называют металлическую барышню на берегу Томи, эту реку и изображающую. С помятой грудью.
Ленин в женском пальто.")</f>
        <v>Женщина, качающая пресс. Так называют металлическую барышню на берегу Томи, эту реку и изображающую. С помятой грудью.
Ленин в женском пальто.</v>
      </c>
      <c r="M2010" s="6" t="str">
        <f>IFERROR(__xludf.DUMMYFUNCTION("""COMPUTED_VALUE"""),"Нет")</f>
        <v>Нет</v>
      </c>
      <c r="N2010" s="6" t="str">
        <f>IFERROR(__xludf.DUMMYFUNCTION("""COMPUTED_VALUE"""),"Транспорт, чистота, дороги-тротуары, много зелени, воздух")</f>
        <v>Транспорт, чистота, дороги-тротуары, много зелени, воздух</v>
      </c>
      <c r="O2010" s="6" t="str">
        <f>IFERROR(__xludf.DUMMYFUNCTION("""COMPUTED_VALUE"""),"Вернуть внимание микрорайонам, которые не центральный и не ленинский. Они все будто не Кемерово. ")</f>
        <v>Вернуть внимание микрорайонам, которые не центральный и не ленинский. Они все будто не Кемерово. </v>
      </c>
      <c r="P2010" s="6" t="str">
        <f>IFERROR(__xludf.DUMMYFUNCTION("""COMPUTED_VALUE"""),"Нигде. Случайно. Инста в рекламе, оповещения в майле, от сына, от мамы, которая смотрит телек в Мариинске")</f>
        <v>Нигде. Случайно. Инста в рекламе, оповещения в майле, от сына, от мамы, которая смотрит телек в Мариинске</v>
      </c>
      <c r="Q2010" s="6" t="str">
        <f>IFERROR(__xludf.DUMMYFUNCTION("""COMPUTED_VALUE"""),"результаты местных исследований (рейтинги/аналитика/тенденции), Что делается для улучшения качества жизни в городе. Экология и переработка (раздельный сбор) мусора. Зоозащита. Права человека. ")</f>
        <v>результаты местных исследований (рейтинги/аналитика/тенденции), Что делается для улучшения качества жизни в городе. Экология и переработка (раздельный сбор) мусора. Зоозащита. Права человека. </v>
      </c>
      <c r="R2010" s="6" t="str">
        <f>IFERROR(__xludf.DUMMYFUNCTION("""COMPUTED_VALUE"""),"9 мая, новый год")</f>
        <v>9 мая, новый год</v>
      </c>
      <c r="S2010" s="6" t="str">
        <f>IFERROR(__xludf.DUMMYFUNCTION("""COMPUTED_VALUE"""),"Общество защиты животных проводило зоопарковки. Регулярно. Я была в числе их организаторов")</f>
        <v>Общество защиты животных проводило зоопарковки. Регулярно. Я была в числе их организаторов</v>
      </c>
      <c r="T2010" s="6" t="str">
        <f>IFERROR(__xludf.DUMMYFUNCTION("""COMPUTED_VALUE"""),"Кузбасс, зимняя вишня, ссылка")</f>
        <v>Кузбасс, зимняя вишня, ссылка</v>
      </c>
      <c r="U2010" s="6" t="str">
        <f>IFERROR(__xludf.DUMMYFUNCTION("""COMPUTED_VALUE"""),"Площадь Советов, Весенняя, драмтеатр, парк Леонова, парк Чудес, набережная")</f>
        <v>Площадь Советов, Весенняя, драмтеатр, парк Леонова, парк Чудес, набережная</v>
      </c>
      <c r="V2010" s="6" t="str">
        <f>IFERROR(__xludf.DUMMYFUNCTION("""COMPUTED_VALUE"""),"В военные годы обеспечивали фронт необходимым. Потом - развитая химическая промышленность. Потом - ничего.")</f>
        <v>В военные годы обеспечивали фронт необходимым. Потом - развитая химическая промышленность. Потом - ничего.</v>
      </c>
      <c r="W2010" s="6" t="str">
        <f>IFERROR(__xludf.DUMMYFUNCTION("""COMPUTED_VALUE"""),"Я общаюсь преимущественно с теми, кто готов помочь другим и по счастью в Кировском районе таких очень много.")</f>
        <v>Я общаюсь преимущественно с теми, кто готов помочь другим и по счастью в Кировском районе таких очень много.</v>
      </c>
      <c r="X2010" s="6" t="str">
        <f>IFERROR(__xludf.DUMMYFUNCTION("""COMPUTED_VALUE"""),"Весенняя-набережная")</f>
        <v>Весенняя-набережная</v>
      </c>
      <c r="Y2010" s="6" t="str">
        <f>IFERROR(__xludf.DUMMYFUNCTION("""COMPUTED_VALUE"""),"Увы")</f>
        <v>Увы</v>
      </c>
      <c r="Z2010" s="6" t="str">
        <f>IFERROR(__xludf.DUMMYFUNCTION("""COMPUTED_VALUE"""),"Я переехала в Кировский. Шутка. Никаких. Два шикарных пожара, один из которых мегатрагичный")</f>
        <v>Я переехала в Кировский. Шутка. Никаких. Два шикарных пожара, один из которых мегатрагичный</v>
      </c>
      <c r="AA2010" s="6" t="str">
        <f>IFERROR(__xludf.DUMMYFUNCTION("""COMPUTED_VALUE"""),"Ответ выше")</f>
        <v>Ответ выше</v>
      </c>
      <c r="AB2010" s="6" t="str">
        <f>IFERROR(__xludf.DUMMYFUNCTION("""COMPUTED_VALUE"""),"Мне всего хватает. Я знаю по-настоящему интересных людей")</f>
        <v>Мне всего хватает. Я знаю по-настоящему интересных людей</v>
      </c>
      <c r="AC2010" s="6" t="str">
        <f>IFERROR(__xludf.DUMMYFUNCTION("""COMPUTED_VALUE"""),"Навести порядок, занять детей бесплатными клубами, дать активной молодёжи больше прав")</f>
        <v>Навести порядок, занять детей бесплатными клубами, дать активной молодёжи больше прав</v>
      </c>
      <c r="AD2010" s="6" t="str">
        <f>IFERROR(__xludf.DUMMYFUNCTION("""COMPUTED_VALUE"""),"Участника: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2010" s="6" t="str">
        <f>IFERROR(__xludf.DUMMYFUNCTION("""COMPUTED_VALUE"""),"Женский")</f>
        <v>Женский</v>
      </c>
      <c r="AF2010" s="6" t="str">
        <f>IFERROR(__xludf.DUMMYFUNCTION("""COMPUTED_VALUE"""),"45-55")</f>
        <v>45-55</v>
      </c>
      <c r="AG2010" s="6"/>
      <c r="AH2010" s="6"/>
      <c r="AI2010" s="6"/>
      <c r="AJ2010" s="6"/>
      <c r="AK2010" s="6"/>
      <c r="AL2010" s="6"/>
      <c r="AM2010" s="6"/>
    </row>
    <row r="2011">
      <c r="A2011" s="6">
        <v>2010.0</v>
      </c>
      <c r="B2011" s="6" t="str">
        <f>IFERROR(__xludf.DUMMYFUNCTION("""COMPUTED_VALUE"""),"пенсионер")</f>
        <v>пенсионер</v>
      </c>
      <c r="C2011" s="6" t="str">
        <f>IFERROR(__xludf.DUMMYFUNCTION("""COMPUTED_VALUE"""),"сидеть на лавочке около подъезда")</f>
        <v>сидеть на лавочке около подъезда</v>
      </c>
      <c r="D2011" s="6" t="str">
        <f>IFERROR(__xludf.DUMMYFUNCTION("""COMPUTED_VALUE"""),"центральный район. называю помойка. туалет на улице и все остальное грязь.")</f>
        <v>центральный район. называю помойка. туалет на улице и все остальное грязь.</v>
      </c>
      <c r="E2011" s="6" t="str">
        <f>IFERROR(__xludf.DUMMYFUNCTION("""COMPUTED_VALUE"""),"набережная")</f>
        <v>набережная</v>
      </c>
      <c r="F2011" s="6" t="str">
        <f>IFERROR(__xludf.DUMMYFUNCTION("""COMPUTED_VALUE"""),"Живу здесь с рождения")</f>
        <v>Живу здесь с рождения</v>
      </c>
      <c r="G2011" s="6" t="str">
        <f>IFERROR(__xludf.DUMMYFUNCTION("""COMPUTED_VALUE"""),"парк комсомольский")</f>
        <v>парк комсомольский</v>
      </c>
      <c r="H2011" s="6" t="str">
        <f>IFERROR(__xludf.DUMMYFUNCTION("""COMPUTED_VALUE"""),"рождение детей. воспитание детей и их служение государству.")</f>
        <v>рождение детей. воспитание детей и их служение государству.</v>
      </c>
      <c r="I2011" s="6" t="str">
        <f>IFERROR(__xludf.DUMMYFUNCTION("""COMPUTED_VALUE"""),"вера волошина. юрий двужильный.")</f>
        <v>вера волошина. юрий двужильный.</v>
      </c>
      <c r="J2011" s="6" t="str">
        <f>IFERROR(__xludf.DUMMYFUNCTION("""COMPUTED_VALUE"""),"тулеев аман гумирович. владимир михайлов")</f>
        <v>тулеев аман гумирович. владимир михайлов</v>
      </c>
      <c r="K2011" s="6" t="str">
        <f>IFERROR(__xludf.DUMMYFUNCTION("""COMPUTED_VALUE"""),"набережная святой источник район бутовки. район Лесная Поляна. Парк Ангелов.
")</f>
        <v>набережная святой источник район бутовки. район Лесная Поляна. Парк Ангелов.
</v>
      </c>
      <c r="L2011" s="6" t="str">
        <f>IFERROR(__xludf.DUMMYFUNCTION("""COMPUTED_VALUE"""),"нет такой. город прекрасен.
")</f>
        <v>нет такой. город прекрасен.
</v>
      </c>
      <c r="M2011" s="6" t="str">
        <f>IFERROR(__xludf.DUMMYFUNCTION("""COMPUTED_VALUE"""),"не знаю ")</f>
        <v>не знаю </v>
      </c>
      <c r="N2011" s="6" t="str">
        <f>IFERROR(__xludf.DUMMYFUNCTION("""COMPUTED_VALUE"""),"автотранспорт общественный.")</f>
        <v>автотранспорт общественный.</v>
      </c>
      <c r="O2011" s="6" t="str">
        <f>IFERROR(__xludf.DUMMYFUNCTION("""COMPUTED_VALUE"""),"убрать туалеты уличные ( во дворах домов) и помойки.")</f>
        <v>убрать туалеты уличные ( во дворах домов) и помойки.</v>
      </c>
      <c r="P2011" s="6" t="str">
        <f>IFERROR(__xludf.DUMMYFUNCTION("""COMPUTED_VALUE"""),"телевидение вести 42. ру.")</f>
        <v>телевидение вести 42. ру.</v>
      </c>
      <c r="Q2011" s="6" t="str">
        <f>IFERROR(__xludf.DUMMYFUNCTION("""COMPUTED_VALUE"""),"городская афиша (кино/театр/концерты), интервью с местными политиками, интервью с местными творческими личностями, новости спорта")</f>
        <v>городская афиша (кино/театр/концерты), интервью с местными политиками, интервью с местными творческими личностями, новости спорта</v>
      </c>
      <c r="R2011" s="6" t="str">
        <f>IFERROR(__xludf.DUMMYFUNCTION("""COMPUTED_VALUE"""),"парад день победы, бессмертный полк")</f>
        <v>парад день победы, бессмертный полк</v>
      </c>
      <c r="S2011" s="6" t="str">
        <f>IFERROR(__xludf.DUMMYFUNCTION("""COMPUTED_VALUE"""),"Нет, не приходилось")</f>
        <v>Нет, не приходилось</v>
      </c>
      <c r="T2011" s="6" t="str">
        <f>IFERROR(__xludf.DUMMYFUNCTION("""COMPUTED_VALUE"""),"спортивные  достижения по многим видам спорта.")</f>
        <v>спортивные  достижения по многим видам спорта.</v>
      </c>
      <c r="U2011" s="6" t="str">
        <f>IFERROR(__xludf.DUMMYFUNCTION("""COMPUTED_VALUE"""),"Площадь Советов и Набережная.")</f>
        <v>Площадь Советов и Набережная.</v>
      </c>
      <c r="V2011" s="6" t="str">
        <f>IFERROR(__xludf.DUMMYFUNCTION("""COMPUTED_VALUE"""),"трудовые достижение трудящихся заводов, фабрик.")</f>
        <v>трудовые достижение трудящихся заводов, фабрик.</v>
      </c>
      <c r="W2011" s="6" t="str">
        <f>IFERROR(__xludf.DUMMYFUNCTION("""COMPUTED_VALUE"""),"советское поколение людей это доброта, взаимопомощь. ")</f>
        <v>советское поколение людей это доброта, взаимопомощь. </v>
      </c>
      <c r="X2011" s="6" t="str">
        <f>IFERROR(__xludf.DUMMYFUNCTION("""COMPUTED_VALUE"""),"Это Лесная Поляна.
")</f>
        <v>Это Лесная Поляна.
</v>
      </c>
      <c r="Y2011" s="6" t="str">
        <f>IFERROR(__xludf.DUMMYFUNCTION("""COMPUTED_VALUE"""),"Не могу ответить")</f>
        <v>Не могу ответить</v>
      </c>
      <c r="Z2011" s="6" t="str">
        <f>IFERROR(__xludf.DUMMYFUNCTION("""COMPUTED_VALUE"""),"Парад Победы и Бессмертный полк.
")</f>
        <v>Парад Победы и Бессмертный полк.
</v>
      </c>
      <c r="AA2011" s="6" t="str">
        <f>IFERROR(__xludf.DUMMYFUNCTION("""COMPUTED_VALUE"""),"Бытовой мусор вдоль проезжих дорог и во дворах.")</f>
        <v>Бытовой мусор вдоль проезжих дорог и во дворах.</v>
      </c>
      <c r="AB2011" s="6" t="str">
        <f>IFERROR(__xludf.DUMMYFUNCTION("""COMPUTED_VALUE"""),"для инвалидов мероприятия и сообществ для них . Побольше внимания со стороны заинтересованных служб. Помощь в поиске работы инвалидов , а не собирания бумажек.
")</f>
        <v>для инвалидов мероприятия и сообществ для них . Побольше внимания со стороны заинтересованных служб. Помощь в поиске работы инвалидов , а не собирания бумажек.
</v>
      </c>
      <c r="AC2011" s="6" t="str">
        <f>IFERROR(__xludf.DUMMYFUNCTION("""COMPUTED_VALUE"""),"Побольше и по чаще не забывать стариков и пенсионеров.
")</f>
        <v>Побольше и по чаще не забывать стариков и пенсионеров.
</v>
      </c>
      <c r="AD2011" s="6" t="str">
        <f>IFERROR(__xludf.DUMMYFUNCTION("""COMPUTED_VALUE"""),"Организатора.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микрорайона"&amp;",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f>
        <v>Организатора. Собрать соседей/знакомых для обсуждения и решения районных и городских проблем, собрать подписи, поучаствовать в организации., Партнера. Скинуться (деньгами, материалами, инструментом) с другими жителями на благоустройство двора, микрорайона, Участника: Поучаствовать в обсуждении улучшений, собраниях горожан;, Волонтера: оказать любую посильную помощь непосредственно во время реализации проекта</v>
      </c>
      <c r="AE2011" s="6" t="str">
        <f>IFERROR(__xludf.DUMMYFUNCTION("""COMPUTED_VALUE"""),"Женский")</f>
        <v>Женский</v>
      </c>
      <c r="AF2011" s="6" t="str">
        <f>IFERROR(__xludf.DUMMYFUNCTION("""COMPUTED_VALUE"""),"старше 55")</f>
        <v>старше 55</v>
      </c>
      <c r="AG2011" s="6"/>
      <c r="AH2011" s="6"/>
      <c r="AI2011" s="6"/>
      <c r="AJ2011" s="6"/>
      <c r="AK2011" s="6"/>
      <c r="AL2011" s="6"/>
      <c r="AM2011" s="6"/>
    </row>
    <row r="2012">
      <c r="A2012" s="6">
        <v>2011.0</v>
      </c>
      <c r="B2012" s="6" t="str">
        <f>IFERROR(__xludf.DUMMYFUNCTION("""COMPUTED_VALUE"""),"Студентка - заочница")</f>
        <v>Студентка - заочница</v>
      </c>
      <c r="C2012" s="6" t="str">
        <f>IFERROR(__xludf.DUMMYFUNCTION("""COMPUTED_VALUE"""),"Мастер маникюра")</f>
        <v>Мастер маникюра</v>
      </c>
      <c r="D2012" s="6" t="str">
        <f>IFERROR(__xludf.DUMMYFUNCTION("""COMPUTED_VALUE"""),"Ленинский")</f>
        <v>Ленинский</v>
      </c>
      <c r="E2012" s="6" t="str">
        <f>IFERROR(__xludf.DUMMYFUNCTION("""COMPUTED_VALUE"""),"Парк Чудес, Монумент ""Память Шахтерам"", Драм театр, памятник рудознатцу М. Волкову")</f>
        <v>Парк Чудес, Монумент "Память Шахтерам", Драм театр, памятник рудознатцу М. Волкову</v>
      </c>
      <c r="F2012" s="6" t="str">
        <f>IFERROR(__xludf.DUMMYFUNCTION("""COMPUTED_VALUE"""),"Переехал сюда из другого места (откуда? укажите в графе другое), из г. Гурьевска")</f>
        <v>Переехал сюда из другого места (откуда? укажите в графе другое), из г. Гурьевска</v>
      </c>
      <c r="G2012" s="6" t="str">
        <f>IFERROR(__xludf.DUMMYFUNCTION("""COMPUTED_VALUE"""),"трк Променад 1, тц гривич")</f>
        <v>трк Променад 1, тц гривич</v>
      </c>
      <c r="H2012" s="6" t="str">
        <f>IFERROR(__xludf.DUMMYFUNCTION("""COMPUTED_VALUE"""),"Столица Кузбасса, шахтеры, уголь")</f>
        <v>Столица Кузбасса, шахтеры, уголь</v>
      </c>
      <c r="I2012" s="6" t="str">
        <f>IFERROR(__xludf.DUMMYFUNCTION("""COMPUTED_VALUE"""),"-")</f>
        <v>-</v>
      </c>
      <c r="J2012" s="6" t="str">
        <f>IFERROR(__xludf.DUMMYFUNCTION("""COMPUTED_VALUE"""),"-")</f>
        <v>-</v>
      </c>
      <c r="K2012" s="6" t="str">
        <f>IFERROR(__xludf.DUMMYFUNCTION("""COMPUTED_VALUE"""),"-")</f>
        <v>-</v>
      </c>
      <c r="L2012" s="6" t="str">
        <f>IFERROR(__xludf.DUMMYFUNCTION("""COMPUTED_VALUE"""),"-")</f>
        <v>-</v>
      </c>
      <c r="M2012" s="6" t="str">
        <f>IFERROR(__xludf.DUMMYFUNCTION("""COMPUTED_VALUE"""),"-")</f>
        <v>-</v>
      </c>
      <c r="N2012" s="6" t="str">
        <f>IFERROR(__xludf.DUMMYFUNCTION("""COMPUTED_VALUE"""),"Чистый воздух; возможность безпрепятственно добраться в любую точку города, даже в вечернее время; доступное жильё; возможность найти работу рядом с домом;")</f>
        <v>Чистый воздух; возможность безпрепятственно добраться в любую точку города, даже в вечернее время; доступное жильё; возможность найти работу рядом с домом;</v>
      </c>
      <c r="O2012" s="6" t="str">
        <f>IFERROR(__xludf.DUMMYFUNCTION("""COMPUTED_VALUE"""),"ситуацию с воздухом (особенно в зимнее время)")</f>
        <v>ситуацию с воздухом (особенно в зимнее время)</v>
      </c>
      <c r="P2012" s="6" t="str">
        <f>IFERROR(__xludf.DUMMYFUNCTION("""COMPUTED_VALUE"""),"VK")</f>
        <v>VK</v>
      </c>
      <c r="Q2012" s="6" t="str">
        <f>IFERROR(__xludf.DUMMYFUNCTION("""COMPUTED_VALUE"""),"куда пойти в свободное время, где вкусно поесть/открытие новых кафе/ресторанов, криминальные новости (происшествия/преступления), бизнес-новости (средний чек/рекламные акции/запуск новых предприятий)")</f>
        <v>куда пойти в свободное время, где вкусно поесть/открытие новых кафе/ресторанов, криминальные новости (происшествия/преступления), бизнес-новости (средний чек/рекламные акции/запуск новых предприятий)</v>
      </c>
      <c r="R2012" s="6" t="str">
        <f>IFERROR(__xludf.DUMMYFUNCTION("""COMPUTED_VALUE"""),"-")</f>
        <v>-</v>
      </c>
      <c r="S2012" s="6" t="str">
        <f>IFERROR(__xludf.DUMMYFUNCTION("""COMPUTED_VALUE"""),"Нет, не приходилось")</f>
        <v>Нет, не приходилось</v>
      </c>
      <c r="T2012" s="6" t="str">
        <f>IFERROR(__xludf.DUMMYFUNCTION("""COMPUTED_VALUE"""),"Только тем, что это одна из угольных столиц Кузбасса")</f>
        <v>Только тем, что это одна из угольных столиц Кузбасса</v>
      </c>
      <c r="U2012" s="6" t="str">
        <f>IFERROR(__xludf.DUMMYFUNCTION("""COMPUTED_VALUE"""),"-")</f>
        <v>-</v>
      </c>
      <c r="V2012" s="6" t="str">
        <f>IFERROR(__xludf.DUMMYFUNCTION("""COMPUTED_VALUE"""),"-")</f>
        <v>-</v>
      </c>
      <c r="W2012" s="6" t="str">
        <f>IFERROR(__xludf.DUMMYFUNCTION("""COMPUTED_VALUE"""),"-")</f>
        <v>-</v>
      </c>
      <c r="X2012" s="6" t="str">
        <f>IFERROR(__xludf.DUMMYFUNCTION("""COMPUTED_VALUE"""),"-")</f>
        <v>-</v>
      </c>
      <c r="Y2012" s="6" t="str">
        <f>IFERROR(__xludf.DUMMYFUNCTION("""COMPUTED_VALUE"""),"Создание города")</f>
        <v>Создание города</v>
      </c>
      <c r="Z2012" s="6" t="str">
        <f>IFERROR(__xludf.DUMMYFUNCTION("""COMPUTED_VALUE"""),"-")</f>
        <v>-</v>
      </c>
      <c r="AA2012" s="6" t="str">
        <f>IFERROR(__xludf.DUMMYFUNCTION("""COMPUTED_VALUE"""),"Пожар в Зимней Вишне")</f>
        <v>Пожар в Зимней Вишне</v>
      </c>
      <c r="AB2012" s="6" t="str">
        <f>IFERROR(__xludf.DUMMYFUNCTION("""COMPUTED_VALUE"""),"-")</f>
        <v>-</v>
      </c>
      <c r="AC2012" s="6" t="str">
        <f>IFERROR(__xludf.DUMMYFUNCTION("""COMPUTED_VALUE"""),"-")</f>
        <v>-</v>
      </c>
      <c r="AD2012" s="6" t="str">
        <f>IFERROR(__xludf.DUMMYFUNCTION("""COMPUTED_VALUE"""),"Участника: Поучаствовать в обсуждении улучшений, собраниях горожан;")</f>
        <v>Участника: Поучаствовать в обсуждении улучшений, собраниях горожан;</v>
      </c>
      <c r="AE2012" s="6" t="str">
        <f>IFERROR(__xludf.DUMMYFUNCTION("""COMPUTED_VALUE"""),"Женский")</f>
        <v>Женский</v>
      </c>
      <c r="AF2012" s="6" t="str">
        <f>IFERROR(__xludf.DUMMYFUNCTION("""COMPUTED_VALUE"""),"18-29")</f>
        <v>18-29</v>
      </c>
      <c r="AG2012" s="6"/>
      <c r="AH2012" s="6"/>
      <c r="AI2012" s="6"/>
      <c r="AJ2012" s="6"/>
      <c r="AK2012" s="6"/>
      <c r="AL2012" s="6"/>
      <c r="AM2012" s="6"/>
    </row>
    <row r="2013">
      <c r="A2013" s="6">
        <v>2012.0</v>
      </c>
      <c r="B2013" s="6" t="str">
        <f>IFERROR(__xludf.DUMMYFUNCTION("""COMPUTED_VALUE"""),"Работаю в сервисном центре компьютерной техники")</f>
        <v>Работаю в сервисном центре компьютерной техники</v>
      </c>
      <c r="C2013" s="6" t="str">
        <f>IFERROR(__xludf.DUMMYFUNCTION("""COMPUTED_VALUE"""),"Музыка, видеоигра")</f>
        <v>Музыка, видеоигра</v>
      </c>
      <c r="D2013" s="6" t="str">
        <f>IFERROR(__xludf.DUMMYFUNCTION("""COMPUTED_VALUE"""),"Центральный (Октябрьский проспект)")</f>
        <v>Центральный (Октябрьский проспект)</v>
      </c>
      <c r="E2013" s="6" t="str">
        <f>IFERROR(__xludf.DUMMYFUNCTION("""COMPUTED_VALUE"""),"Пешеходная площадка Бульвара строителей.")</f>
        <v>Пешеходная площадка Бульвара строителей.</v>
      </c>
      <c r="F2013" s="6" t="str">
        <f>IFERROR(__xludf.DUMMYFUNCTION("""COMPUTED_VALUE"""),"Живу здесь с рождения")</f>
        <v>Живу здесь с рождения</v>
      </c>
      <c r="G2013" s="6" t="str">
        <f>IFERROR(__xludf.DUMMYFUNCTION("""COMPUTED_VALUE"""),"Никуда, сижу дома")</f>
        <v>Никуда, сижу дома</v>
      </c>
      <c r="H2013" s="6" t="str">
        <f>IFERROR(__xludf.DUMMYFUNCTION("""COMPUTED_VALUE"""),"Бедный, грязный, маленький, глубинка, необразованный")</f>
        <v>Бедный, грязный, маленький, глубинка, необразованный</v>
      </c>
      <c r="I2013" s="6" t="str">
        <f>IFERROR(__xludf.DUMMYFUNCTION("""COMPUTED_VALUE"""),"Понятия не имею, космонавт Леонов, но он не из Кемерова")</f>
        <v>Понятия не имею, космонавт Леонов, но он не из Кемерова</v>
      </c>
      <c r="J2013" s="6" t="str">
        <f>IFERROR(__xludf.DUMMYFUNCTION("""COMPUTED_VALUE"""),"Понятия не имею.")</f>
        <v>Понятия не имею.</v>
      </c>
      <c r="K2013" s="6" t="str">
        <f>IFERROR(__xludf.DUMMYFUNCTION("""COMPUTED_VALUE"""),"Ничего бы не показывал")</f>
        <v>Ничего бы не показывал</v>
      </c>
      <c r="L2013" s="6" t="str">
        <f>IFERROR(__xludf.DUMMYFUNCTION("""COMPUTED_VALUE"""),"Дураки и дороги ?!")</f>
        <v>Дураки и дороги ?!</v>
      </c>
      <c r="M2013" s="6" t="str">
        <f>IFERROR(__xludf.DUMMYFUNCTION("""COMPUTED_VALUE"""),"Нет таких выражений")</f>
        <v>Нет таких выражений</v>
      </c>
      <c r="N2013" s="6" t="str">
        <f>IFERROR(__xludf.DUMMYFUNCTION("""COMPUTED_VALUE"""),"Доступность товаров и услуг, экология, чистота, планировка, культурный уровень жителей.
")</f>
        <v>Доступность товаров и услуг, экология, чистота, планировка, культурный уровень жителей.
</v>
      </c>
      <c r="O2013" s="6" t="str">
        <f>IFERROR(__xludf.DUMMYFUNCTION("""COMPUTED_VALUE"""),"Привлекать бизнес")</f>
        <v>Привлекать бизнес</v>
      </c>
      <c r="P2013" s="6" t="str">
        <f>IFERROR(__xludf.DUMMYFUNCTION("""COMPUTED_VALUE"""),"Не интересуюсь особо, иногда Смотрю a42.ru")</f>
        <v>Не интересуюсь особо, иногда Смотрю a42.ru</v>
      </c>
      <c r="Q2013" s="6" t="str">
        <f>IFERROR(__xludf.DUMMYFUNCTION("""COMPUTED_VALUE"""),"интервью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f>
        <v>интервью с местными политиками, результаты местных исследований (рейтинги/аналитика/тенденции), интервью с экспертами на разные темы (напишите в разделе Другое свои предложения)</v>
      </c>
      <c r="R2013" s="6" t="str">
        <f>IFERROR(__xludf.DUMMYFUNCTION("""COMPUTED_VALUE"""),"Никакие")</f>
        <v>Никакие</v>
      </c>
      <c r="S2013" s="6" t="str">
        <f>IFERROR(__xludf.DUMMYFUNCTION("""COMPUTED_VALUE"""),"Нет, не приходилось")</f>
        <v>Нет, не приходилось</v>
      </c>
      <c r="T2013" s="6" t="str">
        <f>IFERROR(__xludf.DUMMYFUNCTION("""COMPUTED_VALUE"""),"Тем что много детей сгорели заживо в Зимней вишне, ну и что ещё шахтеры касками по путям стучали.")</f>
        <v>Тем что много детей сгорели заживо в Зимней вишне, ну и что ещё шахтеры касками по путям стучали.</v>
      </c>
      <c r="U2013" s="6" t="str">
        <f>IFERROR(__xludf.DUMMYFUNCTION("""COMPUTED_VALUE"""),"Район возле вокзала")</f>
        <v>Район возле вокзала</v>
      </c>
      <c r="V2013" s="6" t="str">
        <f>IFERROR(__xludf.DUMMYFUNCTION("""COMPUTED_VALUE"""),"Понятие не имею")</f>
        <v>Понятие не имею</v>
      </c>
      <c r="W2013" s="6" t="str">
        <f>IFERROR(__xludf.DUMMYFUNCTION("""COMPUTED_VALUE"""),"Типичные провинциалы, большинство не очень культурные и словообразованые.")</f>
        <v>Типичные провинциалы, большинство не очень культурные и словообразованые.</v>
      </c>
      <c r="X2013" s="6" t="str">
        <f>IFERROR(__xludf.DUMMYFUNCTION("""COMPUTED_VALUE"""),"Понятие не имею.")</f>
        <v>Понятие не имею.</v>
      </c>
      <c r="Y2013" s="6" t="str">
        <f>IFERROR(__xludf.DUMMYFUNCTION("""COMPUTED_VALUE"""),"Отставка Тулеева")</f>
        <v>Отставка Тулеева</v>
      </c>
      <c r="Z2013" s="6" t="str">
        <f>IFERROR(__xludf.DUMMYFUNCTION("""COMPUTED_VALUE"""),"Никаких")</f>
        <v>Никаких</v>
      </c>
      <c r="AA2013" s="6" t="str">
        <f>IFERROR(__xludf.DUMMYFUNCTION("""COMPUTED_VALUE"""),"Все ещё помню Зимнюю вишню.")</f>
        <v>Все ещё помню Зимнюю вишню.</v>
      </c>
      <c r="AB2013" s="6" t="str">
        <f>IFERROR(__xludf.DUMMYFUNCTION("""COMPUTED_VALUE"""),"Все что связано с поп-культурой, видеоиграми, субкультурами, кино, музыкой")</f>
        <v>Все что связано с поп-культурой, видеоиграми, субкультурами, кино, музыкой</v>
      </c>
      <c r="AC2013" s="6" t="str">
        <f>IFERROR(__xludf.DUMMYFUNCTION("""COMPUTED_VALUE"""),"Концерты? Турниры по видеоиграми, крутые выставки")</f>
        <v>Концерты? Турниры по видеоиграми, крутые выставки</v>
      </c>
      <c r="AD2013" s="6" t="str">
        <f>IFERROR(__xludf.DUMMYFUNCTION("""COMPUTED_VALUE"""),"Не готов принимать личное участие (укажите, пожалуйста, причину в поле «Другое»)")</f>
        <v>Не готов принимать личное участие (укажите, пожалуйста, причину в поле «Другое»)</v>
      </c>
      <c r="AE2013" s="6" t="str">
        <f>IFERROR(__xludf.DUMMYFUNCTION("""COMPUTED_VALUE"""),"Мужской")</f>
        <v>Мужской</v>
      </c>
      <c r="AF2013" s="6" t="str">
        <f>IFERROR(__xludf.DUMMYFUNCTION("""COMPUTED_VALUE"""),"18-29")</f>
        <v>18-29</v>
      </c>
      <c r="AG2013" s="6"/>
      <c r="AH2013" s="6"/>
      <c r="AI2013" s="6"/>
      <c r="AJ2013" s="6"/>
      <c r="AK2013" s="6"/>
      <c r="AL2013" s="6"/>
      <c r="AM2013" s="6"/>
    </row>
    <row r="2014">
      <c r="A2014" s="6">
        <v>2013.0</v>
      </c>
      <c r="B2014" s="6" t="str">
        <f>IFERROR(__xludf.DUMMYFUNCTION("""COMPUTED_VALUE"""),"Инженер-технолог")</f>
        <v>Инженер-технолог</v>
      </c>
      <c r="C2014" s="6" t="str">
        <f>IFERROR(__xludf.DUMMYFUNCTION("""COMPUTED_VALUE"""),"Рукоделие")</f>
        <v>Рукоделие</v>
      </c>
      <c r="D2014" s="6" t="str">
        <f>IFERROR(__xludf.DUMMYFUNCTION("""COMPUTED_VALUE"""),"Центральный")</f>
        <v>Центральный</v>
      </c>
      <c r="E2014" s="6" t="str">
        <f>IFERROR(__xludf.DUMMYFUNCTION("""COMPUTED_VALUE"""),"Набережная, ")</f>
        <v>Набережная, </v>
      </c>
      <c r="F2014" s="6" t="str">
        <f>IFERROR(__xludf.DUMMYFUNCTION("""COMPUTED_VALUE"""),"Переехал сюда из другого места (откуда? укажите в графе другое), Междуреченск")</f>
        <v>Переехал сюда из другого места (откуда? укажите в графе другое), Междуреченск</v>
      </c>
      <c r="G2014" s="6" t="str">
        <f>IFERROR(__xludf.DUMMYFUNCTION("""COMPUTED_VALUE"""),"Никуда")</f>
        <v>Никуда</v>
      </c>
      <c r="H2014" s="6" t="str">
        <f>IFERROR(__xludf.DUMMYFUNCTION("""COMPUTED_VALUE"""),"грязь, серость, безразличие, заброшенность, вычурность")</f>
        <v>грязь, серость, безразличие, заброшенность, вычурность</v>
      </c>
      <c r="I2014" s="6" t="str">
        <f>IFERROR(__xludf.DUMMYFUNCTION("""COMPUTED_VALUE"""),"Не знаю")</f>
        <v>Не знаю</v>
      </c>
      <c r="J2014" s="6" t="str">
        <f>IFERROR(__xludf.DUMMYFUNCTION("""COMPUTED_VALUE"""),"Не знаю")</f>
        <v>Не знаю</v>
      </c>
      <c r="K2014" s="6" t="str">
        <f>IFERROR(__xludf.DUMMYFUNCTION("""COMPUTED_VALUE"""),"Нет")</f>
        <v>Нет</v>
      </c>
      <c r="L2014" s="6" t="str">
        <f>IFERROR(__xludf.DUMMYFUNCTION("""COMPUTED_VALUE"""),"Новогодняя елка за 18 млн р. (и это не комплимент)")</f>
        <v>Новогодняя елка за 18 млн р. (и это не комплимент)</v>
      </c>
      <c r="M2014" s="6" t="str">
        <f>IFERROR(__xludf.DUMMYFUNCTION("""COMPUTED_VALUE"""),"нет, что за неуместный вопрос")</f>
        <v>нет, что за неуместный вопрос</v>
      </c>
      <c r="N2014" s="6" t="str">
        <f>IFERROR(__xludf.DUMMYFUNCTION("""COMPUTED_VALUE"""),"Много зелени - деревья, хорошие пешеходные и вело-дорожки, удобные остановочные павильоны, чистые урны, транспорт по расписанию")</f>
        <v>Много зелени - деревья, хорошие пешеходные и вело-дорожки, удобные остановочные павильоны, чистые урны, транспорт по расписанию</v>
      </c>
      <c r="O2014" s="6" t="str">
        <f>IFERROR(__xludf.DUMMYFUNCTION("""COMPUTED_VALUE"""),"Пешеходные дорожки. Они должны быть безопасными. Я должна иметь возможность добраться в любую точку города пешком. Есть места, куда зимой пешком невозможно попасть. Транспорт не приехал, нужно идти пешком, но всё завалено снегом, приходится рисковать жизн"&amp;"ью и идти по проезжей части")</f>
        <v>Пешеходные дорожки. Они должны быть безопасными. Я должна иметь возможность добраться в любую точку города пешком. Есть места, куда зимой пешком невозможно попасть. Транспорт не приехал, нужно идти пешком, но всё завалено снегом, приходится рисковать жизнью и идти по проезжей части</v>
      </c>
      <c r="P2014" s="6" t="str">
        <f>IFERROR(__xludf.DUMMYFUNCTION("""COMPUTED_VALUE"""),"Всё что угодно, только не официальные источники")</f>
        <v>Всё что угодно, только не официальные источники</v>
      </c>
      <c r="Q2014" s="6" t="str">
        <f>IFERROR(__xludf.DUMMYFUNCTION("""COMPUTED_VALUE"""),"куда пойти в свободное время, Недостаточно информации о походящих мероприятиях")</f>
        <v>куда пойти в свободное время, Недостаточно информации о походящих мероприятиях</v>
      </c>
      <c r="R2014" s="6" t="str">
        <f>IFERROR(__xludf.DUMMYFUNCTION("""COMPUTED_VALUE"""),"никакие")</f>
        <v>никакие</v>
      </c>
      <c r="S2014" s="6" t="str">
        <f>IFERROR(__xludf.DUMMYFUNCTION("""COMPUTED_VALUE"""),"Нет, не приходилось")</f>
        <v>Нет, не приходилось</v>
      </c>
      <c r="T2014" s="6" t="str">
        <f>IFERROR(__xludf.DUMMYFUNCTION("""COMPUTED_VALUE"""),"Тем, что тут постоянно идут выбросы ядовитых веществ в атмосферу. Город этой зимой оказался на первом месте в мире, по загрязнению атмосферы. Наплевательское отношение к здоровью людей")</f>
        <v>Тем, что тут постоянно идут выбросы ядовитых веществ в атмосферу. Город этой зимой оказался на первом месте в мире, по загрязнению атмосферы. Наплевательское отношение к здоровью людей</v>
      </c>
      <c r="U2014" s="6" t="str">
        <f>IFERROR(__xludf.DUMMYFUNCTION("""COMPUTED_VALUE"""),"Цирк")</f>
        <v>Цирк</v>
      </c>
      <c r="V2014" s="6" t="str">
        <f>IFERROR(__xludf.DUMMYFUNCTION("""COMPUTED_VALUE"""),"не знаю")</f>
        <v>не знаю</v>
      </c>
      <c r="W2014" s="6" t="str">
        <f>IFERROR(__xludf.DUMMYFUNCTION("""COMPUTED_VALUE"""),"только матерные и ругательные слова.")</f>
        <v>только матерные и ругательные слова.</v>
      </c>
      <c r="X2014" s="6" t="str">
        <f>IFERROR(__xludf.DUMMYFUNCTION("""COMPUTED_VALUE"""),"Крутой?  В смысле залезть на гору?")</f>
        <v>Крутой?  В смысле залезть на гору?</v>
      </c>
      <c r="Y2014" s="6" t="str">
        <f>IFERROR(__xludf.DUMMYFUNCTION("""COMPUTED_VALUE"""),"не знаю")</f>
        <v>не знаю</v>
      </c>
      <c r="Z2014" s="6" t="str">
        <f>IFERROR(__xludf.DUMMYFUNCTION("""COMPUTED_VALUE"""),"а такое было?")</f>
        <v>а такое было?</v>
      </c>
      <c r="AA2014" s="6" t="str">
        <f>IFERROR(__xludf.DUMMYFUNCTION("""COMPUTED_VALUE"""),"не знаю")</f>
        <v>не знаю</v>
      </c>
      <c r="AB2014" s="6" t="str">
        <f>IFERROR(__xludf.DUMMYFUNCTION("""COMPUTED_VALUE"""),"больше информации о маленьких сообществах. Вы знаете о клубе, где играют в настольные игры?")</f>
        <v>больше информации о маленьких сообществах. Вы знаете о клубе, где играют в настольные игры?</v>
      </c>
      <c r="AC2014" s="6" t="str">
        <f>IFERROR(__xludf.DUMMYFUNCTION("""COMPUTED_VALUE"""),"запретить чиновникам воровать деньги и перевести их на благоустройство города?")</f>
        <v>запретить чиновникам воровать деньги и перевести их на благоустройство города?</v>
      </c>
      <c r="AD2014" s="6" t="str">
        <f>IFERROR(__xludf.DUMMYFUNCTION("""COMPUTED_VALUE"""),"Участника: Поучаствовать в обсуждении улучшений, собраниях горожан;, Не готов принимать личное участие (укажите, пожалуйста, причину в поле «Другое»), Этим должны заниматься власти. Почему я должна выполнять их работу? Они деньги получают, а я волонтером "&amp;"работаю... странно")</f>
        <v>Участника: Поучаствовать в обсуждении улучшений, собраниях горожан;, Не готов принимать личное участие (укажите, пожалуйста, причину в поле «Другое»), Этим должны заниматься власти. Почему я должна выполнять их работу? Они деньги получают, а я волонтером работаю... странно</v>
      </c>
      <c r="AE2014" s="6" t="str">
        <f>IFERROR(__xludf.DUMMYFUNCTION("""COMPUTED_VALUE"""),"Женский")</f>
        <v>Женский</v>
      </c>
      <c r="AF2014" s="6" t="str">
        <f>IFERROR(__xludf.DUMMYFUNCTION("""COMPUTED_VALUE"""),"30-44")</f>
        <v>30-44</v>
      </c>
      <c r="AG2014" s="6"/>
      <c r="AH2014" s="6"/>
      <c r="AI2014" s="6"/>
      <c r="AJ2014" s="6"/>
      <c r="AK2014" s="6"/>
      <c r="AL2014" s="6"/>
      <c r="AM2014" s="6"/>
    </row>
    <row r="2015">
      <c r="A2015" s="6"/>
      <c r="B2015" s="6"/>
      <c r="C2015" s="6"/>
      <c r="D2015" s="6"/>
      <c r="E2015" s="6"/>
      <c r="F2015" s="6"/>
      <c r="G2015" s="6"/>
      <c r="H2015" s="6"/>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c r="AG2015" s="6"/>
      <c r="AH2015" s="6"/>
      <c r="AI2015" s="6"/>
      <c r="AJ2015" s="6"/>
      <c r="AK2015" s="6"/>
      <c r="AL2015" s="6"/>
      <c r="AM2015" s="6"/>
    </row>
    <row r="2016">
      <c r="A2016" s="6"/>
      <c r="B2016" s="6"/>
      <c r="C2016" s="6"/>
      <c r="D2016" s="6"/>
      <c r="E2016" s="6"/>
      <c r="F2016" s="6"/>
      <c r="G2016" s="6"/>
      <c r="H2016" s="6"/>
      <c r="I2016" s="6"/>
      <c r="J2016" s="6"/>
      <c r="K2016" s="6"/>
      <c r="L2016" s="6"/>
      <c r="M2016" s="6"/>
      <c r="N2016" s="6"/>
      <c r="O2016" s="6"/>
      <c r="P2016" s="6"/>
      <c r="Q2016" s="6"/>
      <c r="R2016" s="6"/>
      <c r="S2016" s="6"/>
      <c r="T2016" s="6"/>
      <c r="U2016" s="6"/>
      <c r="V2016" s="6"/>
      <c r="W2016" s="6"/>
      <c r="X2016" s="6"/>
      <c r="Y2016" s="6"/>
      <c r="Z2016" s="6"/>
      <c r="AA2016" s="6"/>
      <c r="AB2016" s="6"/>
      <c r="AC2016" s="6"/>
      <c r="AD2016" s="6"/>
      <c r="AE2016" s="6"/>
      <c r="AF2016" s="6"/>
      <c r="AG2016" s="6"/>
      <c r="AH2016" s="6"/>
      <c r="AI2016" s="6"/>
      <c r="AJ2016" s="6"/>
      <c r="AK2016" s="6"/>
      <c r="AL2016" s="6"/>
      <c r="AM2016" s="6"/>
    </row>
    <row r="2017">
      <c r="A2017" s="6"/>
      <c r="B2017" s="6"/>
      <c r="C2017" s="6"/>
      <c r="D2017" s="6"/>
      <c r="E2017" s="6"/>
      <c r="F2017" s="6"/>
      <c r="G2017" s="6"/>
      <c r="H2017" s="6"/>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c r="AG2017" s="6"/>
      <c r="AH2017" s="6"/>
      <c r="AI2017" s="6"/>
      <c r="AJ2017" s="6"/>
      <c r="AK2017" s="6"/>
      <c r="AL2017" s="6"/>
      <c r="AM2017" s="6"/>
    </row>
    <row r="2018">
      <c r="A2018" s="6"/>
      <c r="B2018" s="6"/>
      <c r="C2018" s="6"/>
      <c r="D2018" s="6"/>
      <c r="E2018" s="6"/>
      <c r="F2018" s="6"/>
      <c r="G2018" s="6"/>
      <c r="H2018" s="6"/>
      <c r="I2018" s="6"/>
      <c r="J2018" s="6"/>
      <c r="K2018" s="6"/>
      <c r="L2018" s="6"/>
      <c r="M2018" s="6"/>
      <c r="N2018" s="6"/>
      <c r="O2018" s="6"/>
      <c r="P2018" s="6"/>
      <c r="Q2018" s="6"/>
      <c r="R2018" s="6"/>
      <c r="S2018" s="6"/>
      <c r="T2018" s="6"/>
      <c r="U2018" s="6"/>
      <c r="V2018" s="6"/>
      <c r="W2018" s="6"/>
      <c r="X2018" s="6"/>
      <c r="Y2018" s="6"/>
      <c r="Z2018" s="6"/>
      <c r="AA2018" s="6"/>
      <c r="AB2018" s="6"/>
      <c r="AC2018" s="6"/>
      <c r="AD2018" s="6"/>
      <c r="AE2018" s="6"/>
      <c r="AF2018" s="6"/>
      <c r="AG2018" s="6"/>
      <c r="AH2018" s="6"/>
      <c r="AI2018" s="6"/>
      <c r="AJ2018" s="6"/>
      <c r="AK2018" s="6"/>
      <c r="AL2018" s="6"/>
      <c r="AM2018" s="6"/>
    </row>
    <row r="2019">
      <c r="A2019" s="6"/>
      <c r="B2019" s="6"/>
      <c r="C2019" s="6"/>
      <c r="D2019" s="6"/>
      <c r="E2019" s="6"/>
      <c r="F2019" s="6"/>
      <c r="G2019" s="6"/>
      <c r="H2019" s="6"/>
      <c r="I2019" s="6"/>
      <c r="J2019" s="6"/>
      <c r="K2019" s="6"/>
      <c r="L2019" s="6"/>
      <c r="M2019" s="6"/>
      <c r="N2019" s="6"/>
      <c r="O2019" s="6"/>
      <c r="P2019" s="6"/>
      <c r="Q2019" s="6"/>
      <c r="R2019" s="6"/>
      <c r="S2019" s="6"/>
      <c r="T2019" s="6"/>
      <c r="U2019" s="6"/>
      <c r="V2019" s="6"/>
      <c r="W2019" s="6"/>
      <c r="X2019" s="6"/>
      <c r="Y2019" s="6"/>
      <c r="Z2019" s="6"/>
      <c r="AA2019" s="6"/>
      <c r="AB2019" s="6"/>
      <c r="AC2019" s="6"/>
      <c r="AD2019" s="6"/>
      <c r="AE2019" s="6"/>
      <c r="AF2019" s="6"/>
      <c r="AG2019" s="6"/>
      <c r="AH2019" s="6"/>
      <c r="AI2019" s="6"/>
      <c r="AJ2019" s="6"/>
      <c r="AK2019" s="6"/>
      <c r="AL2019" s="6"/>
      <c r="AM2019" s="6"/>
    </row>
    <row r="2020">
      <c r="A2020" s="6"/>
      <c r="B2020" s="6"/>
      <c r="C2020" s="6"/>
      <c r="D2020" s="6"/>
      <c r="E2020" s="6"/>
      <c r="F2020" s="6"/>
      <c r="G2020" s="6"/>
      <c r="H2020" s="6"/>
      <c r="I2020" s="6"/>
      <c r="J2020" s="6"/>
      <c r="K2020" s="6"/>
      <c r="L2020" s="6"/>
      <c r="M2020" s="6"/>
      <c r="N2020" s="6"/>
      <c r="O2020" s="6"/>
      <c r="P2020" s="6"/>
      <c r="Q2020" s="6"/>
      <c r="R2020" s="6"/>
      <c r="S2020" s="6"/>
      <c r="T2020" s="6"/>
      <c r="U2020" s="6"/>
      <c r="V2020" s="6"/>
      <c r="W2020" s="6"/>
      <c r="X2020" s="6"/>
      <c r="Y2020" s="6"/>
      <c r="Z2020" s="6"/>
      <c r="AA2020" s="6"/>
      <c r="AB2020" s="6"/>
      <c r="AC2020" s="6"/>
      <c r="AD2020" s="6"/>
      <c r="AE2020" s="6"/>
      <c r="AF2020" s="6"/>
      <c r="AG2020" s="6"/>
      <c r="AH2020" s="6"/>
      <c r="AI2020" s="6"/>
      <c r="AJ2020" s="6"/>
      <c r="AK2020" s="6"/>
      <c r="AL2020" s="6"/>
      <c r="AM2020" s="6"/>
    </row>
    <row r="2021">
      <c r="A2021" s="6"/>
      <c r="B2021" s="6"/>
      <c r="C2021" s="6"/>
      <c r="D2021" s="6"/>
      <c r="E2021" s="6"/>
      <c r="F2021" s="6"/>
      <c r="G2021" s="6"/>
      <c r="H2021" s="6"/>
      <c r="I2021" s="6"/>
      <c r="J2021" s="6"/>
      <c r="K2021" s="6"/>
      <c r="L2021" s="6"/>
      <c r="M2021" s="6"/>
      <c r="N2021" s="6"/>
      <c r="O2021" s="6"/>
      <c r="P2021" s="6"/>
      <c r="Q2021" s="6"/>
      <c r="R2021" s="6"/>
      <c r="S2021" s="6"/>
      <c r="T2021" s="6"/>
      <c r="U2021" s="6"/>
      <c r="V2021" s="6"/>
      <c r="W2021" s="6"/>
      <c r="X2021" s="6"/>
      <c r="Y2021" s="6"/>
      <c r="Z2021" s="6"/>
      <c r="AA2021" s="6"/>
      <c r="AB2021" s="6"/>
      <c r="AC2021" s="6"/>
      <c r="AD2021" s="6"/>
      <c r="AE2021" s="6"/>
      <c r="AF2021" s="6"/>
      <c r="AG2021" s="6"/>
      <c r="AH2021" s="6"/>
      <c r="AI2021" s="6"/>
      <c r="AJ2021" s="6"/>
      <c r="AK2021" s="6"/>
      <c r="AL2021" s="6"/>
      <c r="AM2021" s="6"/>
    </row>
    <row r="2022">
      <c r="A2022" s="6"/>
      <c r="B2022" s="6"/>
      <c r="C2022" s="6"/>
      <c r="D2022" s="6"/>
      <c r="E2022" s="6"/>
      <c r="F2022" s="6"/>
      <c r="G2022" s="6"/>
      <c r="H2022" s="6"/>
      <c r="I2022" s="6"/>
      <c r="J2022" s="6"/>
      <c r="K2022" s="6"/>
      <c r="L2022" s="6"/>
      <c r="M2022" s="6"/>
      <c r="N2022" s="6"/>
      <c r="O2022" s="6"/>
      <c r="P2022" s="6"/>
      <c r="Q2022" s="6"/>
      <c r="R2022" s="6"/>
      <c r="S2022" s="6"/>
      <c r="T2022" s="6"/>
      <c r="U2022" s="6"/>
      <c r="V2022" s="6"/>
      <c r="W2022" s="6"/>
      <c r="X2022" s="6"/>
      <c r="Y2022" s="6"/>
      <c r="Z2022" s="6"/>
      <c r="AA2022" s="6"/>
      <c r="AB2022" s="6"/>
      <c r="AC2022" s="6"/>
      <c r="AD2022" s="6"/>
      <c r="AE2022" s="6"/>
      <c r="AF2022" s="6"/>
      <c r="AG2022" s="6"/>
      <c r="AH2022" s="6"/>
      <c r="AI2022" s="6"/>
      <c r="AJ2022" s="6"/>
      <c r="AK2022" s="6"/>
      <c r="AL2022" s="6"/>
      <c r="AM2022" s="6"/>
    </row>
    <row r="2023">
      <c r="A2023" s="6"/>
      <c r="B2023" s="6"/>
      <c r="C2023" s="6"/>
      <c r="D2023" s="6"/>
      <c r="E2023" s="6"/>
      <c r="F2023" s="6"/>
      <c r="G2023" s="6"/>
      <c r="H2023" s="6"/>
      <c r="I2023" s="6"/>
      <c r="J2023" s="6"/>
      <c r="K2023" s="6"/>
      <c r="L2023" s="6"/>
      <c r="M2023" s="6"/>
      <c r="N2023" s="6"/>
      <c r="O2023" s="6"/>
      <c r="P2023" s="6"/>
      <c r="Q2023" s="6"/>
      <c r="R2023" s="6"/>
      <c r="S2023" s="6"/>
      <c r="T2023" s="6"/>
      <c r="U2023" s="6"/>
      <c r="V2023" s="6"/>
      <c r="W2023" s="6"/>
      <c r="X2023" s="6"/>
      <c r="Y2023" s="6"/>
      <c r="Z2023" s="6"/>
      <c r="AA2023" s="6"/>
      <c r="AB2023" s="6"/>
      <c r="AC2023" s="6"/>
      <c r="AD2023" s="6"/>
      <c r="AE2023" s="6"/>
      <c r="AF2023" s="6"/>
      <c r="AG2023" s="6"/>
      <c r="AH2023" s="6"/>
      <c r="AI2023" s="6"/>
      <c r="AJ2023" s="6"/>
      <c r="AK2023" s="6"/>
      <c r="AL2023" s="6"/>
      <c r="AM2023" s="6"/>
    </row>
    <row r="2024">
      <c r="A2024" s="6"/>
      <c r="B2024" s="6"/>
      <c r="C2024" s="6"/>
      <c r="D2024" s="6"/>
      <c r="E2024" s="6"/>
      <c r="F2024" s="6"/>
      <c r="G2024" s="6"/>
      <c r="H2024" s="6"/>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c r="AG2024" s="6"/>
      <c r="AH2024" s="6"/>
      <c r="AI2024" s="6"/>
      <c r="AJ2024" s="6"/>
      <c r="AK2024" s="6"/>
      <c r="AL2024" s="6"/>
      <c r="AM2024" s="6"/>
    </row>
    <row r="2025">
      <c r="A2025" s="6"/>
      <c r="B2025" s="6"/>
      <c r="C2025" s="6"/>
      <c r="D2025" s="6"/>
      <c r="E2025" s="6"/>
      <c r="F2025" s="6"/>
      <c r="G2025" s="6"/>
      <c r="H2025" s="6"/>
      <c r="I2025" s="6"/>
      <c r="J2025" s="6"/>
      <c r="K2025" s="6"/>
      <c r="L2025" s="6"/>
      <c r="M2025" s="6"/>
      <c r="N2025" s="6"/>
      <c r="O2025" s="6"/>
      <c r="P2025" s="6"/>
      <c r="Q2025" s="6"/>
      <c r="R2025" s="6"/>
      <c r="S2025" s="6"/>
      <c r="T2025" s="6"/>
      <c r="U2025" s="6"/>
      <c r="V2025" s="6"/>
      <c r="W2025" s="6"/>
      <c r="X2025" s="6"/>
      <c r="Y2025" s="6"/>
      <c r="Z2025" s="6"/>
      <c r="AA2025" s="6"/>
      <c r="AB2025" s="6"/>
      <c r="AC2025" s="6"/>
      <c r="AD2025" s="6"/>
      <c r="AE2025" s="6"/>
      <c r="AF2025" s="6"/>
      <c r="AG2025" s="6"/>
      <c r="AH2025" s="6"/>
      <c r="AI2025" s="6"/>
      <c r="AJ2025" s="6"/>
      <c r="AK2025" s="6"/>
      <c r="AL2025" s="6"/>
      <c r="AM2025" s="6"/>
    </row>
    <row r="2026">
      <c r="A2026" s="6"/>
      <c r="B2026" s="6"/>
      <c r="C2026" s="6"/>
      <c r="D2026" s="6"/>
      <c r="E2026" s="6"/>
      <c r="F2026" s="6"/>
      <c r="G2026" s="6"/>
      <c r="H2026" s="6"/>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c r="AG2026" s="6"/>
      <c r="AH2026" s="6"/>
      <c r="AI2026" s="6"/>
      <c r="AJ2026" s="6"/>
      <c r="AK2026" s="6"/>
      <c r="AL2026" s="6"/>
      <c r="AM2026" s="6"/>
    </row>
    <row r="2027">
      <c r="A2027" s="6"/>
      <c r="B2027" s="6"/>
      <c r="C2027" s="6"/>
      <c r="D2027" s="6"/>
      <c r="E2027" s="6"/>
      <c r="F2027" s="6"/>
      <c r="G2027" s="6"/>
      <c r="H2027" s="6"/>
      <c r="I2027" s="6"/>
      <c r="J2027" s="6"/>
      <c r="K2027" s="6"/>
      <c r="L2027" s="6"/>
      <c r="M2027" s="6"/>
      <c r="N2027" s="6"/>
      <c r="O2027" s="6"/>
      <c r="P2027" s="6"/>
      <c r="Q2027" s="6"/>
      <c r="R2027" s="6"/>
      <c r="S2027" s="6"/>
      <c r="T2027" s="6"/>
      <c r="U2027" s="6"/>
      <c r="V2027" s="6"/>
      <c r="W2027" s="6"/>
      <c r="X2027" s="6"/>
      <c r="Y2027" s="6"/>
      <c r="Z2027" s="6"/>
      <c r="AA2027" s="6"/>
      <c r="AB2027" s="6"/>
      <c r="AC2027" s="6"/>
      <c r="AD2027" s="6"/>
      <c r="AE2027" s="6"/>
      <c r="AF2027" s="6"/>
      <c r="AG2027" s="6"/>
      <c r="AH2027" s="6"/>
      <c r="AI2027" s="6"/>
      <c r="AJ2027" s="6"/>
      <c r="AK2027" s="6"/>
      <c r="AL2027" s="6"/>
      <c r="AM2027" s="6"/>
    </row>
    <row r="2028">
      <c r="A2028" s="6"/>
      <c r="B2028" s="6"/>
      <c r="C2028" s="6"/>
      <c r="D2028" s="6"/>
      <c r="E2028" s="6"/>
      <c r="F2028" s="6"/>
      <c r="G2028" s="6"/>
      <c r="H2028" s="6"/>
      <c r="I2028" s="6"/>
      <c r="J2028" s="6"/>
      <c r="K2028" s="6"/>
      <c r="L2028" s="6"/>
      <c r="M2028" s="6"/>
      <c r="N2028" s="6"/>
      <c r="O2028" s="6"/>
      <c r="P2028" s="6"/>
      <c r="Q2028" s="6"/>
      <c r="R2028" s="6"/>
      <c r="S2028" s="6"/>
      <c r="T2028" s="6"/>
      <c r="U2028" s="6"/>
      <c r="V2028" s="6"/>
      <c r="W2028" s="6"/>
      <c r="X2028" s="6"/>
      <c r="Y2028" s="6"/>
      <c r="Z2028" s="6"/>
      <c r="AA2028" s="6"/>
      <c r="AB2028" s="6"/>
      <c r="AC2028" s="6"/>
      <c r="AD2028" s="6"/>
      <c r="AE2028" s="6"/>
      <c r="AF2028" s="6"/>
      <c r="AG2028" s="6"/>
      <c r="AH2028" s="6"/>
      <c r="AI2028" s="6"/>
      <c r="AJ2028" s="6"/>
      <c r="AK2028" s="6"/>
      <c r="AL2028" s="6"/>
      <c r="AM2028" s="6"/>
    </row>
    <row r="2029">
      <c r="A2029" s="6"/>
      <c r="B2029" s="6"/>
      <c r="C2029" s="6"/>
      <c r="D2029" s="6"/>
      <c r="E2029" s="6"/>
      <c r="F2029" s="6"/>
      <c r="G2029" s="6"/>
      <c r="H2029" s="6"/>
      <c r="I2029" s="6"/>
      <c r="J2029" s="6"/>
      <c r="K2029" s="6"/>
      <c r="L2029" s="6"/>
      <c r="M2029" s="6"/>
      <c r="N2029" s="6"/>
      <c r="O2029" s="6"/>
      <c r="P2029" s="6"/>
      <c r="Q2029" s="6"/>
      <c r="R2029" s="6"/>
      <c r="S2029" s="6"/>
      <c r="T2029" s="6"/>
      <c r="U2029" s="6"/>
      <c r="V2029" s="6"/>
      <c r="W2029" s="6"/>
      <c r="X2029" s="6"/>
      <c r="Y2029" s="6"/>
      <c r="Z2029" s="6"/>
      <c r="AA2029" s="6"/>
      <c r="AB2029" s="6"/>
      <c r="AC2029" s="6"/>
      <c r="AD2029" s="6"/>
      <c r="AE2029" s="6"/>
      <c r="AF2029" s="6"/>
      <c r="AG2029" s="6"/>
      <c r="AH2029" s="6"/>
      <c r="AI2029" s="6"/>
      <c r="AJ2029" s="6"/>
      <c r="AK2029" s="6"/>
      <c r="AL2029" s="6"/>
      <c r="AM2029" s="6"/>
    </row>
    <row r="2030">
      <c r="A2030" s="6"/>
      <c r="B2030" s="6"/>
      <c r="C2030" s="6"/>
      <c r="D2030" s="6"/>
      <c r="E2030" s="6"/>
      <c r="F2030" s="6"/>
      <c r="G2030" s="6"/>
      <c r="H2030" s="6"/>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c r="AG2030" s="6"/>
      <c r="AH2030" s="6"/>
      <c r="AI2030" s="6"/>
      <c r="AJ2030" s="6"/>
      <c r="AK2030" s="6"/>
      <c r="AL2030" s="6"/>
      <c r="AM2030" s="6"/>
    </row>
    <row r="2031">
      <c r="A2031" s="6"/>
      <c r="B2031" s="6"/>
      <c r="C2031" s="6"/>
      <c r="D2031" s="6"/>
      <c r="E2031" s="6"/>
      <c r="F2031" s="6"/>
      <c r="G2031" s="6"/>
      <c r="H2031" s="6"/>
      <c r="I2031" s="6"/>
      <c r="J2031" s="6"/>
      <c r="K2031" s="6"/>
      <c r="L2031" s="6"/>
      <c r="M2031" s="6"/>
      <c r="N2031" s="6"/>
      <c r="O2031" s="6"/>
      <c r="P2031" s="6"/>
      <c r="Q2031" s="6"/>
      <c r="R2031" s="6"/>
      <c r="S2031" s="6"/>
      <c r="T2031" s="6"/>
      <c r="U2031" s="6"/>
      <c r="V2031" s="6"/>
      <c r="W2031" s="6"/>
      <c r="X2031" s="6"/>
      <c r="Y2031" s="6"/>
      <c r="Z2031" s="6"/>
      <c r="AA2031" s="6"/>
      <c r="AB2031" s="6"/>
      <c r="AC2031" s="6"/>
      <c r="AD2031" s="6"/>
      <c r="AE2031" s="6"/>
      <c r="AF2031" s="6"/>
      <c r="AG2031" s="6"/>
      <c r="AH2031" s="6"/>
      <c r="AI2031" s="6"/>
      <c r="AJ2031" s="6"/>
      <c r="AK2031" s="6"/>
      <c r="AL2031" s="6"/>
      <c r="AM2031" s="6"/>
    </row>
    <row r="2032">
      <c r="A2032" s="6"/>
      <c r="B2032" s="6"/>
      <c r="C2032" s="6"/>
      <c r="D2032" s="6"/>
      <c r="E2032" s="6"/>
      <c r="F2032" s="6"/>
      <c r="G2032" s="6"/>
      <c r="H2032" s="6"/>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c r="AG2032" s="6"/>
      <c r="AH2032" s="6"/>
      <c r="AI2032" s="6"/>
      <c r="AJ2032" s="6"/>
      <c r="AK2032" s="6"/>
      <c r="AL2032" s="6"/>
      <c r="AM2032" s="6"/>
    </row>
    <row r="2033">
      <c r="A2033" s="6"/>
      <c r="B2033" s="6"/>
      <c r="C2033" s="6"/>
      <c r="D2033" s="6"/>
      <c r="E2033" s="6"/>
      <c r="F2033" s="6"/>
      <c r="G2033" s="6"/>
      <c r="H2033" s="6"/>
      <c r="I2033" s="6"/>
      <c r="J2033" s="6"/>
      <c r="K2033" s="6"/>
      <c r="L2033" s="6"/>
      <c r="M2033" s="6"/>
      <c r="N2033" s="6"/>
      <c r="O2033" s="6"/>
      <c r="P2033" s="6"/>
      <c r="Q2033" s="6"/>
      <c r="R2033" s="6"/>
      <c r="S2033" s="6"/>
      <c r="T2033" s="6"/>
      <c r="U2033" s="6"/>
      <c r="V2033" s="6"/>
      <c r="W2033" s="6"/>
      <c r="X2033" s="6"/>
      <c r="Y2033" s="6"/>
      <c r="Z2033" s="6"/>
      <c r="AA2033" s="6"/>
      <c r="AB2033" s="6"/>
      <c r="AC2033" s="6"/>
      <c r="AD2033" s="6"/>
      <c r="AE2033" s="6"/>
      <c r="AF2033" s="6"/>
      <c r="AG2033" s="6"/>
      <c r="AH2033" s="6"/>
      <c r="AI2033" s="6"/>
      <c r="AJ2033" s="6"/>
      <c r="AK2033" s="6"/>
      <c r="AL2033" s="6"/>
      <c r="AM2033" s="6"/>
    </row>
    <row r="2034">
      <c r="A2034" s="6"/>
      <c r="B2034" s="6"/>
      <c r="C2034" s="6"/>
      <c r="D2034" s="6"/>
      <c r="E2034" s="6"/>
      <c r="F2034" s="6"/>
      <c r="G2034" s="6"/>
      <c r="H2034" s="6"/>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c r="AG2034" s="6"/>
      <c r="AH2034" s="6"/>
      <c r="AI2034" s="6"/>
      <c r="AJ2034" s="6"/>
      <c r="AK2034" s="6"/>
      <c r="AL2034" s="6"/>
      <c r="AM2034" s="6"/>
    </row>
    <row r="2035">
      <c r="A2035" s="6"/>
      <c r="B2035" s="6"/>
      <c r="C2035" s="6"/>
      <c r="D2035" s="6"/>
      <c r="E2035" s="6"/>
      <c r="F2035" s="6"/>
      <c r="G2035" s="6"/>
      <c r="H2035" s="6"/>
      <c r="I2035" s="6"/>
      <c r="J2035" s="6"/>
      <c r="K2035" s="6"/>
      <c r="L2035" s="6"/>
      <c r="M2035" s="6"/>
      <c r="N2035" s="6"/>
      <c r="O2035" s="6"/>
      <c r="P2035" s="6"/>
      <c r="Q2035" s="6"/>
      <c r="R2035" s="6"/>
      <c r="S2035" s="6"/>
      <c r="T2035" s="6"/>
      <c r="U2035" s="6"/>
      <c r="V2035" s="6"/>
      <c r="W2035" s="6"/>
      <c r="X2035" s="6"/>
      <c r="Y2035" s="6"/>
      <c r="Z2035" s="6"/>
      <c r="AA2035" s="6"/>
      <c r="AB2035" s="6"/>
      <c r="AC2035" s="6"/>
      <c r="AD2035" s="6"/>
      <c r="AE2035" s="6"/>
      <c r="AF2035" s="6"/>
      <c r="AG2035" s="6"/>
      <c r="AH2035" s="6"/>
      <c r="AI2035" s="6"/>
      <c r="AJ2035" s="6"/>
      <c r="AK2035" s="6"/>
      <c r="AL2035" s="6"/>
      <c r="AM2035" s="6"/>
    </row>
    <row r="2036">
      <c r="A2036" s="6"/>
      <c r="B2036" s="6"/>
      <c r="C2036" s="6"/>
      <c r="D2036" s="6"/>
      <c r="E2036" s="6"/>
      <c r="F2036" s="6"/>
      <c r="G2036" s="6"/>
      <c r="H2036" s="6"/>
      <c r="I2036" s="6"/>
      <c r="J2036" s="6"/>
      <c r="K2036" s="6"/>
      <c r="L2036" s="6"/>
      <c r="M2036" s="6"/>
      <c r="N2036" s="6"/>
      <c r="O2036" s="6"/>
      <c r="P2036" s="6"/>
      <c r="Q2036" s="6"/>
      <c r="R2036" s="6"/>
      <c r="S2036" s="6"/>
      <c r="T2036" s="6"/>
      <c r="U2036" s="6"/>
      <c r="V2036" s="6"/>
      <c r="W2036" s="6"/>
      <c r="X2036" s="6"/>
      <c r="Y2036" s="6"/>
      <c r="Z2036" s="6"/>
      <c r="AA2036" s="6"/>
      <c r="AB2036" s="6"/>
      <c r="AC2036" s="6"/>
      <c r="AD2036" s="6"/>
      <c r="AE2036" s="6"/>
      <c r="AF2036" s="6"/>
      <c r="AG2036" s="6"/>
      <c r="AH2036" s="6"/>
      <c r="AI2036" s="6"/>
      <c r="AJ2036" s="6"/>
      <c r="AK2036" s="6"/>
      <c r="AL2036" s="6"/>
      <c r="AM2036" s="6"/>
    </row>
    <row r="2037">
      <c r="A2037" s="6"/>
      <c r="B2037" s="6"/>
      <c r="C2037" s="6"/>
      <c r="D2037" s="6"/>
      <c r="E2037" s="6"/>
      <c r="F2037" s="6"/>
      <c r="G2037" s="6"/>
      <c r="H2037" s="6"/>
      <c r="I2037" s="6"/>
      <c r="J2037" s="6"/>
      <c r="K2037" s="6"/>
      <c r="L2037" s="6"/>
      <c r="M2037" s="6"/>
      <c r="N2037" s="6"/>
      <c r="O2037" s="6"/>
      <c r="P2037" s="6"/>
      <c r="Q2037" s="6"/>
      <c r="R2037" s="6"/>
      <c r="S2037" s="6"/>
      <c r="T2037" s="6"/>
      <c r="U2037" s="6"/>
      <c r="V2037" s="6"/>
      <c r="W2037" s="6"/>
      <c r="X2037" s="6"/>
      <c r="Y2037" s="6"/>
      <c r="Z2037" s="6"/>
      <c r="AA2037" s="6"/>
      <c r="AB2037" s="6"/>
      <c r="AC2037" s="6"/>
      <c r="AD2037" s="6"/>
      <c r="AE2037" s="6"/>
      <c r="AF2037" s="6"/>
      <c r="AG2037" s="6"/>
      <c r="AH2037" s="6"/>
      <c r="AI2037" s="6"/>
      <c r="AJ2037" s="6"/>
      <c r="AK2037" s="6"/>
      <c r="AL2037" s="6"/>
      <c r="AM2037" s="6"/>
    </row>
    <row r="2038">
      <c r="A2038" s="6"/>
      <c r="B2038" s="6"/>
      <c r="C2038" s="6"/>
      <c r="D2038" s="6"/>
      <c r="E2038" s="6"/>
      <c r="F2038" s="6"/>
      <c r="G2038" s="6"/>
      <c r="H2038" s="6"/>
      <c r="I2038" s="6"/>
      <c r="J2038" s="6"/>
      <c r="K2038" s="6"/>
      <c r="L2038" s="6"/>
      <c r="M2038" s="6"/>
      <c r="N2038" s="6"/>
      <c r="O2038" s="6"/>
      <c r="P2038" s="6"/>
      <c r="Q2038" s="6"/>
      <c r="R2038" s="6"/>
      <c r="S2038" s="6"/>
      <c r="T2038" s="6"/>
      <c r="U2038" s="6"/>
      <c r="V2038" s="6"/>
      <c r="W2038" s="6"/>
      <c r="X2038" s="6"/>
      <c r="Y2038" s="6"/>
      <c r="Z2038" s="6"/>
      <c r="AA2038" s="6"/>
      <c r="AB2038" s="6"/>
      <c r="AC2038" s="6"/>
      <c r="AD2038" s="6"/>
      <c r="AE2038" s="6"/>
      <c r="AF2038" s="6"/>
      <c r="AG2038" s="6"/>
      <c r="AH2038" s="6"/>
      <c r="AI2038" s="6"/>
      <c r="AJ2038" s="6"/>
      <c r="AK2038" s="6"/>
      <c r="AL2038" s="6"/>
      <c r="AM2038" s="6"/>
    </row>
    <row r="2039">
      <c r="A2039" s="6"/>
      <c r="B2039" s="6"/>
      <c r="C2039" s="6"/>
      <c r="D2039" s="6"/>
      <c r="E2039" s="6"/>
      <c r="F2039" s="6"/>
      <c r="G2039" s="6"/>
      <c r="H2039" s="6"/>
      <c r="I2039" s="6"/>
      <c r="J2039" s="6"/>
      <c r="K2039" s="6"/>
      <c r="L2039" s="6"/>
      <c r="M2039" s="6"/>
      <c r="N2039" s="6"/>
      <c r="O2039" s="6"/>
      <c r="P2039" s="6"/>
      <c r="Q2039" s="6"/>
      <c r="R2039" s="6"/>
      <c r="S2039" s="6"/>
      <c r="T2039" s="6"/>
      <c r="U2039" s="6"/>
      <c r="V2039" s="6"/>
      <c r="W2039" s="6"/>
      <c r="X2039" s="6"/>
      <c r="Y2039" s="6"/>
      <c r="Z2039" s="6"/>
      <c r="AA2039" s="6"/>
      <c r="AB2039" s="6"/>
      <c r="AC2039" s="6"/>
      <c r="AD2039" s="6"/>
      <c r="AE2039" s="6"/>
      <c r="AF2039" s="6"/>
      <c r="AG2039" s="6"/>
      <c r="AH2039" s="6"/>
      <c r="AI2039" s="6"/>
      <c r="AJ2039" s="6"/>
      <c r="AK2039" s="6"/>
      <c r="AL2039" s="6"/>
      <c r="AM2039" s="6"/>
    </row>
    <row r="2040">
      <c r="A2040" s="6"/>
      <c r="B2040" s="6"/>
      <c r="C2040" s="6"/>
      <c r="D2040" s="6"/>
      <c r="E2040" s="6"/>
      <c r="F2040" s="6"/>
      <c r="G2040" s="6"/>
      <c r="H2040" s="6"/>
      <c r="I2040" s="6"/>
      <c r="J2040" s="6"/>
      <c r="K2040" s="6"/>
      <c r="L2040" s="6"/>
      <c r="M2040" s="6"/>
      <c r="N2040" s="6"/>
      <c r="O2040" s="6"/>
      <c r="P2040" s="6"/>
      <c r="Q2040" s="6"/>
      <c r="R2040" s="6"/>
      <c r="S2040" s="6"/>
      <c r="T2040" s="6"/>
      <c r="U2040" s="6"/>
      <c r="V2040" s="6"/>
      <c r="W2040" s="6"/>
      <c r="X2040" s="6"/>
      <c r="Y2040" s="6"/>
      <c r="Z2040" s="6"/>
      <c r="AA2040" s="6"/>
      <c r="AB2040" s="6"/>
      <c r="AC2040" s="6"/>
      <c r="AD2040" s="6"/>
      <c r="AE2040" s="6"/>
      <c r="AF2040" s="6"/>
      <c r="AG2040" s="6"/>
      <c r="AH2040" s="6"/>
      <c r="AI2040" s="6"/>
      <c r="AJ2040" s="6"/>
      <c r="AK2040" s="6"/>
      <c r="AL2040" s="6"/>
      <c r="AM2040" s="6"/>
    </row>
    <row r="2041">
      <c r="A2041" s="6"/>
      <c r="B2041" s="6"/>
      <c r="C2041" s="6"/>
      <c r="D2041" s="6"/>
      <c r="E2041" s="6"/>
      <c r="F2041" s="6"/>
      <c r="G2041" s="6"/>
      <c r="H2041" s="6"/>
      <c r="I2041" s="6"/>
      <c r="J2041" s="6"/>
      <c r="K2041" s="6"/>
      <c r="L2041" s="6"/>
      <c r="M2041" s="6"/>
      <c r="N2041" s="6"/>
      <c r="O2041" s="6"/>
      <c r="P2041" s="6"/>
      <c r="Q2041" s="6"/>
      <c r="R2041" s="6"/>
      <c r="S2041" s="6"/>
      <c r="T2041" s="6"/>
      <c r="U2041" s="6"/>
      <c r="V2041" s="6"/>
      <c r="W2041" s="6"/>
      <c r="X2041" s="6"/>
      <c r="Y2041" s="6"/>
      <c r="Z2041" s="6"/>
      <c r="AA2041" s="6"/>
      <c r="AB2041" s="6"/>
      <c r="AC2041" s="6"/>
      <c r="AD2041" s="6"/>
      <c r="AE2041" s="6"/>
      <c r="AF2041" s="6"/>
      <c r="AG2041" s="6"/>
      <c r="AH2041" s="6"/>
      <c r="AI2041" s="6"/>
      <c r="AJ2041" s="6"/>
      <c r="AK2041" s="6"/>
      <c r="AL2041" s="6"/>
      <c r="AM2041" s="6"/>
    </row>
    <row r="2042">
      <c r="A2042" s="6"/>
      <c r="B2042" s="6"/>
      <c r="C2042" s="6"/>
      <c r="D2042" s="6"/>
      <c r="E2042" s="6"/>
      <c r="F2042" s="6"/>
      <c r="G2042" s="6"/>
      <c r="H2042" s="6"/>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c r="AG2042" s="6"/>
      <c r="AH2042" s="6"/>
      <c r="AI2042" s="6"/>
      <c r="AJ2042" s="6"/>
      <c r="AK2042" s="6"/>
      <c r="AL2042" s="6"/>
      <c r="AM2042" s="6"/>
    </row>
    <row r="2043">
      <c r="A2043" s="6"/>
      <c r="B2043" s="6"/>
      <c r="C2043" s="6"/>
      <c r="D2043" s="6"/>
      <c r="E2043" s="6"/>
      <c r="F2043" s="6"/>
      <c r="G2043" s="6"/>
      <c r="H2043" s="6"/>
      <c r="I2043" s="6"/>
      <c r="J2043" s="6"/>
      <c r="K2043" s="6"/>
      <c r="L2043" s="6"/>
      <c r="M2043" s="6"/>
      <c r="N2043" s="6"/>
      <c r="O2043" s="6"/>
      <c r="P2043" s="6"/>
      <c r="Q2043" s="6"/>
      <c r="R2043" s="6"/>
      <c r="S2043" s="6"/>
      <c r="T2043" s="6"/>
      <c r="U2043" s="6"/>
      <c r="V2043" s="6"/>
      <c r="W2043" s="6"/>
      <c r="X2043" s="6"/>
      <c r="Y2043" s="6"/>
      <c r="Z2043" s="6"/>
      <c r="AA2043" s="6"/>
      <c r="AB2043" s="6"/>
      <c r="AC2043" s="6"/>
      <c r="AD2043" s="6"/>
      <c r="AE2043" s="6"/>
      <c r="AF2043" s="6"/>
      <c r="AG2043" s="6"/>
      <c r="AH2043" s="6"/>
      <c r="AI2043" s="6"/>
      <c r="AJ2043" s="6"/>
      <c r="AK2043" s="6"/>
      <c r="AL2043" s="6"/>
      <c r="AM2043" s="6"/>
    </row>
    <row r="2044">
      <c r="A2044" s="6"/>
      <c r="B2044" s="6"/>
      <c r="C2044" s="6"/>
      <c r="D2044" s="6"/>
      <c r="E2044" s="6"/>
      <c r="F2044" s="6"/>
      <c r="G2044" s="6"/>
      <c r="H2044" s="6"/>
      <c r="I2044" s="6"/>
      <c r="J2044" s="6"/>
      <c r="K2044" s="6"/>
      <c r="L2044" s="6"/>
      <c r="M2044" s="6"/>
      <c r="N2044" s="6"/>
      <c r="O2044" s="6"/>
      <c r="P2044" s="6"/>
      <c r="Q2044" s="6"/>
      <c r="R2044" s="6"/>
      <c r="S2044" s="6"/>
      <c r="T2044" s="6"/>
      <c r="U2044" s="6"/>
      <c r="V2044" s="6"/>
      <c r="W2044" s="6"/>
      <c r="X2044" s="6"/>
      <c r="Y2044" s="6"/>
      <c r="Z2044" s="6"/>
      <c r="AA2044" s="6"/>
      <c r="AB2044" s="6"/>
      <c r="AC2044" s="6"/>
      <c r="AD2044" s="6"/>
      <c r="AE2044" s="6"/>
      <c r="AF2044" s="6"/>
      <c r="AG2044" s="6"/>
      <c r="AH2044" s="6"/>
      <c r="AI2044" s="6"/>
      <c r="AJ2044" s="6"/>
      <c r="AK2044" s="6"/>
      <c r="AL2044" s="6"/>
      <c r="AM2044" s="6"/>
    </row>
    <row r="2045">
      <c r="A2045" s="6"/>
      <c r="B2045" s="6"/>
      <c r="C2045" s="6"/>
      <c r="D2045" s="6"/>
      <c r="E2045" s="6"/>
      <c r="F2045" s="6"/>
      <c r="G2045" s="6"/>
      <c r="H2045" s="6"/>
      <c r="I2045" s="6"/>
      <c r="J2045" s="6"/>
      <c r="K2045" s="6"/>
      <c r="L2045" s="6"/>
      <c r="M2045" s="6"/>
      <c r="N2045" s="6"/>
      <c r="O2045" s="6"/>
      <c r="P2045" s="6"/>
      <c r="Q2045" s="6"/>
      <c r="R2045" s="6"/>
      <c r="S2045" s="6"/>
      <c r="T2045" s="6"/>
      <c r="U2045" s="6"/>
      <c r="V2045" s="6"/>
      <c r="W2045" s="6"/>
      <c r="X2045" s="6"/>
      <c r="Y2045" s="6"/>
      <c r="Z2045" s="6"/>
      <c r="AA2045" s="6"/>
      <c r="AB2045" s="6"/>
      <c r="AC2045" s="6"/>
      <c r="AD2045" s="6"/>
      <c r="AE2045" s="6"/>
      <c r="AF2045" s="6"/>
      <c r="AG2045" s="6"/>
      <c r="AH2045" s="6"/>
      <c r="AI2045" s="6"/>
      <c r="AJ2045" s="6"/>
      <c r="AK2045" s="6"/>
      <c r="AL2045" s="6"/>
      <c r="AM2045" s="6"/>
    </row>
    <row r="2046">
      <c r="A2046" s="6"/>
      <c r="B2046" s="6"/>
      <c r="C2046" s="6"/>
      <c r="D2046" s="6"/>
      <c r="E2046" s="6"/>
      <c r="F2046" s="6"/>
      <c r="G2046" s="6"/>
      <c r="H2046" s="6"/>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c r="AG2046" s="6"/>
      <c r="AH2046" s="6"/>
      <c r="AI2046" s="6"/>
      <c r="AJ2046" s="6"/>
      <c r="AK2046" s="6"/>
      <c r="AL2046" s="6"/>
      <c r="AM2046" s="6"/>
    </row>
    <row r="2047">
      <c r="A2047" s="6"/>
      <c r="B2047" s="6"/>
      <c r="C2047" s="6"/>
      <c r="D2047" s="6"/>
      <c r="E2047" s="6"/>
      <c r="F2047" s="6"/>
      <c r="G2047" s="6"/>
      <c r="H2047" s="6"/>
      <c r="I2047" s="6"/>
      <c r="J2047" s="6"/>
      <c r="K2047" s="6"/>
      <c r="L2047" s="6"/>
      <c r="M2047" s="6"/>
      <c r="N2047" s="6"/>
      <c r="O2047" s="6"/>
      <c r="P2047" s="6"/>
      <c r="Q2047" s="6"/>
      <c r="R2047" s="6"/>
      <c r="S2047" s="6"/>
      <c r="T2047" s="6"/>
      <c r="U2047" s="6"/>
      <c r="V2047" s="6"/>
      <c r="W2047" s="6"/>
      <c r="X2047" s="6"/>
      <c r="Y2047" s="6"/>
      <c r="Z2047" s="6"/>
      <c r="AA2047" s="6"/>
      <c r="AB2047" s="6"/>
      <c r="AC2047" s="6"/>
      <c r="AD2047" s="6"/>
      <c r="AE2047" s="6"/>
      <c r="AF2047" s="6"/>
      <c r="AG2047" s="6"/>
      <c r="AH2047" s="6"/>
      <c r="AI2047" s="6"/>
      <c r="AJ2047" s="6"/>
      <c r="AK2047" s="6"/>
      <c r="AL2047" s="6"/>
      <c r="AM2047" s="6"/>
    </row>
    <row r="2048">
      <c r="A2048" s="6"/>
      <c r="B2048" s="6"/>
      <c r="C2048" s="6"/>
      <c r="D2048" s="6"/>
      <c r="E2048" s="6"/>
      <c r="F2048" s="6"/>
      <c r="G2048" s="6"/>
      <c r="H2048" s="6"/>
      <c r="I2048" s="6"/>
      <c r="J2048" s="6"/>
      <c r="K2048" s="6"/>
      <c r="L2048" s="6"/>
      <c r="M2048" s="6"/>
      <c r="N2048" s="6"/>
      <c r="O2048" s="6"/>
      <c r="P2048" s="6"/>
      <c r="Q2048" s="6"/>
      <c r="R2048" s="6"/>
      <c r="S2048" s="6"/>
      <c r="T2048" s="6"/>
      <c r="U2048" s="6"/>
      <c r="V2048" s="6"/>
      <c r="W2048" s="6"/>
      <c r="X2048" s="6"/>
      <c r="Y2048" s="6"/>
      <c r="Z2048" s="6"/>
      <c r="AA2048" s="6"/>
      <c r="AB2048" s="6"/>
      <c r="AC2048" s="6"/>
      <c r="AD2048" s="6"/>
      <c r="AE2048" s="6"/>
      <c r="AF2048" s="6"/>
      <c r="AG2048" s="6"/>
      <c r="AH2048" s="6"/>
      <c r="AI2048" s="6"/>
      <c r="AJ2048" s="6"/>
      <c r="AK2048" s="6"/>
      <c r="AL2048" s="6"/>
      <c r="AM2048" s="6"/>
    </row>
    <row r="2049">
      <c r="A2049" s="6"/>
      <c r="B2049" s="6"/>
      <c r="C2049" s="6"/>
      <c r="D2049" s="6"/>
      <c r="E2049" s="6"/>
      <c r="F2049" s="6"/>
      <c r="G2049" s="6"/>
      <c r="H2049" s="6"/>
      <c r="I2049" s="6"/>
      <c r="J2049" s="6"/>
      <c r="K2049" s="6"/>
      <c r="L2049" s="6"/>
      <c r="M2049" s="6"/>
      <c r="N2049" s="6"/>
      <c r="O2049" s="6"/>
      <c r="P2049" s="6"/>
      <c r="Q2049" s="6"/>
      <c r="R2049" s="6"/>
      <c r="S2049" s="6"/>
      <c r="T2049" s="6"/>
      <c r="U2049" s="6"/>
      <c r="V2049" s="6"/>
      <c r="W2049" s="6"/>
      <c r="X2049" s="6"/>
      <c r="Y2049" s="6"/>
      <c r="Z2049" s="6"/>
      <c r="AA2049" s="6"/>
      <c r="AB2049" s="6"/>
      <c r="AC2049" s="6"/>
      <c r="AD2049" s="6"/>
      <c r="AE2049" s="6"/>
      <c r="AF2049" s="6"/>
      <c r="AG2049" s="6"/>
      <c r="AH2049" s="6"/>
      <c r="AI2049" s="6"/>
      <c r="AJ2049" s="6"/>
      <c r="AK2049" s="6"/>
      <c r="AL2049" s="6"/>
      <c r="AM2049" s="6"/>
    </row>
    <row r="2050">
      <c r="A2050" s="6"/>
      <c r="B2050" s="6"/>
      <c r="C2050" s="6"/>
      <c r="D2050" s="6"/>
      <c r="E2050" s="6"/>
      <c r="F2050" s="6"/>
      <c r="G2050" s="6"/>
      <c r="H2050" s="6"/>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c r="AG2050" s="6"/>
      <c r="AH2050" s="6"/>
      <c r="AI2050" s="6"/>
      <c r="AJ2050" s="6"/>
      <c r="AK2050" s="6"/>
      <c r="AL2050" s="6"/>
      <c r="AM2050" s="6"/>
    </row>
    <row r="2051">
      <c r="A2051" s="6"/>
      <c r="B2051" s="6"/>
      <c r="C2051" s="6"/>
      <c r="D2051" s="6"/>
      <c r="E2051" s="6"/>
      <c r="F2051" s="6"/>
      <c r="G2051" s="6"/>
      <c r="H2051" s="6"/>
      <c r="I2051" s="6"/>
      <c r="J2051" s="6"/>
      <c r="K2051" s="6"/>
      <c r="L2051" s="6"/>
      <c r="M2051" s="6"/>
      <c r="N2051" s="6"/>
      <c r="O2051" s="6"/>
      <c r="P2051" s="6"/>
      <c r="Q2051" s="6"/>
      <c r="R2051" s="6"/>
      <c r="S2051" s="6"/>
      <c r="T2051" s="6"/>
      <c r="U2051" s="6"/>
      <c r="V2051" s="6"/>
      <c r="W2051" s="6"/>
      <c r="X2051" s="6"/>
      <c r="Y2051" s="6"/>
      <c r="Z2051" s="6"/>
      <c r="AA2051" s="6"/>
      <c r="AB2051" s="6"/>
      <c r="AC2051" s="6"/>
      <c r="AD2051" s="6"/>
      <c r="AE2051" s="6"/>
      <c r="AF2051" s="6"/>
      <c r="AG2051" s="6"/>
      <c r="AH2051" s="6"/>
      <c r="AI2051" s="6"/>
      <c r="AJ2051" s="6"/>
      <c r="AK2051" s="6"/>
      <c r="AL2051" s="6"/>
      <c r="AM2051" s="6"/>
    </row>
    <row r="2052">
      <c r="A2052" s="6"/>
      <c r="B2052" s="6"/>
      <c r="C2052" s="6"/>
      <c r="D2052" s="6"/>
      <c r="E2052" s="6"/>
      <c r="F2052" s="6"/>
      <c r="G2052" s="6"/>
      <c r="H2052" s="6"/>
      <c r="I2052" s="6"/>
      <c r="J2052" s="6"/>
      <c r="K2052" s="6"/>
      <c r="L2052" s="6"/>
      <c r="M2052" s="6"/>
      <c r="N2052" s="6"/>
      <c r="O2052" s="6"/>
      <c r="P2052" s="6"/>
      <c r="Q2052" s="6"/>
      <c r="R2052" s="6"/>
      <c r="S2052" s="6"/>
      <c r="T2052" s="6"/>
      <c r="U2052" s="6"/>
      <c r="V2052" s="6"/>
      <c r="W2052" s="6"/>
      <c r="X2052" s="6"/>
      <c r="Y2052" s="6"/>
      <c r="Z2052" s="6"/>
      <c r="AA2052" s="6"/>
      <c r="AB2052" s="6"/>
      <c r="AC2052" s="6"/>
      <c r="AD2052" s="6"/>
      <c r="AE2052" s="6"/>
      <c r="AF2052" s="6"/>
      <c r="AG2052" s="6"/>
      <c r="AH2052" s="6"/>
      <c r="AI2052" s="6"/>
      <c r="AJ2052" s="6"/>
      <c r="AK2052" s="6"/>
      <c r="AL2052" s="6"/>
      <c r="AM2052" s="6"/>
    </row>
    <row r="2053">
      <c r="A2053" s="6"/>
      <c r="B2053" s="6"/>
      <c r="C2053" s="6"/>
      <c r="D2053" s="6"/>
      <c r="E2053" s="6"/>
      <c r="F2053" s="6"/>
      <c r="G2053" s="6"/>
      <c r="H2053" s="6"/>
      <c r="I2053" s="6"/>
      <c r="J2053" s="6"/>
      <c r="K2053" s="6"/>
      <c r="L2053" s="6"/>
      <c r="M2053" s="6"/>
      <c r="N2053" s="6"/>
      <c r="O2053" s="6"/>
      <c r="P2053" s="6"/>
      <c r="Q2053" s="6"/>
      <c r="R2053" s="6"/>
      <c r="S2053" s="6"/>
      <c r="T2053" s="6"/>
      <c r="U2053" s="6"/>
      <c r="V2053" s="6"/>
      <c r="W2053" s="6"/>
      <c r="X2053" s="6"/>
      <c r="Y2053" s="6"/>
      <c r="Z2053" s="6"/>
      <c r="AA2053" s="6"/>
      <c r="AB2053" s="6"/>
      <c r="AC2053" s="6"/>
      <c r="AD2053" s="6"/>
      <c r="AE2053" s="6"/>
      <c r="AF2053" s="6"/>
      <c r="AG2053" s="6"/>
      <c r="AH2053" s="6"/>
      <c r="AI2053" s="6"/>
      <c r="AJ2053" s="6"/>
      <c r="AK2053" s="6"/>
      <c r="AL2053" s="6"/>
      <c r="AM2053" s="6"/>
    </row>
    <row r="2054">
      <c r="A2054" s="6"/>
      <c r="B2054" s="6"/>
      <c r="C2054" s="6"/>
      <c r="D2054" s="6"/>
      <c r="E2054" s="6"/>
      <c r="F2054" s="6"/>
      <c r="G2054" s="6"/>
      <c r="H2054" s="6"/>
      <c r="I2054" s="6"/>
      <c r="J2054" s="6"/>
      <c r="K2054" s="6"/>
      <c r="L2054" s="6"/>
      <c r="M2054" s="6"/>
      <c r="N2054" s="6"/>
      <c r="O2054" s="6"/>
      <c r="P2054" s="6"/>
      <c r="Q2054" s="6"/>
      <c r="R2054" s="6"/>
      <c r="S2054" s="6"/>
      <c r="T2054" s="6"/>
      <c r="U2054" s="6"/>
      <c r="V2054" s="6"/>
      <c r="W2054" s="6"/>
      <c r="X2054" s="6"/>
      <c r="Y2054" s="6"/>
      <c r="Z2054" s="6"/>
      <c r="AA2054" s="6"/>
      <c r="AB2054" s="6"/>
      <c r="AC2054" s="6"/>
      <c r="AD2054" s="6"/>
      <c r="AE2054" s="6"/>
      <c r="AF2054" s="6"/>
      <c r="AG2054" s="6"/>
      <c r="AH2054" s="6"/>
      <c r="AI2054" s="6"/>
      <c r="AJ2054" s="6"/>
      <c r="AK2054" s="6"/>
      <c r="AL2054" s="6"/>
      <c r="AM2054" s="6"/>
    </row>
    <row r="2055">
      <c r="A2055" s="6"/>
      <c r="B2055" s="6"/>
      <c r="C2055" s="6"/>
      <c r="D2055" s="6"/>
      <c r="E2055" s="6"/>
      <c r="F2055" s="6"/>
      <c r="G2055" s="6"/>
      <c r="H2055" s="6"/>
      <c r="I2055" s="6"/>
      <c r="J2055" s="6"/>
      <c r="K2055" s="6"/>
      <c r="L2055" s="6"/>
      <c r="M2055" s="6"/>
      <c r="N2055" s="6"/>
      <c r="O2055" s="6"/>
      <c r="P2055" s="6"/>
      <c r="Q2055" s="6"/>
      <c r="R2055" s="6"/>
      <c r="S2055" s="6"/>
      <c r="T2055" s="6"/>
      <c r="U2055" s="6"/>
      <c r="V2055" s="6"/>
      <c r="W2055" s="6"/>
      <c r="X2055" s="6"/>
      <c r="Y2055" s="6"/>
      <c r="Z2055" s="6"/>
      <c r="AA2055" s="6"/>
      <c r="AB2055" s="6"/>
      <c r="AC2055" s="6"/>
      <c r="AD2055" s="6"/>
      <c r="AE2055" s="6"/>
      <c r="AF2055" s="6"/>
      <c r="AG2055" s="6"/>
      <c r="AH2055" s="6"/>
      <c r="AI2055" s="6"/>
      <c r="AJ2055" s="6"/>
      <c r="AK2055" s="6"/>
      <c r="AL2055" s="6"/>
      <c r="AM2055" s="6"/>
    </row>
    <row r="2056">
      <c r="A2056" s="6"/>
      <c r="B2056" s="6"/>
      <c r="C2056" s="6"/>
      <c r="D2056" s="6"/>
      <c r="E2056" s="6"/>
      <c r="F2056" s="6"/>
      <c r="G2056" s="6"/>
      <c r="H2056" s="6"/>
      <c r="I2056" s="6"/>
      <c r="J2056" s="6"/>
      <c r="K2056" s="6"/>
      <c r="L2056" s="6"/>
      <c r="M2056" s="6"/>
      <c r="N2056" s="6"/>
      <c r="O2056" s="6"/>
      <c r="P2056" s="6"/>
      <c r="Q2056" s="6"/>
      <c r="R2056" s="6"/>
      <c r="S2056" s="6"/>
      <c r="T2056" s="6"/>
      <c r="U2056" s="6"/>
      <c r="V2056" s="6"/>
      <c r="W2056" s="6"/>
      <c r="X2056" s="6"/>
      <c r="Y2056" s="6"/>
      <c r="Z2056" s="6"/>
      <c r="AA2056" s="6"/>
      <c r="AB2056" s="6"/>
      <c r="AC2056" s="6"/>
      <c r="AD2056" s="6"/>
      <c r="AE2056" s="6"/>
      <c r="AF2056" s="6"/>
      <c r="AG2056" s="6"/>
      <c r="AH2056" s="6"/>
      <c r="AI2056" s="6"/>
      <c r="AJ2056" s="6"/>
      <c r="AK2056" s="6"/>
      <c r="AL2056" s="6"/>
      <c r="AM2056" s="6"/>
    </row>
    <row r="2057">
      <c r="A2057" s="6"/>
      <c r="B2057" s="6"/>
      <c r="C2057" s="6"/>
      <c r="D2057" s="6"/>
      <c r="E2057" s="6"/>
      <c r="F2057" s="6"/>
      <c r="G2057" s="6"/>
      <c r="H2057" s="6"/>
      <c r="I2057" s="6"/>
      <c r="J2057" s="6"/>
      <c r="K2057" s="6"/>
      <c r="L2057" s="6"/>
      <c r="M2057" s="6"/>
      <c r="N2057" s="6"/>
      <c r="O2057" s="6"/>
      <c r="P2057" s="6"/>
      <c r="Q2057" s="6"/>
      <c r="R2057" s="6"/>
      <c r="S2057" s="6"/>
      <c r="T2057" s="6"/>
      <c r="U2057" s="6"/>
      <c r="V2057" s="6"/>
      <c r="W2057" s="6"/>
      <c r="X2057" s="6"/>
      <c r="Y2057" s="6"/>
      <c r="Z2057" s="6"/>
      <c r="AA2057" s="6"/>
      <c r="AB2057" s="6"/>
      <c r="AC2057" s="6"/>
      <c r="AD2057" s="6"/>
      <c r="AE2057" s="6"/>
      <c r="AF2057" s="6"/>
      <c r="AG2057" s="6"/>
      <c r="AH2057" s="6"/>
      <c r="AI2057" s="6"/>
      <c r="AJ2057" s="6"/>
      <c r="AK2057" s="6"/>
      <c r="AL2057" s="6"/>
      <c r="AM2057" s="6"/>
    </row>
    <row r="2058">
      <c r="A2058" s="6"/>
      <c r="B2058" s="6"/>
      <c r="C2058" s="6"/>
      <c r="D2058" s="6"/>
      <c r="E2058" s="6"/>
      <c r="F2058" s="6"/>
      <c r="G2058" s="6"/>
      <c r="H2058" s="6"/>
      <c r="I2058" s="6"/>
      <c r="J2058" s="6"/>
      <c r="K2058" s="6"/>
      <c r="L2058" s="6"/>
      <c r="M2058" s="6"/>
      <c r="N2058" s="6"/>
      <c r="O2058" s="6"/>
      <c r="P2058" s="6"/>
      <c r="Q2058" s="6"/>
      <c r="R2058" s="6"/>
      <c r="S2058" s="6"/>
      <c r="T2058" s="6"/>
      <c r="U2058" s="6"/>
      <c r="V2058" s="6"/>
      <c r="W2058" s="6"/>
      <c r="X2058" s="6"/>
      <c r="Y2058" s="6"/>
      <c r="Z2058" s="6"/>
      <c r="AA2058" s="6"/>
      <c r="AB2058" s="6"/>
      <c r="AC2058" s="6"/>
      <c r="AD2058" s="6"/>
      <c r="AE2058" s="6"/>
      <c r="AF2058" s="6"/>
      <c r="AG2058" s="6"/>
      <c r="AH2058" s="6"/>
      <c r="AI2058" s="6"/>
      <c r="AJ2058" s="6"/>
      <c r="AK2058" s="6"/>
      <c r="AL2058" s="6"/>
      <c r="AM2058" s="6"/>
    </row>
    <row r="2059">
      <c r="A2059" s="6"/>
      <c r="B2059" s="6"/>
      <c r="C2059" s="6"/>
      <c r="D2059" s="6"/>
      <c r="E2059" s="6"/>
      <c r="F2059" s="6"/>
      <c r="G2059" s="6"/>
      <c r="H2059" s="6"/>
      <c r="I2059" s="6"/>
      <c r="J2059" s="6"/>
      <c r="K2059" s="6"/>
      <c r="L2059" s="6"/>
      <c r="M2059" s="6"/>
      <c r="N2059" s="6"/>
      <c r="O2059" s="6"/>
      <c r="P2059" s="6"/>
      <c r="Q2059" s="6"/>
      <c r="R2059" s="6"/>
      <c r="S2059" s="6"/>
      <c r="T2059" s="6"/>
      <c r="U2059" s="6"/>
      <c r="V2059" s="6"/>
      <c r="W2059" s="6"/>
      <c r="X2059" s="6"/>
      <c r="Y2059" s="6"/>
      <c r="Z2059" s="6"/>
      <c r="AA2059" s="6"/>
      <c r="AB2059" s="6"/>
      <c r="AC2059" s="6"/>
      <c r="AD2059" s="6"/>
      <c r="AE2059" s="6"/>
      <c r="AF2059" s="6"/>
      <c r="AG2059" s="6"/>
      <c r="AH2059" s="6"/>
      <c r="AI2059" s="6"/>
      <c r="AJ2059" s="6"/>
      <c r="AK2059" s="6"/>
      <c r="AL2059" s="6"/>
      <c r="AM2059" s="6"/>
    </row>
    <row r="2060">
      <c r="A2060" s="6"/>
      <c r="B2060" s="6"/>
      <c r="C2060" s="6"/>
      <c r="D2060" s="6"/>
      <c r="E2060" s="6"/>
      <c r="F2060" s="6"/>
      <c r="G2060" s="6"/>
      <c r="H2060" s="6"/>
      <c r="I2060" s="6"/>
      <c r="J2060" s="6"/>
      <c r="K2060" s="6"/>
      <c r="L2060" s="6"/>
      <c r="M2060" s="6"/>
      <c r="N2060" s="6"/>
      <c r="O2060" s="6"/>
      <c r="P2060" s="6"/>
      <c r="Q2060" s="6"/>
      <c r="R2060" s="6"/>
      <c r="S2060" s="6"/>
      <c r="T2060" s="6"/>
      <c r="U2060" s="6"/>
      <c r="V2060" s="6"/>
      <c r="W2060" s="6"/>
      <c r="X2060" s="6"/>
      <c r="Y2060" s="6"/>
      <c r="Z2060" s="6"/>
      <c r="AA2060" s="6"/>
      <c r="AB2060" s="6"/>
      <c r="AC2060" s="6"/>
      <c r="AD2060" s="6"/>
      <c r="AE2060" s="6"/>
      <c r="AF2060" s="6"/>
      <c r="AG2060" s="6"/>
      <c r="AH2060" s="6"/>
      <c r="AI2060" s="6"/>
      <c r="AJ2060" s="6"/>
      <c r="AK2060" s="6"/>
      <c r="AL2060" s="6"/>
      <c r="AM2060" s="6"/>
    </row>
    <row r="2061">
      <c r="A2061" s="6"/>
      <c r="B2061" s="6"/>
      <c r="C2061" s="6"/>
      <c r="D2061" s="6"/>
      <c r="E2061" s="6"/>
      <c r="F2061" s="6"/>
      <c r="G2061" s="6"/>
      <c r="H2061" s="6"/>
      <c r="I2061" s="6"/>
      <c r="J2061" s="6"/>
      <c r="K2061" s="6"/>
      <c r="L2061" s="6"/>
      <c r="M2061" s="6"/>
      <c r="N2061" s="6"/>
      <c r="O2061" s="6"/>
      <c r="P2061" s="6"/>
      <c r="Q2061" s="6"/>
      <c r="R2061" s="6"/>
      <c r="S2061" s="6"/>
      <c r="T2061" s="6"/>
      <c r="U2061" s="6"/>
      <c r="V2061" s="6"/>
      <c r="W2061" s="6"/>
      <c r="X2061" s="6"/>
      <c r="Y2061" s="6"/>
      <c r="Z2061" s="6"/>
      <c r="AA2061" s="6"/>
      <c r="AB2061" s="6"/>
      <c r="AC2061" s="6"/>
      <c r="AD2061" s="6"/>
      <c r="AE2061" s="6"/>
      <c r="AF2061" s="6"/>
      <c r="AG2061" s="6"/>
      <c r="AH2061" s="6"/>
      <c r="AI2061" s="6"/>
      <c r="AJ2061" s="6"/>
      <c r="AK2061" s="6"/>
      <c r="AL2061" s="6"/>
      <c r="AM2061" s="6"/>
    </row>
    <row r="2062">
      <c r="A2062" s="6"/>
      <c r="B2062" s="6"/>
      <c r="C2062" s="6"/>
      <c r="D2062" s="6"/>
      <c r="E2062" s="6"/>
      <c r="F2062" s="6"/>
      <c r="G2062" s="6"/>
      <c r="H2062" s="6"/>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c r="AG2062" s="6"/>
      <c r="AH2062" s="6"/>
      <c r="AI2062" s="6"/>
      <c r="AJ2062" s="6"/>
      <c r="AK2062" s="6"/>
      <c r="AL2062" s="6"/>
      <c r="AM2062" s="6"/>
    </row>
    <row r="2063">
      <c r="A2063" s="6"/>
      <c r="B2063" s="6"/>
      <c r="C2063" s="6"/>
      <c r="D2063" s="6"/>
      <c r="E2063" s="6"/>
      <c r="F2063" s="6"/>
      <c r="G2063" s="6"/>
      <c r="H2063" s="6"/>
      <c r="I2063" s="6"/>
      <c r="J2063" s="6"/>
      <c r="K2063" s="6"/>
      <c r="L2063" s="6"/>
      <c r="M2063" s="6"/>
      <c r="N2063" s="6"/>
      <c r="O2063" s="6"/>
      <c r="P2063" s="6"/>
      <c r="Q2063" s="6"/>
      <c r="R2063" s="6"/>
      <c r="S2063" s="6"/>
      <c r="T2063" s="6"/>
      <c r="U2063" s="6"/>
      <c r="V2063" s="6"/>
      <c r="W2063" s="6"/>
      <c r="X2063" s="6"/>
      <c r="Y2063" s="6"/>
      <c r="Z2063" s="6"/>
      <c r="AA2063" s="6"/>
      <c r="AB2063" s="6"/>
      <c r="AC2063" s="6"/>
      <c r="AD2063" s="6"/>
      <c r="AE2063" s="6"/>
      <c r="AF2063" s="6"/>
      <c r="AG2063" s="6"/>
      <c r="AH2063" s="6"/>
      <c r="AI2063" s="6"/>
      <c r="AJ2063" s="6"/>
      <c r="AK2063" s="6"/>
      <c r="AL2063" s="6"/>
      <c r="AM2063" s="6"/>
    </row>
    <row r="2064">
      <c r="A2064" s="6"/>
      <c r="B2064" s="6"/>
      <c r="C2064" s="6"/>
      <c r="D2064" s="6"/>
      <c r="E2064" s="6"/>
      <c r="F2064" s="6"/>
      <c r="G2064" s="6"/>
      <c r="H2064" s="6"/>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c r="AG2064" s="6"/>
      <c r="AH2064" s="6"/>
      <c r="AI2064" s="6"/>
      <c r="AJ2064" s="6"/>
      <c r="AK2064" s="6"/>
      <c r="AL2064" s="6"/>
      <c r="AM2064" s="6"/>
    </row>
    <row r="2065">
      <c r="A2065" s="6"/>
      <c r="B2065" s="6"/>
      <c r="C2065" s="6"/>
      <c r="D2065" s="6"/>
      <c r="E2065" s="6"/>
      <c r="F2065" s="6"/>
      <c r="G2065" s="6"/>
      <c r="H2065" s="6"/>
      <c r="I2065" s="6"/>
      <c r="J2065" s="6"/>
      <c r="K2065" s="6"/>
      <c r="L2065" s="6"/>
      <c r="M2065" s="6"/>
      <c r="N2065" s="6"/>
      <c r="O2065" s="6"/>
      <c r="P2065" s="6"/>
      <c r="Q2065" s="6"/>
      <c r="R2065" s="6"/>
      <c r="S2065" s="6"/>
      <c r="T2065" s="6"/>
      <c r="U2065" s="6"/>
      <c r="V2065" s="6"/>
      <c r="W2065" s="6"/>
      <c r="X2065" s="6"/>
      <c r="Y2065" s="6"/>
      <c r="Z2065" s="6"/>
      <c r="AA2065" s="6"/>
      <c r="AB2065" s="6"/>
      <c r="AC2065" s="6"/>
      <c r="AD2065" s="6"/>
      <c r="AE2065" s="6"/>
      <c r="AF2065" s="6"/>
      <c r="AG2065" s="6"/>
      <c r="AH2065" s="6"/>
      <c r="AI2065" s="6"/>
      <c r="AJ2065" s="6"/>
      <c r="AK2065" s="6"/>
      <c r="AL2065" s="6"/>
      <c r="AM2065" s="6"/>
    </row>
    <row r="2066">
      <c r="A2066" s="6"/>
      <c r="B2066" s="6"/>
      <c r="C2066" s="6"/>
      <c r="D2066" s="6"/>
      <c r="E2066" s="6"/>
      <c r="F2066" s="6"/>
      <c r="G2066" s="6"/>
      <c r="H2066" s="6"/>
      <c r="I2066" s="6"/>
      <c r="J2066" s="6"/>
      <c r="K2066" s="6"/>
      <c r="L2066" s="6"/>
      <c r="M2066" s="6"/>
      <c r="N2066" s="6"/>
      <c r="O2066" s="6"/>
      <c r="P2066" s="6"/>
      <c r="Q2066" s="6"/>
      <c r="R2066" s="6"/>
      <c r="S2066" s="6"/>
      <c r="T2066" s="6"/>
      <c r="U2066" s="6"/>
      <c r="V2066" s="6"/>
      <c r="W2066" s="6"/>
      <c r="X2066" s="6"/>
      <c r="Y2066" s="6"/>
      <c r="Z2066" s="6"/>
      <c r="AA2066" s="6"/>
      <c r="AB2066" s="6"/>
      <c r="AC2066" s="6"/>
      <c r="AD2066" s="6"/>
      <c r="AE2066" s="6"/>
      <c r="AF2066" s="6"/>
      <c r="AG2066" s="6"/>
      <c r="AH2066" s="6"/>
      <c r="AI2066" s="6"/>
      <c r="AJ2066" s="6"/>
      <c r="AK2066" s="6"/>
      <c r="AL2066" s="6"/>
      <c r="AM2066" s="6"/>
    </row>
    <row r="2067">
      <c r="A2067" s="6"/>
      <c r="B2067" s="6"/>
      <c r="C2067" s="6"/>
      <c r="D2067" s="6"/>
      <c r="E2067" s="6"/>
      <c r="F2067" s="6"/>
      <c r="G2067" s="6"/>
      <c r="H2067" s="6"/>
      <c r="I2067" s="6"/>
      <c r="J2067" s="6"/>
      <c r="K2067" s="6"/>
      <c r="L2067" s="6"/>
      <c r="M2067" s="6"/>
      <c r="N2067" s="6"/>
      <c r="O2067" s="6"/>
      <c r="P2067" s="6"/>
      <c r="Q2067" s="6"/>
      <c r="R2067" s="6"/>
      <c r="S2067" s="6"/>
      <c r="T2067" s="6"/>
      <c r="U2067" s="6"/>
      <c r="V2067" s="6"/>
      <c r="W2067" s="6"/>
      <c r="X2067" s="6"/>
      <c r="Y2067" s="6"/>
      <c r="Z2067" s="6"/>
      <c r="AA2067" s="6"/>
      <c r="AB2067" s="6"/>
      <c r="AC2067" s="6"/>
      <c r="AD2067" s="6"/>
      <c r="AE2067" s="6"/>
      <c r="AF2067" s="6"/>
      <c r="AG2067" s="6"/>
      <c r="AH2067" s="6"/>
      <c r="AI2067" s="6"/>
      <c r="AJ2067" s="6"/>
      <c r="AK2067" s="6"/>
      <c r="AL2067" s="6"/>
      <c r="AM2067" s="6"/>
    </row>
    <row r="2068">
      <c r="A2068" s="6"/>
      <c r="B2068" s="6"/>
      <c r="C2068" s="6"/>
      <c r="D2068" s="6"/>
      <c r="E2068" s="6"/>
      <c r="F2068" s="6"/>
      <c r="G2068" s="6"/>
      <c r="H2068" s="6"/>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c r="AG2068" s="6"/>
      <c r="AH2068" s="6"/>
      <c r="AI2068" s="6"/>
      <c r="AJ2068" s="6"/>
      <c r="AK2068" s="6"/>
      <c r="AL2068" s="6"/>
      <c r="AM2068" s="6"/>
    </row>
    <row r="2069">
      <c r="A2069" s="6"/>
      <c r="B2069" s="6"/>
      <c r="C2069" s="6"/>
      <c r="D2069" s="6"/>
      <c r="E2069" s="6"/>
      <c r="F2069" s="6"/>
      <c r="G2069" s="6"/>
      <c r="H2069" s="6"/>
      <c r="I2069" s="6"/>
      <c r="J2069" s="6"/>
      <c r="K2069" s="6"/>
      <c r="L2069" s="6"/>
      <c r="M2069" s="6"/>
      <c r="N2069" s="6"/>
      <c r="O2069" s="6"/>
      <c r="P2069" s="6"/>
      <c r="Q2069" s="6"/>
      <c r="R2069" s="6"/>
      <c r="S2069" s="6"/>
      <c r="T2069" s="6"/>
      <c r="U2069" s="6"/>
      <c r="V2069" s="6"/>
      <c r="W2069" s="6"/>
      <c r="X2069" s="6"/>
      <c r="Y2069" s="6"/>
      <c r="Z2069" s="6"/>
      <c r="AA2069" s="6"/>
      <c r="AB2069" s="6"/>
      <c r="AC2069" s="6"/>
      <c r="AD2069" s="6"/>
      <c r="AE2069" s="6"/>
      <c r="AF2069" s="6"/>
      <c r="AG2069" s="6"/>
      <c r="AH2069" s="6"/>
      <c r="AI2069" s="6"/>
      <c r="AJ2069" s="6"/>
      <c r="AK2069" s="6"/>
      <c r="AL2069" s="6"/>
      <c r="AM2069" s="6"/>
    </row>
    <row r="2070">
      <c r="A2070" s="6"/>
      <c r="B2070" s="6"/>
      <c r="C2070" s="6"/>
      <c r="D2070" s="6"/>
      <c r="E2070" s="6"/>
      <c r="F2070" s="6"/>
      <c r="G2070" s="6"/>
      <c r="H2070" s="6"/>
      <c r="I2070" s="6"/>
      <c r="J2070" s="6"/>
      <c r="K2070" s="6"/>
      <c r="L2070" s="6"/>
      <c r="M2070" s="6"/>
      <c r="N2070" s="6"/>
      <c r="O2070" s="6"/>
      <c r="P2070" s="6"/>
      <c r="Q2070" s="6"/>
      <c r="R2070" s="6"/>
      <c r="S2070" s="6"/>
      <c r="T2070" s="6"/>
      <c r="U2070" s="6"/>
      <c r="V2070" s="6"/>
      <c r="W2070" s="6"/>
      <c r="X2070" s="6"/>
      <c r="Y2070" s="6"/>
      <c r="Z2070" s="6"/>
      <c r="AA2070" s="6"/>
      <c r="AB2070" s="6"/>
      <c r="AC2070" s="6"/>
      <c r="AD2070" s="6"/>
      <c r="AE2070" s="6"/>
      <c r="AF2070" s="6"/>
      <c r="AG2070" s="6"/>
      <c r="AH2070" s="6"/>
      <c r="AI2070" s="6"/>
      <c r="AJ2070" s="6"/>
      <c r="AK2070" s="6"/>
      <c r="AL2070" s="6"/>
      <c r="AM2070" s="6"/>
    </row>
    <row r="2071">
      <c r="A2071" s="6"/>
      <c r="B2071" s="6"/>
      <c r="C2071" s="6"/>
      <c r="D2071" s="6"/>
      <c r="E2071" s="6"/>
      <c r="F2071" s="6"/>
      <c r="G2071" s="6"/>
      <c r="H2071" s="6"/>
      <c r="I2071" s="6"/>
      <c r="J2071" s="6"/>
      <c r="K2071" s="6"/>
      <c r="L2071" s="6"/>
      <c r="M2071" s="6"/>
      <c r="N2071" s="6"/>
      <c r="O2071" s="6"/>
      <c r="P2071" s="6"/>
      <c r="Q2071" s="6"/>
      <c r="R2071" s="6"/>
      <c r="S2071" s="6"/>
      <c r="T2071" s="6"/>
      <c r="U2071" s="6"/>
      <c r="V2071" s="6"/>
      <c r="W2071" s="6"/>
      <c r="X2071" s="6"/>
      <c r="Y2071" s="6"/>
      <c r="Z2071" s="6"/>
      <c r="AA2071" s="6"/>
      <c r="AB2071" s="6"/>
      <c r="AC2071" s="6"/>
      <c r="AD2071" s="6"/>
      <c r="AE2071" s="6"/>
      <c r="AF2071" s="6"/>
      <c r="AG2071" s="6"/>
      <c r="AH2071" s="6"/>
      <c r="AI2071" s="6"/>
      <c r="AJ2071" s="6"/>
      <c r="AK2071" s="6"/>
      <c r="AL2071" s="6"/>
      <c r="AM2071" s="6"/>
    </row>
    <row r="2072">
      <c r="A2072" s="6"/>
      <c r="B2072" s="6"/>
      <c r="C2072" s="6"/>
      <c r="D2072" s="6"/>
      <c r="E2072" s="6"/>
      <c r="F2072" s="6"/>
      <c r="G2072" s="6"/>
      <c r="H2072" s="6"/>
      <c r="I2072" s="6"/>
      <c r="J2072" s="6"/>
      <c r="K2072" s="6"/>
      <c r="L2072" s="6"/>
      <c r="M2072" s="6"/>
      <c r="N2072" s="6"/>
      <c r="O2072" s="6"/>
      <c r="P2072" s="6"/>
      <c r="Q2072" s="6"/>
      <c r="R2072" s="6"/>
      <c r="S2072" s="6"/>
      <c r="T2072" s="6"/>
      <c r="U2072" s="6"/>
      <c r="V2072" s="6"/>
      <c r="W2072" s="6"/>
      <c r="X2072" s="6"/>
      <c r="Y2072" s="6"/>
      <c r="Z2072" s="6"/>
      <c r="AA2072" s="6"/>
      <c r="AB2072" s="6"/>
      <c r="AC2072" s="6"/>
      <c r="AD2072" s="6"/>
      <c r="AE2072" s="6"/>
      <c r="AF2072" s="6"/>
      <c r="AG2072" s="6"/>
      <c r="AH2072" s="6"/>
      <c r="AI2072" s="6"/>
      <c r="AJ2072" s="6"/>
      <c r="AK2072" s="6"/>
      <c r="AL2072" s="6"/>
      <c r="AM2072" s="6"/>
    </row>
    <row r="2073">
      <c r="A2073" s="6"/>
      <c r="B2073" s="6"/>
      <c r="C2073" s="6"/>
      <c r="D2073" s="6"/>
      <c r="E2073" s="6"/>
      <c r="F2073" s="6"/>
      <c r="G2073" s="6"/>
      <c r="H2073" s="6"/>
      <c r="I2073" s="6"/>
      <c r="J2073" s="6"/>
      <c r="K2073" s="6"/>
      <c r="L2073" s="6"/>
      <c r="M2073" s="6"/>
      <c r="N2073" s="6"/>
      <c r="O2073" s="6"/>
      <c r="P2073" s="6"/>
      <c r="Q2073" s="6"/>
      <c r="R2073" s="6"/>
      <c r="S2073" s="6"/>
      <c r="T2073" s="6"/>
      <c r="U2073" s="6"/>
      <c r="V2073" s="6"/>
      <c r="W2073" s="6"/>
      <c r="X2073" s="6"/>
      <c r="Y2073" s="6"/>
      <c r="Z2073" s="6"/>
      <c r="AA2073" s="6"/>
      <c r="AB2073" s="6"/>
      <c r="AC2073" s="6"/>
      <c r="AD2073" s="6"/>
      <c r="AE2073" s="6"/>
      <c r="AF2073" s="6"/>
      <c r="AG2073" s="6"/>
      <c r="AH2073" s="6"/>
      <c r="AI2073" s="6"/>
      <c r="AJ2073" s="6"/>
      <c r="AK2073" s="6"/>
      <c r="AL2073" s="6"/>
      <c r="AM2073" s="6"/>
    </row>
    <row r="2074">
      <c r="A2074" s="6"/>
      <c r="B2074" s="6"/>
      <c r="C2074" s="6"/>
      <c r="D2074" s="6"/>
      <c r="E2074" s="6"/>
      <c r="F2074" s="6"/>
      <c r="G2074" s="6"/>
      <c r="H2074" s="6"/>
      <c r="I2074" s="6"/>
      <c r="J2074" s="6"/>
      <c r="K2074" s="6"/>
      <c r="L2074" s="6"/>
      <c r="M2074" s="6"/>
      <c r="N2074" s="6"/>
      <c r="O2074" s="6"/>
      <c r="P2074" s="6"/>
      <c r="Q2074" s="6"/>
      <c r="R2074" s="6"/>
      <c r="S2074" s="6"/>
      <c r="T2074" s="6"/>
      <c r="U2074" s="6"/>
      <c r="V2074" s="6"/>
      <c r="W2074" s="6"/>
      <c r="X2074" s="6"/>
      <c r="Y2074" s="6"/>
      <c r="Z2074" s="6"/>
      <c r="AA2074" s="6"/>
      <c r="AB2074" s="6"/>
      <c r="AC2074" s="6"/>
      <c r="AD2074" s="6"/>
      <c r="AE2074" s="6"/>
      <c r="AF2074" s="6"/>
      <c r="AG2074" s="6"/>
      <c r="AH2074" s="6"/>
      <c r="AI2074" s="6"/>
      <c r="AJ2074" s="6"/>
      <c r="AK2074" s="6"/>
      <c r="AL2074" s="6"/>
      <c r="AM2074" s="6"/>
    </row>
    <row r="2075">
      <c r="A2075" s="6"/>
      <c r="B2075" s="6"/>
      <c r="C2075" s="6"/>
      <c r="D2075" s="6"/>
      <c r="E2075" s="6"/>
      <c r="F2075" s="6"/>
      <c r="G2075" s="6"/>
      <c r="H2075" s="6"/>
      <c r="I2075" s="6"/>
      <c r="J2075" s="6"/>
      <c r="K2075" s="6"/>
      <c r="L2075" s="6"/>
      <c r="M2075" s="6"/>
      <c r="N2075" s="6"/>
      <c r="O2075" s="6"/>
      <c r="P2075" s="6"/>
      <c r="Q2075" s="6"/>
      <c r="R2075" s="6"/>
      <c r="S2075" s="6"/>
      <c r="T2075" s="6"/>
      <c r="U2075" s="6"/>
      <c r="V2075" s="6"/>
      <c r="W2075" s="6"/>
      <c r="X2075" s="6"/>
      <c r="Y2075" s="6"/>
      <c r="Z2075" s="6"/>
      <c r="AA2075" s="6"/>
      <c r="AB2075" s="6"/>
      <c r="AC2075" s="6"/>
      <c r="AD2075" s="6"/>
      <c r="AE2075" s="6"/>
      <c r="AF2075" s="6"/>
      <c r="AG2075" s="6"/>
      <c r="AH2075" s="6"/>
      <c r="AI2075" s="6"/>
      <c r="AJ2075" s="6"/>
      <c r="AK2075" s="6"/>
      <c r="AL2075" s="6"/>
      <c r="AM2075" s="6"/>
    </row>
    <row r="2076">
      <c r="A2076" s="6"/>
      <c r="B2076" s="6"/>
      <c r="C2076" s="6"/>
      <c r="D2076" s="6"/>
      <c r="E2076" s="6"/>
      <c r="F2076" s="6"/>
      <c r="G2076" s="6"/>
      <c r="H2076" s="6"/>
      <c r="I2076" s="6"/>
      <c r="J2076" s="6"/>
      <c r="K2076" s="6"/>
      <c r="L2076" s="6"/>
      <c r="M2076" s="6"/>
      <c r="N2076" s="6"/>
      <c r="O2076" s="6"/>
      <c r="P2076" s="6"/>
      <c r="Q2076" s="6"/>
      <c r="R2076" s="6"/>
      <c r="S2076" s="6"/>
      <c r="T2076" s="6"/>
      <c r="U2076" s="6"/>
      <c r="V2076" s="6"/>
      <c r="W2076" s="6"/>
      <c r="X2076" s="6"/>
      <c r="Y2076" s="6"/>
      <c r="Z2076" s="6"/>
      <c r="AA2076" s="6"/>
      <c r="AB2076" s="6"/>
      <c r="AC2076" s="6"/>
      <c r="AD2076" s="6"/>
      <c r="AE2076" s="6"/>
      <c r="AF2076" s="6"/>
      <c r="AG2076" s="6"/>
      <c r="AH2076" s="6"/>
      <c r="AI2076" s="6"/>
      <c r="AJ2076" s="6"/>
      <c r="AK2076" s="6"/>
      <c r="AL2076" s="6"/>
      <c r="AM2076" s="6"/>
    </row>
    <row r="2077">
      <c r="A2077" s="6"/>
      <c r="B2077" s="6"/>
      <c r="C2077" s="6"/>
      <c r="D2077" s="6"/>
      <c r="E2077" s="6"/>
      <c r="F2077" s="6"/>
      <c r="G2077" s="6"/>
      <c r="H2077" s="6"/>
      <c r="I2077" s="6"/>
      <c r="J2077" s="6"/>
      <c r="K2077" s="6"/>
      <c r="L2077" s="6"/>
      <c r="M2077" s="6"/>
      <c r="N2077" s="6"/>
      <c r="O2077" s="6"/>
      <c r="P2077" s="6"/>
      <c r="Q2077" s="6"/>
      <c r="R2077" s="6"/>
      <c r="S2077" s="6"/>
      <c r="T2077" s="6"/>
      <c r="U2077" s="6"/>
      <c r="V2077" s="6"/>
      <c r="W2077" s="6"/>
      <c r="X2077" s="6"/>
      <c r="Y2077" s="6"/>
      <c r="Z2077" s="6"/>
      <c r="AA2077" s="6"/>
      <c r="AB2077" s="6"/>
      <c r="AC2077" s="6"/>
      <c r="AD2077" s="6"/>
      <c r="AE2077" s="6"/>
      <c r="AF2077" s="6"/>
      <c r="AG2077" s="6"/>
      <c r="AH2077" s="6"/>
      <c r="AI2077" s="6"/>
      <c r="AJ2077" s="6"/>
      <c r="AK2077" s="6"/>
      <c r="AL2077" s="6"/>
      <c r="AM2077" s="6"/>
    </row>
    <row r="2078">
      <c r="A2078" s="6"/>
      <c r="B2078" s="6"/>
      <c r="C2078" s="6"/>
      <c r="D2078" s="6"/>
      <c r="E2078" s="6"/>
      <c r="F2078" s="6"/>
      <c r="G2078" s="6"/>
      <c r="H2078" s="6"/>
      <c r="I2078" s="6"/>
      <c r="J2078" s="6"/>
      <c r="K2078" s="6"/>
      <c r="L2078" s="6"/>
      <c r="M2078" s="6"/>
      <c r="N2078" s="6"/>
      <c r="O2078" s="6"/>
      <c r="P2078" s="6"/>
      <c r="Q2078" s="6"/>
      <c r="R2078" s="6"/>
      <c r="S2078" s="6"/>
      <c r="T2078" s="6"/>
      <c r="U2078" s="6"/>
      <c r="V2078" s="6"/>
      <c r="W2078" s="6"/>
      <c r="X2078" s="6"/>
      <c r="Y2078" s="6"/>
      <c r="Z2078" s="6"/>
      <c r="AA2078" s="6"/>
      <c r="AB2078" s="6"/>
      <c r="AC2078" s="6"/>
      <c r="AD2078" s="6"/>
      <c r="AE2078" s="6"/>
      <c r="AF2078" s="6"/>
      <c r="AG2078" s="6"/>
      <c r="AH2078" s="6"/>
      <c r="AI2078" s="6"/>
      <c r="AJ2078" s="6"/>
      <c r="AK2078" s="6"/>
      <c r="AL2078" s="6"/>
      <c r="AM2078" s="6"/>
    </row>
    <row r="2079">
      <c r="A2079" s="6"/>
      <c r="B2079" s="6"/>
      <c r="C2079" s="6"/>
      <c r="D2079" s="6"/>
      <c r="E2079" s="6"/>
      <c r="F2079" s="6"/>
      <c r="G2079" s="6"/>
      <c r="H2079" s="6"/>
      <c r="I2079" s="6"/>
      <c r="J2079" s="6"/>
      <c r="K2079" s="6"/>
      <c r="L2079" s="6"/>
      <c r="M2079" s="6"/>
      <c r="N2079" s="6"/>
      <c r="O2079" s="6"/>
      <c r="P2079" s="6"/>
      <c r="Q2079" s="6"/>
      <c r="R2079" s="6"/>
      <c r="S2079" s="6"/>
      <c r="T2079" s="6"/>
      <c r="U2079" s="6"/>
      <c r="V2079" s="6"/>
      <c r="W2079" s="6"/>
      <c r="X2079" s="6"/>
      <c r="Y2079" s="6"/>
      <c r="Z2079" s="6"/>
      <c r="AA2079" s="6"/>
      <c r="AB2079" s="6"/>
      <c r="AC2079" s="6"/>
      <c r="AD2079" s="6"/>
      <c r="AE2079" s="6"/>
      <c r="AF2079" s="6"/>
      <c r="AG2079" s="6"/>
      <c r="AH2079" s="6"/>
      <c r="AI2079" s="6"/>
      <c r="AJ2079" s="6"/>
      <c r="AK2079" s="6"/>
      <c r="AL2079" s="6"/>
      <c r="AM2079" s="6"/>
    </row>
    <row r="2080">
      <c r="A2080" s="6"/>
      <c r="B2080" s="6"/>
      <c r="C2080" s="6"/>
      <c r="D2080" s="6"/>
      <c r="E2080" s="6"/>
      <c r="F2080" s="6"/>
      <c r="G2080" s="6"/>
      <c r="H2080" s="6"/>
      <c r="I2080" s="6"/>
      <c r="J2080" s="6"/>
      <c r="K2080" s="6"/>
      <c r="L2080" s="6"/>
      <c r="M2080" s="6"/>
      <c r="N2080" s="6"/>
      <c r="O2080" s="6"/>
      <c r="P2080" s="6"/>
      <c r="Q2080" s="6"/>
      <c r="R2080" s="6"/>
      <c r="S2080" s="6"/>
      <c r="T2080" s="6"/>
      <c r="U2080" s="6"/>
      <c r="V2080" s="6"/>
      <c r="W2080" s="6"/>
      <c r="X2080" s="6"/>
      <c r="Y2080" s="6"/>
      <c r="Z2080" s="6"/>
      <c r="AA2080" s="6"/>
      <c r="AB2080" s="6"/>
      <c r="AC2080" s="6"/>
      <c r="AD2080" s="6"/>
      <c r="AE2080" s="6"/>
      <c r="AF2080" s="6"/>
      <c r="AG2080" s="6"/>
      <c r="AH2080" s="6"/>
      <c r="AI2080" s="6"/>
      <c r="AJ2080" s="6"/>
      <c r="AK2080" s="6"/>
      <c r="AL2080" s="6"/>
      <c r="AM2080" s="6"/>
    </row>
    <row r="2081">
      <c r="A2081" s="6"/>
      <c r="B2081" s="6"/>
      <c r="C2081" s="6"/>
      <c r="D2081" s="6"/>
      <c r="E2081" s="6"/>
      <c r="F2081" s="6"/>
      <c r="G2081" s="6"/>
      <c r="H2081" s="6"/>
      <c r="I2081" s="6"/>
      <c r="J2081" s="6"/>
      <c r="K2081" s="6"/>
      <c r="L2081" s="6"/>
      <c r="M2081" s="6"/>
      <c r="N2081" s="6"/>
      <c r="O2081" s="6"/>
      <c r="P2081" s="6"/>
      <c r="Q2081" s="6"/>
      <c r="R2081" s="6"/>
      <c r="S2081" s="6"/>
      <c r="T2081" s="6"/>
      <c r="U2081" s="6"/>
      <c r="V2081" s="6"/>
      <c r="W2081" s="6"/>
      <c r="X2081" s="6"/>
      <c r="Y2081" s="6"/>
      <c r="Z2081" s="6"/>
      <c r="AA2081" s="6"/>
      <c r="AB2081" s="6"/>
      <c r="AC2081" s="6"/>
      <c r="AD2081" s="6"/>
      <c r="AE2081" s="6"/>
      <c r="AF2081" s="6"/>
      <c r="AG2081" s="6"/>
      <c r="AH2081" s="6"/>
      <c r="AI2081" s="6"/>
      <c r="AJ2081" s="6"/>
      <c r="AK2081" s="6"/>
      <c r="AL2081" s="6"/>
      <c r="AM2081" s="6"/>
    </row>
    <row r="2082">
      <c r="A2082" s="6"/>
      <c r="B2082" s="6"/>
      <c r="C2082" s="6"/>
      <c r="D2082" s="6"/>
      <c r="E2082" s="6"/>
      <c r="F2082" s="6"/>
      <c r="G2082" s="6"/>
      <c r="H2082" s="6"/>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c r="AG2082" s="6"/>
      <c r="AH2082" s="6"/>
      <c r="AI2082" s="6"/>
      <c r="AJ2082" s="6"/>
      <c r="AK2082" s="6"/>
      <c r="AL2082" s="6"/>
      <c r="AM2082" s="6"/>
    </row>
    <row r="2083">
      <c r="A2083" s="6"/>
      <c r="B2083" s="6"/>
      <c r="C2083" s="6"/>
      <c r="D2083" s="6"/>
      <c r="E2083" s="6"/>
      <c r="F2083" s="6"/>
      <c r="G2083" s="6"/>
      <c r="H2083" s="6"/>
      <c r="I2083" s="6"/>
      <c r="J2083" s="6"/>
      <c r="K2083" s="6"/>
      <c r="L2083" s="6"/>
      <c r="M2083" s="6"/>
      <c r="N2083" s="6"/>
      <c r="O2083" s="6"/>
      <c r="P2083" s="6"/>
      <c r="Q2083" s="6"/>
      <c r="R2083" s="6"/>
      <c r="S2083" s="6"/>
      <c r="T2083" s="6"/>
      <c r="U2083" s="6"/>
      <c r="V2083" s="6"/>
      <c r="W2083" s="6"/>
      <c r="X2083" s="6"/>
      <c r="Y2083" s="6"/>
      <c r="Z2083" s="6"/>
      <c r="AA2083" s="6"/>
      <c r="AB2083" s="6"/>
      <c r="AC2083" s="6"/>
      <c r="AD2083" s="6"/>
      <c r="AE2083" s="6"/>
      <c r="AF2083" s="6"/>
      <c r="AG2083" s="6"/>
      <c r="AH2083" s="6"/>
      <c r="AI2083" s="6"/>
      <c r="AJ2083" s="6"/>
      <c r="AK2083" s="6"/>
      <c r="AL2083" s="6"/>
      <c r="AM2083" s="6"/>
    </row>
    <row r="2084">
      <c r="A2084" s="6"/>
      <c r="B2084" s="6"/>
      <c r="C2084" s="6"/>
      <c r="D2084" s="6"/>
      <c r="E2084" s="6"/>
      <c r="F2084" s="6"/>
      <c r="G2084" s="6"/>
      <c r="H2084" s="6"/>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c r="AG2084" s="6"/>
      <c r="AH2084" s="6"/>
      <c r="AI2084" s="6"/>
      <c r="AJ2084" s="6"/>
      <c r="AK2084" s="6"/>
      <c r="AL2084" s="6"/>
      <c r="AM2084" s="6"/>
    </row>
    <row r="2085">
      <c r="A2085" s="6"/>
      <c r="B2085" s="6"/>
      <c r="C2085" s="6"/>
      <c r="D2085" s="6"/>
      <c r="E2085" s="6"/>
      <c r="F2085" s="6"/>
      <c r="G2085" s="6"/>
      <c r="H2085" s="6"/>
      <c r="I2085" s="6"/>
      <c r="J2085" s="6"/>
      <c r="K2085" s="6"/>
      <c r="L2085" s="6"/>
      <c r="M2085" s="6"/>
      <c r="N2085" s="6"/>
      <c r="O2085" s="6"/>
      <c r="P2085" s="6"/>
      <c r="Q2085" s="6"/>
      <c r="R2085" s="6"/>
      <c r="S2085" s="6"/>
      <c r="T2085" s="6"/>
      <c r="U2085" s="6"/>
      <c r="V2085" s="6"/>
      <c r="W2085" s="6"/>
      <c r="X2085" s="6"/>
      <c r="Y2085" s="6"/>
      <c r="Z2085" s="6"/>
      <c r="AA2085" s="6"/>
      <c r="AB2085" s="6"/>
      <c r="AC2085" s="6"/>
      <c r="AD2085" s="6"/>
      <c r="AE2085" s="6"/>
      <c r="AF2085" s="6"/>
      <c r="AG2085" s="6"/>
      <c r="AH2085" s="6"/>
      <c r="AI2085" s="6"/>
      <c r="AJ2085" s="6"/>
      <c r="AK2085" s="6"/>
      <c r="AL2085" s="6"/>
      <c r="AM2085" s="6"/>
    </row>
    <row r="2086">
      <c r="A2086" s="6"/>
      <c r="B2086" s="6"/>
      <c r="C2086" s="6"/>
      <c r="D2086" s="6"/>
      <c r="E2086" s="6"/>
      <c r="F2086" s="6"/>
      <c r="G2086" s="6"/>
      <c r="H2086" s="6"/>
      <c r="I2086" s="6"/>
      <c r="J2086" s="6"/>
      <c r="K2086" s="6"/>
      <c r="L2086" s="6"/>
      <c r="M2086" s="6"/>
      <c r="N2086" s="6"/>
      <c r="O2086" s="6"/>
      <c r="P2086" s="6"/>
      <c r="Q2086" s="6"/>
      <c r="R2086" s="6"/>
      <c r="S2086" s="6"/>
      <c r="T2086" s="6"/>
      <c r="U2086" s="6"/>
      <c r="V2086" s="6"/>
      <c r="W2086" s="6"/>
      <c r="X2086" s="6"/>
      <c r="Y2086" s="6"/>
      <c r="Z2086" s="6"/>
      <c r="AA2086" s="6"/>
      <c r="AB2086" s="6"/>
      <c r="AC2086" s="6"/>
      <c r="AD2086" s="6"/>
      <c r="AE2086" s="6"/>
      <c r="AF2086" s="6"/>
      <c r="AG2086" s="6"/>
      <c r="AH2086" s="6"/>
      <c r="AI2086" s="6"/>
      <c r="AJ2086" s="6"/>
      <c r="AK2086" s="6"/>
      <c r="AL2086" s="6"/>
      <c r="AM2086" s="6"/>
    </row>
    <row r="2087">
      <c r="A2087" s="6"/>
      <c r="B2087" s="6"/>
      <c r="C2087" s="6"/>
      <c r="D2087" s="6"/>
      <c r="E2087" s="6"/>
      <c r="F2087" s="6"/>
      <c r="G2087" s="6"/>
      <c r="H2087" s="6"/>
      <c r="I2087" s="6"/>
      <c r="J2087" s="6"/>
      <c r="K2087" s="6"/>
      <c r="L2087" s="6"/>
      <c r="M2087" s="6"/>
      <c r="N2087" s="6"/>
      <c r="O2087" s="6"/>
      <c r="P2087" s="6"/>
      <c r="Q2087" s="6"/>
      <c r="R2087" s="6"/>
      <c r="S2087" s="6"/>
      <c r="T2087" s="6"/>
      <c r="U2087" s="6"/>
      <c r="V2087" s="6"/>
      <c r="W2087" s="6"/>
      <c r="X2087" s="6"/>
      <c r="Y2087" s="6"/>
      <c r="Z2087" s="6"/>
      <c r="AA2087" s="6"/>
      <c r="AB2087" s="6"/>
      <c r="AC2087" s="6"/>
      <c r="AD2087" s="6"/>
      <c r="AE2087" s="6"/>
      <c r="AF2087" s="6"/>
      <c r="AG2087" s="6"/>
      <c r="AH2087" s="6"/>
      <c r="AI2087" s="6"/>
      <c r="AJ2087" s="6"/>
      <c r="AK2087" s="6"/>
      <c r="AL2087" s="6"/>
      <c r="AM2087" s="6"/>
    </row>
    <row r="2088">
      <c r="A2088" s="6"/>
      <c r="B2088" s="6"/>
      <c r="C2088" s="6"/>
      <c r="D2088" s="6"/>
      <c r="E2088" s="6"/>
      <c r="F2088" s="6"/>
      <c r="G2088" s="6"/>
      <c r="H2088" s="6"/>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c r="AG2088" s="6"/>
      <c r="AH2088" s="6"/>
      <c r="AI2088" s="6"/>
      <c r="AJ2088" s="6"/>
      <c r="AK2088" s="6"/>
      <c r="AL2088" s="6"/>
      <c r="AM2088" s="6"/>
    </row>
    <row r="2089">
      <c r="A2089" s="6"/>
      <c r="B2089" s="6"/>
      <c r="C2089" s="6"/>
      <c r="D2089" s="6"/>
      <c r="E2089" s="6"/>
      <c r="F2089" s="6"/>
      <c r="G2089" s="6"/>
      <c r="H2089" s="6"/>
      <c r="I2089" s="6"/>
      <c r="J2089" s="6"/>
      <c r="K2089" s="6"/>
      <c r="L2089" s="6"/>
      <c r="M2089" s="6"/>
      <c r="N2089" s="6"/>
      <c r="O2089" s="6"/>
      <c r="P2089" s="6"/>
      <c r="Q2089" s="6"/>
      <c r="R2089" s="6"/>
      <c r="S2089" s="6"/>
      <c r="T2089" s="6"/>
      <c r="U2089" s="6"/>
      <c r="V2089" s="6"/>
      <c r="W2089" s="6"/>
      <c r="X2089" s="6"/>
      <c r="Y2089" s="6"/>
      <c r="Z2089" s="6"/>
      <c r="AA2089" s="6"/>
      <c r="AB2089" s="6"/>
      <c r="AC2089" s="6"/>
      <c r="AD2089" s="6"/>
      <c r="AE2089" s="6"/>
      <c r="AF2089" s="6"/>
      <c r="AG2089" s="6"/>
      <c r="AH2089" s="6"/>
      <c r="AI2089" s="6"/>
      <c r="AJ2089" s="6"/>
      <c r="AK2089" s="6"/>
      <c r="AL2089" s="6"/>
      <c r="AM2089" s="6"/>
    </row>
    <row r="2090">
      <c r="A2090" s="6"/>
      <c r="B2090" s="6"/>
      <c r="C2090" s="6"/>
      <c r="D2090" s="6"/>
      <c r="E2090" s="6"/>
      <c r="F2090" s="6"/>
      <c r="G2090" s="6"/>
      <c r="H2090" s="6"/>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c r="AG2090" s="6"/>
      <c r="AH2090" s="6"/>
      <c r="AI2090" s="6"/>
      <c r="AJ2090" s="6"/>
      <c r="AK2090" s="6"/>
      <c r="AL2090" s="6"/>
      <c r="AM2090" s="6"/>
    </row>
    <row r="2091">
      <c r="A2091" s="6"/>
      <c r="B2091" s="6"/>
      <c r="C2091" s="6"/>
      <c r="D2091" s="6"/>
      <c r="E2091" s="6"/>
      <c r="F2091" s="6"/>
      <c r="G2091" s="6"/>
      <c r="H2091" s="6"/>
      <c r="I2091" s="6"/>
      <c r="J2091" s="6"/>
      <c r="K2091" s="6"/>
      <c r="L2091" s="6"/>
      <c r="M2091" s="6"/>
      <c r="N2091" s="6"/>
      <c r="O2091" s="6"/>
      <c r="P2091" s="6"/>
      <c r="Q2091" s="6"/>
      <c r="R2091" s="6"/>
      <c r="S2091" s="6"/>
      <c r="T2091" s="6"/>
      <c r="U2091" s="6"/>
      <c r="V2091" s="6"/>
      <c r="W2091" s="6"/>
      <c r="X2091" s="6"/>
      <c r="Y2091" s="6"/>
      <c r="Z2091" s="6"/>
      <c r="AA2091" s="6"/>
      <c r="AB2091" s="6"/>
      <c r="AC2091" s="6"/>
      <c r="AD2091" s="6"/>
      <c r="AE2091" s="6"/>
      <c r="AF2091" s="6"/>
      <c r="AG2091" s="6"/>
      <c r="AH2091" s="6"/>
      <c r="AI2091" s="6"/>
      <c r="AJ2091" s="6"/>
      <c r="AK2091" s="6"/>
      <c r="AL2091" s="6"/>
      <c r="AM2091" s="6"/>
    </row>
    <row r="2092">
      <c r="A2092" s="6"/>
      <c r="B2092" s="6"/>
      <c r="C2092" s="6"/>
      <c r="D2092" s="6"/>
      <c r="E2092" s="6"/>
      <c r="F2092" s="6"/>
      <c r="G2092" s="6"/>
      <c r="H2092" s="6"/>
      <c r="I2092" s="6"/>
      <c r="J2092" s="6"/>
      <c r="K2092" s="6"/>
      <c r="L2092" s="6"/>
      <c r="M2092" s="6"/>
      <c r="N2092" s="6"/>
      <c r="O2092" s="6"/>
      <c r="P2092" s="6"/>
      <c r="Q2092" s="6"/>
      <c r="R2092" s="6"/>
      <c r="S2092" s="6"/>
      <c r="T2092" s="6"/>
      <c r="U2092" s="6"/>
      <c r="V2092" s="6"/>
      <c r="W2092" s="6"/>
      <c r="X2092" s="6"/>
      <c r="Y2092" s="6"/>
      <c r="Z2092" s="6"/>
      <c r="AA2092" s="6"/>
      <c r="AB2092" s="6"/>
      <c r="AC2092" s="6"/>
      <c r="AD2092" s="6"/>
      <c r="AE2092" s="6"/>
      <c r="AF2092" s="6"/>
      <c r="AG2092" s="6"/>
      <c r="AH2092" s="6"/>
      <c r="AI2092" s="6"/>
      <c r="AJ2092" s="6"/>
      <c r="AK2092" s="6"/>
      <c r="AL2092" s="6"/>
      <c r="AM2092" s="6"/>
    </row>
    <row r="2093">
      <c r="A2093" s="6"/>
      <c r="B2093" s="6"/>
      <c r="C2093" s="6"/>
      <c r="D2093" s="6"/>
      <c r="E2093" s="6"/>
      <c r="F2093" s="6"/>
      <c r="G2093" s="6"/>
      <c r="H2093" s="6"/>
      <c r="I2093" s="6"/>
      <c r="J2093" s="6"/>
      <c r="K2093" s="6"/>
      <c r="L2093" s="6"/>
      <c r="M2093" s="6"/>
      <c r="N2093" s="6"/>
      <c r="O2093" s="6"/>
      <c r="P2093" s="6"/>
      <c r="Q2093" s="6"/>
      <c r="R2093" s="6"/>
      <c r="S2093" s="6"/>
      <c r="T2093" s="6"/>
      <c r="U2093" s="6"/>
      <c r="V2093" s="6"/>
      <c r="W2093" s="6"/>
      <c r="X2093" s="6"/>
      <c r="Y2093" s="6"/>
      <c r="Z2093" s="6"/>
      <c r="AA2093" s="6"/>
      <c r="AB2093" s="6"/>
      <c r="AC2093" s="6"/>
      <c r="AD2093" s="6"/>
      <c r="AE2093" s="6"/>
      <c r="AF2093" s="6"/>
      <c r="AG2093" s="6"/>
      <c r="AH2093" s="6"/>
      <c r="AI2093" s="6"/>
      <c r="AJ2093" s="6"/>
      <c r="AK2093" s="6"/>
      <c r="AL2093" s="6"/>
      <c r="AM2093" s="6"/>
    </row>
    <row r="2094">
      <c r="A2094" s="6"/>
      <c r="B2094" s="6"/>
      <c r="C2094" s="6"/>
      <c r="D2094" s="6"/>
      <c r="E2094" s="6"/>
      <c r="F2094" s="6"/>
      <c r="G2094" s="6"/>
      <c r="H2094" s="6"/>
      <c r="I2094" s="6"/>
      <c r="J2094" s="6"/>
      <c r="K2094" s="6"/>
      <c r="L2094" s="6"/>
      <c r="M2094" s="6"/>
      <c r="N2094" s="6"/>
      <c r="O2094" s="6"/>
      <c r="P2094" s="6"/>
      <c r="Q2094" s="6"/>
      <c r="R2094" s="6"/>
      <c r="S2094" s="6"/>
      <c r="T2094" s="6"/>
      <c r="U2094" s="6"/>
      <c r="V2094" s="6"/>
      <c r="W2094" s="6"/>
      <c r="X2094" s="6"/>
      <c r="Y2094" s="6"/>
      <c r="Z2094" s="6"/>
      <c r="AA2094" s="6"/>
      <c r="AB2094" s="6"/>
      <c r="AC2094" s="6"/>
      <c r="AD2094" s="6"/>
      <c r="AE2094" s="6"/>
      <c r="AF2094" s="6"/>
      <c r="AG2094" s="6"/>
      <c r="AH2094" s="6"/>
      <c r="AI2094" s="6"/>
      <c r="AJ2094" s="6"/>
      <c r="AK2094" s="6"/>
      <c r="AL2094" s="6"/>
      <c r="AM2094" s="6"/>
    </row>
    <row r="2095">
      <c r="A2095" s="6"/>
      <c r="B2095" s="6"/>
      <c r="C2095" s="6"/>
      <c r="D2095" s="6"/>
      <c r="E2095" s="6"/>
      <c r="F2095" s="6"/>
      <c r="G2095" s="6"/>
      <c r="H2095" s="6"/>
      <c r="I2095" s="6"/>
      <c r="J2095" s="6"/>
      <c r="K2095" s="6"/>
      <c r="L2095" s="6"/>
      <c r="M2095" s="6"/>
      <c r="N2095" s="6"/>
      <c r="O2095" s="6"/>
      <c r="P2095" s="6"/>
      <c r="Q2095" s="6"/>
      <c r="R2095" s="6"/>
      <c r="S2095" s="6"/>
      <c r="T2095" s="6"/>
      <c r="U2095" s="6"/>
      <c r="V2095" s="6"/>
      <c r="W2095" s="6"/>
      <c r="X2095" s="6"/>
      <c r="Y2095" s="6"/>
      <c r="Z2095" s="6"/>
      <c r="AA2095" s="6"/>
      <c r="AB2095" s="6"/>
      <c r="AC2095" s="6"/>
      <c r="AD2095" s="6"/>
      <c r="AE2095" s="6"/>
      <c r="AF2095" s="6"/>
      <c r="AG2095" s="6"/>
      <c r="AH2095" s="6"/>
      <c r="AI2095" s="6"/>
      <c r="AJ2095" s="6"/>
      <c r="AK2095" s="6"/>
      <c r="AL2095" s="6"/>
      <c r="AM2095" s="6"/>
    </row>
    <row r="2096">
      <c r="A2096" s="6"/>
      <c r="B2096" s="6"/>
      <c r="C2096" s="6"/>
      <c r="D2096" s="6"/>
      <c r="E2096" s="6"/>
      <c r="F2096" s="6"/>
      <c r="G2096" s="6"/>
      <c r="H2096" s="6"/>
      <c r="I2096" s="6"/>
      <c r="J2096" s="6"/>
      <c r="K2096" s="6"/>
      <c r="L2096" s="6"/>
      <c r="M2096" s="6"/>
      <c r="N2096" s="6"/>
      <c r="O2096" s="6"/>
      <c r="P2096" s="6"/>
      <c r="Q2096" s="6"/>
      <c r="R2096" s="6"/>
      <c r="S2096" s="6"/>
      <c r="T2096" s="6"/>
      <c r="U2096" s="6"/>
      <c r="V2096" s="6"/>
      <c r="W2096" s="6"/>
      <c r="X2096" s="6"/>
      <c r="Y2096" s="6"/>
      <c r="Z2096" s="6"/>
      <c r="AA2096" s="6"/>
      <c r="AB2096" s="6"/>
      <c r="AC2096" s="6"/>
      <c r="AD2096" s="6"/>
      <c r="AE2096" s="6"/>
      <c r="AF2096" s="6"/>
      <c r="AG2096" s="6"/>
      <c r="AH2096" s="6"/>
      <c r="AI2096" s="6"/>
      <c r="AJ2096" s="6"/>
      <c r="AK2096" s="6"/>
      <c r="AL2096" s="6"/>
      <c r="AM2096" s="6"/>
    </row>
    <row r="2097">
      <c r="A2097" s="6"/>
      <c r="B2097" s="6"/>
      <c r="C2097" s="6"/>
      <c r="D2097" s="6"/>
      <c r="E2097" s="6"/>
      <c r="F2097" s="6"/>
      <c r="G2097" s="6"/>
      <c r="H2097" s="6"/>
      <c r="I2097" s="6"/>
      <c r="J2097" s="6"/>
      <c r="K2097" s="6"/>
      <c r="L2097" s="6"/>
      <c r="M2097" s="6"/>
      <c r="N2097" s="6"/>
      <c r="O2097" s="6"/>
      <c r="P2097" s="6"/>
      <c r="Q2097" s="6"/>
      <c r="R2097" s="6"/>
      <c r="S2097" s="6"/>
      <c r="T2097" s="6"/>
      <c r="U2097" s="6"/>
      <c r="V2097" s="6"/>
      <c r="W2097" s="6"/>
      <c r="X2097" s="6"/>
      <c r="Y2097" s="6"/>
      <c r="Z2097" s="6"/>
      <c r="AA2097" s="6"/>
      <c r="AB2097" s="6"/>
      <c r="AC2097" s="6"/>
      <c r="AD2097" s="6"/>
      <c r="AE2097" s="6"/>
      <c r="AF2097" s="6"/>
      <c r="AG2097" s="6"/>
      <c r="AH2097" s="6"/>
      <c r="AI2097" s="6"/>
      <c r="AJ2097" s="6"/>
      <c r="AK2097" s="6"/>
      <c r="AL2097" s="6"/>
      <c r="AM2097" s="6"/>
    </row>
    <row r="2098">
      <c r="A2098" s="6"/>
      <c r="B2098" s="6"/>
      <c r="C2098" s="6"/>
      <c r="D2098" s="6"/>
      <c r="E2098" s="6"/>
      <c r="F2098" s="6"/>
      <c r="G2098" s="6"/>
      <c r="H2098" s="6"/>
      <c r="I2098" s="6"/>
      <c r="J2098" s="6"/>
      <c r="K2098" s="6"/>
      <c r="L2098" s="6"/>
      <c r="M2098" s="6"/>
      <c r="N2098" s="6"/>
      <c r="O2098" s="6"/>
      <c r="P2098" s="6"/>
      <c r="Q2098" s="6"/>
      <c r="R2098" s="6"/>
      <c r="S2098" s="6"/>
      <c r="T2098" s="6"/>
      <c r="U2098" s="6"/>
      <c r="V2098" s="6"/>
      <c r="W2098" s="6"/>
      <c r="X2098" s="6"/>
      <c r="Y2098" s="6"/>
      <c r="Z2098" s="6"/>
      <c r="AA2098" s="6"/>
      <c r="AB2098" s="6"/>
      <c r="AC2098" s="6"/>
      <c r="AD2098" s="6"/>
      <c r="AE2098" s="6"/>
      <c r="AF2098" s="6"/>
      <c r="AG2098" s="6"/>
      <c r="AH2098" s="6"/>
      <c r="AI2098" s="6"/>
      <c r="AJ2098" s="6"/>
      <c r="AK2098" s="6"/>
      <c r="AL2098" s="6"/>
      <c r="AM2098" s="6"/>
    </row>
    <row r="2099">
      <c r="A2099" s="6"/>
      <c r="B2099" s="6"/>
      <c r="C2099" s="6"/>
      <c r="D2099" s="6"/>
      <c r="E2099" s="6"/>
      <c r="F2099" s="6"/>
      <c r="G2099" s="6"/>
      <c r="H2099" s="6"/>
      <c r="I2099" s="6"/>
      <c r="J2099" s="6"/>
      <c r="K2099" s="6"/>
      <c r="L2099" s="6"/>
      <c r="M2099" s="6"/>
      <c r="N2099" s="6"/>
      <c r="O2099" s="6"/>
      <c r="P2099" s="6"/>
      <c r="Q2099" s="6"/>
      <c r="R2099" s="6"/>
      <c r="S2099" s="6"/>
      <c r="T2099" s="6"/>
      <c r="U2099" s="6"/>
      <c r="V2099" s="6"/>
      <c r="W2099" s="6"/>
      <c r="X2099" s="6"/>
      <c r="Y2099" s="6"/>
      <c r="Z2099" s="6"/>
      <c r="AA2099" s="6"/>
      <c r="AB2099" s="6"/>
      <c r="AC2099" s="6"/>
      <c r="AD2099" s="6"/>
      <c r="AE2099" s="6"/>
      <c r="AF2099" s="6"/>
      <c r="AG2099" s="6"/>
      <c r="AH2099" s="6"/>
      <c r="AI2099" s="6"/>
      <c r="AJ2099" s="6"/>
      <c r="AK2099" s="6"/>
      <c r="AL2099" s="6"/>
      <c r="AM2099" s="6"/>
    </row>
    <row r="2100">
      <c r="A2100" s="6"/>
      <c r="B2100" s="6"/>
      <c r="C2100" s="6"/>
      <c r="D2100" s="6"/>
      <c r="E2100" s="6"/>
      <c r="F2100" s="6"/>
      <c r="G2100" s="6"/>
      <c r="H2100" s="6"/>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c r="AG2100" s="6"/>
      <c r="AH2100" s="6"/>
      <c r="AI2100" s="6"/>
      <c r="AJ2100" s="6"/>
      <c r="AK2100" s="6"/>
      <c r="AL2100" s="6"/>
      <c r="AM2100" s="6"/>
    </row>
    <row r="2101">
      <c r="A2101" s="6"/>
      <c r="B2101" s="6"/>
      <c r="C2101" s="6"/>
      <c r="D2101" s="6"/>
      <c r="E2101" s="6"/>
      <c r="F2101" s="6"/>
      <c r="G2101" s="6"/>
      <c r="H2101" s="6"/>
      <c r="I2101" s="6"/>
      <c r="J2101" s="6"/>
      <c r="K2101" s="6"/>
      <c r="L2101" s="6"/>
      <c r="M2101" s="6"/>
      <c r="N2101" s="6"/>
      <c r="O2101" s="6"/>
      <c r="P2101" s="6"/>
      <c r="Q2101" s="6"/>
      <c r="R2101" s="6"/>
      <c r="S2101" s="6"/>
      <c r="T2101" s="6"/>
      <c r="U2101" s="6"/>
      <c r="V2101" s="6"/>
      <c r="W2101" s="6"/>
      <c r="X2101" s="6"/>
      <c r="Y2101" s="6"/>
      <c r="Z2101" s="6"/>
      <c r="AA2101" s="6"/>
      <c r="AB2101" s="6"/>
      <c r="AC2101" s="6"/>
      <c r="AD2101" s="6"/>
      <c r="AE2101" s="6"/>
      <c r="AF2101" s="6"/>
      <c r="AG2101" s="6"/>
      <c r="AH2101" s="6"/>
      <c r="AI2101" s="6"/>
      <c r="AJ2101" s="6"/>
      <c r="AK2101" s="6"/>
      <c r="AL2101" s="6"/>
      <c r="AM2101" s="6"/>
    </row>
    <row r="2102">
      <c r="A2102" s="6"/>
      <c r="B2102" s="6"/>
      <c r="C2102" s="6"/>
      <c r="D2102" s="6"/>
      <c r="E2102" s="6"/>
      <c r="F2102" s="6"/>
      <c r="G2102" s="6"/>
      <c r="H2102" s="6"/>
      <c r="I2102" s="6"/>
      <c r="J2102" s="6"/>
      <c r="K2102" s="6"/>
      <c r="L2102" s="6"/>
      <c r="M2102" s="6"/>
      <c r="N2102" s="6"/>
      <c r="O2102" s="6"/>
      <c r="P2102" s="6"/>
      <c r="Q2102" s="6"/>
      <c r="R2102" s="6"/>
      <c r="S2102" s="6"/>
      <c r="T2102" s="6"/>
      <c r="U2102" s="6"/>
      <c r="V2102" s="6"/>
      <c r="W2102" s="6"/>
      <c r="X2102" s="6"/>
      <c r="Y2102" s="6"/>
      <c r="Z2102" s="6"/>
      <c r="AA2102" s="6"/>
      <c r="AB2102" s="6"/>
      <c r="AC2102" s="6"/>
      <c r="AD2102" s="6"/>
      <c r="AE2102" s="6"/>
      <c r="AF2102" s="6"/>
      <c r="AG2102" s="6"/>
      <c r="AH2102" s="6"/>
      <c r="AI2102" s="6"/>
      <c r="AJ2102" s="6"/>
      <c r="AK2102" s="6"/>
      <c r="AL2102" s="6"/>
      <c r="AM2102" s="6"/>
    </row>
    <row r="2103">
      <c r="A2103" s="6"/>
      <c r="B2103" s="6"/>
      <c r="C2103" s="6"/>
      <c r="D2103" s="6"/>
      <c r="E2103" s="6"/>
      <c r="F2103" s="6"/>
      <c r="G2103" s="6"/>
      <c r="H2103" s="6"/>
      <c r="I2103" s="6"/>
      <c r="J2103" s="6"/>
      <c r="K2103" s="6"/>
      <c r="L2103" s="6"/>
      <c r="M2103" s="6"/>
      <c r="N2103" s="6"/>
      <c r="O2103" s="6"/>
      <c r="P2103" s="6"/>
      <c r="Q2103" s="6"/>
      <c r="R2103" s="6"/>
      <c r="S2103" s="6"/>
      <c r="T2103" s="6"/>
      <c r="U2103" s="6"/>
      <c r="V2103" s="6"/>
      <c r="W2103" s="6"/>
      <c r="X2103" s="6"/>
      <c r="Y2103" s="6"/>
      <c r="Z2103" s="6"/>
      <c r="AA2103" s="6"/>
      <c r="AB2103" s="6"/>
      <c r="AC2103" s="6"/>
      <c r="AD2103" s="6"/>
      <c r="AE2103" s="6"/>
      <c r="AF2103" s="6"/>
      <c r="AG2103" s="6"/>
      <c r="AH2103" s="6"/>
      <c r="AI2103" s="6"/>
      <c r="AJ2103" s="6"/>
      <c r="AK2103" s="6"/>
      <c r="AL2103" s="6"/>
      <c r="AM2103" s="6"/>
    </row>
    <row r="2104">
      <c r="A2104" s="6"/>
      <c r="B2104" s="6"/>
      <c r="C2104" s="6"/>
      <c r="D2104" s="6"/>
      <c r="E2104" s="6"/>
      <c r="F2104" s="6"/>
      <c r="G2104" s="6"/>
      <c r="H2104" s="6"/>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c r="AG2104" s="6"/>
      <c r="AH2104" s="6"/>
      <c r="AI2104" s="6"/>
      <c r="AJ2104" s="6"/>
      <c r="AK2104" s="6"/>
      <c r="AL2104" s="6"/>
      <c r="AM2104" s="6"/>
    </row>
    <row r="2105">
      <c r="A2105" s="6"/>
      <c r="B2105" s="6"/>
      <c r="C2105" s="6"/>
      <c r="D2105" s="6"/>
      <c r="E2105" s="6"/>
      <c r="F2105" s="6"/>
      <c r="G2105" s="6"/>
      <c r="H2105" s="6"/>
      <c r="I2105" s="6"/>
      <c r="J2105" s="6"/>
      <c r="K2105" s="6"/>
      <c r="L2105" s="6"/>
      <c r="M2105" s="6"/>
      <c r="N2105" s="6"/>
      <c r="O2105" s="6"/>
      <c r="P2105" s="6"/>
      <c r="Q2105" s="6"/>
      <c r="R2105" s="6"/>
      <c r="S2105" s="6"/>
      <c r="T2105" s="6"/>
      <c r="U2105" s="6"/>
      <c r="V2105" s="6"/>
      <c r="W2105" s="6"/>
      <c r="X2105" s="6"/>
      <c r="Y2105" s="6"/>
      <c r="Z2105" s="6"/>
      <c r="AA2105" s="6"/>
      <c r="AB2105" s="6"/>
      <c r="AC2105" s="6"/>
      <c r="AD2105" s="6"/>
      <c r="AE2105" s="6"/>
      <c r="AF2105" s="6"/>
      <c r="AG2105" s="6"/>
      <c r="AH2105" s="6"/>
      <c r="AI2105" s="6"/>
      <c r="AJ2105" s="6"/>
      <c r="AK2105" s="6"/>
      <c r="AL2105" s="6"/>
      <c r="AM2105" s="6"/>
    </row>
    <row r="2106">
      <c r="A2106" s="6"/>
      <c r="B2106" s="6"/>
      <c r="C2106" s="6"/>
      <c r="D2106" s="6"/>
      <c r="E2106" s="6"/>
      <c r="F2106" s="6"/>
      <c r="G2106" s="6"/>
      <c r="H2106" s="6"/>
      <c r="I2106" s="6"/>
      <c r="J2106" s="6"/>
      <c r="K2106" s="6"/>
      <c r="L2106" s="6"/>
      <c r="M2106" s="6"/>
      <c r="N2106" s="6"/>
      <c r="O2106" s="6"/>
      <c r="P2106" s="6"/>
      <c r="Q2106" s="6"/>
      <c r="R2106" s="6"/>
      <c r="S2106" s="6"/>
      <c r="T2106" s="6"/>
      <c r="U2106" s="6"/>
      <c r="V2106" s="6"/>
      <c r="W2106" s="6"/>
      <c r="X2106" s="6"/>
      <c r="Y2106" s="6"/>
      <c r="Z2106" s="6"/>
      <c r="AA2106" s="6"/>
      <c r="AB2106" s="6"/>
      <c r="AC2106" s="6"/>
      <c r="AD2106" s="6"/>
      <c r="AE2106" s="6"/>
      <c r="AF2106" s="6"/>
      <c r="AG2106" s="6"/>
      <c r="AH2106" s="6"/>
      <c r="AI2106" s="6"/>
      <c r="AJ2106" s="6"/>
      <c r="AK2106" s="6"/>
      <c r="AL2106" s="6"/>
      <c r="AM2106" s="6"/>
    </row>
    <row r="2107">
      <c r="A2107" s="6"/>
      <c r="B2107" s="6"/>
      <c r="C2107" s="6"/>
      <c r="D2107" s="6"/>
      <c r="E2107" s="6"/>
      <c r="F2107" s="6"/>
      <c r="G2107" s="6"/>
      <c r="H2107" s="6"/>
      <c r="I2107" s="6"/>
      <c r="J2107" s="6"/>
      <c r="K2107" s="6"/>
      <c r="L2107" s="6"/>
      <c r="M2107" s="6"/>
      <c r="N2107" s="6"/>
      <c r="O2107" s="6"/>
      <c r="P2107" s="6"/>
      <c r="Q2107" s="6"/>
      <c r="R2107" s="6"/>
      <c r="S2107" s="6"/>
      <c r="T2107" s="6"/>
      <c r="U2107" s="6"/>
      <c r="V2107" s="6"/>
      <c r="W2107" s="6"/>
      <c r="X2107" s="6"/>
      <c r="Y2107" s="6"/>
      <c r="Z2107" s="6"/>
      <c r="AA2107" s="6"/>
      <c r="AB2107" s="6"/>
      <c r="AC2107" s="6"/>
      <c r="AD2107" s="6"/>
      <c r="AE2107" s="6"/>
      <c r="AF2107" s="6"/>
      <c r="AG2107" s="6"/>
      <c r="AH2107" s="6"/>
      <c r="AI2107" s="6"/>
      <c r="AJ2107" s="6"/>
      <c r="AK2107" s="6"/>
      <c r="AL2107" s="6"/>
      <c r="AM2107" s="6"/>
    </row>
    <row r="2108">
      <c r="A2108" s="6"/>
      <c r="B2108" s="6"/>
      <c r="C2108" s="6"/>
      <c r="D2108" s="6"/>
      <c r="E2108" s="6"/>
      <c r="F2108" s="6"/>
      <c r="G2108" s="6"/>
      <c r="H2108" s="6"/>
      <c r="I2108" s="6"/>
      <c r="J2108" s="6"/>
      <c r="K2108" s="6"/>
      <c r="L2108" s="6"/>
      <c r="M2108" s="6"/>
      <c r="N2108" s="6"/>
      <c r="O2108" s="6"/>
      <c r="P2108" s="6"/>
      <c r="Q2108" s="6"/>
      <c r="R2108" s="6"/>
      <c r="S2108" s="6"/>
      <c r="T2108" s="6"/>
      <c r="U2108" s="6"/>
      <c r="V2108" s="6"/>
      <c r="W2108" s="6"/>
      <c r="X2108" s="6"/>
      <c r="Y2108" s="6"/>
      <c r="Z2108" s="6"/>
      <c r="AA2108" s="6"/>
      <c r="AB2108" s="6"/>
      <c r="AC2108" s="6"/>
      <c r="AD2108" s="6"/>
      <c r="AE2108" s="6"/>
      <c r="AF2108" s="6"/>
      <c r="AG2108" s="6"/>
      <c r="AH2108" s="6"/>
      <c r="AI2108" s="6"/>
      <c r="AJ2108" s="6"/>
      <c r="AK2108" s="6"/>
      <c r="AL2108" s="6"/>
      <c r="AM2108" s="6"/>
    </row>
    <row r="2109">
      <c r="A2109" s="6"/>
      <c r="B2109" s="6"/>
      <c r="C2109" s="6"/>
      <c r="D2109" s="6"/>
      <c r="E2109" s="6"/>
      <c r="F2109" s="6"/>
      <c r="G2109" s="6"/>
      <c r="H2109" s="6"/>
      <c r="I2109" s="6"/>
      <c r="J2109" s="6"/>
      <c r="K2109" s="6"/>
      <c r="L2109" s="6"/>
      <c r="M2109" s="6"/>
      <c r="N2109" s="6"/>
      <c r="O2109" s="6"/>
      <c r="P2109" s="6"/>
      <c r="Q2109" s="6"/>
      <c r="R2109" s="6"/>
      <c r="S2109" s="6"/>
      <c r="T2109" s="6"/>
      <c r="U2109" s="6"/>
      <c r="V2109" s="6"/>
      <c r="W2109" s="6"/>
      <c r="X2109" s="6"/>
      <c r="Y2109" s="6"/>
      <c r="Z2109" s="6"/>
      <c r="AA2109" s="6"/>
      <c r="AB2109" s="6"/>
      <c r="AC2109" s="6"/>
      <c r="AD2109" s="6"/>
      <c r="AE2109" s="6"/>
      <c r="AF2109" s="6"/>
      <c r="AG2109" s="6"/>
      <c r="AH2109" s="6"/>
      <c r="AI2109" s="6"/>
      <c r="AJ2109" s="6"/>
      <c r="AK2109" s="6"/>
      <c r="AL2109" s="6"/>
      <c r="AM2109" s="6"/>
    </row>
    <row r="2110">
      <c r="A2110" s="6"/>
      <c r="B2110" s="6"/>
      <c r="C2110" s="6"/>
      <c r="D2110" s="6"/>
      <c r="E2110" s="6"/>
      <c r="F2110" s="6"/>
      <c r="G2110" s="6"/>
      <c r="H2110" s="6"/>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c r="AG2110" s="6"/>
      <c r="AH2110" s="6"/>
      <c r="AI2110" s="6"/>
      <c r="AJ2110" s="6"/>
      <c r="AK2110" s="6"/>
      <c r="AL2110" s="6"/>
      <c r="AM2110" s="6"/>
    </row>
    <row r="2111">
      <c r="A2111" s="6"/>
      <c r="B2111" s="6"/>
      <c r="C2111" s="6"/>
      <c r="D2111" s="6"/>
      <c r="E2111" s="6"/>
      <c r="F2111" s="6"/>
      <c r="G2111" s="6"/>
      <c r="H2111" s="6"/>
      <c r="I2111" s="6"/>
      <c r="J2111" s="6"/>
      <c r="K2111" s="6"/>
      <c r="L2111" s="6"/>
      <c r="M2111" s="6"/>
      <c r="N2111" s="6"/>
      <c r="O2111" s="6"/>
      <c r="P2111" s="6"/>
      <c r="Q2111" s="6"/>
      <c r="R2111" s="6"/>
      <c r="S2111" s="6"/>
      <c r="T2111" s="6"/>
      <c r="U2111" s="6"/>
      <c r="V2111" s="6"/>
      <c r="W2111" s="6"/>
      <c r="X2111" s="6"/>
      <c r="Y2111" s="6"/>
      <c r="Z2111" s="6"/>
      <c r="AA2111" s="6"/>
      <c r="AB2111" s="6"/>
      <c r="AC2111" s="6"/>
      <c r="AD2111" s="6"/>
      <c r="AE2111" s="6"/>
      <c r="AF2111" s="6"/>
      <c r="AG2111" s="6"/>
      <c r="AH2111" s="6"/>
      <c r="AI2111" s="6"/>
      <c r="AJ2111" s="6"/>
      <c r="AK2111" s="6"/>
      <c r="AL2111" s="6"/>
      <c r="AM2111" s="6"/>
    </row>
    <row r="2112">
      <c r="A2112" s="6"/>
      <c r="B2112" s="6"/>
      <c r="C2112" s="6"/>
      <c r="D2112" s="6"/>
      <c r="E2112" s="6"/>
      <c r="F2112" s="6"/>
      <c r="G2112" s="6"/>
      <c r="H2112" s="6"/>
      <c r="I2112" s="6"/>
      <c r="J2112" s="6"/>
      <c r="K2112" s="6"/>
      <c r="L2112" s="6"/>
      <c r="M2112" s="6"/>
      <c r="N2112" s="6"/>
      <c r="O2112" s="6"/>
      <c r="P2112" s="6"/>
      <c r="Q2112" s="6"/>
      <c r="R2112" s="6"/>
      <c r="S2112" s="6"/>
      <c r="T2112" s="6"/>
      <c r="U2112" s="6"/>
      <c r="V2112" s="6"/>
      <c r="W2112" s="6"/>
      <c r="X2112" s="6"/>
      <c r="Y2112" s="6"/>
      <c r="Z2112" s="6"/>
      <c r="AA2112" s="6"/>
      <c r="AB2112" s="6"/>
      <c r="AC2112" s="6"/>
      <c r="AD2112" s="6"/>
      <c r="AE2112" s="6"/>
      <c r="AF2112" s="6"/>
      <c r="AG2112" s="6"/>
      <c r="AH2112" s="6"/>
      <c r="AI2112" s="6"/>
      <c r="AJ2112" s="6"/>
      <c r="AK2112" s="6"/>
      <c r="AL2112" s="6"/>
      <c r="AM2112" s="6"/>
    </row>
    <row r="2113">
      <c r="A2113" s="6"/>
      <c r="B2113" s="6"/>
      <c r="C2113" s="6"/>
      <c r="D2113" s="6"/>
      <c r="E2113" s="6"/>
      <c r="F2113" s="6"/>
      <c r="G2113" s="6"/>
      <c r="H2113" s="6"/>
      <c r="I2113" s="6"/>
      <c r="J2113" s="6"/>
      <c r="K2113" s="6"/>
      <c r="L2113" s="6"/>
      <c r="M2113" s="6"/>
      <c r="N2113" s="6"/>
      <c r="O2113" s="6"/>
      <c r="P2113" s="6"/>
      <c r="Q2113" s="6"/>
      <c r="R2113" s="6"/>
      <c r="S2113" s="6"/>
      <c r="T2113" s="6"/>
      <c r="U2113" s="6"/>
      <c r="V2113" s="6"/>
      <c r="W2113" s="6"/>
      <c r="X2113" s="6"/>
      <c r="Y2113" s="6"/>
      <c r="Z2113" s="6"/>
      <c r="AA2113" s="6"/>
      <c r="AB2113" s="6"/>
      <c r="AC2113" s="6"/>
      <c r="AD2113" s="6"/>
      <c r="AE2113" s="6"/>
      <c r="AF2113" s="6"/>
      <c r="AG2113" s="6"/>
      <c r="AH2113" s="6"/>
      <c r="AI2113" s="6"/>
      <c r="AJ2113" s="6"/>
      <c r="AK2113" s="6"/>
      <c r="AL2113" s="6"/>
      <c r="AM2113" s="6"/>
    </row>
    <row r="2114">
      <c r="A2114" s="6"/>
      <c r="B2114" s="6"/>
      <c r="C2114" s="6"/>
      <c r="D2114" s="6"/>
      <c r="E2114" s="6"/>
      <c r="F2114" s="6"/>
      <c r="G2114" s="6"/>
      <c r="H2114" s="6"/>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c r="AG2114" s="6"/>
      <c r="AH2114" s="6"/>
      <c r="AI2114" s="6"/>
      <c r="AJ2114" s="6"/>
      <c r="AK2114" s="6"/>
      <c r="AL2114" s="6"/>
      <c r="AM2114" s="6"/>
    </row>
    <row r="2115">
      <c r="A2115" s="6"/>
      <c r="B2115" s="6"/>
      <c r="C2115" s="6"/>
      <c r="D2115" s="6"/>
      <c r="E2115" s="6"/>
      <c r="F2115" s="6"/>
      <c r="G2115" s="6"/>
      <c r="H2115" s="6"/>
      <c r="I2115" s="6"/>
      <c r="J2115" s="6"/>
      <c r="K2115" s="6"/>
      <c r="L2115" s="6"/>
      <c r="M2115" s="6"/>
      <c r="N2115" s="6"/>
      <c r="O2115" s="6"/>
      <c r="P2115" s="6"/>
      <c r="Q2115" s="6"/>
      <c r="R2115" s="6"/>
      <c r="S2115" s="6"/>
      <c r="T2115" s="6"/>
      <c r="U2115" s="6"/>
      <c r="V2115" s="6"/>
      <c r="W2115" s="6"/>
      <c r="X2115" s="6"/>
      <c r="Y2115" s="6"/>
      <c r="Z2115" s="6"/>
      <c r="AA2115" s="6"/>
      <c r="AB2115" s="6"/>
      <c r="AC2115" s="6"/>
      <c r="AD2115" s="6"/>
      <c r="AE2115" s="6"/>
      <c r="AF2115" s="6"/>
      <c r="AG2115" s="6"/>
      <c r="AH2115" s="6"/>
      <c r="AI2115" s="6"/>
      <c r="AJ2115" s="6"/>
      <c r="AK2115" s="6"/>
      <c r="AL2115" s="6"/>
      <c r="AM2115" s="6"/>
    </row>
    <row r="2116">
      <c r="A2116" s="6"/>
      <c r="B2116" s="6"/>
      <c r="C2116" s="6"/>
      <c r="D2116" s="6"/>
      <c r="E2116" s="6"/>
      <c r="F2116" s="6"/>
      <c r="G2116" s="6"/>
      <c r="H2116" s="6"/>
      <c r="I2116" s="6"/>
      <c r="J2116" s="6"/>
      <c r="K2116" s="6"/>
      <c r="L2116" s="6"/>
      <c r="M2116" s="6"/>
      <c r="N2116" s="6"/>
      <c r="O2116" s="6"/>
      <c r="P2116" s="6"/>
      <c r="Q2116" s="6"/>
      <c r="R2116" s="6"/>
      <c r="S2116" s="6"/>
      <c r="T2116" s="6"/>
      <c r="U2116" s="6"/>
      <c r="V2116" s="6"/>
      <c r="W2116" s="6"/>
      <c r="X2116" s="6"/>
      <c r="Y2116" s="6"/>
      <c r="Z2116" s="6"/>
      <c r="AA2116" s="6"/>
      <c r="AB2116" s="6"/>
      <c r="AC2116" s="6"/>
      <c r="AD2116" s="6"/>
      <c r="AE2116" s="6"/>
      <c r="AF2116" s="6"/>
      <c r="AG2116" s="6"/>
      <c r="AH2116" s="6"/>
      <c r="AI2116" s="6"/>
      <c r="AJ2116" s="6"/>
      <c r="AK2116" s="6"/>
      <c r="AL2116" s="6"/>
      <c r="AM2116" s="6"/>
    </row>
    <row r="2117">
      <c r="A2117" s="6"/>
      <c r="B2117" s="6"/>
      <c r="C2117" s="6"/>
      <c r="D2117" s="6"/>
      <c r="E2117" s="6"/>
      <c r="F2117" s="6"/>
      <c r="G2117" s="6"/>
      <c r="H2117" s="6"/>
      <c r="I2117" s="6"/>
      <c r="J2117" s="6"/>
      <c r="K2117" s="6"/>
      <c r="L2117" s="6"/>
      <c r="M2117" s="6"/>
      <c r="N2117" s="6"/>
      <c r="O2117" s="6"/>
      <c r="P2117" s="6"/>
      <c r="Q2117" s="6"/>
      <c r="R2117" s="6"/>
      <c r="S2117" s="6"/>
      <c r="T2117" s="6"/>
      <c r="U2117" s="6"/>
      <c r="V2117" s="6"/>
      <c r="W2117" s="6"/>
      <c r="X2117" s="6"/>
      <c r="Y2117" s="6"/>
      <c r="Z2117" s="6"/>
      <c r="AA2117" s="6"/>
      <c r="AB2117" s="6"/>
      <c r="AC2117" s="6"/>
      <c r="AD2117" s="6"/>
      <c r="AE2117" s="6"/>
      <c r="AF2117" s="6"/>
      <c r="AG2117" s="6"/>
      <c r="AH2117" s="6"/>
      <c r="AI2117" s="6"/>
      <c r="AJ2117" s="6"/>
      <c r="AK2117" s="6"/>
      <c r="AL2117" s="6"/>
      <c r="AM2117" s="6"/>
    </row>
    <row r="2118">
      <c r="A2118" s="6"/>
      <c r="B2118" s="6"/>
      <c r="C2118" s="6"/>
      <c r="D2118" s="6"/>
      <c r="E2118" s="6"/>
      <c r="F2118" s="6"/>
      <c r="G2118" s="6"/>
      <c r="H2118" s="6"/>
      <c r="I2118" s="6"/>
      <c r="J2118" s="6"/>
      <c r="K2118" s="6"/>
      <c r="L2118" s="6"/>
      <c r="M2118" s="6"/>
      <c r="N2118" s="6"/>
      <c r="O2118" s="6"/>
      <c r="P2118" s="6"/>
      <c r="Q2118" s="6"/>
      <c r="R2118" s="6"/>
      <c r="S2118" s="6"/>
      <c r="T2118" s="6"/>
      <c r="U2118" s="6"/>
      <c r="V2118" s="6"/>
      <c r="W2118" s="6"/>
      <c r="X2118" s="6"/>
      <c r="Y2118" s="6"/>
      <c r="Z2118" s="6"/>
      <c r="AA2118" s="6"/>
      <c r="AB2118" s="6"/>
      <c r="AC2118" s="6"/>
      <c r="AD2118" s="6"/>
      <c r="AE2118" s="6"/>
      <c r="AF2118" s="6"/>
      <c r="AG2118" s="6"/>
      <c r="AH2118" s="6"/>
      <c r="AI2118" s="6"/>
      <c r="AJ2118" s="6"/>
      <c r="AK2118" s="6"/>
      <c r="AL2118" s="6"/>
      <c r="AM2118" s="6"/>
    </row>
    <row r="2119">
      <c r="A2119" s="6"/>
      <c r="B2119" s="6"/>
      <c r="C2119" s="6"/>
      <c r="D2119" s="6"/>
      <c r="E2119" s="6"/>
      <c r="F2119" s="6"/>
      <c r="G2119" s="6"/>
      <c r="H2119" s="6"/>
      <c r="I2119" s="6"/>
      <c r="J2119" s="6"/>
      <c r="K2119" s="6"/>
      <c r="L2119" s="6"/>
      <c r="M2119" s="6"/>
      <c r="N2119" s="6"/>
      <c r="O2119" s="6"/>
      <c r="P2119" s="6"/>
      <c r="Q2119" s="6"/>
      <c r="R2119" s="6"/>
      <c r="S2119" s="6"/>
      <c r="T2119" s="6"/>
      <c r="U2119" s="6"/>
      <c r="V2119" s="6"/>
      <c r="W2119" s="6"/>
      <c r="X2119" s="6"/>
      <c r="Y2119" s="6"/>
      <c r="Z2119" s="6"/>
      <c r="AA2119" s="6"/>
      <c r="AB2119" s="6"/>
      <c r="AC2119" s="6"/>
      <c r="AD2119" s="6"/>
      <c r="AE2119" s="6"/>
      <c r="AF2119" s="6"/>
      <c r="AG2119" s="6"/>
      <c r="AH2119" s="6"/>
      <c r="AI2119" s="6"/>
      <c r="AJ2119" s="6"/>
      <c r="AK2119" s="6"/>
      <c r="AL2119" s="6"/>
      <c r="AM2119" s="6"/>
    </row>
    <row r="2120">
      <c r="A2120" s="6"/>
      <c r="B2120" s="6"/>
      <c r="C2120" s="6"/>
      <c r="D2120" s="6"/>
      <c r="E2120" s="6"/>
      <c r="F2120" s="6"/>
      <c r="G2120" s="6"/>
      <c r="H2120" s="6"/>
      <c r="I2120" s="6"/>
      <c r="J2120" s="6"/>
      <c r="K2120" s="6"/>
      <c r="L2120" s="6"/>
      <c r="M2120" s="6"/>
      <c r="N2120" s="6"/>
      <c r="O2120" s="6"/>
      <c r="P2120" s="6"/>
      <c r="Q2120" s="6"/>
      <c r="R2120" s="6"/>
      <c r="S2120" s="6"/>
      <c r="T2120" s="6"/>
      <c r="U2120" s="6"/>
      <c r="V2120" s="6"/>
      <c r="W2120" s="6"/>
      <c r="X2120" s="6"/>
      <c r="Y2120" s="6"/>
      <c r="Z2120" s="6"/>
      <c r="AA2120" s="6"/>
      <c r="AB2120" s="6"/>
      <c r="AC2120" s="6"/>
      <c r="AD2120" s="6"/>
      <c r="AE2120" s="6"/>
      <c r="AF2120" s="6"/>
      <c r="AG2120" s="6"/>
      <c r="AH2120" s="6"/>
      <c r="AI2120" s="6"/>
      <c r="AJ2120" s="6"/>
      <c r="AK2120" s="6"/>
      <c r="AL2120" s="6"/>
      <c r="AM2120" s="6"/>
    </row>
    <row r="2121">
      <c r="A2121" s="6"/>
      <c r="B2121" s="6"/>
      <c r="C2121" s="6"/>
      <c r="D2121" s="6"/>
      <c r="E2121" s="6"/>
      <c r="F2121" s="6"/>
      <c r="G2121" s="6"/>
      <c r="H2121" s="6"/>
      <c r="I2121" s="6"/>
      <c r="J2121" s="6"/>
      <c r="K2121" s="6"/>
      <c r="L2121" s="6"/>
      <c r="M2121" s="6"/>
      <c r="N2121" s="6"/>
      <c r="O2121" s="6"/>
      <c r="P2121" s="6"/>
      <c r="Q2121" s="6"/>
      <c r="R2121" s="6"/>
      <c r="S2121" s="6"/>
      <c r="T2121" s="6"/>
      <c r="U2121" s="6"/>
      <c r="V2121" s="6"/>
      <c r="W2121" s="6"/>
      <c r="X2121" s="6"/>
      <c r="Y2121" s="6"/>
      <c r="Z2121" s="6"/>
      <c r="AA2121" s="6"/>
      <c r="AB2121" s="6"/>
      <c r="AC2121" s="6"/>
      <c r="AD2121" s="6"/>
      <c r="AE2121" s="6"/>
      <c r="AF2121" s="6"/>
      <c r="AG2121" s="6"/>
      <c r="AH2121" s="6"/>
      <c r="AI2121" s="6"/>
      <c r="AJ2121" s="6"/>
      <c r="AK2121" s="6"/>
      <c r="AL2121" s="6"/>
      <c r="AM2121" s="6"/>
    </row>
    <row r="2122">
      <c r="A2122" s="6"/>
      <c r="B2122" s="6"/>
      <c r="C2122" s="6"/>
      <c r="D2122" s="6"/>
      <c r="E2122" s="6"/>
      <c r="F2122" s="6"/>
      <c r="G2122" s="6"/>
      <c r="H2122" s="6"/>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c r="AG2122" s="6"/>
      <c r="AH2122" s="6"/>
      <c r="AI2122" s="6"/>
      <c r="AJ2122" s="6"/>
      <c r="AK2122" s="6"/>
      <c r="AL2122" s="6"/>
      <c r="AM2122" s="6"/>
    </row>
    <row r="2123">
      <c r="A2123" s="6"/>
      <c r="B2123" s="6"/>
      <c r="C2123" s="6"/>
      <c r="D2123" s="6"/>
      <c r="E2123" s="6"/>
      <c r="F2123" s="6"/>
      <c r="G2123" s="6"/>
      <c r="H2123" s="6"/>
      <c r="I2123" s="6"/>
      <c r="J2123" s="6"/>
      <c r="K2123" s="6"/>
      <c r="L2123" s="6"/>
      <c r="M2123" s="6"/>
      <c r="N2123" s="6"/>
      <c r="O2123" s="6"/>
      <c r="P2123" s="6"/>
      <c r="Q2123" s="6"/>
      <c r="R2123" s="6"/>
      <c r="S2123" s="6"/>
      <c r="T2123" s="6"/>
      <c r="U2123" s="6"/>
      <c r="V2123" s="6"/>
      <c r="W2123" s="6"/>
      <c r="X2123" s="6"/>
      <c r="Y2123" s="6"/>
      <c r="Z2123" s="6"/>
      <c r="AA2123" s="6"/>
      <c r="AB2123" s="6"/>
      <c r="AC2123" s="6"/>
      <c r="AD2123" s="6"/>
      <c r="AE2123" s="6"/>
      <c r="AF2123" s="6"/>
      <c r="AG2123" s="6"/>
      <c r="AH2123" s="6"/>
      <c r="AI2123" s="6"/>
      <c r="AJ2123" s="6"/>
      <c r="AK2123" s="6"/>
      <c r="AL2123" s="6"/>
      <c r="AM2123" s="6"/>
    </row>
    <row r="2124">
      <c r="A2124" s="6"/>
      <c r="B2124" s="6"/>
      <c r="C2124" s="6"/>
      <c r="D2124" s="6"/>
      <c r="E2124" s="6"/>
      <c r="F2124" s="6"/>
      <c r="G2124" s="6"/>
      <c r="H2124" s="6"/>
      <c r="I2124" s="6"/>
      <c r="J2124" s="6"/>
      <c r="K2124" s="6"/>
      <c r="L2124" s="6"/>
      <c r="M2124" s="6"/>
      <c r="N2124" s="6"/>
      <c r="O2124" s="6"/>
      <c r="P2124" s="6"/>
      <c r="Q2124" s="6"/>
      <c r="R2124" s="6"/>
      <c r="S2124" s="6"/>
      <c r="T2124" s="6"/>
      <c r="U2124" s="6"/>
      <c r="V2124" s="6"/>
      <c r="W2124" s="6"/>
      <c r="X2124" s="6"/>
      <c r="Y2124" s="6"/>
      <c r="Z2124" s="6"/>
      <c r="AA2124" s="6"/>
      <c r="AB2124" s="6"/>
      <c r="AC2124" s="6"/>
      <c r="AD2124" s="6"/>
      <c r="AE2124" s="6"/>
      <c r="AF2124" s="6"/>
      <c r="AG2124" s="6"/>
      <c r="AH2124" s="6"/>
      <c r="AI2124" s="6"/>
      <c r="AJ2124" s="6"/>
      <c r="AK2124" s="6"/>
      <c r="AL2124" s="6"/>
      <c r="AM2124" s="6"/>
    </row>
    <row r="2125">
      <c r="A2125" s="6"/>
      <c r="B2125" s="6"/>
      <c r="C2125" s="6"/>
      <c r="D2125" s="6"/>
      <c r="E2125" s="6"/>
      <c r="F2125" s="6"/>
      <c r="G2125" s="6"/>
      <c r="H2125" s="6"/>
      <c r="I2125" s="6"/>
      <c r="J2125" s="6"/>
      <c r="K2125" s="6"/>
      <c r="L2125" s="6"/>
      <c r="M2125" s="6"/>
      <c r="N2125" s="6"/>
      <c r="O2125" s="6"/>
      <c r="P2125" s="6"/>
      <c r="Q2125" s="6"/>
      <c r="R2125" s="6"/>
      <c r="S2125" s="6"/>
      <c r="T2125" s="6"/>
      <c r="U2125" s="6"/>
      <c r="V2125" s="6"/>
      <c r="W2125" s="6"/>
      <c r="X2125" s="6"/>
      <c r="Y2125" s="6"/>
      <c r="Z2125" s="6"/>
      <c r="AA2125" s="6"/>
      <c r="AB2125" s="6"/>
      <c r="AC2125" s="6"/>
      <c r="AD2125" s="6"/>
      <c r="AE2125" s="6"/>
      <c r="AF2125" s="6"/>
      <c r="AG2125" s="6"/>
      <c r="AH2125" s="6"/>
      <c r="AI2125" s="6"/>
      <c r="AJ2125" s="6"/>
      <c r="AK2125" s="6"/>
      <c r="AL2125" s="6"/>
      <c r="AM2125" s="6"/>
    </row>
    <row r="2126">
      <c r="A2126" s="6"/>
      <c r="B2126" s="6"/>
      <c r="C2126" s="6"/>
      <c r="D2126" s="6"/>
      <c r="E2126" s="6"/>
      <c r="F2126" s="6"/>
      <c r="G2126" s="6"/>
      <c r="H2126" s="6"/>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c r="AG2126" s="6"/>
      <c r="AH2126" s="6"/>
      <c r="AI2126" s="6"/>
      <c r="AJ2126" s="6"/>
      <c r="AK2126" s="6"/>
      <c r="AL2126" s="6"/>
      <c r="AM2126" s="6"/>
    </row>
    <row r="2127">
      <c r="A2127" s="6"/>
      <c r="B2127" s="6"/>
      <c r="C2127" s="6"/>
      <c r="D2127" s="6"/>
      <c r="E2127" s="6"/>
      <c r="F2127" s="6"/>
      <c r="G2127" s="6"/>
      <c r="H2127" s="6"/>
      <c r="I2127" s="6"/>
      <c r="J2127" s="6"/>
      <c r="K2127" s="6"/>
      <c r="L2127" s="6"/>
      <c r="M2127" s="6"/>
      <c r="N2127" s="6"/>
      <c r="O2127" s="6"/>
      <c r="P2127" s="6"/>
      <c r="Q2127" s="6"/>
      <c r="R2127" s="6"/>
      <c r="S2127" s="6"/>
      <c r="T2127" s="6"/>
      <c r="U2127" s="6"/>
      <c r="V2127" s="6"/>
      <c r="W2127" s="6"/>
      <c r="X2127" s="6"/>
      <c r="Y2127" s="6"/>
      <c r="Z2127" s="6"/>
      <c r="AA2127" s="6"/>
      <c r="AB2127" s="6"/>
      <c r="AC2127" s="6"/>
      <c r="AD2127" s="6"/>
      <c r="AE2127" s="6"/>
      <c r="AF2127" s="6"/>
      <c r="AG2127" s="6"/>
      <c r="AH2127" s="6"/>
      <c r="AI2127" s="6"/>
      <c r="AJ2127" s="6"/>
      <c r="AK2127" s="6"/>
      <c r="AL2127" s="6"/>
      <c r="AM2127" s="6"/>
    </row>
    <row r="2128">
      <c r="A2128" s="6"/>
      <c r="B2128" s="6"/>
      <c r="C2128" s="6"/>
      <c r="D2128" s="6"/>
      <c r="E2128" s="6"/>
      <c r="F2128" s="6"/>
      <c r="G2128" s="6"/>
      <c r="H2128" s="6"/>
      <c r="I2128" s="6"/>
      <c r="J2128" s="6"/>
      <c r="K2128" s="6"/>
      <c r="L2128" s="6"/>
      <c r="M2128" s="6"/>
      <c r="N2128" s="6"/>
      <c r="O2128" s="6"/>
      <c r="P2128" s="6"/>
      <c r="Q2128" s="6"/>
      <c r="R2128" s="6"/>
      <c r="S2128" s="6"/>
      <c r="T2128" s="6"/>
      <c r="U2128" s="6"/>
      <c r="V2128" s="6"/>
      <c r="W2128" s="6"/>
      <c r="X2128" s="6"/>
      <c r="Y2128" s="6"/>
      <c r="Z2128" s="6"/>
      <c r="AA2128" s="6"/>
      <c r="AB2128" s="6"/>
      <c r="AC2128" s="6"/>
      <c r="AD2128" s="6"/>
      <c r="AE2128" s="6"/>
      <c r="AF2128" s="6"/>
      <c r="AG2128" s="6"/>
      <c r="AH2128" s="6"/>
      <c r="AI2128" s="6"/>
      <c r="AJ2128" s="6"/>
      <c r="AK2128" s="6"/>
      <c r="AL2128" s="6"/>
      <c r="AM2128" s="6"/>
    </row>
    <row r="2129">
      <c r="A2129" s="6"/>
      <c r="B2129" s="6"/>
      <c r="C2129" s="6"/>
      <c r="D2129" s="6"/>
      <c r="E2129" s="6"/>
      <c r="F2129" s="6"/>
      <c r="G2129" s="6"/>
      <c r="H2129" s="6"/>
      <c r="I2129" s="6"/>
      <c r="J2129" s="6"/>
      <c r="K2129" s="6"/>
      <c r="L2129" s="6"/>
      <c r="M2129" s="6"/>
      <c r="N2129" s="6"/>
      <c r="O2129" s="6"/>
      <c r="P2129" s="6"/>
      <c r="Q2129" s="6"/>
      <c r="R2129" s="6"/>
      <c r="S2129" s="6"/>
      <c r="T2129" s="6"/>
      <c r="U2129" s="6"/>
      <c r="V2129" s="6"/>
      <c r="W2129" s="6"/>
      <c r="X2129" s="6"/>
      <c r="Y2129" s="6"/>
      <c r="Z2129" s="6"/>
      <c r="AA2129" s="6"/>
      <c r="AB2129" s="6"/>
      <c r="AC2129" s="6"/>
      <c r="AD2129" s="6"/>
      <c r="AE2129" s="6"/>
      <c r="AF2129" s="6"/>
      <c r="AG2129" s="6"/>
      <c r="AH2129" s="6"/>
      <c r="AI2129" s="6"/>
      <c r="AJ2129" s="6"/>
      <c r="AK2129" s="6"/>
      <c r="AL2129" s="6"/>
      <c r="AM2129" s="6"/>
    </row>
    <row r="2130">
      <c r="A2130" s="6"/>
      <c r="B2130" s="6"/>
      <c r="C2130" s="6"/>
      <c r="D2130" s="6"/>
      <c r="E2130" s="6"/>
      <c r="F2130" s="6"/>
      <c r="G2130" s="6"/>
      <c r="H2130" s="6"/>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c r="AG2130" s="6"/>
      <c r="AH2130" s="6"/>
      <c r="AI2130" s="6"/>
      <c r="AJ2130" s="6"/>
      <c r="AK2130" s="6"/>
      <c r="AL2130" s="6"/>
      <c r="AM2130" s="6"/>
    </row>
    <row r="2131">
      <c r="A2131" s="6"/>
      <c r="B2131" s="6"/>
      <c r="C2131" s="6"/>
      <c r="D2131" s="6"/>
      <c r="E2131" s="6"/>
      <c r="F2131" s="6"/>
      <c r="G2131" s="6"/>
      <c r="H2131" s="6"/>
      <c r="I2131" s="6"/>
      <c r="J2131" s="6"/>
      <c r="K2131" s="6"/>
      <c r="L2131" s="6"/>
      <c r="M2131" s="6"/>
      <c r="N2131" s="6"/>
      <c r="O2131" s="6"/>
      <c r="P2131" s="6"/>
      <c r="Q2131" s="6"/>
      <c r="R2131" s="6"/>
      <c r="S2131" s="6"/>
      <c r="T2131" s="6"/>
      <c r="U2131" s="6"/>
      <c r="V2131" s="6"/>
      <c r="W2131" s="6"/>
      <c r="X2131" s="6"/>
      <c r="Y2131" s="6"/>
      <c r="Z2131" s="6"/>
      <c r="AA2131" s="6"/>
      <c r="AB2131" s="6"/>
      <c r="AC2131" s="6"/>
      <c r="AD2131" s="6"/>
      <c r="AE2131" s="6"/>
      <c r="AF2131" s="6"/>
      <c r="AG2131" s="6"/>
      <c r="AH2131" s="6"/>
      <c r="AI2131" s="6"/>
      <c r="AJ2131" s="6"/>
      <c r="AK2131" s="6"/>
      <c r="AL2131" s="6"/>
      <c r="AM2131" s="6"/>
    </row>
    <row r="2132">
      <c r="A2132" s="6"/>
      <c r="B2132" s="6"/>
      <c r="C2132" s="6"/>
      <c r="D2132" s="6"/>
      <c r="E2132" s="6"/>
      <c r="F2132" s="6"/>
      <c r="G2132" s="6"/>
      <c r="H2132" s="6"/>
      <c r="I2132" s="6"/>
      <c r="J2132" s="6"/>
      <c r="K2132" s="6"/>
      <c r="L2132" s="6"/>
      <c r="M2132" s="6"/>
      <c r="N2132" s="6"/>
      <c r="O2132" s="6"/>
      <c r="P2132" s="6"/>
      <c r="Q2132" s="6"/>
      <c r="R2132" s="6"/>
      <c r="S2132" s="6"/>
      <c r="T2132" s="6"/>
      <c r="U2132" s="6"/>
      <c r="V2132" s="6"/>
      <c r="W2132" s="6"/>
      <c r="X2132" s="6"/>
      <c r="Y2132" s="6"/>
      <c r="Z2132" s="6"/>
      <c r="AA2132" s="6"/>
      <c r="AB2132" s="6"/>
      <c r="AC2132" s="6"/>
      <c r="AD2132" s="6"/>
      <c r="AE2132" s="6"/>
      <c r="AF2132" s="6"/>
      <c r="AG2132" s="6"/>
      <c r="AH2132" s="6"/>
      <c r="AI2132" s="6"/>
      <c r="AJ2132" s="6"/>
      <c r="AK2132" s="6"/>
      <c r="AL2132" s="6"/>
      <c r="AM2132" s="6"/>
    </row>
    <row r="2133">
      <c r="A2133" s="6"/>
      <c r="B2133" s="6"/>
      <c r="C2133" s="6"/>
      <c r="D2133" s="6"/>
      <c r="E2133" s="6"/>
      <c r="F2133" s="6"/>
      <c r="G2133" s="6"/>
      <c r="H2133" s="6"/>
      <c r="I2133" s="6"/>
      <c r="J2133" s="6"/>
      <c r="K2133" s="6"/>
      <c r="L2133" s="6"/>
      <c r="M2133" s="6"/>
      <c r="N2133" s="6"/>
      <c r="O2133" s="6"/>
      <c r="P2133" s="6"/>
      <c r="Q2133" s="6"/>
      <c r="R2133" s="6"/>
      <c r="S2133" s="6"/>
      <c r="T2133" s="6"/>
      <c r="U2133" s="6"/>
      <c r="V2133" s="6"/>
      <c r="W2133" s="6"/>
      <c r="X2133" s="6"/>
      <c r="Y2133" s="6"/>
      <c r="Z2133" s="6"/>
      <c r="AA2133" s="6"/>
      <c r="AB2133" s="6"/>
      <c r="AC2133" s="6"/>
      <c r="AD2133" s="6"/>
      <c r="AE2133" s="6"/>
      <c r="AF2133" s="6"/>
      <c r="AG2133" s="6"/>
      <c r="AH2133" s="6"/>
      <c r="AI2133" s="6"/>
      <c r="AJ2133" s="6"/>
      <c r="AK2133" s="6"/>
      <c r="AL2133" s="6"/>
      <c r="AM2133" s="6"/>
    </row>
    <row r="2134">
      <c r="A2134" s="6"/>
      <c r="B2134" s="6"/>
      <c r="C2134" s="6"/>
      <c r="D2134" s="6"/>
      <c r="E2134" s="6"/>
      <c r="F2134" s="6"/>
      <c r="G2134" s="6"/>
      <c r="H2134" s="6"/>
      <c r="I2134" s="6"/>
      <c r="J2134" s="6"/>
      <c r="K2134" s="6"/>
      <c r="L2134" s="6"/>
      <c r="M2134" s="6"/>
      <c r="N2134" s="6"/>
      <c r="O2134" s="6"/>
      <c r="P2134" s="6"/>
      <c r="Q2134" s="6"/>
      <c r="R2134" s="6"/>
      <c r="S2134" s="6"/>
      <c r="T2134" s="6"/>
      <c r="U2134" s="6"/>
      <c r="V2134" s="6"/>
      <c r="W2134" s="6"/>
      <c r="X2134" s="6"/>
      <c r="Y2134" s="6"/>
      <c r="Z2134" s="6"/>
      <c r="AA2134" s="6"/>
      <c r="AB2134" s="6"/>
      <c r="AC2134" s="6"/>
      <c r="AD2134" s="6"/>
      <c r="AE2134" s="6"/>
      <c r="AF2134" s="6"/>
      <c r="AG2134" s="6"/>
      <c r="AH2134" s="6"/>
      <c r="AI2134" s="6"/>
      <c r="AJ2134" s="6"/>
      <c r="AK2134" s="6"/>
      <c r="AL2134" s="6"/>
      <c r="AM2134" s="6"/>
    </row>
    <row r="2135">
      <c r="A2135" s="6"/>
      <c r="B2135" s="6"/>
      <c r="C2135" s="6"/>
      <c r="D2135" s="6"/>
      <c r="E2135" s="6"/>
      <c r="F2135" s="6"/>
      <c r="G2135" s="6"/>
      <c r="H2135" s="6"/>
      <c r="I2135" s="6"/>
      <c r="J2135" s="6"/>
      <c r="K2135" s="6"/>
      <c r="L2135" s="6"/>
      <c r="M2135" s="6"/>
      <c r="N2135" s="6"/>
      <c r="O2135" s="6"/>
      <c r="P2135" s="6"/>
      <c r="Q2135" s="6"/>
      <c r="R2135" s="6"/>
      <c r="S2135" s="6"/>
      <c r="T2135" s="6"/>
      <c r="U2135" s="6"/>
      <c r="V2135" s="6"/>
      <c r="W2135" s="6"/>
      <c r="X2135" s="6"/>
      <c r="Y2135" s="6"/>
      <c r="Z2135" s="6"/>
      <c r="AA2135" s="6"/>
      <c r="AB2135" s="6"/>
      <c r="AC2135" s="6"/>
      <c r="AD2135" s="6"/>
      <c r="AE2135" s="6"/>
      <c r="AF2135" s="6"/>
      <c r="AG2135" s="6"/>
      <c r="AH2135" s="6"/>
      <c r="AI2135" s="6"/>
      <c r="AJ2135" s="6"/>
      <c r="AK2135" s="6"/>
      <c r="AL2135" s="6"/>
      <c r="AM2135" s="6"/>
    </row>
    <row r="2136">
      <c r="A2136" s="6"/>
      <c r="B2136" s="6"/>
      <c r="C2136" s="6"/>
      <c r="D2136" s="6"/>
      <c r="E2136" s="6"/>
      <c r="F2136" s="6"/>
      <c r="G2136" s="6"/>
      <c r="H2136" s="6"/>
      <c r="I2136" s="6"/>
      <c r="J2136" s="6"/>
      <c r="K2136" s="6"/>
      <c r="L2136" s="6"/>
      <c r="M2136" s="6"/>
      <c r="N2136" s="6"/>
      <c r="O2136" s="6"/>
      <c r="P2136" s="6"/>
      <c r="Q2136" s="6"/>
      <c r="R2136" s="6"/>
      <c r="S2136" s="6"/>
      <c r="T2136" s="6"/>
      <c r="U2136" s="6"/>
      <c r="V2136" s="6"/>
      <c r="W2136" s="6"/>
      <c r="X2136" s="6"/>
      <c r="Y2136" s="6"/>
      <c r="Z2136" s="6"/>
      <c r="AA2136" s="6"/>
      <c r="AB2136" s="6"/>
      <c r="AC2136" s="6"/>
      <c r="AD2136" s="6"/>
      <c r="AE2136" s="6"/>
      <c r="AF2136" s="6"/>
      <c r="AG2136" s="6"/>
      <c r="AH2136" s="6"/>
      <c r="AI2136" s="6"/>
      <c r="AJ2136" s="6"/>
      <c r="AK2136" s="6"/>
      <c r="AL2136" s="6"/>
      <c r="AM2136" s="6"/>
    </row>
    <row r="2137">
      <c r="A2137" s="6"/>
      <c r="B2137" s="6"/>
      <c r="C2137" s="6"/>
      <c r="D2137" s="6"/>
      <c r="E2137" s="6"/>
      <c r="F2137" s="6"/>
      <c r="G2137" s="6"/>
      <c r="H2137" s="6"/>
      <c r="I2137" s="6"/>
      <c r="J2137" s="6"/>
      <c r="K2137" s="6"/>
      <c r="L2137" s="6"/>
      <c r="M2137" s="6"/>
      <c r="N2137" s="6"/>
      <c r="O2137" s="6"/>
      <c r="P2137" s="6"/>
      <c r="Q2137" s="6"/>
      <c r="R2137" s="6"/>
      <c r="S2137" s="6"/>
      <c r="T2137" s="6"/>
      <c r="U2137" s="6"/>
      <c r="V2137" s="6"/>
      <c r="W2137" s="6"/>
      <c r="X2137" s="6"/>
      <c r="Y2137" s="6"/>
      <c r="Z2137" s="6"/>
      <c r="AA2137" s="6"/>
      <c r="AB2137" s="6"/>
      <c r="AC2137" s="6"/>
      <c r="AD2137" s="6"/>
      <c r="AE2137" s="6"/>
      <c r="AF2137" s="6"/>
      <c r="AG2137" s="6"/>
      <c r="AH2137" s="6"/>
      <c r="AI2137" s="6"/>
      <c r="AJ2137" s="6"/>
      <c r="AK2137" s="6"/>
      <c r="AL2137" s="6"/>
      <c r="AM2137" s="6"/>
    </row>
    <row r="2138">
      <c r="A2138" s="6"/>
      <c r="B2138" s="6"/>
      <c r="C2138" s="6"/>
      <c r="D2138" s="6"/>
      <c r="E2138" s="6"/>
      <c r="F2138" s="6"/>
      <c r="G2138" s="6"/>
      <c r="H2138" s="6"/>
      <c r="I2138" s="6"/>
      <c r="J2138" s="6"/>
      <c r="K2138" s="6"/>
      <c r="L2138" s="6"/>
      <c r="M2138" s="6"/>
      <c r="N2138" s="6"/>
      <c r="O2138" s="6"/>
      <c r="P2138" s="6"/>
      <c r="Q2138" s="6"/>
      <c r="R2138" s="6"/>
      <c r="S2138" s="6"/>
      <c r="T2138" s="6"/>
      <c r="U2138" s="6"/>
      <c r="V2138" s="6"/>
      <c r="W2138" s="6"/>
      <c r="X2138" s="6"/>
      <c r="Y2138" s="6"/>
      <c r="Z2138" s="6"/>
      <c r="AA2138" s="6"/>
      <c r="AB2138" s="6"/>
      <c r="AC2138" s="6"/>
      <c r="AD2138" s="6"/>
      <c r="AE2138" s="6"/>
      <c r="AF2138" s="6"/>
      <c r="AG2138" s="6"/>
      <c r="AH2138" s="6"/>
      <c r="AI2138" s="6"/>
      <c r="AJ2138" s="6"/>
      <c r="AK2138" s="6"/>
      <c r="AL2138" s="6"/>
      <c r="AM2138" s="6"/>
    </row>
    <row r="2139">
      <c r="A2139" s="6"/>
      <c r="B2139" s="6"/>
      <c r="C2139" s="6"/>
      <c r="D2139" s="6"/>
      <c r="E2139" s="6"/>
      <c r="F2139" s="6"/>
      <c r="G2139" s="6"/>
      <c r="H2139" s="6"/>
      <c r="I2139" s="6"/>
      <c r="J2139" s="6"/>
      <c r="K2139" s="6"/>
      <c r="L2139" s="6"/>
      <c r="M2139" s="6"/>
      <c r="N2139" s="6"/>
      <c r="O2139" s="6"/>
      <c r="P2139" s="6"/>
      <c r="Q2139" s="6"/>
      <c r="R2139" s="6"/>
      <c r="S2139" s="6"/>
      <c r="T2139" s="6"/>
      <c r="U2139" s="6"/>
      <c r="V2139" s="6"/>
      <c r="W2139" s="6"/>
      <c r="X2139" s="6"/>
      <c r="Y2139" s="6"/>
      <c r="Z2139" s="6"/>
      <c r="AA2139" s="6"/>
      <c r="AB2139" s="6"/>
      <c r="AC2139" s="6"/>
      <c r="AD2139" s="6"/>
      <c r="AE2139" s="6"/>
      <c r="AF2139" s="6"/>
      <c r="AG2139" s="6"/>
      <c r="AH2139" s="6"/>
      <c r="AI2139" s="6"/>
      <c r="AJ2139" s="6"/>
      <c r="AK2139" s="6"/>
      <c r="AL2139" s="6"/>
      <c r="AM2139" s="6"/>
    </row>
    <row r="2140">
      <c r="A2140" s="6"/>
      <c r="B2140" s="6"/>
      <c r="C2140" s="6"/>
      <c r="D2140" s="6"/>
      <c r="E2140" s="6"/>
      <c r="F2140" s="6"/>
      <c r="G2140" s="6"/>
      <c r="H2140" s="6"/>
      <c r="I2140" s="6"/>
      <c r="J2140" s="6"/>
      <c r="K2140" s="6"/>
      <c r="L2140" s="6"/>
      <c r="M2140" s="6"/>
      <c r="N2140" s="6"/>
      <c r="O2140" s="6"/>
      <c r="P2140" s="6"/>
      <c r="Q2140" s="6"/>
      <c r="R2140" s="6"/>
      <c r="S2140" s="6"/>
      <c r="T2140" s="6"/>
      <c r="U2140" s="6"/>
      <c r="V2140" s="6"/>
      <c r="W2140" s="6"/>
      <c r="X2140" s="6"/>
      <c r="Y2140" s="6"/>
      <c r="Z2140" s="6"/>
      <c r="AA2140" s="6"/>
      <c r="AB2140" s="6"/>
      <c r="AC2140" s="6"/>
      <c r="AD2140" s="6"/>
      <c r="AE2140" s="6"/>
      <c r="AF2140" s="6"/>
      <c r="AG2140" s="6"/>
      <c r="AH2140" s="6"/>
      <c r="AI2140" s="6"/>
      <c r="AJ2140" s="6"/>
      <c r="AK2140" s="6"/>
      <c r="AL2140" s="6"/>
      <c r="AM2140" s="6"/>
    </row>
    <row r="2141">
      <c r="A2141" s="6"/>
      <c r="B2141" s="6"/>
      <c r="C2141" s="6"/>
      <c r="D2141" s="6"/>
      <c r="E2141" s="6"/>
      <c r="F2141" s="6"/>
      <c r="G2141" s="6"/>
      <c r="H2141" s="6"/>
      <c r="I2141" s="6"/>
      <c r="J2141" s="6"/>
      <c r="K2141" s="6"/>
      <c r="L2141" s="6"/>
      <c r="M2141" s="6"/>
      <c r="N2141" s="6"/>
      <c r="O2141" s="6"/>
      <c r="P2141" s="6"/>
      <c r="Q2141" s="6"/>
      <c r="R2141" s="6"/>
      <c r="S2141" s="6"/>
      <c r="T2141" s="6"/>
      <c r="U2141" s="6"/>
      <c r="V2141" s="6"/>
      <c r="W2141" s="6"/>
      <c r="X2141" s="6"/>
      <c r="Y2141" s="6"/>
      <c r="Z2141" s="6"/>
      <c r="AA2141" s="6"/>
      <c r="AB2141" s="6"/>
      <c r="AC2141" s="6"/>
      <c r="AD2141" s="6"/>
      <c r="AE2141" s="6"/>
      <c r="AF2141" s="6"/>
      <c r="AG2141" s="6"/>
      <c r="AH2141" s="6"/>
      <c r="AI2141" s="6"/>
      <c r="AJ2141" s="6"/>
      <c r="AK2141" s="6"/>
      <c r="AL2141" s="6"/>
      <c r="AM2141" s="6"/>
    </row>
    <row r="2142">
      <c r="A2142" s="6"/>
      <c r="B2142" s="6"/>
      <c r="C2142" s="6"/>
      <c r="D2142" s="6"/>
      <c r="E2142" s="6"/>
      <c r="F2142" s="6"/>
      <c r="G2142" s="6"/>
      <c r="H2142" s="6"/>
      <c r="I2142" s="6"/>
      <c r="J2142" s="6"/>
      <c r="K2142" s="6"/>
      <c r="L2142" s="6"/>
      <c r="M2142" s="6"/>
      <c r="N2142" s="6"/>
      <c r="O2142" s="6"/>
      <c r="P2142" s="6"/>
      <c r="Q2142" s="6"/>
      <c r="R2142" s="6"/>
      <c r="S2142" s="6"/>
      <c r="T2142" s="6"/>
      <c r="U2142" s="6"/>
      <c r="V2142" s="6"/>
      <c r="W2142" s="6"/>
      <c r="X2142" s="6"/>
      <c r="Y2142" s="6"/>
      <c r="Z2142" s="6"/>
      <c r="AA2142" s="6"/>
      <c r="AB2142" s="6"/>
      <c r="AC2142" s="6"/>
      <c r="AD2142" s="6"/>
      <c r="AE2142" s="6"/>
      <c r="AF2142" s="6"/>
      <c r="AG2142" s="6"/>
      <c r="AH2142" s="6"/>
      <c r="AI2142" s="6"/>
      <c r="AJ2142" s="6"/>
      <c r="AK2142" s="6"/>
      <c r="AL2142" s="6"/>
      <c r="AM2142" s="6"/>
    </row>
    <row r="2143">
      <c r="A2143" s="6"/>
      <c r="B2143" s="6"/>
      <c r="C2143" s="6"/>
      <c r="D2143" s="6"/>
      <c r="E2143" s="6"/>
      <c r="F2143" s="6"/>
      <c r="G2143" s="6"/>
      <c r="H2143" s="6"/>
      <c r="I2143" s="6"/>
      <c r="J2143" s="6"/>
      <c r="K2143" s="6"/>
      <c r="L2143" s="6"/>
      <c r="M2143" s="6"/>
      <c r="N2143" s="6"/>
      <c r="O2143" s="6"/>
      <c r="P2143" s="6"/>
      <c r="Q2143" s="6"/>
      <c r="R2143" s="6"/>
      <c r="S2143" s="6"/>
      <c r="T2143" s="6"/>
      <c r="U2143" s="6"/>
      <c r="V2143" s="6"/>
      <c r="W2143" s="6"/>
      <c r="X2143" s="6"/>
      <c r="Y2143" s="6"/>
      <c r="Z2143" s="6"/>
      <c r="AA2143" s="6"/>
      <c r="AB2143" s="6"/>
      <c r="AC2143" s="6"/>
      <c r="AD2143" s="6"/>
      <c r="AE2143" s="6"/>
      <c r="AF2143" s="6"/>
      <c r="AG2143" s="6"/>
      <c r="AH2143" s="6"/>
      <c r="AI2143" s="6"/>
      <c r="AJ2143" s="6"/>
      <c r="AK2143" s="6"/>
      <c r="AL2143" s="6"/>
      <c r="AM2143" s="6"/>
    </row>
    <row r="2144">
      <c r="A2144" s="6"/>
      <c r="B2144" s="6"/>
      <c r="C2144" s="6"/>
      <c r="D2144" s="6"/>
      <c r="E2144" s="6"/>
      <c r="F2144" s="6"/>
      <c r="G2144" s="6"/>
      <c r="H2144" s="6"/>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c r="AG2144" s="6"/>
      <c r="AH2144" s="6"/>
      <c r="AI2144" s="6"/>
      <c r="AJ2144" s="6"/>
      <c r="AK2144" s="6"/>
      <c r="AL2144" s="6"/>
      <c r="AM2144" s="6"/>
    </row>
    <row r="2145">
      <c r="A2145" s="6"/>
      <c r="B2145" s="6"/>
      <c r="C2145" s="6"/>
      <c r="D2145" s="6"/>
      <c r="E2145" s="6"/>
      <c r="F2145" s="6"/>
      <c r="G2145" s="6"/>
      <c r="H2145" s="6"/>
      <c r="I2145" s="6"/>
      <c r="J2145" s="6"/>
      <c r="K2145" s="6"/>
      <c r="L2145" s="6"/>
      <c r="M2145" s="6"/>
      <c r="N2145" s="6"/>
      <c r="O2145" s="6"/>
      <c r="P2145" s="6"/>
      <c r="Q2145" s="6"/>
      <c r="R2145" s="6"/>
      <c r="S2145" s="6"/>
      <c r="T2145" s="6"/>
      <c r="U2145" s="6"/>
      <c r="V2145" s="6"/>
      <c r="W2145" s="6"/>
      <c r="X2145" s="6"/>
      <c r="Y2145" s="6"/>
      <c r="Z2145" s="6"/>
      <c r="AA2145" s="6"/>
      <c r="AB2145" s="6"/>
      <c r="AC2145" s="6"/>
      <c r="AD2145" s="6"/>
      <c r="AE2145" s="6"/>
      <c r="AF2145" s="6"/>
      <c r="AG2145" s="6"/>
      <c r="AH2145" s="6"/>
      <c r="AI2145" s="6"/>
      <c r="AJ2145" s="6"/>
      <c r="AK2145" s="6"/>
      <c r="AL2145" s="6"/>
      <c r="AM2145" s="6"/>
    </row>
    <row r="2146">
      <c r="A2146" s="6"/>
      <c r="B2146" s="6"/>
      <c r="C2146" s="6"/>
      <c r="D2146" s="6"/>
      <c r="E2146" s="6"/>
      <c r="F2146" s="6"/>
      <c r="G2146" s="6"/>
      <c r="H2146" s="6"/>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c r="AG2146" s="6"/>
      <c r="AH2146" s="6"/>
      <c r="AI2146" s="6"/>
      <c r="AJ2146" s="6"/>
      <c r="AK2146" s="6"/>
      <c r="AL2146" s="6"/>
      <c r="AM2146" s="6"/>
    </row>
    <row r="2147">
      <c r="A2147" s="6"/>
      <c r="B2147" s="6"/>
      <c r="C2147" s="6"/>
      <c r="D2147" s="6"/>
      <c r="E2147" s="6"/>
      <c r="F2147" s="6"/>
      <c r="G2147" s="6"/>
      <c r="H2147" s="6"/>
      <c r="I2147" s="6"/>
      <c r="J2147" s="6"/>
      <c r="K2147" s="6"/>
      <c r="L2147" s="6"/>
      <c r="M2147" s="6"/>
      <c r="N2147" s="6"/>
      <c r="O2147" s="6"/>
      <c r="P2147" s="6"/>
      <c r="Q2147" s="6"/>
      <c r="R2147" s="6"/>
      <c r="S2147" s="6"/>
      <c r="T2147" s="6"/>
      <c r="U2147" s="6"/>
      <c r="V2147" s="6"/>
      <c r="W2147" s="6"/>
      <c r="X2147" s="6"/>
      <c r="Y2147" s="6"/>
      <c r="Z2147" s="6"/>
      <c r="AA2147" s="6"/>
      <c r="AB2147" s="6"/>
      <c r="AC2147" s="6"/>
      <c r="AD2147" s="6"/>
      <c r="AE2147" s="6"/>
      <c r="AF2147" s="6"/>
      <c r="AG2147" s="6"/>
      <c r="AH2147" s="6"/>
      <c r="AI2147" s="6"/>
      <c r="AJ2147" s="6"/>
      <c r="AK2147" s="6"/>
      <c r="AL2147" s="6"/>
      <c r="AM2147" s="6"/>
    </row>
    <row r="2148">
      <c r="A2148" s="6"/>
      <c r="B2148" s="6"/>
      <c r="C2148" s="6"/>
      <c r="D2148" s="6"/>
      <c r="E2148" s="6"/>
      <c r="F2148" s="6"/>
      <c r="G2148" s="6"/>
      <c r="H2148" s="6"/>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c r="AG2148" s="6"/>
      <c r="AH2148" s="6"/>
      <c r="AI2148" s="6"/>
      <c r="AJ2148" s="6"/>
      <c r="AK2148" s="6"/>
      <c r="AL2148" s="6"/>
      <c r="AM2148" s="6"/>
    </row>
    <row r="2149">
      <c r="A2149" s="6"/>
      <c r="B2149" s="6"/>
      <c r="C2149" s="6"/>
      <c r="D2149" s="6"/>
      <c r="E2149" s="6"/>
      <c r="F2149" s="6"/>
      <c r="G2149" s="6"/>
      <c r="H2149" s="6"/>
      <c r="I2149" s="6"/>
      <c r="J2149" s="6"/>
      <c r="K2149" s="6"/>
      <c r="L2149" s="6"/>
      <c r="M2149" s="6"/>
      <c r="N2149" s="6"/>
      <c r="O2149" s="6"/>
      <c r="P2149" s="6"/>
      <c r="Q2149" s="6"/>
      <c r="R2149" s="6"/>
      <c r="S2149" s="6"/>
      <c r="T2149" s="6"/>
      <c r="U2149" s="6"/>
      <c r="V2149" s="6"/>
      <c r="W2149" s="6"/>
      <c r="X2149" s="6"/>
      <c r="Y2149" s="6"/>
      <c r="Z2149" s="6"/>
      <c r="AA2149" s="6"/>
      <c r="AB2149" s="6"/>
      <c r="AC2149" s="6"/>
      <c r="AD2149" s="6"/>
      <c r="AE2149" s="6"/>
      <c r="AF2149" s="6"/>
      <c r="AG2149" s="6"/>
      <c r="AH2149" s="6"/>
      <c r="AI2149" s="6"/>
      <c r="AJ2149" s="6"/>
      <c r="AK2149" s="6"/>
      <c r="AL2149" s="6"/>
      <c r="AM2149" s="6"/>
    </row>
    <row r="2150">
      <c r="A2150" s="6"/>
      <c r="B2150" s="6"/>
      <c r="C2150" s="6"/>
      <c r="D2150" s="6"/>
      <c r="E2150" s="6"/>
      <c r="F2150" s="6"/>
      <c r="G2150" s="6"/>
      <c r="H2150" s="6"/>
      <c r="I2150" s="6"/>
      <c r="J2150" s="6"/>
      <c r="K2150" s="6"/>
      <c r="L2150" s="6"/>
      <c r="M2150" s="6"/>
      <c r="N2150" s="6"/>
      <c r="O2150" s="6"/>
      <c r="P2150" s="6"/>
      <c r="Q2150" s="6"/>
      <c r="R2150" s="6"/>
      <c r="S2150" s="6"/>
      <c r="T2150" s="6"/>
      <c r="U2150" s="6"/>
      <c r="V2150" s="6"/>
      <c r="W2150" s="6"/>
      <c r="X2150" s="6"/>
      <c r="Y2150" s="6"/>
      <c r="Z2150" s="6"/>
      <c r="AA2150" s="6"/>
      <c r="AB2150" s="6"/>
      <c r="AC2150" s="6"/>
      <c r="AD2150" s="6"/>
      <c r="AE2150" s="6"/>
      <c r="AF2150" s="6"/>
      <c r="AG2150" s="6"/>
      <c r="AH2150" s="6"/>
      <c r="AI2150" s="6"/>
      <c r="AJ2150" s="6"/>
      <c r="AK2150" s="6"/>
      <c r="AL2150" s="6"/>
      <c r="AM2150" s="6"/>
    </row>
    <row r="2151">
      <c r="A2151" s="6"/>
      <c r="B2151" s="6"/>
      <c r="C2151" s="6"/>
      <c r="D2151" s="6"/>
      <c r="E2151" s="6"/>
      <c r="F2151" s="6"/>
      <c r="G2151" s="6"/>
      <c r="H2151" s="6"/>
      <c r="I2151" s="6"/>
      <c r="J2151" s="6"/>
      <c r="K2151" s="6"/>
      <c r="L2151" s="6"/>
      <c r="M2151" s="6"/>
      <c r="N2151" s="6"/>
      <c r="O2151" s="6"/>
      <c r="P2151" s="6"/>
      <c r="Q2151" s="6"/>
      <c r="R2151" s="6"/>
      <c r="S2151" s="6"/>
      <c r="T2151" s="6"/>
      <c r="U2151" s="6"/>
      <c r="V2151" s="6"/>
      <c r="W2151" s="6"/>
      <c r="X2151" s="6"/>
      <c r="Y2151" s="6"/>
      <c r="Z2151" s="6"/>
      <c r="AA2151" s="6"/>
      <c r="AB2151" s="6"/>
      <c r="AC2151" s="6"/>
      <c r="AD2151" s="6"/>
      <c r="AE2151" s="6"/>
      <c r="AF2151" s="6"/>
      <c r="AG2151" s="6"/>
      <c r="AH2151" s="6"/>
      <c r="AI2151" s="6"/>
      <c r="AJ2151" s="6"/>
      <c r="AK2151" s="6"/>
      <c r="AL2151" s="6"/>
      <c r="AM2151" s="6"/>
    </row>
    <row r="2152">
      <c r="A2152" s="6"/>
      <c r="B2152" s="6"/>
      <c r="C2152" s="6"/>
      <c r="D2152" s="6"/>
      <c r="E2152" s="6"/>
      <c r="F2152" s="6"/>
      <c r="G2152" s="6"/>
      <c r="H2152" s="6"/>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c r="AG2152" s="6"/>
      <c r="AH2152" s="6"/>
      <c r="AI2152" s="6"/>
      <c r="AJ2152" s="6"/>
      <c r="AK2152" s="6"/>
      <c r="AL2152" s="6"/>
      <c r="AM2152" s="6"/>
    </row>
    <row r="2153">
      <c r="A2153" s="6"/>
      <c r="B2153" s="6"/>
      <c r="C2153" s="6"/>
      <c r="D2153" s="6"/>
      <c r="E2153" s="6"/>
      <c r="F2153" s="6"/>
      <c r="G2153" s="6"/>
      <c r="H2153" s="6"/>
      <c r="I2153" s="6"/>
      <c r="J2153" s="6"/>
      <c r="K2153" s="6"/>
      <c r="L2153" s="6"/>
      <c r="M2153" s="6"/>
      <c r="N2153" s="6"/>
      <c r="O2153" s="6"/>
      <c r="P2153" s="6"/>
      <c r="Q2153" s="6"/>
      <c r="R2153" s="6"/>
      <c r="S2153" s="6"/>
      <c r="T2153" s="6"/>
      <c r="U2153" s="6"/>
      <c r="V2153" s="6"/>
      <c r="W2153" s="6"/>
      <c r="X2153" s="6"/>
      <c r="Y2153" s="6"/>
      <c r="Z2153" s="6"/>
      <c r="AA2153" s="6"/>
      <c r="AB2153" s="6"/>
      <c r="AC2153" s="6"/>
      <c r="AD2153" s="6"/>
      <c r="AE2153" s="6"/>
      <c r="AF2153" s="6"/>
      <c r="AG2153" s="6"/>
      <c r="AH2153" s="6"/>
      <c r="AI2153" s="6"/>
      <c r="AJ2153" s="6"/>
      <c r="AK2153" s="6"/>
      <c r="AL2153" s="6"/>
      <c r="AM2153" s="6"/>
    </row>
    <row r="2154">
      <c r="A2154" s="6"/>
      <c r="B2154" s="6"/>
      <c r="C2154" s="6"/>
      <c r="D2154" s="6"/>
      <c r="E2154" s="6"/>
      <c r="F2154" s="6"/>
      <c r="G2154" s="6"/>
      <c r="H2154" s="6"/>
      <c r="I2154" s="6"/>
      <c r="J2154" s="6"/>
      <c r="K2154" s="6"/>
      <c r="L2154" s="6"/>
      <c r="M2154" s="6"/>
      <c r="N2154" s="6"/>
      <c r="O2154" s="6"/>
      <c r="P2154" s="6"/>
      <c r="Q2154" s="6"/>
      <c r="R2154" s="6"/>
      <c r="S2154" s="6"/>
      <c r="T2154" s="6"/>
      <c r="U2154" s="6"/>
      <c r="V2154" s="6"/>
      <c r="W2154" s="6"/>
      <c r="X2154" s="6"/>
      <c r="Y2154" s="6"/>
      <c r="Z2154" s="6"/>
      <c r="AA2154" s="6"/>
      <c r="AB2154" s="6"/>
      <c r="AC2154" s="6"/>
      <c r="AD2154" s="6"/>
      <c r="AE2154" s="6"/>
      <c r="AF2154" s="6"/>
      <c r="AG2154" s="6"/>
      <c r="AH2154" s="6"/>
      <c r="AI2154" s="6"/>
      <c r="AJ2154" s="6"/>
      <c r="AK2154" s="6"/>
      <c r="AL2154" s="6"/>
      <c r="AM2154" s="6"/>
    </row>
    <row r="2155">
      <c r="A2155" s="6"/>
      <c r="B2155" s="6"/>
      <c r="C2155" s="6"/>
      <c r="D2155" s="6"/>
      <c r="E2155" s="6"/>
      <c r="F2155" s="6"/>
      <c r="G2155" s="6"/>
      <c r="H2155" s="6"/>
      <c r="I2155" s="6"/>
      <c r="J2155" s="6"/>
      <c r="K2155" s="6"/>
      <c r="L2155" s="6"/>
      <c r="M2155" s="6"/>
      <c r="N2155" s="6"/>
      <c r="O2155" s="6"/>
      <c r="P2155" s="6"/>
      <c r="Q2155" s="6"/>
      <c r="R2155" s="6"/>
      <c r="S2155" s="6"/>
      <c r="T2155" s="6"/>
      <c r="U2155" s="6"/>
      <c r="V2155" s="6"/>
      <c r="W2155" s="6"/>
      <c r="X2155" s="6"/>
      <c r="Y2155" s="6"/>
      <c r="Z2155" s="6"/>
      <c r="AA2155" s="6"/>
      <c r="AB2155" s="6"/>
      <c r="AC2155" s="6"/>
      <c r="AD2155" s="6"/>
      <c r="AE2155" s="6"/>
      <c r="AF2155" s="6"/>
      <c r="AG2155" s="6"/>
      <c r="AH2155" s="6"/>
      <c r="AI2155" s="6"/>
      <c r="AJ2155" s="6"/>
      <c r="AK2155" s="6"/>
      <c r="AL2155" s="6"/>
      <c r="AM2155" s="6"/>
    </row>
    <row r="2156">
      <c r="A2156" s="6"/>
      <c r="B2156" s="6"/>
      <c r="C2156" s="6"/>
      <c r="D2156" s="6"/>
      <c r="E2156" s="6"/>
      <c r="F2156" s="6"/>
      <c r="G2156" s="6"/>
      <c r="H2156" s="6"/>
      <c r="I2156" s="6"/>
      <c r="J2156" s="6"/>
      <c r="K2156" s="6"/>
      <c r="L2156" s="6"/>
      <c r="M2156" s="6"/>
      <c r="N2156" s="6"/>
      <c r="O2156" s="6"/>
      <c r="P2156" s="6"/>
      <c r="Q2156" s="6"/>
      <c r="R2156" s="6"/>
      <c r="S2156" s="6"/>
      <c r="T2156" s="6"/>
      <c r="U2156" s="6"/>
      <c r="V2156" s="6"/>
      <c r="W2156" s="6"/>
      <c r="X2156" s="6"/>
      <c r="Y2156" s="6"/>
      <c r="Z2156" s="6"/>
      <c r="AA2156" s="6"/>
      <c r="AB2156" s="6"/>
      <c r="AC2156" s="6"/>
      <c r="AD2156" s="6"/>
      <c r="AE2156" s="6"/>
      <c r="AF2156" s="6"/>
      <c r="AG2156" s="6"/>
      <c r="AH2156" s="6"/>
      <c r="AI2156" s="6"/>
      <c r="AJ2156" s="6"/>
      <c r="AK2156" s="6"/>
      <c r="AL2156" s="6"/>
      <c r="AM2156" s="6"/>
    </row>
    <row r="2157">
      <c r="A2157" s="6"/>
      <c r="B2157" s="6"/>
      <c r="C2157" s="6"/>
      <c r="D2157" s="6"/>
      <c r="E2157" s="6"/>
      <c r="F2157" s="6"/>
      <c r="G2157" s="6"/>
      <c r="H2157" s="6"/>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c r="AG2157" s="6"/>
      <c r="AH2157" s="6"/>
      <c r="AI2157" s="6"/>
      <c r="AJ2157" s="6"/>
      <c r="AK2157" s="6"/>
      <c r="AL2157" s="6"/>
      <c r="AM2157" s="6"/>
    </row>
    <row r="2158">
      <c r="A2158" s="6"/>
      <c r="B2158" s="6"/>
      <c r="C2158" s="6"/>
      <c r="D2158" s="6"/>
      <c r="E2158" s="6"/>
      <c r="F2158" s="6"/>
      <c r="G2158" s="6"/>
      <c r="H2158" s="6"/>
      <c r="I2158" s="6"/>
      <c r="J2158" s="6"/>
      <c r="K2158" s="6"/>
      <c r="L2158" s="6"/>
      <c r="M2158" s="6"/>
      <c r="N2158" s="6"/>
      <c r="O2158" s="6"/>
      <c r="P2158" s="6"/>
      <c r="Q2158" s="6"/>
      <c r="R2158" s="6"/>
      <c r="S2158" s="6"/>
      <c r="T2158" s="6"/>
      <c r="U2158" s="6"/>
      <c r="V2158" s="6"/>
      <c r="W2158" s="6"/>
      <c r="X2158" s="6"/>
      <c r="Y2158" s="6"/>
      <c r="Z2158" s="6"/>
      <c r="AA2158" s="6"/>
      <c r="AB2158" s="6"/>
      <c r="AC2158" s="6"/>
      <c r="AD2158" s="6"/>
      <c r="AE2158" s="6"/>
      <c r="AF2158" s="6"/>
      <c r="AG2158" s="6"/>
      <c r="AH2158" s="6"/>
      <c r="AI2158" s="6"/>
      <c r="AJ2158" s="6"/>
      <c r="AK2158" s="6"/>
      <c r="AL2158" s="6"/>
      <c r="AM2158" s="6"/>
    </row>
    <row r="2159">
      <c r="A2159" s="6"/>
      <c r="B2159" s="6"/>
      <c r="C2159" s="6"/>
      <c r="D2159" s="6"/>
      <c r="E2159" s="6"/>
      <c r="F2159" s="6"/>
      <c r="G2159" s="6"/>
      <c r="H2159" s="6"/>
      <c r="I2159" s="6"/>
      <c r="J2159" s="6"/>
      <c r="K2159" s="6"/>
      <c r="L2159" s="6"/>
      <c r="M2159" s="6"/>
      <c r="N2159" s="6"/>
      <c r="O2159" s="6"/>
      <c r="P2159" s="6"/>
      <c r="Q2159" s="6"/>
      <c r="R2159" s="6"/>
      <c r="S2159" s="6"/>
      <c r="T2159" s="6"/>
      <c r="U2159" s="6"/>
      <c r="V2159" s="6"/>
      <c r="W2159" s="6"/>
      <c r="X2159" s="6"/>
      <c r="Y2159" s="6"/>
      <c r="Z2159" s="6"/>
      <c r="AA2159" s="6"/>
      <c r="AB2159" s="6"/>
      <c r="AC2159" s="6"/>
      <c r="AD2159" s="6"/>
      <c r="AE2159" s="6"/>
      <c r="AF2159" s="6"/>
      <c r="AG2159" s="6"/>
      <c r="AH2159" s="6"/>
      <c r="AI2159" s="6"/>
      <c r="AJ2159" s="6"/>
      <c r="AK2159" s="6"/>
      <c r="AL2159" s="6"/>
      <c r="AM2159" s="6"/>
    </row>
    <row r="2160">
      <c r="A2160" s="6"/>
      <c r="B2160" s="6"/>
      <c r="C2160" s="6"/>
      <c r="D2160" s="6"/>
      <c r="E2160" s="6"/>
      <c r="F2160" s="6"/>
      <c r="G2160" s="6"/>
      <c r="H2160" s="6"/>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c r="AG2160" s="6"/>
      <c r="AH2160" s="6"/>
      <c r="AI2160" s="6"/>
      <c r="AJ2160" s="6"/>
      <c r="AK2160" s="6"/>
      <c r="AL2160" s="6"/>
      <c r="AM2160" s="6"/>
    </row>
    <row r="2161">
      <c r="A2161" s="6"/>
      <c r="B2161" s="6"/>
      <c r="C2161" s="6"/>
      <c r="D2161" s="6"/>
      <c r="E2161" s="6"/>
      <c r="F2161" s="6"/>
      <c r="G2161" s="6"/>
      <c r="H2161" s="6"/>
      <c r="I2161" s="6"/>
      <c r="J2161" s="6"/>
      <c r="K2161" s="6"/>
      <c r="L2161" s="6"/>
      <c r="M2161" s="6"/>
      <c r="N2161" s="6"/>
      <c r="O2161" s="6"/>
      <c r="P2161" s="6"/>
      <c r="Q2161" s="6"/>
      <c r="R2161" s="6"/>
      <c r="S2161" s="6"/>
      <c r="T2161" s="6"/>
      <c r="U2161" s="6"/>
      <c r="V2161" s="6"/>
      <c r="W2161" s="6"/>
      <c r="X2161" s="6"/>
      <c r="Y2161" s="6"/>
      <c r="Z2161" s="6"/>
      <c r="AA2161" s="6"/>
      <c r="AB2161" s="6"/>
      <c r="AC2161" s="6"/>
      <c r="AD2161" s="6"/>
      <c r="AE2161" s="6"/>
      <c r="AF2161" s="6"/>
      <c r="AG2161" s="6"/>
      <c r="AH2161" s="6"/>
      <c r="AI2161" s="6"/>
      <c r="AJ2161" s="6"/>
      <c r="AK2161" s="6"/>
      <c r="AL2161" s="6"/>
      <c r="AM2161" s="6"/>
    </row>
    <row r="2162">
      <c r="A2162" s="6"/>
      <c r="B2162" s="6"/>
      <c r="C2162" s="6"/>
      <c r="D2162" s="6"/>
      <c r="E2162" s="6"/>
      <c r="F2162" s="6"/>
      <c r="G2162" s="6"/>
      <c r="H2162" s="6"/>
      <c r="I2162" s="6"/>
      <c r="J2162" s="6"/>
      <c r="K2162" s="6"/>
      <c r="L2162" s="6"/>
      <c r="M2162" s="6"/>
      <c r="N2162" s="6"/>
      <c r="O2162" s="6"/>
      <c r="P2162" s="6"/>
      <c r="Q2162" s="6"/>
      <c r="R2162" s="6"/>
      <c r="S2162" s="6"/>
      <c r="T2162" s="6"/>
      <c r="U2162" s="6"/>
      <c r="V2162" s="6"/>
      <c r="W2162" s="6"/>
      <c r="X2162" s="6"/>
      <c r="Y2162" s="6"/>
      <c r="Z2162" s="6"/>
      <c r="AA2162" s="6"/>
      <c r="AB2162" s="6"/>
      <c r="AC2162" s="6"/>
      <c r="AD2162" s="6"/>
      <c r="AE2162" s="6"/>
      <c r="AF2162" s="6"/>
      <c r="AG2162" s="6"/>
      <c r="AH2162" s="6"/>
      <c r="AI2162" s="6"/>
      <c r="AJ2162" s="6"/>
      <c r="AK2162" s="6"/>
      <c r="AL2162" s="6"/>
      <c r="AM2162" s="6"/>
    </row>
    <row r="2163">
      <c r="A2163" s="6"/>
      <c r="B2163" s="6"/>
      <c r="C2163" s="6"/>
      <c r="D2163" s="6"/>
      <c r="E2163" s="6"/>
      <c r="F2163" s="6"/>
      <c r="G2163" s="6"/>
      <c r="H2163" s="6"/>
      <c r="I2163" s="6"/>
      <c r="J2163" s="6"/>
      <c r="K2163" s="6"/>
      <c r="L2163" s="6"/>
      <c r="M2163" s="6"/>
      <c r="N2163" s="6"/>
      <c r="O2163" s="6"/>
      <c r="P2163" s="6"/>
      <c r="Q2163" s="6"/>
      <c r="R2163" s="6"/>
      <c r="S2163" s="6"/>
      <c r="T2163" s="6"/>
      <c r="U2163" s="6"/>
      <c r="V2163" s="6"/>
      <c r="W2163" s="6"/>
      <c r="X2163" s="6"/>
      <c r="Y2163" s="6"/>
      <c r="Z2163" s="6"/>
      <c r="AA2163" s="6"/>
      <c r="AB2163" s="6"/>
      <c r="AC2163" s="6"/>
      <c r="AD2163" s="6"/>
      <c r="AE2163" s="6"/>
      <c r="AF2163" s="6"/>
      <c r="AG2163" s="6"/>
      <c r="AH2163" s="6"/>
      <c r="AI2163" s="6"/>
      <c r="AJ2163" s="6"/>
      <c r="AK2163" s="6"/>
      <c r="AL2163" s="6"/>
      <c r="AM2163" s="6"/>
    </row>
    <row r="2164">
      <c r="A2164" s="6"/>
      <c r="B2164" s="6"/>
      <c r="C2164" s="6"/>
      <c r="D2164" s="6"/>
      <c r="E2164" s="6"/>
      <c r="F2164" s="6"/>
      <c r="G2164" s="6"/>
      <c r="H2164" s="6"/>
      <c r="I2164" s="6"/>
      <c r="J2164" s="6"/>
      <c r="K2164" s="6"/>
      <c r="L2164" s="6"/>
      <c r="M2164" s="6"/>
      <c r="N2164" s="6"/>
      <c r="O2164" s="6"/>
      <c r="P2164" s="6"/>
      <c r="Q2164" s="6"/>
      <c r="R2164" s="6"/>
      <c r="S2164" s="6"/>
      <c r="T2164" s="6"/>
      <c r="U2164" s="6"/>
      <c r="V2164" s="6"/>
      <c r="W2164" s="6"/>
      <c r="X2164" s="6"/>
      <c r="Y2164" s="6"/>
      <c r="Z2164" s="6"/>
      <c r="AA2164" s="6"/>
      <c r="AB2164" s="6"/>
      <c r="AC2164" s="6"/>
      <c r="AD2164" s="6"/>
      <c r="AE2164" s="6"/>
      <c r="AF2164" s="6"/>
      <c r="AG2164" s="6"/>
      <c r="AH2164" s="6"/>
      <c r="AI2164" s="6"/>
      <c r="AJ2164" s="6"/>
      <c r="AK2164" s="6"/>
      <c r="AL2164" s="6"/>
      <c r="AM2164" s="6"/>
    </row>
    <row r="2165">
      <c r="A2165" s="6"/>
      <c r="B2165" s="6"/>
      <c r="C2165" s="6"/>
      <c r="D2165" s="6"/>
      <c r="E2165" s="6"/>
      <c r="F2165" s="6"/>
      <c r="G2165" s="6"/>
      <c r="H2165" s="6"/>
      <c r="I2165" s="6"/>
      <c r="J2165" s="6"/>
      <c r="K2165" s="6"/>
      <c r="L2165" s="6"/>
      <c r="M2165" s="6"/>
      <c r="N2165" s="6"/>
      <c r="O2165" s="6"/>
      <c r="P2165" s="6"/>
      <c r="Q2165" s="6"/>
      <c r="R2165" s="6"/>
      <c r="S2165" s="6"/>
      <c r="T2165" s="6"/>
      <c r="U2165" s="6"/>
      <c r="V2165" s="6"/>
      <c r="W2165" s="6"/>
      <c r="X2165" s="6"/>
      <c r="Y2165" s="6"/>
      <c r="Z2165" s="6"/>
      <c r="AA2165" s="6"/>
      <c r="AB2165" s="6"/>
      <c r="AC2165" s="6"/>
      <c r="AD2165" s="6"/>
      <c r="AE2165" s="6"/>
      <c r="AF2165" s="6"/>
      <c r="AG2165" s="6"/>
      <c r="AH2165" s="6"/>
      <c r="AI2165" s="6"/>
      <c r="AJ2165" s="6"/>
      <c r="AK2165" s="6"/>
      <c r="AL2165" s="6"/>
      <c r="AM2165" s="6"/>
    </row>
    <row r="2166">
      <c r="A2166" s="6"/>
      <c r="B2166" s="6"/>
      <c r="C2166" s="6"/>
      <c r="D2166" s="6"/>
      <c r="E2166" s="6"/>
      <c r="F2166" s="6"/>
      <c r="G2166" s="6"/>
      <c r="H2166" s="6"/>
      <c r="I2166" s="6"/>
      <c r="J2166" s="6"/>
      <c r="K2166" s="6"/>
      <c r="L2166" s="6"/>
      <c r="M2166" s="6"/>
      <c r="N2166" s="6"/>
      <c r="O2166" s="6"/>
      <c r="P2166" s="6"/>
      <c r="Q2166" s="6"/>
      <c r="R2166" s="6"/>
      <c r="S2166" s="6"/>
      <c r="T2166" s="6"/>
      <c r="U2166" s="6"/>
      <c r="V2166" s="6"/>
      <c r="W2166" s="6"/>
      <c r="X2166" s="6"/>
      <c r="Y2166" s="6"/>
      <c r="Z2166" s="6"/>
      <c r="AA2166" s="6"/>
      <c r="AB2166" s="6"/>
      <c r="AC2166" s="6"/>
      <c r="AD2166" s="6"/>
      <c r="AE2166" s="6"/>
      <c r="AF2166" s="6"/>
      <c r="AG2166" s="6"/>
      <c r="AH2166" s="6"/>
      <c r="AI2166" s="6"/>
      <c r="AJ2166" s="6"/>
      <c r="AK2166" s="6"/>
      <c r="AL2166" s="6"/>
      <c r="AM2166" s="6"/>
    </row>
    <row r="2167">
      <c r="A2167" s="6"/>
      <c r="B2167" s="6"/>
      <c r="C2167" s="6"/>
      <c r="D2167" s="6"/>
      <c r="E2167" s="6"/>
      <c r="F2167" s="6"/>
      <c r="G2167" s="6"/>
      <c r="H2167" s="6"/>
      <c r="I2167" s="6"/>
      <c r="J2167" s="6"/>
      <c r="K2167" s="6"/>
      <c r="L2167" s="6"/>
      <c r="M2167" s="6"/>
      <c r="N2167" s="6"/>
      <c r="O2167" s="6"/>
      <c r="P2167" s="6"/>
      <c r="Q2167" s="6"/>
      <c r="R2167" s="6"/>
      <c r="S2167" s="6"/>
      <c r="T2167" s="6"/>
      <c r="U2167" s="6"/>
      <c r="V2167" s="6"/>
      <c r="W2167" s="6"/>
      <c r="X2167" s="6"/>
      <c r="Y2167" s="6"/>
      <c r="Z2167" s="6"/>
      <c r="AA2167" s="6"/>
      <c r="AB2167" s="6"/>
      <c r="AC2167" s="6"/>
      <c r="AD2167" s="6"/>
      <c r="AE2167" s="6"/>
      <c r="AF2167" s="6"/>
      <c r="AG2167" s="6"/>
      <c r="AH2167" s="6"/>
      <c r="AI2167" s="6"/>
      <c r="AJ2167" s="6"/>
      <c r="AK2167" s="6"/>
      <c r="AL2167" s="6"/>
      <c r="AM2167" s="6"/>
    </row>
    <row r="2168">
      <c r="A2168" s="6"/>
      <c r="B2168" s="6"/>
      <c r="C2168" s="6"/>
      <c r="D2168" s="6"/>
      <c r="E2168" s="6"/>
      <c r="F2168" s="6"/>
      <c r="G2168" s="6"/>
      <c r="H2168" s="6"/>
      <c r="I2168" s="6"/>
      <c r="J2168" s="6"/>
      <c r="K2168" s="6"/>
      <c r="L2168" s="6"/>
      <c r="M2168" s="6"/>
      <c r="N2168" s="6"/>
      <c r="O2168" s="6"/>
      <c r="P2168" s="6"/>
      <c r="Q2168" s="6"/>
      <c r="R2168" s="6"/>
      <c r="S2168" s="6"/>
      <c r="T2168" s="6"/>
      <c r="U2168" s="6"/>
      <c r="V2168" s="6"/>
      <c r="W2168" s="6"/>
      <c r="X2168" s="6"/>
      <c r="Y2168" s="6"/>
      <c r="Z2168" s="6"/>
      <c r="AA2168" s="6"/>
      <c r="AB2168" s="6"/>
      <c r="AC2168" s="6"/>
      <c r="AD2168" s="6"/>
      <c r="AE2168" s="6"/>
      <c r="AF2168" s="6"/>
      <c r="AG2168" s="6"/>
      <c r="AH2168" s="6"/>
      <c r="AI2168" s="6"/>
      <c r="AJ2168" s="6"/>
      <c r="AK2168" s="6"/>
      <c r="AL2168" s="6"/>
      <c r="AM2168" s="6"/>
    </row>
    <row r="2169">
      <c r="A2169" s="6"/>
      <c r="B2169" s="6"/>
      <c r="C2169" s="6"/>
      <c r="D2169" s="6"/>
      <c r="E2169" s="6"/>
      <c r="F2169" s="6"/>
      <c r="G2169" s="6"/>
      <c r="H2169" s="6"/>
      <c r="I2169" s="6"/>
      <c r="J2169" s="6"/>
      <c r="K2169" s="6"/>
      <c r="L2169" s="6"/>
      <c r="M2169" s="6"/>
      <c r="N2169" s="6"/>
      <c r="O2169" s="6"/>
      <c r="P2169" s="6"/>
      <c r="Q2169" s="6"/>
      <c r="R2169" s="6"/>
      <c r="S2169" s="6"/>
      <c r="T2169" s="6"/>
      <c r="U2169" s="6"/>
      <c r="V2169" s="6"/>
      <c r="W2169" s="6"/>
      <c r="X2169" s="6"/>
      <c r="Y2169" s="6"/>
      <c r="Z2169" s="6"/>
      <c r="AA2169" s="6"/>
      <c r="AB2169" s="6"/>
      <c r="AC2169" s="6"/>
      <c r="AD2169" s="6"/>
      <c r="AE2169" s="6"/>
      <c r="AF2169" s="6"/>
      <c r="AG2169" s="6"/>
      <c r="AH2169" s="6"/>
      <c r="AI2169" s="6"/>
      <c r="AJ2169" s="6"/>
      <c r="AK2169" s="6"/>
      <c r="AL2169" s="6"/>
      <c r="AM2169" s="6"/>
    </row>
    <row r="2170">
      <c r="A2170" s="6"/>
      <c r="B2170" s="6"/>
      <c r="C2170" s="6"/>
      <c r="D2170" s="6"/>
      <c r="E2170" s="6"/>
      <c r="F2170" s="6"/>
      <c r="G2170" s="6"/>
      <c r="H2170" s="6"/>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c r="AG2170" s="6"/>
      <c r="AH2170" s="6"/>
      <c r="AI2170" s="6"/>
      <c r="AJ2170" s="6"/>
      <c r="AK2170" s="6"/>
      <c r="AL2170" s="6"/>
      <c r="AM2170" s="6"/>
    </row>
    <row r="2171">
      <c r="A2171" s="6"/>
      <c r="B2171" s="6"/>
      <c r="C2171" s="6"/>
      <c r="D2171" s="6"/>
      <c r="E2171" s="6"/>
      <c r="F2171" s="6"/>
      <c r="G2171" s="6"/>
      <c r="H2171" s="6"/>
      <c r="I2171" s="6"/>
      <c r="J2171" s="6"/>
      <c r="K2171" s="6"/>
      <c r="L2171" s="6"/>
      <c r="M2171" s="6"/>
      <c r="N2171" s="6"/>
      <c r="O2171" s="6"/>
      <c r="P2171" s="6"/>
      <c r="Q2171" s="6"/>
      <c r="R2171" s="6"/>
      <c r="S2171" s="6"/>
      <c r="T2171" s="6"/>
      <c r="U2171" s="6"/>
      <c r="V2171" s="6"/>
      <c r="W2171" s="6"/>
      <c r="X2171" s="6"/>
      <c r="Y2171" s="6"/>
      <c r="Z2171" s="6"/>
      <c r="AA2171" s="6"/>
      <c r="AB2171" s="6"/>
      <c r="AC2171" s="6"/>
      <c r="AD2171" s="6"/>
      <c r="AE2171" s="6"/>
      <c r="AF2171" s="6"/>
      <c r="AG2171" s="6"/>
      <c r="AH2171" s="6"/>
      <c r="AI2171" s="6"/>
      <c r="AJ2171" s="6"/>
      <c r="AK2171" s="6"/>
      <c r="AL2171" s="6"/>
      <c r="AM2171" s="6"/>
    </row>
    <row r="2172">
      <c r="A2172" s="6"/>
      <c r="B2172" s="6"/>
      <c r="C2172" s="6"/>
      <c r="D2172" s="6"/>
      <c r="E2172" s="6"/>
      <c r="F2172" s="6"/>
      <c r="G2172" s="6"/>
      <c r="H2172" s="6"/>
      <c r="I2172" s="6"/>
      <c r="J2172" s="6"/>
      <c r="K2172" s="6"/>
      <c r="L2172" s="6"/>
      <c r="M2172" s="6"/>
      <c r="N2172" s="6"/>
      <c r="O2172" s="6"/>
      <c r="P2172" s="6"/>
      <c r="Q2172" s="6"/>
      <c r="R2172" s="6"/>
      <c r="S2172" s="6"/>
      <c r="T2172" s="6"/>
      <c r="U2172" s="6"/>
      <c r="V2172" s="6"/>
      <c r="W2172" s="6"/>
      <c r="X2172" s="6"/>
      <c r="Y2172" s="6"/>
      <c r="Z2172" s="6"/>
      <c r="AA2172" s="6"/>
      <c r="AB2172" s="6"/>
      <c r="AC2172" s="6"/>
      <c r="AD2172" s="6"/>
      <c r="AE2172" s="6"/>
      <c r="AF2172" s="6"/>
      <c r="AG2172" s="6"/>
      <c r="AH2172" s="6"/>
      <c r="AI2172" s="6"/>
      <c r="AJ2172" s="6"/>
      <c r="AK2172" s="6"/>
      <c r="AL2172" s="6"/>
      <c r="AM2172" s="6"/>
    </row>
    <row r="2173">
      <c r="A2173" s="6"/>
      <c r="B2173" s="6"/>
      <c r="C2173" s="6"/>
      <c r="D2173" s="6"/>
      <c r="E2173" s="6"/>
      <c r="F2173" s="6"/>
      <c r="G2173" s="6"/>
      <c r="H2173" s="6"/>
      <c r="I2173" s="6"/>
      <c r="J2173" s="6"/>
      <c r="K2173" s="6"/>
      <c r="L2173" s="6"/>
      <c r="M2173" s="6"/>
      <c r="N2173" s="6"/>
      <c r="O2173" s="6"/>
      <c r="P2173" s="6"/>
      <c r="Q2173" s="6"/>
      <c r="R2173" s="6"/>
      <c r="S2173" s="6"/>
      <c r="T2173" s="6"/>
      <c r="U2173" s="6"/>
      <c r="V2173" s="6"/>
      <c r="W2173" s="6"/>
      <c r="X2173" s="6"/>
      <c r="Y2173" s="6"/>
      <c r="Z2173" s="6"/>
      <c r="AA2173" s="6"/>
      <c r="AB2173" s="6"/>
      <c r="AC2173" s="6"/>
      <c r="AD2173" s="6"/>
      <c r="AE2173" s="6"/>
      <c r="AF2173" s="6"/>
      <c r="AG2173" s="6"/>
      <c r="AH2173" s="6"/>
      <c r="AI2173" s="6"/>
      <c r="AJ2173" s="6"/>
      <c r="AK2173" s="6"/>
      <c r="AL2173" s="6"/>
      <c r="AM2173" s="6"/>
    </row>
    <row r="2174">
      <c r="A2174" s="6"/>
      <c r="B2174" s="6"/>
      <c r="C2174" s="6"/>
      <c r="D2174" s="6"/>
      <c r="E2174" s="6"/>
      <c r="F2174" s="6"/>
      <c r="G2174" s="6"/>
      <c r="H2174" s="6"/>
      <c r="I2174" s="6"/>
      <c r="J2174" s="6"/>
      <c r="K2174" s="6"/>
      <c r="L2174" s="6"/>
      <c r="M2174" s="6"/>
      <c r="N2174" s="6"/>
      <c r="O2174" s="6"/>
      <c r="P2174" s="6"/>
      <c r="Q2174" s="6"/>
      <c r="R2174" s="6"/>
      <c r="S2174" s="6"/>
      <c r="T2174" s="6"/>
      <c r="U2174" s="6"/>
      <c r="V2174" s="6"/>
      <c r="W2174" s="6"/>
      <c r="X2174" s="6"/>
      <c r="Y2174" s="6"/>
      <c r="Z2174" s="6"/>
      <c r="AA2174" s="6"/>
      <c r="AB2174" s="6"/>
      <c r="AC2174" s="6"/>
      <c r="AD2174" s="6"/>
      <c r="AE2174" s="6"/>
      <c r="AF2174" s="6"/>
      <c r="AG2174" s="6"/>
      <c r="AH2174" s="6"/>
      <c r="AI2174" s="6"/>
      <c r="AJ2174" s="6"/>
      <c r="AK2174" s="6"/>
      <c r="AL2174" s="6"/>
      <c r="AM2174" s="6"/>
    </row>
    <row r="2175">
      <c r="A2175" s="6"/>
      <c r="B2175" s="6"/>
      <c r="C2175" s="6"/>
      <c r="D2175" s="6"/>
      <c r="E2175" s="6"/>
      <c r="F2175" s="6"/>
      <c r="G2175" s="6"/>
      <c r="H2175" s="6"/>
      <c r="I2175" s="6"/>
      <c r="J2175" s="6"/>
      <c r="K2175" s="6"/>
      <c r="L2175" s="6"/>
      <c r="M2175" s="6"/>
      <c r="N2175" s="6"/>
      <c r="O2175" s="6"/>
      <c r="P2175" s="6"/>
      <c r="Q2175" s="6"/>
      <c r="R2175" s="6"/>
      <c r="S2175" s="6"/>
      <c r="T2175" s="6"/>
      <c r="U2175" s="6"/>
      <c r="V2175" s="6"/>
      <c r="W2175" s="6"/>
      <c r="X2175" s="6"/>
      <c r="Y2175" s="6"/>
      <c r="Z2175" s="6"/>
      <c r="AA2175" s="6"/>
      <c r="AB2175" s="6"/>
      <c r="AC2175" s="6"/>
      <c r="AD2175" s="6"/>
      <c r="AE2175" s="6"/>
      <c r="AF2175" s="6"/>
      <c r="AG2175" s="6"/>
      <c r="AH2175" s="6"/>
      <c r="AI2175" s="6"/>
      <c r="AJ2175" s="6"/>
      <c r="AK2175" s="6"/>
      <c r="AL2175" s="6"/>
      <c r="AM2175" s="6"/>
    </row>
    <row r="2176">
      <c r="A2176" s="6"/>
      <c r="B2176" s="6"/>
      <c r="C2176" s="6"/>
      <c r="D2176" s="6"/>
      <c r="E2176" s="6"/>
      <c r="F2176" s="6"/>
      <c r="G2176" s="6"/>
      <c r="H2176" s="6"/>
      <c r="I2176" s="6"/>
      <c r="J2176" s="6"/>
      <c r="K2176" s="6"/>
      <c r="L2176" s="6"/>
      <c r="M2176" s="6"/>
      <c r="N2176" s="6"/>
      <c r="O2176" s="6"/>
      <c r="P2176" s="6"/>
      <c r="Q2176" s="6"/>
      <c r="R2176" s="6"/>
      <c r="S2176" s="6"/>
      <c r="T2176" s="6"/>
      <c r="U2176" s="6"/>
      <c r="V2176" s="6"/>
      <c r="W2176" s="6"/>
      <c r="X2176" s="6"/>
      <c r="Y2176" s="6"/>
      <c r="Z2176" s="6"/>
      <c r="AA2176" s="6"/>
      <c r="AB2176" s="6"/>
      <c r="AC2176" s="6"/>
      <c r="AD2176" s="6"/>
      <c r="AE2176" s="6"/>
      <c r="AF2176" s="6"/>
      <c r="AG2176" s="6"/>
      <c r="AH2176" s="6"/>
      <c r="AI2176" s="6"/>
      <c r="AJ2176" s="6"/>
      <c r="AK2176" s="6"/>
      <c r="AL2176" s="6"/>
      <c r="AM2176" s="6"/>
    </row>
    <row r="2177">
      <c r="A2177" s="6"/>
      <c r="B2177" s="6"/>
      <c r="C2177" s="6"/>
      <c r="D2177" s="6"/>
      <c r="E2177" s="6"/>
      <c r="F2177" s="6"/>
      <c r="G2177" s="6"/>
      <c r="H2177" s="6"/>
      <c r="I2177" s="6"/>
      <c r="J2177" s="6"/>
      <c r="K2177" s="6"/>
      <c r="L2177" s="6"/>
      <c r="M2177" s="6"/>
      <c r="N2177" s="6"/>
      <c r="O2177" s="6"/>
      <c r="P2177" s="6"/>
      <c r="Q2177" s="6"/>
      <c r="R2177" s="6"/>
      <c r="S2177" s="6"/>
      <c r="T2177" s="6"/>
      <c r="U2177" s="6"/>
      <c r="V2177" s="6"/>
      <c r="W2177" s="6"/>
      <c r="X2177" s="6"/>
      <c r="Y2177" s="6"/>
      <c r="Z2177" s="6"/>
      <c r="AA2177" s="6"/>
      <c r="AB2177" s="6"/>
      <c r="AC2177" s="6"/>
      <c r="AD2177" s="6"/>
      <c r="AE2177" s="6"/>
      <c r="AF2177" s="6"/>
      <c r="AG2177" s="6"/>
      <c r="AH2177" s="6"/>
      <c r="AI2177" s="6"/>
      <c r="AJ2177" s="6"/>
      <c r="AK2177" s="6"/>
      <c r="AL2177" s="6"/>
      <c r="AM2177" s="6"/>
    </row>
    <row r="2178">
      <c r="A2178" s="6"/>
      <c r="B2178" s="6"/>
      <c r="C2178" s="6"/>
      <c r="D2178" s="6"/>
      <c r="E2178" s="6"/>
      <c r="F2178" s="6"/>
      <c r="G2178" s="6"/>
      <c r="H2178" s="6"/>
      <c r="I2178" s="6"/>
      <c r="J2178" s="6"/>
      <c r="K2178" s="6"/>
      <c r="L2178" s="6"/>
      <c r="M2178" s="6"/>
      <c r="N2178" s="6"/>
      <c r="O2178" s="6"/>
      <c r="P2178" s="6"/>
      <c r="Q2178" s="6"/>
      <c r="R2178" s="6"/>
      <c r="S2178" s="6"/>
      <c r="T2178" s="6"/>
      <c r="U2178" s="6"/>
      <c r="V2178" s="6"/>
      <c r="W2178" s="6"/>
      <c r="X2178" s="6"/>
      <c r="Y2178" s="6"/>
      <c r="Z2178" s="6"/>
      <c r="AA2178" s="6"/>
      <c r="AB2178" s="6"/>
      <c r="AC2178" s="6"/>
      <c r="AD2178" s="6"/>
      <c r="AE2178" s="6"/>
      <c r="AF2178" s="6"/>
      <c r="AG2178" s="6"/>
      <c r="AH2178" s="6"/>
      <c r="AI2178" s="6"/>
      <c r="AJ2178" s="6"/>
      <c r="AK2178" s="6"/>
      <c r="AL2178" s="6"/>
      <c r="AM2178" s="6"/>
    </row>
    <row r="2179">
      <c r="A2179" s="6"/>
      <c r="B2179" s="6"/>
      <c r="C2179" s="6"/>
      <c r="D2179" s="6"/>
      <c r="E2179" s="6"/>
      <c r="F2179" s="6"/>
      <c r="G2179" s="6"/>
      <c r="H2179" s="6"/>
      <c r="I2179" s="6"/>
      <c r="J2179" s="6"/>
      <c r="K2179" s="6"/>
      <c r="L2179" s="6"/>
      <c r="M2179" s="6"/>
      <c r="N2179" s="6"/>
      <c r="O2179" s="6"/>
      <c r="P2179" s="6"/>
      <c r="Q2179" s="6"/>
      <c r="R2179" s="6"/>
      <c r="S2179" s="6"/>
      <c r="T2179" s="6"/>
      <c r="U2179" s="6"/>
      <c r="V2179" s="6"/>
      <c r="W2179" s="6"/>
      <c r="X2179" s="6"/>
      <c r="Y2179" s="6"/>
      <c r="Z2179" s="6"/>
      <c r="AA2179" s="6"/>
      <c r="AB2179" s="6"/>
      <c r="AC2179" s="6"/>
      <c r="AD2179" s="6"/>
      <c r="AE2179" s="6"/>
      <c r="AF2179" s="6"/>
      <c r="AG2179" s="6"/>
      <c r="AH2179" s="6"/>
      <c r="AI2179" s="6"/>
      <c r="AJ2179" s="6"/>
      <c r="AK2179" s="6"/>
      <c r="AL2179" s="6"/>
      <c r="AM2179" s="6"/>
    </row>
    <row r="2180">
      <c r="A2180" s="6"/>
      <c r="B2180" s="6"/>
      <c r="C2180" s="6"/>
      <c r="D2180" s="6"/>
      <c r="E2180" s="6"/>
      <c r="F2180" s="6"/>
      <c r="G2180" s="6"/>
      <c r="H2180" s="6"/>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c r="AG2180" s="6"/>
      <c r="AH2180" s="6"/>
      <c r="AI2180" s="6"/>
      <c r="AJ2180" s="6"/>
      <c r="AK2180" s="6"/>
      <c r="AL2180" s="6"/>
      <c r="AM2180" s="6"/>
    </row>
    <row r="2181">
      <c r="A2181" s="6"/>
      <c r="B2181" s="6"/>
      <c r="C2181" s="6"/>
      <c r="D2181" s="6"/>
      <c r="E2181" s="6"/>
      <c r="F2181" s="6"/>
      <c r="G2181" s="6"/>
      <c r="H2181" s="6"/>
      <c r="I2181" s="6"/>
      <c r="J2181" s="6"/>
      <c r="K2181" s="6"/>
      <c r="L2181" s="6"/>
      <c r="M2181" s="6"/>
      <c r="N2181" s="6"/>
      <c r="O2181" s="6"/>
      <c r="P2181" s="6"/>
      <c r="Q2181" s="6"/>
      <c r="R2181" s="6"/>
      <c r="S2181" s="6"/>
      <c r="T2181" s="6"/>
      <c r="U2181" s="6"/>
      <c r="V2181" s="6"/>
      <c r="W2181" s="6"/>
      <c r="X2181" s="6"/>
      <c r="Y2181" s="6"/>
      <c r="Z2181" s="6"/>
      <c r="AA2181" s="6"/>
      <c r="AB2181" s="6"/>
      <c r="AC2181" s="6"/>
      <c r="AD2181" s="6"/>
      <c r="AE2181" s="6"/>
      <c r="AF2181" s="6"/>
      <c r="AG2181" s="6"/>
      <c r="AH2181" s="6"/>
      <c r="AI2181" s="6"/>
      <c r="AJ2181" s="6"/>
      <c r="AK2181" s="6"/>
      <c r="AL2181" s="6"/>
      <c r="AM2181" s="6"/>
    </row>
    <row r="2182">
      <c r="A2182" s="6"/>
      <c r="B2182" s="6"/>
      <c r="C2182" s="6"/>
      <c r="D2182" s="6"/>
      <c r="E2182" s="6"/>
      <c r="F2182" s="6"/>
      <c r="G2182" s="6"/>
      <c r="H2182" s="6"/>
      <c r="I2182" s="6"/>
      <c r="J2182" s="6"/>
      <c r="K2182" s="6"/>
      <c r="L2182" s="6"/>
      <c r="M2182" s="6"/>
      <c r="N2182" s="6"/>
      <c r="O2182" s="6"/>
      <c r="P2182" s="6"/>
      <c r="Q2182" s="6"/>
      <c r="R2182" s="6"/>
      <c r="S2182" s="6"/>
      <c r="T2182" s="6"/>
      <c r="U2182" s="6"/>
      <c r="V2182" s="6"/>
      <c r="W2182" s="6"/>
      <c r="X2182" s="6"/>
      <c r="Y2182" s="6"/>
      <c r="Z2182" s="6"/>
      <c r="AA2182" s="6"/>
      <c r="AB2182" s="6"/>
      <c r="AC2182" s="6"/>
      <c r="AD2182" s="6"/>
      <c r="AE2182" s="6"/>
      <c r="AF2182" s="6"/>
      <c r="AG2182" s="6"/>
      <c r="AH2182" s="6"/>
      <c r="AI2182" s="6"/>
      <c r="AJ2182" s="6"/>
      <c r="AK2182" s="6"/>
      <c r="AL2182" s="6"/>
      <c r="AM2182" s="6"/>
    </row>
    <row r="2183">
      <c r="A2183" s="6"/>
      <c r="B2183" s="6"/>
      <c r="C2183" s="6"/>
      <c r="D2183" s="6"/>
      <c r="E2183" s="6"/>
      <c r="F2183" s="6"/>
      <c r="G2183" s="6"/>
      <c r="H2183" s="6"/>
      <c r="I2183" s="6"/>
      <c r="J2183" s="6"/>
      <c r="K2183" s="6"/>
      <c r="L2183" s="6"/>
      <c r="M2183" s="6"/>
      <c r="N2183" s="6"/>
      <c r="O2183" s="6"/>
      <c r="P2183" s="6"/>
      <c r="Q2183" s="6"/>
      <c r="R2183" s="6"/>
      <c r="S2183" s="6"/>
      <c r="T2183" s="6"/>
      <c r="U2183" s="6"/>
      <c r="V2183" s="6"/>
      <c r="W2183" s="6"/>
      <c r="X2183" s="6"/>
      <c r="Y2183" s="6"/>
      <c r="Z2183" s="6"/>
      <c r="AA2183" s="6"/>
      <c r="AB2183" s="6"/>
      <c r="AC2183" s="6"/>
      <c r="AD2183" s="6"/>
      <c r="AE2183" s="6"/>
      <c r="AF2183" s="6"/>
      <c r="AG2183" s="6"/>
      <c r="AH2183" s="6"/>
      <c r="AI2183" s="6"/>
      <c r="AJ2183" s="6"/>
      <c r="AK2183" s="6"/>
      <c r="AL2183" s="6"/>
      <c r="AM2183" s="6"/>
    </row>
    <row r="2184">
      <c r="A2184" s="6"/>
      <c r="B2184" s="6"/>
      <c r="C2184" s="6"/>
      <c r="D2184" s="6"/>
      <c r="E2184" s="6"/>
      <c r="F2184" s="6"/>
      <c r="G2184" s="6"/>
      <c r="H2184" s="6"/>
      <c r="I2184" s="6"/>
      <c r="J2184" s="6"/>
      <c r="K2184" s="6"/>
      <c r="L2184" s="6"/>
      <c r="M2184" s="6"/>
      <c r="N2184" s="6"/>
      <c r="O2184" s="6"/>
      <c r="P2184" s="6"/>
      <c r="Q2184" s="6"/>
      <c r="R2184" s="6"/>
      <c r="S2184" s="6"/>
      <c r="T2184" s="6"/>
      <c r="U2184" s="6"/>
      <c r="V2184" s="6"/>
      <c r="W2184" s="6"/>
      <c r="X2184" s="6"/>
      <c r="Y2184" s="6"/>
      <c r="Z2184" s="6"/>
      <c r="AA2184" s="6"/>
      <c r="AB2184" s="6"/>
      <c r="AC2184" s="6"/>
      <c r="AD2184" s="6"/>
      <c r="AE2184" s="6"/>
      <c r="AF2184" s="6"/>
      <c r="AG2184" s="6"/>
      <c r="AH2184" s="6"/>
      <c r="AI2184" s="6"/>
      <c r="AJ2184" s="6"/>
      <c r="AK2184" s="6"/>
      <c r="AL2184" s="6"/>
      <c r="AM2184" s="6"/>
    </row>
    <row r="2185">
      <c r="A2185" s="6"/>
      <c r="B2185" s="6"/>
      <c r="C2185" s="6"/>
      <c r="D2185" s="6"/>
      <c r="E2185" s="6"/>
      <c r="F2185" s="6"/>
      <c r="G2185" s="6"/>
      <c r="H2185" s="6"/>
      <c r="I2185" s="6"/>
      <c r="J2185" s="6"/>
      <c r="K2185" s="6"/>
      <c r="L2185" s="6"/>
      <c r="M2185" s="6"/>
      <c r="N2185" s="6"/>
      <c r="O2185" s="6"/>
      <c r="P2185" s="6"/>
      <c r="Q2185" s="6"/>
      <c r="R2185" s="6"/>
      <c r="S2185" s="6"/>
      <c r="T2185" s="6"/>
      <c r="U2185" s="6"/>
      <c r="V2185" s="6"/>
      <c r="W2185" s="6"/>
      <c r="X2185" s="6"/>
      <c r="Y2185" s="6"/>
      <c r="Z2185" s="6"/>
      <c r="AA2185" s="6"/>
      <c r="AB2185" s="6"/>
      <c r="AC2185" s="6"/>
      <c r="AD2185" s="6"/>
      <c r="AE2185" s="6"/>
      <c r="AF2185" s="6"/>
      <c r="AG2185" s="6"/>
      <c r="AH2185" s="6"/>
      <c r="AI2185" s="6"/>
      <c r="AJ2185" s="6"/>
      <c r="AK2185" s="6"/>
      <c r="AL2185" s="6"/>
      <c r="AM2185" s="6"/>
    </row>
    <row r="2186">
      <c r="A2186" s="6"/>
      <c r="B2186" s="6"/>
      <c r="C2186" s="6"/>
      <c r="D2186" s="6"/>
      <c r="E2186" s="6"/>
      <c r="F2186" s="6"/>
      <c r="G2186" s="6"/>
      <c r="H2186" s="6"/>
      <c r="I2186" s="6"/>
      <c r="J2186" s="6"/>
      <c r="K2186" s="6"/>
      <c r="L2186" s="6"/>
      <c r="M2186" s="6"/>
      <c r="N2186" s="6"/>
      <c r="O2186" s="6"/>
      <c r="P2186" s="6"/>
      <c r="Q2186" s="6"/>
      <c r="R2186" s="6"/>
      <c r="S2186" s="6"/>
      <c r="T2186" s="6"/>
      <c r="U2186" s="6"/>
      <c r="V2186" s="6"/>
      <c r="W2186" s="6"/>
      <c r="X2186" s="6"/>
      <c r="Y2186" s="6"/>
      <c r="Z2186" s="6"/>
      <c r="AA2186" s="6"/>
      <c r="AB2186" s="6"/>
      <c r="AC2186" s="6"/>
      <c r="AD2186" s="6"/>
      <c r="AE2186" s="6"/>
      <c r="AF2186" s="6"/>
      <c r="AG2186" s="6"/>
      <c r="AH2186" s="6"/>
      <c r="AI2186" s="6"/>
      <c r="AJ2186" s="6"/>
      <c r="AK2186" s="6"/>
      <c r="AL2186" s="6"/>
      <c r="AM2186" s="6"/>
    </row>
    <row r="2187">
      <c r="A2187" s="6"/>
      <c r="B2187" s="6"/>
      <c r="C2187" s="6"/>
      <c r="D2187" s="6"/>
      <c r="E2187" s="6"/>
      <c r="F2187" s="6"/>
      <c r="G2187" s="6"/>
      <c r="H2187" s="6"/>
      <c r="I2187" s="6"/>
      <c r="J2187" s="6"/>
      <c r="K2187" s="6"/>
      <c r="L2187" s="6"/>
      <c r="M2187" s="6"/>
      <c r="N2187" s="6"/>
      <c r="O2187" s="6"/>
      <c r="P2187" s="6"/>
      <c r="Q2187" s="6"/>
      <c r="R2187" s="6"/>
      <c r="S2187" s="6"/>
      <c r="T2187" s="6"/>
      <c r="U2187" s="6"/>
      <c r="V2187" s="6"/>
      <c r="W2187" s="6"/>
      <c r="X2187" s="6"/>
      <c r="Y2187" s="6"/>
      <c r="Z2187" s="6"/>
      <c r="AA2187" s="6"/>
      <c r="AB2187" s="6"/>
      <c r="AC2187" s="6"/>
      <c r="AD2187" s="6"/>
      <c r="AE2187" s="6"/>
      <c r="AF2187" s="6"/>
      <c r="AG2187" s="6"/>
      <c r="AH2187" s="6"/>
      <c r="AI2187" s="6"/>
      <c r="AJ2187" s="6"/>
      <c r="AK2187" s="6"/>
      <c r="AL2187" s="6"/>
      <c r="AM2187" s="6"/>
    </row>
    <row r="2188">
      <c r="A2188" s="6"/>
      <c r="B2188" s="6"/>
      <c r="C2188" s="6"/>
      <c r="D2188" s="6"/>
      <c r="E2188" s="6"/>
      <c r="F2188" s="6"/>
      <c r="G2188" s="6"/>
      <c r="H2188" s="6"/>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c r="AG2188" s="6"/>
      <c r="AH2188" s="6"/>
      <c r="AI2188" s="6"/>
      <c r="AJ2188" s="6"/>
      <c r="AK2188" s="6"/>
      <c r="AL2188" s="6"/>
      <c r="AM2188" s="6"/>
    </row>
    <row r="2189">
      <c r="A2189" s="6"/>
      <c r="B2189" s="6"/>
      <c r="C2189" s="6"/>
      <c r="D2189" s="6"/>
      <c r="E2189" s="6"/>
      <c r="F2189" s="6"/>
      <c r="G2189" s="6"/>
      <c r="H2189" s="6"/>
      <c r="I2189" s="6"/>
      <c r="J2189" s="6"/>
      <c r="K2189" s="6"/>
      <c r="L2189" s="6"/>
      <c r="M2189" s="6"/>
      <c r="N2189" s="6"/>
      <c r="O2189" s="6"/>
      <c r="P2189" s="6"/>
      <c r="Q2189" s="6"/>
      <c r="R2189" s="6"/>
      <c r="S2189" s="6"/>
      <c r="T2189" s="6"/>
      <c r="U2189" s="6"/>
      <c r="V2189" s="6"/>
      <c r="W2189" s="6"/>
      <c r="X2189" s="6"/>
      <c r="Y2189" s="6"/>
      <c r="Z2189" s="6"/>
      <c r="AA2189" s="6"/>
      <c r="AB2189" s="6"/>
      <c r="AC2189" s="6"/>
      <c r="AD2189" s="6"/>
      <c r="AE2189" s="6"/>
      <c r="AF2189" s="6"/>
      <c r="AG2189" s="6"/>
      <c r="AH2189" s="6"/>
      <c r="AI2189" s="6"/>
      <c r="AJ2189" s="6"/>
      <c r="AK2189" s="6"/>
      <c r="AL2189" s="6"/>
      <c r="AM2189" s="6"/>
    </row>
    <row r="2190">
      <c r="A2190" s="6"/>
      <c r="B2190" s="6"/>
      <c r="C2190" s="6"/>
      <c r="D2190" s="6"/>
      <c r="E2190" s="6"/>
      <c r="F2190" s="6"/>
      <c r="G2190" s="6"/>
      <c r="H2190" s="6"/>
      <c r="I2190" s="6"/>
      <c r="J2190" s="6"/>
      <c r="K2190" s="6"/>
      <c r="L2190" s="6"/>
      <c r="M2190" s="6"/>
      <c r="N2190" s="6"/>
      <c r="O2190" s="6"/>
      <c r="P2190" s="6"/>
      <c r="Q2190" s="6"/>
      <c r="R2190" s="6"/>
      <c r="S2190" s="6"/>
      <c r="T2190" s="6"/>
      <c r="U2190" s="6"/>
      <c r="V2190" s="6"/>
      <c r="W2190" s="6"/>
      <c r="X2190" s="6"/>
      <c r="Y2190" s="6"/>
      <c r="Z2190" s="6"/>
      <c r="AA2190" s="6"/>
      <c r="AB2190" s="6"/>
      <c r="AC2190" s="6"/>
      <c r="AD2190" s="6"/>
      <c r="AE2190" s="6"/>
      <c r="AF2190" s="6"/>
      <c r="AG2190" s="6"/>
      <c r="AH2190" s="6"/>
      <c r="AI2190" s="6"/>
      <c r="AJ2190" s="6"/>
      <c r="AK2190" s="6"/>
      <c r="AL2190" s="6"/>
      <c r="AM2190" s="6"/>
    </row>
    <row r="2191">
      <c r="A2191" s="6"/>
      <c r="B2191" s="6"/>
      <c r="C2191" s="6"/>
      <c r="D2191" s="6"/>
      <c r="E2191" s="6"/>
      <c r="F2191" s="6"/>
      <c r="G2191" s="6"/>
      <c r="H2191" s="6"/>
      <c r="I2191" s="6"/>
      <c r="J2191" s="6"/>
      <c r="K2191" s="6"/>
      <c r="L2191" s="6"/>
      <c r="M2191" s="6"/>
      <c r="N2191" s="6"/>
      <c r="O2191" s="6"/>
      <c r="P2191" s="6"/>
      <c r="Q2191" s="6"/>
      <c r="R2191" s="6"/>
      <c r="S2191" s="6"/>
      <c r="T2191" s="6"/>
      <c r="U2191" s="6"/>
      <c r="V2191" s="6"/>
      <c r="W2191" s="6"/>
      <c r="X2191" s="6"/>
      <c r="Y2191" s="6"/>
      <c r="Z2191" s="6"/>
      <c r="AA2191" s="6"/>
      <c r="AB2191" s="6"/>
      <c r="AC2191" s="6"/>
      <c r="AD2191" s="6"/>
      <c r="AE2191" s="6"/>
      <c r="AF2191" s="6"/>
      <c r="AG2191" s="6"/>
      <c r="AH2191" s="6"/>
      <c r="AI2191" s="6"/>
      <c r="AJ2191" s="6"/>
      <c r="AK2191" s="6"/>
      <c r="AL2191" s="6"/>
      <c r="AM2191" s="6"/>
    </row>
    <row r="2192">
      <c r="A2192" s="6"/>
      <c r="B2192" s="6"/>
      <c r="C2192" s="6"/>
      <c r="D2192" s="6"/>
      <c r="E2192" s="6"/>
      <c r="F2192" s="6"/>
      <c r="G2192" s="6"/>
      <c r="H2192" s="6"/>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c r="AG2192" s="6"/>
      <c r="AH2192" s="6"/>
      <c r="AI2192" s="6"/>
      <c r="AJ2192" s="6"/>
      <c r="AK2192" s="6"/>
      <c r="AL2192" s="6"/>
      <c r="AM2192" s="6"/>
    </row>
    <row r="2193">
      <c r="A2193" s="6"/>
      <c r="B2193" s="6"/>
      <c r="C2193" s="6"/>
      <c r="D2193" s="6"/>
      <c r="E2193" s="6"/>
      <c r="F2193" s="6"/>
      <c r="G2193" s="6"/>
      <c r="H2193" s="6"/>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c r="AG2193" s="6"/>
      <c r="AH2193" s="6"/>
      <c r="AI2193" s="6"/>
      <c r="AJ2193" s="6"/>
      <c r="AK2193" s="6"/>
      <c r="AL2193" s="6"/>
      <c r="AM2193" s="6"/>
    </row>
    <row r="2194">
      <c r="A2194" s="6"/>
      <c r="B2194" s="6"/>
      <c r="C2194" s="6"/>
      <c r="D2194" s="6"/>
      <c r="E2194" s="6"/>
      <c r="F2194" s="6"/>
      <c r="G2194" s="6"/>
      <c r="H2194" s="6"/>
      <c r="I2194" s="6"/>
      <c r="J2194" s="6"/>
      <c r="K2194" s="6"/>
      <c r="L2194" s="6"/>
      <c r="M2194" s="6"/>
      <c r="N2194" s="6"/>
      <c r="O2194" s="6"/>
      <c r="P2194" s="6"/>
      <c r="Q2194" s="6"/>
      <c r="R2194" s="6"/>
      <c r="S2194" s="6"/>
      <c r="T2194" s="6"/>
      <c r="U2194" s="6"/>
      <c r="V2194" s="6"/>
      <c r="W2194" s="6"/>
      <c r="X2194" s="6"/>
      <c r="Y2194" s="6"/>
      <c r="Z2194" s="6"/>
      <c r="AA2194" s="6"/>
      <c r="AB2194" s="6"/>
      <c r="AC2194" s="6"/>
      <c r="AD2194" s="6"/>
      <c r="AE2194" s="6"/>
      <c r="AF2194" s="6"/>
      <c r="AG2194" s="6"/>
      <c r="AH2194" s="6"/>
      <c r="AI2194" s="6"/>
      <c r="AJ2194" s="6"/>
      <c r="AK2194" s="6"/>
      <c r="AL2194" s="6"/>
      <c r="AM2194" s="6"/>
    </row>
    <row r="2195">
      <c r="A2195" s="6"/>
      <c r="B2195" s="6"/>
      <c r="C2195" s="6"/>
      <c r="D2195" s="6"/>
      <c r="E2195" s="6"/>
      <c r="F2195" s="6"/>
      <c r="G2195" s="6"/>
      <c r="H2195" s="6"/>
      <c r="I2195" s="6"/>
      <c r="J2195" s="6"/>
      <c r="K2195" s="6"/>
      <c r="L2195" s="6"/>
      <c r="M2195" s="6"/>
      <c r="N2195" s="6"/>
      <c r="O2195" s="6"/>
      <c r="P2195" s="6"/>
      <c r="Q2195" s="6"/>
      <c r="R2195" s="6"/>
      <c r="S2195" s="6"/>
      <c r="T2195" s="6"/>
      <c r="U2195" s="6"/>
      <c r="V2195" s="6"/>
      <c r="W2195" s="6"/>
      <c r="X2195" s="6"/>
      <c r="Y2195" s="6"/>
      <c r="Z2195" s="6"/>
      <c r="AA2195" s="6"/>
      <c r="AB2195" s="6"/>
      <c r="AC2195" s="6"/>
      <c r="AD2195" s="6"/>
      <c r="AE2195" s="6"/>
      <c r="AF2195" s="6"/>
      <c r="AG2195" s="6"/>
      <c r="AH2195" s="6"/>
      <c r="AI2195" s="6"/>
      <c r="AJ2195" s="6"/>
      <c r="AK2195" s="6"/>
      <c r="AL2195" s="6"/>
      <c r="AM2195" s="6"/>
    </row>
    <row r="2196">
      <c r="A2196" s="6"/>
      <c r="B2196" s="6"/>
      <c r="C2196" s="6"/>
      <c r="D2196" s="6"/>
      <c r="E2196" s="6"/>
      <c r="F2196" s="6"/>
      <c r="G2196" s="6"/>
      <c r="H2196" s="6"/>
      <c r="I2196" s="6"/>
      <c r="J2196" s="6"/>
      <c r="K2196" s="6"/>
      <c r="L2196" s="6"/>
      <c r="M2196" s="6"/>
      <c r="N2196" s="6"/>
      <c r="O2196" s="6"/>
      <c r="P2196" s="6"/>
      <c r="Q2196" s="6"/>
      <c r="R2196" s="6"/>
      <c r="S2196" s="6"/>
      <c r="T2196" s="6"/>
      <c r="U2196" s="6"/>
      <c r="V2196" s="6"/>
      <c r="W2196" s="6"/>
      <c r="X2196" s="6"/>
      <c r="Y2196" s="6"/>
      <c r="Z2196" s="6"/>
      <c r="AA2196" s="6"/>
      <c r="AB2196" s="6"/>
      <c r="AC2196" s="6"/>
      <c r="AD2196" s="6"/>
      <c r="AE2196" s="6"/>
      <c r="AF2196" s="6"/>
      <c r="AG2196" s="6"/>
      <c r="AH2196" s="6"/>
      <c r="AI2196" s="6"/>
      <c r="AJ2196" s="6"/>
      <c r="AK2196" s="6"/>
      <c r="AL2196" s="6"/>
      <c r="AM2196" s="6"/>
    </row>
    <row r="2197">
      <c r="A2197" s="6"/>
      <c r="B2197" s="6"/>
      <c r="C2197" s="6"/>
      <c r="D2197" s="6"/>
      <c r="E2197" s="6"/>
      <c r="F2197" s="6"/>
      <c r="G2197" s="6"/>
      <c r="H2197" s="6"/>
      <c r="I2197" s="6"/>
      <c r="J2197" s="6"/>
      <c r="K2197" s="6"/>
      <c r="L2197" s="6"/>
      <c r="M2197" s="6"/>
      <c r="N2197" s="6"/>
      <c r="O2197" s="6"/>
      <c r="P2197" s="6"/>
      <c r="Q2197" s="6"/>
      <c r="R2197" s="6"/>
      <c r="S2197" s="6"/>
      <c r="T2197" s="6"/>
      <c r="U2197" s="6"/>
      <c r="V2197" s="6"/>
      <c r="W2197" s="6"/>
      <c r="X2197" s="6"/>
      <c r="Y2197" s="6"/>
      <c r="Z2197" s="6"/>
      <c r="AA2197" s="6"/>
      <c r="AB2197" s="6"/>
      <c r="AC2197" s="6"/>
      <c r="AD2197" s="6"/>
      <c r="AE2197" s="6"/>
      <c r="AF2197" s="6"/>
      <c r="AG2197" s="6"/>
      <c r="AH2197" s="6"/>
      <c r="AI2197" s="6"/>
      <c r="AJ2197" s="6"/>
      <c r="AK2197" s="6"/>
      <c r="AL2197" s="6"/>
      <c r="AM2197" s="6"/>
    </row>
    <row r="2198">
      <c r="A2198" s="6"/>
      <c r="B2198" s="6"/>
      <c r="C2198" s="6"/>
      <c r="D2198" s="6"/>
      <c r="E2198" s="6"/>
      <c r="F2198" s="6"/>
      <c r="G2198" s="6"/>
      <c r="H2198" s="6"/>
      <c r="I2198" s="6"/>
      <c r="J2198" s="6"/>
      <c r="K2198" s="6"/>
      <c r="L2198" s="6"/>
      <c r="M2198" s="6"/>
      <c r="N2198" s="6"/>
      <c r="O2198" s="6"/>
      <c r="P2198" s="6"/>
      <c r="Q2198" s="6"/>
      <c r="R2198" s="6"/>
      <c r="S2198" s="6"/>
      <c r="T2198" s="6"/>
      <c r="U2198" s="6"/>
      <c r="V2198" s="6"/>
      <c r="W2198" s="6"/>
      <c r="X2198" s="6"/>
      <c r="Y2198" s="6"/>
      <c r="Z2198" s="6"/>
      <c r="AA2198" s="6"/>
      <c r="AB2198" s="6"/>
      <c r="AC2198" s="6"/>
      <c r="AD2198" s="6"/>
      <c r="AE2198" s="6"/>
      <c r="AF2198" s="6"/>
      <c r="AG2198" s="6"/>
      <c r="AH2198" s="6"/>
      <c r="AI2198" s="6"/>
      <c r="AJ2198" s="6"/>
      <c r="AK2198" s="6"/>
      <c r="AL2198" s="6"/>
      <c r="AM2198" s="6"/>
    </row>
    <row r="2199">
      <c r="A2199" s="6"/>
      <c r="B2199" s="6"/>
      <c r="C2199" s="6"/>
      <c r="D2199" s="6"/>
      <c r="E2199" s="6"/>
      <c r="F2199" s="6"/>
      <c r="G2199" s="6"/>
      <c r="H2199" s="6"/>
      <c r="I2199" s="6"/>
      <c r="J2199" s="6"/>
      <c r="K2199" s="6"/>
      <c r="L2199" s="6"/>
      <c r="M2199" s="6"/>
      <c r="N2199" s="6"/>
      <c r="O2199" s="6"/>
      <c r="P2199" s="6"/>
      <c r="Q2199" s="6"/>
      <c r="R2199" s="6"/>
      <c r="S2199" s="6"/>
      <c r="T2199" s="6"/>
      <c r="U2199" s="6"/>
      <c r="V2199" s="6"/>
      <c r="W2199" s="6"/>
      <c r="X2199" s="6"/>
      <c r="Y2199" s="6"/>
      <c r="Z2199" s="6"/>
      <c r="AA2199" s="6"/>
      <c r="AB2199" s="6"/>
      <c r="AC2199" s="6"/>
      <c r="AD2199" s="6"/>
      <c r="AE2199" s="6"/>
      <c r="AF2199" s="6"/>
      <c r="AG2199" s="6"/>
      <c r="AH2199" s="6"/>
      <c r="AI2199" s="6"/>
      <c r="AJ2199" s="6"/>
      <c r="AK2199" s="6"/>
      <c r="AL2199" s="6"/>
      <c r="AM2199" s="6"/>
    </row>
    <row r="2200">
      <c r="A2200" s="6"/>
      <c r="B2200" s="6"/>
      <c r="C2200" s="6"/>
      <c r="D2200" s="6"/>
      <c r="E2200" s="6"/>
      <c r="F2200" s="6"/>
      <c r="G2200" s="6"/>
      <c r="H2200" s="6"/>
      <c r="I2200" s="6"/>
      <c r="J2200" s="6"/>
      <c r="K2200" s="6"/>
      <c r="L2200" s="6"/>
      <c r="M2200" s="6"/>
      <c r="N2200" s="6"/>
      <c r="O2200" s="6"/>
      <c r="P2200" s="6"/>
      <c r="Q2200" s="6"/>
      <c r="R2200" s="6"/>
      <c r="S2200" s="6"/>
      <c r="T2200" s="6"/>
      <c r="U2200" s="6"/>
      <c r="V2200" s="6"/>
      <c r="W2200" s="6"/>
      <c r="X2200" s="6"/>
      <c r="Y2200" s="6"/>
      <c r="Z2200" s="6"/>
      <c r="AA2200" s="6"/>
      <c r="AB2200" s="6"/>
      <c r="AC2200" s="6"/>
      <c r="AD2200" s="6"/>
      <c r="AE2200" s="6"/>
      <c r="AF2200" s="6"/>
      <c r="AG2200" s="6"/>
      <c r="AH2200" s="6"/>
      <c r="AI2200" s="6"/>
      <c r="AJ2200" s="6"/>
      <c r="AK2200" s="6"/>
      <c r="AL2200" s="6"/>
      <c r="AM2200" s="6"/>
    </row>
    <row r="2201">
      <c r="A2201" s="6"/>
      <c r="B2201" s="6"/>
      <c r="C2201" s="6"/>
      <c r="D2201" s="6"/>
      <c r="E2201" s="6"/>
      <c r="F2201" s="6"/>
      <c r="G2201" s="6"/>
      <c r="H2201" s="6"/>
      <c r="I2201" s="6"/>
      <c r="J2201" s="6"/>
      <c r="K2201" s="6"/>
      <c r="L2201" s="6"/>
      <c r="M2201" s="6"/>
      <c r="N2201" s="6"/>
      <c r="O2201" s="6"/>
      <c r="P2201" s="6"/>
      <c r="Q2201" s="6"/>
      <c r="R2201" s="6"/>
      <c r="S2201" s="6"/>
      <c r="T2201" s="6"/>
      <c r="U2201" s="6"/>
      <c r="V2201" s="6"/>
      <c r="W2201" s="6"/>
      <c r="X2201" s="6"/>
      <c r="Y2201" s="6"/>
      <c r="Z2201" s="6"/>
      <c r="AA2201" s="6"/>
      <c r="AB2201" s="6"/>
      <c r="AC2201" s="6"/>
      <c r="AD2201" s="6"/>
      <c r="AE2201" s="6"/>
      <c r="AF2201" s="6"/>
      <c r="AG2201" s="6"/>
      <c r="AH2201" s="6"/>
      <c r="AI2201" s="6"/>
      <c r="AJ2201" s="6"/>
      <c r="AK2201" s="6"/>
      <c r="AL2201" s="6"/>
      <c r="AM2201" s="6"/>
    </row>
    <row r="2202">
      <c r="A2202" s="6"/>
      <c r="B2202" s="6"/>
      <c r="C2202" s="6"/>
      <c r="D2202" s="6"/>
      <c r="E2202" s="6"/>
      <c r="F2202" s="6"/>
      <c r="G2202" s="6"/>
      <c r="H2202" s="6"/>
      <c r="I2202" s="6"/>
      <c r="J2202" s="6"/>
      <c r="K2202" s="6"/>
      <c r="L2202" s="6"/>
      <c r="M2202" s="6"/>
      <c r="N2202" s="6"/>
      <c r="O2202" s="6"/>
      <c r="P2202" s="6"/>
      <c r="Q2202" s="6"/>
      <c r="R2202" s="6"/>
      <c r="S2202" s="6"/>
      <c r="T2202" s="6"/>
      <c r="U2202" s="6"/>
      <c r="V2202" s="6"/>
      <c r="W2202" s="6"/>
      <c r="X2202" s="6"/>
      <c r="Y2202" s="6"/>
      <c r="Z2202" s="6"/>
      <c r="AA2202" s="6"/>
      <c r="AB2202" s="6"/>
      <c r="AC2202" s="6"/>
      <c r="AD2202" s="6"/>
      <c r="AE2202" s="6"/>
      <c r="AF2202" s="6"/>
      <c r="AG2202" s="6"/>
      <c r="AH2202" s="6"/>
      <c r="AI2202" s="6"/>
      <c r="AJ2202" s="6"/>
      <c r="AK2202" s="6"/>
      <c r="AL2202" s="6"/>
      <c r="AM2202" s="6"/>
    </row>
    <row r="2203">
      <c r="A2203" s="6"/>
      <c r="B2203" s="6"/>
      <c r="C2203" s="6"/>
      <c r="D2203" s="6"/>
      <c r="E2203" s="6"/>
      <c r="F2203" s="6"/>
      <c r="G2203" s="6"/>
      <c r="H2203" s="6"/>
      <c r="I2203" s="6"/>
      <c r="J2203" s="6"/>
      <c r="K2203" s="6"/>
      <c r="L2203" s="6"/>
      <c r="M2203" s="6"/>
      <c r="N2203" s="6"/>
      <c r="O2203" s="6"/>
      <c r="P2203" s="6"/>
      <c r="Q2203" s="6"/>
      <c r="R2203" s="6"/>
      <c r="S2203" s="6"/>
      <c r="T2203" s="6"/>
      <c r="U2203" s="6"/>
      <c r="V2203" s="6"/>
      <c r="W2203" s="6"/>
      <c r="X2203" s="6"/>
      <c r="Y2203" s="6"/>
      <c r="Z2203" s="6"/>
      <c r="AA2203" s="6"/>
      <c r="AB2203" s="6"/>
      <c r="AC2203" s="6"/>
      <c r="AD2203" s="6"/>
      <c r="AE2203" s="6"/>
      <c r="AF2203" s="6"/>
      <c r="AG2203" s="6"/>
      <c r="AH2203" s="6"/>
      <c r="AI2203" s="6"/>
      <c r="AJ2203" s="6"/>
      <c r="AK2203" s="6"/>
      <c r="AL2203" s="6"/>
      <c r="AM2203" s="6"/>
    </row>
    <row r="2204">
      <c r="A2204" s="6"/>
      <c r="B2204" s="6"/>
      <c r="C2204" s="6"/>
      <c r="D2204" s="6"/>
      <c r="E2204" s="6"/>
      <c r="F2204" s="6"/>
      <c r="G2204" s="6"/>
      <c r="H2204" s="6"/>
      <c r="I2204" s="6"/>
      <c r="J2204" s="6"/>
      <c r="K2204" s="6"/>
      <c r="L2204" s="6"/>
      <c r="M2204" s="6"/>
      <c r="N2204" s="6"/>
      <c r="O2204" s="6"/>
      <c r="P2204" s="6"/>
      <c r="Q2204" s="6"/>
      <c r="R2204" s="6"/>
      <c r="S2204" s="6"/>
      <c r="T2204" s="6"/>
      <c r="U2204" s="6"/>
      <c r="V2204" s="6"/>
      <c r="W2204" s="6"/>
      <c r="X2204" s="6"/>
      <c r="Y2204" s="6"/>
      <c r="Z2204" s="6"/>
      <c r="AA2204" s="6"/>
      <c r="AB2204" s="6"/>
      <c r="AC2204" s="6"/>
      <c r="AD2204" s="6"/>
      <c r="AE2204" s="6"/>
      <c r="AF2204" s="6"/>
      <c r="AG2204" s="6"/>
      <c r="AH2204" s="6"/>
      <c r="AI2204" s="6"/>
      <c r="AJ2204" s="6"/>
      <c r="AK2204" s="6"/>
      <c r="AL2204" s="6"/>
      <c r="AM2204" s="6"/>
    </row>
    <row r="2205">
      <c r="A2205" s="6"/>
      <c r="B2205" s="6"/>
      <c r="C2205" s="6"/>
      <c r="D2205" s="6"/>
      <c r="E2205" s="6"/>
      <c r="F2205" s="6"/>
      <c r="G2205" s="6"/>
      <c r="H2205" s="6"/>
      <c r="I2205" s="6"/>
      <c r="J2205" s="6"/>
      <c r="K2205" s="6"/>
      <c r="L2205" s="6"/>
      <c r="M2205" s="6"/>
      <c r="N2205" s="6"/>
      <c r="O2205" s="6"/>
      <c r="P2205" s="6"/>
      <c r="Q2205" s="6"/>
      <c r="R2205" s="6"/>
      <c r="S2205" s="6"/>
      <c r="T2205" s="6"/>
      <c r="U2205" s="6"/>
      <c r="V2205" s="6"/>
      <c r="W2205" s="6"/>
      <c r="X2205" s="6"/>
      <c r="Y2205" s="6"/>
      <c r="Z2205" s="6"/>
      <c r="AA2205" s="6"/>
      <c r="AB2205" s="6"/>
      <c r="AC2205" s="6"/>
      <c r="AD2205" s="6"/>
      <c r="AE2205" s="6"/>
      <c r="AF2205" s="6"/>
      <c r="AG2205" s="6"/>
      <c r="AH2205" s="6"/>
      <c r="AI2205" s="6"/>
      <c r="AJ2205" s="6"/>
      <c r="AK2205" s="6"/>
      <c r="AL2205" s="6"/>
      <c r="AM2205" s="6"/>
    </row>
    <row r="2206">
      <c r="A2206" s="6"/>
      <c r="B2206" s="6"/>
      <c r="C2206" s="6"/>
      <c r="D2206" s="6"/>
      <c r="E2206" s="6"/>
      <c r="F2206" s="6"/>
      <c r="G2206" s="6"/>
      <c r="H2206" s="6"/>
      <c r="I2206" s="6"/>
      <c r="J2206" s="6"/>
      <c r="K2206" s="6"/>
      <c r="L2206" s="6"/>
      <c r="M2206" s="6"/>
      <c r="N2206" s="6"/>
      <c r="O2206" s="6"/>
      <c r="P2206" s="6"/>
      <c r="Q2206" s="6"/>
      <c r="R2206" s="6"/>
      <c r="S2206" s="6"/>
      <c r="T2206" s="6"/>
      <c r="U2206" s="6"/>
      <c r="V2206" s="6"/>
      <c r="W2206" s="6"/>
      <c r="X2206" s="6"/>
      <c r="Y2206" s="6"/>
      <c r="Z2206" s="6"/>
      <c r="AA2206" s="6"/>
      <c r="AB2206" s="6"/>
      <c r="AC2206" s="6"/>
      <c r="AD2206" s="6"/>
      <c r="AE2206" s="6"/>
      <c r="AF2206" s="6"/>
      <c r="AG2206" s="6"/>
      <c r="AH2206" s="6"/>
      <c r="AI2206" s="6"/>
      <c r="AJ2206" s="6"/>
      <c r="AK2206" s="6"/>
      <c r="AL2206" s="6"/>
      <c r="AM2206" s="6"/>
    </row>
    <row r="2207">
      <c r="A2207" s="6"/>
      <c r="B2207" s="6"/>
      <c r="C2207" s="6"/>
      <c r="D2207" s="6"/>
      <c r="E2207" s="6"/>
      <c r="F2207" s="6"/>
      <c r="G2207" s="6"/>
      <c r="H2207" s="6"/>
      <c r="I2207" s="6"/>
      <c r="J2207" s="6"/>
      <c r="K2207" s="6"/>
      <c r="L2207" s="6"/>
      <c r="M2207" s="6"/>
      <c r="N2207" s="6"/>
      <c r="O2207" s="6"/>
      <c r="P2207" s="6"/>
      <c r="Q2207" s="6"/>
      <c r="R2207" s="6"/>
      <c r="S2207" s="6"/>
      <c r="T2207" s="6"/>
      <c r="U2207" s="6"/>
      <c r="V2207" s="6"/>
      <c r="W2207" s="6"/>
      <c r="X2207" s="6"/>
      <c r="Y2207" s="6"/>
      <c r="Z2207" s="6"/>
      <c r="AA2207" s="6"/>
      <c r="AB2207" s="6"/>
      <c r="AC2207" s="6"/>
      <c r="AD2207" s="6"/>
      <c r="AE2207" s="6"/>
      <c r="AF2207" s="6"/>
      <c r="AG2207" s="6"/>
      <c r="AH2207" s="6"/>
      <c r="AI2207" s="6"/>
      <c r="AJ2207" s="6"/>
      <c r="AK2207" s="6"/>
      <c r="AL2207" s="6"/>
      <c r="AM2207" s="6"/>
    </row>
    <row r="2208">
      <c r="A2208" s="6"/>
      <c r="B2208" s="6"/>
      <c r="C2208" s="6"/>
      <c r="D2208" s="6"/>
      <c r="E2208" s="6"/>
      <c r="F2208" s="6"/>
      <c r="G2208" s="6"/>
      <c r="H2208" s="6"/>
      <c r="I2208" s="6"/>
      <c r="J2208" s="6"/>
      <c r="K2208" s="6"/>
      <c r="L2208" s="6"/>
      <c r="M2208" s="6"/>
      <c r="N2208" s="6"/>
      <c r="O2208" s="6"/>
      <c r="P2208" s="6"/>
      <c r="Q2208" s="6"/>
      <c r="R2208" s="6"/>
      <c r="S2208" s="6"/>
      <c r="T2208" s="6"/>
      <c r="U2208" s="6"/>
      <c r="V2208" s="6"/>
      <c r="W2208" s="6"/>
      <c r="X2208" s="6"/>
      <c r="Y2208" s="6"/>
      <c r="Z2208" s="6"/>
      <c r="AA2208" s="6"/>
      <c r="AB2208" s="6"/>
      <c r="AC2208" s="6"/>
      <c r="AD2208" s="6"/>
      <c r="AE2208" s="6"/>
      <c r="AF2208" s="6"/>
      <c r="AG2208" s="6"/>
      <c r="AH2208" s="6"/>
      <c r="AI2208" s="6"/>
      <c r="AJ2208" s="6"/>
      <c r="AK2208" s="6"/>
      <c r="AL2208" s="6"/>
      <c r="AM2208" s="6"/>
    </row>
    <row r="2209">
      <c r="A2209" s="6"/>
      <c r="B2209" s="6"/>
      <c r="C2209" s="6"/>
      <c r="D2209" s="6"/>
      <c r="E2209" s="6"/>
      <c r="F2209" s="6"/>
      <c r="G2209" s="6"/>
      <c r="H2209" s="6"/>
      <c r="I2209" s="6"/>
      <c r="J2209" s="6"/>
      <c r="K2209" s="6"/>
      <c r="L2209" s="6"/>
      <c r="M2209" s="6"/>
      <c r="N2209" s="6"/>
      <c r="O2209" s="6"/>
      <c r="P2209" s="6"/>
      <c r="Q2209" s="6"/>
      <c r="R2209" s="6"/>
      <c r="S2209" s="6"/>
      <c r="T2209" s="6"/>
      <c r="U2209" s="6"/>
      <c r="V2209" s="6"/>
      <c r="W2209" s="6"/>
      <c r="X2209" s="6"/>
      <c r="Y2209" s="6"/>
      <c r="Z2209" s="6"/>
      <c r="AA2209" s="6"/>
      <c r="AB2209" s="6"/>
      <c r="AC2209" s="6"/>
      <c r="AD2209" s="6"/>
      <c r="AE2209" s="6"/>
      <c r="AF2209" s="6"/>
      <c r="AG2209" s="6"/>
      <c r="AH2209" s="6"/>
      <c r="AI2209" s="6"/>
      <c r="AJ2209" s="6"/>
      <c r="AK2209" s="6"/>
      <c r="AL2209" s="6"/>
      <c r="AM2209" s="6"/>
    </row>
    <row r="2210">
      <c r="A2210" s="6"/>
      <c r="B2210" s="6"/>
      <c r="C2210" s="6"/>
      <c r="D2210" s="6"/>
      <c r="E2210" s="6"/>
      <c r="F2210" s="6"/>
      <c r="G2210" s="6"/>
      <c r="H2210" s="6"/>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c r="AG2210" s="6"/>
      <c r="AH2210" s="6"/>
      <c r="AI2210" s="6"/>
      <c r="AJ2210" s="6"/>
      <c r="AK2210" s="6"/>
      <c r="AL2210" s="6"/>
      <c r="AM2210" s="6"/>
    </row>
    <row r="2211">
      <c r="A2211" s="6"/>
      <c r="B2211" s="6"/>
      <c r="C2211" s="6"/>
      <c r="D2211" s="6"/>
      <c r="E2211" s="6"/>
      <c r="F2211" s="6"/>
      <c r="G2211" s="6"/>
      <c r="H2211" s="6"/>
      <c r="I2211" s="6"/>
      <c r="J2211" s="6"/>
      <c r="K2211" s="6"/>
      <c r="L2211" s="6"/>
      <c r="M2211" s="6"/>
      <c r="N2211" s="6"/>
      <c r="O2211" s="6"/>
      <c r="P2211" s="6"/>
      <c r="Q2211" s="6"/>
      <c r="R2211" s="6"/>
      <c r="S2211" s="6"/>
      <c r="T2211" s="6"/>
      <c r="U2211" s="6"/>
      <c r="V2211" s="6"/>
      <c r="W2211" s="6"/>
      <c r="X2211" s="6"/>
      <c r="Y2211" s="6"/>
      <c r="Z2211" s="6"/>
      <c r="AA2211" s="6"/>
      <c r="AB2211" s="6"/>
      <c r="AC2211" s="6"/>
      <c r="AD2211" s="6"/>
      <c r="AE2211" s="6"/>
      <c r="AF2211" s="6"/>
      <c r="AG2211" s="6"/>
      <c r="AH2211" s="6"/>
      <c r="AI2211" s="6"/>
      <c r="AJ2211" s="6"/>
      <c r="AK2211" s="6"/>
      <c r="AL2211" s="6"/>
      <c r="AM2211" s="6"/>
    </row>
    <row r="2212">
      <c r="A2212" s="6"/>
      <c r="B2212" s="6"/>
      <c r="C2212" s="6"/>
      <c r="D2212" s="6"/>
      <c r="E2212" s="6"/>
      <c r="F2212" s="6"/>
      <c r="G2212" s="6"/>
      <c r="H2212" s="6"/>
      <c r="I2212" s="6"/>
      <c r="J2212" s="6"/>
      <c r="K2212" s="6"/>
      <c r="L2212" s="6"/>
      <c r="M2212" s="6"/>
      <c r="N2212" s="6"/>
      <c r="O2212" s="6"/>
      <c r="P2212" s="6"/>
      <c r="Q2212" s="6"/>
      <c r="R2212" s="6"/>
      <c r="S2212" s="6"/>
      <c r="T2212" s="6"/>
      <c r="U2212" s="6"/>
      <c r="V2212" s="6"/>
      <c r="W2212" s="6"/>
      <c r="X2212" s="6"/>
      <c r="Y2212" s="6"/>
      <c r="Z2212" s="6"/>
      <c r="AA2212" s="6"/>
      <c r="AB2212" s="6"/>
      <c r="AC2212" s="6"/>
      <c r="AD2212" s="6"/>
      <c r="AE2212" s="6"/>
      <c r="AF2212" s="6"/>
      <c r="AG2212" s="6"/>
      <c r="AH2212" s="6"/>
      <c r="AI2212" s="6"/>
      <c r="AJ2212" s="6"/>
      <c r="AK2212" s="6"/>
      <c r="AL2212" s="6"/>
      <c r="AM2212" s="6"/>
    </row>
    <row r="2213">
      <c r="A2213" s="6"/>
      <c r="B2213" s="6"/>
      <c r="C2213" s="6"/>
      <c r="D2213" s="6"/>
      <c r="E2213" s="6"/>
      <c r="F2213" s="6"/>
      <c r="G2213" s="6"/>
      <c r="H2213" s="6"/>
      <c r="I2213" s="6"/>
      <c r="J2213" s="6"/>
      <c r="K2213" s="6"/>
      <c r="L2213" s="6"/>
      <c r="M2213" s="6"/>
      <c r="N2213" s="6"/>
      <c r="O2213" s="6"/>
      <c r="P2213" s="6"/>
      <c r="Q2213" s="6"/>
      <c r="R2213" s="6"/>
      <c r="S2213" s="6"/>
      <c r="T2213" s="6"/>
      <c r="U2213" s="6"/>
      <c r="V2213" s="6"/>
      <c r="W2213" s="6"/>
      <c r="X2213" s="6"/>
      <c r="Y2213" s="6"/>
      <c r="Z2213" s="6"/>
      <c r="AA2213" s="6"/>
      <c r="AB2213" s="6"/>
      <c r="AC2213" s="6"/>
      <c r="AD2213" s="6"/>
      <c r="AE2213" s="6"/>
      <c r="AF2213" s="6"/>
      <c r="AG2213" s="6"/>
      <c r="AH2213" s="6"/>
      <c r="AI2213" s="6"/>
      <c r="AJ2213" s="6"/>
      <c r="AK2213" s="6"/>
      <c r="AL2213" s="6"/>
      <c r="AM2213" s="6"/>
    </row>
    <row r="2214">
      <c r="A2214" s="6"/>
      <c r="B2214" s="6"/>
      <c r="C2214" s="6"/>
      <c r="D2214" s="6"/>
      <c r="E2214" s="6"/>
      <c r="F2214" s="6"/>
      <c r="G2214" s="6"/>
      <c r="H2214" s="6"/>
      <c r="I2214" s="6"/>
      <c r="J2214" s="6"/>
      <c r="K2214" s="6"/>
      <c r="L2214" s="6"/>
      <c r="M2214" s="6"/>
      <c r="N2214" s="6"/>
      <c r="O2214" s="6"/>
      <c r="P2214" s="6"/>
      <c r="Q2214" s="6"/>
      <c r="R2214" s="6"/>
      <c r="S2214" s="6"/>
      <c r="T2214" s="6"/>
      <c r="U2214" s="6"/>
      <c r="V2214" s="6"/>
      <c r="W2214" s="6"/>
      <c r="X2214" s="6"/>
      <c r="Y2214" s="6"/>
      <c r="Z2214" s="6"/>
      <c r="AA2214" s="6"/>
      <c r="AB2214" s="6"/>
      <c r="AC2214" s="6"/>
      <c r="AD2214" s="6"/>
      <c r="AE2214" s="6"/>
      <c r="AF2214" s="6"/>
      <c r="AG2214" s="6"/>
      <c r="AH2214" s="6"/>
      <c r="AI2214" s="6"/>
      <c r="AJ2214" s="6"/>
      <c r="AK2214" s="6"/>
      <c r="AL2214" s="6"/>
      <c r="AM2214" s="6"/>
    </row>
    <row r="2215">
      <c r="A2215" s="6"/>
      <c r="B2215" s="6"/>
      <c r="C2215" s="6"/>
      <c r="D2215" s="6"/>
      <c r="E2215" s="6"/>
      <c r="F2215" s="6"/>
      <c r="G2215" s="6"/>
      <c r="H2215" s="6"/>
      <c r="I2215" s="6"/>
      <c r="J2215" s="6"/>
      <c r="K2215" s="6"/>
      <c r="L2215" s="6"/>
      <c r="M2215" s="6"/>
      <c r="N2215" s="6"/>
      <c r="O2215" s="6"/>
      <c r="P2215" s="6"/>
      <c r="Q2215" s="6"/>
      <c r="R2215" s="6"/>
      <c r="S2215" s="6"/>
      <c r="T2215" s="6"/>
      <c r="U2215" s="6"/>
      <c r="V2215" s="6"/>
      <c r="W2215" s="6"/>
      <c r="X2215" s="6"/>
      <c r="Y2215" s="6"/>
      <c r="Z2215" s="6"/>
      <c r="AA2215" s="6"/>
      <c r="AB2215" s="6"/>
      <c r="AC2215" s="6"/>
      <c r="AD2215" s="6"/>
      <c r="AE2215" s="6"/>
      <c r="AF2215" s="6"/>
      <c r="AG2215" s="6"/>
      <c r="AH2215" s="6"/>
      <c r="AI2215" s="6"/>
      <c r="AJ2215" s="6"/>
      <c r="AK2215" s="6"/>
      <c r="AL2215" s="6"/>
      <c r="AM2215" s="6"/>
    </row>
    <row r="2216">
      <c r="A2216" s="6"/>
      <c r="B2216" s="6"/>
      <c r="C2216" s="6"/>
      <c r="D2216" s="6"/>
      <c r="E2216" s="6"/>
      <c r="F2216" s="6"/>
      <c r="G2216" s="6"/>
      <c r="H2216" s="6"/>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c r="AG2216" s="6"/>
      <c r="AH2216" s="6"/>
      <c r="AI2216" s="6"/>
      <c r="AJ2216" s="6"/>
      <c r="AK2216" s="6"/>
      <c r="AL2216" s="6"/>
      <c r="AM2216" s="6"/>
    </row>
    <row r="2217">
      <c r="A2217" s="6"/>
      <c r="B2217" s="6"/>
      <c r="C2217" s="6"/>
      <c r="D2217" s="6"/>
      <c r="E2217" s="6"/>
      <c r="F2217" s="6"/>
      <c r="G2217" s="6"/>
      <c r="H2217" s="6"/>
      <c r="I2217" s="6"/>
      <c r="J2217" s="6"/>
      <c r="K2217" s="6"/>
      <c r="L2217" s="6"/>
      <c r="M2217" s="6"/>
      <c r="N2217" s="6"/>
      <c r="O2217" s="6"/>
      <c r="P2217" s="6"/>
      <c r="Q2217" s="6"/>
      <c r="R2217" s="6"/>
      <c r="S2217" s="6"/>
      <c r="T2217" s="6"/>
      <c r="U2217" s="6"/>
      <c r="V2217" s="6"/>
      <c r="W2217" s="6"/>
      <c r="X2217" s="6"/>
      <c r="Y2217" s="6"/>
      <c r="Z2217" s="6"/>
      <c r="AA2217" s="6"/>
      <c r="AB2217" s="6"/>
      <c r="AC2217" s="6"/>
      <c r="AD2217" s="6"/>
      <c r="AE2217" s="6"/>
      <c r="AF2217" s="6"/>
      <c r="AG2217" s="6"/>
      <c r="AH2217" s="6"/>
      <c r="AI2217" s="6"/>
      <c r="AJ2217" s="6"/>
      <c r="AK2217" s="6"/>
      <c r="AL2217" s="6"/>
      <c r="AM2217" s="6"/>
    </row>
    <row r="2218">
      <c r="A2218" s="6"/>
      <c r="B2218" s="6"/>
      <c r="C2218" s="6"/>
      <c r="D2218" s="6"/>
      <c r="E2218" s="6"/>
      <c r="F2218" s="6"/>
      <c r="G2218" s="6"/>
      <c r="H2218" s="6"/>
      <c r="I2218" s="6"/>
      <c r="J2218" s="6"/>
      <c r="K2218" s="6"/>
      <c r="L2218" s="6"/>
      <c r="M2218" s="6"/>
      <c r="N2218" s="6"/>
      <c r="O2218" s="6"/>
      <c r="P2218" s="6"/>
      <c r="Q2218" s="6"/>
      <c r="R2218" s="6"/>
      <c r="S2218" s="6"/>
      <c r="T2218" s="6"/>
      <c r="U2218" s="6"/>
      <c r="V2218" s="6"/>
      <c r="W2218" s="6"/>
      <c r="X2218" s="6"/>
      <c r="Y2218" s="6"/>
      <c r="Z2218" s="6"/>
      <c r="AA2218" s="6"/>
      <c r="AB2218" s="6"/>
      <c r="AC2218" s="6"/>
      <c r="AD2218" s="6"/>
      <c r="AE2218" s="6"/>
      <c r="AF2218" s="6"/>
      <c r="AG2218" s="6"/>
      <c r="AH2218" s="6"/>
      <c r="AI2218" s="6"/>
      <c r="AJ2218" s="6"/>
      <c r="AK2218" s="6"/>
      <c r="AL2218" s="6"/>
      <c r="AM2218" s="6"/>
    </row>
    <row r="2219">
      <c r="A2219" s="6"/>
      <c r="B2219" s="6"/>
      <c r="C2219" s="6"/>
      <c r="D2219" s="6"/>
      <c r="E2219" s="6"/>
      <c r="F2219" s="6"/>
      <c r="G2219" s="6"/>
      <c r="H2219" s="6"/>
      <c r="I2219" s="6"/>
      <c r="J2219" s="6"/>
      <c r="K2219" s="6"/>
      <c r="L2219" s="6"/>
      <c r="M2219" s="6"/>
      <c r="N2219" s="6"/>
      <c r="O2219" s="6"/>
      <c r="P2219" s="6"/>
      <c r="Q2219" s="6"/>
      <c r="R2219" s="6"/>
      <c r="S2219" s="6"/>
      <c r="T2219" s="6"/>
      <c r="U2219" s="6"/>
      <c r="V2219" s="6"/>
      <c r="W2219" s="6"/>
      <c r="X2219" s="6"/>
      <c r="Y2219" s="6"/>
      <c r="Z2219" s="6"/>
      <c r="AA2219" s="6"/>
      <c r="AB2219" s="6"/>
      <c r="AC2219" s="6"/>
      <c r="AD2219" s="6"/>
      <c r="AE2219" s="6"/>
      <c r="AF2219" s="6"/>
      <c r="AG2219" s="6"/>
      <c r="AH2219" s="6"/>
      <c r="AI2219" s="6"/>
      <c r="AJ2219" s="6"/>
      <c r="AK2219" s="6"/>
      <c r="AL2219" s="6"/>
      <c r="AM2219" s="6"/>
    </row>
    <row r="2220">
      <c r="A2220" s="6"/>
      <c r="B2220" s="6"/>
      <c r="C2220" s="6"/>
      <c r="D2220" s="6"/>
      <c r="E2220" s="6"/>
      <c r="F2220" s="6"/>
      <c r="G2220" s="6"/>
      <c r="H2220" s="6"/>
      <c r="I2220" s="6"/>
      <c r="J2220" s="6"/>
      <c r="K2220" s="6"/>
      <c r="L2220" s="6"/>
      <c r="M2220" s="6"/>
      <c r="N2220" s="6"/>
      <c r="O2220" s="6"/>
      <c r="P2220" s="6"/>
      <c r="Q2220" s="6"/>
      <c r="R2220" s="6"/>
      <c r="S2220" s="6"/>
      <c r="T2220" s="6"/>
      <c r="U2220" s="6"/>
      <c r="V2220" s="6"/>
      <c r="W2220" s="6"/>
      <c r="X2220" s="6"/>
      <c r="Y2220" s="6"/>
      <c r="Z2220" s="6"/>
      <c r="AA2220" s="6"/>
      <c r="AB2220" s="6"/>
      <c r="AC2220" s="6"/>
      <c r="AD2220" s="6"/>
      <c r="AE2220" s="6"/>
      <c r="AF2220" s="6"/>
      <c r="AG2220" s="6"/>
      <c r="AH2220" s="6"/>
      <c r="AI2220" s="6"/>
      <c r="AJ2220" s="6"/>
      <c r="AK2220" s="6"/>
      <c r="AL2220" s="6"/>
      <c r="AM2220" s="6"/>
    </row>
    <row r="2221">
      <c r="A2221" s="6"/>
      <c r="B2221" s="6"/>
      <c r="C2221" s="6"/>
      <c r="D2221" s="6"/>
      <c r="E2221" s="6"/>
      <c r="F2221" s="6"/>
      <c r="G2221" s="6"/>
      <c r="H2221" s="6"/>
      <c r="I2221" s="6"/>
      <c r="J2221" s="6"/>
      <c r="K2221" s="6"/>
      <c r="L2221" s="6"/>
      <c r="M2221" s="6"/>
      <c r="N2221" s="6"/>
      <c r="O2221" s="6"/>
      <c r="P2221" s="6"/>
      <c r="Q2221" s="6"/>
      <c r="R2221" s="6"/>
      <c r="S2221" s="6"/>
      <c r="T2221" s="6"/>
      <c r="U2221" s="6"/>
      <c r="V2221" s="6"/>
      <c r="W2221" s="6"/>
      <c r="X2221" s="6"/>
      <c r="Y2221" s="6"/>
      <c r="Z2221" s="6"/>
      <c r="AA2221" s="6"/>
      <c r="AB2221" s="6"/>
      <c r="AC2221" s="6"/>
      <c r="AD2221" s="6"/>
      <c r="AE2221" s="6"/>
      <c r="AF2221" s="6"/>
      <c r="AG2221" s="6"/>
      <c r="AH2221" s="6"/>
      <c r="AI2221" s="6"/>
      <c r="AJ2221" s="6"/>
      <c r="AK2221" s="6"/>
      <c r="AL2221" s="6"/>
      <c r="AM2221" s="6"/>
    </row>
    <row r="2222">
      <c r="A2222" s="6"/>
      <c r="B2222" s="6"/>
      <c r="C2222" s="6"/>
      <c r="D2222" s="6"/>
      <c r="E2222" s="6"/>
      <c r="F2222" s="6"/>
      <c r="G2222" s="6"/>
      <c r="H2222" s="6"/>
      <c r="I2222" s="6"/>
      <c r="J2222" s="6"/>
      <c r="K2222" s="6"/>
      <c r="L2222" s="6"/>
      <c r="M2222" s="6"/>
      <c r="N2222" s="6"/>
      <c r="O2222" s="6"/>
      <c r="P2222" s="6"/>
      <c r="Q2222" s="6"/>
      <c r="R2222" s="6"/>
      <c r="S2222" s="6"/>
      <c r="T2222" s="6"/>
      <c r="U2222" s="6"/>
      <c r="V2222" s="6"/>
      <c r="W2222" s="6"/>
      <c r="X2222" s="6"/>
      <c r="Y2222" s="6"/>
      <c r="Z2222" s="6"/>
      <c r="AA2222" s="6"/>
      <c r="AB2222" s="6"/>
      <c r="AC2222" s="6"/>
      <c r="AD2222" s="6"/>
      <c r="AE2222" s="6"/>
      <c r="AF2222" s="6"/>
      <c r="AG2222" s="6"/>
      <c r="AH2222" s="6"/>
      <c r="AI2222" s="6"/>
      <c r="AJ2222" s="6"/>
      <c r="AK2222" s="6"/>
      <c r="AL2222" s="6"/>
      <c r="AM2222" s="6"/>
    </row>
    <row r="2223">
      <c r="A2223" s="6"/>
      <c r="B2223" s="6"/>
      <c r="C2223" s="6"/>
      <c r="D2223" s="6"/>
      <c r="E2223" s="6"/>
      <c r="F2223" s="6"/>
      <c r="G2223" s="6"/>
      <c r="H2223" s="6"/>
      <c r="I2223" s="6"/>
      <c r="J2223" s="6"/>
      <c r="K2223" s="6"/>
      <c r="L2223" s="6"/>
      <c r="M2223" s="6"/>
      <c r="N2223" s="6"/>
      <c r="O2223" s="6"/>
      <c r="P2223" s="6"/>
      <c r="Q2223" s="6"/>
      <c r="R2223" s="6"/>
      <c r="S2223" s="6"/>
      <c r="T2223" s="6"/>
      <c r="U2223" s="6"/>
      <c r="V2223" s="6"/>
      <c r="W2223" s="6"/>
      <c r="X2223" s="6"/>
      <c r="Y2223" s="6"/>
      <c r="Z2223" s="6"/>
      <c r="AA2223" s="6"/>
      <c r="AB2223" s="6"/>
      <c r="AC2223" s="6"/>
      <c r="AD2223" s="6"/>
      <c r="AE2223" s="6"/>
      <c r="AF2223" s="6"/>
      <c r="AG2223" s="6"/>
      <c r="AH2223" s="6"/>
      <c r="AI2223" s="6"/>
      <c r="AJ2223" s="6"/>
      <c r="AK2223" s="6"/>
      <c r="AL2223" s="6"/>
      <c r="AM2223" s="6"/>
    </row>
    <row r="2224">
      <c r="A2224" s="6"/>
      <c r="B2224" s="6"/>
      <c r="C2224" s="6"/>
      <c r="D2224" s="6"/>
      <c r="E2224" s="6"/>
      <c r="F2224" s="6"/>
      <c r="G2224" s="6"/>
      <c r="H2224" s="6"/>
      <c r="I2224" s="6"/>
      <c r="J2224" s="6"/>
      <c r="K2224" s="6"/>
      <c r="L2224" s="6"/>
      <c r="M2224" s="6"/>
      <c r="N2224" s="6"/>
      <c r="O2224" s="6"/>
      <c r="P2224" s="6"/>
      <c r="Q2224" s="6"/>
      <c r="R2224" s="6"/>
      <c r="S2224" s="6"/>
      <c r="T2224" s="6"/>
      <c r="U2224" s="6"/>
      <c r="V2224" s="6"/>
      <c r="W2224" s="6"/>
      <c r="X2224" s="6"/>
      <c r="Y2224" s="6"/>
      <c r="Z2224" s="6"/>
      <c r="AA2224" s="6"/>
      <c r="AB2224" s="6"/>
      <c r="AC2224" s="6"/>
      <c r="AD2224" s="6"/>
      <c r="AE2224" s="6"/>
      <c r="AF2224" s="6"/>
      <c r="AG2224" s="6"/>
      <c r="AH2224" s="6"/>
      <c r="AI2224" s="6"/>
      <c r="AJ2224" s="6"/>
      <c r="AK2224" s="6"/>
      <c r="AL2224" s="6"/>
      <c r="AM2224" s="6"/>
    </row>
    <row r="2225">
      <c r="A2225" s="6"/>
      <c r="B2225" s="6"/>
      <c r="C2225" s="6"/>
      <c r="D2225" s="6"/>
      <c r="E2225" s="6"/>
      <c r="F2225" s="6"/>
      <c r="G2225" s="6"/>
      <c r="H2225" s="6"/>
      <c r="I2225" s="6"/>
      <c r="J2225" s="6"/>
      <c r="K2225" s="6"/>
      <c r="L2225" s="6"/>
      <c r="M2225" s="6"/>
      <c r="N2225" s="6"/>
      <c r="O2225" s="6"/>
      <c r="P2225" s="6"/>
      <c r="Q2225" s="6"/>
      <c r="R2225" s="6"/>
      <c r="S2225" s="6"/>
      <c r="T2225" s="6"/>
      <c r="U2225" s="6"/>
      <c r="V2225" s="6"/>
      <c r="W2225" s="6"/>
      <c r="X2225" s="6"/>
      <c r="Y2225" s="6"/>
      <c r="Z2225" s="6"/>
      <c r="AA2225" s="6"/>
      <c r="AB2225" s="6"/>
      <c r="AC2225" s="6"/>
      <c r="AD2225" s="6"/>
      <c r="AE2225" s="6"/>
      <c r="AF2225" s="6"/>
      <c r="AG2225" s="6"/>
      <c r="AH2225" s="6"/>
      <c r="AI2225" s="6"/>
      <c r="AJ2225" s="6"/>
      <c r="AK2225" s="6"/>
      <c r="AL2225" s="6"/>
      <c r="AM2225" s="6"/>
    </row>
    <row r="2226">
      <c r="A2226" s="6"/>
      <c r="B2226" s="6"/>
      <c r="C2226" s="6"/>
      <c r="D2226" s="6"/>
      <c r="E2226" s="6"/>
      <c r="F2226" s="6"/>
      <c r="G2226" s="6"/>
      <c r="H2226" s="6"/>
      <c r="I2226" s="6"/>
      <c r="J2226" s="6"/>
      <c r="K2226" s="6"/>
      <c r="L2226" s="6"/>
      <c r="M2226" s="6"/>
      <c r="N2226" s="6"/>
      <c r="O2226" s="6"/>
      <c r="P2226" s="6"/>
      <c r="Q2226" s="6"/>
      <c r="R2226" s="6"/>
      <c r="S2226" s="6"/>
      <c r="T2226" s="6"/>
      <c r="U2226" s="6"/>
      <c r="V2226" s="6"/>
      <c r="W2226" s="6"/>
      <c r="X2226" s="6"/>
      <c r="Y2226" s="6"/>
      <c r="Z2226" s="6"/>
      <c r="AA2226" s="6"/>
      <c r="AB2226" s="6"/>
      <c r="AC2226" s="6"/>
      <c r="AD2226" s="6"/>
      <c r="AE2226" s="6"/>
      <c r="AF2226" s="6"/>
      <c r="AG2226" s="6"/>
      <c r="AH2226" s="6"/>
      <c r="AI2226" s="6"/>
      <c r="AJ2226" s="6"/>
      <c r="AK2226" s="6"/>
      <c r="AL2226" s="6"/>
      <c r="AM2226" s="6"/>
    </row>
    <row r="2227">
      <c r="A2227" s="6"/>
      <c r="B2227" s="6"/>
      <c r="C2227" s="6"/>
      <c r="D2227" s="6"/>
      <c r="E2227" s="6"/>
      <c r="F2227" s="6"/>
      <c r="G2227" s="6"/>
      <c r="H2227" s="6"/>
      <c r="I2227" s="6"/>
      <c r="J2227" s="6"/>
      <c r="K2227" s="6"/>
      <c r="L2227" s="6"/>
      <c r="M2227" s="6"/>
      <c r="N2227" s="6"/>
      <c r="O2227" s="6"/>
      <c r="P2227" s="6"/>
      <c r="Q2227" s="6"/>
      <c r="R2227" s="6"/>
      <c r="S2227" s="6"/>
      <c r="T2227" s="6"/>
      <c r="U2227" s="6"/>
      <c r="V2227" s="6"/>
      <c r="W2227" s="6"/>
      <c r="X2227" s="6"/>
      <c r="Y2227" s="6"/>
      <c r="Z2227" s="6"/>
      <c r="AA2227" s="6"/>
      <c r="AB2227" s="6"/>
      <c r="AC2227" s="6"/>
      <c r="AD2227" s="6"/>
      <c r="AE2227" s="6"/>
      <c r="AF2227" s="6"/>
      <c r="AG2227" s="6"/>
      <c r="AH2227" s="6"/>
      <c r="AI2227" s="6"/>
      <c r="AJ2227" s="6"/>
      <c r="AK2227" s="6"/>
      <c r="AL2227" s="6"/>
      <c r="AM2227" s="6"/>
    </row>
    <row r="2228">
      <c r="A2228" s="6"/>
      <c r="B2228" s="6"/>
      <c r="C2228" s="6"/>
      <c r="D2228" s="6"/>
      <c r="E2228" s="6"/>
      <c r="F2228" s="6"/>
      <c r="G2228" s="6"/>
      <c r="H2228" s="6"/>
      <c r="I2228" s="6"/>
      <c r="J2228" s="6"/>
      <c r="K2228" s="6"/>
      <c r="L2228" s="6"/>
      <c r="M2228" s="6"/>
      <c r="N2228" s="6"/>
      <c r="O2228" s="6"/>
      <c r="P2228" s="6"/>
      <c r="Q2228" s="6"/>
      <c r="R2228" s="6"/>
      <c r="S2228" s="6"/>
      <c r="T2228" s="6"/>
      <c r="U2228" s="6"/>
      <c r="V2228" s="6"/>
      <c r="W2228" s="6"/>
      <c r="X2228" s="6"/>
      <c r="Y2228" s="6"/>
      <c r="Z2228" s="6"/>
      <c r="AA2228" s="6"/>
      <c r="AB2228" s="6"/>
      <c r="AC2228" s="6"/>
      <c r="AD2228" s="6"/>
      <c r="AE2228" s="6"/>
      <c r="AF2228" s="6"/>
      <c r="AG2228" s="6"/>
      <c r="AH2228" s="6"/>
      <c r="AI2228" s="6"/>
      <c r="AJ2228" s="6"/>
      <c r="AK2228" s="6"/>
      <c r="AL2228" s="6"/>
      <c r="AM2228" s="6"/>
    </row>
    <row r="2229">
      <c r="A2229" s="6"/>
      <c r="B2229" s="6"/>
      <c r="C2229" s="6"/>
      <c r="D2229" s="6"/>
      <c r="E2229" s="6"/>
      <c r="F2229" s="6"/>
      <c r="G2229" s="6"/>
      <c r="H2229" s="6"/>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c r="AG2229" s="6"/>
      <c r="AH2229" s="6"/>
      <c r="AI2229" s="6"/>
      <c r="AJ2229" s="6"/>
      <c r="AK2229" s="6"/>
      <c r="AL2229" s="6"/>
      <c r="AM2229" s="6"/>
    </row>
    <row r="2230">
      <c r="A2230" s="6"/>
      <c r="B2230" s="6"/>
      <c r="C2230" s="6"/>
      <c r="D2230" s="6"/>
      <c r="E2230" s="6"/>
      <c r="F2230" s="6"/>
      <c r="G2230" s="6"/>
      <c r="H2230" s="6"/>
      <c r="I2230" s="6"/>
      <c r="J2230" s="6"/>
      <c r="K2230" s="6"/>
      <c r="L2230" s="6"/>
      <c r="M2230" s="6"/>
      <c r="N2230" s="6"/>
      <c r="O2230" s="6"/>
      <c r="P2230" s="6"/>
      <c r="Q2230" s="6"/>
      <c r="R2230" s="6"/>
      <c r="S2230" s="6"/>
      <c r="T2230" s="6"/>
      <c r="U2230" s="6"/>
      <c r="V2230" s="6"/>
      <c r="W2230" s="6"/>
      <c r="X2230" s="6"/>
      <c r="Y2230" s="6"/>
      <c r="Z2230" s="6"/>
      <c r="AA2230" s="6"/>
      <c r="AB2230" s="6"/>
      <c r="AC2230" s="6"/>
      <c r="AD2230" s="6"/>
      <c r="AE2230" s="6"/>
      <c r="AF2230" s="6"/>
      <c r="AG2230" s="6"/>
      <c r="AH2230" s="6"/>
      <c r="AI2230" s="6"/>
      <c r="AJ2230" s="6"/>
      <c r="AK2230" s="6"/>
      <c r="AL2230" s="6"/>
      <c r="AM2230" s="6"/>
    </row>
    <row r="2231">
      <c r="A2231" s="6"/>
      <c r="B2231" s="6"/>
      <c r="C2231" s="6"/>
      <c r="D2231" s="6"/>
      <c r="E2231" s="6"/>
      <c r="F2231" s="6"/>
      <c r="G2231" s="6"/>
      <c r="H2231" s="6"/>
      <c r="I2231" s="6"/>
      <c r="J2231" s="6"/>
      <c r="K2231" s="6"/>
      <c r="L2231" s="6"/>
      <c r="M2231" s="6"/>
      <c r="N2231" s="6"/>
      <c r="O2231" s="6"/>
      <c r="P2231" s="6"/>
      <c r="Q2231" s="6"/>
      <c r="R2231" s="6"/>
      <c r="S2231" s="6"/>
      <c r="T2231" s="6"/>
      <c r="U2231" s="6"/>
      <c r="V2231" s="6"/>
      <c r="W2231" s="6"/>
      <c r="X2231" s="6"/>
      <c r="Y2231" s="6"/>
      <c r="Z2231" s="6"/>
      <c r="AA2231" s="6"/>
      <c r="AB2231" s="6"/>
      <c r="AC2231" s="6"/>
      <c r="AD2231" s="6"/>
      <c r="AE2231" s="6"/>
      <c r="AF2231" s="6"/>
      <c r="AG2231" s="6"/>
      <c r="AH2231" s="6"/>
      <c r="AI2231" s="6"/>
      <c r="AJ2231" s="6"/>
      <c r="AK2231" s="6"/>
      <c r="AL2231" s="6"/>
      <c r="AM2231" s="6"/>
    </row>
    <row r="2232">
      <c r="A2232" s="6"/>
      <c r="B2232" s="6"/>
      <c r="C2232" s="6"/>
      <c r="D2232" s="6"/>
      <c r="E2232" s="6"/>
      <c r="F2232" s="6"/>
      <c r="G2232" s="6"/>
      <c r="H2232" s="6"/>
      <c r="I2232" s="6"/>
      <c r="J2232" s="6"/>
      <c r="K2232" s="6"/>
      <c r="L2232" s="6"/>
      <c r="M2232" s="6"/>
      <c r="N2232" s="6"/>
      <c r="O2232" s="6"/>
      <c r="P2232" s="6"/>
      <c r="Q2232" s="6"/>
      <c r="R2232" s="6"/>
      <c r="S2232" s="6"/>
      <c r="T2232" s="6"/>
      <c r="U2232" s="6"/>
      <c r="V2232" s="6"/>
      <c r="W2232" s="6"/>
      <c r="X2232" s="6"/>
      <c r="Y2232" s="6"/>
      <c r="Z2232" s="6"/>
      <c r="AA2232" s="6"/>
      <c r="AB2232" s="6"/>
      <c r="AC2232" s="6"/>
      <c r="AD2232" s="6"/>
      <c r="AE2232" s="6"/>
      <c r="AF2232" s="6"/>
      <c r="AG2232" s="6"/>
      <c r="AH2232" s="6"/>
      <c r="AI2232" s="6"/>
      <c r="AJ2232" s="6"/>
      <c r="AK2232" s="6"/>
      <c r="AL2232" s="6"/>
      <c r="AM2232" s="6"/>
    </row>
    <row r="2233">
      <c r="A2233" s="6"/>
      <c r="B2233" s="6"/>
      <c r="C2233" s="6"/>
      <c r="D2233" s="6"/>
      <c r="E2233" s="6"/>
      <c r="F2233" s="6"/>
      <c r="G2233" s="6"/>
      <c r="H2233" s="6"/>
      <c r="I2233" s="6"/>
      <c r="J2233" s="6"/>
      <c r="K2233" s="6"/>
      <c r="L2233" s="6"/>
      <c r="M2233" s="6"/>
      <c r="N2233" s="6"/>
      <c r="O2233" s="6"/>
      <c r="P2233" s="6"/>
      <c r="Q2233" s="6"/>
      <c r="R2233" s="6"/>
      <c r="S2233" s="6"/>
      <c r="T2233" s="6"/>
      <c r="U2233" s="6"/>
      <c r="V2233" s="6"/>
      <c r="W2233" s="6"/>
      <c r="X2233" s="6"/>
      <c r="Y2233" s="6"/>
      <c r="Z2233" s="6"/>
      <c r="AA2233" s="6"/>
      <c r="AB2233" s="6"/>
      <c r="AC2233" s="6"/>
      <c r="AD2233" s="6"/>
      <c r="AE2233" s="6"/>
      <c r="AF2233" s="6"/>
      <c r="AG2233" s="6"/>
      <c r="AH2233" s="6"/>
      <c r="AI2233" s="6"/>
      <c r="AJ2233" s="6"/>
      <c r="AK2233" s="6"/>
      <c r="AL2233" s="6"/>
      <c r="AM2233" s="6"/>
    </row>
    <row r="2234">
      <c r="A2234" s="6"/>
      <c r="B2234" s="6"/>
      <c r="C2234" s="6"/>
      <c r="D2234" s="6"/>
      <c r="E2234" s="6"/>
      <c r="F2234" s="6"/>
      <c r="G2234" s="6"/>
      <c r="H2234" s="6"/>
      <c r="I2234" s="6"/>
      <c r="J2234" s="6"/>
      <c r="K2234" s="6"/>
      <c r="L2234" s="6"/>
      <c r="M2234" s="6"/>
      <c r="N2234" s="6"/>
      <c r="O2234" s="6"/>
      <c r="P2234" s="6"/>
      <c r="Q2234" s="6"/>
      <c r="R2234" s="6"/>
      <c r="S2234" s="6"/>
      <c r="T2234" s="6"/>
      <c r="U2234" s="6"/>
      <c r="V2234" s="6"/>
      <c r="W2234" s="6"/>
      <c r="X2234" s="6"/>
      <c r="Y2234" s="6"/>
      <c r="Z2234" s="6"/>
      <c r="AA2234" s="6"/>
      <c r="AB2234" s="6"/>
      <c r="AC2234" s="6"/>
      <c r="AD2234" s="6"/>
      <c r="AE2234" s="6"/>
      <c r="AF2234" s="6"/>
      <c r="AG2234" s="6"/>
      <c r="AH2234" s="6"/>
      <c r="AI2234" s="6"/>
      <c r="AJ2234" s="6"/>
      <c r="AK2234" s="6"/>
      <c r="AL2234" s="6"/>
      <c r="AM2234" s="6"/>
    </row>
    <row r="2235">
      <c r="A2235" s="6"/>
      <c r="B2235" s="6"/>
      <c r="C2235" s="6"/>
      <c r="D2235" s="6"/>
      <c r="E2235" s="6"/>
      <c r="F2235" s="6"/>
      <c r="G2235" s="6"/>
      <c r="H2235" s="6"/>
      <c r="I2235" s="6"/>
      <c r="J2235" s="6"/>
      <c r="K2235" s="6"/>
      <c r="L2235" s="6"/>
      <c r="M2235" s="6"/>
      <c r="N2235" s="6"/>
      <c r="O2235" s="6"/>
      <c r="P2235" s="6"/>
      <c r="Q2235" s="6"/>
      <c r="R2235" s="6"/>
      <c r="S2235" s="6"/>
      <c r="T2235" s="6"/>
      <c r="U2235" s="6"/>
      <c r="V2235" s="6"/>
      <c r="W2235" s="6"/>
      <c r="X2235" s="6"/>
      <c r="Y2235" s="6"/>
      <c r="Z2235" s="6"/>
      <c r="AA2235" s="6"/>
      <c r="AB2235" s="6"/>
      <c r="AC2235" s="6"/>
      <c r="AD2235" s="6"/>
      <c r="AE2235" s="6"/>
      <c r="AF2235" s="6"/>
      <c r="AG2235" s="6"/>
      <c r="AH2235" s="6"/>
      <c r="AI2235" s="6"/>
      <c r="AJ2235" s="6"/>
      <c r="AK2235" s="6"/>
      <c r="AL2235" s="6"/>
      <c r="AM2235" s="6"/>
    </row>
    <row r="2236">
      <c r="A2236" s="6"/>
      <c r="B2236" s="6"/>
      <c r="C2236" s="6"/>
      <c r="D2236" s="6"/>
      <c r="E2236" s="6"/>
      <c r="F2236" s="6"/>
      <c r="G2236" s="6"/>
      <c r="H2236" s="6"/>
      <c r="I2236" s="6"/>
      <c r="J2236" s="6"/>
      <c r="K2236" s="6"/>
      <c r="L2236" s="6"/>
      <c r="M2236" s="6"/>
      <c r="N2236" s="6"/>
      <c r="O2236" s="6"/>
      <c r="P2236" s="6"/>
      <c r="Q2236" s="6"/>
      <c r="R2236" s="6"/>
      <c r="S2236" s="6"/>
      <c r="T2236" s="6"/>
      <c r="U2236" s="6"/>
      <c r="V2236" s="6"/>
      <c r="W2236" s="6"/>
      <c r="X2236" s="6"/>
      <c r="Y2236" s="6"/>
      <c r="Z2236" s="6"/>
      <c r="AA2236" s="6"/>
      <c r="AB2236" s="6"/>
      <c r="AC2236" s="6"/>
      <c r="AD2236" s="6"/>
      <c r="AE2236" s="6"/>
      <c r="AF2236" s="6"/>
      <c r="AG2236" s="6"/>
      <c r="AH2236" s="6"/>
      <c r="AI2236" s="6"/>
      <c r="AJ2236" s="6"/>
      <c r="AK2236" s="6"/>
      <c r="AL2236" s="6"/>
      <c r="AM2236" s="6"/>
    </row>
    <row r="2237">
      <c r="A2237" s="6"/>
      <c r="B2237" s="6"/>
      <c r="C2237" s="6"/>
      <c r="D2237" s="6"/>
      <c r="E2237" s="6"/>
      <c r="F2237" s="6"/>
      <c r="G2237" s="6"/>
      <c r="H2237" s="6"/>
      <c r="I2237" s="6"/>
      <c r="J2237" s="6"/>
      <c r="K2237" s="6"/>
      <c r="L2237" s="6"/>
      <c r="M2237" s="6"/>
      <c r="N2237" s="6"/>
      <c r="O2237" s="6"/>
      <c r="P2237" s="6"/>
      <c r="Q2237" s="6"/>
      <c r="R2237" s="6"/>
      <c r="S2237" s="6"/>
      <c r="T2237" s="6"/>
      <c r="U2237" s="6"/>
      <c r="V2237" s="6"/>
      <c r="W2237" s="6"/>
      <c r="X2237" s="6"/>
      <c r="Y2237" s="6"/>
      <c r="Z2237" s="6"/>
      <c r="AA2237" s="6"/>
      <c r="AB2237" s="6"/>
      <c r="AC2237" s="6"/>
      <c r="AD2237" s="6"/>
      <c r="AE2237" s="6"/>
      <c r="AF2237" s="6"/>
      <c r="AG2237" s="6"/>
      <c r="AH2237" s="6"/>
      <c r="AI2237" s="6"/>
      <c r="AJ2237" s="6"/>
      <c r="AK2237" s="6"/>
      <c r="AL2237" s="6"/>
      <c r="AM2237" s="6"/>
    </row>
    <row r="2238">
      <c r="A2238" s="6"/>
      <c r="B2238" s="6"/>
      <c r="C2238" s="6"/>
      <c r="D2238" s="6"/>
      <c r="E2238" s="6"/>
      <c r="F2238" s="6"/>
      <c r="G2238" s="6"/>
      <c r="H2238" s="6"/>
      <c r="I2238" s="6"/>
      <c r="J2238" s="6"/>
      <c r="K2238" s="6"/>
      <c r="L2238" s="6"/>
      <c r="M2238" s="6"/>
      <c r="N2238" s="6"/>
      <c r="O2238" s="6"/>
      <c r="P2238" s="6"/>
      <c r="Q2238" s="6"/>
      <c r="R2238" s="6"/>
      <c r="S2238" s="6"/>
      <c r="T2238" s="6"/>
      <c r="U2238" s="6"/>
      <c r="V2238" s="6"/>
      <c r="W2238" s="6"/>
      <c r="X2238" s="6"/>
      <c r="Y2238" s="6"/>
      <c r="Z2238" s="6"/>
      <c r="AA2238" s="6"/>
      <c r="AB2238" s="6"/>
      <c r="AC2238" s="6"/>
      <c r="AD2238" s="6"/>
      <c r="AE2238" s="6"/>
      <c r="AF2238" s="6"/>
      <c r="AG2238" s="6"/>
      <c r="AH2238" s="6"/>
      <c r="AI2238" s="6"/>
      <c r="AJ2238" s="6"/>
      <c r="AK2238" s="6"/>
      <c r="AL2238" s="6"/>
      <c r="AM2238" s="6"/>
    </row>
    <row r="2239">
      <c r="A2239" s="6"/>
      <c r="B2239" s="6"/>
      <c r="C2239" s="6"/>
      <c r="D2239" s="6"/>
      <c r="E2239" s="6"/>
      <c r="F2239" s="6"/>
      <c r="G2239" s="6"/>
      <c r="H2239" s="6"/>
      <c r="I2239" s="6"/>
      <c r="J2239" s="6"/>
      <c r="K2239" s="6"/>
      <c r="L2239" s="6"/>
      <c r="M2239" s="6"/>
      <c r="N2239" s="6"/>
      <c r="O2239" s="6"/>
      <c r="P2239" s="6"/>
      <c r="Q2239" s="6"/>
      <c r="R2239" s="6"/>
      <c r="S2239" s="6"/>
      <c r="T2239" s="6"/>
      <c r="U2239" s="6"/>
      <c r="V2239" s="6"/>
      <c r="W2239" s="6"/>
      <c r="X2239" s="6"/>
      <c r="Y2239" s="6"/>
      <c r="Z2239" s="6"/>
      <c r="AA2239" s="6"/>
      <c r="AB2239" s="6"/>
      <c r="AC2239" s="6"/>
      <c r="AD2239" s="6"/>
      <c r="AE2239" s="6"/>
      <c r="AF2239" s="6"/>
      <c r="AG2239" s="6"/>
      <c r="AH2239" s="6"/>
      <c r="AI2239" s="6"/>
      <c r="AJ2239" s="6"/>
      <c r="AK2239" s="6"/>
      <c r="AL2239" s="6"/>
      <c r="AM2239" s="6"/>
    </row>
    <row r="2240">
      <c r="A2240" s="6"/>
      <c r="B2240" s="6"/>
      <c r="C2240" s="6"/>
      <c r="D2240" s="6"/>
      <c r="E2240" s="6"/>
      <c r="F2240" s="6"/>
      <c r="G2240" s="6"/>
      <c r="H2240" s="6"/>
      <c r="I2240" s="6"/>
      <c r="J2240" s="6"/>
      <c r="K2240" s="6"/>
      <c r="L2240" s="6"/>
      <c r="M2240" s="6"/>
      <c r="N2240" s="6"/>
      <c r="O2240" s="6"/>
      <c r="P2240" s="6"/>
      <c r="Q2240" s="6"/>
      <c r="R2240" s="6"/>
      <c r="S2240" s="6"/>
      <c r="T2240" s="6"/>
      <c r="U2240" s="6"/>
      <c r="V2240" s="6"/>
      <c r="W2240" s="6"/>
      <c r="X2240" s="6"/>
      <c r="Y2240" s="6"/>
      <c r="Z2240" s="6"/>
      <c r="AA2240" s="6"/>
      <c r="AB2240" s="6"/>
      <c r="AC2240" s="6"/>
      <c r="AD2240" s="6"/>
      <c r="AE2240" s="6"/>
      <c r="AF2240" s="6"/>
      <c r="AG2240" s="6"/>
      <c r="AH2240" s="6"/>
      <c r="AI2240" s="6"/>
      <c r="AJ2240" s="6"/>
      <c r="AK2240" s="6"/>
      <c r="AL2240" s="6"/>
      <c r="AM2240" s="6"/>
    </row>
    <row r="2241">
      <c r="A2241" s="6"/>
      <c r="B2241" s="6"/>
      <c r="C2241" s="6"/>
      <c r="D2241" s="6"/>
      <c r="E2241" s="6"/>
      <c r="F2241" s="6"/>
      <c r="G2241" s="6"/>
      <c r="H2241" s="6"/>
      <c r="I2241" s="6"/>
      <c r="J2241" s="6"/>
      <c r="K2241" s="6"/>
      <c r="L2241" s="6"/>
      <c r="M2241" s="6"/>
      <c r="N2241" s="6"/>
      <c r="O2241" s="6"/>
      <c r="P2241" s="6"/>
      <c r="Q2241" s="6"/>
      <c r="R2241" s="6"/>
      <c r="S2241" s="6"/>
      <c r="T2241" s="6"/>
      <c r="U2241" s="6"/>
      <c r="V2241" s="6"/>
      <c r="W2241" s="6"/>
      <c r="X2241" s="6"/>
      <c r="Y2241" s="6"/>
      <c r="Z2241" s="6"/>
      <c r="AA2241" s="6"/>
      <c r="AB2241" s="6"/>
      <c r="AC2241" s="6"/>
      <c r="AD2241" s="6"/>
      <c r="AE2241" s="6"/>
      <c r="AF2241" s="6"/>
      <c r="AG2241" s="6"/>
      <c r="AH2241" s="6"/>
      <c r="AI2241" s="6"/>
      <c r="AJ2241" s="6"/>
      <c r="AK2241" s="6"/>
      <c r="AL2241" s="6"/>
      <c r="AM2241" s="6"/>
    </row>
    <row r="2242">
      <c r="A2242" s="6"/>
      <c r="B2242" s="6"/>
      <c r="C2242" s="6"/>
      <c r="D2242" s="6"/>
      <c r="E2242" s="6"/>
      <c r="F2242" s="6"/>
      <c r="G2242" s="6"/>
      <c r="H2242" s="6"/>
      <c r="I2242" s="6"/>
      <c r="J2242" s="6"/>
      <c r="K2242" s="6"/>
      <c r="L2242" s="6"/>
      <c r="M2242" s="6"/>
      <c r="N2242" s="6"/>
      <c r="O2242" s="6"/>
      <c r="P2242" s="6"/>
      <c r="Q2242" s="6"/>
      <c r="R2242" s="6"/>
      <c r="S2242" s="6"/>
      <c r="T2242" s="6"/>
      <c r="U2242" s="6"/>
      <c r="V2242" s="6"/>
      <c r="W2242" s="6"/>
      <c r="X2242" s="6"/>
      <c r="Y2242" s="6"/>
      <c r="Z2242" s="6"/>
      <c r="AA2242" s="6"/>
      <c r="AB2242" s="6"/>
      <c r="AC2242" s="6"/>
      <c r="AD2242" s="6"/>
      <c r="AE2242" s="6"/>
      <c r="AF2242" s="6"/>
      <c r="AG2242" s="6"/>
      <c r="AH2242" s="6"/>
      <c r="AI2242" s="6"/>
      <c r="AJ2242" s="6"/>
      <c r="AK2242" s="6"/>
      <c r="AL2242" s="6"/>
      <c r="AM2242" s="6"/>
    </row>
    <row r="2243">
      <c r="A2243" s="6"/>
      <c r="B2243" s="6"/>
      <c r="C2243" s="6"/>
      <c r="D2243" s="6"/>
      <c r="E2243" s="6"/>
      <c r="F2243" s="6"/>
      <c r="G2243" s="6"/>
      <c r="H2243" s="6"/>
      <c r="I2243" s="6"/>
      <c r="J2243" s="6"/>
      <c r="K2243" s="6"/>
      <c r="L2243" s="6"/>
      <c r="M2243" s="6"/>
      <c r="N2243" s="6"/>
      <c r="O2243" s="6"/>
      <c r="P2243" s="6"/>
      <c r="Q2243" s="6"/>
      <c r="R2243" s="6"/>
      <c r="S2243" s="6"/>
      <c r="T2243" s="6"/>
      <c r="U2243" s="6"/>
      <c r="V2243" s="6"/>
      <c r="W2243" s="6"/>
      <c r="X2243" s="6"/>
      <c r="Y2243" s="6"/>
      <c r="Z2243" s="6"/>
      <c r="AA2243" s="6"/>
      <c r="AB2243" s="6"/>
      <c r="AC2243" s="6"/>
      <c r="AD2243" s="6"/>
      <c r="AE2243" s="6"/>
      <c r="AF2243" s="6"/>
      <c r="AG2243" s="6"/>
      <c r="AH2243" s="6"/>
      <c r="AI2243" s="6"/>
      <c r="AJ2243" s="6"/>
      <c r="AK2243" s="6"/>
      <c r="AL2243" s="6"/>
      <c r="AM2243" s="6"/>
    </row>
    <row r="2244">
      <c r="A2244" s="6"/>
      <c r="B2244" s="6"/>
      <c r="C2244" s="6"/>
      <c r="D2244" s="6"/>
      <c r="E2244" s="6"/>
      <c r="F2244" s="6"/>
      <c r="G2244" s="6"/>
      <c r="H2244" s="6"/>
      <c r="I2244" s="6"/>
      <c r="J2244" s="6"/>
      <c r="K2244" s="6"/>
      <c r="L2244" s="6"/>
      <c r="M2244" s="6"/>
      <c r="N2244" s="6"/>
      <c r="O2244" s="6"/>
      <c r="P2244" s="6"/>
      <c r="Q2244" s="6"/>
      <c r="R2244" s="6"/>
      <c r="S2244" s="6"/>
      <c r="T2244" s="6"/>
      <c r="U2244" s="6"/>
      <c r="V2244" s="6"/>
      <c r="W2244" s="6"/>
      <c r="X2244" s="6"/>
      <c r="Y2244" s="6"/>
      <c r="Z2244" s="6"/>
      <c r="AA2244" s="6"/>
      <c r="AB2244" s="6"/>
      <c r="AC2244" s="6"/>
      <c r="AD2244" s="6"/>
      <c r="AE2244" s="6"/>
      <c r="AF2244" s="6"/>
      <c r="AG2244" s="6"/>
      <c r="AH2244" s="6"/>
      <c r="AI2244" s="6"/>
      <c r="AJ2244" s="6"/>
      <c r="AK2244" s="6"/>
      <c r="AL2244" s="6"/>
      <c r="AM2244" s="6"/>
    </row>
    <row r="2245">
      <c r="A2245" s="6"/>
      <c r="B2245" s="6"/>
      <c r="C2245" s="6"/>
      <c r="D2245" s="6"/>
      <c r="E2245" s="6"/>
      <c r="F2245" s="6"/>
      <c r="G2245" s="6"/>
      <c r="H2245" s="6"/>
      <c r="I2245" s="6"/>
      <c r="J2245" s="6"/>
      <c r="K2245" s="6"/>
      <c r="L2245" s="6"/>
      <c r="M2245" s="6"/>
      <c r="N2245" s="6"/>
      <c r="O2245" s="6"/>
      <c r="P2245" s="6"/>
      <c r="Q2245" s="6"/>
      <c r="R2245" s="6"/>
      <c r="S2245" s="6"/>
      <c r="T2245" s="6"/>
      <c r="U2245" s="6"/>
      <c r="V2245" s="6"/>
      <c r="W2245" s="6"/>
      <c r="X2245" s="6"/>
      <c r="Y2245" s="6"/>
      <c r="Z2245" s="6"/>
      <c r="AA2245" s="6"/>
      <c r="AB2245" s="6"/>
      <c r="AC2245" s="6"/>
      <c r="AD2245" s="6"/>
      <c r="AE2245" s="6"/>
      <c r="AF2245" s="6"/>
      <c r="AG2245" s="6"/>
      <c r="AH2245" s="6"/>
      <c r="AI2245" s="6"/>
      <c r="AJ2245" s="6"/>
      <c r="AK2245" s="6"/>
      <c r="AL2245" s="6"/>
      <c r="AM2245" s="6"/>
    </row>
    <row r="2246">
      <c r="A2246" s="6"/>
      <c r="B2246" s="6"/>
      <c r="C2246" s="6"/>
      <c r="D2246" s="6"/>
      <c r="E2246" s="6"/>
      <c r="F2246" s="6"/>
      <c r="G2246" s="6"/>
      <c r="H2246" s="6"/>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c r="AG2246" s="6"/>
      <c r="AH2246" s="6"/>
      <c r="AI2246" s="6"/>
      <c r="AJ2246" s="6"/>
      <c r="AK2246" s="6"/>
      <c r="AL2246" s="6"/>
      <c r="AM2246" s="6"/>
    </row>
    <row r="2247">
      <c r="A2247" s="6"/>
      <c r="B2247" s="6"/>
      <c r="C2247" s="6"/>
      <c r="D2247" s="6"/>
      <c r="E2247" s="6"/>
      <c r="F2247" s="6"/>
      <c r="G2247" s="6"/>
      <c r="H2247" s="6"/>
      <c r="I2247" s="6"/>
      <c r="J2247" s="6"/>
      <c r="K2247" s="6"/>
      <c r="L2247" s="6"/>
      <c r="M2247" s="6"/>
      <c r="N2247" s="6"/>
      <c r="O2247" s="6"/>
      <c r="P2247" s="6"/>
      <c r="Q2247" s="6"/>
      <c r="R2247" s="6"/>
      <c r="S2247" s="6"/>
      <c r="T2247" s="6"/>
      <c r="U2247" s="6"/>
      <c r="V2247" s="6"/>
      <c r="W2247" s="6"/>
      <c r="X2247" s="6"/>
      <c r="Y2247" s="6"/>
      <c r="Z2247" s="6"/>
      <c r="AA2247" s="6"/>
      <c r="AB2247" s="6"/>
      <c r="AC2247" s="6"/>
      <c r="AD2247" s="6"/>
      <c r="AE2247" s="6"/>
      <c r="AF2247" s="6"/>
      <c r="AG2247" s="6"/>
      <c r="AH2247" s="6"/>
      <c r="AI2247" s="6"/>
      <c r="AJ2247" s="6"/>
      <c r="AK2247" s="6"/>
      <c r="AL2247" s="6"/>
      <c r="AM2247" s="6"/>
    </row>
    <row r="2248">
      <c r="A2248" s="6"/>
      <c r="B2248" s="6"/>
      <c r="C2248" s="6"/>
      <c r="D2248" s="6"/>
      <c r="E2248" s="6"/>
      <c r="F2248" s="6"/>
      <c r="G2248" s="6"/>
      <c r="H2248" s="6"/>
      <c r="I2248" s="6"/>
      <c r="J2248" s="6"/>
      <c r="K2248" s="6"/>
      <c r="L2248" s="6"/>
      <c r="M2248" s="6"/>
      <c r="N2248" s="6"/>
      <c r="O2248" s="6"/>
      <c r="P2248" s="6"/>
      <c r="Q2248" s="6"/>
      <c r="R2248" s="6"/>
      <c r="S2248" s="6"/>
      <c r="T2248" s="6"/>
      <c r="U2248" s="6"/>
      <c r="V2248" s="6"/>
      <c r="W2248" s="6"/>
      <c r="X2248" s="6"/>
      <c r="Y2248" s="6"/>
      <c r="Z2248" s="6"/>
      <c r="AA2248" s="6"/>
      <c r="AB2248" s="6"/>
      <c r="AC2248" s="6"/>
      <c r="AD2248" s="6"/>
      <c r="AE2248" s="6"/>
      <c r="AF2248" s="6"/>
      <c r="AG2248" s="6"/>
      <c r="AH2248" s="6"/>
      <c r="AI2248" s="6"/>
      <c r="AJ2248" s="6"/>
      <c r="AK2248" s="6"/>
      <c r="AL2248" s="6"/>
      <c r="AM2248" s="6"/>
    </row>
    <row r="2249">
      <c r="A2249" s="6"/>
      <c r="B2249" s="6"/>
      <c r="C2249" s="6"/>
      <c r="D2249" s="6"/>
      <c r="E2249" s="6"/>
      <c r="F2249" s="6"/>
      <c r="G2249" s="6"/>
      <c r="H2249" s="6"/>
      <c r="I2249" s="6"/>
      <c r="J2249" s="6"/>
      <c r="K2249" s="6"/>
      <c r="L2249" s="6"/>
      <c r="M2249" s="6"/>
      <c r="N2249" s="6"/>
      <c r="O2249" s="6"/>
      <c r="P2249" s="6"/>
      <c r="Q2249" s="6"/>
      <c r="R2249" s="6"/>
      <c r="S2249" s="6"/>
      <c r="T2249" s="6"/>
      <c r="U2249" s="6"/>
      <c r="V2249" s="6"/>
      <c r="W2249" s="6"/>
      <c r="X2249" s="6"/>
      <c r="Y2249" s="6"/>
      <c r="Z2249" s="6"/>
      <c r="AA2249" s="6"/>
      <c r="AB2249" s="6"/>
      <c r="AC2249" s="6"/>
      <c r="AD2249" s="6"/>
      <c r="AE2249" s="6"/>
      <c r="AF2249" s="6"/>
      <c r="AG2249" s="6"/>
      <c r="AH2249" s="6"/>
      <c r="AI2249" s="6"/>
      <c r="AJ2249" s="6"/>
      <c r="AK2249" s="6"/>
      <c r="AL2249" s="6"/>
      <c r="AM2249" s="6"/>
    </row>
    <row r="2250">
      <c r="A2250" s="6"/>
      <c r="B2250" s="6"/>
      <c r="C2250" s="6"/>
      <c r="D2250" s="6"/>
      <c r="E2250" s="6"/>
      <c r="F2250" s="6"/>
      <c r="G2250" s="6"/>
      <c r="H2250" s="6"/>
      <c r="I2250" s="6"/>
      <c r="J2250" s="6"/>
      <c r="K2250" s="6"/>
      <c r="L2250" s="6"/>
      <c r="M2250" s="6"/>
      <c r="N2250" s="6"/>
      <c r="O2250" s="6"/>
      <c r="P2250" s="6"/>
      <c r="Q2250" s="6"/>
      <c r="R2250" s="6"/>
      <c r="S2250" s="6"/>
      <c r="T2250" s="6"/>
      <c r="U2250" s="6"/>
      <c r="V2250" s="6"/>
      <c r="W2250" s="6"/>
      <c r="X2250" s="6"/>
      <c r="Y2250" s="6"/>
      <c r="Z2250" s="6"/>
      <c r="AA2250" s="6"/>
      <c r="AB2250" s="6"/>
      <c r="AC2250" s="6"/>
      <c r="AD2250" s="6"/>
      <c r="AE2250" s="6"/>
      <c r="AF2250" s="6"/>
      <c r="AG2250" s="6"/>
      <c r="AH2250" s="6"/>
      <c r="AI2250" s="6"/>
      <c r="AJ2250" s="6"/>
      <c r="AK2250" s="6"/>
      <c r="AL2250" s="6"/>
      <c r="AM2250" s="6"/>
    </row>
    <row r="2251">
      <c r="A2251" s="6"/>
      <c r="B2251" s="6"/>
      <c r="C2251" s="6"/>
      <c r="D2251" s="6"/>
      <c r="E2251" s="6"/>
      <c r="F2251" s="6"/>
      <c r="G2251" s="6"/>
      <c r="H2251" s="6"/>
      <c r="I2251" s="6"/>
      <c r="J2251" s="6"/>
      <c r="K2251" s="6"/>
      <c r="L2251" s="6"/>
      <c r="M2251" s="6"/>
      <c r="N2251" s="6"/>
      <c r="O2251" s="6"/>
      <c r="P2251" s="6"/>
      <c r="Q2251" s="6"/>
      <c r="R2251" s="6"/>
      <c r="S2251" s="6"/>
      <c r="T2251" s="6"/>
      <c r="U2251" s="6"/>
      <c r="V2251" s="6"/>
      <c r="W2251" s="6"/>
      <c r="X2251" s="6"/>
      <c r="Y2251" s="6"/>
      <c r="Z2251" s="6"/>
      <c r="AA2251" s="6"/>
      <c r="AB2251" s="6"/>
      <c r="AC2251" s="6"/>
      <c r="AD2251" s="6"/>
      <c r="AE2251" s="6"/>
      <c r="AF2251" s="6"/>
      <c r="AG2251" s="6"/>
      <c r="AH2251" s="6"/>
      <c r="AI2251" s="6"/>
      <c r="AJ2251" s="6"/>
      <c r="AK2251" s="6"/>
      <c r="AL2251" s="6"/>
      <c r="AM2251" s="6"/>
    </row>
    <row r="2252">
      <c r="A2252" s="6"/>
      <c r="B2252" s="6"/>
      <c r="C2252" s="6"/>
      <c r="D2252" s="6"/>
      <c r="E2252" s="6"/>
      <c r="F2252" s="6"/>
      <c r="G2252" s="6"/>
      <c r="H2252" s="6"/>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c r="AG2252" s="6"/>
      <c r="AH2252" s="6"/>
      <c r="AI2252" s="6"/>
      <c r="AJ2252" s="6"/>
      <c r="AK2252" s="6"/>
      <c r="AL2252" s="6"/>
      <c r="AM2252" s="6"/>
    </row>
    <row r="2253">
      <c r="A2253" s="6"/>
      <c r="B2253" s="6"/>
      <c r="C2253" s="6"/>
      <c r="D2253" s="6"/>
      <c r="E2253" s="6"/>
      <c r="F2253" s="6"/>
      <c r="G2253" s="6"/>
      <c r="H2253" s="6"/>
      <c r="I2253" s="6"/>
      <c r="J2253" s="6"/>
      <c r="K2253" s="6"/>
      <c r="L2253" s="6"/>
      <c r="M2253" s="6"/>
      <c r="N2253" s="6"/>
      <c r="O2253" s="6"/>
      <c r="P2253" s="6"/>
      <c r="Q2253" s="6"/>
      <c r="R2253" s="6"/>
      <c r="S2253" s="6"/>
      <c r="T2253" s="6"/>
      <c r="U2253" s="6"/>
      <c r="V2253" s="6"/>
      <c r="W2253" s="6"/>
      <c r="X2253" s="6"/>
      <c r="Y2253" s="6"/>
      <c r="Z2253" s="6"/>
      <c r="AA2253" s="6"/>
      <c r="AB2253" s="6"/>
      <c r="AC2253" s="6"/>
      <c r="AD2253" s="6"/>
      <c r="AE2253" s="6"/>
      <c r="AF2253" s="6"/>
      <c r="AG2253" s="6"/>
      <c r="AH2253" s="6"/>
      <c r="AI2253" s="6"/>
      <c r="AJ2253" s="6"/>
      <c r="AK2253" s="6"/>
      <c r="AL2253" s="6"/>
      <c r="AM2253" s="6"/>
    </row>
    <row r="2254">
      <c r="A2254" s="6"/>
      <c r="B2254" s="6"/>
      <c r="C2254" s="6"/>
      <c r="D2254" s="6"/>
      <c r="E2254" s="6"/>
      <c r="F2254" s="6"/>
      <c r="G2254" s="6"/>
      <c r="H2254" s="6"/>
      <c r="I2254" s="6"/>
      <c r="J2254" s="6"/>
      <c r="K2254" s="6"/>
      <c r="L2254" s="6"/>
      <c r="M2254" s="6"/>
      <c r="N2254" s="6"/>
      <c r="O2254" s="6"/>
      <c r="P2254" s="6"/>
      <c r="Q2254" s="6"/>
      <c r="R2254" s="6"/>
      <c r="S2254" s="6"/>
      <c r="T2254" s="6"/>
      <c r="U2254" s="6"/>
      <c r="V2254" s="6"/>
      <c r="W2254" s="6"/>
      <c r="X2254" s="6"/>
      <c r="Y2254" s="6"/>
      <c r="Z2254" s="6"/>
      <c r="AA2254" s="6"/>
      <c r="AB2254" s="6"/>
      <c r="AC2254" s="6"/>
      <c r="AD2254" s="6"/>
      <c r="AE2254" s="6"/>
      <c r="AF2254" s="6"/>
      <c r="AG2254" s="6"/>
      <c r="AH2254" s="6"/>
      <c r="AI2254" s="6"/>
      <c r="AJ2254" s="6"/>
      <c r="AK2254" s="6"/>
      <c r="AL2254" s="6"/>
      <c r="AM2254" s="6"/>
    </row>
    <row r="2255">
      <c r="A2255" s="6"/>
      <c r="B2255" s="6"/>
      <c r="C2255" s="6"/>
      <c r="D2255" s="6"/>
      <c r="E2255" s="6"/>
      <c r="F2255" s="6"/>
      <c r="G2255" s="6"/>
      <c r="H2255" s="6"/>
      <c r="I2255" s="6"/>
      <c r="J2255" s="6"/>
      <c r="K2255" s="6"/>
      <c r="L2255" s="6"/>
      <c r="M2255" s="6"/>
      <c r="N2255" s="6"/>
      <c r="O2255" s="6"/>
      <c r="P2255" s="6"/>
      <c r="Q2255" s="6"/>
      <c r="R2255" s="6"/>
      <c r="S2255" s="6"/>
      <c r="T2255" s="6"/>
      <c r="U2255" s="6"/>
      <c r="V2255" s="6"/>
      <c r="W2255" s="6"/>
      <c r="X2255" s="6"/>
      <c r="Y2255" s="6"/>
      <c r="Z2255" s="6"/>
      <c r="AA2255" s="6"/>
      <c r="AB2255" s="6"/>
      <c r="AC2255" s="6"/>
      <c r="AD2255" s="6"/>
      <c r="AE2255" s="6"/>
      <c r="AF2255" s="6"/>
      <c r="AG2255" s="6"/>
      <c r="AH2255" s="6"/>
      <c r="AI2255" s="6"/>
      <c r="AJ2255" s="6"/>
      <c r="AK2255" s="6"/>
      <c r="AL2255" s="6"/>
      <c r="AM2255" s="6"/>
    </row>
    <row r="2256">
      <c r="A2256" s="6"/>
      <c r="B2256" s="6"/>
      <c r="C2256" s="6"/>
      <c r="D2256" s="6"/>
      <c r="E2256" s="6"/>
      <c r="F2256" s="6"/>
      <c r="G2256" s="6"/>
      <c r="H2256" s="6"/>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c r="AG2256" s="6"/>
      <c r="AH2256" s="6"/>
      <c r="AI2256" s="6"/>
      <c r="AJ2256" s="6"/>
      <c r="AK2256" s="6"/>
      <c r="AL2256" s="6"/>
      <c r="AM2256" s="6"/>
    </row>
    <row r="2257">
      <c r="A2257" s="6"/>
      <c r="B2257" s="6"/>
      <c r="C2257" s="6"/>
      <c r="D2257" s="6"/>
      <c r="E2257" s="6"/>
      <c r="F2257" s="6"/>
      <c r="G2257" s="6"/>
      <c r="H2257" s="6"/>
      <c r="I2257" s="6"/>
      <c r="J2257" s="6"/>
      <c r="K2257" s="6"/>
      <c r="L2257" s="6"/>
      <c r="M2257" s="6"/>
      <c r="N2257" s="6"/>
      <c r="O2257" s="6"/>
      <c r="P2257" s="6"/>
      <c r="Q2257" s="6"/>
      <c r="R2257" s="6"/>
      <c r="S2257" s="6"/>
      <c r="T2257" s="6"/>
      <c r="U2257" s="6"/>
      <c r="V2257" s="6"/>
      <c r="W2257" s="6"/>
      <c r="X2257" s="6"/>
      <c r="Y2257" s="6"/>
      <c r="Z2257" s="6"/>
      <c r="AA2257" s="6"/>
      <c r="AB2257" s="6"/>
      <c r="AC2257" s="6"/>
      <c r="AD2257" s="6"/>
      <c r="AE2257" s="6"/>
      <c r="AF2257" s="6"/>
      <c r="AG2257" s="6"/>
      <c r="AH2257" s="6"/>
      <c r="AI2257" s="6"/>
      <c r="AJ2257" s="6"/>
      <c r="AK2257" s="6"/>
      <c r="AL2257" s="6"/>
      <c r="AM2257" s="6"/>
    </row>
    <row r="2258">
      <c r="A2258" s="6"/>
      <c r="B2258" s="6"/>
      <c r="C2258" s="6"/>
      <c r="D2258" s="6"/>
      <c r="E2258" s="6"/>
      <c r="F2258" s="6"/>
      <c r="G2258" s="6"/>
      <c r="H2258" s="6"/>
      <c r="I2258" s="6"/>
      <c r="J2258" s="6"/>
      <c r="K2258" s="6"/>
      <c r="L2258" s="6"/>
      <c r="M2258" s="6"/>
      <c r="N2258" s="6"/>
      <c r="O2258" s="6"/>
      <c r="P2258" s="6"/>
      <c r="Q2258" s="6"/>
      <c r="R2258" s="6"/>
      <c r="S2258" s="6"/>
      <c r="T2258" s="6"/>
      <c r="U2258" s="6"/>
      <c r="V2258" s="6"/>
      <c r="W2258" s="6"/>
      <c r="X2258" s="6"/>
      <c r="Y2258" s="6"/>
      <c r="Z2258" s="6"/>
      <c r="AA2258" s="6"/>
      <c r="AB2258" s="6"/>
      <c r="AC2258" s="6"/>
      <c r="AD2258" s="6"/>
      <c r="AE2258" s="6"/>
      <c r="AF2258" s="6"/>
      <c r="AG2258" s="6"/>
      <c r="AH2258" s="6"/>
      <c r="AI2258" s="6"/>
      <c r="AJ2258" s="6"/>
      <c r="AK2258" s="6"/>
      <c r="AL2258" s="6"/>
      <c r="AM2258" s="6"/>
    </row>
    <row r="2259">
      <c r="A2259" s="6"/>
      <c r="B2259" s="6"/>
      <c r="C2259" s="6"/>
      <c r="D2259" s="6"/>
      <c r="E2259" s="6"/>
      <c r="F2259" s="6"/>
      <c r="G2259" s="6"/>
      <c r="H2259" s="6"/>
      <c r="I2259" s="6"/>
      <c r="J2259" s="6"/>
      <c r="K2259" s="6"/>
      <c r="L2259" s="6"/>
      <c r="M2259" s="6"/>
      <c r="N2259" s="6"/>
      <c r="O2259" s="6"/>
      <c r="P2259" s="6"/>
      <c r="Q2259" s="6"/>
      <c r="R2259" s="6"/>
      <c r="S2259" s="6"/>
      <c r="T2259" s="6"/>
      <c r="U2259" s="6"/>
      <c r="V2259" s="6"/>
      <c r="W2259" s="6"/>
      <c r="X2259" s="6"/>
      <c r="Y2259" s="6"/>
      <c r="Z2259" s="6"/>
      <c r="AA2259" s="6"/>
      <c r="AB2259" s="6"/>
      <c r="AC2259" s="6"/>
      <c r="AD2259" s="6"/>
      <c r="AE2259" s="6"/>
      <c r="AF2259" s="6"/>
      <c r="AG2259" s="6"/>
      <c r="AH2259" s="6"/>
      <c r="AI2259" s="6"/>
      <c r="AJ2259" s="6"/>
      <c r="AK2259" s="6"/>
      <c r="AL2259" s="6"/>
      <c r="AM2259" s="6"/>
    </row>
    <row r="2260">
      <c r="A2260" s="6"/>
      <c r="B2260" s="6"/>
      <c r="C2260" s="6"/>
      <c r="D2260" s="6"/>
      <c r="E2260" s="6"/>
      <c r="F2260" s="6"/>
      <c r="G2260" s="6"/>
      <c r="H2260" s="6"/>
      <c r="I2260" s="6"/>
      <c r="J2260" s="6"/>
      <c r="K2260" s="6"/>
      <c r="L2260" s="6"/>
      <c r="M2260" s="6"/>
      <c r="N2260" s="6"/>
      <c r="O2260" s="6"/>
      <c r="P2260" s="6"/>
      <c r="Q2260" s="6"/>
      <c r="R2260" s="6"/>
      <c r="S2260" s="6"/>
      <c r="T2260" s="6"/>
      <c r="U2260" s="6"/>
      <c r="V2260" s="6"/>
      <c r="W2260" s="6"/>
      <c r="X2260" s="6"/>
      <c r="Y2260" s="6"/>
      <c r="Z2260" s="6"/>
      <c r="AA2260" s="6"/>
      <c r="AB2260" s="6"/>
      <c r="AC2260" s="6"/>
      <c r="AD2260" s="6"/>
      <c r="AE2260" s="6"/>
      <c r="AF2260" s="6"/>
      <c r="AG2260" s="6"/>
      <c r="AH2260" s="6"/>
      <c r="AI2260" s="6"/>
      <c r="AJ2260" s="6"/>
      <c r="AK2260" s="6"/>
      <c r="AL2260" s="6"/>
      <c r="AM2260" s="6"/>
    </row>
    <row r="2261">
      <c r="A2261" s="6"/>
      <c r="B2261" s="6"/>
      <c r="C2261" s="6"/>
      <c r="D2261" s="6"/>
      <c r="E2261" s="6"/>
      <c r="F2261" s="6"/>
      <c r="G2261" s="6"/>
      <c r="H2261" s="6"/>
      <c r="I2261" s="6"/>
      <c r="J2261" s="6"/>
      <c r="K2261" s="6"/>
      <c r="L2261" s="6"/>
      <c r="M2261" s="6"/>
      <c r="N2261" s="6"/>
      <c r="O2261" s="6"/>
      <c r="P2261" s="6"/>
      <c r="Q2261" s="6"/>
      <c r="R2261" s="6"/>
      <c r="S2261" s="6"/>
      <c r="T2261" s="6"/>
      <c r="U2261" s="6"/>
      <c r="V2261" s="6"/>
      <c r="W2261" s="6"/>
      <c r="X2261" s="6"/>
      <c r="Y2261" s="6"/>
      <c r="Z2261" s="6"/>
      <c r="AA2261" s="6"/>
      <c r="AB2261" s="6"/>
      <c r="AC2261" s="6"/>
      <c r="AD2261" s="6"/>
      <c r="AE2261" s="6"/>
      <c r="AF2261" s="6"/>
      <c r="AG2261" s="6"/>
      <c r="AH2261" s="6"/>
      <c r="AI2261" s="6"/>
      <c r="AJ2261" s="6"/>
      <c r="AK2261" s="6"/>
      <c r="AL2261" s="6"/>
      <c r="AM2261" s="6"/>
    </row>
    <row r="2262">
      <c r="A2262" s="6"/>
      <c r="B2262" s="6"/>
      <c r="C2262" s="6"/>
      <c r="D2262" s="6"/>
      <c r="E2262" s="6"/>
      <c r="F2262" s="6"/>
      <c r="G2262" s="6"/>
      <c r="H2262" s="6"/>
      <c r="I2262" s="6"/>
      <c r="J2262" s="6"/>
      <c r="K2262" s="6"/>
      <c r="L2262" s="6"/>
      <c r="M2262" s="6"/>
      <c r="N2262" s="6"/>
      <c r="O2262" s="6"/>
      <c r="P2262" s="6"/>
      <c r="Q2262" s="6"/>
      <c r="R2262" s="6"/>
      <c r="S2262" s="6"/>
      <c r="T2262" s="6"/>
      <c r="U2262" s="6"/>
      <c r="V2262" s="6"/>
      <c r="W2262" s="6"/>
      <c r="X2262" s="6"/>
      <c r="Y2262" s="6"/>
      <c r="Z2262" s="6"/>
      <c r="AA2262" s="6"/>
      <c r="AB2262" s="6"/>
      <c r="AC2262" s="6"/>
      <c r="AD2262" s="6"/>
      <c r="AE2262" s="6"/>
      <c r="AF2262" s="6"/>
      <c r="AG2262" s="6"/>
      <c r="AH2262" s="6"/>
      <c r="AI2262" s="6"/>
      <c r="AJ2262" s="6"/>
      <c r="AK2262" s="6"/>
      <c r="AL2262" s="6"/>
      <c r="AM2262" s="6"/>
    </row>
    <row r="2263">
      <c r="A2263" s="6"/>
      <c r="B2263" s="6"/>
      <c r="C2263" s="6"/>
      <c r="D2263" s="6"/>
      <c r="E2263" s="6"/>
      <c r="F2263" s="6"/>
      <c r="G2263" s="6"/>
      <c r="H2263" s="6"/>
      <c r="I2263" s="6"/>
      <c r="J2263" s="6"/>
      <c r="K2263" s="6"/>
      <c r="L2263" s="6"/>
      <c r="M2263" s="6"/>
      <c r="N2263" s="6"/>
      <c r="O2263" s="6"/>
      <c r="P2263" s="6"/>
      <c r="Q2263" s="6"/>
      <c r="R2263" s="6"/>
      <c r="S2263" s="6"/>
      <c r="T2263" s="6"/>
      <c r="U2263" s="6"/>
      <c r="V2263" s="6"/>
      <c r="W2263" s="6"/>
      <c r="X2263" s="6"/>
      <c r="Y2263" s="6"/>
      <c r="Z2263" s="6"/>
      <c r="AA2263" s="6"/>
      <c r="AB2263" s="6"/>
      <c r="AC2263" s="6"/>
      <c r="AD2263" s="6"/>
      <c r="AE2263" s="6"/>
      <c r="AF2263" s="6"/>
      <c r="AG2263" s="6"/>
      <c r="AH2263" s="6"/>
      <c r="AI2263" s="6"/>
      <c r="AJ2263" s="6"/>
      <c r="AK2263" s="6"/>
      <c r="AL2263" s="6"/>
      <c r="AM2263" s="6"/>
    </row>
    <row r="2264">
      <c r="A2264" s="6"/>
      <c r="B2264" s="6"/>
      <c r="C2264" s="6"/>
      <c r="D2264" s="6"/>
      <c r="E2264" s="6"/>
      <c r="F2264" s="6"/>
      <c r="G2264" s="6"/>
      <c r="H2264" s="6"/>
      <c r="I2264" s="6"/>
      <c r="J2264" s="6"/>
      <c r="K2264" s="6"/>
      <c r="L2264" s="6"/>
      <c r="M2264" s="6"/>
      <c r="N2264" s="6"/>
      <c r="O2264" s="6"/>
      <c r="P2264" s="6"/>
      <c r="Q2264" s="6"/>
      <c r="R2264" s="6"/>
      <c r="S2264" s="6"/>
      <c r="T2264" s="6"/>
      <c r="U2264" s="6"/>
      <c r="V2264" s="6"/>
      <c r="W2264" s="6"/>
      <c r="X2264" s="6"/>
      <c r="Y2264" s="6"/>
      <c r="Z2264" s="6"/>
      <c r="AA2264" s="6"/>
      <c r="AB2264" s="6"/>
      <c r="AC2264" s="6"/>
      <c r="AD2264" s="6"/>
      <c r="AE2264" s="6"/>
      <c r="AF2264" s="6"/>
      <c r="AG2264" s="6"/>
      <c r="AH2264" s="6"/>
      <c r="AI2264" s="6"/>
      <c r="AJ2264" s="6"/>
      <c r="AK2264" s="6"/>
      <c r="AL2264" s="6"/>
      <c r="AM2264" s="6"/>
    </row>
    <row r="2265">
      <c r="A2265" s="6"/>
      <c r="B2265" s="6"/>
      <c r="C2265" s="6"/>
      <c r="D2265" s="6"/>
      <c r="E2265" s="6"/>
      <c r="F2265" s="6"/>
      <c r="G2265" s="6"/>
      <c r="H2265" s="6"/>
      <c r="I2265" s="6"/>
      <c r="J2265" s="6"/>
      <c r="K2265" s="6"/>
      <c r="L2265" s="6"/>
      <c r="M2265" s="6"/>
      <c r="N2265" s="6"/>
      <c r="O2265" s="6"/>
      <c r="P2265" s="6"/>
      <c r="Q2265" s="6"/>
      <c r="R2265" s="6"/>
      <c r="S2265" s="6"/>
      <c r="T2265" s="6"/>
      <c r="U2265" s="6"/>
      <c r="V2265" s="6"/>
      <c r="W2265" s="6"/>
      <c r="X2265" s="6"/>
      <c r="Y2265" s="6"/>
      <c r="Z2265" s="6"/>
      <c r="AA2265" s="6"/>
      <c r="AB2265" s="6"/>
      <c r="AC2265" s="6"/>
      <c r="AD2265" s="6"/>
      <c r="AE2265" s="6"/>
      <c r="AF2265" s="6"/>
      <c r="AG2265" s="6"/>
      <c r="AH2265" s="6"/>
      <c r="AI2265" s="6"/>
      <c r="AJ2265" s="6"/>
      <c r="AK2265" s="6"/>
      <c r="AL2265" s="6"/>
      <c r="AM2265" s="6"/>
    </row>
    <row r="2266">
      <c r="A2266" s="6"/>
      <c r="B2266" s="6"/>
      <c r="C2266" s="6"/>
      <c r="D2266" s="6"/>
      <c r="E2266" s="6"/>
      <c r="F2266" s="6"/>
      <c r="G2266" s="6"/>
      <c r="H2266" s="6"/>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c r="AG2266" s="6"/>
      <c r="AH2266" s="6"/>
      <c r="AI2266" s="6"/>
      <c r="AJ2266" s="6"/>
      <c r="AK2266" s="6"/>
      <c r="AL2266" s="6"/>
      <c r="AM2266" s="6"/>
    </row>
    <row r="2267">
      <c r="A2267" s="6"/>
      <c r="B2267" s="6"/>
      <c r="C2267" s="6"/>
      <c r="D2267" s="6"/>
      <c r="E2267" s="6"/>
      <c r="F2267" s="6"/>
      <c r="G2267" s="6"/>
      <c r="H2267" s="6"/>
      <c r="I2267" s="6"/>
      <c r="J2267" s="6"/>
      <c r="K2267" s="6"/>
      <c r="L2267" s="6"/>
      <c r="M2267" s="6"/>
      <c r="N2267" s="6"/>
      <c r="O2267" s="6"/>
      <c r="P2267" s="6"/>
      <c r="Q2267" s="6"/>
      <c r="R2267" s="6"/>
      <c r="S2267" s="6"/>
      <c r="T2267" s="6"/>
      <c r="U2267" s="6"/>
      <c r="V2267" s="6"/>
      <c r="W2267" s="6"/>
      <c r="X2267" s="6"/>
      <c r="Y2267" s="6"/>
      <c r="Z2267" s="6"/>
      <c r="AA2267" s="6"/>
      <c r="AB2267" s="6"/>
      <c r="AC2267" s="6"/>
      <c r="AD2267" s="6"/>
      <c r="AE2267" s="6"/>
      <c r="AF2267" s="6"/>
      <c r="AG2267" s="6"/>
      <c r="AH2267" s="6"/>
      <c r="AI2267" s="6"/>
      <c r="AJ2267" s="6"/>
      <c r="AK2267" s="6"/>
      <c r="AL2267" s="6"/>
      <c r="AM2267" s="6"/>
    </row>
    <row r="2268">
      <c r="A2268" s="6"/>
      <c r="B2268" s="6"/>
      <c r="C2268" s="6"/>
      <c r="D2268" s="6"/>
      <c r="E2268" s="6"/>
      <c r="F2268" s="6"/>
      <c r="G2268" s="6"/>
      <c r="H2268" s="6"/>
      <c r="I2268" s="6"/>
      <c r="J2268" s="6"/>
      <c r="K2268" s="6"/>
      <c r="L2268" s="6"/>
      <c r="M2268" s="6"/>
      <c r="N2268" s="6"/>
      <c r="O2268" s="6"/>
      <c r="P2268" s="6"/>
      <c r="Q2268" s="6"/>
      <c r="R2268" s="6"/>
      <c r="S2268" s="6"/>
      <c r="T2268" s="6"/>
      <c r="U2268" s="6"/>
      <c r="V2268" s="6"/>
      <c r="W2268" s="6"/>
      <c r="X2268" s="6"/>
      <c r="Y2268" s="6"/>
      <c r="Z2268" s="6"/>
      <c r="AA2268" s="6"/>
      <c r="AB2268" s="6"/>
      <c r="AC2268" s="6"/>
      <c r="AD2268" s="6"/>
      <c r="AE2268" s="6"/>
      <c r="AF2268" s="6"/>
      <c r="AG2268" s="6"/>
      <c r="AH2268" s="6"/>
      <c r="AI2268" s="6"/>
      <c r="AJ2268" s="6"/>
      <c r="AK2268" s="6"/>
      <c r="AL2268" s="6"/>
      <c r="AM2268" s="6"/>
    </row>
    <row r="2269">
      <c r="A2269" s="6"/>
      <c r="B2269" s="6"/>
      <c r="C2269" s="6"/>
      <c r="D2269" s="6"/>
      <c r="E2269" s="6"/>
      <c r="F2269" s="6"/>
      <c r="G2269" s="6"/>
      <c r="H2269" s="6"/>
      <c r="I2269" s="6"/>
      <c r="J2269" s="6"/>
      <c r="K2269" s="6"/>
      <c r="L2269" s="6"/>
      <c r="M2269" s="6"/>
      <c r="N2269" s="6"/>
      <c r="O2269" s="6"/>
      <c r="P2269" s="6"/>
      <c r="Q2269" s="6"/>
      <c r="R2269" s="6"/>
      <c r="S2269" s="6"/>
      <c r="T2269" s="6"/>
      <c r="U2269" s="6"/>
      <c r="V2269" s="6"/>
      <c r="W2269" s="6"/>
      <c r="X2269" s="6"/>
      <c r="Y2269" s="6"/>
      <c r="Z2269" s="6"/>
      <c r="AA2269" s="6"/>
      <c r="AB2269" s="6"/>
      <c r="AC2269" s="6"/>
      <c r="AD2269" s="6"/>
      <c r="AE2269" s="6"/>
      <c r="AF2269" s="6"/>
      <c r="AG2269" s="6"/>
      <c r="AH2269" s="6"/>
      <c r="AI2269" s="6"/>
      <c r="AJ2269" s="6"/>
      <c r="AK2269" s="6"/>
      <c r="AL2269" s="6"/>
      <c r="AM2269" s="6"/>
    </row>
    <row r="2270">
      <c r="A2270" s="6"/>
      <c r="B2270" s="6"/>
      <c r="C2270" s="6"/>
      <c r="D2270" s="6"/>
      <c r="E2270" s="6"/>
      <c r="F2270" s="6"/>
      <c r="G2270" s="6"/>
      <c r="H2270" s="6"/>
      <c r="I2270" s="6"/>
      <c r="J2270" s="6"/>
      <c r="K2270" s="6"/>
      <c r="L2270" s="6"/>
      <c r="M2270" s="6"/>
      <c r="N2270" s="6"/>
      <c r="O2270" s="6"/>
      <c r="P2270" s="6"/>
      <c r="Q2270" s="6"/>
      <c r="R2270" s="6"/>
      <c r="S2270" s="6"/>
      <c r="T2270" s="6"/>
      <c r="U2270" s="6"/>
      <c r="V2270" s="6"/>
      <c r="W2270" s="6"/>
      <c r="X2270" s="6"/>
      <c r="Y2270" s="6"/>
      <c r="Z2270" s="6"/>
      <c r="AA2270" s="6"/>
      <c r="AB2270" s="6"/>
      <c r="AC2270" s="6"/>
      <c r="AD2270" s="6"/>
      <c r="AE2270" s="6"/>
      <c r="AF2270" s="6"/>
      <c r="AG2270" s="6"/>
      <c r="AH2270" s="6"/>
      <c r="AI2270" s="6"/>
      <c r="AJ2270" s="6"/>
      <c r="AK2270" s="6"/>
      <c r="AL2270" s="6"/>
      <c r="AM2270" s="6"/>
    </row>
    <row r="2271">
      <c r="A2271" s="6"/>
      <c r="B2271" s="6"/>
      <c r="C2271" s="6"/>
      <c r="D2271" s="6"/>
      <c r="E2271" s="6"/>
      <c r="F2271" s="6"/>
      <c r="G2271" s="6"/>
      <c r="H2271" s="6"/>
      <c r="I2271" s="6"/>
      <c r="J2271" s="6"/>
      <c r="K2271" s="6"/>
      <c r="L2271" s="6"/>
      <c r="M2271" s="6"/>
      <c r="N2271" s="6"/>
      <c r="O2271" s="6"/>
      <c r="P2271" s="6"/>
      <c r="Q2271" s="6"/>
      <c r="R2271" s="6"/>
      <c r="S2271" s="6"/>
      <c r="T2271" s="6"/>
      <c r="U2271" s="6"/>
      <c r="V2271" s="6"/>
      <c r="W2271" s="6"/>
      <c r="X2271" s="6"/>
      <c r="Y2271" s="6"/>
      <c r="Z2271" s="6"/>
      <c r="AA2271" s="6"/>
      <c r="AB2271" s="6"/>
      <c r="AC2271" s="6"/>
      <c r="AD2271" s="6"/>
      <c r="AE2271" s="6"/>
      <c r="AF2271" s="6"/>
      <c r="AG2271" s="6"/>
      <c r="AH2271" s="6"/>
      <c r="AI2271" s="6"/>
      <c r="AJ2271" s="6"/>
      <c r="AK2271" s="6"/>
      <c r="AL2271" s="6"/>
      <c r="AM2271" s="6"/>
    </row>
    <row r="2272">
      <c r="A2272" s="6"/>
      <c r="B2272" s="6"/>
      <c r="C2272" s="6"/>
      <c r="D2272" s="6"/>
      <c r="E2272" s="6"/>
      <c r="F2272" s="6"/>
      <c r="G2272" s="6"/>
      <c r="H2272" s="6"/>
      <c r="I2272" s="6"/>
      <c r="J2272" s="6"/>
      <c r="K2272" s="6"/>
      <c r="L2272" s="6"/>
      <c r="M2272" s="6"/>
      <c r="N2272" s="6"/>
      <c r="O2272" s="6"/>
      <c r="P2272" s="6"/>
      <c r="Q2272" s="6"/>
      <c r="R2272" s="6"/>
      <c r="S2272" s="6"/>
      <c r="T2272" s="6"/>
      <c r="U2272" s="6"/>
      <c r="V2272" s="6"/>
      <c r="W2272" s="6"/>
      <c r="X2272" s="6"/>
      <c r="Y2272" s="6"/>
      <c r="Z2272" s="6"/>
      <c r="AA2272" s="6"/>
      <c r="AB2272" s="6"/>
      <c r="AC2272" s="6"/>
      <c r="AD2272" s="6"/>
      <c r="AE2272" s="6"/>
      <c r="AF2272" s="6"/>
      <c r="AG2272" s="6"/>
      <c r="AH2272" s="6"/>
      <c r="AI2272" s="6"/>
      <c r="AJ2272" s="6"/>
      <c r="AK2272" s="6"/>
      <c r="AL2272" s="6"/>
      <c r="AM2272" s="6"/>
    </row>
    <row r="2273">
      <c r="A2273" s="6"/>
      <c r="B2273" s="6"/>
      <c r="C2273" s="6"/>
      <c r="D2273" s="6"/>
      <c r="E2273" s="6"/>
      <c r="F2273" s="6"/>
      <c r="G2273" s="6"/>
      <c r="H2273" s="6"/>
      <c r="I2273" s="6"/>
      <c r="J2273" s="6"/>
      <c r="K2273" s="6"/>
      <c r="L2273" s="6"/>
      <c r="M2273" s="6"/>
      <c r="N2273" s="6"/>
      <c r="O2273" s="6"/>
      <c r="P2273" s="6"/>
      <c r="Q2273" s="6"/>
      <c r="R2273" s="6"/>
      <c r="S2273" s="6"/>
      <c r="T2273" s="6"/>
      <c r="U2273" s="6"/>
      <c r="V2273" s="6"/>
      <c r="W2273" s="6"/>
      <c r="X2273" s="6"/>
      <c r="Y2273" s="6"/>
      <c r="Z2273" s="6"/>
      <c r="AA2273" s="6"/>
      <c r="AB2273" s="6"/>
      <c r="AC2273" s="6"/>
      <c r="AD2273" s="6"/>
      <c r="AE2273" s="6"/>
      <c r="AF2273" s="6"/>
      <c r="AG2273" s="6"/>
      <c r="AH2273" s="6"/>
      <c r="AI2273" s="6"/>
      <c r="AJ2273" s="6"/>
      <c r="AK2273" s="6"/>
      <c r="AL2273" s="6"/>
      <c r="AM2273" s="6"/>
    </row>
    <row r="2274">
      <c r="A2274" s="6"/>
      <c r="B2274" s="6"/>
      <c r="C2274" s="6"/>
      <c r="D2274" s="6"/>
      <c r="E2274" s="6"/>
      <c r="F2274" s="6"/>
      <c r="G2274" s="6"/>
      <c r="H2274" s="6"/>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c r="AG2274" s="6"/>
      <c r="AH2274" s="6"/>
      <c r="AI2274" s="6"/>
      <c r="AJ2274" s="6"/>
      <c r="AK2274" s="6"/>
      <c r="AL2274" s="6"/>
      <c r="AM2274" s="6"/>
    </row>
    <row r="2275">
      <c r="A2275" s="6"/>
      <c r="B2275" s="6"/>
      <c r="C2275" s="6"/>
      <c r="D2275" s="6"/>
      <c r="E2275" s="6"/>
      <c r="F2275" s="6"/>
      <c r="G2275" s="6"/>
      <c r="H2275" s="6"/>
      <c r="I2275" s="6"/>
      <c r="J2275" s="6"/>
      <c r="K2275" s="6"/>
      <c r="L2275" s="6"/>
      <c r="M2275" s="6"/>
      <c r="N2275" s="6"/>
      <c r="O2275" s="6"/>
      <c r="P2275" s="6"/>
      <c r="Q2275" s="6"/>
      <c r="R2275" s="6"/>
      <c r="S2275" s="6"/>
      <c r="T2275" s="6"/>
      <c r="U2275" s="6"/>
      <c r="V2275" s="6"/>
      <c r="W2275" s="6"/>
      <c r="X2275" s="6"/>
      <c r="Y2275" s="6"/>
      <c r="Z2275" s="6"/>
      <c r="AA2275" s="6"/>
      <c r="AB2275" s="6"/>
      <c r="AC2275" s="6"/>
      <c r="AD2275" s="6"/>
      <c r="AE2275" s="6"/>
      <c r="AF2275" s="6"/>
      <c r="AG2275" s="6"/>
      <c r="AH2275" s="6"/>
      <c r="AI2275" s="6"/>
      <c r="AJ2275" s="6"/>
      <c r="AK2275" s="6"/>
      <c r="AL2275" s="6"/>
      <c r="AM2275" s="6"/>
    </row>
    <row r="2276">
      <c r="A2276" s="6"/>
      <c r="B2276" s="6"/>
      <c r="C2276" s="6"/>
      <c r="D2276" s="6"/>
      <c r="E2276" s="6"/>
      <c r="F2276" s="6"/>
      <c r="G2276" s="6"/>
      <c r="H2276" s="6"/>
      <c r="I2276" s="6"/>
      <c r="J2276" s="6"/>
      <c r="K2276" s="6"/>
      <c r="L2276" s="6"/>
      <c r="M2276" s="6"/>
      <c r="N2276" s="6"/>
      <c r="O2276" s="6"/>
      <c r="P2276" s="6"/>
      <c r="Q2276" s="6"/>
      <c r="R2276" s="6"/>
      <c r="S2276" s="6"/>
      <c r="T2276" s="6"/>
      <c r="U2276" s="6"/>
      <c r="V2276" s="6"/>
      <c r="W2276" s="6"/>
      <c r="X2276" s="6"/>
      <c r="Y2276" s="6"/>
      <c r="Z2276" s="6"/>
      <c r="AA2276" s="6"/>
      <c r="AB2276" s="6"/>
      <c r="AC2276" s="6"/>
      <c r="AD2276" s="6"/>
      <c r="AE2276" s="6"/>
      <c r="AF2276" s="6"/>
      <c r="AG2276" s="6"/>
      <c r="AH2276" s="6"/>
      <c r="AI2276" s="6"/>
      <c r="AJ2276" s="6"/>
      <c r="AK2276" s="6"/>
      <c r="AL2276" s="6"/>
      <c r="AM2276" s="6"/>
    </row>
    <row r="2277">
      <c r="A2277" s="6"/>
      <c r="B2277" s="6"/>
      <c r="C2277" s="6"/>
      <c r="D2277" s="6"/>
      <c r="E2277" s="6"/>
      <c r="F2277" s="6"/>
      <c r="G2277" s="6"/>
      <c r="H2277" s="6"/>
      <c r="I2277" s="6"/>
      <c r="J2277" s="6"/>
      <c r="K2277" s="6"/>
      <c r="L2277" s="6"/>
      <c r="M2277" s="6"/>
      <c r="N2277" s="6"/>
      <c r="O2277" s="6"/>
      <c r="P2277" s="6"/>
      <c r="Q2277" s="6"/>
      <c r="R2277" s="6"/>
      <c r="S2277" s="6"/>
      <c r="T2277" s="6"/>
      <c r="U2277" s="6"/>
      <c r="V2277" s="6"/>
      <c r="W2277" s="6"/>
      <c r="X2277" s="6"/>
      <c r="Y2277" s="6"/>
      <c r="Z2277" s="6"/>
      <c r="AA2277" s="6"/>
      <c r="AB2277" s="6"/>
      <c r="AC2277" s="6"/>
      <c r="AD2277" s="6"/>
      <c r="AE2277" s="6"/>
      <c r="AF2277" s="6"/>
      <c r="AG2277" s="6"/>
      <c r="AH2277" s="6"/>
      <c r="AI2277" s="6"/>
      <c r="AJ2277" s="6"/>
      <c r="AK2277" s="6"/>
      <c r="AL2277" s="6"/>
      <c r="AM2277" s="6"/>
    </row>
    <row r="2278">
      <c r="A2278" s="6"/>
      <c r="B2278" s="6"/>
      <c r="C2278" s="6"/>
      <c r="D2278" s="6"/>
      <c r="E2278" s="6"/>
      <c r="F2278" s="6"/>
      <c r="G2278" s="6"/>
      <c r="H2278" s="6"/>
      <c r="I2278" s="6"/>
      <c r="J2278" s="6"/>
      <c r="K2278" s="6"/>
      <c r="L2278" s="6"/>
      <c r="M2278" s="6"/>
      <c r="N2278" s="6"/>
      <c r="O2278" s="6"/>
      <c r="P2278" s="6"/>
      <c r="Q2278" s="6"/>
      <c r="R2278" s="6"/>
      <c r="S2278" s="6"/>
      <c r="T2278" s="6"/>
      <c r="U2278" s="6"/>
      <c r="V2278" s="6"/>
      <c r="W2278" s="6"/>
      <c r="X2278" s="6"/>
      <c r="Y2278" s="6"/>
      <c r="Z2278" s="6"/>
      <c r="AA2278" s="6"/>
      <c r="AB2278" s="6"/>
      <c r="AC2278" s="6"/>
      <c r="AD2278" s="6"/>
      <c r="AE2278" s="6"/>
      <c r="AF2278" s="6"/>
      <c r="AG2278" s="6"/>
      <c r="AH2278" s="6"/>
      <c r="AI2278" s="6"/>
      <c r="AJ2278" s="6"/>
      <c r="AK2278" s="6"/>
      <c r="AL2278" s="6"/>
      <c r="AM2278" s="6"/>
    </row>
    <row r="2279">
      <c r="A2279" s="6"/>
      <c r="B2279" s="6"/>
      <c r="C2279" s="6"/>
      <c r="D2279" s="6"/>
      <c r="E2279" s="6"/>
      <c r="F2279" s="6"/>
      <c r="G2279" s="6"/>
      <c r="H2279" s="6"/>
      <c r="I2279" s="6"/>
      <c r="J2279" s="6"/>
      <c r="K2279" s="6"/>
      <c r="L2279" s="6"/>
      <c r="M2279" s="6"/>
      <c r="N2279" s="6"/>
      <c r="O2279" s="6"/>
      <c r="P2279" s="6"/>
      <c r="Q2279" s="6"/>
      <c r="R2279" s="6"/>
      <c r="S2279" s="6"/>
      <c r="T2279" s="6"/>
      <c r="U2279" s="6"/>
      <c r="V2279" s="6"/>
      <c r="W2279" s="6"/>
      <c r="X2279" s="6"/>
      <c r="Y2279" s="6"/>
      <c r="Z2279" s="6"/>
      <c r="AA2279" s="6"/>
      <c r="AB2279" s="6"/>
      <c r="AC2279" s="6"/>
      <c r="AD2279" s="6"/>
      <c r="AE2279" s="6"/>
      <c r="AF2279" s="6"/>
      <c r="AG2279" s="6"/>
      <c r="AH2279" s="6"/>
      <c r="AI2279" s="6"/>
      <c r="AJ2279" s="6"/>
      <c r="AK2279" s="6"/>
      <c r="AL2279" s="6"/>
      <c r="AM2279" s="6"/>
    </row>
    <row r="2280">
      <c r="A2280" s="6"/>
      <c r="B2280" s="6"/>
      <c r="C2280" s="6"/>
      <c r="D2280" s="6"/>
      <c r="E2280" s="6"/>
      <c r="F2280" s="6"/>
      <c r="G2280" s="6"/>
      <c r="H2280" s="6"/>
      <c r="I2280" s="6"/>
      <c r="J2280" s="6"/>
      <c r="K2280" s="6"/>
      <c r="L2280" s="6"/>
      <c r="M2280" s="6"/>
      <c r="N2280" s="6"/>
      <c r="O2280" s="6"/>
      <c r="P2280" s="6"/>
      <c r="Q2280" s="6"/>
      <c r="R2280" s="6"/>
      <c r="S2280" s="6"/>
      <c r="T2280" s="6"/>
      <c r="U2280" s="6"/>
      <c r="V2280" s="6"/>
      <c r="W2280" s="6"/>
      <c r="X2280" s="6"/>
      <c r="Y2280" s="6"/>
      <c r="Z2280" s="6"/>
      <c r="AA2280" s="6"/>
      <c r="AB2280" s="6"/>
      <c r="AC2280" s="6"/>
      <c r="AD2280" s="6"/>
      <c r="AE2280" s="6"/>
      <c r="AF2280" s="6"/>
      <c r="AG2280" s="6"/>
      <c r="AH2280" s="6"/>
      <c r="AI2280" s="6"/>
      <c r="AJ2280" s="6"/>
      <c r="AK2280" s="6"/>
      <c r="AL2280" s="6"/>
      <c r="AM2280" s="6"/>
    </row>
    <row r="2281">
      <c r="A2281" s="6"/>
      <c r="B2281" s="6"/>
      <c r="C2281" s="6"/>
      <c r="D2281" s="6"/>
      <c r="E2281" s="6"/>
      <c r="F2281" s="6"/>
      <c r="G2281" s="6"/>
      <c r="H2281" s="6"/>
      <c r="I2281" s="6"/>
      <c r="J2281" s="6"/>
      <c r="K2281" s="6"/>
      <c r="L2281" s="6"/>
      <c r="M2281" s="6"/>
      <c r="N2281" s="6"/>
      <c r="O2281" s="6"/>
      <c r="P2281" s="6"/>
      <c r="Q2281" s="6"/>
      <c r="R2281" s="6"/>
      <c r="S2281" s="6"/>
      <c r="T2281" s="6"/>
      <c r="U2281" s="6"/>
      <c r="V2281" s="6"/>
      <c r="W2281" s="6"/>
      <c r="X2281" s="6"/>
      <c r="Y2281" s="6"/>
      <c r="Z2281" s="6"/>
      <c r="AA2281" s="6"/>
      <c r="AB2281" s="6"/>
      <c r="AC2281" s="6"/>
      <c r="AD2281" s="6"/>
      <c r="AE2281" s="6"/>
      <c r="AF2281" s="6"/>
      <c r="AG2281" s="6"/>
      <c r="AH2281" s="6"/>
      <c r="AI2281" s="6"/>
      <c r="AJ2281" s="6"/>
      <c r="AK2281" s="6"/>
      <c r="AL2281" s="6"/>
      <c r="AM2281" s="6"/>
    </row>
    <row r="2282">
      <c r="A2282" s="6"/>
      <c r="B2282" s="6"/>
      <c r="C2282" s="6"/>
      <c r="D2282" s="6"/>
      <c r="E2282" s="6"/>
      <c r="F2282" s="6"/>
      <c r="G2282" s="6"/>
      <c r="H2282" s="6"/>
      <c r="I2282" s="6"/>
      <c r="J2282" s="6"/>
      <c r="K2282" s="6"/>
      <c r="L2282" s="6"/>
      <c r="M2282" s="6"/>
      <c r="N2282" s="6"/>
      <c r="O2282" s="6"/>
      <c r="P2282" s="6"/>
      <c r="Q2282" s="6"/>
      <c r="R2282" s="6"/>
      <c r="S2282" s="6"/>
      <c r="T2282" s="6"/>
      <c r="U2282" s="6"/>
      <c r="V2282" s="6"/>
      <c r="W2282" s="6"/>
      <c r="X2282" s="6"/>
      <c r="Y2282" s="6"/>
      <c r="Z2282" s="6"/>
      <c r="AA2282" s="6"/>
      <c r="AB2282" s="6"/>
      <c r="AC2282" s="6"/>
      <c r="AD2282" s="6"/>
      <c r="AE2282" s="6"/>
      <c r="AF2282" s="6"/>
      <c r="AG2282" s="6"/>
      <c r="AH2282" s="6"/>
      <c r="AI2282" s="6"/>
      <c r="AJ2282" s="6"/>
      <c r="AK2282" s="6"/>
      <c r="AL2282" s="6"/>
      <c r="AM2282" s="6"/>
    </row>
    <row r="2283">
      <c r="A2283" s="6"/>
      <c r="B2283" s="6"/>
      <c r="C2283" s="6"/>
      <c r="D2283" s="6"/>
      <c r="E2283" s="6"/>
      <c r="F2283" s="6"/>
      <c r="G2283" s="6"/>
      <c r="H2283" s="6"/>
      <c r="I2283" s="6"/>
      <c r="J2283" s="6"/>
      <c r="K2283" s="6"/>
      <c r="L2283" s="6"/>
      <c r="M2283" s="6"/>
      <c r="N2283" s="6"/>
      <c r="O2283" s="6"/>
      <c r="P2283" s="6"/>
      <c r="Q2283" s="6"/>
      <c r="R2283" s="6"/>
      <c r="S2283" s="6"/>
      <c r="T2283" s="6"/>
      <c r="U2283" s="6"/>
      <c r="V2283" s="6"/>
      <c r="W2283" s="6"/>
      <c r="X2283" s="6"/>
      <c r="Y2283" s="6"/>
      <c r="Z2283" s="6"/>
      <c r="AA2283" s="6"/>
      <c r="AB2283" s="6"/>
      <c r="AC2283" s="6"/>
      <c r="AD2283" s="6"/>
      <c r="AE2283" s="6"/>
      <c r="AF2283" s="6"/>
      <c r="AG2283" s="6"/>
      <c r="AH2283" s="6"/>
      <c r="AI2283" s="6"/>
      <c r="AJ2283" s="6"/>
      <c r="AK2283" s="6"/>
      <c r="AL2283" s="6"/>
      <c r="AM2283" s="6"/>
    </row>
    <row r="2284">
      <c r="A2284" s="6"/>
      <c r="B2284" s="6"/>
      <c r="C2284" s="6"/>
      <c r="D2284" s="6"/>
      <c r="E2284" s="6"/>
      <c r="F2284" s="6"/>
      <c r="G2284" s="6"/>
      <c r="H2284" s="6"/>
      <c r="I2284" s="6"/>
      <c r="J2284" s="6"/>
      <c r="K2284" s="6"/>
      <c r="L2284" s="6"/>
      <c r="M2284" s="6"/>
      <c r="N2284" s="6"/>
      <c r="O2284" s="6"/>
      <c r="P2284" s="6"/>
      <c r="Q2284" s="6"/>
      <c r="R2284" s="6"/>
      <c r="S2284" s="6"/>
      <c r="T2284" s="6"/>
      <c r="U2284" s="6"/>
      <c r="V2284" s="6"/>
      <c r="W2284" s="6"/>
      <c r="X2284" s="6"/>
      <c r="Y2284" s="6"/>
      <c r="Z2284" s="6"/>
      <c r="AA2284" s="6"/>
      <c r="AB2284" s="6"/>
      <c r="AC2284" s="6"/>
      <c r="AD2284" s="6"/>
      <c r="AE2284" s="6"/>
      <c r="AF2284" s="6"/>
      <c r="AG2284" s="6"/>
      <c r="AH2284" s="6"/>
      <c r="AI2284" s="6"/>
      <c r="AJ2284" s="6"/>
      <c r="AK2284" s="6"/>
      <c r="AL2284" s="6"/>
      <c r="AM2284" s="6"/>
    </row>
    <row r="2285">
      <c r="A2285" s="6"/>
      <c r="B2285" s="6"/>
      <c r="C2285" s="6"/>
      <c r="D2285" s="6"/>
      <c r="E2285" s="6"/>
      <c r="F2285" s="6"/>
      <c r="G2285" s="6"/>
      <c r="H2285" s="6"/>
      <c r="I2285" s="6"/>
      <c r="J2285" s="6"/>
      <c r="K2285" s="6"/>
      <c r="L2285" s="6"/>
      <c r="M2285" s="6"/>
      <c r="N2285" s="6"/>
      <c r="O2285" s="6"/>
      <c r="P2285" s="6"/>
      <c r="Q2285" s="6"/>
      <c r="R2285" s="6"/>
      <c r="S2285" s="6"/>
      <c r="T2285" s="6"/>
      <c r="U2285" s="6"/>
      <c r="V2285" s="6"/>
      <c r="W2285" s="6"/>
      <c r="X2285" s="6"/>
      <c r="Y2285" s="6"/>
      <c r="Z2285" s="6"/>
      <c r="AA2285" s="6"/>
      <c r="AB2285" s="6"/>
      <c r="AC2285" s="6"/>
      <c r="AD2285" s="6"/>
      <c r="AE2285" s="6"/>
      <c r="AF2285" s="6"/>
      <c r="AG2285" s="6"/>
      <c r="AH2285" s="6"/>
      <c r="AI2285" s="6"/>
      <c r="AJ2285" s="6"/>
      <c r="AK2285" s="6"/>
      <c r="AL2285" s="6"/>
      <c r="AM2285" s="6"/>
    </row>
    <row r="2286">
      <c r="A2286" s="6"/>
      <c r="B2286" s="6"/>
      <c r="C2286" s="6"/>
      <c r="D2286" s="6"/>
      <c r="E2286" s="6"/>
      <c r="F2286" s="6"/>
      <c r="G2286" s="6"/>
      <c r="H2286" s="6"/>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c r="AG2286" s="6"/>
      <c r="AH2286" s="6"/>
      <c r="AI2286" s="6"/>
      <c r="AJ2286" s="6"/>
      <c r="AK2286" s="6"/>
      <c r="AL2286" s="6"/>
      <c r="AM2286" s="6"/>
    </row>
    <row r="2287">
      <c r="A2287" s="6"/>
      <c r="B2287" s="6"/>
      <c r="C2287" s="6"/>
      <c r="D2287" s="6"/>
      <c r="E2287" s="6"/>
      <c r="F2287" s="6"/>
      <c r="G2287" s="6"/>
      <c r="H2287" s="6"/>
      <c r="I2287" s="6"/>
      <c r="J2287" s="6"/>
      <c r="K2287" s="6"/>
      <c r="L2287" s="6"/>
      <c r="M2287" s="6"/>
      <c r="N2287" s="6"/>
      <c r="O2287" s="6"/>
      <c r="P2287" s="6"/>
      <c r="Q2287" s="6"/>
      <c r="R2287" s="6"/>
      <c r="S2287" s="6"/>
      <c r="T2287" s="6"/>
      <c r="U2287" s="6"/>
      <c r="V2287" s="6"/>
      <c r="W2287" s="6"/>
      <c r="X2287" s="6"/>
      <c r="Y2287" s="6"/>
      <c r="Z2287" s="6"/>
      <c r="AA2287" s="6"/>
      <c r="AB2287" s="6"/>
      <c r="AC2287" s="6"/>
      <c r="AD2287" s="6"/>
      <c r="AE2287" s="6"/>
      <c r="AF2287" s="6"/>
      <c r="AG2287" s="6"/>
      <c r="AH2287" s="6"/>
      <c r="AI2287" s="6"/>
      <c r="AJ2287" s="6"/>
      <c r="AK2287" s="6"/>
      <c r="AL2287" s="6"/>
      <c r="AM2287" s="6"/>
    </row>
    <row r="2288">
      <c r="A2288" s="6"/>
      <c r="B2288" s="6"/>
      <c r="C2288" s="6"/>
      <c r="D2288" s="6"/>
      <c r="E2288" s="6"/>
      <c r="F2288" s="6"/>
      <c r="G2288" s="6"/>
      <c r="H2288" s="6"/>
      <c r="I2288" s="6"/>
      <c r="J2288" s="6"/>
      <c r="K2288" s="6"/>
      <c r="L2288" s="6"/>
      <c r="M2288" s="6"/>
      <c r="N2288" s="6"/>
      <c r="O2288" s="6"/>
      <c r="P2288" s="6"/>
      <c r="Q2288" s="6"/>
      <c r="R2288" s="6"/>
      <c r="S2288" s="6"/>
      <c r="T2288" s="6"/>
      <c r="U2288" s="6"/>
      <c r="V2288" s="6"/>
      <c r="W2288" s="6"/>
      <c r="X2288" s="6"/>
      <c r="Y2288" s="6"/>
      <c r="Z2288" s="6"/>
      <c r="AA2288" s="6"/>
      <c r="AB2288" s="6"/>
      <c r="AC2288" s="6"/>
      <c r="AD2288" s="6"/>
      <c r="AE2288" s="6"/>
      <c r="AF2288" s="6"/>
      <c r="AG2288" s="6"/>
      <c r="AH2288" s="6"/>
      <c r="AI2288" s="6"/>
      <c r="AJ2288" s="6"/>
      <c r="AK2288" s="6"/>
      <c r="AL2288" s="6"/>
      <c r="AM2288" s="6"/>
    </row>
    <row r="2289">
      <c r="A2289" s="6"/>
      <c r="B2289" s="6"/>
      <c r="C2289" s="6"/>
      <c r="D2289" s="6"/>
      <c r="E2289" s="6"/>
      <c r="F2289" s="6"/>
      <c r="G2289" s="6"/>
      <c r="H2289" s="6"/>
      <c r="I2289" s="6"/>
      <c r="J2289" s="6"/>
      <c r="K2289" s="6"/>
      <c r="L2289" s="6"/>
      <c r="M2289" s="6"/>
      <c r="N2289" s="6"/>
      <c r="O2289" s="6"/>
      <c r="P2289" s="6"/>
      <c r="Q2289" s="6"/>
      <c r="R2289" s="6"/>
      <c r="S2289" s="6"/>
      <c r="T2289" s="6"/>
      <c r="U2289" s="6"/>
      <c r="V2289" s="6"/>
      <c r="W2289" s="6"/>
      <c r="X2289" s="6"/>
      <c r="Y2289" s="6"/>
      <c r="Z2289" s="6"/>
      <c r="AA2289" s="6"/>
      <c r="AB2289" s="6"/>
      <c r="AC2289" s="6"/>
      <c r="AD2289" s="6"/>
      <c r="AE2289" s="6"/>
      <c r="AF2289" s="6"/>
      <c r="AG2289" s="6"/>
      <c r="AH2289" s="6"/>
      <c r="AI2289" s="6"/>
      <c r="AJ2289" s="6"/>
      <c r="AK2289" s="6"/>
      <c r="AL2289" s="6"/>
      <c r="AM2289" s="6"/>
    </row>
    <row r="2290">
      <c r="A2290" s="6"/>
      <c r="B2290" s="6"/>
      <c r="C2290" s="6"/>
      <c r="D2290" s="6"/>
      <c r="E2290" s="6"/>
      <c r="F2290" s="6"/>
      <c r="G2290" s="6"/>
      <c r="H2290" s="6"/>
      <c r="I2290" s="6"/>
      <c r="J2290" s="6"/>
      <c r="K2290" s="6"/>
      <c r="L2290" s="6"/>
      <c r="M2290" s="6"/>
      <c r="N2290" s="6"/>
      <c r="O2290" s="6"/>
      <c r="P2290" s="6"/>
      <c r="Q2290" s="6"/>
      <c r="R2290" s="6"/>
      <c r="S2290" s="6"/>
      <c r="T2290" s="6"/>
      <c r="U2290" s="6"/>
      <c r="V2290" s="6"/>
      <c r="W2290" s="6"/>
      <c r="X2290" s="6"/>
      <c r="Y2290" s="6"/>
      <c r="Z2290" s="6"/>
      <c r="AA2290" s="6"/>
      <c r="AB2290" s="6"/>
      <c r="AC2290" s="6"/>
      <c r="AD2290" s="6"/>
      <c r="AE2290" s="6"/>
      <c r="AF2290" s="6"/>
      <c r="AG2290" s="6"/>
      <c r="AH2290" s="6"/>
      <c r="AI2290" s="6"/>
      <c r="AJ2290" s="6"/>
      <c r="AK2290" s="6"/>
      <c r="AL2290" s="6"/>
      <c r="AM2290" s="6"/>
    </row>
    <row r="2291">
      <c r="A2291" s="6"/>
      <c r="B2291" s="6"/>
      <c r="C2291" s="6"/>
      <c r="D2291" s="6"/>
      <c r="E2291" s="6"/>
      <c r="F2291" s="6"/>
      <c r="G2291" s="6"/>
      <c r="H2291" s="6"/>
      <c r="I2291" s="6"/>
      <c r="J2291" s="6"/>
      <c r="K2291" s="6"/>
      <c r="L2291" s="6"/>
      <c r="M2291" s="6"/>
      <c r="N2291" s="6"/>
      <c r="O2291" s="6"/>
      <c r="P2291" s="6"/>
      <c r="Q2291" s="6"/>
      <c r="R2291" s="6"/>
      <c r="S2291" s="6"/>
      <c r="T2291" s="6"/>
      <c r="U2291" s="6"/>
      <c r="V2291" s="6"/>
      <c r="W2291" s="6"/>
      <c r="X2291" s="6"/>
      <c r="Y2291" s="6"/>
      <c r="Z2291" s="6"/>
      <c r="AA2291" s="6"/>
      <c r="AB2291" s="6"/>
      <c r="AC2291" s="6"/>
      <c r="AD2291" s="6"/>
      <c r="AE2291" s="6"/>
      <c r="AF2291" s="6"/>
      <c r="AG2291" s="6"/>
      <c r="AH2291" s="6"/>
      <c r="AI2291" s="6"/>
      <c r="AJ2291" s="6"/>
      <c r="AK2291" s="6"/>
      <c r="AL2291" s="6"/>
      <c r="AM2291" s="6"/>
    </row>
    <row r="2292">
      <c r="A2292" s="6"/>
      <c r="B2292" s="6"/>
      <c r="C2292" s="6"/>
      <c r="D2292" s="6"/>
      <c r="E2292" s="6"/>
      <c r="F2292" s="6"/>
      <c r="G2292" s="6"/>
      <c r="H2292" s="6"/>
      <c r="I2292" s="6"/>
      <c r="J2292" s="6"/>
      <c r="K2292" s="6"/>
      <c r="L2292" s="6"/>
      <c r="M2292" s="6"/>
      <c r="N2292" s="6"/>
      <c r="O2292" s="6"/>
      <c r="P2292" s="6"/>
      <c r="Q2292" s="6"/>
      <c r="R2292" s="6"/>
      <c r="S2292" s="6"/>
      <c r="T2292" s="6"/>
      <c r="U2292" s="6"/>
      <c r="V2292" s="6"/>
      <c r="W2292" s="6"/>
      <c r="X2292" s="6"/>
      <c r="Y2292" s="6"/>
      <c r="Z2292" s="6"/>
      <c r="AA2292" s="6"/>
      <c r="AB2292" s="6"/>
      <c r="AC2292" s="6"/>
      <c r="AD2292" s="6"/>
      <c r="AE2292" s="6"/>
      <c r="AF2292" s="6"/>
      <c r="AG2292" s="6"/>
      <c r="AH2292" s="6"/>
      <c r="AI2292" s="6"/>
      <c r="AJ2292" s="6"/>
      <c r="AK2292" s="6"/>
      <c r="AL2292" s="6"/>
      <c r="AM2292" s="6"/>
    </row>
    <row r="2293">
      <c r="A2293" s="6"/>
      <c r="B2293" s="6"/>
      <c r="C2293" s="6"/>
      <c r="D2293" s="6"/>
      <c r="E2293" s="6"/>
      <c r="F2293" s="6"/>
      <c r="G2293" s="6"/>
      <c r="H2293" s="6"/>
      <c r="I2293" s="6"/>
      <c r="J2293" s="6"/>
      <c r="K2293" s="6"/>
      <c r="L2293" s="6"/>
      <c r="M2293" s="6"/>
      <c r="N2293" s="6"/>
      <c r="O2293" s="6"/>
      <c r="P2293" s="6"/>
      <c r="Q2293" s="6"/>
      <c r="R2293" s="6"/>
      <c r="S2293" s="6"/>
      <c r="T2293" s="6"/>
      <c r="U2293" s="6"/>
      <c r="V2293" s="6"/>
      <c r="W2293" s="6"/>
      <c r="X2293" s="6"/>
      <c r="Y2293" s="6"/>
      <c r="Z2293" s="6"/>
      <c r="AA2293" s="6"/>
      <c r="AB2293" s="6"/>
      <c r="AC2293" s="6"/>
      <c r="AD2293" s="6"/>
      <c r="AE2293" s="6"/>
      <c r="AF2293" s="6"/>
      <c r="AG2293" s="6"/>
      <c r="AH2293" s="6"/>
      <c r="AI2293" s="6"/>
      <c r="AJ2293" s="6"/>
      <c r="AK2293" s="6"/>
      <c r="AL2293" s="6"/>
      <c r="AM2293" s="6"/>
    </row>
    <row r="2294">
      <c r="A2294" s="6"/>
      <c r="B2294" s="6"/>
      <c r="C2294" s="6"/>
      <c r="D2294" s="6"/>
      <c r="E2294" s="6"/>
      <c r="F2294" s="6"/>
      <c r="G2294" s="6"/>
      <c r="H2294" s="6"/>
      <c r="I2294" s="6"/>
      <c r="J2294" s="6"/>
      <c r="K2294" s="6"/>
      <c r="L2294" s="6"/>
      <c r="M2294" s="6"/>
      <c r="N2294" s="6"/>
      <c r="O2294" s="6"/>
      <c r="P2294" s="6"/>
      <c r="Q2294" s="6"/>
      <c r="R2294" s="6"/>
      <c r="S2294" s="6"/>
      <c r="T2294" s="6"/>
      <c r="U2294" s="6"/>
      <c r="V2294" s="6"/>
      <c r="W2294" s="6"/>
      <c r="X2294" s="6"/>
      <c r="Y2294" s="6"/>
      <c r="Z2294" s="6"/>
      <c r="AA2294" s="6"/>
      <c r="AB2294" s="6"/>
      <c r="AC2294" s="6"/>
      <c r="AD2294" s="6"/>
      <c r="AE2294" s="6"/>
      <c r="AF2294" s="6"/>
      <c r="AG2294" s="6"/>
      <c r="AH2294" s="6"/>
      <c r="AI2294" s="6"/>
      <c r="AJ2294" s="6"/>
      <c r="AK2294" s="6"/>
      <c r="AL2294" s="6"/>
      <c r="AM2294" s="6"/>
    </row>
    <row r="2295">
      <c r="A2295" s="6"/>
      <c r="B2295" s="6"/>
      <c r="C2295" s="6"/>
      <c r="D2295" s="6"/>
      <c r="E2295" s="6"/>
      <c r="F2295" s="6"/>
      <c r="G2295" s="6"/>
      <c r="H2295" s="6"/>
      <c r="I2295" s="6"/>
      <c r="J2295" s="6"/>
      <c r="K2295" s="6"/>
      <c r="L2295" s="6"/>
      <c r="M2295" s="6"/>
      <c r="N2295" s="6"/>
      <c r="O2295" s="6"/>
      <c r="P2295" s="6"/>
      <c r="Q2295" s="6"/>
      <c r="R2295" s="6"/>
      <c r="S2295" s="6"/>
      <c r="T2295" s="6"/>
      <c r="U2295" s="6"/>
      <c r="V2295" s="6"/>
      <c r="W2295" s="6"/>
      <c r="X2295" s="6"/>
      <c r="Y2295" s="6"/>
      <c r="Z2295" s="6"/>
      <c r="AA2295" s="6"/>
      <c r="AB2295" s="6"/>
      <c r="AC2295" s="6"/>
      <c r="AD2295" s="6"/>
      <c r="AE2295" s="6"/>
      <c r="AF2295" s="6"/>
      <c r="AG2295" s="6"/>
      <c r="AH2295" s="6"/>
      <c r="AI2295" s="6"/>
      <c r="AJ2295" s="6"/>
      <c r="AK2295" s="6"/>
      <c r="AL2295" s="6"/>
      <c r="AM2295" s="6"/>
    </row>
    <row r="2296">
      <c r="A2296" s="6"/>
      <c r="B2296" s="6"/>
      <c r="C2296" s="6"/>
      <c r="D2296" s="6"/>
      <c r="E2296" s="6"/>
      <c r="F2296" s="6"/>
      <c r="G2296" s="6"/>
      <c r="H2296" s="6"/>
      <c r="I2296" s="6"/>
      <c r="J2296" s="6"/>
      <c r="K2296" s="6"/>
      <c r="L2296" s="6"/>
      <c r="M2296" s="6"/>
      <c r="N2296" s="6"/>
      <c r="O2296" s="6"/>
      <c r="P2296" s="6"/>
      <c r="Q2296" s="6"/>
      <c r="R2296" s="6"/>
      <c r="S2296" s="6"/>
      <c r="T2296" s="6"/>
      <c r="U2296" s="6"/>
      <c r="V2296" s="6"/>
      <c r="W2296" s="6"/>
      <c r="X2296" s="6"/>
      <c r="Y2296" s="6"/>
      <c r="Z2296" s="6"/>
      <c r="AA2296" s="6"/>
      <c r="AB2296" s="6"/>
      <c r="AC2296" s="6"/>
      <c r="AD2296" s="6"/>
      <c r="AE2296" s="6"/>
      <c r="AF2296" s="6"/>
      <c r="AG2296" s="6"/>
      <c r="AH2296" s="6"/>
      <c r="AI2296" s="6"/>
      <c r="AJ2296" s="6"/>
      <c r="AK2296" s="6"/>
      <c r="AL2296" s="6"/>
      <c r="AM2296" s="6"/>
    </row>
    <row r="2297">
      <c r="A2297" s="6"/>
      <c r="B2297" s="6"/>
      <c r="C2297" s="6"/>
      <c r="D2297" s="6"/>
      <c r="E2297" s="6"/>
      <c r="F2297" s="6"/>
      <c r="G2297" s="6"/>
      <c r="H2297" s="6"/>
      <c r="I2297" s="6"/>
      <c r="J2297" s="6"/>
      <c r="K2297" s="6"/>
      <c r="L2297" s="6"/>
      <c r="M2297" s="6"/>
      <c r="N2297" s="6"/>
      <c r="O2297" s="6"/>
      <c r="P2297" s="6"/>
      <c r="Q2297" s="6"/>
      <c r="R2297" s="6"/>
      <c r="S2297" s="6"/>
      <c r="T2297" s="6"/>
      <c r="U2297" s="6"/>
      <c r="V2297" s="6"/>
      <c r="W2297" s="6"/>
      <c r="X2297" s="6"/>
      <c r="Y2297" s="6"/>
      <c r="Z2297" s="6"/>
      <c r="AA2297" s="6"/>
      <c r="AB2297" s="6"/>
      <c r="AC2297" s="6"/>
      <c r="AD2297" s="6"/>
      <c r="AE2297" s="6"/>
      <c r="AF2297" s="6"/>
      <c r="AG2297" s="6"/>
      <c r="AH2297" s="6"/>
      <c r="AI2297" s="6"/>
      <c r="AJ2297" s="6"/>
      <c r="AK2297" s="6"/>
      <c r="AL2297" s="6"/>
      <c r="AM2297" s="6"/>
    </row>
    <row r="2298">
      <c r="A2298" s="6"/>
      <c r="B2298" s="6"/>
      <c r="C2298" s="6"/>
      <c r="D2298" s="6"/>
      <c r="E2298" s="6"/>
      <c r="F2298" s="6"/>
      <c r="G2298" s="6"/>
      <c r="H2298" s="6"/>
      <c r="I2298" s="6"/>
      <c r="J2298" s="6"/>
      <c r="K2298" s="6"/>
      <c r="L2298" s="6"/>
      <c r="M2298" s="6"/>
      <c r="N2298" s="6"/>
      <c r="O2298" s="6"/>
      <c r="P2298" s="6"/>
      <c r="Q2298" s="6"/>
      <c r="R2298" s="6"/>
      <c r="S2298" s="6"/>
      <c r="T2298" s="6"/>
      <c r="U2298" s="6"/>
      <c r="V2298" s="6"/>
      <c r="W2298" s="6"/>
      <c r="X2298" s="6"/>
      <c r="Y2298" s="6"/>
      <c r="Z2298" s="6"/>
      <c r="AA2298" s="6"/>
      <c r="AB2298" s="6"/>
      <c r="AC2298" s="6"/>
      <c r="AD2298" s="6"/>
      <c r="AE2298" s="6"/>
      <c r="AF2298" s="6"/>
      <c r="AG2298" s="6"/>
      <c r="AH2298" s="6"/>
      <c r="AI2298" s="6"/>
      <c r="AJ2298" s="6"/>
      <c r="AK2298" s="6"/>
      <c r="AL2298" s="6"/>
      <c r="AM2298" s="6"/>
    </row>
    <row r="2299">
      <c r="A2299" s="6"/>
      <c r="B2299" s="6"/>
      <c r="C2299" s="6"/>
      <c r="D2299" s="6"/>
      <c r="E2299" s="6"/>
      <c r="F2299" s="6"/>
      <c r="G2299" s="6"/>
      <c r="H2299" s="6"/>
      <c r="I2299" s="6"/>
      <c r="J2299" s="6"/>
      <c r="K2299" s="6"/>
      <c r="L2299" s="6"/>
      <c r="M2299" s="6"/>
      <c r="N2299" s="6"/>
      <c r="O2299" s="6"/>
      <c r="P2299" s="6"/>
      <c r="Q2299" s="6"/>
      <c r="R2299" s="6"/>
      <c r="S2299" s="6"/>
      <c r="T2299" s="6"/>
      <c r="U2299" s="6"/>
      <c r="V2299" s="6"/>
      <c r="W2299" s="6"/>
      <c r="X2299" s="6"/>
      <c r="Y2299" s="6"/>
      <c r="Z2299" s="6"/>
      <c r="AA2299" s="6"/>
      <c r="AB2299" s="6"/>
      <c r="AC2299" s="6"/>
      <c r="AD2299" s="6"/>
      <c r="AE2299" s="6"/>
      <c r="AF2299" s="6"/>
      <c r="AG2299" s="6"/>
      <c r="AH2299" s="6"/>
      <c r="AI2299" s="6"/>
      <c r="AJ2299" s="6"/>
      <c r="AK2299" s="6"/>
      <c r="AL2299" s="6"/>
      <c r="AM2299" s="6"/>
    </row>
    <row r="2300">
      <c r="A2300" s="6"/>
      <c r="B2300" s="6"/>
      <c r="C2300" s="6"/>
      <c r="D2300" s="6"/>
      <c r="E2300" s="6"/>
      <c r="F2300" s="6"/>
      <c r="G2300" s="6"/>
      <c r="H2300" s="6"/>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c r="AG2300" s="6"/>
      <c r="AH2300" s="6"/>
      <c r="AI2300" s="6"/>
      <c r="AJ2300" s="6"/>
      <c r="AK2300" s="6"/>
      <c r="AL2300" s="6"/>
      <c r="AM2300" s="6"/>
    </row>
    <row r="2301">
      <c r="A2301" s="6"/>
      <c r="B2301" s="6"/>
      <c r="C2301" s="6"/>
      <c r="D2301" s="6"/>
      <c r="E2301" s="6"/>
      <c r="F2301" s="6"/>
      <c r="G2301" s="6"/>
      <c r="H2301" s="6"/>
      <c r="I2301" s="6"/>
      <c r="J2301" s="6"/>
      <c r="K2301" s="6"/>
      <c r="L2301" s="6"/>
      <c r="M2301" s="6"/>
      <c r="N2301" s="6"/>
      <c r="O2301" s="6"/>
      <c r="P2301" s="6"/>
      <c r="Q2301" s="6"/>
      <c r="R2301" s="6"/>
      <c r="S2301" s="6"/>
      <c r="T2301" s="6"/>
      <c r="U2301" s="6"/>
      <c r="V2301" s="6"/>
      <c r="W2301" s="6"/>
      <c r="X2301" s="6"/>
      <c r="Y2301" s="6"/>
      <c r="Z2301" s="6"/>
      <c r="AA2301" s="6"/>
      <c r="AB2301" s="6"/>
      <c r="AC2301" s="6"/>
      <c r="AD2301" s="6"/>
      <c r="AE2301" s="6"/>
      <c r="AF2301" s="6"/>
      <c r="AG2301" s="6"/>
      <c r="AH2301" s="6"/>
      <c r="AI2301" s="6"/>
      <c r="AJ2301" s="6"/>
      <c r="AK2301" s="6"/>
      <c r="AL2301" s="6"/>
      <c r="AM2301" s="6"/>
    </row>
    <row r="2302">
      <c r="A2302" s="6"/>
      <c r="B2302" s="6"/>
      <c r="C2302" s="6"/>
      <c r="D2302" s="6"/>
      <c r="E2302" s="6"/>
      <c r="F2302" s="6"/>
      <c r="G2302" s="6"/>
      <c r="H2302" s="6"/>
      <c r="I2302" s="6"/>
      <c r="J2302" s="6"/>
      <c r="K2302" s="6"/>
      <c r="L2302" s="6"/>
      <c r="M2302" s="6"/>
      <c r="N2302" s="6"/>
      <c r="O2302" s="6"/>
      <c r="P2302" s="6"/>
      <c r="Q2302" s="6"/>
      <c r="R2302" s="6"/>
      <c r="S2302" s="6"/>
      <c r="T2302" s="6"/>
      <c r="U2302" s="6"/>
      <c r="V2302" s="6"/>
      <c r="W2302" s="6"/>
      <c r="X2302" s="6"/>
      <c r="Y2302" s="6"/>
      <c r="Z2302" s="6"/>
      <c r="AA2302" s="6"/>
      <c r="AB2302" s="6"/>
      <c r="AC2302" s="6"/>
      <c r="AD2302" s="6"/>
      <c r="AE2302" s="6"/>
      <c r="AF2302" s="6"/>
      <c r="AG2302" s="6"/>
      <c r="AH2302" s="6"/>
      <c r="AI2302" s="6"/>
      <c r="AJ2302" s="6"/>
      <c r="AK2302" s="6"/>
      <c r="AL2302" s="6"/>
      <c r="AM2302" s="6"/>
    </row>
    <row r="2303">
      <c r="A2303" s="6"/>
      <c r="B2303" s="6"/>
      <c r="C2303" s="6"/>
      <c r="D2303" s="6"/>
      <c r="E2303" s="6"/>
      <c r="F2303" s="6"/>
      <c r="G2303" s="6"/>
      <c r="H2303" s="6"/>
      <c r="I2303" s="6"/>
      <c r="J2303" s="6"/>
      <c r="K2303" s="6"/>
      <c r="L2303" s="6"/>
      <c r="M2303" s="6"/>
      <c r="N2303" s="6"/>
      <c r="O2303" s="6"/>
      <c r="P2303" s="6"/>
      <c r="Q2303" s="6"/>
      <c r="R2303" s="6"/>
      <c r="S2303" s="6"/>
      <c r="T2303" s="6"/>
      <c r="U2303" s="6"/>
      <c r="V2303" s="6"/>
      <c r="W2303" s="6"/>
      <c r="X2303" s="6"/>
      <c r="Y2303" s="6"/>
      <c r="Z2303" s="6"/>
      <c r="AA2303" s="6"/>
      <c r="AB2303" s="6"/>
      <c r="AC2303" s="6"/>
      <c r="AD2303" s="6"/>
      <c r="AE2303" s="6"/>
      <c r="AF2303" s="6"/>
      <c r="AG2303" s="6"/>
      <c r="AH2303" s="6"/>
      <c r="AI2303" s="6"/>
      <c r="AJ2303" s="6"/>
      <c r="AK2303" s="6"/>
      <c r="AL2303" s="6"/>
      <c r="AM2303" s="6"/>
    </row>
    <row r="2304">
      <c r="A2304" s="6"/>
      <c r="B2304" s="6"/>
      <c r="C2304" s="6"/>
      <c r="D2304" s="6"/>
      <c r="E2304" s="6"/>
      <c r="F2304" s="6"/>
      <c r="G2304" s="6"/>
      <c r="H2304" s="6"/>
      <c r="I2304" s="6"/>
      <c r="J2304" s="6"/>
      <c r="K2304" s="6"/>
      <c r="L2304" s="6"/>
      <c r="M2304" s="6"/>
      <c r="N2304" s="6"/>
      <c r="O2304" s="6"/>
      <c r="P2304" s="6"/>
      <c r="Q2304" s="6"/>
      <c r="R2304" s="6"/>
      <c r="S2304" s="6"/>
      <c r="T2304" s="6"/>
      <c r="U2304" s="6"/>
      <c r="V2304" s="6"/>
      <c r="W2304" s="6"/>
      <c r="X2304" s="6"/>
      <c r="Y2304" s="6"/>
      <c r="Z2304" s="6"/>
      <c r="AA2304" s="6"/>
      <c r="AB2304" s="6"/>
      <c r="AC2304" s="6"/>
      <c r="AD2304" s="6"/>
      <c r="AE2304" s="6"/>
      <c r="AF2304" s="6"/>
      <c r="AG2304" s="6"/>
      <c r="AH2304" s="6"/>
      <c r="AI2304" s="6"/>
      <c r="AJ2304" s="6"/>
      <c r="AK2304" s="6"/>
      <c r="AL2304" s="6"/>
      <c r="AM2304" s="6"/>
    </row>
    <row r="2305">
      <c r="A2305" s="6"/>
      <c r="B2305" s="6"/>
      <c r="C2305" s="6"/>
      <c r="D2305" s="6"/>
      <c r="E2305" s="6"/>
      <c r="F2305" s="6"/>
      <c r="G2305" s="6"/>
      <c r="H2305" s="6"/>
      <c r="I2305" s="6"/>
      <c r="J2305" s="6"/>
      <c r="K2305" s="6"/>
      <c r="L2305" s="6"/>
      <c r="M2305" s="6"/>
      <c r="N2305" s="6"/>
      <c r="O2305" s="6"/>
      <c r="P2305" s="6"/>
      <c r="Q2305" s="6"/>
      <c r="R2305" s="6"/>
      <c r="S2305" s="6"/>
      <c r="T2305" s="6"/>
      <c r="U2305" s="6"/>
      <c r="V2305" s="6"/>
      <c r="W2305" s="6"/>
      <c r="X2305" s="6"/>
      <c r="Y2305" s="6"/>
      <c r="Z2305" s="6"/>
      <c r="AA2305" s="6"/>
      <c r="AB2305" s="6"/>
      <c r="AC2305" s="6"/>
      <c r="AD2305" s="6"/>
      <c r="AE2305" s="6"/>
      <c r="AF2305" s="6"/>
      <c r="AG2305" s="6"/>
      <c r="AH2305" s="6"/>
      <c r="AI2305" s="6"/>
      <c r="AJ2305" s="6"/>
      <c r="AK2305" s="6"/>
      <c r="AL2305" s="6"/>
      <c r="AM2305" s="6"/>
    </row>
    <row r="2306">
      <c r="A2306" s="6"/>
      <c r="B2306" s="6"/>
      <c r="C2306" s="6"/>
      <c r="D2306" s="6"/>
      <c r="E2306" s="6"/>
      <c r="F2306" s="6"/>
      <c r="G2306" s="6"/>
      <c r="H2306" s="6"/>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c r="AG2306" s="6"/>
      <c r="AH2306" s="6"/>
      <c r="AI2306" s="6"/>
      <c r="AJ2306" s="6"/>
      <c r="AK2306" s="6"/>
      <c r="AL2306" s="6"/>
      <c r="AM2306" s="6"/>
    </row>
    <row r="2307">
      <c r="A2307" s="6"/>
      <c r="B2307" s="6"/>
      <c r="C2307" s="6"/>
      <c r="D2307" s="6"/>
      <c r="E2307" s="6"/>
      <c r="F2307" s="6"/>
      <c r="G2307" s="6"/>
      <c r="H2307" s="6"/>
      <c r="I2307" s="6"/>
      <c r="J2307" s="6"/>
      <c r="K2307" s="6"/>
      <c r="L2307" s="6"/>
      <c r="M2307" s="6"/>
      <c r="N2307" s="6"/>
      <c r="O2307" s="6"/>
      <c r="P2307" s="6"/>
      <c r="Q2307" s="6"/>
      <c r="R2307" s="6"/>
      <c r="S2307" s="6"/>
      <c r="T2307" s="6"/>
      <c r="U2307" s="6"/>
      <c r="V2307" s="6"/>
      <c r="W2307" s="6"/>
      <c r="X2307" s="6"/>
      <c r="Y2307" s="6"/>
      <c r="Z2307" s="6"/>
      <c r="AA2307" s="6"/>
      <c r="AB2307" s="6"/>
      <c r="AC2307" s="6"/>
      <c r="AD2307" s="6"/>
      <c r="AE2307" s="6"/>
      <c r="AF2307" s="6"/>
      <c r="AG2307" s="6"/>
      <c r="AH2307" s="6"/>
      <c r="AI2307" s="6"/>
      <c r="AJ2307" s="6"/>
      <c r="AK2307" s="6"/>
      <c r="AL2307" s="6"/>
      <c r="AM2307" s="6"/>
    </row>
    <row r="2308">
      <c r="A2308" s="6"/>
      <c r="B2308" s="6"/>
      <c r="C2308" s="6"/>
      <c r="D2308" s="6"/>
      <c r="E2308" s="6"/>
      <c r="F2308" s="6"/>
      <c r="G2308" s="6"/>
      <c r="H2308" s="6"/>
      <c r="I2308" s="6"/>
      <c r="J2308" s="6"/>
      <c r="K2308" s="6"/>
      <c r="L2308" s="6"/>
      <c r="M2308" s="6"/>
      <c r="N2308" s="6"/>
      <c r="O2308" s="6"/>
      <c r="P2308" s="6"/>
      <c r="Q2308" s="6"/>
      <c r="R2308" s="6"/>
      <c r="S2308" s="6"/>
      <c r="T2308" s="6"/>
      <c r="U2308" s="6"/>
      <c r="V2308" s="6"/>
      <c r="W2308" s="6"/>
      <c r="X2308" s="6"/>
      <c r="Y2308" s="6"/>
      <c r="Z2308" s="6"/>
      <c r="AA2308" s="6"/>
      <c r="AB2308" s="6"/>
      <c r="AC2308" s="6"/>
      <c r="AD2308" s="6"/>
      <c r="AE2308" s="6"/>
      <c r="AF2308" s="6"/>
      <c r="AG2308" s="6"/>
      <c r="AH2308" s="6"/>
      <c r="AI2308" s="6"/>
      <c r="AJ2308" s="6"/>
      <c r="AK2308" s="6"/>
      <c r="AL2308" s="6"/>
      <c r="AM2308" s="6"/>
    </row>
    <row r="2309">
      <c r="A2309" s="6"/>
      <c r="B2309" s="6"/>
      <c r="C2309" s="6"/>
      <c r="D2309" s="6"/>
      <c r="E2309" s="6"/>
      <c r="F2309" s="6"/>
      <c r="G2309" s="6"/>
      <c r="H2309" s="6"/>
      <c r="I2309" s="6"/>
      <c r="J2309" s="6"/>
      <c r="K2309" s="6"/>
      <c r="L2309" s="6"/>
      <c r="M2309" s="6"/>
      <c r="N2309" s="6"/>
      <c r="O2309" s="6"/>
      <c r="P2309" s="6"/>
      <c r="Q2309" s="6"/>
      <c r="R2309" s="6"/>
      <c r="S2309" s="6"/>
      <c r="T2309" s="6"/>
      <c r="U2309" s="6"/>
      <c r="V2309" s="6"/>
      <c r="W2309" s="6"/>
      <c r="X2309" s="6"/>
      <c r="Y2309" s="6"/>
      <c r="Z2309" s="6"/>
      <c r="AA2309" s="6"/>
      <c r="AB2309" s="6"/>
      <c r="AC2309" s="6"/>
      <c r="AD2309" s="6"/>
      <c r="AE2309" s="6"/>
      <c r="AF2309" s="6"/>
      <c r="AG2309" s="6"/>
      <c r="AH2309" s="6"/>
      <c r="AI2309" s="6"/>
      <c r="AJ2309" s="6"/>
      <c r="AK2309" s="6"/>
      <c r="AL2309" s="6"/>
      <c r="AM2309" s="6"/>
    </row>
    <row r="2310">
      <c r="A2310" s="6"/>
      <c r="B2310" s="6"/>
      <c r="C2310" s="6"/>
      <c r="D2310" s="6"/>
      <c r="E2310" s="6"/>
      <c r="F2310" s="6"/>
      <c r="G2310" s="6"/>
      <c r="H2310" s="6"/>
      <c r="I2310" s="6"/>
      <c r="J2310" s="6"/>
      <c r="K2310" s="6"/>
      <c r="L2310" s="6"/>
      <c r="M2310" s="6"/>
      <c r="N2310" s="6"/>
      <c r="O2310" s="6"/>
      <c r="P2310" s="6"/>
      <c r="Q2310" s="6"/>
      <c r="R2310" s="6"/>
      <c r="S2310" s="6"/>
      <c r="T2310" s="6"/>
      <c r="U2310" s="6"/>
      <c r="V2310" s="6"/>
      <c r="W2310" s="6"/>
      <c r="X2310" s="6"/>
      <c r="Y2310" s="6"/>
      <c r="Z2310" s="6"/>
      <c r="AA2310" s="6"/>
      <c r="AB2310" s="6"/>
      <c r="AC2310" s="6"/>
      <c r="AD2310" s="6"/>
      <c r="AE2310" s="6"/>
      <c r="AF2310" s="6"/>
      <c r="AG2310" s="6"/>
      <c r="AH2310" s="6"/>
      <c r="AI2310" s="6"/>
      <c r="AJ2310" s="6"/>
      <c r="AK2310" s="6"/>
      <c r="AL2310" s="6"/>
      <c r="AM2310" s="6"/>
    </row>
    <row r="2311">
      <c r="A2311" s="6"/>
      <c r="B2311" s="6"/>
      <c r="C2311" s="6"/>
      <c r="D2311" s="6"/>
      <c r="E2311" s="6"/>
      <c r="F2311" s="6"/>
      <c r="G2311" s="6"/>
      <c r="H2311" s="6"/>
      <c r="I2311" s="6"/>
      <c r="J2311" s="6"/>
      <c r="K2311" s="6"/>
      <c r="L2311" s="6"/>
      <c r="M2311" s="6"/>
      <c r="N2311" s="6"/>
      <c r="O2311" s="6"/>
      <c r="P2311" s="6"/>
      <c r="Q2311" s="6"/>
      <c r="R2311" s="6"/>
      <c r="S2311" s="6"/>
      <c r="T2311" s="6"/>
      <c r="U2311" s="6"/>
      <c r="V2311" s="6"/>
      <c r="W2311" s="6"/>
      <c r="X2311" s="6"/>
      <c r="Y2311" s="6"/>
      <c r="Z2311" s="6"/>
      <c r="AA2311" s="6"/>
      <c r="AB2311" s="6"/>
      <c r="AC2311" s="6"/>
      <c r="AD2311" s="6"/>
      <c r="AE2311" s="6"/>
      <c r="AF2311" s="6"/>
      <c r="AG2311" s="6"/>
      <c r="AH2311" s="6"/>
      <c r="AI2311" s="6"/>
      <c r="AJ2311" s="6"/>
      <c r="AK2311" s="6"/>
      <c r="AL2311" s="6"/>
      <c r="AM2311" s="6"/>
    </row>
    <row r="2312">
      <c r="A2312" s="6"/>
      <c r="B2312" s="6"/>
      <c r="C2312" s="6"/>
      <c r="D2312" s="6"/>
      <c r="E2312" s="6"/>
      <c r="F2312" s="6"/>
      <c r="G2312" s="6"/>
      <c r="H2312" s="6"/>
      <c r="I2312" s="6"/>
      <c r="J2312" s="6"/>
      <c r="K2312" s="6"/>
      <c r="L2312" s="6"/>
      <c r="M2312" s="6"/>
      <c r="N2312" s="6"/>
      <c r="O2312" s="6"/>
      <c r="P2312" s="6"/>
      <c r="Q2312" s="6"/>
      <c r="R2312" s="6"/>
      <c r="S2312" s="6"/>
      <c r="T2312" s="6"/>
      <c r="U2312" s="6"/>
      <c r="V2312" s="6"/>
      <c r="W2312" s="6"/>
      <c r="X2312" s="6"/>
      <c r="Y2312" s="6"/>
      <c r="Z2312" s="6"/>
      <c r="AA2312" s="6"/>
      <c r="AB2312" s="6"/>
      <c r="AC2312" s="6"/>
      <c r="AD2312" s="6"/>
      <c r="AE2312" s="6"/>
      <c r="AF2312" s="6"/>
      <c r="AG2312" s="6"/>
      <c r="AH2312" s="6"/>
      <c r="AI2312" s="6"/>
      <c r="AJ2312" s="6"/>
      <c r="AK2312" s="6"/>
      <c r="AL2312" s="6"/>
      <c r="AM2312" s="6"/>
    </row>
    <row r="2313">
      <c r="A2313" s="6"/>
      <c r="B2313" s="6"/>
      <c r="C2313" s="6"/>
      <c r="D2313" s="6"/>
      <c r="E2313" s="6"/>
      <c r="F2313" s="6"/>
      <c r="G2313" s="6"/>
      <c r="H2313" s="6"/>
      <c r="I2313" s="6"/>
      <c r="J2313" s="6"/>
      <c r="K2313" s="6"/>
      <c r="L2313" s="6"/>
      <c r="M2313" s="6"/>
      <c r="N2313" s="6"/>
      <c r="O2313" s="6"/>
      <c r="P2313" s="6"/>
      <c r="Q2313" s="6"/>
      <c r="R2313" s="6"/>
      <c r="S2313" s="6"/>
      <c r="T2313" s="6"/>
      <c r="U2313" s="6"/>
      <c r="V2313" s="6"/>
      <c r="W2313" s="6"/>
      <c r="X2313" s="6"/>
      <c r="Y2313" s="6"/>
      <c r="Z2313" s="6"/>
      <c r="AA2313" s="6"/>
      <c r="AB2313" s="6"/>
      <c r="AC2313" s="6"/>
      <c r="AD2313" s="6"/>
      <c r="AE2313" s="6"/>
      <c r="AF2313" s="6"/>
      <c r="AG2313" s="6"/>
      <c r="AH2313" s="6"/>
      <c r="AI2313" s="6"/>
      <c r="AJ2313" s="6"/>
      <c r="AK2313" s="6"/>
      <c r="AL2313" s="6"/>
      <c r="AM2313" s="6"/>
    </row>
    <row r="2314">
      <c r="A2314" s="6"/>
      <c r="B2314" s="6"/>
      <c r="C2314" s="6"/>
      <c r="D2314" s="6"/>
      <c r="E2314" s="6"/>
      <c r="F2314" s="6"/>
      <c r="G2314" s="6"/>
      <c r="H2314" s="6"/>
      <c r="I2314" s="6"/>
      <c r="J2314" s="6"/>
      <c r="K2314" s="6"/>
      <c r="L2314" s="6"/>
      <c r="M2314" s="6"/>
      <c r="N2314" s="6"/>
      <c r="O2314" s="6"/>
      <c r="P2314" s="6"/>
      <c r="Q2314" s="6"/>
      <c r="R2314" s="6"/>
      <c r="S2314" s="6"/>
      <c r="T2314" s="6"/>
      <c r="U2314" s="6"/>
      <c r="V2314" s="6"/>
      <c r="W2314" s="6"/>
      <c r="X2314" s="6"/>
      <c r="Y2314" s="6"/>
      <c r="Z2314" s="6"/>
      <c r="AA2314" s="6"/>
      <c r="AB2314" s="6"/>
      <c r="AC2314" s="6"/>
      <c r="AD2314" s="6"/>
      <c r="AE2314" s="6"/>
      <c r="AF2314" s="6"/>
      <c r="AG2314" s="6"/>
      <c r="AH2314" s="6"/>
      <c r="AI2314" s="6"/>
      <c r="AJ2314" s="6"/>
      <c r="AK2314" s="6"/>
      <c r="AL2314" s="6"/>
      <c r="AM2314" s="6"/>
    </row>
    <row r="2315">
      <c r="A2315" s="6"/>
      <c r="B2315" s="6"/>
      <c r="C2315" s="6"/>
      <c r="D2315" s="6"/>
      <c r="E2315" s="6"/>
      <c r="F2315" s="6"/>
      <c r="G2315" s="6"/>
      <c r="H2315" s="6"/>
      <c r="I2315" s="6"/>
      <c r="J2315" s="6"/>
      <c r="K2315" s="6"/>
      <c r="L2315" s="6"/>
      <c r="M2315" s="6"/>
      <c r="N2315" s="6"/>
      <c r="O2315" s="6"/>
      <c r="P2315" s="6"/>
      <c r="Q2315" s="6"/>
      <c r="R2315" s="6"/>
      <c r="S2315" s="6"/>
      <c r="T2315" s="6"/>
      <c r="U2315" s="6"/>
      <c r="V2315" s="6"/>
      <c r="W2315" s="6"/>
      <c r="X2315" s="6"/>
      <c r="Y2315" s="6"/>
      <c r="Z2315" s="6"/>
      <c r="AA2315" s="6"/>
      <c r="AB2315" s="6"/>
      <c r="AC2315" s="6"/>
      <c r="AD2315" s="6"/>
      <c r="AE2315" s="6"/>
      <c r="AF2315" s="6"/>
      <c r="AG2315" s="6"/>
      <c r="AH2315" s="6"/>
      <c r="AI2315" s="6"/>
      <c r="AJ2315" s="6"/>
      <c r="AK2315" s="6"/>
      <c r="AL2315" s="6"/>
      <c r="AM2315" s="6"/>
    </row>
    <row r="2316">
      <c r="A2316" s="6"/>
      <c r="B2316" s="6"/>
      <c r="C2316" s="6"/>
      <c r="D2316" s="6"/>
      <c r="E2316" s="6"/>
      <c r="F2316" s="6"/>
      <c r="G2316" s="6"/>
      <c r="H2316" s="6"/>
      <c r="I2316" s="6"/>
      <c r="J2316" s="6"/>
      <c r="K2316" s="6"/>
      <c r="L2316" s="6"/>
      <c r="M2316" s="6"/>
      <c r="N2316" s="6"/>
      <c r="O2316" s="6"/>
      <c r="P2316" s="6"/>
      <c r="Q2316" s="6"/>
      <c r="R2316" s="6"/>
      <c r="S2316" s="6"/>
      <c r="T2316" s="6"/>
      <c r="U2316" s="6"/>
      <c r="V2316" s="6"/>
      <c r="W2316" s="6"/>
      <c r="X2316" s="6"/>
      <c r="Y2316" s="6"/>
      <c r="Z2316" s="6"/>
      <c r="AA2316" s="6"/>
      <c r="AB2316" s="6"/>
      <c r="AC2316" s="6"/>
      <c r="AD2316" s="6"/>
      <c r="AE2316" s="6"/>
      <c r="AF2316" s="6"/>
      <c r="AG2316" s="6"/>
      <c r="AH2316" s="6"/>
      <c r="AI2316" s="6"/>
      <c r="AJ2316" s="6"/>
      <c r="AK2316" s="6"/>
      <c r="AL2316" s="6"/>
      <c r="AM2316" s="6"/>
    </row>
    <row r="2317">
      <c r="A2317" s="6"/>
      <c r="B2317" s="6"/>
      <c r="C2317" s="6"/>
      <c r="D2317" s="6"/>
      <c r="E2317" s="6"/>
      <c r="F2317" s="6"/>
      <c r="G2317" s="6"/>
      <c r="H2317" s="6"/>
      <c r="I2317" s="6"/>
      <c r="J2317" s="6"/>
      <c r="K2317" s="6"/>
      <c r="L2317" s="6"/>
      <c r="M2317" s="6"/>
      <c r="N2317" s="6"/>
      <c r="O2317" s="6"/>
      <c r="P2317" s="6"/>
      <c r="Q2317" s="6"/>
      <c r="R2317" s="6"/>
      <c r="S2317" s="6"/>
      <c r="T2317" s="6"/>
      <c r="U2317" s="6"/>
      <c r="V2317" s="6"/>
      <c r="W2317" s="6"/>
      <c r="X2317" s="6"/>
      <c r="Y2317" s="6"/>
      <c r="Z2317" s="6"/>
      <c r="AA2317" s="6"/>
      <c r="AB2317" s="6"/>
      <c r="AC2317" s="6"/>
      <c r="AD2317" s="6"/>
      <c r="AE2317" s="6"/>
      <c r="AF2317" s="6"/>
      <c r="AG2317" s="6"/>
      <c r="AH2317" s="6"/>
      <c r="AI2317" s="6"/>
      <c r="AJ2317" s="6"/>
      <c r="AK2317" s="6"/>
      <c r="AL2317" s="6"/>
      <c r="AM2317" s="6"/>
    </row>
    <row r="2318">
      <c r="A2318" s="6"/>
      <c r="B2318" s="6"/>
      <c r="C2318" s="6"/>
      <c r="D2318" s="6"/>
      <c r="E2318" s="6"/>
      <c r="F2318" s="6"/>
      <c r="G2318" s="6"/>
      <c r="H2318" s="6"/>
      <c r="I2318" s="6"/>
      <c r="J2318" s="6"/>
      <c r="K2318" s="6"/>
      <c r="L2318" s="6"/>
      <c r="M2318" s="6"/>
      <c r="N2318" s="6"/>
      <c r="O2318" s="6"/>
      <c r="P2318" s="6"/>
      <c r="Q2318" s="6"/>
      <c r="R2318" s="6"/>
      <c r="S2318" s="6"/>
      <c r="T2318" s="6"/>
      <c r="U2318" s="6"/>
      <c r="V2318" s="6"/>
      <c r="W2318" s="6"/>
      <c r="X2318" s="6"/>
      <c r="Y2318" s="6"/>
      <c r="Z2318" s="6"/>
      <c r="AA2318" s="6"/>
      <c r="AB2318" s="6"/>
      <c r="AC2318" s="6"/>
      <c r="AD2318" s="6"/>
      <c r="AE2318" s="6"/>
      <c r="AF2318" s="6"/>
      <c r="AG2318" s="6"/>
      <c r="AH2318" s="6"/>
      <c r="AI2318" s="6"/>
      <c r="AJ2318" s="6"/>
      <c r="AK2318" s="6"/>
      <c r="AL2318" s="6"/>
      <c r="AM2318" s="6"/>
    </row>
    <row r="2319">
      <c r="A2319" s="6"/>
      <c r="B2319" s="6"/>
      <c r="C2319" s="6"/>
      <c r="D2319" s="6"/>
      <c r="E2319" s="6"/>
      <c r="F2319" s="6"/>
      <c r="G2319" s="6"/>
      <c r="H2319" s="6"/>
      <c r="I2319" s="6"/>
      <c r="J2319" s="6"/>
      <c r="K2319" s="6"/>
      <c r="L2319" s="6"/>
      <c r="M2319" s="6"/>
      <c r="N2319" s="6"/>
      <c r="O2319" s="6"/>
      <c r="P2319" s="6"/>
      <c r="Q2319" s="6"/>
      <c r="R2319" s="6"/>
      <c r="S2319" s="6"/>
      <c r="T2319" s="6"/>
      <c r="U2319" s="6"/>
      <c r="V2319" s="6"/>
      <c r="W2319" s="6"/>
      <c r="X2319" s="6"/>
      <c r="Y2319" s="6"/>
      <c r="Z2319" s="6"/>
      <c r="AA2319" s="6"/>
      <c r="AB2319" s="6"/>
      <c r="AC2319" s="6"/>
      <c r="AD2319" s="6"/>
      <c r="AE2319" s="6"/>
      <c r="AF2319" s="6"/>
      <c r="AG2319" s="6"/>
      <c r="AH2319" s="6"/>
      <c r="AI2319" s="6"/>
      <c r="AJ2319" s="6"/>
      <c r="AK2319" s="6"/>
      <c r="AL2319" s="6"/>
      <c r="AM2319" s="6"/>
    </row>
    <row r="2320">
      <c r="A2320" s="6"/>
      <c r="B2320" s="6"/>
      <c r="C2320" s="6"/>
      <c r="D2320" s="6"/>
      <c r="E2320" s="6"/>
      <c r="F2320" s="6"/>
      <c r="G2320" s="6"/>
      <c r="H2320" s="6"/>
      <c r="I2320" s="6"/>
      <c r="J2320" s="6"/>
      <c r="K2320" s="6"/>
      <c r="L2320" s="6"/>
      <c r="M2320" s="6"/>
      <c r="N2320" s="6"/>
      <c r="O2320" s="6"/>
      <c r="P2320" s="6"/>
      <c r="Q2320" s="6"/>
      <c r="R2320" s="6"/>
      <c r="S2320" s="6"/>
      <c r="T2320" s="6"/>
      <c r="U2320" s="6"/>
      <c r="V2320" s="6"/>
      <c r="W2320" s="6"/>
      <c r="X2320" s="6"/>
      <c r="Y2320" s="6"/>
      <c r="Z2320" s="6"/>
      <c r="AA2320" s="6"/>
      <c r="AB2320" s="6"/>
      <c r="AC2320" s="6"/>
      <c r="AD2320" s="6"/>
      <c r="AE2320" s="6"/>
      <c r="AF2320" s="6"/>
      <c r="AG2320" s="6"/>
      <c r="AH2320" s="6"/>
      <c r="AI2320" s="6"/>
      <c r="AJ2320" s="6"/>
      <c r="AK2320" s="6"/>
      <c r="AL2320" s="6"/>
      <c r="AM2320" s="6"/>
    </row>
    <row r="2321">
      <c r="A2321" s="6"/>
      <c r="B2321" s="6"/>
      <c r="C2321" s="6"/>
      <c r="D2321" s="6"/>
      <c r="E2321" s="6"/>
      <c r="F2321" s="6"/>
      <c r="G2321" s="6"/>
      <c r="H2321" s="6"/>
      <c r="I2321" s="6"/>
      <c r="J2321" s="6"/>
      <c r="K2321" s="6"/>
      <c r="L2321" s="6"/>
      <c r="M2321" s="6"/>
      <c r="N2321" s="6"/>
      <c r="O2321" s="6"/>
      <c r="P2321" s="6"/>
      <c r="Q2321" s="6"/>
      <c r="R2321" s="6"/>
      <c r="S2321" s="6"/>
      <c r="T2321" s="6"/>
      <c r="U2321" s="6"/>
      <c r="V2321" s="6"/>
      <c r="W2321" s="6"/>
      <c r="X2321" s="6"/>
      <c r="Y2321" s="6"/>
      <c r="Z2321" s="6"/>
      <c r="AA2321" s="6"/>
      <c r="AB2321" s="6"/>
      <c r="AC2321" s="6"/>
      <c r="AD2321" s="6"/>
      <c r="AE2321" s="6"/>
      <c r="AF2321" s="6"/>
      <c r="AG2321" s="6"/>
      <c r="AH2321" s="6"/>
      <c r="AI2321" s="6"/>
      <c r="AJ2321" s="6"/>
      <c r="AK2321" s="6"/>
      <c r="AL2321" s="6"/>
      <c r="AM2321" s="6"/>
    </row>
    <row r="2322">
      <c r="A2322" s="6"/>
      <c r="B2322" s="6"/>
      <c r="C2322" s="6"/>
      <c r="D2322" s="6"/>
      <c r="E2322" s="6"/>
      <c r="F2322" s="6"/>
      <c r="G2322" s="6"/>
      <c r="H2322" s="6"/>
      <c r="I2322" s="6"/>
      <c r="J2322" s="6"/>
      <c r="K2322" s="6"/>
      <c r="L2322" s="6"/>
      <c r="M2322" s="6"/>
      <c r="N2322" s="6"/>
      <c r="O2322" s="6"/>
      <c r="P2322" s="6"/>
      <c r="Q2322" s="6"/>
      <c r="R2322" s="6"/>
      <c r="S2322" s="6"/>
      <c r="T2322" s="6"/>
      <c r="U2322" s="6"/>
      <c r="V2322" s="6"/>
      <c r="W2322" s="6"/>
      <c r="X2322" s="6"/>
      <c r="Y2322" s="6"/>
      <c r="Z2322" s="6"/>
      <c r="AA2322" s="6"/>
      <c r="AB2322" s="6"/>
      <c r="AC2322" s="6"/>
      <c r="AD2322" s="6"/>
      <c r="AE2322" s="6"/>
      <c r="AF2322" s="6"/>
      <c r="AG2322" s="6"/>
      <c r="AH2322" s="6"/>
      <c r="AI2322" s="6"/>
      <c r="AJ2322" s="6"/>
      <c r="AK2322" s="6"/>
      <c r="AL2322" s="6"/>
      <c r="AM2322" s="6"/>
    </row>
    <row r="2323">
      <c r="A2323" s="6"/>
      <c r="B2323" s="6"/>
      <c r="C2323" s="6"/>
      <c r="D2323" s="6"/>
      <c r="E2323" s="6"/>
      <c r="F2323" s="6"/>
      <c r="G2323" s="6"/>
      <c r="H2323" s="6"/>
      <c r="I2323" s="6"/>
      <c r="J2323" s="6"/>
      <c r="K2323" s="6"/>
      <c r="L2323" s="6"/>
      <c r="M2323" s="6"/>
      <c r="N2323" s="6"/>
      <c r="O2323" s="6"/>
      <c r="P2323" s="6"/>
      <c r="Q2323" s="6"/>
      <c r="R2323" s="6"/>
      <c r="S2323" s="6"/>
      <c r="T2323" s="6"/>
      <c r="U2323" s="6"/>
      <c r="V2323" s="6"/>
      <c r="W2323" s="6"/>
      <c r="X2323" s="6"/>
      <c r="Y2323" s="6"/>
      <c r="Z2323" s="6"/>
      <c r="AA2323" s="6"/>
      <c r="AB2323" s="6"/>
      <c r="AC2323" s="6"/>
      <c r="AD2323" s="6"/>
      <c r="AE2323" s="6"/>
      <c r="AF2323" s="6"/>
      <c r="AG2323" s="6"/>
      <c r="AH2323" s="6"/>
      <c r="AI2323" s="6"/>
      <c r="AJ2323" s="6"/>
      <c r="AK2323" s="6"/>
      <c r="AL2323" s="6"/>
      <c r="AM2323" s="6"/>
    </row>
    <row r="2324">
      <c r="A2324" s="6"/>
      <c r="B2324" s="6"/>
      <c r="C2324" s="6"/>
      <c r="D2324" s="6"/>
      <c r="E2324" s="6"/>
      <c r="F2324" s="6"/>
      <c r="G2324" s="6"/>
      <c r="H2324" s="6"/>
      <c r="I2324" s="6"/>
      <c r="J2324" s="6"/>
      <c r="K2324" s="6"/>
      <c r="L2324" s="6"/>
      <c r="M2324" s="6"/>
      <c r="N2324" s="6"/>
      <c r="O2324" s="6"/>
      <c r="P2324" s="6"/>
      <c r="Q2324" s="6"/>
      <c r="R2324" s="6"/>
      <c r="S2324" s="6"/>
      <c r="T2324" s="6"/>
      <c r="U2324" s="6"/>
      <c r="V2324" s="6"/>
      <c r="W2324" s="6"/>
      <c r="X2324" s="6"/>
      <c r="Y2324" s="6"/>
      <c r="Z2324" s="6"/>
      <c r="AA2324" s="6"/>
      <c r="AB2324" s="6"/>
      <c r="AC2324" s="6"/>
      <c r="AD2324" s="6"/>
      <c r="AE2324" s="6"/>
      <c r="AF2324" s="6"/>
      <c r="AG2324" s="6"/>
      <c r="AH2324" s="6"/>
      <c r="AI2324" s="6"/>
      <c r="AJ2324" s="6"/>
      <c r="AK2324" s="6"/>
      <c r="AL2324" s="6"/>
      <c r="AM2324" s="6"/>
    </row>
    <row r="2325">
      <c r="A2325" s="6"/>
      <c r="B2325" s="6"/>
      <c r="C2325" s="6"/>
      <c r="D2325" s="6"/>
      <c r="E2325" s="6"/>
      <c r="F2325" s="6"/>
      <c r="G2325" s="6"/>
      <c r="H2325" s="6"/>
      <c r="I2325" s="6"/>
      <c r="J2325" s="6"/>
      <c r="K2325" s="6"/>
      <c r="L2325" s="6"/>
      <c r="M2325" s="6"/>
      <c r="N2325" s="6"/>
      <c r="O2325" s="6"/>
      <c r="P2325" s="6"/>
      <c r="Q2325" s="6"/>
      <c r="R2325" s="6"/>
      <c r="S2325" s="6"/>
      <c r="T2325" s="6"/>
      <c r="U2325" s="6"/>
      <c r="V2325" s="6"/>
      <c r="W2325" s="6"/>
      <c r="X2325" s="6"/>
      <c r="Y2325" s="6"/>
      <c r="Z2325" s="6"/>
      <c r="AA2325" s="6"/>
      <c r="AB2325" s="6"/>
      <c r="AC2325" s="6"/>
      <c r="AD2325" s="6"/>
      <c r="AE2325" s="6"/>
      <c r="AF2325" s="6"/>
      <c r="AG2325" s="6"/>
      <c r="AH2325" s="6"/>
      <c r="AI2325" s="6"/>
      <c r="AJ2325" s="6"/>
      <c r="AK2325" s="6"/>
      <c r="AL2325" s="6"/>
      <c r="AM2325" s="6"/>
    </row>
    <row r="2326">
      <c r="A2326" s="6"/>
      <c r="B2326" s="6"/>
      <c r="C2326" s="6"/>
      <c r="D2326" s="6"/>
      <c r="E2326" s="6"/>
      <c r="F2326" s="6"/>
      <c r="G2326" s="6"/>
      <c r="H2326" s="6"/>
      <c r="I2326" s="6"/>
      <c r="J2326" s="6"/>
      <c r="K2326" s="6"/>
      <c r="L2326" s="6"/>
      <c r="M2326" s="6"/>
      <c r="N2326" s="6"/>
      <c r="O2326" s="6"/>
      <c r="P2326" s="6"/>
      <c r="Q2326" s="6"/>
      <c r="R2326" s="6"/>
      <c r="S2326" s="6"/>
      <c r="T2326" s="6"/>
      <c r="U2326" s="6"/>
      <c r="V2326" s="6"/>
      <c r="W2326" s="6"/>
      <c r="X2326" s="6"/>
      <c r="Y2326" s="6"/>
      <c r="Z2326" s="6"/>
      <c r="AA2326" s="6"/>
      <c r="AB2326" s="6"/>
      <c r="AC2326" s="6"/>
      <c r="AD2326" s="6"/>
      <c r="AE2326" s="6"/>
      <c r="AF2326" s="6"/>
      <c r="AG2326" s="6"/>
      <c r="AH2326" s="6"/>
      <c r="AI2326" s="6"/>
      <c r="AJ2326" s="6"/>
      <c r="AK2326" s="6"/>
      <c r="AL2326" s="6"/>
      <c r="AM2326" s="6"/>
    </row>
    <row r="2327">
      <c r="A2327" s="6"/>
      <c r="B2327" s="6"/>
      <c r="C2327" s="6"/>
      <c r="D2327" s="6"/>
      <c r="E2327" s="6"/>
      <c r="F2327" s="6"/>
      <c r="G2327" s="6"/>
      <c r="H2327" s="6"/>
      <c r="I2327" s="6"/>
      <c r="J2327" s="6"/>
      <c r="K2327" s="6"/>
      <c r="L2327" s="6"/>
      <c r="M2327" s="6"/>
      <c r="N2327" s="6"/>
      <c r="O2327" s="6"/>
      <c r="P2327" s="6"/>
      <c r="Q2327" s="6"/>
      <c r="R2327" s="6"/>
      <c r="S2327" s="6"/>
      <c r="T2327" s="6"/>
      <c r="U2327" s="6"/>
      <c r="V2327" s="6"/>
      <c r="W2327" s="6"/>
      <c r="X2327" s="6"/>
      <c r="Y2327" s="6"/>
      <c r="Z2327" s="6"/>
      <c r="AA2327" s="6"/>
      <c r="AB2327" s="6"/>
      <c r="AC2327" s="6"/>
      <c r="AD2327" s="6"/>
      <c r="AE2327" s="6"/>
      <c r="AF2327" s="6"/>
      <c r="AG2327" s="6"/>
      <c r="AH2327" s="6"/>
      <c r="AI2327" s="6"/>
      <c r="AJ2327" s="6"/>
      <c r="AK2327" s="6"/>
      <c r="AL2327" s="6"/>
      <c r="AM2327" s="6"/>
    </row>
    <row r="2328">
      <c r="A2328" s="6"/>
      <c r="B2328" s="6"/>
      <c r="C2328" s="6"/>
      <c r="D2328" s="6"/>
      <c r="E2328" s="6"/>
      <c r="F2328" s="6"/>
      <c r="G2328" s="6"/>
      <c r="H2328" s="6"/>
      <c r="I2328" s="6"/>
      <c r="J2328" s="6"/>
      <c r="K2328" s="6"/>
      <c r="L2328" s="6"/>
      <c r="M2328" s="6"/>
      <c r="N2328" s="6"/>
      <c r="O2328" s="6"/>
      <c r="P2328" s="6"/>
      <c r="Q2328" s="6"/>
      <c r="R2328" s="6"/>
      <c r="S2328" s="6"/>
      <c r="T2328" s="6"/>
      <c r="U2328" s="6"/>
      <c r="V2328" s="6"/>
      <c r="W2328" s="6"/>
      <c r="X2328" s="6"/>
      <c r="Y2328" s="6"/>
      <c r="Z2328" s="6"/>
      <c r="AA2328" s="6"/>
      <c r="AB2328" s="6"/>
      <c r="AC2328" s="6"/>
      <c r="AD2328" s="6"/>
      <c r="AE2328" s="6"/>
      <c r="AF2328" s="6"/>
      <c r="AG2328" s="6"/>
      <c r="AH2328" s="6"/>
      <c r="AI2328" s="6"/>
      <c r="AJ2328" s="6"/>
      <c r="AK2328" s="6"/>
      <c r="AL2328" s="6"/>
      <c r="AM2328" s="6"/>
    </row>
    <row r="2329">
      <c r="A2329" s="6"/>
      <c r="B2329" s="6"/>
      <c r="C2329" s="6"/>
      <c r="D2329" s="6"/>
      <c r="E2329" s="6"/>
      <c r="F2329" s="6"/>
      <c r="G2329" s="6"/>
      <c r="H2329" s="6"/>
      <c r="I2329" s="6"/>
      <c r="J2329" s="6"/>
      <c r="K2329" s="6"/>
      <c r="L2329" s="6"/>
      <c r="M2329" s="6"/>
      <c r="N2329" s="6"/>
      <c r="O2329" s="6"/>
      <c r="P2329" s="6"/>
      <c r="Q2329" s="6"/>
      <c r="R2329" s="6"/>
      <c r="S2329" s="6"/>
      <c r="T2329" s="6"/>
      <c r="U2329" s="6"/>
      <c r="V2329" s="6"/>
      <c r="W2329" s="6"/>
      <c r="X2329" s="6"/>
      <c r="Y2329" s="6"/>
      <c r="Z2329" s="6"/>
      <c r="AA2329" s="6"/>
      <c r="AB2329" s="6"/>
      <c r="AC2329" s="6"/>
      <c r="AD2329" s="6"/>
      <c r="AE2329" s="6"/>
      <c r="AF2329" s="6"/>
      <c r="AG2329" s="6"/>
      <c r="AH2329" s="6"/>
      <c r="AI2329" s="6"/>
      <c r="AJ2329" s="6"/>
      <c r="AK2329" s="6"/>
      <c r="AL2329" s="6"/>
      <c r="AM2329" s="6"/>
    </row>
    <row r="2330">
      <c r="A2330" s="6"/>
      <c r="B2330" s="6"/>
      <c r="C2330" s="6"/>
      <c r="D2330" s="6"/>
      <c r="E2330" s="6"/>
      <c r="F2330" s="6"/>
      <c r="G2330" s="6"/>
      <c r="H2330" s="6"/>
      <c r="I2330" s="6"/>
      <c r="J2330" s="6"/>
      <c r="K2330" s="6"/>
      <c r="L2330" s="6"/>
      <c r="M2330" s="6"/>
      <c r="N2330" s="6"/>
      <c r="O2330" s="6"/>
      <c r="P2330" s="6"/>
      <c r="Q2330" s="6"/>
      <c r="R2330" s="6"/>
      <c r="S2330" s="6"/>
      <c r="T2330" s="6"/>
      <c r="U2330" s="6"/>
      <c r="V2330" s="6"/>
      <c r="W2330" s="6"/>
      <c r="X2330" s="6"/>
      <c r="Y2330" s="6"/>
      <c r="Z2330" s="6"/>
      <c r="AA2330" s="6"/>
      <c r="AB2330" s="6"/>
      <c r="AC2330" s="6"/>
      <c r="AD2330" s="6"/>
      <c r="AE2330" s="6"/>
      <c r="AF2330" s="6"/>
      <c r="AG2330" s="6"/>
      <c r="AH2330" s="6"/>
      <c r="AI2330" s="6"/>
      <c r="AJ2330" s="6"/>
      <c r="AK2330" s="6"/>
      <c r="AL2330" s="6"/>
      <c r="AM2330" s="6"/>
    </row>
    <row r="2331">
      <c r="A2331" s="6"/>
      <c r="B2331" s="6"/>
      <c r="C2331" s="6"/>
      <c r="D2331" s="6"/>
      <c r="E2331" s="6"/>
      <c r="F2331" s="6"/>
      <c r="G2331" s="6"/>
      <c r="H2331" s="6"/>
      <c r="I2331" s="6"/>
      <c r="J2331" s="6"/>
      <c r="K2331" s="6"/>
      <c r="L2331" s="6"/>
      <c r="M2331" s="6"/>
      <c r="N2331" s="6"/>
      <c r="O2331" s="6"/>
      <c r="P2331" s="6"/>
      <c r="Q2331" s="6"/>
      <c r="R2331" s="6"/>
      <c r="S2331" s="6"/>
      <c r="T2331" s="6"/>
      <c r="U2331" s="6"/>
      <c r="V2331" s="6"/>
      <c r="W2331" s="6"/>
      <c r="X2331" s="6"/>
      <c r="Y2331" s="6"/>
      <c r="Z2331" s="6"/>
      <c r="AA2331" s="6"/>
      <c r="AB2331" s="6"/>
      <c r="AC2331" s="6"/>
      <c r="AD2331" s="6"/>
      <c r="AE2331" s="6"/>
      <c r="AF2331" s="6"/>
      <c r="AG2331" s="6"/>
      <c r="AH2331" s="6"/>
      <c r="AI2331" s="6"/>
      <c r="AJ2331" s="6"/>
      <c r="AK2331" s="6"/>
      <c r="AL2331" s="6"/>
      <c r="AM2331" s="6"/>
    </row>
    <row r="2332">
      <c r="A2332" s="6"/>
      <c r="B2332" s="6"/>
      <c r="C2332" s="6"/>
      <c r="D2332" s="6"/>
      <c r="E2332" s="6"/>
      <c r="F2332" s="6"/>
      <c r="G2332" s="6"/>
      <c r="H2332" s="6"/>
      <c r="I2332" s="6"/>
      <c r="J2332" s="6"/>
      <c r="K2332" s="6"/>
      <c r="L2332" s="6"/>
      <c r="M2332" s="6"/>
      <c r="N2332" s="6"/>
      <c r="O2332" s="6"/>
      <c r="P2332" s="6"/>
      <c r="Q2332" s="6"/>
      <c r="R2332" s="6"/>
      <c r="S2332" s="6"/>
      <c r="T2332" s="6"/>
      <c r="U2332" s="6"/>
      <c r="V2332" s="6"/>
      <c r="W2332" s="6"/>
      <c r="X2332" s="6"/>
      <c r="Y2332" s="6"/>
      <c r="Z2332" s="6"/>
      <c r="AA2332" s="6"/>
      <c r="AB2332" s="6"/>
      <c r="AC2332" s="6"/>
      <c r="AD2332" s="6"/>
      <c r="AE2332" s="6"/>
      <c r="AF2332" s="6"/>
      <c r="AG2332" s="6"/>
      <c r="AH2332" s="6"/>
      <c r="AI2332" s="6"/>
      <c r="AJ2332" s="6"/>
      <c r="AK2332" s="6"/>
      <c r="AL2332" s="6"/>
      <c r="AM2332" s="6"/>
    </row>
    <row r="2333">
      <c r="A2333" s="6"/>
      <c r="B2333" s="6"/>
      <c r="C2333" s="6"/>
      <c r="D2333" s="6"/>
      <c r="E2333" s="6"/>
      <c r="F2333" s="6"/>
      <c r="G2333" s="6"/>
      <c r="H2333" s="6"/>
      <c r="I2333" s="6"/>
      <c r="J2333" s="6"/>
      <c r="K2333" s="6"/>
      <c r="L2333" s="6"/>
      <c r="M2333" s="6"/>
      <c r="N2333" s="6"/>
      <c r="O2333" s="6"/>
      <c r="P2333" s="6"/>
      <c r="Q2333" s="6"/>
      <c r="R2333" s="6"/>
      <c r="S2333" s="6"/>
      <c r="T2333" s="6"/>
      <c r="U2333" s="6"/>
      <c r="V2333" s="6"/>
      <c r="W2333" s="6"/>
      <c r="X2333" s="6"/>
      <c r="Y2333" s="6"/>
      <c r="Z2333" s="6"/>
      <c r="AA2333" s="6"/>
      <c r="AB2333" s="6"/>
      <c r="AC2333" s="6"/>
      <c r="AD2333" s="6"/>
      <c r="AE2333" s="6"/>
      <c r="AF2333" s="6"/>
      <c r="AG2333" s="6"/>
      <c r="AH2333" s="6"/>
      <c r="AI2333" s="6"/>
      <c r="AJ2333" s="6"/>
      <c r="AK2333" s="6"/>
      <c r="AL2333" s="6"/>
      <c r="AM2333" s="6"/>
    </row>
    <row r="2334">
      <c r="A2334" s="6"/>
      <c r="B2334" s="6"/>
      <c r="C2334" s="6"/>
      <c r="D2334" s="6"/>
      <c r="E2334" s="6"/>
      <c r="F2334" s="6"/>
      <c r="G2334" s="6"/>
      <c r="H2334" s="6"/>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c r="AG2334" s="6"/>
      <c r="AH2334" s="6"/>
      <c r="AI2334" s="6"/>
      <c r="AJ2334" s="6"/>
      <c r="AK2334" s="6"/>
      <c r="AL2334" s="6"/>
      <c r="AM2334" s="6"/>
    </row>
    <row r="2335">
      <c r="A2335" s="6"/>
      <c r="B2335" s="6"/>
      <c r="C2335" s="6"/>
      <c r="D2335" s="6"/>
      <c r="E2335" s="6"/>
      <c r="F2335" s="6"/>
      <c r="G2335" s="6"/>
      <c r="H2335" s="6"/>
      <c r="I2335" s="6"/>
      <c r="J2335" s="6"/>
      <c r="K2335" s="6"/>
      <c r="L2335" s="6"/>
      <c r="M2335" s="6"/>
      <c r="N2335" s="6"/>
      <c r="O2335" s="6"/>
      <c r="P2335" s="6"/>
      <c r="Q2335" s="6"/>
      <c r="R2335" s="6"/>
      <c r="S2335" s="6"/>
      <c r="T2335" s="6"/>
      <c r="U2335" s="6"/>
      <c r="V2335" s="6"/>
      <c r="W2335" s="6"/>
      <c r="X2335" s="6"/>
      <c r="Y2335" s="6"/>
      <c r="Z2335" s="6"/>
      <c r="AA2335" s="6"/>
      <c r="AB2335" s="6"/>
      <c r="AC2335" s="6"/>
      <c r="AD2335" s="6"/>
      <c r="AE2335" s="6"/>
      <c r="AF2335" s="6"/>
      <c r="AG2335" s="6"/>
      <c r="AH2335" s="6"/>
      <c r="AI2335" s="6"/>
      <c r="AJ2335" s="6"/>
      <c r="AK2335" s="6"/>
      <c r="AL2335" s="6"/>
      <c r="AM2335" s="6"/>
    </row>
    <row r="2336">
      <c r="A2336" s="6"/>
      <c r="B2336" s="6"/>
      <c r="C2336" s="6"/>
      <c r="D2336" s="6"/>
      <c r="E2336" s="6"/>
      <c r="F2336" s="6"/>
      <c r="G2336" s="6"/>
      <c r="H2336" s="6"/>
      <c r="I2336" s="6"/>
      <c r="J2336" s="6"/>
      <c r="K2336" s="6"/>
      <c r="L2336" s="6"/>
      <c r="M2336" s="6"/>
      <c r="N2336" s="6"/>
      <c r="O2336" s="6"/>
      <c r="P2336" s="6"/>
      <c r="Q2336" s="6"/>
      <c r="R2336" s="6"/>
      <c r="S2336" s="6"/>
      <c r="T2336" s="6"/>
      <c r="U2336" s="6"/>
      <c r="V2336" s="6"/>
      <c r="W2336" s="6"/>
      <c r="X2336" s="6"/>
      <c r="Y2336" s="6"/>
      <c r="Z2336" s="6"/>
      <c r="AA2336" s="6"/>
      <c r="AB2336" s="6"/>
      <c r="AC2336" s="6"/>
      <c r="AD2336" s="6"/>
      <c r="AE2336" s="6"/>
      <c r="AF2336" s="6"/>
      <c r="AG2336" s="6"/>
      <c r="AH2336" s="6"/>
      <c r="AI2336" s="6"/>
      <c r="AJ2336" s="6"/>
      <c r="AK2336" s="6"/>
      <c r="AL2336" s="6"/>
      <c r="AM2336" s="6"/>
    </row>
    <row r="2337">
      <c r="A2337" s="6"/>
      <c r="B2337" s="6"/>
      <c r="C2337" s="6"/>
      <c r="D2337" s="6"/>
      <c r="E2337" s="6"/>
      <c r="F2337" s="6"/>
      <c r="G2337" s="6"/>
      <c r="H2337" s="6"/>
      <c r="I2337" s="6"/>
      <c r="J2337" s="6"/>
      <c r="K2337" s="6"/>
      <c r="L2337" s="6"/>
      <c r="M2337" s="6"/>
      <c r="N2337" s="6"/>
      <c r="O2337" s="6"/>
      <c r="P2337" s="6"/>
      <c r="Q2337" s="6"/>
      <c r="R2337" s="6"/>
      <c r="S2337" s="6"/>
      <c r="T2337" s="6"/>
      <c r="U2337" s="6"/>
      <c r="V2337" s="6"/>
      <c r="W2337" s="6"/>
      <c r="X2337" s="6"/>
      <c r="Y2337" s="6"/>
      <c r="Z2337" s="6"/>
      <c r="AA2337" s="6"/>
      <c r="AB2337" s="6"/>
      <c r="AC2337" s="6"/>
      <c r="AD2337" s="6"/>
      <c r="AE2337" s="6"/>
      <c r="AF2337" s="6"/>
      <c r="AG2337" s="6"/>
      <c r="AH2337" s="6"/>
      <c r="AI2337" s="6"/>
      <c r="AJ2337" s="6"/>
      <c r="AK2337" s="6"/>
      <c r="AL2337" s="6"/>
      <c r="AM2337" s="6"/>
    </row>
    <row r="2338">
      <c r="A2338" s="6"/>
      <c r="B2338" s="6"/>
      <c r="C2338" s="6"/>
      <c r="D2338" s="6"/>
      <c r="E2338" s="6"/>
      <c r="F2338" s="6"/>
      <c r="G2338" s="6"/>
      <c r="H2338" s="6"/>
      <c r="I2338" s="6"/>
      <c r="J2338" s="6"/>
      <c r="K2338" s="6"/>
      <c r="L2338" s="6"/>
      <c r="M2338" s="6"/>
      <c r="N2338" s="6"/>
      <c r="O2338" s="6"/>
      <c r="P2338" s="6"/>
      <c r="Q2338" s="6"/>
      <c r="R2338" s="6"/>
      <c r="S2338" s="6"/>
      <c r="T2338" s="6"/>
      <c r="U2338" s="6"/>
      <c r="V2338" s="6"/>
      <c r="W2338" s="6"/>
      <c r="X2338" s="6"/>
      <c r="Y2338" s="6"/>
      <c r="Z2338" s="6"/>
      <c r="AA2338" s="6"/>
      <c r="AB2338" s="6"/>
      <c r="AC2338" s="6"/>
      <c r="AD2338" s="6"/>
      <c r="AE2338" s="6"/>
      <c r="AF2338" s="6"/>
      <c r="AG2338" s="6"/>
      <c r="AH2338" s="6"/>
      <c r="AI2338" s="6"/>
      <c r="AJ2338" s="6"/>
      <c r="AK2338" s="6"/>
      <c r="AL2338" s="6"/>
      <c r="AM2338" s="6"/>
    </row>
    <row r="2339">
      <c r="A2339" s="6"/>
      <c r="B2339" s="6"/>
      <c r="C2339" s="6"/>
      <c r="D2339" s="6"/>
      <c r="E2339" s="6"/>
      <c r="F2339" s="6"/>
      <c r="G2339" s="6"/>
      <c r="H2339" s="6"/>
      <c r="I2339" s="6"/>
      <c r="J2339" s="6"/>
      <c r="K2339" s="6"/>
      <c r="L2339" s="6"/>
      <c r="M2339" s="6"/>
      <c r="N2339" s="6"/>
      <c r="O2339" s="6"/>
      <c r="P2339" s="6"/>
      <c r="Q2339" s="6"/>
      <c r="R2339" s="6"/>
      <c r="S2339" s="6"/>
      <c r="T2339" s="6"/>
      <c r="U2339" s="6"/>
      <c r="V2339" s="6"/>
      <c r="W2339" s="6"/>
      <c r="X2339" s="6"/>
      <c r="Y2339" s="6"/>
      <c r="Z2339" s="6"/>
      <c r="AA2339" s="6"/>
      <c r="AB2339" s="6"/>
      <c r="AC2339" s="6"/>
      <c r="AD2339" s="6"/>
      <c r="AE2339" s="6"/>
      <c r="AF2339" s="6"/>
      <c r="AG2339" s="6"/>
      <c r="AH2339" s="6"/>
      <c r="AI2339" s="6"/>
      <c r="AJ2339" s="6"/>
      <c r="AK2339" s="6"/>
      <c r="AL2339" s="6"/>
      <c r="AM2339" s="6"/>
    </row>
    <row r="2340">
      <c r="A2340" s="6"/>
      <c r="B2340" s="6"/>
      <c r="C2340" s="6"/>
      <c r="D2340" s="6"/>
      <c r="E2340" s="6"/>
      <c r="F2340" s="6"/>
      <c r="G2340" s="6"/>
      <c r="H2340" s="6"/>
      <c r="I2340" s="6"/>
      <c r="J2340" s="6"/>
      <c r="K2340" s="6"/>
      <c r="L2340" s="6"/>
      <c r="M2340" s="6"/>
      <c r="N2340" s="6"/>
      <c r="O2340" s="6"/>
      <c r="P2340" s="6"/>
      <c r="Q2340" s="6"/>
      <c r="R2340" s="6"/>
      <c r="S2340" s="6"/>
      <c r="T2340" s="6"/>
      <c r="U2340" s="6"/>
      <c r="V2340" s="6"/>
      <c r="W2340" s="6"/>
      <c r="X2340" s="6"/>
      <c r="Y2340" s="6"/>
      <c r="Z2340" s="6"/>
      <c r="AA2340" s="6"/>
      <c r="AB2340" s="6"/>
      <c r="AC2340" s="6"/>
      <c r="AD2340" s="6"/>
      <c r="AE2340" s="6"/>
      <c r="AF2340" s="6"/>
      <c r="AG2340" s="6"/>
      <c r="AH2340" s="6"/>
      <c r="AI2340" s="6"/>
      <c r="AJ2340" s="6"/>
      <c r="AK2340" s="6"/>
      <c r="AL2340" s="6"/>
      <c r="AM2340" s="6"/>
    </row>
    <row r="2341">
      <c r="A2341" s="6"/>
      <c r="B2341" s="6"/>
      <c r="C2341" s="6"/>
      <c r="D2341" s="6"/>
      <c r="E2341" s="6"/>
      <c r="F2341" s="6"/>
      <c r="G2341" s="6"/>
      <c r="H2341" s="6"/>
      <c r="I2341" s="6"/>
      <c r="J2341" s="6"/>
      <c r="K2341" s="6"/>
      <c r="L2341" s="6"/>
      <c r="M2341" s="6"/>
      <c r="N2341" s="6"/>
      <c r="O2341" s="6"/>
      <c r="P2341" s="6"/>
      <c r="Q2341" s="6"/>
      <c r="R2341" s="6"/>
      <c r="S2341" s="6"/>
      <c r="T2341" s="6"/>
      <c r="U2341" s="6"/>
      <c r="V2341" s="6"/>
      <c r="W2341" s="6"/>
      <c r="X2341" s="6"/>
      <c r="Y2341" s="6"/>
      <c r="Z2341" s="6"/>
      <c r="AA2341" s="6"/>
      <c r="AB2341" s="6"/>
      <c r="AC2341" s="6"/>
      <c r="AD2341" s="6"/>
      <c r="AE2341" s="6"/>
      <c r="AF2341" s="6"/>
      <c r="AG2341" s="6"/>
      <c r="AH2341" s="6"/>
      <c r="AI2341" s="6"/>
      <c r="AJ2341" s="6"/>
      <c r="AK2341" s="6"/>
      <c r="AL2341" s="6"/>
      <c r="AM2341" s="6"/>
    </row>
    <row r="2342">
      <c r="A2342" s="6"/>
      <c r="B2342" s="6"/>
      <c r="C2342" s="6"/>
      <c r="D2342" s="6"/>
      <c r="E2342" s="6"/>
      <c r="F2342" s="6"/>
      <c r="G2342" s="6"/>
      <c r="H2342" s="6"/>
      <c r="I2342" s="6"/>
      <c r="J2342" s="6"/>
      <c r="K2342" s="6"/>
      <c r="L2342" s="6"/>
      <c r="M2342" s="6"/>
      <c r="N2342" s="6"/>
      <c r="O2342" s="6"/>
      <c r="P2342" s="6"/>
      <c r="Q2342" s="6"/>
      <c r="R2342" s="6"/>
      <c r="S2342" s="6"/>
      <c r="T2342" s="6"/>
      <c r="U2342" s="6"/>
      <c r="V2342" s="6"/>
      <c r="W2342" s="6"/>
      <c r="X2342" s="6"/>
      <c r="Y2342" s="6"/>
      <c r="Z2342" s="6"/>
      <c r="AA2342" s="6"/>
      <c r="AB2342" s="6"/>
      <c r="AC2342" s="6"/>
      <c r="AD2342" s="6"/>
      <c r="AE2342" s="6"/>
      <c r="AF2342" s="6"/>
      <c r="AG2342" s="6"/>
      <c r="AH2342" s="6"/>
      <c r="AI2342" s="6"/>
      <c r="AJ2342" s="6"/>
      <c r="AK2342" s="6"/>
      <c r="AL2342" s="6"/>
      <c r="AM2342" s="6"/>
    </row>
    <row r="2343">
      <c r="A2343" s="6"/>
      <c r="B2343" s="6"/>
      <c r="C2343" s="6"/>
      <c r="D2343" s="6"/>
      <c r="E2343" s="6"/>
      <c r="F2343" s="6"/>
      <c r="G2343" s="6"/>
      <c r="H2343" s="6"/>
      <c r="I2343" s="6"/>
      <c r="J2343" s="6"/>
      <c r="K2343" s="6"/>
      <c r="L2343" s="6"/>
      <c r="M2343" s="6"/>
      <c r="N2343" s="6"/>
      <c r="O2343" s="6"/>
      <c r="P2343" s="6"/>
      <c r="Q2343" s="6"/>
      <c r="R2343" s="6"/>
      <c r="S2343" s="6"/>
      <c r="T2343" s="6"/>
      <c r="U2343" s="6"/>
      <c r="V2343" s="6"/>
      <c r="W2343" s="6"/>
      <c r="X2343" s="6"/>
      <c r="Y2343" s="6"/>
      <c r="Z2343" s="6"/>
      <c r="AA2343" s="6"/>
      <c r="AB2343" s="6"/>
      <c r="AC2343" s="6"/>
      <c r="AD2343" s="6"/>
      <c r="AE2343" s="6"/>
      <c r="AF2343" s="6"/>
      <c r="AG2343" s="6"/>
      <c r="AH2343" s="6"/>
      <c r="AI2343" s="6"/>
      <c r="AJ2343" s="6"/>
      <c r="AK2343" s="6"/>
      <c r="AL2343" s="6"/>
      <c r="AM2343" s="6"/>
    </row>
    <row r="2344">
      <c r="A2344" s="6"/>
      <c r="B2344" s="6"/>
      <c r="C2344" s="6"/>
      <c r="D2344" s="6"/>
      <c r="E2344" s="6"/>
      <c r="F2344" s="6"/>
      <c r="G2344" s="6"/>
      <c r="H2344" s="6"/>
      <c r="I2344" s="6"/>
      <c r="J2344" s="6"/>
      <c r="K2344" s="6"/>
      <c r="L2344" s="6"/>
      <c r="M2344" s="6"/>
      <c r="N2344" s="6"/>
      <c r="O2344" s="6"/>
      <c r="P2344" s="6"/>
      <c r="Q2344" s="6"/>
      <c r="R2344" s="6"/>
      <c r="S2344" s="6"/>
      <c r="T2344" s="6"/>
      <c r="U2344" s="6"/>
      <c r="V2344" s="6"/>
      <c r="W2344" s="6"/>
      <c r="X2344" s="6"/>
      <c r="Y2344" s="6"/>
      <c r="Z2344" s="6"/>
      <c r="AA2344" s="6"/>
      <c r="AB2344" s="6"/>
      <c r="AC2344" s="6"/>
      <c r="AD2344" s="6"/>
      <c r="AE2344" s="6"/>
      <c r="AF2344" s="6"/>
      <c r="AG2344" s="6"/>
      <c r="AH2344" s="6"/>
      <c r="AI2344" s="6"/>
      <c r="AJ2344" s="6"/>
      <c r="AK2344" s="6"/>
      <c r="AL2344" s="6"/>
      <c r="AM2344" s="6"/>
    </row>
    <row r="2345">
      <c r="A2345" s="6"/>
      <c r="B2345" s="6"/>
      <c r="C2345" s="6"/>
      <c r="D2345" s="6"/>
      <c r="E2345" s="6"/>
      <c r="F2345" s="6"/>
      <c r="G2345" s="6"/>
      <c r="H2345" s="6"/>
      <c r="I2345" s="6"/>
      <c r="J2345" s="6"/>
      <c r="K2345" s="6"/>
      <c r="L2345" s="6"/>
      <c r="M2345" s="6"/>
      <c r="N2345" s="6"/>
      <c r="O2345" s="6"/>
      <c r="P2345" s="6"/>
      <c r="Q2345" s="6"/>
      <c r="R2345" s="6"/>
      <c r="S2345" s="6"/>
      <c r="T2345" s="6"/>
      <c r="U2345" s="6"/>
      <c r="V2345" s="6"/>
      <c r="W2345" s="6"/>
      <c r="X2345" s="6"/>
      <c r="Y2345" s="6"/>
      <c r="Z2345" s="6"/>
      <c r="AA2345" s="6"/>
      <c r="AB2345" s="6"/>
      <c r="AC2345" s="6"/>
      <c r="AD2345" s="6"/>
      <c r="AE2345" s="6"/>
      <c r="AF2345" s="6"/>
      <c r="AG2345" s="6"/>
      <c r="AH2345" s="6"/>
      <c r="AI2345" s="6"/>
      <c r="AJ2345" s="6"/>
      <c r="AK2345" s="6"/>
      <c r="AL2345" s="6"/>
      <c r="AM2345" s="6"/>
    </row>
    <row r="2346">
      <c r="A2346" s="6"/>
      <c r="B2346" s="6"/>
      <c r="C2346" s="6"/>
      <c r="D2346" s="6"/>
      <c r="E2346" s="6"/>
      <c r="F2346" s="6"/>
      <c r="G2346" s="6"/>
      <c r="H2346" s="6"/>
      <c r="I2346" s="6"/>
      <c r="J2346" s="6"/>
      <c r="K2346" s="6"/>
      <c r="L2346" s="6"/>
      <c r="M2346" s="6"/>
      <c r="N2346" s="6"/>
      <c r="O2346" s="6"/>
      <c r="P2346" s="6"/>
      <c r="Q2346" s="6"/>
      <c r="R2346" s="6"/>
      <c r="S2346" s="6"/>
      <c r="T2346" s="6"/>
      <c r="U2346" s="6"/>
      <c r="V2346" s="6"/>
      <c r="W2346" s="6"/>
      <c r="X2346" s="6"/>
      <c r="Y2346" s="6"/>
      <c r="Z2346" s="6"/>
      <c r="AA2346" s="6"/>
      <c r="AB2346" s="6"/>
      <c r="AC2346" s="6"/>
      <c r="AD2346" s="6"/>
      <c r="AE2346" s="6"/>
      <c r="AF2346" s="6"/>
      <c r="AG2346" s="6"/>
      <c r="AH2346" s="6"/>
      <c r="AI2346" s="6"/>
      <c r="AJ2346" s="6"/>
      <c r="AK2346" s="6"/>
      <c r="AL2346" s="6"/>
      <c r="AM2346" s="6"/>
    </row>
    <row r="2347">
      <c r="A2347" s="6"/>
      <c r="B2347" s="6"/>
      <c r="C2347" s="6"/>
      <c r="D2347" s="6"/>
      <c r="E2347" s="6"/>
      <c r="F2347" s="6"/>
      <c r="G2347" s="6"/>
      <c r="H2347" s="6"/>
      <c r="I2347" s="6"/>
      <c r="J2347" s="6"/>
      <c r="K2347" s="6"/>
      <c r="L2347" s="6"/>
      <c r="M2347" s="6"/>
      <c r="N2347" s="6"/>
      <c r="O2347" s="6"/>
      <c r="P2347" s="6"/>
      <c r="Q2347" s="6"/>
      <c r="R2347" s="6"/>
      <c r="S2347" s="6"/>
      <c r="T2347" s="6"/>
      <c r="U2347" s="6"/>
      <c r="V2347" s="6"/>
      <c r="W2347" s="6"/>
      <c r="X2347" s="6"/>
      <c r="Y2347" s="6"/>
      <c r="Z2347" s="6"/>
      <c r="AA2347" s="6"/>
      <c r="AB2347" s="6"/>
      <c r="AC2347" s="6"/>
      <c r="AD2347" s="6"/>
      <c r="AE2347" s="6"/>
      <c r="AF2347" s="6"/>
      <c r="AG2347" s="6"/>
      <c r="AH2347" s="6"/>
      <c r="AI2347" s="6"/>
      <c r="AJ2347" s="6"/>
      <c r="AK2347" s="6"/>
      <c r="AL2347" s="6"/>
      <c r="AM2347" s="6"/>
    </row>
    <row r="2348">
      <c r="A2348" s="6"/>
      <c r="B2348" s="6"/>
      <c r="C2348" s="6"/>
      <c r="D2348" s="6"/>
      <c r="E2348" s="6"/>
      <c r="F2348" s="6"/>
      <c r="G2348" s="6"/>
      <c r="H2348" s="6"/>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c r="AG2348" s="6"/>
      <c r="AH2348" s="6"/>
      <c r="AI2348" s="6"/>
      <c r="AJ2348" s="6"/>
      <c r="AK2348" s="6"/>
      <c r="AL2348" s="6"/>
      <c r="AM2348" s="6"/>
    </row>
    <row r="2349">
      <c r="A2349" s="6"/>
      <c r="B2349" s="6"/>
      <c r="C2349" s="6"/>
      <c r="D2349" s="6"/>
      <c r="E2349" s="6"/>
      <c r="F2349" s="6"/>
      <c r="G2349" s="6"/>
      <c r="H2349" s="6"/>
      <c r="I2349" s="6"/>
      <c r="J2349" s="6"/>
      <c r="K2349" s="6"/>
      <c r="L2349" s="6"/>
      <c r="M2349" s="6"/>
      <c r="N2349" s="6"/>
      <c r="O2349" s="6"/>
      <c r="P2349" s="6"/>
      <c r="Q2349" s="6"/>
      <c r="R2349" s="6"/>
      <c r="S2349" s="6"/>
      <c r="T2349" s="6"/>
      <c r="U2349" s="6"/>
      <c r="V2349" s="6"/>
      <c r="W2349" s="6"/>
      <c r="X2349" s="6"/>
      <c r="Y2349" s="6"/>
      <c r="Z2349" s="6"/>
      <c r="AA2349" s="6"/>
      <c r="AB2349" s="6"/>
      <c r="AC2349" s="6"/>
      <c r="AD2349" s="6"/>
      <c r="AE2349" s="6"/>
      <c r="AF2349" s="6"/>
      <c r="AG2349" s="6"/>
      <c r="AH2349" s="6"/>
      <c r="AI2349" s="6"/>
      <c r="AJ2349" s="6"/>
      <c r="AK2349" s="6"/>
      <c r="AL2349" s="6"/>
      <c r="AM2349" s="6"/>
    </row>
    <row r="2350">
      <c r="A2350" s="6"/>
      <c r="B2350" s="6"/>
      <c r="C2350" s="6"/>
      <c r="D2350" s="6"/>
      <c r="E2350" s="6"/>
      <c r="F2350" s="6"/>
      <c r="G2350" s="6"/>
      <c r="H2350" s="6"/>
      <c r="I2350" s="6"/>
      <c r="J2350" s="6"/>
      <c r="K2350" s="6"/>
      <c r="L2350" s="6"/>
      <c r="M2350" s="6"/>
      <c r="N2350" s="6"/>
      <c r="O2350" s="6"/>
      <c r="P2350" s="6"/>
      <c r="Q2350" s="6"/>
      <c r="R2350" s="6"/>
      <c r="S2350" s="6"/>
      <c r="T2350" s="6"/>
      <c r="U2350" s="6"/>
      <c r="V2350" s="6"/>
      <c r="W2350" s="6"/>
      <c r="X2350" s="6"/>
      <c r="Y2350" s="6"/>
      <c r="Z2350" s="6"/>
      <c r="AA2350" s="6"/>
      <c r="AB2350" s="6"/>
      <c r="AC2350" s="6"/>
      <c r="AD2350" s="6"/>
      <c r="AE2350" s="6"/>
      <c r="AF2350" s="6"/>
      <c r="AG2350" s="6"/>
      <c r="AH2350" s="6"/>
      <c r="AI2350" s="6"/>
      <c r="AJ2350" s="6"/>
      <c r="AK2350" s="6"/>
      <c r="AL2350" s="6"/>
      <c r="AM2350" s="6"/>
    </row>
    <row r="2351">
      <c r="A2351" s="6"/>
      <c r="B2351" s="6"/>
      <c r="C2351" s="6"/>
      <c r="D2351" s="6"/>
      <c r="E2351" s="6"/>
      <c r="F2351" s="6"/>
      <c r="G2351" s="6"/>
      <c r="H2351" s="6"/>
      <c r="I2351" s="6"/>
      <c r="J2351" s="6"/>
      <c r="K2351" s="6"/>
      <c r="L2351" s="6"/>
      <c r="M2351" s="6"/>
      <c r="N2351" s="6"/>
      <c r="O2351" s="6"/>
      <c r="P2351" s="6"/>
      <c r="Q2351" s="6"/>
      <c r="R2351" s="6"/>
      <c r="S2351" s="6"/>
      <c r="T2351" s="6"/>
      <c r="U2351" s="6"/>
      <c r="V2351" s="6"/>
      <c r="W2351" s="6"/>
      <c r="X2351" s="6"/>
      <c r="Y2351" s="6"/>
      <c r="Z2351" s="6"/>
      <c r="AA2351" s="6"/>
      <c r="AB2351" s="6"/>
      <c r="AC2351" s="6"/>
      <c r="AD2351" s="6"/>
      <c r="AE2351" s="6"/>
      <c r="AF2351" s="6"/>
      <c r="AG2351" s="6"/>
      <c r="AH2351" s="6"/>
      <c r="AI2351" s="6"/>
      <c r="AJ2351" s="6"/>
      <c r="AK2351" s="6"/>
      <c r="AL2351" s="6"/>
      <c r="AM2351" s="6"/>
    </row>
    <row r="2352">
      <c r="A2352" s="6"/>
      <c r="B2352" s="6"/>
      <c r="C2352" s="6"/>
      <c r="D2352" s="6"/>
      <c r="E2352" s="6"/>
      <c r="F2352" s="6"/>
      <c r="G2352" s="6"/>
      <c r="H2352" s="6"/>
      <c r="I2352" s="6"/>
      <c r="J2352" s="6"/>
      <c r="K2352" s="6"/>
      <c r="L2352" s="6"/>
      <c r="M2352" s="6"/>
      <c r="N2352" s="6"/>
      <c r="O2352" s="6"/>
      <c r="P2352" s="6"/>
      <c r="Q2352" s="6"/>
      <c r="R2352" s="6"/>
      <c r="S2352" s="6"/>
      <c r="T2352" s="6"/>
      <c r="U2352" s="6"/>
      <c r="V2352" s="6"/>
      <c r="W2352" s="6"/>
      <c r="X2352" s="6"/>
      <c r="Y2352" s="6"/>
      <c r="Z2352" s="6"/>
      <c r="AA2352" s="6"/>
      <c r="AB2352" s="6"/>
      <c r="AC2352" s="6"/>
      <c r="AD2352" s="6"/>
      <c r="AE2352" s="6"/>
      <c r="AF2352" s="6"/>
      <c r="AG2352" s="6"/>
      <c r="AH2352" s="6"/>
      <c r="AI2352" s="6"/>
      <c r="AJ2352" s="6"/>
      <c r="AK2352" s="6"/>
      <c r="AL2352" s="6"/>
      <c r="AM2352" s="6"/>
    </row>
    <row r="2353">
      <c r="A2353" s="6"/>
      <c r="B2353" s="6"/>
      <c r="C2353" s="6"/>
      <c r="D2353" s="6"/>
      <c r="E2353" s="6"/>
      <c r="F2353" s="6"/>
      <c r="G2353" s="6"/>
      <c r="H2353" s="6"/>
      <c r="I2353" s="6"/>
      <c r="J2353" s="6"/>
      <c r="K2353" s="6"/>
      <c r="L2353" s="6"/>
      <c r="M2353" s="6"/>
      <c r="N2353" s="6"/>
      <c r="O2353" s="6"/>
      <c r="P2353" s="6"/>
      <c r="Q2353" s="6"/>
      <c r="R2353" s="6"/>
      <c r="S2353" s="6"/>
      <c r="T2353" s="6"/>
      <c r="U2353" s="6"/>
      <c r="V2353" s="6"/>
      <c r="W2353" s="6"/>
      <c r="X2353" s="6"/>
      <c r="Y2353" s="6"/>
      <c r="Z2353" s="6"/>
      <c r="AA2353" s="6"/>
      <c r="AB2353" s="6"/>
      <c r="AC2353" s="6"/>
      <c r="AD2353" s="6"/>
      <c r="AE2353" s="6"/>
      <c r="AF2353" s="6"/>
      <c r="AG2353" s="6"/>
      <c r="AH2353" s="6"/>
      <c r="AI2353" s="6"/>
      <c r="AJ2353" s="6"/>
      <c r="AK2353" s="6"/>
      <c r="AL2353" s="6"/>
      <c r="AM2353" s="6"/>
    </row>
    <row r="2354">
      <c r="A2354" s="6"/>
      <c r="B2354" s="6"/>
      <c r="C2354" s="6"/>
      <c r="D2354" s="6"/>
      <c r="E2354" s="6"/>
      <c r="F2354" s="6"/>
      <c r="G2354" s="6"/>
      <c r="H2354" s="6"/>
      <c r="I2354" s="6"/>
      <c r="J2354" s="6"/>
      <c r="K2354" s="6"/>
      <c r="L2354" s="6"/>
      <c r="M2354" s="6"/>
      <c r="N2354" s="6"/>
      <c r="O2354" s="6"/>
      <c r="P2354" s="6"/>
      <c r="Q2354" s="6"/>
      <c r="R2354" s="6"/>
      <c r="S2354" s="6"/>
      <c r="T2354" s="6"/>
      <c r="U2354" s="6"/>
      <c r="V2354" s="6"/>
      <c r="W2354" s="6"/>
      <c r="X2354" s="6"/>
      <c r="Y2354" s="6"/>
      <c r="Z2354" s="6"/>
      <c r="AA2354" s="6"/>
      <c r="AB2354" s="6"/>
      <c r="AC2354" s="6"/>
      <c r="AD2354" s="6"/>
      <c r="AE2354" s="6"/>
      <c r="AF2354" s="6"/>
      <c r="AG2354" s="6"/>
      <c r="AH2354" s="6"/>
      <c r="AI2354" s="6"/>
      <c r="AJ2354" s="6"/>
      <c r="AK2354" s="6"/>
      <c r="AL2354" s="6"/>
      <c r="AM2354" s="6"/>
    </row>
    <row r="2355">
      <c r="A2355" s="6"/>
      <c r="B2355" s="6"/>
      <c r="C2355" s="6"/>
      <c r="D2355" s="6"/>
      <c r="E2355" s="6"/>
      <c r="F2355" s="6"/>
      <c r="G2355" s="6"/>
      <c r="H2355" s="6"/>
      <c r="I2355" s="6"/>
      <c r="J2355" s="6"/>
      <c r="K2355" s="6"/>
      <c r="L2355" s="6"/>
      <c r="M2355" s="6"/>
      <c r="N2355" s="6"/>
      <c r="O2355" s="6"/>
      <c r="P2355" s="6"/>
      <c r="Q2355" s="6"/>
      <c r="R2355" s="6"/>
      <c r="S2355" s="6"/>
      <c r="T2355" s="6"/>
      <c r="U2355" s="6"/>
      <c r="V2355" s="6"/>
      <c r="W2355" s="6"/>
      <c r="X2355" s="6"/>
      <c r="Y2355" s="6"/>
      <c r="Z2355" s="6"/>
      <c r="AA2355" s="6"/>
      <c r="AB2355" s="6"/>
      <c r="AC2355" s="6"/>
      <c r="AD2355" s="6"/>
      <c r="AE2355" s="6"/>
      <c r="AF2355" s="6"/>
      <c r="AG2355" s="6"/>
      <c r="AH2355" s="6"/>
      <c r="AI2355" s="6"/>
      <c r="AJ2355" s="6"/>
      <c r="AK2355" s="6"/>
      <c r="AL2355" s="6"/>
      <c r="AM2355" s="6"/>
    </row>
    <row r="2356">
      <c r="A2356" s="6"/>
      <c r="B2356" s="6"/>
      <c r="C2356" s="6"/>
      <c r="D2356" s="6"/>
      <c r="E2356" s="6"/>
      <c r="F2356" s="6"/>
      <c r="G2356" s="6"/>
      <c r="H2356" s="6"/>
      <c r="I2356" s="6"/>
      <c r="J2356" s="6"/>
      <c r="K2356" s="6"/>
      <c r="L2356" s="6"/>
      <c r="M2356" s="6"/>
      <c r="N2356" s="6"/>
      <c r="O2356" s="6"/>
      <c r="P2356" s="6"/>
      <c r="Q2356" s="6"/>
      <c r="R2356" s="6"/>
      <c r="S2356" s="6"/>
      <c r="T2356" s="6"/>
      <c r="U2356" s="6"/>
      <c r="V2356" s="6"/>
      <c r="W2356" s="6"/>
      <c r="X2356" s="6"/>
      <c r="Y2356" s="6"/>
      <c r="Z2356" s="6"/>
      <c r="AA2356" s="6"/>
      <c r="AB2356" s="6"/>
      <c r="AC2356" s="6"/>
      <c r="AD2356" s="6"/>
      <c r="AE2356" s="6"/>
      <c r="AF2356" s="6"/>
      <c r="AG2356" s="6"/>
      <c r="AH2356" s="6"/>
      <c r="AI2356" s="6"/>
      <c r="AJ2356" s="6"/>
      <c r="AK2356" s="6"/>
      <c r="AL2356" s="6"/>
      <c r="AM2356" s="6"/>
    </row>
    <row r="2357">
      <c r="A2357" s="6"/>
      <c r="B2357" s="6"/>
      <c r="C2357" s="6"/>
      <c r="D2357" s="6"/>
      <c r="E2357" s="6"/>
      <c r="F2357" s="6"/>
      <c r="G2357" s="6"/>
      <c r="H2357" s="6"/>
      <c r="I2357" s="6"/>
      <c r="J2357" s="6"/>
      <c r="K2357" s="6"/>
      <c r="L2357" s="6"/>
      <c r="M2357" s="6"/>
      <c r="N2357" s="6"/>
      <c r="O2357" s="6"/>
      <c r="P2357" s="6"/>
      <c r="Q2357" s="6"/>
      <c r="R2357" s="6"/>
      <c r="S2357" s="6"/>
      <c r="T2357" s="6"/>
      <c r="U2357" s="6"/>
      <c r="V2357" s="6"/>
      <c r="W2357" s="6"/>
      <c r="X2357" s="6"/>
      <c r="Y2357" s="6"/>
      <c r="Z2357" s="6"/>
      <c r="AA2357" s="6"/>
      <c r="AB2357" s="6"/>
      <c r="AC2357" s="6"/>
      <c r="AD2357" s="6"/>
      <c r="AE2357" s="6"/>
      <c r="AF2357" s="6"/>
      <c r="AG2357" s="6"/>
      <c r="AH2357" s="6"/>
      <c r="AI2357" s="6"/>
      <c r="AJ2357" s="6"/>
      <c r="AK2357" s="6"/>
      <c r="AL2357" s="6"/>
      <c r="AM2357" s="6"/>
    </row>
    <row r="2358">
      <c r="A2358" s="6"/>
      <c r="B2358" s="6"/>
      <c r="C2358" s="6"/>
      <c r="D2358" s="6"/>
      <c r="E2358" s="6"/>
      <c r="F2358" s="6"/>
      <c r="G2358" s="6"/>
      <c r="H2358" s="6"/>
      <c r="I2358" s="6"/>
      <c r="J2358" s="6"/>
      <c r="K2358" s="6"/>
      <c r="L2358" s="6"/>
      <c r="M2358" s="6"/>
      <c r="N2358" s="6"/>
      <c r="O2358" s="6"/>
      <c r="P2358" s="6"/>
      <c r="Q2358" s="6"/>
      <c r="R2358" s="6"/>
      <c r="S2358" s="6"/>
      <c r="T2358" s="6"/>
      <c r="U2358" s="6"/>
      <c r="V2358" s="6"/>
      <c r="W2358" s="6"/>
      <c r="X2358" s="6"/>
      <c r="Y2358" s="6"/>
      <c r="Z2358" s="6"/>
      <c r="AA2358" s="6"/>
      <c r="AB2358" s="6"/>
      <c r="AC2358" s="6"/>
      <c r="AD2358" s="6"/>
      <c r="AE2358" s="6"/>
      <c r="AF2358" s="6"/>
      <c r="AG2358" s="6"/>
      <c r="AH2358" s="6"/>
      <c r="AI2358" s="6"/>
      <c r="AJ2358" s="6"/>
      <c r="AK2358" s="6"/>
      <c r="AL2358" s="6"/>
      <c r="AM2358" s="6"/>
    </row>
    <row r="2359">
      <c r="A2359" s="6"/>
      <c r="B2359" s="6"/>
      <c r="C2359" s="6"/>
      <c r="D2359" s="6"/>
      <c r="E2359" s="6"/>
      <c r="F2359" s="6"/>
      <c r="G2359" s="6"/>
      <c r="H2359" s="6"/>
      <c r="I2359" s="6"/>
      <c r="J2359" s="6"/>
      <c r="K2359" s="6"/>
      <c r="L2359" s="6"/>
      <c r="M2359" s="6"/>
      <c r="N2359" s="6"/>
      <c r="O2359" s="6"/>
      <c r="P2359" s="6"/>
      <c r="Q2359" s="6"/>
      <c r="R2359" s="6"/>
      <c r="S2359" s="6"/>
      <c r="T2359" s="6"/>
      <c r="U2359" s="6"/>
      <c r="V2359" s="6"/>
      <c r="W2359" s="6"/>
      <c r="X2359" s="6"/>
      <c r="Y2359" s="6"/>
      <c r="Z2359" s="6"/>
      <c r="AA2359" s="6"/>
      <c r="AB2359" s="6"/>
      <c r="AC2359" s="6"/>
      <c r="AD2359" s="6"/>
      <c r="AE2359" s="6"/>
      <c r="AF2359" s="6"/>
      <c r="AG2359" s="6"/>
      <c r="AH2359" s="6"/>
      <c r="AI2359" s="6"/>
      <c r="AJ2359" s="6"/>
      <c r="AK2359" s="6"/>
      <c r="AL2359" s="6"/>
      <c r="AM2359" s="6"/>
    </row>
    <row r="2360">
      <c r="A2360" s="6"/>
      <c r="B2360" s="6"/>
      <c r="C2360" s="6"/>
      <c r="D2360" s="6"/>
      <c r="E2360" s="6"/>
      <c r="F2360" s="6"/>
      <c r="G2360" s="6"/>
      <c r="H2360" s="6"/>
      <c r="I2360" s="6"/>
      <c r="J2360" s="6"/>
      <c r="K2360" s="6"/>
      <c r="L2360" s="6"/>
      <c r="M2360" s="6"/>
      <c r="N2360" s="6"/>
      <c r="O2360" s="6"/>
      <c r="P2360" s="6"/>
      <c r="Q2360" s="6"/>
      <c r="R2360" s="6"/>
      <c r="S2360" s="6"/>
      <c r="T2360" s="6"/>
      <c r="U2360" s="6"/>
      <c r="V2360" s="6"/>
      <c r="W2360" s="6"/>
      <c r="X2360" s="6"/>
      <c r="Y2360" s="6"/>
      <c r="Z2360" s="6"/>
      <c r="AA2360" s="6"/>
      <c r="AB2360" s="6"/>
      <c r="AC2360" s="6"/>
      <c r="AD2360" s="6"/>
      <c r="AE2360" s="6"/>
      <c r="AF2360" s="6"/>
      <c r="AG2360" s="6"/>
      <c r="AH2360" s="6"/>
      <c r="AI2360" s="6"/>
      <c r="AJ2360" s="6"/>
      <c r="AK2360" s="6"/>
      <c r="AL2360" s="6"/>
      <c r="AM2360" s="6"/>
    </row>
    <row r="2361">
      <c r="A2361" s="6"/>
      <c r="B2361" s="6"/>
      <c r="C2361" s="6"/>
      <c r="D2361" s="6"/>
      <c r="E2361" s="6"/>
      <c r="F2361" s="6"/>
      <c r="G2361" s="6"/>
      <c r="H2361" s="6"/>
      <c r="I2361" s="6"/>
      <c r="J2361" s="6"/>
      <c r="K2361" s="6"/>
      <c r="L2361" s="6"/>
      <c r="M2361" s="6"/>
      <c r="N2361" s="6"/>
      <c r="O2361" s="6"/>
      <c r="P2361" s="6"/>
      <c r="Q2361" s="6"/>
      <c r="R2361" s="6"/>
      <c r="S2361" s="6"/>
      <c r="T2361" s="6"/>
      <c r="U2361" s="6"/>
      <c r="V2361" s="6"/>
      <c r="W2361" s="6"/>
      <c r="X2361" s="6"/>
      <c r="Y2361" s="6"/>
      <c r="Z2361" s="6"/>
      <c r="AA2361" s="6"/>
      <c r="AB2361" s="6"/>
      <c r="AC2361" s="6"/>
      <c r="AD2361" s="6"/>
      <c r="AE2361" s="6"/>
      <c r="AF2361" s="6"/>
      <c r="AG2361" s="6"/>
      <c r="AH2361" s="6"/>
      <c r="AI2361" s="6"/>
      <c r="AJ2361" s="6"/>
      <c r="AK2361" s="6"/>
      <c r="AL2361" s="6"/>
      <c r="AM2361" s="6"/>
    </row>
    <row r="2362">
      <c r="A2362" s="6"/>
      <c r="B2362" s="6"/>
      <c r="C2362" s="6"/>
      <c r="D2362" s="6"/>
      <c r="E2362" s="6"/>
      <c r="F2362" s="6"/>
      <c r="G2362" s="6"/>
      <c r="H2362" s="6"/>
      <c r="I2362" s="6"/>
      <c r="J2362" s="6"/>
      <c r="K2362" s="6"/>
      <c r="L2362" s="6"/>
      <c r="M2362" s="6"/>
      <c r="N2362" s="6"/>
      <c r="O2362" s="6"/>
      <c r="P2362" s="6"/>
      <c r="Q2362" s="6"/>
      <c r="R2362" s="6"/>
      <c r="S2362" s="6"/>
      <c r="T2362" s="6"/>
      <c r="U2362" s="6"/>
      <c r="V2362" s="6"/>
      <c r="W2362" s="6"/>
      <c r="X2362" s="6"/>
      <c r="Y2362" s="6"/>
      <c r="Z2362" s="6"/>
      <c r="AA2362" s="6"/>
      <c r="AB2362" s="6"/>
      <c r="AC2362" s="6"/>
      <c r="AD2362" s="6"/>
      <c r="AE2362" s="6"/>
      <c r="AF2362" s="6"/>
      <c r="AG2362" s="6"/>
      <c r="AH2362" s="6"/>
      <c r="AI2362" s="6"/>
      <c r="AJ2362" s="6"/>
      <c r="AK2362" s="6"/>
      <c r="AL2362" s="6"/>
      <c r="AM2362" s="6"/>
    </row>
    <row r="2363">
      <c r="A2363" s="6"/>
      <c r="B2363" s="6"/>
      <c r="C2363" s="6"/>
      <c r="D2363" s="6"/>
      <c r="E2363" s="6"/>
      <c r="F2363" s="6"/>
      <c r="G2363" s="6"/>
      <c r="H2363" s="6"/>
      <c r="I2363" s="6"/>
      <c r="J2363" s="6"/>
      <c r="K2363" s="6"/>
      <c r="L2363" s="6"/>
      <c r="M2363" s="6"/>
      <c r="N2363" s="6"/>
      <c r="O2363" s="6"/>
      <c r="P2363" s="6"/>
      <c r="Q2363" s="6"/>
      <c r="R2363" s="6"/>
      <c r="S2363" s="6"/>
      <c r="T2363" s="6"/>
      <c r="U2363" s="6"/>
      <c r="V2363" s="6"/>
      <c r="W2363" s="6"/>
      <c r="X2363" s="6"/>
      <c r="Y2363" s="6"/>
      <c r="Z2363" s="6"/>
      <c r="AA2363" s="6"/>
      <c r="AB2363" s="6"/>
      <c r="AC2363" s="6"/>
      <c r="AD2363" s="6"/>
      <c r="AE2363" s="6"/>
      <c r="AF2363" s="6"/>
      <c r="AG2363" s="6"/>
      <c r="AH2363" s="6"/>
      <c r="AI2363" s="6"/>
      <c r="AJ2363" s="6"/>
      <c r="AK2363" s="6"/>
      <c r="AL2363" s="6"/>
      <c r="AM2363" s="6"/>
    </row>
    <row r="2364">
      <c r="A2364" s="6"/>
      <c r="B2364" s="6"/>
      <c r="C2364" s="6"/>
      <c r="D2364" s="6"/>
      <c r="E2364" s="6"/>
      <c r="F2364" s="6"/>
      <c r="G2364" s="6"/>
      <c r="H2364" s="6"/>
      <c r="I2364" s="6"/>
      <c r="J2364" s="6"/>
      <c r="K2364" s="6"/>
      <c r="L2364" s="6"/>
      <c r="M2364" s="6"/>
      <c r="N2364" s="6"/>
      <c r="O2364" s="6"/>
      <c r="P2364" s="6"/>
      <c r="Q2364" s="6"/>
      <c r="R2364" s="6"/>
      <c r="S2364" s="6"/>
      <c r="T2364" s="6"/>
      <c r="U2364" s="6"/>
      <c r="V2364" s="6"/>
      <c r="W2364" s="6"/>
      <c r="X2364" s="6"/>
      <c r="Y2364" s="6"/>
      <c r="Z2364" s="6"/>
      <c r="AA2364" s="6"/>
      <c r="AB2364" s="6"/>
      <c r="AC2364" s="6"/>
      <c r="AD2364" s="6"/>
      <c r="AE2364" s="6"/>
      <c r="AF2364" s="6"/>
      <c r="AG2364" s="6"/>
      <c r="AH2364" s="6"/>
      <c r="AI2364" s="6"/>
      <c r="AJ2364" s="6"/>
      <c r="AK2364" s="6"/>
      <c r="AL2364" s="6"/>
      <c r="AM2364" s="6"/>
    </row>
    <row r="2365">
      <c r="A2365" s="6"/>
      <c r="B2365" s="6"/>
      <c r="C2365" s="6"/>
      <c r="D2365" s="6"/>
      <c r="E2365" s="6"/>
      <c r="F2365" s="6"/>
      <c r="G2365" s="6"/>
      <c r="H2365" s="6"/>
      <c r="I2365" s="6"/>
      <c r="J2365" s="6"/>
      <c r="K2365" s="6"/>
      <c r="L2365" s="6"/>
      <c r="M2365" s="6"/>
      <c r="N2365" s="6"/>
      <c r="O2365" s="6"/>
      <c r="P2365" s="6"/>
      <c r="Q2365" s="6"/>
      <c r="R2365" s="6"/>
      <c r="S2365" s="6"/>
      <c r="T2365" s="6"/>
      <c r="U2365" s="6"/>
      <c r="V2365" s="6"/>
      <c r="W2365" s="6"/>
      <c r="X2365" s="6"/>
      <c r="Y2365" s="6"/>
      <c r="Z2365" s="6"/>
      <c r="AA2365" s="6"/>
      <c r="AB2365" s="6"/>
      <c r="AC2365" s="6"/>
      <c r="AD2365" s="6"/>
      <c r="AE2365" s="6"/>
      <c r="AF2365" s="6"/>
      <c r="AG2365" s="6"/>
      <c r="AH2365" s="6"/>
      <c r="AI2365" s="6"/>
      <c r="AJ2365" s="6"/>
      <c r="AK2365" s="6"/>
      <c r="AL2365" s="6"/>
      <c r="AM2365" s="6"/>
    </row>
    <row r="2366">
      <c r="A2366" s="6"/>
      <c r="B2366" s="6"/>
      <c r="C2366" s="6"/>
      <c r="D2366" s="6"/>
      <c r="E2366" s="6"/>
      <c r="F2366" s="6"/>
      <c r="G2366" s="6"/>
      <c r="H2366" s="6"/>
      <c r="I2366" s="6"/>
      <c r="J2366" s="6"/>
      <c r="K2366" s="6"/>
      <c r="L2366" s="6"/>
      <c r="M2366" s="6"/>
      <c r="N2366" s="6"/>
      <c r="O2366" s="6"/>
      <c r="P2366" s="6"/>
      <c r="Q2366" s="6"/>
      <c r="R2366" s="6"/>
      <c r="S2366" s="6"/>
      <c r="T2366" s="6"/>
      <c r="U2366" s="6"/>
      <c r="V2366" s="6"/>
      <c r="W2366" s="6"/>
      <c r="X2366" s="6"/>
      <c r="Y2366" s="6"/>
      <c r="Z2366" s="6"/>
      <c r="AA2366" s="6"/>
      <c r="AB2366" s="6"/>
      <c r="AC2366" s="6"/>
      <c r="AD2366" s="6"/>
      <c r="AE2366" s="6"/>
      <c r="AF2366" s="6"/>
      <c r="AG2366" s="6"/>
      <c r="AH2366" s="6"/>
      <c r="AI2366" s="6"/>
      <c r="AJ2366" s="6"/>
      <c r="AK2366" s="6"/>
      <c r="AL2366" s="6"/>
      <c r="AM2366" s="6"/>
    </row>
    <row r="2367">
      <c r="A2367" s="6"/>
      <c r="B2367" s="6"/>
      <c r="C2367" s="6"/>
      <c r="D2367" s="6"/>
      <c r="E2367" s="6"/>
      <c r="F2367" s="6"/>
      <c r="G2367" s="6"/>
      <c r="H2367" s="6"/>
      <c r="I2367" s="6"/>
      <c r="J2367" s="6"/>
      <c r="K2367" s="6"/>
      <c r="L2367" s="6"/>
      <c r="M2367" s="6"/>
      <c r="N2367" s="6"/>
      <c r="O2367" s="6"/>
      <c r="P2367" s="6"/>
      <c r="Q2367" s="6"/>
      <c r="R2367" s="6"/>
      <c r="S2367" s="6"/>
      <c r="T2367" s="6"/>
      <c r="U2367" s="6"/>
      <c r="V2367" s="6"/>
      <c r="W2367" s="6"/>
      <c r="X2367" s="6"/>
      <c r="Y2367" s="6"/>
      <c r="Z2367" s="6"/>
      <c r="AA2367" s="6"/>
      <c r="AB2367" s="6"/>
      <c r="AC2367" s="6"/>
      <c r="AD2367" s="6"/>
      <c r="AE2367" s="6"/>
      <c r="AF2367" s="6"/>
      <c r="AG2367" s="6"/>
      <c r="AH2367" s="6"/>
      <c r="AI2367" s="6"/>
      <c r="AJ2367" s="6"/>
      <c r="AK2367" s="6"/>
      <c r="AL2367" s="6"/>
      <c r="AM2367" s="6"/>
    </row>
    <row r="2368">
      <c r="A2368" s="6"/>
      <c r="B2368" s="6"/>
      <c r="C2368" s="6"/>
      <c r="D2368" s="6"/>
      <c r="E2368" s="6"/>
      <c r="F2368" s="6"/>
      <c r="G2368" s="6"/>
      <c r="H2368" s="6"/>
      <c r="I2368" s="6"/>
      <c r="J2368" s="6"/>
      <c r="K2368" s="6"/>
      <c r="L2368" s="6"/>
      <c r="M2368" s="6"/>
      <c r="N2368" s="6"/>
      <c r="O2368" s="6"/>
      <c r="P2368" s="6"/>
      <c r="Q2368" s="6"/>
      <c r="R2368" s="6"/>
      <c r="S2368" s="6"/>
      <c r="T2368" s="6"/>
      <c r="U2368" s="6"/>
      <c r="V2368" s="6"/>
      <c r="W2368" s="6"/>
      <c r="X2368" s="6"/>
      <c r="Y2368" s="6"/>
      <c r="Z2368" s="6"/>
      <c r="AA2368" s="6"/>
      <c r="AB2368" s="6"/>
      <c r="AC2368" s="6"/>
      <c r="AD2368" s="6"/>
      <c r="AE2368" s="6"/>
      <c r="AF2368" s="6"/>
      <c r="AG2368" s="6"/>
      <c r="AH2368" s="6"/>
      <c r="AI2368" s="6"/>
      <c r="AJ2368" s="6"/>
      <c r="AK2368" s="6"/>
      <c r="AL2368" s="6"/>
      <c r="AM2368" s="6"/>
    </row>
    <row r="2369">
      <c r="A2369" s="6"/>
      <c r="B2369" s="6"/>
      <c r="C2369" s="6"/>
      <c r="D2369" s="6"/>
      <c r="E2369" s="6"/>
      <c r="F2369" s="6"/>
      <c r="G2369" s="6"/>
      <c r="H2369" s="6"/>
      <c r="I2369" s="6"/>
      <c r="J2369" s="6"/>
      <c r="K2369" s="6"/>
      <c r="L2369" s="6"/>
      <c r="M2369" s="6"/>
      <c r="N2369" s="6"/>
      <c r="O2369" s="6"/>
      <c r="P2369" s="6"/>
      <c r="Q2369" s="6"/>
      <c r="R2369" s="6"/>
      <c r="S2369" s="6"/>
      <c r="T2369" s="6"/>
      <c r="U2369" s="6"/>
      <c r="V2369" s="6"/>
      <c r="W2369" s="6"/>
      <c r="X2369" s="6"/>
      <c r="Y2369" s="6"/>
      <c r="Z2369" s="6"/>
      <c r="AA2369" s="6"/>
      <c r="AB2369" s="6"/>
      <c r="AC2369" s="6"/>
      <c r="AD2369" s="6"/>
      <c r="AE2369" s="6"/>
      <c r="AF2369" s="6"/>
      <c r="AG2369" s="6"/>
      <c r="AH2369" s="6"/>
      <c r="AI2369" s="6"/>
      <c r="AJ2369" s="6"/>
      <c r="AK2369" s="6"/>
      <c r="AL2369" s="6"/>
      <c r="AM2369" s="6"/>
    </row>
    <row r="2370">
      <c r="A2370" s="6"/>
      <c r="B2370" s="6"/>
      <c r="C2370" s="6"/>
      <c r="D2370" s="6"/>
      <c r="E2370" s="6"/>
      <c r="F2370" s="6"/>
      <c r="G2370" s="6"/>
      <c r="H2370" s="6"/>
      <c r="I2370" s="6"/>
      <c r="J2370" s="6"/>
      <c r="K2370" s="6"/>
      <c r="L2370" s="6"/>
      <c r="M2370" s="6"/>
      <c r="N2370" s="6"/>
      <c r="O2370" s="6"/>
      <c r="P2370" s="6"/>
      <c r="Q2370" s="6"/>
      <c r="R2370" s="6"/>
      <c r="S2370" s="6"/>
      <c r="T2370" s="6"/>
      <c r="U2370" s="6"/>
      <c r="V2370" s="6"/>
      <c r="W2370" s="6"/>
      <c r="X2370" s="6"/>
      <c r="Y2370" s="6"/>
      <c r="Z2370" s="6"/>
      <c r="AA2370" s="6"/>
      <c r="AB2370" s="6"/>
      <c r="AC2370" s="6"/>
      <c r="AD2370" s="6"/>
      <c r="AE2370" s="6"/>
      <c r="AF2370" s="6"/>
      <c r="AG2370" s="6"/>
      <c r="AH2370" s="6"/>
      <c r="AI2370" s="6"/>
      <c r="AJ2370" s="6"/>
      <c r="AK2370" s="6"/>
      <c r="AL2370" s="6"/>
      <c r="AM2370" s="6"/>
    </row>
    <row r="2371">
      <c r="A2371" s="6"/>
      <c r="B2371" s="6"/>
      <c r="C2371" s="6"/>
      <c r="D2371" s="6"/>
      <c r="E2371" s="6"/>
      <c r="F2371" s="6"/>
      <c r="G2371" s="6"/>
      <c r="H2371" s="6"/>
      <c r="I2371" s="6"/>
      <c r="J2371" s="6"/>
      <c r="K2371" s="6"/>
      <c r="L2371" s="6"/>
      <c r="M2371" s="6"/>
      <c r="N2371" s="6"/>
      <c r="O2371" s="6"/>
      <c r="P2371" s="6"/>
      <c r="Q2371" s="6"/>
      <c r="R2371" s="6"/>
      <c r="S2371" s="6"/>
      <c r="T2371" s="6"/>
      <c r="U2371" s="6"/>
      <c r="V2371" s="6"/>
      <c r="W2371" s="6"/>
      <c r="X2371" s="6"/>
      <c r="Y2371" s="6"/>
      <c r="Z2371" s="6"/>
      <c r="AA2371" s="6"/>
      <c r="AB2371" s="6"/>
      <c r="AC2371" s="6"/>
      <c r="AD2371" s="6"/>
      <c r="AE2371" s="6"/>
      <c r="AF2371" s="6"/>
      <c r="AG2371" s="6"/>
      <c r="AH2371" s="6"/>
      <c r="AI2371" s="6"/>
      <c r="AJ2371" s="6"/>
      <c r="AK2371" s="6"/>
      <c r="AL2371" s="6"/>
      <c r="AM2371" s="6"/>
    </row>
    <row r="2372">
      <c r="A2372" s="6"/>
      <c r="B2372" s="6"/>
      <c r="C2372" s="6"/>
      <c r="D2372" s="6"/>
      <c r="E2372" s="6"/>
      <c r="F2372" s="6"/>
      <c r="G2372" s="6"/>
      <c r="H2372" s="6"/>
      <c r="I2372" s="6"/>
      <c r="J2372" s="6"/>
      <c r="K2372" s="6"/>
      <c r="L2372" s="6"/>
      <c r="M2372" s="6"/>
      <c r="N2372" s="6"/>
      <c r="O2372" s="6"/>
      <c r="P2372" s="6"/>
      <c r="Q2372" s="6"/>
      <c r="R2372" s="6"/>
      <c r="S2372" s="6"/>
      <c r="T2372" s="6"/>
      <c r="U2372" s="6"/>
      <c r="V2372" s="6"/>
      <c r="W2372" s="6"/>
      <c r="X2372" s="6"/>
      <c r="Y2372" s="6"/>
      <c r="Z2372" s="6"/>
      <c r="AA2372" s="6"/>
      <c r="AB2372" s="6"/>
      <c r="AC2372" s="6"/>
      <c r="AD2372" s="6"/>
      <c r="AE2372" s="6"/>
      <c r="AF2372" s="6"/>
      <c r="AG2372" s="6"/>
      <c r="AH2372" s="6"/>
      <c r="AI2372" s="6"/>
      <c r="AJ2372" s="6"/>
      <c r="AK2372" s="6"/>
      <c r="AL2372" s="6"/>
      <c r="AM2372" s="6"/>
    </row>
    <row r="2373">
      <c r="A2373" s="6"/>
      <c r="B2373" s="6"/>
      <c r="C2373" s="6"/>
      <c r="D2373" s="6"/>
      <c r="E2373" s="6"/>
      <c r="F2373" s="6"/>
      <c r="G2373" s="6"/>
      <c r="H2373" s="6"/>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c r="AG2373" s="6"/>
      <c r="AH2373" s="6"/>
      <c r="AI2373" s="6"/>
      <c r="AJ2373" s="6"/>
      <c r="AK2373" s="6"/>
      <c r="AL2373" s="6"/>
      <c r="AM2373" s="6"/>
    </row>
    <row r="2374">
      <c r="A2374" s="6"/>
      <c r="B2374" s="6"/>
      <c r="C2374" s="6"/>
      <c r="D2374" s="6"/>
      <c r="E2374" s="6"/>
      <c r="F2374" s="6"/>
      <c r="G2374" s="6"/>
      <c r="H2374" s="6"/>
      <c r="I2374" s="6"/>
      <c r="J2374" s="6"/>
      <c r="K2374" s="6"/>
      <c r="L2374" s="6"/>
      <c r="M2374" s="6"/>
      <c r="N2374" s="6"/>
      <c r="O2374" s="6"/>
      <c r="P2374" s="6"/>
      <c r="Q2374" s="6"/>
      <c r="R2374" s="6"/>
      <c r="S2374" s="6"/>
      <c r="T2374" s="6"/>
      <c r="U2374" s="6"/>
      <c r="V2374" s="6"/>
      <c r="W2374" s="6"/>
      <c r="X2374" s="6"/>
      <c r="Y2374" s="6"/>
      <c r="Z2374" s="6"/>
      <c r="AA2374" s="6"/>
      <c r="AB2374" s="6"/>
      <c r="AC2374" s="6"/>
      <c r="AD2374" s="6"/>
      <c r="AE2374" s="6"/>
      <c r="AF2374" s="6"/>
      <c r="AG2374" s="6"/>
      <c r="AH2374" s="6"/>
      <c r="AI2374" s="6"/>
      <c r="AJ2374" s="6"/>
      <c r="AK2374" s="6"/>
      <c r="AL2374" s="6"/>
      <c r="AM2374" s="6"/>
    </row>
    <row r="2375">
      <c r="A2375" s="6"/>
      <c r="B2375" s="6"/>
      <c r="C2375" s="6"/>
      <c r="D2375" s="6"/>
      <c r="E2375" s="6"/>
      <c r="F2375" s="6"/>
      <c r="G2375" s="6"/>
      <c r="H2375" s="6"/>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c r="AG2375" s="6"/>
      <c r="AH2375" s="6"/>
      <c r="AI2375" s="6"/>
      <c r="AJ2375" s="6"/>
      <c r="AK2375" s="6"/>
      <c r="AL2375" s="6"/>
      <c r="AM2375" s="6"/>
    </row>
    <row r="2376">
      <c r="A2376" s="6"/>
      <c r="B2376" s="6"/>
      <c r="C2376" s="6"/>
      <c r="D2376" s="6"/>
      <c r="E2376" s="6"/>
      <c r="F2376" s="6"/>
      <c r="G2376" s="6"/>
      <c r="H2376" s="6"/>
      <c r="I2376" s="6"/>
      <c r="J2376" s="6"/>
      <c r="K2376" s="6"/>
      <c r="L2376" s="6"/>
      <c r="M2376" s="6"/>
      <c r="N2376" s="6"/>
      <c r="O2376" s="6"/>
      <c r="P2376" s="6"/>
      <c r="Q2376" s="6"/>
      <c r="R2376" s="6"/>
      <c r="S2376" s="6"/>
      <c r="T2376" s="6"/>
      <c r="U2376" s="6"/>
      <c r="V2376" s="6"/>
      <c r="W2376" s="6"/>
      <c r="X2376" s="6"/>
      <c r="Y2376" s="6"/>
      <c r="Z2376" s="6"/>
      <c r="AA2376" s="6"/>
      <c r="AB2376" s="6"/>
      <c r="AC2376" s="6"/>
      <c r="AD2376" s="6"/>
      <c r="AE2376" s="6"/>
      <c r="AF2376" s="6"/>
      <c r="AG2376" s="6"/>
      <c r="AH2376" s="6"/>
      <c r="AI2376" s="6"/>
      <c r="AJ2376" s="6"/>
      <c r="AK2376" s="6"/>
      <c r="AL2376" s="6"/>
      <c r="AM2376" s="6"/>
    </row>
    <row r="2377">
      <c r="A2377" s="6"/>
      <c r="B2377" s="6"/>
      <c r="C2377" s="6"/>
      <c r="D2377" s="6"/>
      <c r="E2377" s="6"/>
      <c r="F2377" s="6"/>
      <c r="G2377" s="6"/>
      <c r="H2377" s="6"/>
      <c r="I2377" s="6"/>
      <c r="J2377" s="6"/>
      <c r="K2377" s="6"/>
      <c r="L2377" s="6"/>
      <c r="M2377" s="6"/>
      <c r="N2377" s="6"/>
      <c r="O2377" s="6"/>
      <c r="P2377" s="6"/>
      <c r="Q2377" s="6"/>
      <c r="R2377" s="6"/>
      <c r="S2377" s="6"/>
      <c r="T2377" s="6"/>
      <c r="U2377" s="6"/>
      <c r="V2377" s="6"/>
      <c r="W2377" s="6"/>
      <c r="X2377" s="6"/>
      <c r="Y2377" s="6"/>
      <c r="Z2377" s="6"/>
      <c r="AA2377" s="6"/>
      <c r="AB2377" s="6"/>
      <c r="AC2377" s="6"/>
      <c r="AD2377" s="6"/>
      <c r="AE2377" s="6"/>
      <c r="AF2377" s="6"/>
      <c r="AG2377" s="6"/>
      <c r="AH2377" s="6"/>
      <c r="AI2377" s="6"/>
      <c r="AJ2377" s="6"/>
      <c r="AK2377" s="6"/>
      <c r="AL2377" s="6"/>
      <c r="AM2377" s="6"/>
    </row>
    <row r="2378">
      <c r="A2378" s="6"/>
      <c r="B2378" s="6"/>
      <c r="C2378" s="6"/>
      <c r="D2378" s="6"/>
      <c r="E2378" s="6"/>
      <c r="F2378" s="6"/>
      <c r="G2378" s="6"/>
      <c r="H2378" s="6"/>
      <c r="I2378" s="6"/>
      <c r="J2378" s="6"/>
      <c r="K2378" s="6"/>
      <c r="L2378" s="6"/>
      <c r="M2378" s="6"/>
      <c r="N2378" s="6"/>
      <c r="O2378" s="6"/>
      <c r="P2378" s="6"/>
      <c r="Q2378" s="6"/>
      <c r="R2378" s="6"/>
      <c r="S2378" s="6"/>
      <c r="T2378" s="6"/>
      <c r="U2378" s="6"/>
      <c r="V2378" s="6"/>
      <c r="W2378" s="6"/>
      <c r="X2378" s="6"/>
      <c r="Y2378" s="6"/>
      <c r="Z2378" s="6"/>
      <c r="AA2378" s="6"/>
      <c r="AB2378" s="6"/>
      <c r="AC2378" s="6"/>
      <c r="AD2378" s="6"/>
      <c r="AE2378" s="6"/>
      <c r="AF2378" s="6"/>
      <c r="AG2378" s="6"/>
      <c r="AH2378" s="6"/>
      <c r="AI2378" s="6"/>
      <c r="AJ2378" s="6"/>
      <c r="AK2378" s="6"/>
      <c r="AL2378" s="6"/>
      <c r="AM2378" s="6"/>
    </row>
    <row r="2379">
      <c r="A2379" s="6"/>
      <c r="B2379" s="6"/>
      <c r="C2379" s="6"/>
      <c r="D2379" s="6"/>
      <c r="E2379" s="6"/>
      <c r="F2379" s="6"/>
      <c r="G2379" s="6"/>
      <c r="H2379" s="6"/>
      <c r="I2379" s="6"/>
      <c r="J2379" s="6"/>
      <c r="K2379" s="6"/>
      <c r="L2379" s="6"/>
      <c r="M2379" s="6"/>
      <c r="N2379" s="6"/>
      <c r="O2379" s="6"/>
      <c r="P2379" s="6"/>
      <c r="Q2379" s="6"/>
      <c r="R2379" s="6"/>
      <c r="S2379" s="6"/>
      <c r="T2379" s="6"/>
      <c r="U2379" s="6"/>
      <c r="V2379" s="6"/>
      <c r="W2379" s="6"/>
      <c r="X2379" s="6"/>
      <c r="Y2379" s="6"/>
      <c r="Z2379" s="6"/>
      <c r="AA2379" s="6"/>
      <c r="AB2379" s="6"/>
      <c r="AC2379" s="6"/>
      <c r="AD2379" s="6"/>
      <c r="AE2379" s="6"/>
      <c r="AF2379" s="6"/>
      <c r="AG2379" s="6"/>
      <c r="AH2379" s="6"/>
      <c r="AI2379" s="6"/>
      <c r="AJ2379" s="6"/>
      <c r="AK2379" s="6"/>
      <c r="AL2379" s="6"/>
      <c r="AM2379" s="6"/>
    </row>
    <row r="2380">
      <c r="A2380" s="6"/>
      <c r="B2380" s="6"/>
      <c r="C2380" s="6"/>
      <c r="D2380" s="6"/>
      <c r="E2380" s="6"/>
      <c r="F2380" s="6"/>
      <c r="G2380" s="6"/>
      <c r="H2380" s="6"/>
      <c r="I2380" s="6"/>
      <c r="J2380" s="6"/>
      <c r="K2380" s="6"/>
      <c r="L2380" s="6"/>
      <c r="M2380" s="6"/>
      <c r="N2380" s="6"/>
      <c r="O2380" s="6"/>
      <c r="P2380" s="6"/>
      <c r="Q2380" s="6"/>
      <c r="R2380" s="6"/>
      <c r="S2380" s="6"/>
      <c r="T2380" s="6"/>
      <c r="U2380" s="6"/>
      <c r="V2380" s="6"/>
      <c r="W2380" s="6"/>
      <c r="X2380" s="6"/>
      <c r="Y2380" s="6"/>
      <c r="Z2380" s="6"/>
      <c r="AA2380" s="6"/>
      <c r="AB2380" s="6"/>
      <c r="AC2380" s="6"/>
      <c r="AD2380" s="6"/>
      <c r="AE2380" s="6"/>
      <c r="AF2380" s="6"/>
      <c r="AG2380" s="6"/>
      <c r="AH2380" s="6"/>
      <c r="AI2380" s="6"/>
      <c r="AJ2380" s="6"/>
      <c r="AK2380" s="6"/>
      <c r="AL2380" s="6"/>
      <c r="AM2380" s="6"/>
    </row>
    <row r="2381">
      <c r="A2381" s="6"/>
      <c r="B2381" s="6"/>
      <c r="C2381" s="6"/>
      <c r="D2381" s="6"/>
      <c r="E2381" s="6"/>
      <c r="F2381" s="6"/>
      <c r="G2381" s="6"/>
      <c r="H2381" s="6"/>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c r="AG2381" s="6"/>
      <c r="AH2381" s="6"/>
      <c r="AI2381" s="6"/>
      <c r="AJ2381" s="6"/>
      <c r="AK2381" s="6"/>
      <c r="AL2381" s="6"/>
      <c r="AM2381" s="6"/>
    </row>
    <row r="2382">
      <c r="A2382" s="6"/>
      <c r="B2382" s="6"/>
      <c r="C2382" s="6"/>
      <c r="D2382" s="6"/>
      <c r="E2382" s="6"/>
      <c r="F2382" s="6"/>
      <c r="G2382" s="6"/>
      <c r="H2382" s="6"/>
      <c r="I2382" s="6"/>
      <c r="J2382" s="6"/>
      <c r="K2382" s="6"/>
      <c r="L2382" s="6"/>
      <c r="M2382" s="6"/>
      <c r="N2382" s="6"/>
      <c r="O2382" s="6"/>
      <c r="P2382" s="6"/>
      <c r="Q2382" s="6"/>
      <c r="R2382" s="6"/>
      <c r="S2382" s="6"/>
      <c r="T2382" s="6"/>
      <c r="U2382" s="6"/>
      <c r="V2382" s="6"/>
      <c r="W2382" s="6"/>
      <c r="X2382" s="6"/>
      <c r="Y2382" s="6"/>
      <c r="Z2382" s="6"/>
      <c r="AA2382" s="6"/>
      <c r="AB2382" s="6"/>
      <c r="AC2382" s="6"/>
      <c r="AD2382" s="6"/>
      <c r="AE2382" s="6"/>
      <c r="AF2382" s="6"/>
      <c r="AG2382" s="6"/>
      <c r="AH2382" s="6"/>
      <c r="AI2382" s="6"/>
      <c r="AJ2382" s="6"/>
      <c r="AK2382" s="6"/>
      <c r="AL2382" s="6"/>
      <c r="AM2382" s="6"/>
    </row>
    <row r="2383">
      <c r="A2383" s="6"/>
      <c r="B2383" s="6"/>
      <c r="C2383" s="6"/>
      <c r="D2383" s="6"/>
      <c r="E2383" s="6"/>
      <c r="F2383" s="6"/>
      <c r="G2383" s="6"/>
      <c r="H2383" s="6"/>
      <c r="I2383" s="6"/>
      <c r="J2383" s="6"/>
      <c r="K2383" s="6"/>
      <c r="L2383" s="6"/>
      <c r="M2383" s="6"/>
      <c r="N2383" s="6"/>
      <c r="O2383" s="6"/>
      <c r="P2383" s="6"/>
      <c r="Q2383" s="6"/>
      <c r="R2383" s="6"/>
      <c r="S2383" s="6"/>
      <c r="T2383" s="6"/>
      <c r="U2383" s="6"/>
      <c r="V2383" s="6"/>
      <c r="W2383" s="6"/>
      <c r="X2383" s="6"/>
      <c r="Y2383" s="6"/>
      <c r="Z2383" s="6"/>
      <c r="AA2383" s="6"/>
      <c r="AB2383" s="6"/>
      <c r="AC2383" s="6"/>
      <c r="AD2383" s="6"/>
      <c r="AE2383" s="6"/>
      <c r="AF2383" s="6"/>
      <c r="AG2383" s="6"/>
      <c r="AH2383" s="6"/>
      <c r="AI2383" s="6"/>
      <c r="AJ2383" s="6"/>
      <c r="AK2383" s="6"/>
      <c r="AL2383" s="6"/>
      <c r="AM2383" s="6"/>
    </row>
    <row r="2384">
      <c r="A2384" s="6"/>
      <c r="B2384" s="6"/>
      <c r="C2384" s="6"/>
      <c r="D2384" s="6"/>
      <c r="E2384" s="6"/>
      <c r="F2384" s="6"/>
      <c r="G2384" s="6"/>
      <c r="H2384" s="6"/>
      <c r="I2384" s="6"/>
      <c r="J2384" s="6"/>
      <c r="K2384" s="6"/>
      <c r="L2384" s="6"/>
      <c r="M2384" s="6"/>
      <c r="N2384" s="6"/>
      <c r="O2384" s="6"/>
      <c r="P2384" s="6"/>
      <c r="Q2384" s="6"/>
      <c r="R2384" s="6"/>
      <c r="S2384" s="6"/>
      <c r="T2384" s="6"/>
      <c r="U2384" s="6"/>
      <c r="V2384" s="6"/>
      <c r="W2384" s="6"/>
      <c r="X2384" s="6"/>
      <c r="Y2384" s="6"/>
      <c r="Z2384" s="6"/>
      <c r="AA2384" s="6"/>
      <c r="AB2384" s="6"/>
      <c r="AC2384" s="6"/>
      <c r="AD2384" s="6"/>
      <c r="AE2384" s="6"/>
      <c r="AF2384" s="6"/>
      <c r="AG2384" s="6"/>
      <c r="AH2384" s="6"/>
      <c r="AI2384" s="6"/>
      <c r="AJ2384" s="6"/>
      <c r="AK2384" s="6"/>
      <c r="AL2384" s="6"/>
      <c r="AM2384" s="6"/>
    </row>
    <row r="2385">
      <c r="A2385" s="6"/>
      <c r="B2385" s="6"/>
      <c r="C2385" s="6"/>
      <c r="D2385" s="6"/>
      <c r="E2385" s="6"/>
      <c r="F2385" s="6"/>
      <c r="G2385" s="6"/>
      <c r="H2385" s="6"/>
      <c r="I2385" s="6"/>
      <c r="J2385" s="6"/>
      <c r="K2385" s="6"/>
      <c r="L2385" s="6"/>
      <c r="M2385" s="6"/>
      <c r="N2385" s="6"/>
      <c r="O2385" s="6"/>
      <c r="P2385" s="6"/>
      <c r="Q2385" s="6"/>
      <c r="R2385" s="6"/>
      <c r="S2385" s="6"/>
      <c r="T2385" s="6"/>
      <c r="U2385" s="6"/>
      <c r="V2385" s="6"/>
      <c r="W2385" s="6"/>
      <c r="X2385" s="6"/>
      <c r="Y2385" s="6"/>
      <c r="Z2385" s="6"/>
      <c r="AA2385" s="6"/>
      <c r="AB2385" s="6"/>
      <c r="AC2385" s="6"/>
      <c r="AD2385" s="6"/>
      <c r="AE2385" s="6"/>
      <c r="AF2385" s="6"/>
      <c r="AG2385" s="6"/>
      <c r="AH2385" s="6"/>
      <c r="AI2385" s="6"/>
      <c r="AJ2385" s="6"/>
      <c r="AK2385" s="6"/>
      <c r="AL2385" s="6"/>
      <c r="AM2385" s="6"/>
    </row>
    <row r="2386">
      <c r="A2386" s="6"/>
      <c r="B2386" s="6"/>
      <c r="C2386" s="6"/>
      <c r="D2386" s="6"/>
      <c r="E2386" s="6"/>
      <c r="F2386" s="6"/>
      <c r="G2386" s="6"/>
      <c r="H2386" s="6"/>
      <c r="I2386" s="6"/>
      <c r="J2386" s="6"/>
      <c r="K2386" s="6"/>
      <c r="L2386" s="6"/>
      <c r="M2386" s="6"/>
      <c r="N2386" s="6"/>
      <c r="O2386" s="6"/>
      <c r="P2386" s="6"/>
      <c r="Q2386" s="6"/>
      <c r="R2386" s="6"/>
      <c r="S2386" s="6"/>
      <c r="T2386" s="6"/>
      <c r="U2386" s="6"/>
      <c r="V2386" s="6"/>
      <c r="W2386" s="6"/>
      <c r="X2386" s="6"/>
      <c r="Y2386" s="6"/>
      <c r="Z2386" s="6"/>
      <c r="AA2386" s="6"/>
      <c r="AB2386" s="6"/>
      <c r="AC2386" s="6"/>
      <c r="AD2386" s="6"/>
      <c r="AE2386" s="6"/>
      <c r="AF2386" s="6"/>
      <c r="AG2386" s="6"/>
      <c r="AH2386" s="6"/>
      <c r="AI2386" s="6"/>
      <c r="AJ2386" s="6"/>
      <c r="AK2386" s="6"/>
      <c r="AL2386" s="6"/>
      <c r="AM2386" s="6"/>
    </row>
    <row r="2387">
      <c r="A2387" s="6"/>
      <c r="B2387" s="6"/>
      <c r="C2387" s="6"/>
      <c r="D2387" s="6"/>
      <c r="E2387" s="6"/>
      <c r="F2387" s="6"/>
      <c r="G2387" s="6"/>
      <c r="H2387" s="6"/>
      <c r="I2387" s="6"/>
      <c r="J2387" s="6"/>
      <c r="K2387" s="6"/>
      <c r="L2387" s="6"/>
      <c r="M2387" s="6"/>
      <c r="N2387" s="6"/>
      <c r="O2387" s="6"/>
      <c r="P2387" s="6"/>
      <c r="Q2387" s="6"/>
      <c r="R2387" s="6"/>
      <c r="S2387" s="6"/>
      <c r="T2387" s="6"/>
      <c r="U2387" s="6"/>
      <c r="V2387" s="6"/>
      <c r="W2387" s="6"/>
      <c r="X2387" s="6"/>
      <c r="Y2387" s="6"/>
      <c r="Z2387" s="6"/>
      <c r="AA2387" s="6"/>
      <c r="AB2387" s="6"/>
      <c r="AC2387" s="6"/>
      <c r="AD2387" s="6"/>
      <c r="AE2387" s="6"/>
      <c r="AF2387" s="6"/>
      <c r="AG2387" s="6"/>
      <c r="AH2387" s="6"/>
      <c r="AI2387" s="6"/>
      <c r="AJ2387" s="6"/>
      <c r="AK2387" s="6"/>
      <c r="AL2387" s="6"/>
      <c r="AM2387" s="6"/>
    </row>
    <row r="2388">
      <c r="A2388" s="6"/>
      <c r="B2388" s="6"/>
      <c r="C2388" s="6"/>
      <c r="D2388" s="6"/>
      <c r="E2388" s="6"/>
      <c r="F2388" s="6"/>
      <c r="G2388" s="6"/>
      <c r="H2388" s="6"/>
      <c r="I2388" s="6"/>
      <c r="J2388" s="6"/>
      <c r="K2388" s="6"/>
      <c r="L2388" s="6"/>
      <c r="M2388" s="6"/>
      <c r="N2388" s="6"/>
      <c r="O2388" s="6"/>
      <c r="P2388" s="6"/>
      <c r="Q2388" s="6"/>
      <c r="R2388" s="6"/>
      <c r="S2388" s="6"/>
      <c r="T2388" s="6"/>
      <c r="U2388" s="6"/>
      <c r="V2388" s="6"/>
      <c r="W2388" s="6"/>
      <c r="X2388" s="6"/>
      <c r="Y2388" s="6"/>
      <c r="Z2388" s="6"/>
      <c r="AA2388" s="6"/>
      <c r="AB2388" s="6"/>
      <c r="AC2388" s="6"/>
      <c r="AD2388" s="6"/>
      <c r="AE2388" s="6"/>
      <c r="AF2388" s="6"/>
      <c r="AG2388" s="6"/>
      <c r="AH2388" s="6"/>
      <c r="AI2388" s="6"/>
      <c r="AJ2388" s="6"/>
      <c r="AK2388" s="6"/>
      <c r="AL2388" s="6"/>
      <c r="AM2388" s="6"/>
    </row>
    <row r="2389">
      <c r="A2389" s="6"/>
      <c r="B2389" s="6"/>
      <c r="C2389" s="6"/>
      <c r="D2389" s="6"/>
      <c r="E2389" s="6"/>
      <c r="F2389" s="6"/>
      <c r="G2389" s="6"/>
      <c r="H2389" s="6"/>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c r="AG2389" s="6"/>
      <c r="AH2389" s="6"/>
      <c r="AI2389" s="6"/>
      <c r="AJ2389" s="6"/>
      <c r="AK2389" s="6"/>
      <c r="AL2389" s="6"/>
      <c r="AM2389" s="6"/>
    </row>
    <row r="2390">
      <c r="A2390" s="6"/>
      <c r="B2390" s="6"/>
      <c r="C2390" s="6"/>
      <c r="D2390" s="6"/>
      <c r="E2390" s="6"/>
      <c r="F2390" s="6"/>
      <c r="G2390" s="6"/>
      <c r="H2390" s="6"/>
      <c r="I2390" s="6"/>
      <c r="J2390" s="6"/>
      <c r="K2390" s="6"/>
      <c r="L2390" s="6"/>
      <c r="M2390" s="6"/>
      <c r="N2390" s="6"/>
      <c r="O2390" s="6"/>
      <c r="P2390" s="6"/>
      <c r="Q2390" s="6"/>
      <c r="R2390" s="6"/>
      <c r="S2390" s="6"/>
      <c r="T2390" s="6"/>
      <c r="U2390" s="6"/>
      <c r="V2390" s="6"/>
      <c r="W2390" s="6"/>
      <c r="X2390" s="6"/>
      <c r="Y2390" s="6"/>
      <c r="Z2390" s="6"/>
      <c r="AA2390" s="6"/>
      <c r="AB2390" s="6"/>
      <c r="AC2390" s="6"/>
      <c r="AD2390" s="6"/>
      <c r="AE2390" s="6"/>
      <c r="AF2390" s="6"/>
      <c r="AG2390" s="6"/>
      <c r="AH2390" s="6"/>
      <c r="AI2390" s="6"/>
      <c r="AJ2390" s="6"/>
      <c r="AK2390" s="6"/>
      <c r="AL2390" s="6"/>
      <c r="AM2390" s="6"/>
    </row>
    <row r="2391">
      <c r="A2391" s="6"/>
      <c r="B2391" s="6"/>
      <c r="C2391" s="6"/>
      <c r="D2391" s="6"/>
      <c r="E2391" s="6"/>
      <c r="F2391" s="6"/>
      <c r="G2391" s="6"/>
      <c r="H2391" s="6"/>
      <c r="I2391" s="6"/>
      <c r="J2391" s="6"/>
      <c r="K2391" s="6"/>
      <c r="L2391" s="6"/>
      <c r="M2391" s="6"/>
      <c r="N2391" s="6"/>
      <c r="O2391" s="6"/>
      <c r="P2391" s="6"/>
      <c r="Q2391" s="6"/>
      <c r="R2391" s="6"/>
      <c r="S2391" s="6"/>
      <c r="T2391" s="6"/>
      <c r="U2391" s="6"/>
      <c r="V2391" s="6"/>
      <c r="W2391" s="6"/>
      <c r="X2391" s="6"/>
      <c r="Y2391" s="6"/>
      <c r="Z2391" s="6"/>
      <c r="AA2391" s="6"/>
      <c r="AB2391" s="6"/>
      <c r="AC2391" s="6"/>
      <c r="AD2391" s="6"/>
      <c r="AE2391" s="6"/>
      <c r="AF2391" s="6"/>
      <c r="AG2391" s="6"/>
      <c r="AH2391" s="6"/>
      <c r="AI2391" s="6"/>
      <c r="AJ2391" s="6"/>
      <c r="AK2391" s="6"/>
      <c r="AL2391" s="6"/>
      <c r="AM2391" s="6"/>
    </row>
    <row r="2392">
      <c r="A2392" s="6"/>
      <c r="B2392" s="6"/>
      <c r="C2392" s="6"/>
      <c r="D2392" s="6"/>
      <c r="E2392" s="6"/>
      <c r="F2392" s="6"/>
      <c r="G2392" s="6"/>
      <c r="H2392" s="6"/>
      <c r="I2392" s="6"/>
      <c r="J2392" s="6"/>
      <c r="K2392" s="6"/>
      <c r="L2392" s="6"/>
      <c r="M2392" s="6"/>
      <c r="N2392" s="6"/>
      <c r="O2392" s="6"/>
      <c r="P2392" s="6"/>
      <c r="Q2392" s="6"/>
      <c r="R2392" s="6"/>
      <c r="S2392" s="6"/>
      <c r="T2392" s="6"/>
      <c r="U2392" s="6"/>
      <c r="V2392" s="6"/>
      <c r="W2392" s="6"/>
      <c r="X2392" s="6"/>
      <c r="Y2392" s="6"/>
      <c r="Z2392" s="6"/>
      <c r="AA2392" s="6"/>
      <c r="AB2392" s="6"/>
      <c r="AC2392" s="6"/>
      <c r="AD2392" s="6"/>
      <c r="AE2392" s="6"/>
      <c r="AF2392" s="6"/>
      <c r="AG2392" s="6"/>
      <c r="AH2392" s="6"/>
      <c r="AI2392" s="6"/>
      <c r="AJ2392" s="6"/>
      <c r="AK2392" s="6"/>
      <c r="AL2392" s="6"/>
      <c r="AM2392" s="6"/>
    </row>
    <row r="2393">
      <c r="A2393" s="6"/>
      <c r="B2393" s="6"/>
      <c r="C2393" s="6"/>
      <c r="D2393" s="6"/>
      <c r="E2393" s="6"/>
      <c r="F2393" s="6"/>
      <c r="G2393" s="6"/>
      <c r="H2393" s="6"/>
      <c r="I2393" s="6"/>
      <c r="J2393" s="6"/>
      <c r="K2393" s="6"/>
      <c r="L2393" s="6"/>
      <c r="M2393" s="6"/>
      <c r="N2393" s="6"/>
      <c r="O2393" s="6"/>
      <c r="P2393" s="6"/>
      <c r="Q2393" s="6"/>
      <c r="R2393" s="6"/>
      <c r="S2393" s="6"/>
      <c r="T2393" s="6"/>
      <c r="U2393" s="6"/>
      <c r="V2393" s="6"/>
      <c r="W2393" s="6"/>
      <c r="X2393" s="6"/>
      <c r="Y2393" s="6"/>
      <c r="Z2393" s="6"/>
      <c r="AA2393" s="6"/>
      <c r="AB2393" s="6"/>
      <c r="AC2393" s="6"/>
      <c r="AD2393" s="6"/>
      <c r="AE2393" s="6"/>
      <c r="AF2393" s="6"/>
      <c r="AG2393" s="6"/>
      <c r="AH2393" s="6"/>
      <c r="AI2393" s="6"/>
      <c r="AJ2393" s="6"/>
      <c r="AK2393" s="6"/>
      <c r="AL2393" s="6"/>
      <c r="AM2393" s="6"/>
    </row>
    <row r="2394">
      <c r="A2394" s="6"/>
      <c r="B2394" s="6"/>
      <c r="C2394" s="6"/>
      <c r="D2394" s="6"/>
      <c r="E2394" s="6"/>
      <c r="F2394" s="6"/>
      <c r="G2394" s="6"/>
      <c r="H2394" s="6"/>
      <c r="I2394" s="6"/>
      <c r="J2394" s="6"/>
      <c r="K2394" s="6"/>
      <c r="L2394" s="6"/>
      <c r="M2394" s="6"/>
      <c r="N2394" s="6"/>
      <c r="O2394" s="6"/>
      <c r="P2394" s="6"/>
      <c r="Q2394" s="6"/>
      <c r="R2394" s="6"/>
      <c r="S2394" s="6"/>
      <c r="T2394" s="6"/>
      <c r="U2394" s="6"/>
      <c r="V2394" s="6"/>
      <c r="W2394" s="6"/>
      <c r="X2394" s="6"/>
      <c r="Y2394" s="6"/>
      <c r="Z2394" s="6"/>
      <c r="AA2394" s="6"/>
      <c r="AB2394" s="6"/>
      <c r="AC2394" s="6"/>
      <c r="AD2394" s="6"/>
      <c r="AE2394" s="6"/>
      <c r="AF2394" s="6"/>
      <c r="AG2394" s="6"/>
      <c r="AH2394" s="6"/>
      <c r="AI2394" s="6"/>
      <c r="AJ2394" s="6"/>
      <c r="AK2394" s="6"/>
      <c r="AL2394" s="6"/>
      <c r="AM2394" s="6"/>
    </row>
    <row r="2395">
      <c r="A2395" s="6"/>
      <c r="B2395" s="6"/>
      <c r="C2395" s="6"/>
      <c r="D2395" s="6"/>
      <c r="E2395" s="6"/>
      <c r="F2395" s="6"/>
      <c r="G2395" s="6"/>
      <c r="H2395" s="6"/>
      <c r="I2395" s="6"/>
      <c r="J2395" s="6"/>
      <c r="K2395" s="6"/>
      <c r="L2395" s="6"/>
      <c r="M2395" s="6"/>
      <c r="N2395" s="6"/>
      <c r="O2395" s="6"/>
      <c r="P2395" s="6"/>
      <c r="Q2395" s="6"/>
      <c r="R2395" s="6"/>
      <c r="S2395" s="6"/>
      <c r="T2395" s="6"/>
      <c r="U2395" s="6"/>
      <c r="V2395" s="6"/>
      <c r="W2395" s="6"/>
      <c r="X2395" s="6"/>
      <c r="Y2395" s="6"/>
      <c r="Z2395" s="6"/>
      <c r="AA2395" s="6"/>
      <c r="AB2395" s="6"/>
      <c r="AC2395" s="6"/>
      <c r="AD2395" s="6"/>
      <c r="AE2395" s="6"/>
      <c r="AF2395" s="6"/>
      <c r="AG2395" s="6"/>
      <c r="AH2395" s="6"/>
      <c r="AI2395" s="6"/>
      <c r="AJ2395" s="6"/>
      <c r="AK2395" s="6"/>
      <c r="AL2395" s="6"/>
      <c r="AM2395" s="6"/>
    </row>
    <row r="2396">
      <c r="A2396" s="6"/>
      <c r="B2396" s="6"/>
      <c r="C2396" s="6"/>
      <c r="D2396" s="6"/>
      <c r="E2396" s="6"/>
      <c r="F2396" s="6"/>
      <c r="G2396" s="6"/>
      <c r="H2396" s="6"/>
      <c r="I2396" s="6"/>
      <c r="J2396" s="6"/>
      <c r="K2396" s="6"/>
      <c r="L2396" s="6"/>
      <c r="M2396" s="6"/>
      <c r="N2396" s="6"/>
      <c r="O2396" s="6"/>
      <c r="P2396" s="6"/>
      <c r="Q2396" s="6"/>
      <c r="R2396" s="6"/>
      <c r="S2396" s="6"/>
      <c r="T2396" s="6"/>
      <c r="U2396" s="6"/>
      <c r="V2396" s="6"/>
      <c r="W2396" s="6"/>
      <c r="X2396" s="6"/>
      <c r="Y2396" s="6"/>
      <c r="Z2396" s="6"/>
      <c r="AA2396" s="6"/>
      <c r="AB2396" s="6"/>
      <c r="AC2396" s="6"/>
      <c r="AD2396" s="6"/>
      <c r="AE2396" s="6"/>
      <c r="AF2396" s="6"/>
      <c r="AG2396" s="6"/>
      <c r="AH2396" s="6"/>
      <c r="AI2396" s="6"/>
      <c r="AJ2396" s="6"/>
      <c r="AK2396" s="6"/>
      <c r="AL2396" s="6"/>
      <c r="AM2396" s="6"/>
    </row>
    <row r="2397">
      <c r="A2397" s="6"/>
      <c r="B2397" s="6"/>
      <c r="C2397" s="6"/>
      <c r="D2397" s="6"/>
      <c r="E2397" s="6"/>
      <c r="F2397" s="6"/>
      <c r="G2397" s="6"/>
      <c r="H2397" s="6"/>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c r="AG2397" s="6"/>
      <c r="AH2397" s="6"/>
      <c r="AI2397" s="6"/>
      <c r="AJ2397" s="6"/>
      <c r="AK2397" s="6"/>
      <c r="AL2397" s="6"/>
      <c r="AM2397" s="6"/>
    </row>
    <row r="2398">
      <c r="A2398" s="6"/>
      <c r="B2398" s="6"/>
      <c r="C2398" s="6"/>
      <c r="D2398" s="6"/>
      <c r="E2398" s="6"/>
      <c r="F2398" s="6"/>
      <c r="G2398" s="6"/>
      <c r="H2398" s="6"/>
      <c r="I2398" s="6"/>
      <c r="J2398" s="6"/>
      <c r="K2398" s="6"/>
      <c r="L2398" s="6"/>
      <c r="M2398" s="6"/>
      <c r="N2398" s="6"/>
      <c r="O2398" s="6"/>
      <c r="P2398" s="6"/>
      <c r="Q2398" s="6"/>
      <c r="R2398" s="6"/>
      <c r="S2398" s="6"/>
      <c r="T2398" s="6"/>
      <c r="U2398" s="6"/>
      <c r="V2398" s="6"/>
      <c r="W2398" s="6"/>
      <c r="X2398" s="6"/>
      <c r="Y2398" s="6"/>
      <c r="Z2398" s="6"/>
      <c r="AA2398" s="6"/>
      <c r="AB2398" s="6"/>
      <c r="AC2398" s="6"/>
      <c r="AD2398" s="6"/>
      <c r="AE2398" s="6"/>
      <c r="AF2398" s="6"/>
      <c r="AG2398" s="6"/>
      <c r="AH2398" s="6"/>
      <c r="AI2398" s="6"/>
      <c r="AJ2398" s="6"/>
      <c r="AK2398" s="6"/>
      <c r="AL2398" s="6"/>
      <c r="AM2398" s="6"/>
    </row>
    <row r="2399">
      <c r="A2399" s="6"/>
      <c r="B2399" s="6"/>
      <c r="C2399" s="6"/>
      <c r="D2399" s="6"/>
      <c r="E2399" s="6"/>
      <c r="F2399" s="6"/>
      <c r="G2399" s="6"/>
      <c r="H2399" s="6"/>
      <c r="I2399" s="6"/>
      <c r="J2399" s="6"/>
      <c r="K2399" s="6"/>
      <c r="L2399" s="6"/>
      <c r="M2399" s="6"/>
      <c r="N2399" s="6"/>
      <c r="O2399" s="6"/>
      <c r="P2399" s="6"/>
      <c r="Q2399" s="6"/>
      <c r="R2399" s="6"/>
      <c r="S2399" s="6"/>
      <c r="T2399" s="6"/>
      <c r="U2399" s="6"/>
      <c r="V2399" s="6"/>
      <c r="W2399" s="6"/>
      <c r="X2399" s="6"/>
      <c r="Y2399" s="6"/>
      <c r="Z2399" s="6"/>
      <c r="AA2399" s="6"/>
      <c r="AB2399" s="6"/>
      <c r="AC2399" s="6"/>
      <c r="AD2399" s="6"/>
      <c r="AE2399" s="6"/>
      <c r="AF2399" s="6"/>
      <c r="AG2399" s="6"/>
      <c r="AH2399" s="6"/>
      <c r="AI2399" s="6"/>
      <c r="AJ2399" s="6"/>
      <c r="AK2399" s="6"/>
      <c r="AL2399" s="6"/>
      <c r="AM2399" s="6"/>
    </row>
    <row r="2400">
      <c r="A2400" s="6"/>
      <c r="B2400" s="6"/>
      <c r="C2400" s="6"/>
      <c r="D2400" s="6"/>
      <c r="E2400" s="6"/>
      <c r="F2400" s="6"/>
      <c r="G2400" s="6"/>
      <c r="H2400" s="6"/>
      <c r="I2400" s="6"/>
      <c r="J2400" s="6"/>
      <c r="K2400" s="6"/>
      <c r="L2400" s="6"/>
      <c r="M2400" s="6"/>
      <c r="N2400" s="6"/>
      <c r="O2400" s="6"/>
      <c r="P2400" s="6"/>
      <c r="Q2400" s="6"/>
      <c r="R2400" s="6"/>
      <c r="S2400" s="6"/>
      <c r="T2400" s="6"/>
      <c r="U2400" s="6"/>
      <c r="V2400" s="6"/>
      <c r="W2400" s="6"/>
      <c r="X2400" s="6"/>
      <c r="Y2400" s="6"/>
      <c r="Z2400" s="6"/>
      <c r="AA2400" s="6"/>
      <c r="AB2400" s="6"/>
      <c r="AC2400" s="6"/>
      <c r="AD2400" s="6"/>
      <c r="AE2400" s="6"/>
      <c r="AF2400" s="6"/>
      <c r="AG2400" s="6"/>
      <c r="AH2400" s="6"/>
      <c r="AI2400" s="6"/>
      <c r="AJ2400" s="6"/>
      <c r="AK2400" s="6"/>
      <c r="AL2400" s="6"/>
      <c r="AM2400" s="6"/>
    </row>
    <row r="2401">
      <c r="A2401" s="6"/>
      <c r="B2401" s="6"/>
      <c r="C2401" s="6"/>
      <c r="D2401" s="6"/>
      <c r="E2401" s="6"/>
      <c r="F2401" s="6"/>
      <c r="G2401" s="6"/>
      <c r="H2401" s="6"/>
      <c r="I2401" s="6"/>
      <c r="J2401" s="6"/>
      <c r="K2401" s="6"/>
      <c r="L2401" s="6"/>
      <c r="M2401" s="6"/>
      <c r="N2401" s="6"/>
      <c r="O2401" s="6"/>
      <c r="P2401" s="6"/>
      <c r="Q2401" s="6"/>
      <c r="R2401" s="6"/>
      <c r="S2401" s="6"/>
      <c r="T2401" s="6"/>
      <c r="U2401" s="6"/>
      <c r="V2401" s="6"/>
      <c r="W2401" s="6"/>
      <c r="X2401" s="6"/>
      <c r="Y2401" s="6"/>
      <c r="Z2401" s="6"/>
      <c r="AA2401" s="6"/>
      <c r="AB2401" s="6"/>
      <c r="AC2401" s="6"/>
      <c r="AD2401" s="6"/>
      <c r="AE2401" s="6"/>
      <c r="AF2401" s="6"/>
      <c r="AG2401" s="6"/>
      <c r="AH2401" s="6"/>
      <c r="AI2401" s="6"/>
      <c r="AJ2401" s="6"/>
      <c r="AK2401" s="6"/>
      <c r="AL2401" s="6"/>
      <c r="AM2401" s="6"/>
    </row>
    <row r="2402">
      <c r="A2402" s="6"/>
      <c r="B2402" s="6"/>
      <c r="C2402" s="6"/>
      <c r="D2402" s="6"/>
      <c r="E2402" s="6"/>
      <c r="F2402" s="6"/>
      <c r="G2402" s="6"/>
      <c r="H2402" s="6"/>
      <c r="I2402" s="6"/>
      <c r="J2402" s="6"/>
      <c r="K2402" s="6"/>
      <c r="L2402" s="6"/>
      <c r="M2402" s="6"/>
      <c r="N2402" s="6"/>
      <c r="O2402" s="6"/>
      <c r="P2402" s="6"/>
      <c r="Q2402" s="6"/>
      <c r="R2402" s="6"/>
      <c r="S2402" s="6"/>
      <c r="T2402" s="6"/>
      <c r="U2402" s="6"/>
      <c r="V2402" s="6"/>
      <c r="W2402" s="6"/>
      <c r="X2402" s="6"/>
      <c r="Y2402" s="6"/>
      <c r="Z2402" s="6"/>
      <c r="AA2402" s="6"/>
      <c r="AB2402" s="6"/>
      <c r="AC2402" s="6"/>
      <c r="AD2402" s="6"/>
      <c r="AE2402" s="6"/>
      <c r="AF2402" s="6"/>
      <c r="AG2402" s="6"/>
      <c r="AH2402" s="6"/>
      <c r="AI2402" s="6"/>
      <c r="AJ2402" s="6"/>
      <c r="AK2402" s="6"/>
      <c r="AL2402" s="6"/>
      <c r="AM2402" s="6"/>
    </row>
    <row r="2403">
      <c r="A2403" s="6"/>
      <c r="B2403" s="6"/>
      <c r="C2403" s="6"/>
      <c r="D2403" s="6"/>
      <c r="E2403" s="6"/>
      <c r="F2403" s="6"/>
      <c r="G2403" s="6"/>
      <c r="H2403" s="6"/>
      <c r="I2403" s="6"/>
      <c r="J2403" s="6"/>
      <c r="K2403" s="6"/>
      <c r="L2403" s="6"/>
      <c r="M2403" s="6"/>
      <c r="N2403" s="6"/>
      <c r="O2403" s="6"/>
      <c r="P2403" s="6"/>
      <c r="Q2403" s="6"/>
      <c r="R2403" s="6"/>
      <c r="S2403" s="6"/>
      <c r="T2403" s="6"/>
      <c r="U2403" s="6"/>
      <c r="V2403" s="6"/>
      <c r="W2403" s="6"/>
      <c r="X2403" s="6"/>
      <c r="Y2403" s="6"/>
      <c r="Z2403" s="6"/>
      <c r="AA2403" s="6"/>
      <c r="AB2403" s="6"/>
      <c r="AC2403" s="6"/>
      <c r="AD2403" s="6"/>
      <c r="AE2403" s="6"/>
      <c r="AF2403" s="6"/>
      <c r="AG2403" s="6"/>
      <c r="AH2403" s="6"/>
      <c r="AI2403" s="6"/>
      <c r="AJ2403" s="6"/>
      <c r="AK2403" s="6"/>
      <c r="AL2403" s="6"/>
      <c r="AM2403" s="6"/>
    </row>
    <row r="2404">
      <c r="A2404" s="6"/>
      <c r="B2404" s="6"/>
      <c r="C2404" s="6"/>
      <c r="D2404" s="6"/>
      <c r="E2404" s="6"/>
      <c r="F2404" s="6"/>
      <c r="G2404" s="6"/>
      <c r="H2404" s="6"/>
      <c r="I2404" s="6"/>
      <c r="J2404" s="6"/>
      <c r="K2404" s="6"/>
      <c r="L2404" s="6"/>
      <c r="M2404" s="6"/>
      <c r="N2404" s="6"/>
      <c r="O2404" s="6"/>
      <c r="P2404" s="6"/>
      <c r="Q2404" s="6"/>
      <c r="R2404" s="6"/>
      <c r="S2404" s="6"/>
      <c r="T2404" s="6"/>
      <c r="U2404" s="6"/>
      <c r="V2404" s="6"/>
      <c r="W2404" s="6"/>
      <c r="X2404" s="6"/>
      <c r="Y2404" s="6"/>
      <c r="Z2404" s="6"/>
      <c r="AA2404" s="6"/>
      <c r="AB2404" s="6"/>
      <c r="AC2404" s="6"/>
      <c r="AD2404" s="6"/>
      <c r="AE2404" s="6"/>
      <c r="AF2404" s="6"/>
      <c r="AG2404" s="6"/>
      <c r="AH2404" s="6"/>
      <c r="AI2404" s="6"/>
      <c r="AJ2404" s="6"/>
      <c r="AK2404" s="6"/>
      <c r="AL2404" s="6"/>
      <c r="AM2404" s="6"/>
    </row>
    <row r="2405">
      <c r="A2405" s="6"/>
      <c r="B2405" s="6"/>
      <c r="C2405" s="6"/>
      <c r="D2405" s="6"/>
      <c r="E2405" s="6"/>
      <c r="F2405" s="6"/>
      <c r="G2405" s="6"/>
      <c r="H2405" s="6"/>
      <c r="I2405" s="6"/>
      <c r="J2405" s="6"/>
      <c r="K2405" s="6"/>
      <c r="L2405" s="6"/>
      <c r="M2405" s="6"/>
      <c r="N2405" s="6"/>
      <c r="O2405" s="6"/>
      <c r="P2405" s="6"/>
      <c r="Q2405" s="6"/>
      <c r="R2405" s="6"/>
      <c r="S2405" s="6"/>
      <c r="T2405" s="6"/>
      <c r="U2405" s="6"/>
      <c r="V2405" s="6"/>
      <c r="W2405" s="6"/>
      <c r="X2405" s="6"/>
      <c r="Y2405" s="6"/>
      <c r="Z2405" s="6"/>
      <c r="AA2405" s="6"/>
      <c r="AB2405" s="6"/>
      <c r="AC2405" s="6"/>
      <c r="AD2405" s="6"/>
      <c r="AE2405" s="6"/>
      <c r="AF2405" s="6"/>
      <c r="AG2405" s="6"/>
      <c r="AH2405" s="6"/>
      <c r="AI2405" s="6"/>
      <c r="AJ2405" s="6"/>
      <c r="AK2405" s="6"/>
      <c r="AL2405" s="6"/>
      <c r="AM2405" s="6"/>
    </row>
    <row r="2406">
      <c r="A2406" s="6"/>
      <c r="B2406" s="6"/>
      <c r="C2406" s="6"/>
      <c r="D2406" s="6"/>
      <c r="E2406" s="6"/>
      <c r="F2406" s="6"/>
      <c r="G2406" s="6"/>
      <c r="H2406" s="6"/>
      <c r="I2406" s="6"/>
      <c r="J2406" s="6"/>
      <c r="K2406" s="6"/>
      <c r="L2406" s="6"/>
      <c r="M2406" s="6"/>
      <c r="N2406" s="6"/>
      <c r="O2406" s="6"/>
      <c r="P2406" s="6"/>
      <c r="Q2406" s="6"/>
      <c r="R2406" s="6"/>
      <c r="S2406" s="6"/>
      <c r="T2406" s="6"/>
      <c r="U2406" s="6"/>
      <c r="V2406" s="6"/>
      <c r="W2406" s="6"/>
      <c r="X2406" s="6"/>
      <c r="Y2406" s="6"/>
      <c r="Z2406" s="6"/>
      <c r="AA2406" s="6"/>
      <c r="AB2406" s="6"/>
      <c r="AC2406" s="6"/>
      <c r="AD2406" s="6"/>
      <c r="AE2406" s="6"/>
      <c r="AF2406" s="6"/>
      <c r="AG2406" s="6"/>
      <c r="AH2406" s="6"/>
      <c r="AI2406" s="6"/>
      <c r="AJ2406" s="6"/>
      <c r="AK2406" s="6"/>
      <c r="AL2406" s="6"/>
      <c r="AM2406" s="6"/>
    </row>
    <row r="2407">
      <c r="A2407" s="6"/>
      <c r="B2407" s="6"/>
      <c r="C2407" s="6"/>
      <c r="D2407" s="6"/>
      <c r="E2407" s="6"/>
      <c r="F2407" s="6"/>
      <c r="G2407" s="6"/>
      <c r="H2407" s="6"/>
      <c r="I2407" s="6"/>
      <c r="J2407" s="6"/>
      <c r="K2407" s="6"/>
      <c r="L2407" s="6"/>
      <c r="M2407" s="6"/>
      <c r="N2407" s="6"/>
      <c r="O2407" s="6"/>
      <c r="P2407" s="6"/>
      <c r="Q2407" s="6"/>
      <c r="R2407" s="6"/>
      <c r="S2407" s="6"/>
      <c r="T2407" s="6"/>
      <c r="U2407" s="6"/>
      <c r="V2407" s="6"/>
      <c r="W2407" s="6"/>
      <c r="X2407" s="6"/>
      <c r="Y2407" s="6"/>
      <c r="Z2407" s="6"/>
      <c r="AA2407" s="6"/>
      <c r="AB2407" s="6"/>
      <c r="AC2407" s="6"/>
      <c r="AD2407" s="6"/>
      <c r="AE2407" s="6"/>
      <c r="AF2407" s="6"/>
      <c r="AG2407" s="6"/>
      <c r="AH2407" s="6"/>
      <c r="AI2407" s="6"/>
      <c r="AJ2407" s="6"/>
      <c r="AK2407" s="6"/>
      <c r="AL2407" s="6"/>
      <c r="AM2407" s="6"/>
    </row>
    <row r="2408">
      <c r="A2408" s="6"/>
      <c r="B2408" s="6"/>
      <c r="C2408" s="6"/>
      <c r="D2408" s="6"/>
      <c r="E2408" s="6"/>
      <c r="F2408" s="6"/>
      <c r="G2408" s="6"/>
      <c r="H2408" s="6"/>
      <c r="I2408" s="6"/>
      <c r="J2408" s="6"/>
      <c r="K2408" s="6"/>
      <c r="L2408" s="6"/>
      <c r="M2408" s="6"/>
      <c r="N2408" s="6"/>
      <c r="O2408" s="6"/>
      <c r="P2408" s="6"/>
      <c r="Q2408" s="6"/>
      <c r="R2408" s="6"/>
      <c r="S2408" s="6"/>
      <c r="T2408" s="6"/>
      <c r="U2408" s="6"/>
      <c r="V2408" s="6"/>
      <c r="W2408" s="6"/>
      <c r="X2408" s="6"/>
      <c r="Y2408" s="6"/>
      <c r="Z2408" s="6"/>
      <c r="AA2408" s="6"/>
      <c r="AB2408" s="6"/>
      <c r="AC2408" s="6"/>
      <c r="AD2408" s="6"/>
      <c r="AE2408" s="6"/>
      <c r="AF2408" s="6"/>
      <c r="AG2408" s="6"/>
      <c r="AH2408" s="6"/>
      <c r="AI2408" s="6"/>
      <c r="AJ2408" s="6"/>
      <c r="AK2408" s="6"/>
      <c r="AL2408" s="6"/>
      <c r="AM2408" s="6"/>
    </row>
    <row r="2409">
      <c r="A2409" s="6"/>
      <c r="B2409" s="6"/>
      <c r="C2409" s="6"/>
      <c r="D2409" s="6"/>
      <c r="E2409" s="6"/>
      <c r="F2409" s="6"/>
      <c r="G2409" s="6"/>
      <c r="H2409" s="6"/>
      <c r="I2409" s="6"/>
      <c r="J2409" s="6"/>
      <c r="K2409" s="6"/>
      <c r="L2409" s="6"/>
      <c r="M2409" s="6"/>
      <c r="N2409" s="6"/>
      <c r="O2409" s="6"/>
      <c r="P2409" s="6"/>
      <c r="Q2409" s="6"/>
      <c r="R2409" s="6"/>
      <c r="S2409" s="6"/>
      <c r="T2409" s="6"/>
      <c r="U2409" s="6"/>
      <c r="V2409" s="6"/>
      <c r="W2409" s="6"/>
      <c r="X2409" s="6"/>
      <c r="Y2409" s="6"/>
      <c r="Z2409" s="6"/>
      <c r="AA2409" s="6"/>
      <c r="AB2409" s="6"/>
      <c r="AC2409" s="6"/>
      <c r="AD2409" s="6"/>
      <c r="AE2409" s="6"/>
      <c r="AF2409" s="6"/>
      <c r="AG2409" s="6"/>
      <c r="AH2409" s="6"/>
      <c r="AI2409" s="6"/>
      <c r="AJ2409" s="6"/>
      <c r="AK2409" s="6"/>
      <c r="AL2409" s="6"/>
      <c r="AM2409" s="6"/>
    </row>
    <row r="2410">
      <c r="A2410" s="6"/>
      <c r="B2410" s="6"/>
      <c r="C2410" s="6"/>
      <c r="D2410" s="6"/>
      <c r="E2410" s="6"/>
      <c r="F2410" s="6"/>
      <c r="G2410" s="6"/>
      <c r="H2410" s="6"/>
      <c r="I2410" s="6"/>
      <c r="J2410" s="6"/>
      <c r="K2410" s="6"/>
      <c r="L2410" s="6"/>
      <c r="M2410" s="6"/>
      <c r="N2410" s="6"/>
      <c r="O2410" s="6"/>
      <c r="P2410" s="6"/>
      <c r="Q2410" s="6"/>
      <c r="R2410" s="6"/>
      <c r="S2410" s="6"/>
      <c r="T2410" s="6"/>
      <c r="U2410" s="6"/>
      <c r="V2410" s="6"/>
      <c r="W2410" s="6"/>
      <c r="X2410" s="6"/>
      <c r="Y2410" s="6"/>
      <c r="Z2410" s="6"/>
      <c r="AA2410" s="6"/>
      <c r="AB2410" s="6"/>
      <c r="AC2410" s="6"/>
      <c r="AD2410" s="6"/>
      <c r="AE2410" s="6"/>
      <c r="AF2410" s="6"/>
      <c r="AG2410" s="6"/>
      <c r="AH2410" s="6"/>
      <c r="AI2410" s="6"/>
      <c r="AJ2410" s="6"/>
      <c r="AK2410" s="6"/>
      <c r="AL2410" s="6"/>
      <c r="AM2410" s="6"/>
    </row>
    <row r="2411">
      <c r="A2411" s="6"/>
      <c r="B2411" s="6"/>
      <c r="C2411" s="6"/>
      <c r="D2411" s="6"/>
      <c r="E2411" s="6"/>
      <c r="F2411" s="6"/>
      <c r="G2411" s="6"/>
      <c r="H2411" s="6"/>
      <c r="I2411" s="6"/>
      <c r="J2411" s="6"/>
      <c r="K2411" s="6"/>
      <c r="L2411" s="6"/>
      <c r="M2411" s="6"/>
      <c r="N2411" s="6"/>
      <c r="O2411" s="6"/>
      <c r="P2411" s="6"/>
      <c r="Q2411" s="6"/>
      <c r="R2411" s="6"/>
      <c r="S2411" s="6"/>
      <c r="T2411" s="6"/>
      <c r="U2411" s="6"/>
      <c r="V2411" s="6"/>
      <c r="W2411" s="6"/>
      <c r="X2411" s="6"/>
      <c r="Y2411" s="6"/>
      <c r="Z2411" s="6"/>
      <c r="AA2411" s="6"/>
      <c r="AB2411" s="6"/>
      <c r="AC2411" s="6"/>
      <c r="AD2411" s="6"/>
      <c r="AE2411" s="6"/>
      <c r="AF2411" s="6"/>
      <c r="AG2411" s="6"/>
      <c r="AH2411" s="6"/>
      <c r="AI2411" s="6"/>
      <c r="AJ2411" s="6"/>
      <c r="AK2411" s="6"/>
      <c r="AL2411" s="6"/>
      <c r="AM2411" s="6"/>
    </row>
    <row r="2412">
      <c r="A2412" s="6"/>
      <c r="B2412" s="6"/>
      <c r="C2412" s="6"/>
      <c r="D2412" s="6"/>
      <c r="E2412" s="6"/>
      <c r="F2412" s="6"/>
      <c r="G2412" s="6"/>
      <c r="H2412" s="6"/>
      <c r="I2412" s="6"/>
      <c r="J2412" s="6"/>
      <c r="K2412" s="6"/>
      <c r="L2412" s="6"/>
      <c r="M2412" s="6"/>
      <c r="N2412" s="6"/>
      <c r="O2412" s="6"/>
      <c r="P2412" s="6"/>
      <c r="Q2412" s="6"/>
      <c r="R2412" s="6"/>
      <c r="S2412" s="6"/>
      <c r="T2412" s="6"/>
      <c r="U2412" s="6"/>
      <c r="V2412" s="6"/>
      <c r="W2412" s="6"/>
      <c r="X2412" s="6"/>
      <c r="Y2412" s="6"/>
      <c r="Z2412" s="6"/>
      <c r="AA2412" s="6"/>
      <c r="AB2412" s="6"/>
      <c r="AC2412" s="6"/>
      <c r="AD2412" s="6"/>
      <c r="AE2412" s="6"/>
      <c r="AF2412" s="6"/>
      <c r="AG2412" s="6"/>
      <c r="AH2412" s="6"/>
      <c r="AI2412" s="6"/>
      <c r="AJ2412" s="6"/>
      <c r="AK2412" s="6"/>
      <c r="AL2412" s="6"/>
      <c r="AM2412" s="6"/>
    </row>
    <row r="2413">
      <c r="A2413" s="6"/>
      <c r="B2413" s="6"/>
      <c r="C2413" s="6"/>
      <c r="D2413" s="6"/>
      <c r="E2413" s="6"/>
      <c r="F2413" s="6"/>
      <c r="G2413" s="6"/>
      <c r="H2413" s="6"/>
      <c r="I2413" s="6"/>
      <c r="J2413" s="6"/>
      <c r="K2413" s="6"/>
      <c r="L2413" s="6"/>
      <c r="M2413" s="6"/>
      <c r="N2413" s="6"/>
      <c r="O2413" s="6"/>
      <c r="P2413" s="6"/>
      <c r="Q2413" s="6"/>
      <c r="R2413" s="6"/>
      <c r="S2413" s="6"/>
      <c r="T2413" s="6"/>
      <c r="U2413" s="6"/>
      <c r="V2413" s="6"/>
      <c r="W2413" s="6"/>
      <c r="X2413" s="6"/>
      <c r="Y2413" s="6"/>
      <c r="Z2413" s="6"/>
      <c r="AA2413" s="6"/>
      <c r="AB2413" s="6"/>
      <c r="AC2413" s="6"/>
      <c r="AD2413" s="6"/>
      <c r="AE2413" s="6"/>
      <c r="AF2413" s="6"/>
      <c r="AG2413" s="6"/>
      <c r="AH2413" s="6"/>
      <c r="AI2413" s="6"/>
      <c r="AJ2413" s="6"/>
      <c r="AK2413" s="6"/>
      <c r="AL2413" s="6"/>
      <c r="AM2413" s="6"/>
    </row>
    <row r="2414">
      <c r="A2414" s="6"/>
      <c r="B2414" s="6"/>
      <c r="C2414" s="6"/>
      <c r="D2414" s="6"/>
      <c r="E2414" s="6"/>
      <c r="F2414" s="6"/>
      <c r="G2414" s="6"/>
      <c r="H2414" s="6"/>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c r="AG2414" s="6"/>
      <c r="AH2414" s="6"/>
      <c r="AI2414" s="6"/>
      <c r="AJ2414" s="6"/>
      <c r="AK2414" s="6"/>
      <c r="AL2414" s="6"/>
      <c r="AM2414" s="6"/>
    </row>
    <row r="2415">
      <c r="A2415" s="6"/>
      <c r="B2415" s="6"/>
      <c r="C2415" s="6"/>
      <c r="D2415" s="6"/>
      <c r="E2415" s="6"/>
      <c r="F2415" s="6"/>
      <c r="G2415" s="6"/>
      <c r="H2415" s="6"/>
      <c r="I2415" s="6"/>
      <c r="J2415" s="6"/>
      <c r="K2415" s="6"/>
      <c r="L2415" s="6"/>
      <c r="M2415" s="6"/>
      <c r="N2415" s="6"/>
      <c r="O2415" s="6"/>
      <c r="P2415" s="6"/>
      <c r="Q2415" s="6"/>
      <c r="R2415" s="6"/>
      <c r="S2415" s="6"/>
      <c r="T2415" s="6"/>
      <c r="U2415" s="6"/>
      <c r="V2415" s="6"/>
      <c r="W2415" s="6"/>
      <c r="X2415" s="6"/>
      <c r="Y2415" s="6"/>
      <c r="Z2415" s="6"/>
      <c r="AA2415" s="6"/>
      <c r="AB2415" s="6"/>
      <c r="AC2415" s="6"/>
      <c r="AD2415" s="6"/>
      <c r="AE2415" s="6"/>
      <c r="AF2415" s="6"/>
      <c r="AG2415" s="6"/>
      <c r="AH2415" s="6"/>
      <c r="AI2415" s="6"/>
      <c r="AJ2415" s="6"/>
      <c r="AK2415" s="6"/>
      <c r="AL2415" s="6"/>
      <c r="AM2415" s="6"/>
    </row>
    <row r="2416">
      <c r="A2416" s="6"/>
      <c r="B2416" s="6"/>
      <c r="C2416" s="6"/>
      <c r="D2416" s="6"/>
      <c r="E2416" s="6"/>
      <c r="F2416" s="6"/>
      <c r="G2416" s="6"/>
      <c r="H2416" s="6"/>
      <c r="I2416" s="6"/>
      <c r="J2416" s="6"/>
      <c r="K2416" s="6"/>
      <c r="L2416" s="6"/>
      <c r="M2416" s="6"/>
      <c r="N2416" s="6"/>
      <c r="O2416" s="6"/>
      <c r="P2416" s="6"/>
      <c r="Q2416" s="6"/>
      <c r="R2416" s="6"/>
      <c r="S2416" s="6"/>
      <c r="T2416" s="6"/>
      <c r="U2416" s="6"/>
      <c r="V2416" s="6"/>
      <c r="W2416" s="6"/>
      <c r="X2416" s="6"/>
      <c r="Y2416" s="6"/>
      <c r="Z2416" s="6"/>
      <c r="AA2416" s="6"/>
      <c r="AB2416" s="6"/>
      <c r="AC2416" s="6"/>
      <c r="AD2416" s="6"/>
      <c r="AE2416" s="6"/>
      <c r="AF2416" s="6"/>
      <c r="AG2416" s="6"/>
      <c r="AH2416" s="6"/>
      <c r="AI2416" s="6"/>
      <c r="AJ2416" s="6"/>
      <c r="AK2416" s="6"/>
      <c r="AL2416" s="6"/>
      <c r="AM2416" s="6"/>
    </row>
    <row r="2417">
      <c r="A2417" s="6"/>
      <c r="B2417" s="6"/>
      <c r="C2417" s="6"/>
      <c r="D2417" s="6"/>
      <c r="E2417" s="6"/>
      <c r="F2417" s="6"/>
      <c r="G2417" s="6"/>
      <c r="H2417" s="6"/>
      <c r="I2417" s="6"/>
      <c r="J2417" s="6"/>
      <c r="K2417" s="6"/>
      <c r="L2417" s="6"/>
      <c r="M2417" s="6"/>
      <c r="N2417" s="6"/>
      <c r="O2417" s="6"/>
      <c r="P2417" s="6"/>
      <c r="Q2417" s="6"/>
      <c r="R2417" s="6"/>
      <c r="S2417" s="6"/>
      <c r="T2417" s="6"/>
      <c r="U2417" s="6"/>
      <c r="V2417" s="6"/>
      <c r="W2417" s="6"/>
      <c r="X2417" s="6"/>
      <c r="Y2417" s="6"/>
      <c r="Z2417" s="6"/>
      <c r="AA2417" s="6"/>
      <c r="AB2417" s="6"/>
      <c r="AC2417" s="6"/>
      <c r="AD2417" s="6"/>
      <c r="AE2417" s="6"/>
      <c r="AF2417" s="6"/>
      <c r="AG2417" s="6"/>
      <c r="AH2417" s="6"/>
      <c r="AI2417" s="6"/>
      <c r="AJ2417" s="6"/>
      <c r="AK2417" s="6"/>
      <c r="AL2417" s="6"/>
      <c r="AM2417" s="6"/>
    </row>
    <row r="2418">
      <c r="A2418" s="6"/>
      <c r="B2418" s="6"/>
      <c r="C2418" s="6"/>
      <c r="D2418" s="6"/>
      <c r="E2418" s="6"/>
      <c r="F2418" s="6"/>
      <c r="G2418" s="6"/>
      <c r="H2418" s="6"/>
      <c r="I2418" s="6"/>
      <c r="J2418" s="6"/>
      <c r="K2418" s="6"/>
      <c r="L2418" s="6"/>
      <c r="M2418" s="6"/>
      <c r="N2418" s="6"/>
      <c r="O2418" s="6"/>
      <c r="P2418" s="6"/>
      <c r="Q2418" s="6"/>
      <c r="R2418" s="6"/>
      <c r="S2418" s="6"/>
      <c r="T2418" s="6"/>
      <c r="U2418" s="6"/>
      <c r="V2418" s="6"/>
      <c r="W2418" s="6"/>
      <c r="X2418" s="6"/>
      <c r="Y2418" s="6"/>
      <c r="Z2418" s="6"/>
      <c r="AA2418" s="6"/>
      <c r="AB2418" s="6"/>
      <c r="AC2418" s="6"/>
      <c r="AD2418" s="6"/>
      <c r="AE2418" s="6"/>
      <c r="AF2418" s="6"/>
      <c r="AG2418" s="6"/>
      <c r="AH2418" s="6"/>
      <c r="AI2418" s="6"/>
      <c r="AJ2418" s="6"/>
      <c r="AK2418" s="6"/>
      <c r="AL2418" s="6"/>
      <c r="AM2418" s="6"/>
    </row>
    <row r="2419">
      <c r="A2419" s="6"/>
      <c r="B2419" s="6"/>
      <c r="C2419" s="6"/>
      <c r="D2419" s="6"/>
      <c r="E2419" s="6"/>
      <c r="F2419" s="6"/>
      <c r="G2419" s="6"/>
      <c r="H2419" s="6"/>
      <c r="I2419" s="6"/>
      <c r="J2419" s="6"/>
      <c r="K2419" s="6"/>
      <c r="L2419" s="6"/>
      <c r="M2419" s="6"/>
      <c r="N2419" s="6"/>
      <c r="O2419" s="6"/>
      <c r="P2419" s="6"/>
      <c r="Q2419" s="6"/>
      <c r="R2419" s="6"/>
      <c r="S2419" s="6"/>
      <c r="T2419" s="6"/>
      <c r="U2419" s="6"/>
      <c r="V2419" s="6"/>
      <c r="W2419" s="6"/>
      <c r="X2419" s="6"/>
      <c r="Y2419" s="6"/>
      <c r="Z2419" s="6"/>
      <c r="AA2419" s="6"/>
      <c r="AB2419" s="6"/>
      <c r="AC2419" s="6"/>
      <c r="AD2419" s="6"/>
      <c r="AE2419" s="6"/>
      <c r="AF2419" s="6"/>
      <c r="AG2419" s="6"/>
      <c r="AH2419" s="6"/>
      <c r="AI2419" s="6"/>
      <c r="AJ2419" s="6"/>
      <c r="AK2419" s="6"/>
      <c r="AL2419" s="6"/>
      <c r="AM2419" s="6"/>
    </row>
    <row r="2420">
      <c r="A2420" s="6"/>
      <c r="B2420" s="6"/>
      <c r="C2420" s="6"/>
      <c r="D2420" s="6"/>
      <c r="E2420" s="6"/>
      <c r="F2420" s="6"/>
      <c r="G2420" s="6"/>
      <c r="H2420" s="6"/>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c r="AG2420" s="6"/>
      <c r="AH2420" s="6"/>
      <c r="AI2420" s="6"/>
      <c r="AJ2420" s="6"/>
      <c r="AK2420" s="6"/>
      <c r="AL2420" s="6"/>
      <c r="AM2420" s="6"/>
    </row>
    <row r="2421">
      <c r="A2421" s="6"/>
      <c r="B2421" s="6"/>
      <c r="C2421" s="6"/>
      <c r="D2421" s="6"/>
      <c r="E2421" s="6"/>
      <c r="F2421" s="6"/>
      <c r="G2421" s="6"/>
      <c r="H2421" s="6"/>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c r="AG2421" s="6"/>
      <c r="AH2421" s="6"/>
      <c r="AI2421" s="6"/>
      <c r="AJ2421" s="6"/>
      <c r="AK2421" s="6"/>
      <c r="AL2421" s="6"/>
      <c r="AM2421" s="6"/>
    </row>
    <row r="2422">
      <c r="A2422" s="6"/>
      <c r="B2422" s="6"/>
      <c r="C2422" s="6"/>
      <c r="D2422" s="6"/>
      <c r="E2422" s="6"/>
      <c r="F2422" s="6"/>
      <c r="G2422" s="6"/>
      <c r="H2422" s="6"/>
      <c r="I2422" s="6"/>
      <c r="J2422" s="6"/>
      <c r="K2422" s="6"/>
      <c r="L2422" s="6"/>
      <c r="M2422" s="6"/>
      <c r="N2422" s="6"/>
      <c r="O2422" s="6"/>
      <c r="P2422" s="6"/>
      <c r="Q2422" s="6"/>
      <c r="R2422" s="6"/>
      <c r="S2422" s="6"/>
      <c r="T2422" s="6"/>
      <c r="U2422" s="6"/>
      <c r="V2422" s="6"/>
      <c r="W2422" s="6"/>
      <c r="X2422" s="6"/>
      <c r="Y2422" s="6"/>
      <c r="Z2422" s="6"/>
      <c r="AA2422" s="6"/>
      <c r="AB2422" s="6"/>
      <c r="AC2422" s="6"/>
      <c r="AD2422" s="6"/>
      <c r="AE2422" s="6"/>
      <c r="AF2422" s="6"/>
      <c r="AG2422" s="6"/>
      <c r="AH2422" s="6"/>
      <c r="AI2422" s="6"/>
      <c r="AJ2422" s="6"/>
      <c r="AK2422" s="6"/>
      <c r="AL2422" s="6"/>
      <c r="AM2422" s="6"/>
    </row>
    <row r="2423">
      <c r="A2423" s="6"/>
      <c r="B2423" s="6"/>
      <c r="C2423" s="6"/>
      <c r="D2423" s="6"/>
      <c r="E2423" s="6"/>
      <c r="F2423" s="6"/>
      <c r="G2423" s="6"/>
      <c r="H2423" s="6"/>
      <c r="I2423" s="6"/>
      <c r="J2423" s="6"/>
      <c r="K2423" s="6"/>
      <c r="L2423" s="6"/>
      <c r="M2423" s="6"/>
      <c r="N2423" s="6"/>
      <c r="O2423" s="6"/>
      <c r="P2423" s="6"/>
      <c r="Q2423" s="6"/>
      <c r="R2423" s="6"/>
      <c r="S2423" s="6"/>
      <c r="T2423" s="6"/>
      <c r="U2423" s="6"/>
      <c r="V2423" s="6"/>
      <c r="W2423" s="6"/>
      <c r="X2423" s="6"/>
      <c r="Y2423" s="6"/>
      <c r="Z2423" s="6"/>
      <c r="AA2423" s="6"/>
      <c r="AB2423" s="6"/>
      <c r="AC2423" s="6"/>
      <c r="AD2423" s="6"/>
      <c r="AE2423" s="6"/>
      <c r="AF2423" s="6"/>
      <c r="AG2423" s="6"/>
      <c r="AH2423" s="6"/>
      <c r="AI2423" s="6"/>
      <c r="AJ2423" s="6"/>
      <c r="AK2423" s="6"/>
      <c r="AL2423" s="6"/>
      <c r="AM2423" s="6"/>
    </row>
    <row r="2424">
      <c r="A2424" s="6"/>
      <c r="B2424" s="6"/>
      <c r="C2424" s="6"/>
      <c r="D2424" s="6"/>
      <c r="E2424" s="6"/>
      <c r="F2424" s="6"/>
      <c r="G2424" s="6"/>
      <c r="H2424" s="6"/>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c r="AG2424" s="6"/>
      <c r="AH2424" s="6"/>
      <c r="AI2424" s="6"/>
      <c r="AJ2424" s="6"/>
      <c r="AK2424" s="6"/>
      <c r="AL2424" s="6"/>
      <c r="AM2424" s="6"/>
    </row>
    <row r="2425">
      <c r="A2425" s="6"/>
      <c r="B2425" s="6"/>
      <c r="C2425" s="6"/>
      <c r="D2425" s="6"/>
      <c r="E2425" s="6"/>
      <c r="F2425" s="6"/>
      <c r="G2425" s="6"/>
      <c r="H2425" s="6"/>
      <c r="I2425" s="6"/>
      <c r="J2425" s="6"/>
      <c r="K2425" s="6"/>
      <c r="L2425" s="6"/>
      <c r="M2425" s="6"/>
      <c r="N2425" s="6"/>
      <c r="O2425" s="6"/>
      <c r="P2425" s="6"/>
      <c r="Q2425" s="6"/>
      <c r="R2425" s="6"/>
      <c r="S2425" s="6"/>
      <c r="T2425" s="6"/>
      <c r="U2425" s="6"/>
      <c r="V2425" s="6"/>
      <c r="W2425" s="6"/>
      <c r="X2425" s="6"/>
      <c r="Y2425" s="6"/>
      <c r="Z2425" s="6"/>
      <c r="AA2425" s="6"/>
      <c r="AB2425" s="6"/>
      <c r="AC2425" s="6"/>
      <c r="AD2425" s="6"/>
      <c r="AE2425" s="6"/>
      <c r="AF2425" s="6"/>
      <c r="AG2425" s="6"/>
      <c r="AH2425" s="6"/>
      <c r="AI2425" s="6"/>
      <c r="AJ2425" s="6"/>
      <c r="AK2425" s="6"/>
      <c r="AL2425" s="6"/>
      <c r="AM2425" s="6"/>
    </row>
    <row r="2426">
      <c r="A2426" s="6"/>
      <c r="B2426" s="6"/>
      <c r="C2426" s="6"/>
      <c r="D2426" s="6"/>
      <c r="E2426" s="6"/>
      <c r="F2426" s="6"/>
      <c r="G2426" s="6"/>
      <c r="H2426" s="6"/>
      <c r="I2426" s="6"/>
      <c r="J2426" s="6"/>
      <c r="K2426" s="6"/>
      <c r="L2426" s="6"/>
      <c r="M2426" s="6"/>
      <c r="N2426" s="6"/>
      <c r="O2426" s="6"/>
      <c r="P2426" s="6"/>
      <c r="Q2426" s="6"/>
      <c r="R2426" s="6"/>
      <c r="S2426" s="6"/>
      <c r="T2426" s="6"/>
      <c r="U2426" s="6"/>
      <c r="V2426" s="6"/>
      <c r="W2426" s="6"/>
      <c r="X2426" s="6"/>
      <c r="Y2426" s="6"/>
      <c r="Z2426" s="6"/>
      <c r="AA2426" s="6"/>
      <c r="AB2426" s="6"/>
      <c r="AC2426" s="6"/>
      <c r="AD2426" s="6"/>
      <c r="AE2426" s="6"/>
      <c r="AF2426" s="6"/>
      <c r="AG2426" s="6"/>
      <c r="AH2426" s="6"/>
      <c r="AI2426" s="6"/>
      <c r="AJ2426" s="6"/>
      <c r="AK2426" s="6"/>
      <c r="AL2426" s="6"/>
      <c r="AM2426" s="6"/>
    </row>
    <row r="2427">
      <c r="A2427" s="6"/>
      <c r="B2427" s="6"/>
      <c r="C2427" s="6"/>
      <c r="D2427" s="6"/>
      <c r="E2427" s="6"/>
      <c r="F2427" s="6"/>
      <c r="G2427" s="6"/>
      <c r="H2427" s="6"/>
      <c r="I2427" s="6"/>
      <c r="J2427" s="6"/>
      <c r="K2427" s="6"/>
      <c r="L2427" s="6"/>
      <c r="M2427" s="6"/>
      <c r="N2427" s="6"/>
      <c r="O2427" s="6"/>
      <c r="P2427" s="6"/>
      <c r="Q2427" s="6"/>
      <c r="R2427" s="6"/>
      <c r="S2427" s="6"/>
      <c r="T2427" s="6"/>
      <c r="U2427" s="6"/>
      <c r="V2427" s="6"/>
      <c r="W2427" s="6"/>
      <c r="X2427" s="6"/>
      <c r="Y2427" s="6"/>
      <c r="Z2427" s="6"/>
      <c r="AA2427" s="6"/>
      <c r="AB2427" s="6"/>
      <c r="AC2427" s="6"/>
      <c r="AD2427" s="6"/>
      <c r="AE2427" s="6"/>
      <c r="AF2427" s="6"/>
      <c r="AG2427" s="6"/>
      <c r="AH2427" s="6"/>
      <c r="AI2427" s="6"/>
      <c r="AJ2427" s="6"/>
      <c r="AK2427" s="6"/>
      <c r="AL2427" s="6"/>
      <c r="AM2427" s="6"/>
    </row>
    <row r="2428">
      <c r="A2428" s="6"/>
      <c r="B2428" s="6"/>
      <c r="C2428" s="6"/>
      <c r="D2428" s="6"/>
      <c r="E2428" s="6"/>
      <c r="F2428" s="6"/>
      <c r="G2428" s="6"/>
      <c r="H2428" s="6"/>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c r="AG2428" s="6"/>
      <c r="AH2428" s="6"/>
      <c r="AI2428" s="6"/>
      <c r="AJ2428" s="6"/>
      <c r="AK2428" s="6"/>
      <c r="AL2428" s="6"/>
      <c r="AM2428" s="6"/>
    </row>
    <row r="2429">
      <c r="A2429" s="6"/>
      <c r="B2429" s="6"/>
      <c r="C2429" s="6"/>
      <c r="D2429" s="6"/>
      <c r="E2429" s="6"/>
      <c r="F2429" s="6"/>
      <c r="G2429" s="6"/>
      <c r="H2429" s="6"/>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c r="AG2429" s="6"/>
      <c r="AH2429" s="6"/>
      <c r="AI2429" s="6"/>
      <c r="AJ2429" s="6"/>
      <c r="AK2429" s="6"/>
      <c r="AL2429" s="6"/>
      <c r="AM2429" s="6"/>
    </row>
    <row r="2430">
      <c r="A2430" s="6"/>
      <c r="B2430" s="6"/>
      <c r="C2430" s="6"/>
      <c r="D2430" s="6"/>
      <c r="E2430" s="6"/>
      <c r="F2430" s="6"/>
      <c r="G2430" s="6"/>
      <c r="H2430" s="6"/>
      <c r="I2430" s="6"/>
      <c r="J2430" s="6"/>
      <c r="K2430" s="6"/>
      <c r="L2430" s="6"/>
      <c r="M2430" s="6"/>
      <c r="N2430" s="6"/>
      <c r="O2430" s="6"/>
      <c r="P2430" s="6"/>
      <c r="Q2430" s="6"/>
      <c r="R2430" s="6"/>
      <c r="S2430" s="6"/>
      <c r="T2430" s="6"/>
      <c r="U2430" s="6"/>
      <c r="V2430" s="6"/>
      <c r="W2430" s="6"/>
      <c r="X2430" s="6"/>
      <c r="Y2430" s="6"/>
      <c r="Z2430" s="6"/>
      <c r="AA2430" s="6"/>
      <c r="AB2430" s="6"/>
      <c r="AC2430" s="6"/>
      <c r="AD2430" s="6"/>
      <c r="AE2430" s="6"/>
      <c r="AF2430" s="6"/>
      <c r="AG2430" s="6"/>
      <c r="AH2430" s="6"/>
      <c r="AI2430" s="6"/>
      <c r="AJ2430" s="6"/>
      <c r="AK2430" s="6"/>
      <c r="AL2430" s="6"/>
      <c r="AM2430" s="6"/>
    </row>
    <row r="2431">
      <c r="A2431" s="6"/>
      <c r="B2431" s="6"/>
      <c r="C2431" s="6"/>
      <c r="D2431" s="6"/>
      <c r="E2431" s="6"/>
      <c r="F2431" s="6"/>
      <c r="G2431" s="6"/>
      <c r="H2431" s="6"/>
      <c r="I2431" s="6"/>
      <c r="J2431" s="6"/>
      <c r="K2431" s="6"/>
      <c r="L2431" s="6"/>
      <c r="M2431" s="6"/>
      <c r="N2431" s="6"/>
      <c r="O2431" s="6"/>
      <c r="P2431" s="6"/>
      <c r="Q2431" s="6"/>
      <c r="R2431" s="6"/>
      <c r="S2431" s="6"/>
      <c r="T2431" s="6"/>
      <c r="U2431" s="6"/>
      <c r="V2431" s="6"/>
      <c r="W2431" s="6"/>
      <c r="X2431" s="6"/>
      <c r="Y2431" s="6"/>
      <c r="Z2431" s="6"/>
      <c r="AA2431" s="6"/>
      <c r="AB2431" s="6"/>
      <c r="AC2431" s="6"/>
      <c r="AD2431" s="6"/>
      <c r="AE2431" s="6"/>
      <c r="AF2431" s="6"/>
      <c r="AG2431" s="6"/>
      <c r="AH2431" s="6"/>
      <c r="AI2431" s="6"/>
      <c r="AJ2431" s="6"/>
      <c r="AK2431" s="6"/>
      <c r="AL2431" s="6"/>
      <c r="AM2431" s="6"/>
    </row>
    <row r="2432">
      <c r="A2432" s="6"/>
      <c r="B2432" s="6"/>
      <c r="C2432" s="6"/>
      <c r="D2432" s="6"/>
      <c r="E2432" s="6"/>
      <c r="F2432" s="6"/>
      <c r="G2432" s="6"/>
      <c r="H2432" s="6"/>
      <c r="I2432" s="6"/>
      <c r="J2432" s="6"/>
      <c r="K2432" s="6"/>
      <c r="L2432" s="6"/>
      <c r="M2432" s="6"/>
      <c r="N2432" s="6"/>
      <c r="O2432" s="6"/>
      <c r="P2432" s="6"/>
      <c r="Q2432" s="6"/>
      <c r="R2432" s="6"/>
      <c r="S2432" s="6"/>
      <c r="T2432" s="6"/>
      <c r="U2432" s="6"/>
      <c r="V2432" s="6"/>
      <c r="W2432" s="6"/>
      <c r="X2432" s="6"/>
      <c r="Y2432" s="6"/>
      <c r="Z2432" s="6"/>
      <c r="AA2432" s="6"/>
      <c r="AB2432" s="6"/>
      <c r="AC2432" s="6"/>
      <c r="AD2432" s="6"/>
      <c r="AE2432" s="6"/>
      <c r="AF2432" s="6"/>
      <c r="AG2432" s="6"/>
      <c r="AH2432" s="6"/>
      <c r="AI2432" s="6"/>
      <c r="AJ2432" s="6"/>
      <c r="AK2432" s="6"/>
      <c r="AL2432" s="6"/>
      <c r="AM2432" s="6"/>
    </row>
    <row r="2433">
      <c r="A2433" s="6"/>
      <c r="B2433" s="6"/>
      <c r="C2433" s="6"/>
      <c r="D2433" s="6"/>
      <c r="E2433" s="6"/>
      <c r="F2433" s="6"/>
      <c r="G2433" s="6"/>
      <c r="H2433" s="6"/>
      <c r="I2433" s="6"/>
      <c r="J2433" s="6"/>
      <c r="K2433" s="6"/>
      <c r="L2433" s="6"/>
      <c r="M2433" s="6"/>
      <c r="N2433" s="6"/>
      <c r="O2433" s="6"/>
      <c r="P2433" s="6"/>
      <c r="Q2433" s="6"/>
      <c r="R2433" s="6"/>
      <c r="S2433" s="6"/>
      <c r="T2433" s="6"/>
      <c r="U2433" s="6"/>
      <c r="V2433" s="6"/>
      <c r="W2433" s="6"/>
      <c r="X2433" s="6"/>
      <c r="Y2433" s="6"/>
      <c r="Z2433" s="6"/>
      <c r="AA2433" s="6"/>
      <c r="AB2433" s="6"/>
      <c r="AC2433" s="6"/>
      <c r="AD2433" s="6"/>
      <c r="AE2433" s="6"/>
      <c r="AF2433" s="6"/>
      <c r="AG2433" s="6"/>
      <c r="AH2433" s="6"/>
      <c r="AI2433" s="6"/>
      <c r="AJ2433" s="6"/>
      <c r="AK2433" s="6"/>
      <c r="AL2433" s="6"/>
      <c r="AM2433" s="6"/>
    </row>
    <row r="2434">
      <c r="A2434" s="6"/>
      <c r="B2434" s="6"/>
      <c r="C2434" s="6"/>
      <c r="D2434" s="6"/>
      <c r="E2434" s="6"/>
      <c r="F2434" s="6"/>
      <c r="G2434" s="6"/>
      <c r="H2434" s="6"/>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c r="AG2434" s="6"/>
      <c r="AH2434" s="6"/>
      <c r="AI2434" s="6"/>
      <c r="AJ2434" s="6"/>
      <c r="AK2434" s="6"/>
      <c r="AL2434" s="6"/>
      <c r="AM2434" s="6"/>
    </row>
    <row r="2435">
      <c r="A2435" s="6"/>
      <c r="B2435" s="6"/>
      <c r="C2435" s="6"/>
      <c r="D2435" s="6"/>
      <c r="E2435" s="6"/>
      <c r="F2435" s="6"/>
      <c r="G2435" s="6"/>
      <c r="H2435" s="6"/>
      <c r="I2435" s="6"/>
      <c r="J2435" s="6"/>
      <c r="K2435" s="6"/>
      <c r="L2435" s="6"/>
      <c r="M2435" s="6"/>
      <c r="N2435" s="6"/>
      <c r="O2435" s="6"/>
      <c r="P2435" s="6"/>
      <c r="Q2435" s="6"/>
      <c r="R2435" s="6"/>
      <c r="S2435" s="6"/>
      <c r="T2435" s="6"/>
      <c r="U2435" s="6"/>
      <c r="V2435" s="6"/>
      <c r="W2435" s="6"/>
      <c r="X2435" s="6"/>
      <c r="Y2435" s="6"/>
      <c r="Z2435" s="6"/>
      <c r="AA2435" s="6"/>
      <c r="AB2435" s="6"/>
      <c r="AC2435" s="6"/>
      <c r="AD2435" s="6"/>
      <c r="AE2435" s="6"/>
      <c r="AF2435" s="6"/>
      <c r="AG2435" s="6"/>
      <c r="AH2435" s="6"/>
      <c r="AI2435" s="6"/>
      <c r="AJ2435" s="6"/>
      <c r="AK2435" s="6"/>
      <c r="AL2435" s="6"/>
      <c r="AM2435" s="6"/>
    </row>
    <row r="2436">
      <c r="A2436" s="6"/>
      <c r="B2436" s="6"/>
      <c r="C2436" s="6"/>
      <c r="D2436" s="6"/>
      <c r="E2436" s="6"/>
      <c r="F2436" s="6"/>
      <c r="G2436" s="6"/>
      <c r="H2436" s="6"/>
      <c r="I2436" s="6"/>
      <c r="J2436" s="6"/>
      <c r="K2436" s="6"/>
      <c r="L2436" s="6"/>
      <c r="M2436" s="6"/>
      <c r="N2436" s="6"/>
      <c r="O2436" s="6"/>
      <c r="P2436" s="6"/>
      <c r="Q2436" s="6"/>
      <c r="R2436" s="6"/>
      <c r="S2436" s="6"/>
      <c r="T2436" s="6"/>
      <c r="U2436" s="6"/>
      <c r="V2436" s="6"/>
      <c r="W2436" s="6"/>
      <c r="X2436" s="6"/>
      <c r="Y2436" s="6"/>
      <c r="Z2436" s="6"/>
      <c r="AA2436" s="6"/>
      <c r="AB2436" s="6"/>
      <c r="AC2436" s="6"/>
      <c r="AD2436" s="6"/>
      <c r="AE2436" s="6"/>
      <c r="AF2436" s="6"/>
      <c r="AG2436" s="6"/>
      <c r="AH2436" s="6"/>
      <c r="AI2436" s="6"/>
      <c r="AJ2436" s="6"/>
      <c r="AK2436" s="6"/>
      <c r="AL2436" s="6"/>
      <c r="AM2436" s="6"/>
    </row>
    <row r="2437">
      <c r="A2437" s="6"/>
      <c r="B2437" s="6"/>
      <c r="C2437" s="6"/>
      <c r="D2437" s="6"/>
      <c r="E2437" s="6"/>
      <c r="F2437" s="6"/>
      <c r="G2437" s="6"/>
      <c r="H2437" s="6"/>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c r="AG2437" s="6"/>
      <c r="AH2437" s="6"/>
      <c r="AI2437" s="6"/>
      <c r="AJ2437" s="6"/>
      <c r="AK2437" s="6"/>
      <c r="AL2437" s="6"/>
      <c r="AM2437" s="6"/>
    </row>
    <row r="2438">
      <c r="A2438" s="6"/>
      <c r="B2438" s="6"/>
      <c r="C2438" s="6"/>
      <c r="D2438" s="6"/>
      <c r="E2438" s="6"/>
      <c r="F2438" s="6"/>
      <c r="G2438" s="6"/>
      <c r="H2438" s="6"/>
      <c r="I2438" s="6"/>
      <c r="J2438" s="6"/>
      <c r="K2438" s="6"/>
      <c r="L2438" s="6"/>
      <c r="M2438" s="6"/>
      <c r="N2438" s="6"/>
      <c r="O2438" s="6"/>
      <c r="P2438" s="6"/>
      <c r="Q2438" s="6"/>
      <c r="R2438" s="6"/>
      <c r="S2438" s="6"/>
      <c r="T2438" s="6"/>
      <c r="U2438" s="6"/>
      <c r="V2438" s="6"/>
      <c r="W2438" s="6"/>
      <c r="X2438" s="6"/>
      <c r="Y2438" s="6"/>
      <c r="Z2438" s="6"/>
      <c r="AA2438" s="6"/>
      <c r="AB2438" s="6"/>
      <c r="AC2438" s="6"/>
      <c r="AD2438" s="6"/>
      <c r="AE2438" s="6"/>
      <c r="AF2438" s="6"/>
      <c r="AG2438" s="6"/>
      <c r="AH2438" s="6"/>
      <c r="AI2438" s="6"/>
      <c r="AJ2438" s="6"/>
      <c r="AK2438" s="6"/>
      <c r="AL2438" s="6"/>
      <c r="AM2438" s="6"/>
    </row>
    <row r="2439">
      <c r="A2439" s="6"/>
      <c r="B2439" s="6"/>
      <c r="C2439" s="6"/>
      <c r="D2439" s="6"/>
      <c r="E2439" s="6"/>
      <c r="F2439" s="6"/>
      <c r="G2439" s="6"/>
      <c r="H2439" s="6"/>
      <c r="I2439" s="6"/>
      <c r="J2439" s="6"/>
      <c r="K2439" s="6"/>
      <c r="L2439" s="6"/>
      <c r="M2439" s="6"/>
      <c r="N2439" s="6"/>
      <c r="O2439" s="6"/>
      <c r="P2439" s="6"/>
      <c r="Q2439" s="6"/>
      <c r="R2439" s="6"/>
      <c r="S2439" s="6"/>
      <c r="T2439" s="6"/>
      <c r="U2439" s="6"/>
      <c r="V2439" s="6"/>
      <c r="W2439" s="6"/>
      <c r="X2439" s="6"/>
      <c r="Y2439" s="6"/>
      <c r="Z2439" s="6"/>
      <c r="AA2439" s="6"/>
      <c r="AB2439" s="6"/>
      <c r="AC2439" s="6"/>
      <c r="AD2439" s="6"/>
      <c r="AE2439" s="6"/>
      <c r="AF2439" s="6"/>
      <c r="AG2439" s="6"/>
      <c r="AH2439" s="6"/>
      <c r="AI2439" s="6"/>
      <c r="AJ2439" s="6"/>
      <c r="AK2439" s="6"/>
      <c r="AL2439" s="6"/>
      <c r="AM2439" s="6"/>
    </row>
    <row r="2440">
      <c r="A2440" s="6"/>
      <c r="B2440" s="6"/>
      <c r="C2440" s="6"/>
      <c r="D2440" s="6"/>
      <c r="E2440" s="6"/>
      <c r="F2440" s="6"/>
      <c r="G2440" s="6"/>
      <c r="H2440" s="6"/>
      <c r="I2440" s="6"/>
      <c r="J2440" s="6"/>
      <c r="K2440" s="6"/>
      <c r="L2440" s="6"/>
      <c r="M2440" s="6"/>
      <c r="N2440" s="6"/>
      <c r="O2440" s="6"/>
      <c r="P2440" s="6"/>
      <c r="Q2440" s="6"/>
      <c r="R2440" s="6"/>
      <c r="S2440" s="6"/>
      <c r="T2440" s="6"/>
      <c r="U2440" s="6"/>
      <c r="V2440" s="6"/>
      <c r="W2440" s="6"/>
      <c r="X2440" s="6"/>
      <c r="Y2440" s="6"/>
      <c r="Z2440" s="6"/>
      <c r="AA2440" s="6"/>
      <c r="AB2440" s="6"/>
      <c r="AC2440" s="6"/>
      <c r="AD2440" s="6"/>
      <c r="AE2440" s="6"/>
      <c r="AF2440" s="6"/>
      <c r="AG2440" s="6"/>
      <c r="AH2440" s="6"/>
      <c r="AI2440" s="6"/>
      <c r="AJ2440" s="6"/>
      <c r="AK2440" s="6"/>
      <c r="AL2440" s="6"/>
      <c r="AM2440" s="6"/>
    </row>
    <row r="2441">
      <c r="A2441" s="6"/>
      <c r="B2441" s="6"/>
      <c r="C2441" s="6"/>
      <c r="D2441" s="6"/>
      <c r="E2441" s="6"/>
      <c r="F2441" s="6"/>
      <c r="G2441" s="6"/>
      <c r="H2441" s="6"/>
      <c r="I2441" s="6"/>
      <c r="J2441" s="6"/>
      <c r="K2441" s="6"/>
      <c r="L2441" s="6"/>
      <c r="M2441" s="6"/>
      <c r="N2441" s="6"/>
      <c r="O2441" s="6"/>
      <c r="P2441" s="6"/>
      <c r="Q2441" s="6"/>
      <c r="R2441" s="6"/>
      <c r="S2441" s="6"/>
      <c r="T2441" s="6"/>
      <c r="U2441" s="6"/>
      <c r="V2441" s="6"/>
      <c r="W2441" s="6"/>
      <c r="X2441" s="6"/>
      <c r="Y2441" s="6"/>
      <c r="Z2441" s="6"/>
      <c r="AA2441" s="6"/>
      <c r="AB2441" s="6"/>
      <c r="AC2441" s="6"/>
      <c r="AD2441" s="6"/>
      <c r="AE2441" s="6"/>
      <c r="AF2441" s="6"/>
      <c r="AG2441" s="6"/>
      <c r="AH2441" s="6"/>
      <c r="AI2441" s="6"/>
      <c r="AJ2441" s="6"/>
      <c r="AK2441" s="6"/>
      <c r="AL2441" s="6"/>
      <c r="AM2441" s="6"/>
    </row>
    <row r="2442">
      <c r="A2442" s="6"/>
      <c r="B2442" s="6"/>
      <c r="C2442" s="6"/>
      <c r="D2442" s="6"/>
      <c r="E2442" s="6"/>
      <c r="F2442" s="6"/>
      <c r="G2442" s="6"/>
      <c r="H2442" s="6"/>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c r="AG2442" s="6"/>
      <c r="AH2442" s="6"/>
      <c r="AI2442" s="6"/>
      <c r="AJ2442" s="6"/>
      <c r="AK2442" s="6"/>
      <c r="AL2442" s="6"/>
      <c r="AM2442" s="6"/>
    </row>
    <row r="2443">
      <c r="A2443" s="6"/>
      <c r="B2443" s="6"/>
      <c r="C2443" s="6"/>
      <c r="D2443" s="6"/>
      <c r="E2443" s="6"/>
      <c r="F2443" s="6"/>
      <c r="G2443" s="6"/>
      <c r="H2443" s="6"/>
      <c r="I2443" s="6"/>
      <c r="J2443" s="6"/>
      <c r="K2443" s="6"/>
      <c r="L2443" s="6"/>
      <c r="M2443" s="6"/>
      <c r="N2443" s="6"/>
      <c r="O2443" s="6"/>
      <c r="P2443" s="6"/>
      <c r="Q2443" s="6"/>
      <c r="R2443" s="6"/>
      <c r="S2443" s="6"/>
      <c r="T2443" s="6"/>
      <c r="U2443" s="6"/>
      <c r="V2443" s="6"/>
      <c r="W2443" s="6"/>
      <c r="X2443" s="6"/>
      <c r="Y2443" s="6"/>
      <c r="Z2443" s="6"/>
      <c r="AA2443" s="6"/>
      <c r="AB2443" s="6"/>
      <c r="AC2443" s="6"/>
      <c r="AD2443" s="6"/>
      <c r="AE2443" s="6"/>
      <c r="AF2443" s="6"/>
      <c r="AG2443" s="6"/>
      <c r="AH2443" s="6"/>
      <c r="AI2443" s="6"/>
      <c r="AJ2443" s="6"/>
      <c r="AK2443" s="6"/>
      <c r="AL2443" s="6"/>
      <c r="AM2443" s="6"/>
    </row>
    <row r="2444">
      <c r="A2444" s="6"/>
      <c r="B2444" s="6"/>
      <c r="C2444" s="6"/>
      <c r="D2444" s="6"/>
      <c r="E2444" s="6"/>
      <c r="F2444" s="6"/>
      <c r="G2444" s="6"/>
      <c r="H2444" s="6"/>
      <c r="I2444" s="6"/>
      <c r="J2444" s="6"/>
      <c r="K2444" s="6"/>
      <c r="L2444" s="6"/>
      <c r="M2444" s="6"/>
      <c r="N2444" s="6"/>
      <c r="O2444" s="6"/>
      <c r="P2444" s="6"/>
      <c r="Q2444" s="6"/>
      <c r="R2444" s="6"/>
      <c r="S2444" s="6"/>
      <c r="T2444" s="6"/>
      <c r="U2444" s="6"/>
      <c r="V2444" s="6"/>
      <c r="W2444" s="6"/>
      <c r="X2444" s="6"/>
      <c r="Y2444" s="6"/>
      <c r="Z2444" s="6"/>
      <c r="AA2444" s="6"/>
      <c r="AB2444" s="6"/>
      <c r="AC2444" s="6"/>
      <c r="AD2444" s="6"/>
      <c r="AE2444" s="6"/>
      <c r="AF2444" s="6"/>
      <c r="AG2444" s="6"/>
      <c r="AH2444" s="6"/>
      <c r="AI2444" s="6"/>
      <c r="AJ2444" s="6"/>
      <c r="AK2444" s="6"/>
      <c r="AL2444" s="6"/>
      <c r="AM2444" s="6"/>
    </row>
    <row r="2445">
      <c r="A2445" s="6"/>
      <c r="B2445" s="6"/>
      <c r="C2445" s="6"/>
      <c r="D2445" s="6"/>
      <c r="E2445" s="6"/>
      <c r="F2445" s="6"/>
      <c r="G2445" s="6"/>
      <c r="H2445" s="6"/>
      <c r="I2445" s="6"/>
      <c r="J2445" s="6"/>
      <c r="K2445" s="6"/>
      <c r="L2445" s="6"/>
      <c r="M2445" s="6"/>
      <c r="N2445" s="6"/>
      <c r="O2445" s="6"/>
      <c r="P2445" s="6"/>
      <c r="Q2445" s="6"/>
      <c r="R2445" s="6"/>
      <c r="S2445" s="6"/>
      <c r="T2445" s="6"/>
      <c r="U2445" s="6"/>
      <c r="V2445" s="6"/>
      <c r="W2445" s="6"/>
      <c r="X2445" s="6"/>
      <c r="Y2445" s="6"/>
      <c r="Z2445" s="6"/>
      <c r="AA2445" s="6"/>
      <c r="AB2445" s="6"/>
      <c r="AC2445" s="6"/>
      <c r="AD2445" s="6"/>
      <c r="AE2445" s="6"/>
      <c r="AF2445" s="6"/>
      <c r="AG2445" s="6"/>
      <c r="AH2445" s="6"/>
      <c r="AI2445" s="6"/>
      <c r="AJ2445" s="6"/>
      <c r="AK2445" s="6"/>
      <c r="AL2445" s="6"/>
      <c r="AM2445" s="6"/>
    </row>
    <row r="2446">
      <c r="A2446" s="6"/>
      <c r="B2446" s="6"/>
      <c r="C2446" s="6"/>
      <c r="D2446" s="6"/>
      <c r="E2446" s="6"/>
      <c r="F2446" s="6"/>
      <c r="G2446" s="6"/>
      <c r="H2446" s="6"/>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c r="AG2446" s="6"/>
      <c r="AH2446" s="6"/>
      <c r="AI2446" s="6"/>
      <c r="AJ2446" s="6"/>
      <c r="AK2446" s="6"/>
      <c r="AL2446" s="6"/>
      <c r="AM2446" s="6"/>
    </row>
    <row r="2447">
      <c r="A2447" s="6"/>
      <c r="B2447" s="6"/>
      <c r="C2447" s="6"/>
      <c r="D2447" s="6"/>
      <c r="E2447" s="6"/>
      <c r="F2447" s="6"/>
      <c r="G2447" s="6"/>
      <c r="H2447" s="6"/>
      <c r="I2447" s="6"/>
      <c r="J2447" s="6"/>
      <c r="K2447" s="6"/>
      <c r="L2447" s="6"/>
      <c r="M2447" s="6"/>
      <c r="N2447" s="6"/>
      <c r="O2447" s="6"/>
      <c r="P2447" s="6"/>
      <c r="Q2447" s="6"/>
      <c r="R2447" s="6"/>
      <c r="S2447" s="6"/>
      <c r="T2447" s="6"/>
      <c r="U2447" s="6"/>
      <c r="V2447" s="6"/>
      <c r="W2447" s="6"/>
      <c r="X2447" s="6"/>
      <c r="Y2447" s="6"/>
      <c r="Z2447" s="6"/>
      <c r="AA2447" s="6"/>
      <c r="AB2447" s="6"/>
      <c r="AC2447" s="6"/>
      <c r="AD2447" s="6"/>
      <c r="AE2447" s="6"/>
      <c r="AF2447" s="6"/>
      <c r="AG2447" s="6"/>
      <c r="AH2447" s="6"/>
      <c r="AI2447" s="6"/>
      <c r="AJ2447" s="6"/>
      <c r="AK2447" s="6"/>
      <c r="AL2447" s="6"/>
      <c r="AM2447" s="6"/>
    </row>
    <row r="2448">
      <c r="A2448" s="6"/>
      <c r="B2448" s="6"/>
      <c r="C2448" s="6"/>
      <c r="D2448" s="6"/>
      <c r="E2448" s="6"/>
      <c r="F2448" s="6"/>
      <c r="G2448" s="6"/>
      <c r="H2448" s="6"/>
      <c r="I2448" s="6"/>
      <c r="J2448" s="6"/>
      <c r="K2448" s="6"/>
      <c r="L2448" s="6"/>
      <c r="M2448" s="6"/>
      <c r="N2448" s="6"/>
      <c r="O2448" s="6"/>
      <c r="P2448" s="6"/>
      <c r="Q2448" s="6"/>
      <c r="R2448" s="6"/>
      <c r="S2448" s="6"/>
      <c r="T2448" s="6"/>
      <c r="U2448" s="6"/>
      <c r="V2448" s="6"/>
      <c r="W2448" s="6"/>
      <c r="X2448" s="6"/>
      <c r="Y2448" s="6"/>
      <c r="Z2448" s="6"/>
      <c r="AA2448" s="6"/>
      <c r="AB2448" s="6"/>
      <c r="AC2448" s="6"/>
      <c r="AD2448" s="6"/>
      <c r="AE2448" s="6"/>
      <c r="AF2448" s="6"/>
      <c r="AG2448" s="6"/>
      <c r="AH2448" s="6"/>
      <c r="AI2448" s="6"/>
      <c r="AJ2448" s="6"/>
      <c r="AK2448" s="6"/>
      <c r="AL2448" s="6"/>
      <c r="AM2448" s="6"/>
    </row>
    <row r="2449">
      <c r="A2449" s="6"/>
      <c r="B2449" s="6"/>
      <c r="C2449" s="6"/>
      <c r="D2449" s="6"/>
      <c r="E2449" s="6"/>
      <c r="F2449" s="6"/>
      <c r="G2449" s="6"/>
      <c r="H2449" s="6"/>
      <c r="I2449" s="6"/>
      <c r="J2449" s="6"/>
      <c r="K2449" s="6"/>
      <c r="L2449" s="6"/>
      <c r="M2449" s="6"/>
      <c r="N2449" s="6"/>
      <c r="O2449" s="6"/>
      <c r="P2449" s="6"/>
      <c r="Q2449" s="6"/>
      <c r="R2449" s="6"/>
      <c r="S2449" s="6"/>
      <c r="T2449" s="6"/>
      <c r="U2449" s="6"/>
      <c r="V2449" s="6"/>
      <c r="W2449" s="6"/>
      <c r="X2449" s="6"/>
      <c r="Y2449" s="6"/>
      <c r="Z2449" s="6"/>
      <c r="AA2449" s="6"/>
      <c r="AB2449" s="6"/>
      <c r="AC2449" s="6"/>
      <c r="AD2449" s="6"/>
      <c r="AE2449" s="6"/>
      <c r="AF2449" s="6"/>
      <c r="AG2449" s="6"/>
      <c r="AH2449" s="6"/>
      <c r="AI2449" s="6"/>
      <c r="AJ2449" s="6"/>
      <c r="AK2449" s="6"/>
      <c r="AL2449" s="6"/>
      <c r="AM2449" s="6"/>
    </row>
    <row r="2450">
      <c r="A2450" s="6"/>
      <c r="B2450" s="6"/>
      <c r="C2450" s="6"/>
      <c r="D2450" s="6"/>
      <c r="E2450" s="6"/>
      <c r="F2450" s="6"/>
      <c r="G2450" s="6"/>
      <c r="H2450" s="6"/>
      <c r="I2450" s="6"/>
      <c r="J2450" s="6"/>
      <c r="K2450" s="6"/>
      <c r="L2450" s="6"/>
      <c r="M2450" s="6"/>
      <c r="N2450" s="6"/>
      <c r="O2450" s="6"/>
      <c r="P2450" s="6"/>
      <c r="Q2450" s="6"/>
      <c r="R2450" s="6"/>
      <c r="S2450" s="6"/>
      <c r="T2450" s="6"/>
      <c r="U2450" s="6"/>
      <c r="V2450" s="6"/>
      <c r="W2450" s="6"/>
      <c r="X2450" s="6"/>
      <c r="Y2450" s="6"/>
      <c r="Z2450" s="6"/>
      <c r="AA2450" s="6"/>
      <c r="AB2450" s="6"/>
      <c r="AC2450" s="6"/>
      <c r="AD2450" s="6"/>
      <c r="AE2450" s="6"/>
      <c r="AF2450" s="6"/>
      <c r="AG2450" s="6"/>
      <c r="AH2450" s="6"/>
      <c r="AI2450" s="6"/>
      <c r="AJ2450" s="6"/>
      <c r="AK2450" s="6"/>
      <c r="AL2450" s="6"/>
      <c r="AM2450" s="6"/>
    </row>
    <row r="2451">
      <c r="A2451" s="6"/>
      <c r="B2451" s="6"/>
      <c r="C2451" s="6"/>
      <c r="D2451" s="6"/>
      <c r="E2451" s="6"/>
      <c r="F2451" s="6"/>
      <c r="G2451" s="6"/>
      <c r="H2451" s="6"/>
      <c r="I2451" s="6"/>
      <c r="J2451" s="6"/>
      <c r="K2451" s="6"/>
      <c r="L2451" s="6"/>
      <c r="M2451" s="6"/>
      <c r="N2451" s="6"/>
      <c r="O2451" s="6"/>
      <c r="P2451" s="6"/>
      <c r="Q2451" s="6"/>
      <c r="R2451" s="6"/>
      <c r="S2451" s="6"/>
      <c r="T2451" s="6"/>
      <c r="U2451" s="6"/>
      <c r="V2451" s="6"/>
      <c r="W2451" s="6"/>
      <c r="X2451" s="6"/>
      <c r="Y2451" s="6"/>
      <c r="Z2451" s="6"/>
      <c r="AA2451" s="6"/>
      <c r="AB2451" s="6"/>
      <c r="AC2451" s="6"/>
      <c r="AD2451" s="6"/>
      <c r="AE2451" s="6"/>
      <c r="AF2451" s="6"/>
      <c r="AG2451" s="6"/>
      <c r="AH2451" s="6"/>
      <c r="AI2451" s="6"/>
      <c r="AJ2451" s="6"/>
      <c r="AK2451" s="6"/>
      <c r="AL2451" s="6"/>
      <c r="AM2451" s="6"/>
    </row>
    <row r="2452">
      <c r="A2452" s="6"/>
      <c r="B2452" s="6"/>
      <c r="C2452" s="6"/>
      <c r="D2452" s="6"/>
      <c r="E2452" s="6"/>
      <c r="F2452" s="6"/>
      <c r="G2452" s="6"/>
      <c r="H2452" s="6"/>
      <c r="I2452" s="6"/>
      <c r="J2452" s="6"/>
      <c r="K2452" s="6"/>
      <c r="L2452" s="6"/>
      <c r="M2452" s="6"/>
      <c r="N2452" s="6"/>
      <c r="O2452" s="6"/>
      <c r="P2452" s="6"/>
      <c r="Q2452" s="6"/>
      <c r="R2452" s="6"/>
      <c r="S2452" s="6"/>
      <c r="T2452" s="6"/>
      <c r="U2452" s="6"/>
      <c r="V2452" s="6"/>
      <c r="W2452" s="6"/>
      <c r="X2452" s="6"/>
      <c r="Y2452" s="6"/>
      <c r="Z2452" s="6"/>
      <c r="AA2452" s="6"/>
      <c r="AB2452" s="6"/>
      <c r="AC2452" s="6"/>
      <c r="AD2452" s="6"/>
      <c r="AE2452" s="6"/>
      <c r="AF2452" s="6"/>
      <c r="AG2452" s="6"/>
      <c r="AH2452" s="6"/>
      <c r="AI2452" s="6"/>
      <c r="AJ2452" s="6"/>
      <c r="AK2452" s="6"/>
      <c r="AL2452" s="6"/>
      <c r="AM2452" s="6"/>
    </row>
    <row r="2453">
      <c r="A2453" s="6"/>
      <c r="B2453" s="6"/>
      <c r="C2453" s="6"/>
      <c r="D2453" s="6"/>
      <c r="E2453" s="6"/>
      <c r="F2453" s="6"/>
      <c r="G2453" s="6"/>
      <c r="H2453" s="6"/>
      <c r="I2453" s="6"/>
      <c r="J2453" s="6"/>
      <c r="K2453" s="6"/>
      <c r="L2453" s="6"/>
      <c r="M2453" s="6"/>
      <c r="N2453" s="6"/>
      <c r="O2453" s="6"/>
      <c r="P2453" s="6"/>
      <c r="Q2453" s="6"/>
      <c r="R2453" s="6"/>
      <c r="S2453" s="6"/>
      <c r="T2453" s="6"/>
      <c r="U2453" s="6"/>
      <c r="V2453" s="6"/>
      <c r="W2453" s="6"/>
      <c r="X2453" s="6"/>
      <c r="Y2453" s="6"/>
      <c r="Z2453" s="6"/>
      <c r="AA2453" s="6"/>
      <c r="AB2453" s="6"/>
      <c r="AC2453" s="6"/>
      <c r="AD2453" s="6"/>
      <c r="AE2453" s="6"/>
      <c r="AF2453" s="6"/>
      <c r="AG2453" s="6"/>
      <c r="AH2453" s="6"/>
      <c r="AI2453" s="6"/>
      <c r="AJ2453" s="6"/>
      <c r="AK2453" s="6"/>
      <c r="AL2453" s="6"/>
      <c r="AM2453" s="6"/>
    </row>
    <row r="2454">
      <c r="A2454" s="6"/>
      <c r="B2454" s="6"/>
      <c r="C2454" s="6"/>
      <c r="D2454" s="6"/>
      <c r="E2454" s="6"/>
      <c r="F2454" s="6"/>
      <c r="G2454" s="6"/>
      <c r="H2454" s="6"/>
      <c r="I2454" s="6"/>
      <c r="J2454" s="6"/>
      <c r="K2454" s="6"/>
      <c r="L2454" s="6"/>
      <c r="M2454" s="6"/>
      <c r="N2454" s="6"/>
      <c r="O2454" s="6"/>
      <c r="P2454" s="6"/>
      <c r="Q2454" s="6"/>
      <c r="R2454" s="6"/>
      <c r="S2454" s="6"/>
      <c r="T2454" s="6"/>
      <c r="U2454" s="6"/>
      <c r="V2454" s="6"/>
      <c r="W2454" s="6"/>
      <c r="X2454" s="6"/>
      <c r="Y2454" s="6"/>
      <c r="Z2454" s="6"/>
      <c r="AA2454" s="6"/>
      <c r="AB2454" s="6"/>
      <c r="AC2454" s="6"/>
      <c r="AD2454" s="6"/>
      <c r="AE2454" s="6"/>
      <c r="AF2454" s="6"/>
      <c r="AG2454" s="6"/>
      <c r="AH2454" s="6"/>
      <c r="AI2454" s="6"/>
      <c r="AJ2454" s="6"/>
      <c r="AK2454" s="6"/>
      <c r="AL2454" s="6"/>
      <c r="AM2454" s="6"/>
    </row>
    <row r="2455">
      <c r="A2455" s="6"/>
      <c r="B2455" s="6"/>
      <c r="C2455" s="6"/>
      <c r="D2455" s="6"/>
      <c r="E2455" s="6"/>
      <c r="F2455" s="6"/>
      <c r="G2455" s="6"/>
      <c r="H2455" s="6"/>
      <c r="I2455" s="6"/>
      <c r="J2455" s="6"/>
      <c r="K2455" s="6"/>
      <c r="L2455" s="6"/>
      <c r="M2455" s="6"/>
      <c r="N2455" s="6"/>
      <c r="O2455" s="6"/>
      <c r="P2455" s="6"/>
      <c r="Q2455" s="6"/>
      <c r="R2455" s="6"/>
      <c r="S2455" s="6"/>
      <c r="T2455" s="6"/>
      <c r="U2455" s="6"/>
      <c r="V2455" s="6"/>
      <c r="W2455" s="6"/>
      <c r="X2455" s="6"/>
      <c r="Y2455" s="6"/>
      <c r="Z2455" s="6"/>
      <c r="AA2455" s="6"/>
      <c r="AB2455" s="6"/>
      <c r="AC2455" s="6"/>
      <c r="AD2455" s="6"/>
      <c r="AE2455" s="6"/>
      <c r="AF2455" s="6"/>
      <c r="AG2455" s="6"/>
      <c r="AH2455" s="6"/>
      <c r="AI2455" s="6"/>
      <c r="AJ2455" s="6"/>
      <c r="AK2455" s="6"/>
      <c r="AL2455" s="6"/>
      <c r="AM2455" s="6"/>
    </row>
    <row r="2456">
      <c r="A2456" s="6"/>
      <c r="B2456" s="6"/>
      <c r="C2456" s="6"/>
      <c r="D2456" s="6"/>
      <c r="E2456" s="6"/>
      <c r="F2456" s="6"/>
      <c r="G2456" s="6"/>
      <c r="H2456" s="6"/>
      <c r="I2456" s="6"/>
      <c r="J2456" s="6"/>
      <c r="K2456" s="6"/>
      <c r="L2456" s="6"/>
      <c r="M2456" s="6"/>
      <c r="N2456" s="6"/>
      <c r="O2456" s="6"/>
      <c r="P2456" s="6"/>
      <c r="Q2456" s="6"/>
      <c r="R2456" s="6"/>
      <c r="S2456" s="6"/>
      <c r="T2456" s="6"/>
      <c r="U2456" s="6"/>
      <c r="V2456" s="6"/>
      <c r="W2456" s="6"/>
      <c r="X2456" s="6"/>
      <c r="Y2456" s="6"/>
      <c r="Z2456" s="6"/>
      <c r="AA2456" s="6"/>
      <c r="AB2456" s="6"/>
      <c r="AC2456" s="6"/>
      <c r="AD2456" s="6"/>
      <c r="AE2456" s="6"/>
      <c r="AF2456" s="6"/>
      <c r="AG2456" s="6"/>
      <c r="AH2456" s="6"/>
      <c r="AI2456" s="6"/>
      <c r="AJ2456" s="6"/>
      <c r="AK2456" s="6"/>
      <c r="AL2456" s="6"/>
      <c r="AM2456" s="6"/>
    </row>
    <row r="2457">
      <c r="A2457" s="6"/>
      <c r="B2457" s="6"/>
      <c r="C2457" s="6"/>
      <c r="D2457" s="6"/>
      <c r="E2457" s="6"/>
      <c r="F2457" s="6"/>
      <c r="G2457" s="6"/>
      <c r="H2457" s="6"/>
      <c r="I2457" s="6"/>
      <c r="J2457" s="6"/>
      <c r="K2457" s="6"/>
      <c r="L2457" s="6"/>
      <c r="M2457" s="6"/>
      <c r="N2457" s="6"/>
      <c r="O2457" s="6"/>
      <c r="P2457" s="6"/>
      <c r="Q2457" s="6"/>
      <c r="R2457" s="6"/>
      <c r="S2457" s="6"/>
      <c r="T2457" s="6"/>
      <c r="U2457" s="6"/>
      <c r="V2457" s="6"/>
      <c r="W2457" s="6"/>
      <c r="X2457" s="6"/>
      <c r="Y2457" s="6"/>
      <c r="Z2457" s="6"/>
      <c r="AA2457" s="6"/>
      <c r="AB2457" s="6"/>
      <c r="AC2457" s="6"/>
      <c r="AD2457" s="6"/>
      <c r="AE2457" s="6"/>
      <c r="AF2457" s="6"/>
      <c r="AG2457" s="6"/>
      <c r="AH2457" s="6"/>
      <c r="AI2457" s="6"/>
      <c r="AJ2457" s="6"/>
      <c r="AK2457" s="6"/>
      <c r="AL2457" s="6"/>
      <c r="AM2457" s="6"/>
    </row>
    <row r="2458">
      <c r="A2458" s="6"/>
      <c r="B2458" s="6"/>
      <c r="C2458" s="6"/>
      <c r="D2458" s="6"/>
      <c r="E2458" s="6"/>
      <c r="F2458" s="6"/>
      <c r="G2458" s="6"/>
      <c r="H2458" s="6"/>
      <c r="I2458" s="6"/>
      <c r="J2458" s="6"/>
      <c r="K2458" s="6"/>
      <c r="L2458" s="6"/>
      <c r="M2458" s="6"/>
      <c r="N2458" s="6"/>
      <c r="O2458" s="6"/>
      <c r="P2458" s="6"/>
      <c r="Q2458" s="6"/>
      <c r="R2458" s="6"/>
      <c r="S2458" s="6"/>
      <c r="T2458" s="6"/>
      <c r="U2458" s="6"/>
      <c r="V2458" s="6"/>
      <c r="W2458" s="6"/>
      <c r="X2458" s="6"/>
      <c r="Y2458" s="6"/>
      <c r="Z2458" s="6"/>
      <c r="AA2458" s="6"/>
      <c r="AB2458" s="6"/>
      <c r="AC2458" s="6"/>
      <c r="AD2458" s="6"/>
      <c r="AE2458" s="6"/>
      <c r="AF2458" s="6"/>
      <c r="AG2458" s="6"/>
      <c r="AH2458" s="6"/>
      <c r="AI2458" s="6"/>
      <c r="AJ2458" s="6"/>
      <c r="AK2458" s="6"/>
      <c r="AL2458" s="6"/>
      <c r="AM2458" s="6"/>
    </row>
    <row r="2459">
      <c r="A2459" s="6"/>
      <c r="B2459" s="6"/>
      <c r="C2459" s="6"/>
      <c r="D2459" s="6"/>
      <c r="E2459" s="6"/>
      <c r="F2459" s="6"/>
      <c r="G2459" s="6"/>
      <c r="H2459" s="6"/>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c r="AG2459" s="6"/>
      <c r="AH2459" s="6"/>
      <c r="AI2459" s="6"/>
      <c r="AJ2459" s="6"/>
      <c r="AK2459" s="6"/>
      <c r="AL2459" s="6"/>
      <c r="AM2459" s="6"/>
    </row>
    <row r="2460">
      <c r="A2460" s="6"/>
      <c r="B2460" s="6"/>
      <c r="C2460" s="6"/>
      <c r="D2460" s="6"/>
      <c r="E2460" s="6"/>
      <c r="F2460" s="6"/>
      <c r="G2460" s="6"/>
      <c r="H2460" s="6"/>
      <c r="I2460" s="6"/>
      <c r="J2460" s="6"/>
      <c r="K2460" s="6"/>
      <c r="L2460" s="6"/>
      <c r="M2460" s="6"/>
      <c r="N2460" s="6"/>
      <c r="O2460" s="6"/>
      <c r="P2460" s="6"/>
      <c r="Q2460" s="6"/>
      <c r="R2460" s="6"/>
      <c r="S2460" s="6"/>
      <c r="T2460" s="6"/>
      <c r="U2460" s="6"/>
      <c r="V2460" s="6"/>
      <c r="W2460" s="6"/>
      <c r="X2460" s="6"/>
      <c r="Y2460" s="6"/>
      <c r="Z2460" s="6"/>
      <c r="AA2460" s="6"/>
      <c r="AB2460" s="6"/>
      <c r="AC2460" s="6"/>
      <c r="AD2460" s="6"/>
      <c r="AE2460" s="6"/>
      <c r="AF2460" s="6"/>
      <c r="AG2460" s="6"/>
      <c r="AH2460" s="6"/>
      <c r="AI2460" s="6"/>
      <c r="AJ2460" s="6"/>
      <c r="AK2460" s="6"/>
      <c r="AL2460" s="6"/>
      <c r="AM2460" s="6"/>
    </row>
    <row r="2461">
      <c r="A2461" s="6"/>
      <c r="B2461" s="6"/>
      <c r="C2461" s="6"/>
      <c r="D2461" s="6"/>
      <c r="E2461" s="6"/>
      <c r="F2461" s="6"/>
      <c r="G2461" s="6"/>
      <c r="H2461" s="6"/>
      <c r="I2461" s="6"/>
      <c r="J2461" s="6"/>
      <c r="K2461" s="6"/>
      <c r="L2461" s="6"/>
      <c r="M2461" s="6"/>
      <c r="N2461" s="6"/>
      <c r="O2461" s="6"/>
      <c r="P2461" s="6"/>
      <c r="Q2461" s="6"/>
      <c r="R2461" s="6"/>
      <c r="S2461" s="6"/>
      <c r="T2461" s="6"/>
      <c r="U2461" s="6"/>
      <c r="V2461" s="6"/>
      <c r="W2461" s="6"/>
      <c r="X2461" s="6"/>
      <c r="Y2461" s="6"/>
      <c r="Z2461" s="6"/>
      <c r="AA2461" s="6"/>
      <c r="AB2461" s="6"/>
      <c r="AC2461" s="6"/>
      <c r="AD2461" s="6"/>
      <c r="AE2461" s="6"/>
      <c r="AF2461" s="6"/>
      <c r="AG2461" s="6"/>
      <c r="AH2461" s="6"/>
      <c r="AI2461" s="6"/>
      <c r="AJ2461" s="6"/>
      <c r="AK2461" s="6"/>
      <c r="AL2461" s="6"/>
      <c r="AM2461" s="6"/>
    </row>
    <row r="2462">
      <c r="A2462" s="6"/>
      <c r="B2462" s="6"/>
      <c r="C2462" s="6"/>
      <c r="D2462" s="6"/>
      <c r="E2462" s="6"/>
      <c r="F2462" s="6"/>
      <c r="G2462" s="6"/>
      <c r="H2462" s="6"/>
      <c r="I2462" s="6"/>
      <c r="J2462" s="6"/>
      <c r="K2462" s="6"/>
      <c r="L2462" s="6"/>
      <c r="M2462" s="6"/>
      <c r="N2462" s="6"/>
      <c r="O2462" s="6"/>
      <c r="P2462" s="6"/>
      <c r="Q2462" s="6"/>
      <c r="R2462" s="6"/>
      <c r="S2462" s="6"/>
      <c r="T2462" s="6"/>
      <c r="U2462" s="6"/>
      <c r="V2462" s="6"/>
      <c r="W2462" s="6"/>
      <c r="X2462" s="6"/>
      <c r="Y2462" s="6"/>
      <c r="Z2462" s="6"/>
      <c r="AA2462" s="6"/>
      <c r="AB2462" s="6"/>
      <c r="AC2462" s="6"/>
      <c r="AD2462" s="6"/>
      <c r="AE2462" s="6"/>
      <c r="AF2462" s="6"/>
      <c r="AG2462" s="6"/>
      <c r="AH2462" s="6"/>
      <c r="AI2462" s="6"/>
      <c r="AJ2462" s="6"/>
      <c r="AK2462" s="6"/>
      <c r="AL2462" s="6"/>
      <c r="AM2462" s="6"/>
    </row>
    <row r="2463">
      <c r="A2463" s="6"/>
      <c r="B2463" s="6"/>
      <c r="C2463" s="6"/>
      <c r="D2463" s="6"/>
      <c r="E2463" s="6"/>
      <c r="F2463" s="6"/>
      <c r="G2463" s="6"/>
      <c r="H2463" s="6"/>
      <c r="I2463" s="6"/>
      <c r="J2463" s="6"/>
      <c r="K2463" s="6"/>
      <c r="L2463" s="6"/>
      <c r="M2463" s="6"/>
      <c r="N2463" s="6"/>
      <c r="O2463" s="6"/>
      <c r="P2463" s="6"/>
      <c r="Q2463" s="6"/>
      <c r="R2463" s="6"/>
      <c r="S2463" s="6"/>
      <c r="T2463" s="6"/>
      <c r="U2463" s="6"/>
      <c r="V2463" s="6"/>
      <c r="W2463" s="6"/>
      <c r="X2463" s="6"/>
      <c r="Y2463" s="6"/>
      <c r="Z2463" s="6"/>
      <c r="AA2463" s="6"/>
      <c r="AB2463" s="6"/>
      <c r="AC2463" s="6"/>
      <c r="AD2463" s="6"/>
      <c r="AE2463" s="6"/>
      <c r="AF2463" s="6"/>
      <c r="AG2463" s="6"/>
      <c r="AH2463" s="6"/>
      <c r="AI2463" s="6"/>
      <c r="AJ2463" s="6"/>
      <c r="AK2463" s="6"/>
      <c r="AL2463" s="6"/>
      <c r="AM2463" s="6"/>
    </row>
    <row r="2464">
      <c r="A2464" s="6"/>
      <c r="B2464" s="6"/>
      <c r="C2464" s="6"/>
      <c r="D2464" s="6"/>
      <c r="E2464" s="6"/>
      <c r="F2464" s="6"/>
      <c r="G2464" s="6"/>
      <c r="H2464" s="6"/>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c r="AG2464" s="6"/>
      <c r="AH2464" s="6"/>
      <c r="AI2464" s="6"/>
      <c r="AJ2464" s="6"/>
      <c r="AK2464" s="6"/>
      <c r="AL2464" s="6"/>
      <c r="AM2464" s="6"/>
    </row>
    <row r="2465">
      <c r="A2465" s="6"/>
      <c r="B2465" s="6"/>
      <c r="C2465" s="6"/>
      <c r="D2465" s="6"/>
      <c r="E2465" s="6"/>
      <c r="F2465" s="6"/>
      <c r="G2465" s="6"/>
      <c r="H2465" s="6"/>
      <c r="I2465" s="6"/>
      <c r="J2465" s="6"/>
      <c r="K2465" s="6"/>
      <c r="L2465" s="6"/>
      <c r="M2465" s="6"/>
      <c r="N2465" s="6"/>
      <c r="O2465" s="6"/>
      <c r="P2465" s="6"/>
      <c r="Q2465" s="6"/>
      <c r="R2465" s="6"/>
      <c r="S2465" s="6"/>
      <c r="T2465" s="6"/>
      <c r="U2465" s="6"/>
      <c r="V2465" s="6"/>
      <c r="W2465" s="6"/>
      <c r="X2465" s="6"/>
      <c r="Y2465" s="6"/>
      <c r="Z2465" s="6"/>
      <c r="AA2465" s="6"/>
      <c r="AB2465" s="6"/>
      <c r="AC2465" s="6"/>
      <c r="AD2465" s="6"/>
      <c r="AE2465" s="6"/>
      <c r="AF2465" s="6"/>
      <c r="AG2465" s="6"/>
      <c r="AH2465" s="6"/>
      <c r="AI2465" s="6"/>
      <c r="AJ2465" s="6"/>
      <c r="AK2465" s="6"/>
      <c r="AL2465" s="6"/>
      <c r="AM2465" s="6"/>
    </row>
    <row r="2466">
      <c r="A2466" s="6"/>
      <c r="B2466" s="6"/>
      <c r="C2466" s="6"/>
      <c r="D2466" s="6"/>
      <c r="E2466" s="6"/>
      <c r="F2466" s="6"/>
      <c r="G2466" s="6"/>
      <c r="H2466" s="6"/>
      <c r="I2466" s="6"/>
      <c r="J2466" s="6"/>
      <c r="K2466" s="6"/>
      <c r="L2466" s="6"/>
      <c r="M2466" s="6"/>
      <c r="N2466" s="6"/>
      <c r="O2466" s="6"/>
      <c r="P2466" s="6"/>
      <c r="Q2466" s="6"/>
      <c r="R2466" s="6"/>
      <c r="S2466" s="6"/>
      <c r="T2466" s="6"/>
      <c r="U2466" s="6"/>
      <c r="V2466" s="6"/>
      <c r="W2466" s="6"/>
      <c r="X2466" s="6"/>
      <c r="Y2466" s="6"/>
      <c r="Z2466" s="6"/>
      <c r="AA2466" s="6"/>
      <c r="AB2466" s="6"/>
      <c r="AC2466" s="6"/>
      <c r="AD2466" s="6"/>
      <c r="AE2466" s="6"/>
      <c r="AF2466" s="6"/>
      <c r="AG2466" s="6"/>
      <c r="AH2466" s="6"/>
      <c r="AI2466" s="6"/>
      <c r="AJ2466" s="6"/>
      <c r="AK2466" s="6"/>
      <c r="AL2466" s="6"/>
      <c r="AM2466" s="6"/>
    </row>
    <row r="2467">
      <c r="A2467" s="6"/>
      <c r="B2467" s="6"/>
      <c r="C2467" s="6"/>
      <c r="D2467" s="6"/>
      <c r="E2467" s="6"/>
      <c r="F2467" s="6"/>
      <c r="G2467" s="6"/>
      <c r="H2467" s="6"/>
      <c r="I2467" s="6"/>
      <c r="J2467" s="6"/>
      <c r="K2467" s="6"/>
      <c r="L2467" s="6"/>
      <c r="M2467" s="6"/>
      <c r="N2467" s="6"/>
      <c r="O2467" s="6"/>
      <c r="P2467" s="6"/>
      <c r="Q2467" s="6"/>
      <c r="R2467" s="6"/>
      <c r="S2467" s="6"/>
      <c r="T2467" s="6"/>
      <c r="U2467" s="6"/>
      <c r="V2467" s="6"/>
      <c r="W2467" s="6"/>
      <c r="X2467" s="6"/>
      <c r="Y2467" s="6"/>
      <c r="Z2467" s="6"/>
      <c r="AA2467" s="6"/>
      <c r="AB2467" s="6"/>
      <c r="AC2467" s="6"/>
      <c r="AD2467" s="6"/>
      <c r="AE2467" s="6"/>
      <c r="AF2467" s="6"/>
      <c r="AG2467" s="6"/>
      <c r="AH2467" s="6"/>
      <c r="AI2467" s="6"/>
      <c r="AJ2467" s="6"/>
      <c r="AK2467" s="6"/>
      <c r="AL2467" s="6"/>
      <c r="AM2467" s="6"/>
    </row>
    <row r="2468">
      <c r="A2468" s="6"/>
      <c r="B2468" s="6"/>
      <c r="C2468" s="6"/>
      <c r="D2468" s="6"/>
      <c r="E2468" s="6"/>
      <c r="F2468" s="6"/>
      <c r="G2468" s="6"/>
      <c r="H2468" s="6"/>
      <c r="I2468" s="6"/>
      <c r="J2468" s="6"/>
      <c r="K2468" s="6"/>
      <c r="L2468" s="6"/>
      <c r="M2468" s="6"/>
      <c r="N2468" s="6"/>
      <c r="O2468" s="6"/>
      <c r="P2468" s="6"/>
      <c r="Q2468" s="6"/>
      <c r="R2468" s="6"/>
      <c r="S2468" s="6"/>
      <c r="T2468" s="6"/>
      <c r="U2468" s="6"/>
      <c r="V2468" s="6"/>
      <c r="W2468" s="6"/>
      <c r="X2468" s="6"/>
      <c r="Y2468" s="6"/>
      <c r="Z2468" s="6"/>
      <c r="AA2468" s="6"/>
      <c r="AB2468" s="6"/>
      <c r="AC2468" s="6"/>
      <c r="AD2468" s="6"/>
      <c r="AE2468" s="6"/>
      <c r="AF2468" s="6"/>
      <c r="AG2468" s="6"/>
      <c r="AH2468" s="6"/>
      <c r="AI2468" s="6"/>
      <c r="AJ2468" s="6"/>
      <c r="AK2468" s="6"/>
      <c r="AL2468" s="6"/>
      <c r="AM2468" s="6"/>
    </row>
    <row r="2469">
      <c r="A2469" s="6"/>
      <c r="B2469" s="6"/>
      <c r="C2469" s="6"/>
      <c r="D2469" s="6"/>
      <c r="E2469" s="6"/>
      <c r="F2469" s="6"/>
      <c r="G2469" s="6"/>
      <c r="H2469" s="6"/>
      <c r="I2469" s="6"/>
      <c r="J2469" s="6"/>
      <c r="K2469" s="6"/>
      <c r="L2469" s="6"/>
      <c r="M2469" s="6"/>
      <c r="N2469" s="6"/>
      <c r="O2469" s="6"/>
      <c r="P2469" s="6"/>
      <c r="Q2469" s="6"/>
      <c r="R2469" s="6"/>
      <c r="S2469" s="6"/>
      <c r="T2469" s="6"/>
      <c r="U2469" s="6"/>
      <c r="V2469" s="6"/>
      <c r="W2469" s="6"/>
      <c r="X2469" s="6"/>
      <c r="Y2469" s="6"/>
      <c r="Z2469" s="6"/>
      <c r="AA2469" s="6"/>
      <c r="AB2469" s="6"/>
      <c r="AC2469" s="6"/>
      <c r="AD2469" s="6"/>
      <c r="AE2469" s="6"/>
      <c r="AF2469" s="6"/>
      <c r="AG2469" s="6"/>
      <c r="AH2469" s="6"/>
      <c r="AI2469" s="6"/>
      <c r="AJ2469" s="6"/>
      <c r="AK2469" s="6"/>
      <c r="AL2469" s="6"/>
      <c r="AM2469" s="6"/>
    </row>
    <row r="2470">
      <c r="A2470" s="6"/>
      <c r="B2470" s="6"/>
      <c r="C2470" s="6"/>
      <c r="D2470" s="6"/>
      <c r="E2470" s="6"/>
      <c r="F2470" s="6"/>
      <c r="G2470" s="6"/>
      <c r="H2470" s="6"/>
      <c r="I2470" s="6"/>
      <c r="J2470" s="6"/>
      <c r="K2470" s="6"/>
      <c r="L2470" s="6"/>
      <c r="M2470" s="6"/>
      <c r="N2470" s="6"/>
      <c r="O2470" s="6"/>
      <c r="P2470" s="6"/>
      <c r="Q2470" s="6"/>
      <c r="R2470" s="6"/>
      <c r="S2470" s="6"/>
      <c r="T2470" s="6"/>
      <c r="U2470" s="6"/>
      <c r="V2470" s="6"/>
      <c r="W2470" s="6"/>
      <c r="X2470" s="6"/>
      <c r="Y2470" s="6"/>
      <c r="Z2470" s="6"/>
      <c r="AA2470" s="6"/>
      <c r="AB2470" s="6"/>
      <c r="AC2470" s="6"/>
      <c r="AD2470" s="6"/>
      <c r="AE2470" s="6"/>
      <c r="AF2470" s="6"/>
      <c r="AG2470" s="6"/>
      <c r="AH2470" s="6"/>
      <c r="AI2470" s="6"/>
      <c r="AJ2470" s="6"/>
      <c r="AK2470" s="6"/>
      <c r="AL2470" s="6"/>
      <c r="AM2470" s="6"/>
    </row>
    <row r="2471">
      <c r="A2471" s="6"/>
      <c r="B2471" s="6"/>
      <c r="C2471" s="6"/>
      <c r="D2471" s="6"/>
      <c r="E2471" s="6"/>
      <c r="F2471" s="6"/>
      <c r="G2471" s="6"/>
      <c r="H2471" s="6"/>
      <c r="I2471" s="6"/>
      <c r="J2471" s="6"/>
      <c r="K2471" s="6"/>
      <c r="L2471" s="6"/>
      <c r="M2471" s="6"/>
      <c r="N2471" s="6"/>
      <c r="O2471" s="6"/>
      <c r="P2471" s="6"/>
      <c r="Q2471" s="6"/>
      <c r="R2471" s="6"/>
      <c r="S2471" s="6"/>
      <c r="T2471" s="6"/>
      <c r="U2471" s="6"/>
      <c r="V2471" s="6"/>
      <c r="W2471" s="6"/>
      <c r="X2471" s="6"/>
      <c r="Y2471" s="6"/>
      <c r="Z2471" s="6"/>
      <c r="AA2471" s="6"/>
      <c r="AB2471" s="6"/>
      <c r="AC2471" s="6"/>
      <c r="AD2471" s="6"/>
      <c r="AE2471" s="6"/>
      <c r="AF2471" s="6"/>
      <c r="AG2471" s="6"/>
      <c r="AH2471" s="6"/>
      <c r="AI2471" s="6"/>
      <c r="AJ2471" s="6"/>
      <c r="AK2471" s="6"/>
      <c r="AL2471" s="6"/>
      <c r="AM2471" s="6"/>
    </row>
    <row r="2472">
      <c r="A2472" s="6"/>
      <c r="B2472" s="6"/>
      <c r="C2472" s="6"/>
      <c r="D2472" s="6"/>
      <c r="E2472" s="6"/>
      <c r="F2472" s="6"/>
      <c r="G2472" s="6"/>
      <c r="H2472" s="6"/>
      <c r="I2472" s="6"/>
      <c r="J2472" s="6"/>
      <c r="K2472" s="6"/>
      <c r="L2472" s="6"/>
      <c r="M2472" s="6"/>
      <c r="N2472" s="6"/>
      <c r="O2472" s="6"/>
      <c r="P2472" s="6"/>
      <c r="Q2472" s="6"/>
      <c r="R2472" s="6"/>
      <c r="S2472" s="6"/>
      <c r="T2472" s="6"/>
      <c r="U2472" s="6"/>
      <c r="V2472" s="6"/>
      <c r="W2472" s="6"/>
      <c r="X2472" s="6"/>
      <c r="Y2472" s="6"/>
      <c r="Z2472" s="6"/>
      <c r="AA2472" s="6"/>
      <c r="AB2472" s="6"/>
      <c r="AC2472" s="6"/>
      <c r="AD2472" s="6"/>
      <c r="AE2472" s="6"/>
      <c r="AF2472" s="6"/>
      <c r="AG2472" s="6"/>
      <c r="AH2472" s="6"/>
      <c r="AI2472" s="6"/>
      <c r="AJ2472" s="6"/>
      <c r="AK2472" s="6"/>
      <c r="AL2472" s="6"/>
      <c r="AM2472" s="6"/>
    </row>
    <row r="2473">
      <c r="A2473" s="6"/>
      <c r="B2473" s="6"/>
      <c r="C2473" s="6"/>
      <c r="D2473" s="6"/>
      <c r="E2473" s="6"/>
      <c r="F2473" s="6"/>
      <c r="G2473" s="6"/>
      <c r="H2473" s="6"/>
      <c r="I2473" s="6"/>
      <c r="J2473" s="6"/>
      <c r="K2473" s="6"/>
      <c r="L2473" s="6"/>
      <c r="M2473" s="6"/>
      <c r="N2473" s="6"/>
      <c r="O2473" s="6"/>
      <c r="P2473" s="6"/>
      <c r="Q2473" s="6"/>
      <c r="R2473" s="6"/>
      <c r="S2473" s="6"/>
      <c r="T2473" s="6"/>
      <c r="U2473" s="6"/>
      <c r="V2473" s="6"/>
      <c r="W2473" s="6"/>
      <c r="X2473" s="6"/>
      <c r="Y2473" s="6"/>
      <c r="Z2473" s="6"/>
      <c r="AA2473" s="6"/>
      <c r="AB2473" s="6"/>
      <c r="AC2473" s="6"/>
      <c r="AD2473" s="6"/>
      <c r="AE2473" s="6"/>
      <c r="AF2473" s="6"/>
      <c r="AG2473" s="6"/>
      <c r="AH2473" s="6"/>
      <c r="AI2473" s="6"/>
      <c r="AJ2473" s="6"/>
      <c r="AK2473" s="6"/>
      <c r="AL2473" s="6"/>
      <c r="AM2473" s="6"/>
    </row>
    <row r="2474">
      <c r="A2474" s="6"/>
      <c r="B2474" s="6"/>
      <c r="C2474" s="6"/>
      <c r="D2474" s="6"/>
      <c r="E2474" s="6"/>
      <c r="F2474" s="6"/>
      <c r="G2474" s="6"/>
      <c r="H2474" s="6"/>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c r="AG2474" s="6"/>
      <c r="AH2474" s="6"/>
      <c r="AI2474" s="6"/>
      <c r="AJ2474" s="6"/>
      <c r="AK2474" s="6"/>
      <c r="AL2474" s="6"/>
      <c r="AM2474" s="6"/>
    </row>
    <row r="2475">
      <c r="A2475" s="6"/>
      <c r="B2475" s="6"/>
      <c r="C2475" s="6"/>
      <c r="D2475" s="6"/>
      <c r="E2475" s="6"/>
      <c r="F2475" s="6"/>
      <c r="G2475" s="6"/>
      <c r="H2475" s="6"/>
      <c r="I2475" s="6"/>
      <c r="J2475" s="6"/>
      <c r="K2475" s="6"/>
      <c r="L2475" s="6"/>
      <c r="M2475" s="6"/>
      <c r="N2475" s="6"/>
      <c r="O2475" s="6"/>
      <c r="P2475" s="6"/>
      <c r="Q2475" s="6"/>
      <c r="R2475" s="6"/>
      <c r="S2475" s="6"/>
      <c r="T2475" s="6"/>
      <c r="U2475" s="6"/>
      <c r="V2475" s="6"/>
      <c r="W2475" s="6"/>
      <c r="X2475" s="6"/>
      <c r="Y2475" s="6"/>
      <c r="Z2475" s="6"/>
      <c r="AA2475" s="6"/>
      <c r="AB2475" s="6"/>
      <c r="AC2475" s="6"/>
      <c r="AD2475" s="6"/>
      <c r="AE2475" s="6"/>
      <c r="AF2475" s="6"/>
      <c r="AG2475" s="6"/>
      <c r="AH2475" s="6"/>
      <c r="AI2475" s="6"/>
      <c r="AJ2475" s="6"/>
      <c r="AK2475" s="6"/>
      <c r="AL2475" s="6"/>
      <c r="AM2475" s="6"/>
    </row>
    <row r="2476">
      <c r="A2476" s="6"/>
      <c r="B2476" s="6"/>
      <c r="C2476" s="6"/>
      <c r="D2476" s="6"/>
      <c r="E2476" s="6"/>
      <c r="F2476" s="6"/>
      <c r="G2476" s="6"/>
      <c r="H2476" s="6"/>
      <c r="I2476" s="6"/>
      <c r="J2476" s="6"/>
      <c r="K2476" s="6"/>
      <c r="L2476" s="6"/>
      <c r="M2476" s="6"/>
      <c r="N2476" s="6"/>
      <c r="O2476" s="6"/>
      <c r="P2476" s="6"/>
      <c r="Q2476" s="6"/>
      <c r="R2476" s="6"/>
      <c r="S2476" s="6"/>
      <c r="T2476" s="6"/>
      <c r="U2476" s="6"/>
      <c r="V2476" s="6"/>
      <c r="W2476" s="6"/>
      <c r="X2476" s="6"/>
      <c r="Y2476" s="6"/>
      <c r="Z2476" s="6"/>
      <c r="AA2476" s="6"/>
      <c r="AB2476" s="6"/>
      <c r="AC2476" s="6"/>
      <c r="AD2476" s="6"/>
      <c r="AE2476" s="6"/>
      <c r="AF2476" s="6"/>
      <c r="AG2476" s="6"/>
      <c r="AH2476" s="6"/>
      <c r="AI2476" s="6"/>
      <c r="AJ2476" s="6"/>
      <c r="AK2476" s="6"/>
      <c r="AL2476" s="6"/>
      <c r="AM2476" s="6"/>
    </row>
    <row r="2477">
      <c r="A2477" s="6"/>
      <c r="B2477" s="6"/>
      <c r="C2477" s="6"/>
      <c r="D2477" s="6"/>
      <c r="E2477" s="6"/>
      <c r="F2477" s="6"/>
      <c r="G2477" s="6"/>
      <c r="H2477" s="6"/>
      <c r="I2477" s="6"/>
      <c r="J2477" s="6"/>
      <c r="K2477" s="6"/>
      <c r="L2477" s="6"/>
      <c r="M2477" s="6"/>
      <c r="N2477" s="6"/>
      <c r="O2477" s="6"/>
      <c r="P2477" s="6"/>
      <c r="Q2477" s="6"/>
      <c r="R2477" s="6"/>
      <c r="S2477" s="6"/>
      <c r="T2477" s="6"/>
      <c r="U2477" s="6"/>
      <c r="V2477" s="6"/>
      <c r="W2477" s="6"/>
      <c r="X2477" s="6"/>
      <c r="Y2477" s="6"/>
      <c r="Z2477" s="6"/>
      <c r="AA2477" s="6"/>
      <c r="AB2477" s="6"/>
      <c r="AC2477" s="6"/>
      <c r="AD2477" s="6"/>
      <c r="AE2477" s="6"/>
      <c r="AF2477" s="6"/>
      <c r="AG2477" s="6"/>
      <c r="AH2477" s="6"/>
      <c r="AI2477" s="6"/>
      <c r="AJ2477" s="6"/>
      <c r="AK2477" s="6"/>
      <c r="AL2477" s="6"/>
      <c r="AM2477" s="6"/>
    </row>
    <row r="2478">
      <c r="A2478" s="6"/>
      <c r="B2478" s="6"/>
      <c r="C2478" s="6"/>
      <c r="D2478" s="6"/>
      <c r="E2478" s="6"/>
      <c r="F2478" s="6"/>
      <c r="G2478" s="6"/>
      <c r="H2478" s="6"/>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c r="AG2478" s="6"/>
      <c r="AH2478" s="6"/>
      <c r="AI2478" s="6"/>
      <c r="AJ2478" s="6"/>
      <c r="AK2478" s="6"/>
      <c r="AL2478" s="6"/>
      <c r="AM2478" s="6"/>
    </row>
    <row r="2479">
      <c r="A2479" s="6"/>
      <c r="B2479" s="6"/>
      <c r="C2479" s="6"/>
      <c r="D2479" s="6"/>
      <c r="E2479" s="6"/>
      <c r="F2479" s="6"/>
      <c r="G2479" s="6"/>
      <c r="H2479" s="6"/>
      <c r="I2479" s="6"/>
      <c r="J2479" s="6"/>
      <c r="K2479" s="6"/>
      <c r="L2479" s="6"/>
      <c r="M2479" s="6"/>
      <c r="N2479" s="6"/>
      <c r="O2479" s="6"/>
      <c r="P2479" s="6"/>
      <c r="Q2479" s="6"/>
      <c r="R2479" s="6"/>
      <c r="S2479" s="6"/>
      <c r="T2479" s="6"/>
      <c r="U2479" s="6"/>
      <c r="V2479" s="6"/>
      <c r="W2479" s="6"/>
      <c r="X2479" s="6"/>
      <c r="Y2479" s="6"/>
      <c r="Z2479" s="6"/>
      <c r="AA2479" s="6"/>
      <c r="AB2479" s="6"/>
      <c r="AC2479" s="6"/>
      <c r="AD2479" s="6"/>
      <c r="AE2479" s="6"/>
      <c r="AF2479" s="6"/>
      <c r="AG2479" s="6"/>
      <c r="AH2479" s="6"/>
      <c r="AI2479" s="6"/>
      <c r="AJ2479" s="6"/>
      <c r="AK2479" s="6"/>
      <c r="AL2479" s="6"/>
      <c r="AM2479" s="6"/>
    </row>
    <row r="2480">
      <c r="A2480" s="6"/>
      <c r="B2480" s="6"/>
      <c r="C2480" s="6"/>
      <c r="D2480" s="6"/>
      <c r="E2480" s="6"/>
      <c r="F2480" s="6"/>
      <c r="G2480" s="6"/>
      <c r="H2480" s="6"/>
      <c r="I2480" s="6"/>
      <c r="J2480" s="6"/>
      <c r="K2480" s="6"/>
      <c r="L2480" s="6"/>
      <c r="M2480" s="6"/>
      <c r="N2480" s="6"/>
      <c r="O2480" s="6"/>
      <c r="P2480" s="6"/>
      <c r="Q2480" s="6"/>
      <c r="R2480" s="6"/>
      <c r="S2480" s="6"/>
      <c r="T2480" s="6"/>
      <c r="U2480" s="6"/>
      <c r="V2480" s="6"/>
      <c r="W2480" s="6"/>
      <c r="X2480" s="6"/>
      <c r="Y2480" s="6"/>
      <c r="Z2480" s="6"/>
      <c r="AA2480" s="6"/>
      <c r="AB2480" s="6"/>
      <c r="AC2480" s="6"/>
      <c r="AD2480" s="6"/>
      <c r="AE2480" s="6"/>
      <c r="AF2480" s="6"/>
      <c r="AG2480" s="6"/>
      <c r="AH2480" s="6"/>
      <c r="AI2480" s="6"/>
      <c r="AJ2480" s="6"/>
      <c r="AK2480" s="6"/>
      <c r="AL2480" s="6"/>
      <c r="AM2480" s="6"/>
    </row>
    <row r="2481">
      <c r="A2481" s="6"/>
      <c r="B2481" s="6"/>
      <c r="C2481" s="6"/>
      <c r="D2481" s="6"/>
      <c r="E2481" s="6"/>
      <c r="F2481" s="6"/>
      <c r="G2481" s="6"/>
      <c r="H2481" s="6"/>
      <c r="I2481" s="6"/>
      <c r="J2481" s="6"/>
      <c r="K2481" s="6"/>
      <c r="L2481" s="6"/>
      <c r="M2481" s="6"/>
      <c r="N2481" s="6"/>
      <c r="O2481" s="6"/>
      <c r="P2481" s="6"/>
      <c r="Q2481" s="6"/>
      <c r="R2481" s="6"/>
      <c r="S2481" s="6"/>
      <c r="T2481" s="6"/>
      <c r="U2481" s="6"/>
      <c r="V2481" s="6"/>
      <c r="W2481" s="6"/>
      <c r="X2481" s="6"/>
      <c r="Y2481" s="6"/>
      <c r="Z2481" s="6"/>
      <c r="AA2481" s="6"/>
      <c r="AB2481" s="6"/>
      <c r="AC2481" s="6"/>
      <c r="AD2481" s="6"/>
      <c r="AE2481" s="6"/>
      <c r="AF2481" s="6"/>
      <c r="AG2481" s="6"/>
      <c r="AH2481" s="6"/>
      <c r="AI2481" s="6"/>
      <c r="AJ2481" s="6"/>
      <c r="AK2481" s="6"/>
      <c r="AL2481" s="6"/>
      <c r="AM2481" s="6"/>
    </row>
    <row r="2482">
      <c r="A2482" s="6"/>
      <c r="B2482" s="6"/>
      <c r="C2482" s="6"/>
      <c r="D2482" s="6"/>
      <c r="E2482" s="6"/>
      <c r="F2482" s="6"/>
      <c r="G2482" s="6"/>
      <c r="H2482" s="6"/>
      <c r="I2482" s="6"/>
      <c r="J2482" s="6"/>
      <c r="K2482" s="6"/>
      <c r="L2482" s="6"/>
      <c r="M2482" s="6"/>
      <c r="N2482" s="6"/>
      <c r="O2482" s="6"/>
      <c r="P2482" s="6"/>
      <c r="Q2482" s="6"/>
      <c r="R2482" s="6"/>
      <c r="S2482" s="6"/>
      <c r="T2482" s="6"/>
      <c r="U2482" s="6"/>
      <c r="V2482" s="6"/>
      <c r="W2482" s="6"/>
      <c r="X2482" s="6"/>
      <c r="Y2482" s="6"/>
      <c r="Z2482" s="6"/>
      <c r="AA2482" s="6"/>
      <c r="AB2482" s="6"/>
      <c r="AC2482" s="6"/>
      <c r="AD2482" s="6"/>
      <c r="AE2482" s="6"/>
      <c r="AF2482" s="6"/>
      <c r="AG2482" s="6"/>
      <c r="AH2482" s="6"/>
      <c r="AI2482" s="6"/>
      <c r="AJ2482" s="6"/>
      <c r="AK2482" s="6"/>
      <c r="AL2482" s="6"/>
      <c r="AM2482" s="6"/>
    </row>
    <row r="2483">
      <c r="A2483" s="6"/>
      <c r="B2483" s="6"/>
      <c r="C2483" s="6"/>
      <c r="D2483" s="6"/>
      <c r="E2483" s="6"/>
      <c r="F2483" s="6"/>
      <c r="G2483" s="6"/>
      <c r="H2483" s="6"/>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c r="AG2483" s="6"/>
      <c r="AH2483" s="6"/>
      <c r="AI2483" s="6"/>
      <c r="AJ2483" s="6"/>
      <c r="AK2483" s="6"/>
      <c r="AL2483" s="6"/>
      <c r="AM2483" s="6"/>
    </row>
    <row r="2484">
      <c r="A2484" s="6"/>
      <c r="B2484" s="6"/>
      <c r="C2484" s="6"/>
      <c r="D2484" s="6"/>
      <c r="E2484" s="6"/>
      <c r="F2484" s="6"/>
      <c r="G2484" s="6"/>
      <c r="H2484" s="6"/>
      <c r="I2484" s="6"/>
      <c r="J2484" s="6"/>
      <c r="K2484" s="6"/>
      <c r="L2484" s="6"/>
      <c r="M2484" s="6"/>
      <c r="N2484" s="6"/>
      <c r="O2484" s="6"/>
      <c r="P2484" s="6"/>
      <c r="Q2484" s="6"/>
      <c r="R2484" s="6"/>
      <c r="S2484" s="6"/>
      <c r="T2484" s="6"/>
      <c r="U2484" s="6"/>
      <c r="V2484" s="6"/>
      <c r="W2484" s="6"/>
      <c r="X2484" s="6"/>
      <c r="Y2484" s="6"/>
      <c r="Z2484" s="6"/>
      <c r="AA2484" s="6"/>
      <c r="AB2484" s="6"/>
      <c r="AC2484" s="6"/>
      <c r="AD2484" s="6"/>
      <c r="AE2484" s="6"/>
      <c r="AF2484" s="6"/>
      <c r="AG2484" s="6"/>
      <c r="AH2484" s="6"/>
      <c r="AI2484" s="6"/>
      <c r="AJ2484" s="6"/>
      <c r="AK2484" s="6"/>
      <c r="AL2484" s="6"/>
      <c r="AM2484" s="6"/>
    </row>
    <row r="2485">
      <c r="A2485" s="6"/>
      <c r="B2485" s="6"/>
      <c r="C2485" s="6"/>
      <c r="D2485" s="6"/>
      <c r="E2485" s="6"/>
      <c r="F2485" s="6"/>
      <c r="G2485" s="6"/>
      <c r="H2485" s="6"/>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c r="AG2485" s="6"/>
      <c r="AH2485" s="6"/>
      <c r="AI2485" s="6"/>
      <c r="AJ2485" s="6"/>
      <c r="AK2485" s="6"/>
      <c r="AL2485" s="6"/>
      <c r="AM2485" s="6"/>
    </row>
    <row r="2486">
      <c r="A2486" s="6"/>
      <c r="B2486" s="6"/>
      <c r="C2486" s="6"/>
      <c r="D2486" s="6"/>
      <c r="E2486" s="6"/>
      <c r="F2486" s="6"/>
      <c r="G2486" s="6"/>
      <c r="H2486" s="6"/>
      <c r="I2486" s="6"/>
      <c r="J2486" s="6"/>
      <c r="K2486" s="6"/>
      <c r="L2486" s="6"/>
      <c r="M2486" s="6"/>
      <c r="N2486" s="6"/>
      <c r="O2486" s="6"/>
      <c r="P2486" s="6"/>
      <c r="Q2486" s="6"/>
      <c r="R2486" s="6"/>
      <c r="S2486" s="6"/>
      <c r="T2486" s="6"/>
      <c r="U2486" s="6"/>
      <c r="V2486" s="6"/>
      <c r="W2486" s="6"/>
      <c r="X2486" s="6"/>
      <c r="Y2486" s="6"/>
      <c r="Z2486" s="6"/>
      <c r="AA2486" s="6"/>
      <c r="AB2486" s="6"/>
      <c r="AC2486" s="6"/>
      <c r="AD2486" s="6"/>
      <c r="AE2486" s="6"/>
      <c r="AF2486" s="6"/>
      <c r="AG2486" s="6"/>
      <c r="AH2486" s="6"/>
      <c r="AI2486" s="6"/>
      <c r="AJ2486" s="6"/>
      <c r="AK2486" s="6"/>
      <c r="AL2486" s="6"/>
      <c r="AM2486" s="6"/>
    </row>
    <row r="2487">
      <c r="A2487" s="6"/>
      <c r="B2487" s="6"/>
      <c r="C2487" s="6"/>
      <c r="D2487" s="6"/>
      <c r="E2487" s="6"/>
      <c r="F2487" s="6"/>
      <c r="G2487" s="6"/>
      <c r="H2487" s="6"/>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c r="AG2487" s="6"/>
      <c r="AH2487" s="6"/>
      <c r="AI2487" s="6"/>
      <c r="AJ2487" s="6"/>
      <c r="AK2487" s="6"/>
      <c r="AL2487" s="6"/>
      <c r="AM2487" s="6"/>
    </row>
    <row r="2488">
      <c r="A2488" s="6"/>
      <c r="B2488" s="6"/>
      <c r="C2488" s="6"/>
      <c r="D2488" s="6"/>
      <c r="E2488" s="6"/>
      <c r="F2488" s="6"/>
      <c r="G2488" s="6"/>
      <c r="H2488" s="6"/>
      <c r="I2488" s="6"/>
      <c r="J2488" s="6"/>
      <c r="K2488" s="6"/>
      <c r="L2488" s="6"/>
      <c r="M2488" s="6"/>
      <c r="N2488" s="6"/>
      <c r="O2488" s="6"/>
      <c r="P2488" s="6"/>
      <c r="Q2488" s="6"/>
      <c r="R2488" s="6"/>
      <c r="S2488" s="6"/>
      <c r="T2488" s="6"/>
      <c r="U2488" s="6"/>
      <c r="V2488" s="6"/>
      <c r="W2488" s="6"/>
      <c r="X2488" s="6"/>
      <c r="Y2488" s="6"/>
      <c r="Z2488" s="6"/>
      <c r="AA2488" s="6"/>
      <c r="AB2488" s="6"/>
      <c r="AC2488" s="6"/>
      <c r="AD2488" s="6"/>
      <c r="AE2488" s="6"/>
      <c r="AF2488" s="6"/>
      <c r="AG2488" s="6"/>
      <c r="AH2488" s="6"/>
      <c r="AI2488" s="6"/>
      <c r="AJ2488" s="6"/>
      <c r="AK2488" s="6"/>
      <c r="AL2488" s="6"/>
      <c r="AM2488" s="6"/>
    </row>
    <row r="2489">
      <c r="A2489" s="6"/>
      <c r="B2489" s="6"/>
      <c r="C2489" s="6"/>
      <c r="D2489" s="6"/>
      <c r="E2489" s="6"/>
      <c r="F2489" s="6"/>
      <c r="G2489" s="6"/>
      <c r="H2489" s="6"/>
      <c r="I2489" s="6"/>
      <c r="J2489" s="6"/>
      <c r="K2489" s="6"/>
      <c r="L2489" s="6"/>
      <c r="M2489" s="6"/>
      <c r="N2489" s="6"/>
      <c r="O2489" s="6"/>
      <c r="P2489" s="6"/>
      <c r="Q2489" s="6"/>
      <c r="R2489" s="6"/>
      <c r="S2489" s="6"/>
      <c r="T2489" s="6"/>
      <c r="U2489" s="6"/>
      <c r="V2489" s="6"/>
      <c r="W2489" s="6"/>
      <c r="X2489" s="6"/>
      <c r="Y2489" s="6"/>
      <c r="Z2489" s="6"/>
      <c r="AA2489" s="6"/>
      <c r="AB2489" s="6"/>
      <c r="AC2489" s="6"/>
      <c r="AD2489" s="6"/>
      <c r="AE2489" s="6"/>
      <c r="AF2489" s="6"/>
      <c r="AG2489" s="6"/>
      <c r="AH2489" s="6"/>
      <c r="AI2489" s="6"/>
      <c r="AJ2489" s="6"/>
      <c r="AK2489" s="6"/>
      <c r="AL2489" s="6"/>
      <c r="AM2489" s="6"/>
    </row>
    <row r="2490">
      <c r="A2490" s="6"/>
      <c r="B2490" s="6"/>
      <c r="C2490" s="6"/>
      <c r="D2490" s="6"/>
      <c r="E2490" s="6"/>
      <c r="F2490" s="6"/>
      <c r="G2490" s="6"/>
      <c r="H2490" s="6"/>
      <c r="I2490" s="6"/>
      <c r="J2490" s="6"/>
      <c r="K2490" s="6"/>
      <c r="L2490" s="6"/>
      <c r="M2490" s="6"/>
      <c r="N2490" s="6"/>
      <c r="O2490" s="6"/>
      <c r="P2490" s="6"/>
      <c r="Q2490" s="6"/>
      <c r="R2490" s="6"/>
      <c r="S2490" s="6"/>
      <c r="T2490" s="6"/>
      <c r="U2490" s="6"/>
      <c r="V2490" s="6"/>
      <c r="W2490" s="6"/>
      <c r="X2490" s="6"/>
      <c r="Y2490" s="6"/>
      <c r="Z2490" s="6"/>
      <c r="AA2490" s="6"/>
      <c r="AB2490" s="6"/>
      <c r="AC2490" s="6"/>
      <c r="AD2490" s="6"/>
      <c r="AE2490" s="6"/>
      <c r="AF2490" s="6"/>
      <c r="AG2490" s="6"/>
      <c r="AH2490" s="6"/>
      <c r="AI2490" s="6"/>
      <c r="AJ2490" s="6"/>
      <c r="AK2490" s="6"/>
      <c r="AL2490" s="6"/>
      <c r="AM2490" s="6"/>
    </row>
    <row r="2491">
      <c r="A2491" s="6"/>
      <c r="B2491" s="6"/>
      <c r="C2491" s="6"/>
      <c r="D2491" s="6"/>
      <c r="E2491" s="6"/>
      <c r="F2491" s="6"/>
      <c r="G2491" s="6"/>
      <c r="H2491" s="6"/>
      <c r="I2491" s="6"/>
      <c r="J2491" s="6"/>
      <c r="K2491" s="6"/>
      <c r="L2491" s="6"/>
      <c r="M2491" s="6"/>
      <c r="N2491" s="6"/>
      <c r="O2491" s="6"/>
      <c r="P2491" s="6"/>
      <c r="Q2491" s="6"/>
      <c r="R2491" s="6"/>
      <c r="S2491" s="6"/>
      <c r="T2491" s="6"/>
      <c r="U2491" s="6"/>
      <c r="V2491" s="6"/>
      <c r="W2491" s="6"/>
      <c r="X2491" s="6"/>
      <c r="Y2491" s="6"/>
      <c r="Z2491" s="6"/>
      <c r="AA2491" s="6"/>
      <c r="AB2491" s="6"/>
      <c r="AC2491" s="6"/>
      <c r="AD2491" s="6"/>
      <c r="AE2491" s="6"/>
      <c r="AF2491" s="6"/>
      <c r="AG2491" s="6"/>
      <c r="AH2491" s="6"/>
      <c r="AI2491" s="6"/>
      <c r="AJ2491" s="6"/>
      <c r="AK2491" s="6"/>
      <c r="AL2491" s="6"/>
      <c r="AM2491" s="6"/>
    </row>
    <row r="2492">
      <c r="A2492" s="6"/>
      <c r="B2492" s="6"/>
      <c r="C2492" s="6"/>
      <c r="D2492" s="6"/>
      <c r="E2492" s="6"/>
      <c r="F2492" s="6"/>
      <c r="G2492" s="6"/>
      <c r="H2492" s="6"/>
      <c r="I2492" s="6"/>
      <c r="J2492" s="6"/>
      <c r="K2492" s="6"/>
      <c r="L2492" s="6"/>
      <c r="M2492" s="6"/>
      <c r="N2492" s="6"/>
      <c r="O2492" s="6"/>
      <c r="P2492" s="6"/>
      <c r="Q2492" s="6"/>
      <c r="R2492" s="6"/>
      <c r="S2492" s="6"/>
      <c r="T2492" s="6"/>
      <c r="U2492" s="6"/>
      <c r="V2492" s="6"/>
      <c r="W2492" s="6"/>
      <c r="X2492" s="6"/>
      <c r="Y2492" s="6"/>
      <c r="Z2492" s="6"/>
      <c r="AA2492" s="6"/>
      <c r="AB2492" s="6"/>
      <c r="AC2492" s="6"/>
      <c r="AD2492" s="6"/>
      <c r="AE2492" s="6"/>
      <c r="AF2492" s="6"/>
      <c r="AG2492" s="6"/>
      <c r="AH2492" s="6"/>
      <c r="AI2492" s="6"/>
      <c r="AJ2492" s="6"/>
      <c r="AK2492" s="6"/>
      <c r="AL2492" s="6"/>
      <c r="AM2492" s="6"/>
    </row>
    <row r="2493">
      <c r="A2493" s="6"/>
      <c r="B2493" s="6"/>
      <c r="C2493" s="6"/>
      <c r="D2493" s="6"/>
      <c r="E2493" s="6"/>
      <c r="F2493" s="6"/>
      <c r="G2493" s="6"/>
      <c r="H2493" s="6"/>
      <c r="I2493" s="6"/>
      <c r="J2493" s="6"/>
      <c r="K2493" s="6"/>
      <c r="L2493" s="6"/>
      <c r="M2493" s="6"/>
      <c r="N2493" s="6"/>
      <c r="O2493" s="6"/>
      <c r="P2493" s="6"/>
      <c r="Q2493" s="6"/>
      <c r="R2493" s="6"/>
      <c r="S2493" s="6"/>
      <c r="T2493" s="6"/>
      <c r="U2493" s="6"/>
      <c r="V2493" s="6"/>
      <c r="W2493" s="6"/>
      <c r="X2493" s="6"/>
      <c r="Y2493" s="6"/>
      <c r="Z2493" s="6"/>
      <c r="AA2493" s="6"/>
      <c r="AB2493" s="6"/>
      <c r="AC2493" s="6"/>
      <c r="AD2493" s="6"/>
      <c r="AE2493" s="6"/>
      <c r="AF2493" s="6"/>
      <c r="AG2493" s="6"/>
      <c r="AH2493" s="6"/>
      <c r="AI2493" s="6"/>
      <c r="AJ2493" s="6"/>
      <c r="AK2493" s="6"/>
      <c r="AL2493" s="6"/>
      <c r="AM2493" s="6"/>
    </row>
    <row r="2494">
      <c r="A2494" s="6"/>
      <c r="B2494" s="6"/>
      <c r="C2494" s="6"/>
      <c r="D2494" s="6"/>
      <c r="E2494" s="6"/>
      <c r="F2494" s="6"/>
      <c r="G2494" s="6"/>
      <c r="H2494" s="6"/>
      <c r="I2494" s="6"/>
      <c r="J2494" s="6"/>
      <c r="K2494" s="6"/>
      <c r="L2494" s="6"/>
      <c r="M2494" s="6"/>
      <c r="N2494" s="6"/>
      <c r="O2494" s="6"/>
      <c r="P2494" s="6"/>
      <c r="Q2494" s="6"/>
      <c r="R2494" s="6"/>
      <c r="S2494" s="6"/>
      <c r="T2494" s="6"/>
      <c r="U2494" s="6"/>
      <c r="V2494" s="6"/>
      <c r="W2494" s="6"/>
      <c r="X2494" s="6"/>
      <c r="Y2494" s="6"/>
      <c r="Z2494" s="6"/>
      <c r="AA2494" s="6"/>
      <c r="AB2494" s="6"/>
      <c r="AC2494" s="6"/>
      <c r="AD2494" s="6"/>
      <c r="AE2494" s="6"/>
      <c r="AF2494" s="6"/>
      <c r="AG2494" s="6"/>
      <c r="AH2494" s="6"/>
      <c r="AI2494" s="6"/>
      <c r="AJ2494" s="6"/>
      <c r="AK2494" s="6"/>
      <c r="AL2494" s="6"/>
      <c r="AM2494" s="6"/>
    </row>
    <row r="2495">
      <c r="A2495" s="6"/>
      <c r="B2495" s="6"/>
      <c r="C2495" s="6"/>
      <c r="D2495" s="6"/>
      <c r="E2495" s="6"/>
      <c r="F2495" s="6"/>
      <c r="G2495" s="6"/>
      <c r="H2495" s="6"/>
      <c r="I2495" s="6"/>
      <c r="J2495" s="6"/>
      <c r="K2495" s="6"/>
      <c r="L2495" s="6"/>
      <c r="M2495" s="6"/>
      <c r="N2495" s="6"/>
      <c r="O2495" s="6"/>
      <c r="P2495" s="6"/>
      <c r="Q2495" s="6"/>
      <c r="R2495" s="6"/>
      <c r="S2495" s="6"/>
      <c r="T2495" s="6"/>
      <c r="U2495" s="6"/>
      <c r="V2495" s="6"/>
      <c r="W2495" s="6"/>
      <c r="X2495" s="6"/>
      <c r="Y2495" s="6"/>
      <c r="Z2495" s="6"/>
      <c r="AA2495" s="6"/>
      <c r="AB2495" s="6"/>
      <c r="AC2495" s="6"/>
      <c r="AD2495" s="6"/>
      <c r="AE2495" s="6"/>
      <c r="AF2495" s="6"/>
      <c r="AG2495" s="6"/>
      <c r="AH2495" s="6"/>
      <c r="AI2495" s="6"/>
      <c r="AJ2495" s="6"/>
      <c r="AK2495" s="6"/>
      <c r="AL2495" s="6"/>
      <c r="AM2495" s="6"/>
    </row>
    <row r="2496">
      <c r="A2496" s="6"/>
      <c r="B2496" s="6"/>
      <c r="C2496" s="6"/>
      <c r="D2496" s="6"/>
      <c r="E2496" s="6"/>
      <c r="F2496" s="6"/>
      <c r="G2496" s="6"/>
      <c r="H2496" s="6"/>
      <c r="I2496" s="6"/>
      <c r="J2496" s="6"/>
      <c r="K2496" s="6"/>
      <c r="L2496" s="6"/>
      <c r="M2496" s="6"/>
      <c r="N2496" s="6"/>
      <c r="O2496" s="6"/>
      <c r="P2496" s="6"/>
      <c r="Q2496" s="6"/>
      <c r="R2496" s="6"/>
      <c r="S2496" s="6"/>
      <c r="T2496" s="6"/>
      <c r="U2496" s="6"/>
      <c r="V2496" s="6"/>
      <c r="W2496" s="6"/>
      <c r="X2496" s="6"/>
      <c r="Y2496" s="6"/>
      <c r="Z2496" s="6"/>
      <c r="AA2496" s="6"/>
      <c r="AB2496" s="6"/>
      <c r="AC2496" s="6"/>
      <c r="AD2496" s="6"/>
      <c r="AE2496" s="6"/>
      <c r="AF2496" s="6"/>
      <c r="AG2496" s="6"/>
      <c r="AH2496" s="6"/>
      <c r="AI2496" s="6"/>
      <c r="AJ2496" s="6"/>
      <c r="AK2496" s="6"/>
      <c r="AL2496" s="6"/>
      <c r="AM2496" s="6"/>
    </row>
    <row r="2497">
      <c r="A2497" s="6"/>
      <c r="B2497" s="6"/>
      <c r="C2497" s="6"/>
      <c r="D2497" s="6"/>
      <c r="E2497" s="6"/>
      <c r="F2497" s="6"/>
      <c r="G2497" s="6"/>
      <c r="H2497" s="6"/>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c r="AG2497" s="6"/>
      <c r="AH2497" s="6"/>
      <c r="AI2497" s="6"/>
      <c r="AJ2497" s="6"/>
      <c r="AK2497" s="6"/>
      <c r="AL2497" s="6"/>
      <c r="AM2497" s="6"/>
    </row>
    <row r="2498">
      <c r="A2498" s="6"/>
      <c r="B2498" s="6"/>
      <c r="C2498" s="6"/>
      <c r="D2498" s="6"/>
      <c r="E2498" s="6"/>
      <c r="F2498" s="6"/>
      <c r="G2498" s="6"/>
      <c r="H2498" s="6"/>
      <c r="I2498" s="6"/>
      <c r="J2498" s="6"/>
      <c r="K2498" s="6"/>
      <c r="L2498" s="6"/>
      <c r="M2498" s="6"/>
      <c r="N2498" s="6"/>
      <c r="O2498" s="6"/>
      <c r="P2498" s="6"/>
      <c r="Q2498" s="6"/>
      <c r="R2498" s="6"/>
      <c r="S2498" s="6"/>
      <c r="T2498" s="6"/>
      <c r="U2498" s="6"/>
      <c r="V2498" s="6"/>
      <c r="W2498" s="6"/>
      <c r="X2498" s="6"/>
      <c r="Y2498" s="6"/>
      <c r="Z2498" s="6"/>
      <c r="AA2498" s="6"/>
      <c r="AB2498" s="6"/>
      <c r="AC2498" s="6"/>
      <c r="AD2498" s="6"/>
      <c r="AE2498" s="6"/>
      <c r="AF2498" s="6"/>
      <c r="AG2498" s="6"/>
      <c r="AH2498" s="6"/>
      <c r="AI2498" s="6"/>
      <c r="AJ2498" s="6"/>
      <c r="AK2498" s="6"/>
      <c r="AL2498" s="6"/>
      <c r="AM2498" s="6"/>
    </row>
    <row r="2499">
      <c r="A2499" s="6"/>
      <c r="B2499" s="6"/>
      <c r="C2499" s="6"/>
      <c r="D2499" s="6"/>
      <c r="E2499" s="6"/>
      <c r="F2499" s="6"/>
      <c r="G2499" s="6"/>
      <c r="H2499" s="6"/>
      <c r="I2499" s="6"/>
      <c r="J2499" s="6"/>
      <c r="K2499" s="6"/>
      <c r="L2499" s="6"/>
      <c r="M2499" s="6"/>
      <c r="N2499" s="6"/>
      <c r="O2499" s="6"/>
      <c r="P2499" s="6"/>
      <c r="Q2499" s="6"/>
      <c r="R2499" s="6"/>
      <c r="S2499" s="6"/>
      <c r="T2499" s="6"/>
      <c r="U2499" s="6"/>
      <c r="V2499" s="6"/>
      <c r="W2499" s="6"/>
      <c r="X2499" s="6"/>
      <c r="Y2499" s="6"/>
      <c r="Z2499" s="6"/>
      <c r="AA2499" s="6"/>
      <c r="AB2499" s="6"/>
      <c r="AC2499" s="6"/>
      <c r="AD2499" s="6"/>
      <c r="AE2499" s="6"/>
      <c r="AF2499" s="6"/>
      <c r="AG2499" s="6"/>
      <c r="AH2499" s="6"/>
      <c r="AI2499" s="6"/>
      <c r="AJ2499" s="6"/>
      <c r="AK2499" s="6"/>
      <c r="AL2499" s="6"/>
      <c r="AM2499" s="6"/>
    </row>
    <row r="2500">
      <c r="A2500" s="6"/>
      <c r="B2500" s="6"/>
      <c r="C2500" s="6"/>
      <c r="D2500" s="6"/>
      <c r="E2500" s="6"/>
      <c r="F2500" s="6"/>
      <c r="G2500" s="6"/>
      <c r="H2500" s="6"/>
      <c r="I2500" s="6"/>
      <c r="J2500" s="6"/>
      <c r="K2500" s="6"/>
      <c r="L2500" s="6"/>
      <c r="M2500" s="6"/>
      <c r="N2500" s="6"/>
      <c r="O2500" s="6"/>
      <c r="P2500" s="6"/>
      <c r="Q2500" s="6"/>
      <c r="R2500" s="6"/>
      <c r="S2500" s="6"/>
      <c r="T2500" s="6"/>
      <c r="U2500" s="6"/>
      <c r="V2500" s="6"/>
      <c r="W2500" s="6"/>
      <c r="X2500" s="6"/>
      <c r="Y2500" s="6"/>
      <c r="Z2500" s="6"/>
      <c r="AA2500" s="6"/>
      <c r="AB2500" s="6"/>
      <c r="AC2500" s="6"/>
      <c r="AD2500" s="6"/>
      <c r="AE2500" s="6"/>
      <c r="AF2500" s="6"/>
      <c r="AG2500" s="6"/>
      <c r="AH2500" s="6"/>
      <c r="AI2500" s="6"/>
      <c r="AJ2500" s="6"/>
      <c r="AK2500" s="6"/>
      <c r="AL2500" s="6"/>
      <c r="AM2500" s="6"/>
    </row>
    <row r="2501">
      <c r="A2501" s="6"/>
      <c r="B2501" s="6"/>
      <c r="C2501" s="6"/>
      <c r="D2501" s="6"/>
      <c r="E2501" s="6"/>
      <c r="F2501" s="6"/>
      <c r="G2501" s="6"/>
      <c r="H2501" s="6"/>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c r="AG2501" s="6"/>
      <c r="AH2501" s="6"/>
      <c r="AI2501" s="6"/>
      <c r="AJ2501" s="6"/>
      <c r="AK2501" s="6"/>
      <c r="AL2501" s="6"/>
      <c r="AM2501" s="6"/>
    </row>
    <row r="2502">
      <c r="A2502" s="6"/>
      <c r="B2502" s="6"/>
      <c r="C2502" s="6"/>
      <c r="D2502" s="6"/>
      <c r="E2502" s="6"/>
      <c r="F2502" s="6"/>
      <c r="G2502" s="6"/>
      <c r="H2502" s="6"/>
      <c r="I2502" s="6"/>
      <c r="J2502" s="6"/>
      <c r="K2502" s="6"/>
      <c r="L2502" s="6"/>
      <c r="M2502" s="6"/>
      <c r="N2502" s="6"/>
      <c r="O2502" s="6"/>
      <c r="P2502" s="6"/>
      <c r="Q2502" s="6"/>
      <c r="R2502" s="6"/>
      <c r="S2502" s="6"/>
      <c r="T2502" s="6"/>
      <c r="U2502" s="6"/>
      <c r="V2502" s="6"/>
      <c r="W2502" s="6"/>
      <c r="X2502" s="6"/>
      <c r="Y2502" s="6"/>
      <c r="Z2502" s="6"/>
      <c r="AA2502" s="6"/>
      <c r="AB2502" s="6"/>
      <c r="AC2502" s="6"/>
      <c r="AD2502" s="6"/>
      <c r="AE2502" s="6"/>
      <c r="AF2502" s="6"/>
      <c r="AG2502" s="6"/>
      <c r="AH2502" s="6"/>
      <c r="AI2502" s="6"/>
      <c r="AJ2502" s="6"/>
      <c r="AK2502" s="6"/>
      <c r="AL2502" s="6"/>
      <c r="AM2502" s="6"/>
    </row>
    <row r="2503">
      <c r="A2503" s="6"/>
      <c r="B2503" s="6"/>
      <c r="C2503" s="6"/>
      <c r="D2503" s="6"/>
      <c r="E2503" s="6"/>
      <c r="F2503" s="6"/>
      <c r="G2503" s="6"/>
      <c r="H2503" s="6"/>
      <c r="I2503" s="6"/>
      <c r="J2503" s="6"/>
      <c r="K2503" s="6"/>
      <c r="L2503" s="6"/>
      <c r="M2503" s="6"/>
      <c r="N2503" s="6"/>
      <c r="O2503" s="6"/>
      <c r="P2503" s="6"/>
      <c r="Q2503" s="6"/>
      <c r="R2503" s="6"/>
      <c r="S2503" s="6"/>
      <c r="T2503" s="6"/>
      <c r="U2503" s="6"/>
      <c r="V2503" s="6"/>
      <c r="W2503" s="6"/>
      <c r="X2503" s="6"/>
      <c r="Y2503" s="6"/>
      <c r="Z2503" s="6"/>
      <c r="AA2503" s="6"/>
      <c r="AB2503" s="6"/>
      <c r="AC2503" s="6"/>
      <c r="AD2503" s="6"/>
      <c r="AE2503" s="6"/>
      <c r="AF2503" s="6"/>
      <c r="AG2503" s="6"/>
      <c r="AH2503" s="6"/>
      <c r="AI2503" s="6"/>
      <c r="AJ2503" s="6"/>
      <c r="AK2503" s="6"/>
      <c r="AL2503" s="6"/>
      <c r="AM2503" s="6"/>
    </row>
    <row r="2504">
      <c r="A2504" s="6"/>
      <c r="B2504" s="6"/>
      <c r="C2504" s="6"/>
      <c r="D2504" s="6"/>
      <c r="E2504" s="6"/>
      <c r="F2504" s="6"/>
      <c r="G2504" s="6"/>
      <c r="H2504" s="6"/>
      <c r="I2504" s="6"/>
      <c r="J2504" s="6"/>
      <c r="K2504" s="6"/>
      <c r="L2504" s="6"/>
      <c r="M2504" s="6"/>
      <c r="N2504" s="6"/>
      <c r="O2504" s="6"/>
      <c r="P2504" s="6"/>
      <c r="Q2504" s="6"/>
      <c r="R2504" s="6"/>
      <c r="S2504" s="6"/>
      <c r="T2504" s="6"/>
      <c r="U2504" s="6"/>
      <c r="V2504" s="6"/>
      <c r="W2504" s="6"/>
      <c r="X2504" s="6"/>
      <c r="Y2504" s="6"/>
      <c r="Z2504" s="6"/>
      <c r="AA2504" s="6"/>
      <c r="AB2504" s="6"/>
      <c r="AC2504" s="6"/>
      <c r="AD2504" s="6"/>
      <c r="AE2504" s="6"/>
      <c r="AF2504" s="6"/>
      <c r="AG2504" s="6"/>
      <c r="AH2504" s="6"/>
      <c r="AI2504" s="6"/>
      <c r="AJ2504" s="6"/>
      <c r="AK2504" s="6"/>
      <c r="AL2504" s="6"/>
      <c r="AM2504" s="6"/>
    </row>
    <row r="2505">
      <c r="A2505" s="6"/>
      <c r="B2505" s="6"/>
      <c r="C2505" s="6"/>
      <c r="D2505" s="6"/>
      <c r="E2505" s="6"/>
      <c r="F2505" s="6"/>
      <c r="G2505" s="6"/>
      <c r="H2505" s="6"/>
      <c r="I2505" s="6"/>
      <c r="J2505" s="6"/>
      <c r="K2505" s="6"/>
      <c r="L2505" s="6"/>
      <c r="M2505" s="6"/>
      <c r="N2505" s="6"/>
      <c r="O2505" s="6"/>
      <c r="P2505" s="6"/>
      <c r="Q2505" s="6"/>
      <c r="R2505" s="6"/>
      <c r="S2505" s="6"/>
      <c r="T2505" s="6"/>
      <c r="U2505" s="6"/>
      <c r="V2505" s="6"/>
      <c r="W2505" s="6"/>
      <c r="X2505" s="6"/>
      <c r="Y2505" s="6"/>
      <c r="Z2505" s="6"/>
      <c r="AA2505" s="6"/>
      <c r="AB2505" s="6"/>
      <c r="AC2505" s="6"/>
      <c r="AD2505" s="6"/>
      <c r="AE2505" s="6"/>
      <c r="AF2505" s="6"/>
      <c r="AG2505" s="6"/>
      <c r="AH2505" s="6"/>
      <c r="AI2505" s="6"/>
      <c r="AJ2505" s="6"/>
      <c r="AK2505" s="6"/>
      <c r="AL2505" s="6"/>
      <c r="AM2505" s="6"/>
    </row>
    <row r="2506">
      <c r="A2506" s="6"/>
      <c r="B2506" s="6"/>
      <c r="C2506" s="6"/>
      <c r="D2506" s="6"/>
      <c r="E2506" s="6"/>
      <c r="F2506" s="6"/>
      <c r="G2506" s="6"/>
      <c r="H2506" s="6"/>
      <c r="I2506" s="6"/>
      <c r="J2506" s="6"/>
      <c r="K2506" s="6"/>
      <c r="L2506" s="6"/>
      <c r="M2506" s="6"/>
      <c r="N2506" s="6"/>
      <c r="O2506" s="6"/>
      <c r="P2506" s="6"/>
      <c r="Q2506" s="6"/>
      <c r="R2506" s="6"/>
      <c r="S2506" s="6"/>
      <c r="T2506" s="6"/>
      <c r="U2506" s="6"/>
      <c r="V2506" s="6"/>
      <c r="W2506" s="6"/>
      <c r="X2506" s="6"/>
      <c r="Y2506" s="6"/>
      <c r="Z2506" s="6"/>
      <c r="AA2506" s="6"/>
      <c r="AB2506" s="6"/>
      <c r="AC2506" s="6"/>
      <c r="AD2506" s="6"/>
      <c r="AE2506" s="6"/>
      <c r="AF2506" s="6"/>
      <c r="AG2506" s="6"/>
      <c r="AH2506" s="6"/>
      <c r="AI2506" s="6"/>
      <c r="AJ2506" s="6"/>
      <c r="AK2506" s="6"/>
      <c r="AL2506" s="6"/>
      <c r="AM2506" s="6"/>
    </row>
    <row r="2507">
      <c r="A2507" s="6"/>
      <c r="B2507" s="6"/>
      <c r="C2507" s="6"/>
      <c r="D2507" s="6"/>
      <c r="E2507" s="6"/>
      <c r="F2507" s="6"/>
      <c r="G2507" s="6"/>
      <c r="H2507" s="6"/>
      <c r="I2507" s="6"/>
      <c r="J2507" s="6"/>
      <c r="K2507" s="6"/>
      <c r="L2507" s="6"/>
      <c r="M2507" s="6"/>
      <c r="N2507" s="6"/>
      <c r="O2507" s="6"/>
      <c r="P2507" s="6"/>
      <c r="Q2507" s="6"/>
      <c r="R2507" s="6"/>
      <c r="S2507" s="6"/>
      <c r="T2507" s="6"/>
      <c r="U2507" s="6"/>
      <c r="V2507" s="6"/>
      <c r="W2507" s="6"/>
      <c r="X2507" s="6"/>
      <c r="Y2507" s="6"/>
      <c r="Z2507" s="6"/>
      <c r="AA2507" s="6"/>
      <c r="AB2507" s="6"/>
      <c r="AC2507" s="6"/>
      <c r="AD2507" s="6"/>
      <c r="AE2507" s="6"/>
      <c r="AF2507" s="6"/>
      <c r="AG2507" s="6"/>
      <c r="AH2507" s="6"/>
      <c r="AI2507" s="6"/>
      <c r="AJ2507" s="6"/>
      <c r="AK2507" s="6"/>
      <c r="AL2507" s="6"/>
      <c r="AM2507" s="6"/>
    </row>
    <row r="2508">
      <c r="A2508" s="6"/>
      <c r="B2508" s="6"/>
      <c r="C2508" s="6"/>
      <c r="D2508" s="6"/>
      <c r="E2508" s="6"/>
      <c r="F2508" s="6"/>
      <c r="G2508" s="6"/>
      <c r="H2508" s="6"/>
      <c r="I2508" s="6"/>
      <c r="J2508" s="6"/>
      <c r="K2508" s="6"/>
      <c r="L2508" s="6"/>
      <c r="M2508" s="6"/>
      <c r="N2508" s="6"/>
      <c r="O2508" s="6"/>
      <c r="P2508" s="6"/>
      <c r="Q2508" s="6"/>
      <c r="R2508" s="6"/>
      <c r="S2508" s="6"/>
      <c r="T2508" s="6"/>
      <c r="U2508" s="6"/>
      <c r="V2508" s="6"/>
      <c r="W2508" s="6"/>
      <c r="X2508" s="6"/>
      <c r="Y2508" s="6"/>
      <c r="Z2508" s="6"/>
      <c r="AA2508" s="6"/>
      <c r="AB2508" s="6"/>
      <c r="AC2508" s="6"/>
      <c r="AD2508" s="6"/>
      <c r="AE2508" s="6"/>
      <c r="AF2508" s="6"/>
      <c r="AG2508" s="6"/>
      <c r="AH2508" s="6"/>
      <c r="AI2508" s="6"/>
      <c r="AJ2508" s="6"/>
      <c r="AK2508" s="6"/>
      <c r="AL2508" s="6"/>
      <c r="AM2508" s="6"/>
    </row>
    <row r="2509">
      <c r="A2509" s="6"/>
      <c r="B2509" s="6"/>
      <c r="C2509" s="6"/>
      <c r="D2509" s="6"/>
      <c r="E2509" s="6"/>
      <c r="F2509" s="6"/>
      <c r="G2509" s="6"/>
      <c r="H2509" s="6"/>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c r="AG2509" s="6"/>
      <c r="AH2509" s="6"/>
      <c r="AI2509" s="6"/>
      <c r="AJ2509" s="6"/>
      <c r="AK2509" s="6"/>
      <c r="AL2509" s="6"/>
      <c r="AM2509" s="6"/>
    </row>
    <row r="2510">
      <c r="A2510" s="6"/>
      <c r="B2510" s="6"/>
      <c r="C2510" s="6"/>
      <c r="D2510" s="6"/>
      <c r="E2510" s="6"/>
      <c r="F2510" s="6"/>
      <c r="G2510" s="6"/>
      <c r="H2510" s="6"/>
      <c r="I2510" s="6"/>
      <c r="J2510" s="6"/>
      <c r="K2510" s="6"/>
      <c r="L2510" s="6"/>
      <c r="M2510" s="6"/>
      <c r="N2510" s="6"/>
      <c r="O2510" s="6"/>
      <c r="P2510" s="6"/>
      <c r="Q2510" s="6"/>
      <c r="R2510" s="6"/>
      <c r="S2510" s="6"/>
      <c r="T2510" s="6"/>
      <c r="U2510" s="6"/>
      <c r="V2510" s="6"/>
      <c r="W2510" s="6"/>
      <c r="X2510" s="6"/>
      <c r="Y2510" s="6"/>
      <c r="Z2510" s="6"/>
      <c r="AA2510" s="6"/>
      <c r="AB2510" s="6"/>
      <c r="AC2510" s="6"/>
      <c r="AD2510" s="6"/>
      <c r="AE2510" s="6"/>
      <c r="AF2510" s="6"/>
      <c r="AG2510" s="6"/>
      <c r="AH2510" s="6"/>
      <c r="AI2510" s="6"/>
      <c r="AJ2510" s="6"/>
      <c r="AK2510" s="6"/>
      <c r="AL2510" s="6"/>
      <c r="AM2510" s="6"/>
    </row>
    <row r="2511">
      <c r="A2511" s="6"/>
      <c r="B2511" s="6"/>
      <c r="C2511" s="6"/>
      <c r="D2511" s="6"/>
      <c r="E2511" s="6"/>
      <c r="F2511" s="6"/>
      <c r="G2511" s="6"/>
      <c r="H2511" s="6"/>
      <c r="I2511" s="6"/>
      <c r="J2511" s="6"/>
      <c r="K2511" s="6"/>
      <c r="L2511" s="6"/>
      <c r="M2511" s="6"/>
      <c r="N2511" s="6"/>
      <c r="O2511" s="6"/>
      <c r="P2511" s="6"/>
      <c r="Q2511" s="6"/>
      <c r="R2511" s="6"/>
      <c r="S2511" s="6"/>
      <c r="T2511" s="6"/>
      <c r="U2511" s="6"/>
      <c r="V2511" s="6"/>
      <c r="W2511" s="6"/>
      <c r="X2511" s="6"/>
      <c r="Y2511" s="6"/>
      <c r="Z2511" s="6"/>
      <c r="AA2511" s="6"/>
      <c r="AB2511" s="6"/>
      <c r="AC2511" s="6"/>
      <c r="AD2511" s="6"/>
      <c r="AE2511" s="6"/>
      <c r="AF2511" s="6"/>
      <c r="AG2511" s="6"/>
      <c r="AH2511" s="6"/>
      <c r="AI2511" s="6"/>
      <c r="AJ2511" s="6"/>
      <c r="AK2511" s="6"/>
      <c r="AL2511" s="6"/>
      <c r="AM2511" s="6"/>
    </row>
    <row r="2512">
      <c r="A2512" s="6"/>
      <c r="B2512" s="6"/>
      <c r="C2512" s="6"/>
      <c r="D2512" s="6"/>
      <c r="E2512" s="6"/>
      <c r="F2512" s="6"/>
      <c r="G2512" s="6"/>
      <c r="H2512" s="6"/>
      <c r="I2512" s="6"/>
      <c r="J2512" s="6"/>
      <c r="K2512" s="6"/>
      <c r="L2512" s="6"/>
      <c r="M2512" s="6"/>
      <c r="N2512" s="6"/>
      <c r="O2512" s="6"/>
      <c r="P2512" s="6"/>
      <c r="Q2512" s="6"/>
      <c r="R2512" s="6"/>
      <c r="S2512" s="6"/>
      <c r="T2512" s="6"/>
      <c r="U2512" s="6"/>
      <c r="V2512" s="6"/>
      <c r="W2512" s="6"/>
      <c r="X2512" s="6"/>
      <c r="Y2512" s="6"/>
      <c r="Z2512" s="6"/>
      <c r="AA2512" s="6"/>
      <c r="AB2512" s="6"/>
      <c r="AC2512" s="6"/>
      <c r="AD2512" s="6"/>
      <c r="AE2512" s="6"/>
      <c r="AF2512" s="6"/>
      <c r="AG2512" s="6"/>
      <c r="AH2512" s="6"/>
      <c r="AI2512" s="6"/>
      <c r="AJ2512" s="6"/>
      <c r="AK2512" s="6"/>
      <c r="AL2512" s="6"/>
      <c r="AM2512" s="6"/>
    </row>
    <row r="2513">
      <c r="A2513" s="6"/>
      <c r="B2513" s="6"/>
      <c r="C2513" s="6"/>
      <c r="D2513" s="6"/>
      <c r="E2513" s="6"/>
      <c r="F2513" s="6"/>
      <c r="G2513" s="6"/>
      <c r="H2513" s="6"/>
      <c r="I2513" s="6"/>
      <c r="J2513" s="6"/>
      <c r="K2513" s="6"/>
      <c r="L2513" s="6"/>
      <c r="M2513" s="6"/>
      <c r="N2513" s="6"/>
      <c r="O2513" s="6"/>
      <c r="P2513" s="6"/>
      <c r="Q2513" s="6"/>
      <c r="R2513" s="6"/>
      <c r="S2513" s="6"/>
      <c r="T2513" s="6"/>
      <c r="U2513" s="6"/>
      <c r="V2513" s="6"/>
      <c r="W2513" s="6"/>
      <c r="X2513" s="6"/>
      <c r="Y2513" s="6"/>
      <c r="Z2513" s="6"/>
      <c r="AA2513" s="6"/>
      <c r="AB2513" s="6"/>
      <c r="AC2513" s="6"/>
      <c r="AD2513" s="6"/>
      <c r="AE2513" s="6"/>
      <c r="AF2513" s="6"/>
      <c r="AG2513" s="6"/>
      <c r="AH2513" s="6"/>
      <c r="AI2513" s="6"/>
      <c r="AJ2513" s="6"/>
      <c r="AK2513" s="6"/>
      <c r="AL2513" s="6"/>
      <c r="AM2513" s="6"/>
    </row>
    <row r="2514">
      <c r="A2514" s="6"/>
      <c r="B2514" s="6"/>
      <c r="C2514" s="6"/>
      <c r="D2514" s="6"/>
      <c r="E2514" s="6"/>
      <c r="F2514" s="6"/>
      <c r="G2514" s="6"/>
      <c r="H2514" s="6"/>
      <c r="I2514" s="6"/>
      <c r="J2514" s="6"/>
      <c r="K2514" s="6"/>
      <c r="L2514" s="6"/>
      <c r="M2514" s="6"/>
      <c r="N2514" s="6"/>
      <c r="O2514" s="6"/>
      <c r="P2514" s="6"/>
      <c r="Q2514" s="6"/>
      <c r="R2514" s="6"/>
      <c r="S2514" s="6"/>
      <c r="T2514" s="6"/>
      <c r="U2514" s="6"/>
      <c r="V2514" s="6"/>
      <c r="W2514" s="6"/>
      <c r="X2514" s="6"/>
      <c r="Y2514" s="6"/>
      <c r="Z2514" s="6"/>
      <c r="AA2514" s="6"/>
      <c r="AB2514" s="6"/>
      <c r="AC2514" s="6"/>
      <c r="AD2514" s="6"/>
      <c r="AE2514" s="6"/>
      <c r="AF2514" s="6"/>
      <c r="AG2514" s="6"/>
      <c r="AH2514" s="6"/>
      <c r="AI2514" s="6"/>
      <c r="AJ2514" s="6"/>
      <c r="AK2514" s="6"/>
      <c r="AL2514" s="6"/>
      <c r="AM2514" s="6"/>
    </row>
    <row r="2515">
      <c r="A2515" s="6"/>
      <c r="B2515" s="6"/>
      <c r="C2515" s="6"/>
      <c r="D2515" s="6"/>
      <c r="E2515" s="6"/>
      <c r="F2515" s="6"/>
      <c r="G2515" s="6"/>
      <c r="H2515" s="6"/>
      <c r="I2515" s="6"/>
      <c r="J2515" s="6"/>
      <c r="K2515" s="6"/>
      <c r="L2515" s="6"/>
      <c r="M2515" s="6"/>
      <c r="N2515" s="6"/>
      <c r="O2515" s="6"/>
      <c r="P2515" s="6"/>
      <c r="Q2515" s="6"/>
      <c r="R2515" s="6"/>
      <c r="S2515" s="6"/>
      <c r="T2515" s="6"/>
      <c r="U2515" s="6"/>
      <c r="V2515" s="6"/>
      <c r="W2515" s="6"/>
      <c r="X2515" s="6"/>
      <c r="Y2515" s="6"/>
      <c r="Z2515" s="6"/>
      <c r="AA2515" s="6"/>
      <c r="AB2515" s="6"/>
      <c r="AC2515" s="6"/>
      <c r="AD2515" s="6"/>
      <c r="AE2515" s="6"/>
      <c r="AF2515" s="6"/>
      <c r="AG2515" s="6"/>
      <c r="AH2515" s="6"/>
      <c r="AI2515" s="6"/>
      <c r="AJ2515" s="6"/>
      <c r="AK2515" s="6"/>
      <c r="AL2515" s="6"/>
      <c r="AM2515" s="6"/>
    </row>
    <row r="2516">
      <c r="A2516" s="6"/>
      <c r="B2516" s="6"/>
      <c r="C2516" s="6"/>
      <c r="D2516" s="6"/>
      <c r="E2516" s="6"/>
      <c r="F2516" s="6"/>
      <c r="G2516" s="6"/>
      <c r="H2516" s="6"/>
      <c r="I2516" s="6"/>
      <c r="J2516" s="6"/>
      <c r="K2516" s="6"/>
      <c r="L2516" s="6"/>
      <c r="M2516" s="6"/>
      <c r="N2516" s="6"/>
      <c r="O2516" s="6"/>
      <c r="P2516" s="6"/>
      <c r="Q2516" s="6"/>
      <c r="R2516" s="6"/>
      <c r="S2516" s="6"/>
      <c r="T2516" s="6"/>
      <c r="U2516" s="6"/>
      <c r="V2516" s="6"/>
      <c r="W2516" s="6"/>
      <c r="X2516" s="6"/>
      <c r="Y2516" s="6"/>
      <c r="Z2516" s="6"/>
      <c r="AA2516" s="6"/>
      <c r="AB2516" s="6"/>
      <c r="AC2516" s="6"/>
      <c r="AD2516" s="6"/>
      <c r="AE2516" s="6"/>
      <c r="AF2516" s="6"/>
      <c r="AG2516" s="6"/>
      <c r="AH2516" s="6"/>
      <c r="AI2516" s="6"/>
      <c r="AJ2516" s="6"/>
      <c r="AK2516" s="6"/>
      <c r="AL2516" s="6"/>
      <c r="AM2516" s="6"/>
    </row>
    <row r="2517">
      <c r="A2517" s="6"/>
      <c r="B2517" s="6"/>
      <c r="C2517" s="6"/>
      <c r="D2517" s="6"/>
      <c r="E2517" s="6"/>
      <c r="F2517" s="6"/>
      <c r="G2517" s="6"/>
      <c r="H2517" s="6"/>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c r="AG2517" s="6"/>
      <c r="AH2517" s="6"/>
      <c r="AI2517" s="6"/>
      <c r="AJ2517" s="6"/>
      <c r="AK2517" s="6"/>
      <c r="AL2517" s="6"/>
      <c r="AM2517" s="6"/>
    </row>
    <row r="2518">
      <c r="A2518" s="6"/>
      <c r="B2518" s="6"/>
      <c r="C2518" s="6"/>
      <c r="D2518" s="6"/>
      <c r="E2518" s="6"/>
      <c r="F2518" s="6"/>
      <c r="G2518" s="6"/>
      <c r="H2518" s="6"/>
      <c r="I2518" s="6"/>
      <c r="J2518" s="6"/>
      <c r="K2518" s="6"/>
      <c r="L2518" s="6"/>
      <c r="M2518" s="6"/>
      <c r="N2518" s="6"/>
      <c r="O2518" s="6"/>
      <c r="P2518" s="6"/>
      <c r="Q2518" s="6"/>
      <c r="R2518" s="6"/>
      <c r="S2518" s="6"/>
      <c r="T2518" s="6"/>
      <c r="U2518" s="6"/>
      <c r="V2518" s="6"/>
      <c r="W2518" s="6"/>
      <c r="X2518" s="6"/>
      <c r="Y2518" s="6"/>
      <c r="Z2518" s="6"/>
      <c r="AA2518" s="6"/>
      <c r="AB2518" s="6"/>
      <c r="AC2518" s="6"/>
      <c r="AD2518" s="6"/>
      <c r="AE2518" s="6"/>
      <c r="AF2518" s="6"/>
      <c r="AG2518" s="6"/>
      <c r="AH2518" s="6"/>
      <c r="AI2518" s="6"/>
      <c r="AJ2518" s="6"/>
      <c r="AK2518" s="6"/>
      <c r="AL2518" s="6"/>
      <c r="AM2518" s="6"/>
    </row>
    <row r="2519">
      <c r="A2519" s="6"/>
      <c r="B2519" s="6"/>
      <c r="C2519" s="6"/>
      <c r="D2519" s="6"/>
      <c r="E2519" s="6"/>
      <c r="F2519" s="6"/>
      <c r="G2519" s="6"/>
      <c r="H2519" s="6"/>
      <c r="I2519" s="6"/>
      <c r="J2519" s="6"/>
      <c r="K2519" s="6"/>
      <c r="L2519" s="6"/>
      <c r="M2519" s="6"/>
      <c r="N2519" s="6"/>
      <c r="O2519" s="6"/>
      <c r="P2519" s="6"/>
      <c r="Q2519" s="6"/>
      <c r="R2519" s="6"/>
      <c r="S2519" s="6"/>
      <c r="T2519" s="6"/>
      <c r="U2519" s="6"/>
      <c r="V2519" s="6"/>
      <c r="W2519" s="6"/>
      <c r="X2519" s="6"/>
      <c r="Y2519" s="6"/>
      <c r="Z2519" s="6"/>
      <c r="AA2519" s="6"/>
      <c r="AB2519" s="6"/>
      <c r="AC2519" s="6"/>
      <c r="AD2519" s="6"/>
      <c r="AE2519" s="6"/>
      <c r="AF2519" s="6"/>
      <c r="AG2519" s="6"/>
      <c r="AH2519" s="6"/>
      <c r="AI2519" s="6"/>
      <c r="AJ2519" s="6"/>
      <c r="AK2519" s="6"/>
      <c r="AL2519" s="6"/>
      <c r="AM2519" s="6"/>
    </row>
    <row r="2520">
      <c r="A2520" s="6"/>
      <c r="B2520" s="6"/>
      <c r="C2520" s="6"/>
      <c r="D2520" s="6"/>
      <c r="E2520" s="6"/>
      <c r="F2520" s="6"/>
      <c r="G2520" s="6"/>
      <c r="H2520" s="6"/>
      <c r="I2520" s="6"/>
      <c r="J2520" s="6"/>
      <c r="K2520" s="6"/>
      <c r="L2520" s="6"/>
      <c r="M2520" s="6"/>
      <c r="N2520" s="6"/>
      <c r="O2520" s="6"/>
      <c r="P2520" s="6"/>
      <c r="Q2520" s="6"/>
      <c r="R2520" s="6"/>
      <c r="S2520" s="6"/>
      <c r="T2520" s="6"/>
      <c r="U2520" s="6"/>
      <c r="V2520" s="6"/>
      <c r="W2520" s="6"/>
      <c r="X2520" s="6"/>
      <c r="Y2520" s="6"/>
      <c r="Z2520" s="6"/>
      <c r="AA2520" s="6"/>
      <c r="AB2520" s="6"/>
      <c r="AC2520" s="6"/>
      <c r="AD2520" s="6"/>
      <c r="AE2520" s="6"/>
      <c r="AF2520" s="6"/>
      <c r="AG2520" s="6"/>
      <c r="AH2520" s="6"/>
      <c r="AI2520" s="6"/>
      <c r="AJ2520" s="6"/>
      <c r="AK2520" s="6"/>
      <c r="AL2520" s="6"/>
      <c r="AM2520" s="6"/>
    </row>
    <row r="2521">
      <c r="A2521" s="6"/>
      <c r="B2521" s="6"/>
      <c r="C2521" s="6"/>
      <c r="D2521" s="6"/>
      <c r="E2521" s="6"/>
      <c r="F2521" s="6"/>
      <c r="G2521" s="6"/>
      <c r="H2521" s="6"/>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c r="AG2521" s="6"/>
      <c r="AH2521" s="6"/>
      <c r="AI2521" s="6"/>
      <c r="AJ2521" s="6"/>
      <c r="AK2521" s="6"/>
      <c r="AL2521" s="6"/>
      <c r="AM2521" s="6"/>
    </row>
    <row r="2522">
      <c r="A2522" s="6"/>
      <c r="B2522" s="6"/>
      <c r="C2522" s="6"/>
      <c r="D2522" s="6"/>
      <c r="E2522" s="6"/>
      <c r="F2522" s="6"/>
      <c r="G2522" s="6"/>
      <c r="H2522" s="6"/>
      <c r="I2522" s="6"/>
      <c r="J2522" s="6"/>
      <c r="K2522" s="6"/>
      <c r="L2522" s="6"/>
      <c r="M2522" s="6"/>
      <c r="N2522" s="6"/>
      <c r="O2522" s="6"/>
      <c r="P2522" s="6"/>
      <c r="Q2522" s="6"/>
      <c r="R2522" s="6"/>
      <c r="S2522" s="6"/>
      <c r="T2522" s="6"/>
      <c r="U2522" s="6"/>
      <c r="V2522" s="6"/>
      <c r="W2522" s="6"/>
      <c r="X2522" s="6"/>
      <c r="Y2522" s="6"/>
      <c r="Z2522" s="6"/>
      <c r="AA2522" s="6"/>
      <c r="AB2522" s="6"/>
      <c r="AC2522" s="6"/>
      <c r="AD2522" s="6"/>
      <c r="AE2522" s="6"/>
      <c r="AF2522" s="6"/>
      <c r="AG2522" s="6"/>
      <c r="AH2522" s="6"/>
      <c r="AI2522" s="6"/>
      <c r="AJ2522" s="6"/>
      <c r="AK2522" s="6"/>
      <c r="AL2522" s="6"/>
      <c r="AM2522" s="6"/>
    </row>
    <row r="2523">
      <c r="A2523" s="6"/>
      <c r="B2523" s="6"/>
      <c r="C2523" s="6"/>
      <c r="D2523" s="6"/>
      <c r="E2523" s="6"/>
      <c r="F2523" s="6"/>
      <c r="G2523" s="6"/>
      <c r="H2523" s="6"/>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c r="AG2523" s="6"/>
      <c r="AH2523" s="6"/>
      <c r="AI2523" s="6"/>
      <c r="AJ2523" s="6"/>
      <c r="AK2523" s="6"/>
      <c r="AL2523" s="6"/>
      <c r="AM2523" s="6"/>
    </row>
    <row r="2524">
      <c r="A2524" s="6"/>
      <c r="B2524" s="6"/>
      <c r="C2524" s="6"/>
      <c r="D2524" s="6"/>
      <c r="E2524" s="6"/>
      <c r="F2524" s="6"/>
      <c r="G2524" s="6"/>
      <c r="H2524" s="6"/>
      <c r="I2524" s="6"/>
      <c r="J2524" s="6"/>
      <c r="K2524" s="6"/>
      <c r="L2524" s="6"/>
      <c r="M2524" s="6"/>
      <c r="N2524" s="6"/>
      <c r="O2524" s="6"/>
      <c r="P2524" s="6"/>
      <c r="Q2524" s="6"/>
      <c r="R2524" s="6"/>
      <c r="S2524" s="6"/>
      <c r="T2524" s="6"/>
      <c r="U2524" s="6"/>
      <c r="V2524" s="6"/>
      <c r="W2524" s="6"/>
      <c r="X2524" s="6"/>
      <c r="Y2524" s="6"/>
      <c r="Z2524" s="6"/>
      <c r="AA2524" s="6"/>
      <c r="AB2524" s="6"/>
      <c r="AC2524" s="6"/>
      <c r="AD2524" s="6"/>
      <c r="AE2524" s="6"/>
      <c r="AF2524" s="6"/>
      <c r="AG2524" s="6"/>
      <c r="AH2524" s="6"/>
      <c r="AI2524" s="6"/>
      <c r="AJ2524" s="6"/>
      <c r="AK2524" s="6"/>
      <c r="AL2524" s="6"/>
      <c r="AM2524" s="6"/>
    </row>
    <row r="2525">
      <c r="A2525" s="6"/>
      <c r="B2525" s="6"/>
      <c r="C2525" s="6"/>
      <c r="D2525" s="6"/>
      <c r="E2525" s="6"/>
      <c r="F2525" s="6"/>
      <c r="G2525" s="6"/>
      <c r="H2525" s="6"/>
      <c r="I2525" s="6"/>
      <c r="J2525" s="6"/>
      <c r="K2525" s="6"/>
      <c r="L2525" s="6"/>
      <c r="M2525" s="6"/>
      <c r="N2525" s="6"/>
      <c r="O2525" s="6"/>
      <c r="P2525" s="6"/>
      <c r="Q2525" s="6"/>
      <c r="R2525" s="6"/>
      <c r="S2525" s="6"/>
      <c r="T2525" s="6"/>
      <c r="U2525" s="6"/>
      <c r="V2525" s="6"/>
      <c r="W2525" s="6"/>
      <c r="X2525" s="6"/>
      <c r="Y2525" s="6"/>
      <c r="Z2525" s="6"/>
      <c r="AA2525" s="6"/>
      <c r="AB2525" s="6"/>
      <c r="AC2525" s="6"/>
      <c r="AD2525" s="6"/>
      <c r="AE2525" s="6"/>
      <c r="AF2525" s="6"/>
      <c r="AG2525" s="6"/>
      <c r="AH2525" s="6"/>
      <c r="AI2525" s="6"/>
      <c r="AJ2525" s="6"/>
      <c r="AK2525" s="6"/>
      <c r="AL2525" s="6"/>
      <c r="AM2525" s="6"/>
    </row>
    <row r="2526">
      <c r="A2526" s="6"/>
      <c r="B2526" s="6"/>
      <c r="C2526" s="6"/>
      <c r="D2526" s="6"/>
      <c r="E2526" s="6"/>
      <c r="F2526" s="6"/>
      <c r="G2526" s="6"/>
      <c r="H2526" s="6"/>
      <c r="I2526" s="6"/>
      <c r="J2526" s="6"/>
      <c r="K2526" s="6"/>
      <c r="L2526" s="6"/>
      <c r="M2526" s="6"/>
      <c r="N2526" s="6"/>
      <c r="O2526" s="6"/>
      <c r="P2526" s="6"/>
      <c r="Q2526" s="6"/>
      <c r="R2526" s="6"/>
      <c r="S2526" s="6"/>
      <c r="T2526" s="6"/>
      <c r="U2526" s="6"/>
      <c r="V2526" s="6"/>
      <c r="W2526" s="6"/>
      <c r="X2526" s="6"/>
      <c r="Y2526" s="6"/>
      <c r="Z2526" s="6"/>
      <c r="AA2526" s="6"/>
      <c r="AB2526" s="6"/>
      <c r="AC2526" s="6"/>
      <c r="AD2526" s="6"/>
      <c r="AE2526" s="6"/>
      <c r="AF2526" s="6"/>
      <c r="AG2526" s="6"/>
      <c r="AH2526" s="6"/>
      <c r="AI2526" s="6"/>
      <c r="AJ2526" s="6"/>
      <c r="AK2526" s="6"/>
      <c r="AL2526" s="6"/>
      <c r="AM2526" s="6"/>
    </row>
    <row r="2527">
      <c r="A2527" s="6"/>
      <c r="B2527" s="6"/>
      <c r="C2527" s="6"/>
      <c r="D2527" s="6"/>
      <c r="E2527" s="6"/>
      <c r="F2527" s="6"/>
      <c r="G2527" s="6"/>
      <c r="H2527" s="6"/>
      <c r="I2527" s="6"/>
      <c r="J2527" s="6"/>
      <c r="K2527" s="6"/>
      <c r="L2527" s="6"/>
      <c r="M2527" s="6"/>
      <c r="N2527" s="6"/>
      <c r="O2527" s="6"/>
      <c r="P2527" s="6"/>
      <c r="Q2527" s="6"/>
      <c r="R2527" s="6"/>
      <c r="S2527" s="6"/>
      <c r="T2527" s="6"/>
      <c r="U2527" s="6"/>
      <c r="V2527" s="6"/>
      <c r="W2527" s="6"/>
      <c r="X2527" s="6"/>
      <c r="Y2527" s="6"/>
      <c r="Z2527" s="6"/>
      <c r="AA2527" s="6"/>
      <c r="AB2527" s="6"/>
      <c r="AC2527" s="6"/>
      <c r="AD2527" s="6"/>
      <c r="AE2527" s="6"/>
      <c r="AF2527" s="6"/>
      <c r="AG2527" s="6"/>
      <c r="AH2527" s="6"/>
      <c r="AI2527" s="6"/>
      <c r="AJ2527" s="6"/>
      <c r="AK2527" s="6"/>
      <c r="AL2527" s="6"/>
      <c r="AM2527" s="6"/>
    </row>
    <row r="2528">
      <c r="A2528" s="6"/>
      <c r="B2528" s="6"/>
      <c r="C2528" s="6"/>
      <c r="D2528" s="6"/>
      <c r="E2528" s="6"/>
      <c r="F2528" s="6"/>
      <c r="G2528" s="6"/>
      <c r="H2528" s="6"/>
      <c r="I2528" s="6"/>
      <c r="J2528" s="6"/>
      <c r="K2528" s="6"/>
      <c r="L2528" s="6"/>
      <c r="M2528" s="6"/>
      <c r="N2528" s="6"/>
      <c r="O2528" s="6"/>
      <c r="P2528" s="6"/>
      <c r="Q2528" s="6"/>
      <c r="R2528" s="6"/>
      <c r="S2528" s="6"/>
      <c r="T2528" s="6"/>
      <c r="U2528" s="6"/>
      <c r="V2528" s="6"/>
      <c r="W2528" s="6"/>
      <c r="X2528" s="6"/>
      <c r="Y2528" s="6"/>
      <c r="Z2528" s="6"/>
      <c r="AA2528" s="6"/>
      <c r="AB2528" s="6"/>
      <c r="AC2528" s="6"/>
      <c r="AD2528" s="6"/>
      <c r="AE2528" s="6"/>
      <c r="AF2528" s="6"/>
      <c r="AG2528" s="6"/>
      <c r="AH2528" s="6"/>
      <c r="AI2528" s="6"/>
      <c r="AJ2528" s="6"/>
      <c r="AK2528" s="6"/>
      <c r="AL2528" s="6"/>
      <c r="AM2528" s="6"/>
    </row>
    <row r="2529">
      <c r="A2529" s="6"/>
      <c r="B2529" s="6"/>
      <c r="C2529" s="6"/>
      <c r="D2529" s="6"/>
      <c r="E2529" s="6"/>
      <c r="F2529" s="6"/>
      <c r="G2529" s="6"/>
      <c r="H2529" s="6"/>
      <c r="I2529" s="6"/>
      <c r="J2529" s="6"/>
      <c r="K2529" s="6"/>
      <c r="L2529" s="6"/>
      <c r="M2529" s="6"/>
      <c r="N2529" s="6"/>
      <c r="O2529" s="6"/>
      <c r="P2529" s="6"/>
      <c r="Q2529" s="6"/>
      <c r="R2529" s="6"/>
      <c r="S2529" s="6"/>
      <c r="T2529" s="6"/>
      <c r="U2529" s="6"/>
      <c r="V2529" s="6"/>
      <c r="W2529" s="6"/>
      <c r="X2529" s="6"/>
      <c r="Y2529" s="6"/>
      <c r="Z2529" s="6"/>
      <c r="AA2529" s="6"/>
      <c r="AB2529" s="6"/>
      <c r="AC2529" s="6"/>
      <c r="AD2529" s="6"/>
      <c r="AE2529" s="6"/>
      <c r="AF2529" s="6"/>
      <c r="AG2529" s="6"/>
      <c r="AH2529" s="6"/>
      <c r="AI2529" s="6"/>
      <c r="AJ2529" s="6"/>
      <c r="AK2529" s="6"/>
      <c r="AL2529" s="6"/>
      <c r="AM2529" s="6"/>
    </row>
    <row r="2530">
      <c r="A2530" s="6"/>
      <c r="B2530" s="6"/>
      <c r="C2530" s="6"/>
      <c r="D2530" s="6"/>
      <c r="E2530" s="6"/>
      <c r="F2530" s="6"/>
      <c r="G2530" s="6"/>
      <c r="H2530" s="6"/>
      <c r="I2530" s="6"/>
      <c r="J2530" s="6"/>
      <c r="K2530" s="6"/>
      <c r="L2530" s="6"/>
      <c r="M2530" s="6"/>
      <c r="N2530" s="6"/>
      <c r="O2530" s="6"/>
      <c r="P2530" s="6"/>
      <c r="Q2530" s="6"/>
      <c r="R2530" s="6"/>
      <c r="S2530" s="6"/>
      <c r="T2530" s="6"/>
      <c r="U2530" s="6"/>
      <c r="V2530" s="6"/>
      <c r="W2530" s="6"/>
      <c r="X2530" s="6"/>
      <c r="Y2530" s="6"/>
      <c r="Z2530" s="6"/>
      <c r="AA2530" s="6"/>
      <c r="AB2530" s="6"/>
      <c r="AC2530" s="6"/>
      <c r="AD2530" s="6"/>
      <c r="AE2530" s="6"/>
      <c r="AF2530" s="6"/>
      <c r="AG2530" s="6"/>
      <c r="AH2530" s="6"/>
      <c r="AI2530" s="6"/>
      <c r="AJ2530" s="6"/>
      <c r="AK2530" s="6"/>
      <c r="AL2530" s="6"/>
      <c r="AM2530" s="6"/>
    </row>
    <row r="2531">
      <c r="A2531" s="6"/>
      <c r="B2531" s="6"/>
      <c r="C2531" s="6"/>
      <c r="D2531" s="6"/>
      <c r="E2531" s="6"/>
      <c r="F2531" s="6"/>
      <c r="G2531" s="6"/>
      <c r="H2531" s="6"/>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c r="AG2531" s="6"/>
      <c r="AH2531" s="6"/>
      <c r="AI2531" s="6"/>
      <c r="AJ2531" s="6"/>
      <c r="AK2531" s="6"/>
      <c r="AL2531" s="6"/>
      <c r="AM2531" s="6"/>
    </row>
    <row r="2532">
      <c r="A2532" s="6"/>
      <c r="B2532" s="6"/>
      <c r="C2532" s="6"/>
      <c r="D2532" s="6"/>
      <c r="E2532" s="6"/>
      <c r="F2532" s="6"/>
      <c r="G2532" s="6"/>
      <c r="H2532" s="6"/>
      <c r="I2532" s="6"/>
      <c r="J2532" s="6"/>
      <c r="K2532" s="6"/>
      <c r="L2532" s="6"/>
      <c r="M2532" s="6"/>
      <c r="N2532" s="6"/>
      <c r="O2532" s="6"/>
      <c r="P2532" s="6"/>
      <c r="Q2532" s="6"/>
      <c r="R2532" s="6"/>
      <c r="S2532" s="6"/>
      <c r="T2532" s="6"/>
      <c r="U2532" s="6"/>
      <c r="V2532" s="6"/>
      <c r="W2532" s="6"/>
      <c r="X2532" s="6"/>
      <c r="Y2532" s="6"/>
      <c r="Z2532" s="6"/>
      <c r="AA2532" s="6"/>
      <c r="AB2532" s="6"/>
      <c r="AC2532" s="6"/>
      <c r="AD2532" s="6"/>
      <c r="AE2532" s="6"/>
      <c r="AF2532" s="6"/>
      <c r="AG2532" s="6"/>
      <c r="AH2532" s="6"/>
      <c r="AI2532" s="6"/>
      <c r="AJ2532" s="6"/>
      <c r="AK2532" s="6"/>
      <c r="AL2532" s="6"/>
      <c r="AM2532" s="6"/>
    </row>
    <row r="2533">
      <c r="A2533" s="6"/>
      <c r="B2533" s="6"/>
      <c r="C2533" s="6"/>
      <c r="D2533" s="6"/>
      <c r="E2533" s="6"/>
      <c r="F2533" s="6"/>
      <c r="G2533" s="6"/>
      <c r="H2533" s="6"/>
      <c r="I2533" s="6"/>
      <c r="J2533" s="6"/>
      <c r="K2533" s="6"/>
      <c r="L2533" s="6"/>
      <c r="M2533" s="6"/>
      <c r="N2533" s="6"/>
      <c r="O2533" s="6"/>
      <c r="P2533" s="6"/>
      <c r="Q2533" s="6"/>
      <c r="R2533" s="6"/>
      <c r="S2533" s="6"/>
      <c r="T2533" s="6"/>
      <c r="U2533" s="6"/>
      <c r="V2533" s="6"/>
      <c r="W2533" s="6"/>
      <c r="X2533" s="6"/>
      <c r="Y2533" s="6"/>
      <c r="Z2533" s="6"/>
      <c r="AA2533" s="6"/>
      <c r="AB2533" s="6"/>
      <c r="AC2533" s="6"/>
      <c r="AD2533" s="6"/>
      <c r="AE2533" s="6"/>
      <c r="AF2533" s="6"/>
      <c r="AG2533" s="6"/>
      <c r="AH2533" s="6"/>
      <c r="AI2533" s="6"/>
      <c r="AJ2533" s="6"/>
      <c r="AK2533" s="6"/>
      <c r="AL2533" s="6"/>
      <c r="AM2533" s="6"/>
    </row>
    <row r="2534">
      <c r="A2534" s="6"/>
      <c r="B2534" s="6"/>
      <c r="C2534" s="6"/>
      <c r="D2534" s="6"/>
      <c r="E2534" s="6"/>
      <c r="F2534" s="6"/>
      <c r="G2534" s="6"/>
      <c r="H2534" s="6"/>
      <c r="I2534" s="6"/>
      <c r="J2534" s="6"/>
      <c r="K2534" s="6"/>
      <c r="L2534" s="6"/>
      <c r="M2534" s="6"/>
      <c r="N2534" s="6"/>
      <c r="O2534" s="6"/>
      <c r="P2534" s="6"/>
      <c r="Q2534" s="6"/>
      <c r="R2534" s="6"/>
      <c r="S2534" s="6"/>
      <c r="T2534" s="6"/>
      <c r="U2534" s="6"/>
      <c r="V2534" s="6"/>
      <c r="W2534" s="6"/>
      <c r="X2534" s="6"/>
      <c r="Y2534" s="6"/>
      <c r="Z2534" s="6"/>
      <c r="AA2534" s="6"/>
      <c r="AB2534" s="6"/>
      <c r="AC2534" s="6"/>
      <c r="AD2534" s="6"/>
      <c r="AE2534" s="6"/>
      <c r="AF2534" s="6"/>
      <c r="AG2534" s="6"/>
      <c r="AH2534" s="6"/>
      <c r="AI2534" s="6"/>
      <c r="AJ2534" s="6"/>
      <c r="AK2534" s="6"/>
      <c r="AL2534" s="6"/>
      <c r="AM2534" s="6"/>
    </row>
    <row r="2535">
      <c r="A2535" s="6"/>
      <c r="B2535" s="6"/>
      <c r="C2535" s="6"/>
      <c r="D2535" s="6"/>
      <c r="E2535" s="6"/>
      <c r="F2535" s="6"/>
      <c r="G2535" s="6"/>
      <c r="H2535" s="6"/>
      <c r="I2535" s="6"/>
      <c r="J2535" s="6"/>
      <c r="K2535" s="6"/>
      <c r="L2535" s="6"/>
      <c r="M2535" s="6"/>
      <c r="N2535" s="6"/>
      <c r="O2535" s="6"/>
      <c r="P2535" s="6"/>
      <c r="Q2535" s="6"/>
      <c r="R2535" s="6"/>
      <c r="S2535" s="6"/>
      <c r="T2535" s="6"/>
      <c r="U2535" s="6"/>
      <c r="V2535" s="6"/>
      <c r="W2535" s="6"/>
      <c r="X2535" s="6"/>
      <c r="Y2535" s="6"/>
      <c r="Z2535" s="6"/>
      <c r="AA2535" s="6"/>
      <c r="AB2535" s="6"/>
      <c r="AC2535" s="6"/>
      <c r="AD2535" s="6"/>
      <c r="AE2535" s="6"/>
      <c r="AF2535" s="6"/>
      <c r="AG2535" s="6"/>
      <c r="AH2535" s="6"/>
      <c r="AI2535" s="6"/>
      <c r="AJ2535" s="6"/>
      <c r="AK2535" s="6"/>
      <c r="AL2535" s="6"/>
      <c r="AM2535" s="6"/>
    </row>
    <row r="2536">
      <c r="A2536" s="6"/>
      <c r="B2536" s="6"/>
      <c r="C2536" s="6"/>
      <c r="D2536" s="6"/>
      <c r="E2536" s="6"/>
      <c r="F2536" s="6"/>
      <c r="G2536" s="6"/>
      <c r="H2536" s="6"/>
      <c r="I2536" s="6"/>
      <c r="J2536" s="6"/>
      <c r="K2536" s="6"/>
      <c r="L2536" s="6"/>
      <c r="M2536" s="6"/>
      <c r="N2536" s="6"/>
      <c r="O2536" s="6"/>
      <c r="P2536" s="6"/>
      <c r="Q2536" s="6"/>
      <c r="R2536" s="6"/>
      <c r="S2536" s="6"/>
      <c r="T2536" s="6"/>
      <c r="U2536" s="6"/>
      <c r="V2536" s="6"/>
      <c r="W2536" s="6"/>
      <c r="X2536" s="6"/>
      <c r="Y2536" s="6"/>
      <c r="Z2536" s="6"/>
      <c r="AA2536" s="6"/>
      <c r="AB2536" s="6"/>
      <c r="AC2536" s="6"/>
      <c r="AD2536" s="6"/>
      <c r="AE2536" s="6"/>
      <c r="AF2536" s="6"/>
      <c r="AG2536" s="6"/>
      <c r="AH2536" s="6"/>
      <c r="AI2536" s="6"/>
      <c r="AJ2536" s="6"/>
      <c r="AK2536" s="6"/>
      <c r="AL2536" s="6"/>
      <c r="AM2536" s="6"/>
    </row>
    <row r="2537">
      <c r="A2537" s="6"/>
      <c r="B2537" s="6"/>
      <c r="C2537" s="6"/>
      <c r="D2537" s="6"/>
      <c r="E2537" s="6"/>
      <c r="F2537" s="6"/>
      <c r="G2537" s="6"/>
      <c r="H2537" s="6"/>
      <c r="I2537" s="6"/>
      <c r="J2537" s="6"/>
      <c r="K2537" s="6"/>
      <c r="L2537" s="6"/>
      <c r="M2537" s="6"/>
      <c r="N2537" s="6"/>
      <c r="O2537" s="6"/>
      <c r="P2537" s="6"/>
      <c r="Q2537" s="6"/>
      <c r="R2537" s="6"/>
      <c r="S2537" s="6"/>
      <c r="T2537" s="6"/>
      <c r="U2537" s="6"/>
      <c r="V2537" s="6"/>
      <c r="W2537" s="6"/>
      <c r="X2537" s="6"/>
      <c r="Y2537" s="6"/>
      <c r="Z2537" s="6"/>
      <c r="AA2537" s="6"/>
      <c r="AB2537" s="6"/>
      <c r="AC2537" s="6"/>
      <c r="AD2537" s="6"/>
      <c r="AE2537" s="6"/>
      <c r="AF2537" s="6"/>
      <c r="AG2537" s="6"/>
      <c r="AH2537" s="6"/>
      <c r="AI2537" s="6"/>
      <c r="AJ2537" s="6"/>
      <c r="AK2537" s="6"/>
      <c r="AL2537" s="6"/>
      <c r="AM2537" s="6"/>
    </row>
    <row r="2538">
      <c r="A2538" s="6"/>
      <c r="B2538" s="6"/>
      <c r="C2538" s="6"/>
      <c r="D2538" s="6"/>
      <c r="E2538" s="6"/>
      <c r="F2538" s="6"/>
      <c r="G2538" s="6"/>
      <c r="H2538" s="6"/>
      <c r="I2538" s="6"/>
      <c r="J2538" s="6"/>
      <c r="K2538" s="6"/>
      <c r="L2538" s="6"/>
      <c r="M2538" s="6"/>
      <c r="N2538" s="6"/>
      <c r="O2538" s="6"/>
      <c r="P2538" s="6"/>
      <c r="Q2538" s="6"/>
      <c r="R2538" s="6"/>
      <c r="S2538" s="6"/>
      <c r="T2538" s="6"/>
      <c r="U2538" s="6"/>
      <c r="V2538" s="6"/>
      <c r="W2538" s="6"/>
      <c r="X2538" s="6"/>
      <c r="Y2538" s="6"/>
      <c r="Z2538" s="6"/>
      <c r="AA2538" s="6"/>
      <c r="AB2538" s="6"/>
      <c r="AC2538" s="6"/>
      <c r="AD2538" s="6"/>
      <c r="AE2538" s="6"/>
      <c r="AF2538" s="6"/>
      <c r="AG2538" s="6"/>
      <c r="AH2538" s="6"/>
      <c r="AI2538" s="6"/>
      <c r="AJ2538" s="6"/>
      <c r="AK2538" s="6"/>
      <c r="AL2538" s="6"/>
      <c r="AM2538" s="6"/>
    </row>
    <row r="2539">
      <c r="A2539" s="6"/>
      <c r="B2539" s="6"/>
      <c r="C2539" s="6"/>
      <c r="D2539" s="6"/>
      <c r="E2539" s="6"/>
      <c r="F2539" s="6"/>
      <c r="G2539" s="6"/>
      <c r="H2539" s="6"/>
      <c r="I2539" s="6"/>
      <c r="J2539" s="6"/>
      <c r="K2539" s="6"/>
      <c r="L2539" s="6"/>
      <c r="M2539" s="6"/>
      <c r="N2539" s="6"/>
      <c r="O2539" s="6"/>
      <c r="P2539" s="6"/>
      <c r="Q2539" s="6"/>
      <c r="R2539" s="6"/>
      <c r="S2539" s="6"/>
      <c r="T2539" s="6"/>
      <c r="U2539" s="6"/>
      <c r="V2539" s="6"/>
      <c r="W2539" s="6"/>
      <c r="X2539" s="6"/>
      <c r="Y2539" s="6"/>
      <c r="Z2539" s="6"/>
      <c r="AA2539" s="6"/>
      <c r="AB2539" s="6"/>
      <c r="AC2539" s="6"/>
      <c r="AD2539" s="6"/>
      <c r="AE2539" s="6"/>
      <c r="AF2539" s="6"/>
      <c r="AG2539" s="6"/>
      <c r="AH2539" s="6"/>
      <c r="AI2539" s="6"/>
      <c r="AJ2539" s="6"/>
      <c r="AK2539" s="6"/>
      <c r="AL2539" s="6"/>
      <c r="AM2539" s="6"/>
    </row>
    <row r="2540">
      <c r="A2540" s="6"/>
      <c r="B2540" s="6"/>
      <c r="C2540" s="6"/>
      <c r="D2540" s="6"/>
      <c r="E2540" s="6"/>
      <c r="F2540" s="6"/>
      <c r="G2540" s="6"/>
      <c r="H2540" s="6"/>
      <c r="I2540" s="6"/>
      <c r="J2540" s="6"/>
      <c r="K2540" s="6"/>
      <c r="L2540" s="6"/>
      <c r="M2540" s="6"/>
      <c r="N2540" s="6"/>
      <c r="O2540" s="6"/>
      <c r="P2540" s="6"/>
      <c r="Q2540" s="6"/>
      <c r="R2540" s="6"/>
      <c r="S2540" s="6"/>
      <c r="T2540" s="6"/>
      <c r="U2540" s="6"/>
      <c r="V2540" s="6"/>
      <c r="W2540" s="6"/>
      <c r="X2540" s="6"/>
      <c r="Y2540" s="6"/>
      <c r="Z2540" s="6"/>
      <c r="AA2540" s="6"/>
      <c r="AB2540" s="6"/>
      <c r="AC2540" s="6"/>
      <c r="AD2540" s="6"/>
      <c r="AE2540" s="6"/>
      <c r="AF2540" s="6"/>
      <c r="AG2540" s="6"/>
      <c r="AH2540" s="6"/>
      <c r="AI2540" s="6"/>
      <c r="AJ2540" s="6"/>
      <c r="AK2540" s="6"/>
      <c r="AL2540" s="6"/>
      <c r="AM2540" s="6"/>
    </row>
    <row r="2541">
      <c r="A2541" s="6"/>
      <c r="B2541" s="6"/>
      <c r="C2541" s="6"/>
      <c r="D2541" s="6"/>
      <c r="E2541" s="6"/>
      <c r="F2541" s="6"/>
      <c r="G2541" s="6"/>
      <c r="H2541" s="6"/>
      <c r="I2541" s="6"/>
      <c r="J2541" s="6"/>
      <c r="K2541" s="6"/>
      <c r="L2541" s="6"/>
      <c r="M2541" s="6"/>
      <c r="N2541" s="6"/>
      <c r="O2541" s="6"/>
      <c r="P2541" s="6"/>
      <c r="Q2541" s="6"/>
      <c r="R2541" s="6"/>
      <c r="S2541" s="6"/>
      <c r="T2541" s="6"/>
      <c r="U2541" s="6"/>
      <c r="V2541" s="6"/>
      <c r="W2541" s="6"/>
      <c r="X2541" s="6"/>
      <c r="Y2541" s="6"/>
      <c r="Z2541" s="6"/>
      <c r="AA2541" s="6"/>
      <c r="AB2541" s="6"/>
      <c r="AC2541" s="6"/>
      <c r="AD2541" s="6"/>
      <c r="AE2541" s="6"/>
      <c r="AF2541" s="6"/>
      <c r="AG2541" s="6"/>
      <c r="AH2541" s="6"/>
      <c r="AI2541" s="6"/>
      <c r="AJ2541" s="6"/>
      <c r="AK2541" s="6"/>
      <c r="AL2541" s="6"/>
      <c r="AM2541" s="6"/>
    </row>
    <row r="2542">
      <c r="A2542" s="6"/>
      <c r="B2542" s="6"/>
      <c r="C2542" s="6"/>
      <c r="D2542" s="6"/>
      <c r="E2542" s="6"/>
      <c r="F2542" s="6"/>
      <c r="G2542" s="6"/>
      <c r="H2542" s="6"/>
      <c r="I2542" s="6"/>
      <c r="J2542" s="6"/>
      <c r="K2542" s="6"/>
      <c r="L2542" s="6"/>
      <c r="M2542" s="6"/>
      <c r="N2542" s="6"/>
      <c r="O2542" s="6"/>
      <c r="P2542" s="6"/>
      <c r="Q2542" s="6"/>
      <c r="R2542" s="6"/>
      <c r="S2542" s="6"/>
      <c r="T2542" s="6"/>
      <c r="U2542" s="6"/>
      <c r="V2542" s="6"/>
      <c r="W2542" s="6"/>
      <c r="X2542" s="6"/>
      <c r="Y2542" s="6"/>
      <c r="Z2542" s="6"/>
      <c r="AA2542" s="6"/>
      <c r="AB2542" s="6"/>
      <c r="AC2542" s="6"/>
      <c r="AD2542" s="6"/>
      <c r="AE2542" s="6"/>
      <c r="AF2542" s="6"/>
      <c r="AG2542" s="6"/>
      <c r="AH2542" s="6"/>
      <c r="AI2542" s="6"/>
      <c r="AJ2542" s="6"/>
      <c r="AK2542" s="6"/>
      <c r="AL2542" s="6"/>
      <c r="AM2542" s="6"/>
    </row>
    <row r="2543">
      <c r="A2543" s="6"/>
      <c r="B2543" s="6"/>
      <c r="C2543" s="6"/>
      <c r="D2543" s="6"/>
      <c r="E2543" s="6"/>
      <c r="F2543" s="6"/>
      <c r="G2543" s="6"/>
      <c r="H2543" s="6"/>
      <c r="I2543" s="6"/>
      <c r="J2543" s="6"/>
      <c r="K2543" s="6"/>
      <c r="L2543" s="6"/>
      <c r="M2543" s="6"/>
      <c r="N2543" s="6"/>
      <c r="O2543" s="6"/>
      <c r="P2543" s="6"/>
      <c r="Q2543" s="6"/>
      <c r="R2543" s="6"/>
      <c r="S2543" s="6"/>
      <c r="T2543" s="6"/>
      <c r="U2543" s="6"/>
      <c r="V2543" s="6"/>
      <c r="W2543" s="6"/>
      <c r="X2543" s="6"/>
      <c r="Y2543" s="6"/>
      <c r="Z2543" s="6"/>
      <c r="AA2543" s="6"/>
      <c r="AB2543" s="6"/>
      <c r="AC2543" s="6"/>
      <c r="AD2543" s="6"/>
      <c r="AE2543" s="6"/>
      <c r="AF2543" s="6"/>
      <c r="AG2543" s="6"/>
      <c r="AH2543" s="6"/>
      <c r="AI2543" s="6"/>
      <c r="AJ2543" s="6"/>
      <c r="AK2543" s="6"/>
      <c r="AL2543" s="6"/>
      <c r="AM2543" s="6"/>
    </row>
    <row r="2544">
      <c r="A2544" s="6"/>
      <c r="B2544" s="6"/>
      <c r="C2544" s="6"/>
      <c r="D2544" s="6"/>
      <c r="E2544" s="6"/>
      <c r="F2544" s="6"/>
      <c r="G2544" s="6"/>
      <c r="H2544" s="6"/>
      <c r="I2544" s="6"/>
      <c r="J2544" s="6"/>
      <c r="K2544" s="6"/>
      <c r="L2544" s="6"/>
      <c r="M2544" s="6"/>
      <c r="N2544" s="6"/>
      <c r="O2544" s="6"/>
      <c r="P2544" s="6"/>
      <c r="Q2544" s="6"/>
      <c r="R2544" s="6"/>
      <c r="S2544" s="6"/>
      <c r="T2544" s="6"/>
      <c r="U2544" s="6"/>
      <c r="V2544" s="6"/>
      <c r="W2544" s="6"/>
      <c r="X2544" s="6"/>
      <c r="Y2544" s="6"/>
      <c r="Z2544" s="6"/>
      <c r="AA2544" s="6"/>
      <c r="AB2544" s="6"/>
      <c r="AC2544" s="6"/>
      <c r="AD2544" s="6"/>
      <c r="AE2544" s="6"/>
      <c r="AF2544" s="6"/>
      <c r="AG2544" s="6"/>
      <c r="AH2544" s="6"/>
      <c r="AI2544" s="6"/>
      <c r="AJ2544" s="6"/>
      <c r="AK2544" s="6"/>
      <c r="AL2544" s="6"/>
      <c r="AM2544" s="6"/>
    </row>
    <row r="2545">
      <c r="A2545" s="6"/>
      <c r="B2545" s="6"/>
      <c r="C2545" s="6"/>
      <c r="D2545" s="6"/>
      <c r="E2545" s="6"/>
      <c r="F2545" s="6"/>
      <c r="G2545" s="6"/>
      <c r="H2545" s="6"/>
      <c r="I2545" s="6"/>
      <c r="J2545" s="6"/>
      <c r="K2545" s="6"/>
      <c r="L2545" s="6"/>
      <c r="M2545" s="6"/>
      <c r="N2545" s="6"/>
      <c r="O2545" s="6"/>
      <c r="P2545" s="6"/>
      <c r="Q2545" s="6"/>
      <c r="R2545" s="6"/>
      <c r="S2545" s="6"/>
      <c r="T2545" s="6"/>
      <c r="U2545" s="6"/>
      <c r="V2545" s="6"/>
      <c r="W2545" s="6"/>
      <c r="X2545" s="6"/>
      <c r="Y2545" s="6"/>
      <c r="Z2545" s="6"/>
      <c r="AA2545" s="6"/>
      <c r="AB2545" s="6"/>
      <c r="AC2545" s="6"/>
      <c r="AD2545" s="6"/>
      <c r="AE2545" s="6"/>
      <c r="AF2545" s="6"/>
      <c r="AG2545" s="6"/>
      <c r="AH2545" s="6"/>
      <c r="AI2545" s="6"/>
      <c r="AJ2545" s="6"/>
      <c r="AK2545" s="6"/>
      <c r="AL2545" s="6"/>
      <c r="AM2545" s="6"/>
    </row>
    <row r="2546">
      <c r="A2546" s="6"/>
      <c r="B2546" s="6"/>
      <c r="C2546" s="6"/>
      <c r="D2546" s="6"/>
      <c r="E2546" s="6"/>
      <c r="F2546" s="6"/>
      <c r="G2546" s="6"/>
      <c r="H2546" s="6"/>
      <c r="I2546" s="6"/>
      <c r="J2546" s="6"/>
      <c r="K2546" s="6"/>
      <c r="L2546" s="6"/>
      <c r="M2546" s="6"/>
      <c r="N2546" s="6"/>
      <c r="O2546" s="6"/>
      <c r="P2546" s="6"/>
      <c r="Q2546" s="6"/>
      <c r="R2546" s="6"/>
      <c r="S2546" s="6"/>
      <c r="T2546" s="6"/>
      <c r="U2546" s="6"/>
      <c r="V2546" s="6"/>
      <c r="W2546" s="6"/>
      <c r="X2546" s="6"/>
      <c r="Y2546" s="6"/>
      <c r="Z2546" s="6"/>
      <c r="AA2546" s="6"/>
      <c r="AB2546" s="6"/>
      <c r="AC2546" s="6"/>
      <c r="AD2546" s="6"/>
      <c r="AE2546" s="6"/>
      <c r="AF2546" s="6"/>
      <c r="AG2546" s="6"/>
      <c r="AH2546" s="6"/>
      <c r="AI2546" s="6"/>
      <c r="AJ2546" s="6"/>
      <c r="AK2546" s="6"/>
      <c r="AL2546" s="6"/>
      <c r="AM2546" s="6"/>
    </row>
    <row r="2547">
      <c r="A2547" s="6"/>
      <c r="B2547" s="6"/>
      <c r="C2547" s="6"/>
      <c r="D2547" s="6"/>
      <c r="E2547" s="6"/>
      <c r="F2547" s="6"/>
      <c r="G2547" s="6"/>
      <c r="H2547" s="6"/>
      <c r="I2547" s="6"/>
      <c r="J2547" s="6"/>
      <c r="K2547" s="6"/>
      <c r="L2547" s="6"/>
      <c r="M2547" s="6"/>
      <c r="N2547" s="6"/>
      <c r="O2547" s="6"/>
      <c r="P2547" s="6"/>
      <c r="Q2547" s="6"/>
      <c r="R2547" s="6"/>
      <c r="S2547" s="6"/>
      <c r="T2547" s="6"/>
      <c r="U2547" s="6"/>
      <c r="V2547" s="6"/>
      <c r="W2547" s="6"/>
      <c r="X2547" s="6"/>
      <c r="Y2547" s="6"/>
      <c r="Z2547" s="6"/>
      <c r="AA2547" s="6"/>
      <c r="AB2547" s="6"/>
      <c r="AC2547" s="6"/>
      <c r="AD2547" s="6"/>
      <c r="AE2547" s="6"/>
      <c r="AF2547" s="6"/>
      <c r="AG2547" s="6"/>
      <c r="AH2547" s="6"/>
      <c r="AI2547" s="6"/>
      <c r="AJ2547" s="6"/>
      <c r="AK2547" s="6"/>
      <c r="AL2547" s="6"/>
      <c r="AM2547" s="6"/>
    </row>
    <row r="2548">
      <c r="A2548" s="6"/>
      <c r="B2548" s="6"/>
      <c r="C2548" s="6"/>
      <c r="D2548" s="6"/>
      <c r="E2548" s="6"/>
      <c r="F2548" s="6"/>
      <c r="G2548" s="6"/>
      <c r="H2548" s="6"/>
      <c r="I2548" s="6"/>
      <c r="J2548" s="6"/>
      <c r="K2548" s="6"/>
      <c r="L2548" s="6"/>
      <c r="M2548" s="6"/>
      <c r="N2548" s="6"/>
      <c r="O2548" s="6"/>
      <c r="P2548" s="6"/>
      <c r="Q2548" s="6"/>
      <c r="R2548" s="6"/>
      <c r="S2548" s="6"/>
      <c r="T2548" s="6"/>
      <c r="U2548" s="6"/>
      <c r="V2548" s="6"/>
      <c r="W2548" s="6"/>
      <c r="X2548" s="6"/>
      <c r="Y2548" s="6"/>
      <c r="Z2548" s="6"/>
      <c r="AA2548" s="6"/>
      <c r="AB2548" s="6"/>
      <c r="AC2548" s="6"/>
      <c r="AD2548" s="6"/>
      <c r="AE2548" s="6"/>
      <c r="AF2548" s="6"/>
      <c r="AG2548" s="6"/>
      <c r="AH2548" s="6"/>
      <c r="AI2548" s="6"/>
      <c r="AJ2548" s="6"/>
      <c r="AK2548" s="6"/>
      <c r="AL2548" s="6"/>
      <c r="AM2548" s="6"/>
    </row>
    <row r="2549">
      <c r="A2549" s="6"/>
      <c r="B2549" s="6"/>
      <c r="C2549" s="6"/>
      <c r="D2549" s="6"/>
      <c r="E2549" s="6"/>
      <c r="F2549" s="6"/>
      <c r="G2549" s="6"/>
      <c r="H2549" s="6"/>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c r="AG2549" s="6"/>
      <c r="AH2549" s="6"/>
      <c r="AI2549" s="6"/>
      <c r="AJ2549" s="6"/>
      <c r="AK2549" s="6"/>
      <c r="AL2549" s="6"/>
      <c r="AM2549" s="6"/>
    </row>
    <row r="2550">
      <c r="A2550" s="6"/>
      <c r="B2550" s="6"/>
      <c r="C2550" s="6"/>
      <c r="D2550" s="6"/>
      <c r="E2550" s="6"/>
      <c r="F2550" s="6"/>
      <c r="G2550" s="6"/>
      <c r="H2550" s="6"/>
      <c r="I2550" s="6"/>
      <c r="J2550" s="6"/>
      <c r="K2550" s="6"/>
      <c r="L2550" s="6"/>
      <c r="M2550" s="6"/>
      <c r="N2550" s="6"/>
      <c r="O2550" s="6"/>
      <c r="P2550" s="6"/>
      <c r="Q2550" s="6"/>
      <c r="R2550" s="6"/>
      <c r="S2550" s="6"/>
      <c r="T2550" s="6"/>
      <c r="U2550" s="6"/>
      <c r="V2550" s="6"/>
      <c r="W2550" s="6"/>
      <c r="X2550" s="6"/>
      <c r="Y2550" s="6"/>
      <c r="Z2550" s="6"/>
      <c r="AA2550" s="6"/>
      <c r="AB2550" s="6"/>
      <c r="AC2550" s="6"/>
      <c r="AD2550" s="6"/>
      <c r="AE2550" s="6"/>
      <c r="AF2550" s="6"/>
      <c r="AG2550" s="6"/>
      <c r="AH2550" s="6"/>
      <c r="AI2550" s="6"/>
      <c r="AJ2550" s="6"/>
      <c r="AK2550" s="6"/>
      <c r="AL2550" s="6"/>
      <c r="AM2550" s="6"/>
    </row>
    <row r="2551">
      <c r="A2551" s="6"/>
      <c r="B2551" s="6"/>
      <c r="C2551" s="6"/>
      <c r="D2551" s="6"/>
      <c r="E2551" s="6"/>
      <c r="F2551" s="6"/>
      <c r="G2551" s="6"/>
      <c r="H2551" s="6"/>
      <c r="I2551" s="6"/>
      <c r="J2551" s="6"/>
      <c r="K2551" s="6"/>
      <c r="L2551" s="6"/>
      <c r="M2551" s="6"/>
      <c r="N2551" s="6"/>
      <c r="O2551" s="6"/>
      <c r="P2551" s="6"/>
      <c r="Q2551" s="6"/>
      <c r="R2551" s="6"/>
      <c r="S2551" s="6"/>
      <c r="T2551" s="6"/>
      <c r="U2551" s="6"/>
      <c r="V2551" s="6"/>
      <c r="W2551" s="6"/>
      <c r="X2551" s="6"/>
      <c r="Y2551" s="6"/>
      <c r="Z2551" s="6"/>
      <c r="AA2551" s="6"/>
      <c r="AB2551" s="6"/>
      <c r="AC2551" s="6"/>
      <c r="AD2551" s="6"/>
      <c r="AE2551" s="6"/>
      <c r="AF2551" s="6"/>
      <c r="AG2551" s="6"/>
      <c r="AH2551" s="6"/>
      <c r="AI2551" s="6"/>
      <c r="AJ2551" s="6"/>
      <c r="AK2551" s="6"/>
      <c r="AL2551" s="6"/>
      <c r="AM2551" s="6"/>
    </row>
    <row r="2552">
      <c r="A2552" s="6"/>
      <c r="B2552" s="6"/>
      <c r="C2552" s="6"/>
      <c r="D2552" s="6"/>
      <c r="E2552" s="6"/>
      <c r="F2552" s="6"/>
      <c r="G2552" s="6"/>
      <c r="H2552" s="6"/>
      <c r="I2552" s="6"/>
      <c r="J2552" s="6"/>
      <c r="K2552" s="6"/>
      <c r="L2552" s="6"/>
      <c r="M2552" s="6"/>
      <c r="N2552" s="6"/>
      <c r="O2552" s="6"/>
      <c r="P2552" s="6"/>
      <c r="Q2552" s="6"/>
      <c r="R2552" s="6"/>
      <c r="S2552" s="6"/>
      <c r="T2552" s="6"/>
      <c r="U2552" s="6"/>
      <c r="V2552" s="6"/>
      <c r="W2552" s="6"/>
      <c r="X2552" s="6"/>
      <c r="Y2552" s="6"/>
      <c r="Z2552" s="6"/>
      <c r="AA2552" s="6"/>
      <c r="AB2552" s="6"/>
      <c r="AC2552" s="6"/>
      <c r="AD2552" s="6"/>
      <c r="AE2552" s="6"/>
      <c r="AF2552" s="6"/>
      <c r="AG2552" s="6"/>
      <c r="AH2552" s="6"/>
      <c r="AI2552" s="6"/>
      <c r="AJ2552" s="6"/>
      <c r="AK2552" s="6"/>
      <c r="AL2552" s="6"/>
      <c r="AM2552" s="6"/>
    </row>
    <row r="2553">
      <c r="A2553" s="6"/>
      <c r="B2553" s="6"/>
      <c r="C2553" s="6"/>
      <c r="D2553" s="6"/>
      <c r="E2553" s="6"/>
      <c r="F2553" s="6"/>
      <c r="G2553" s="6"/>
      <c r="H2553" s="6"/>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c r="AG2553" s="6"/>
      <c r="AH2553" s="6"/>
      <c r="AI2553" s="6"/>
      <c r="AJ2553" s="6"/>
      <c r="AK2553" s="6"/>
      <c r="AL2553" s="6"/>
      <c r="AM2553" s="6"/>
    </row>
    <row r="2554">
      <c r="A2554" s="6"/>
      <c r="B2554" s="6"/>
      <c r="C2554" s="6"/>
      <c r="D2554" s="6"/>
      <c r="E2554" s="6"/>
      <c r="F2554" s="6"/>
      <c r="G2554" s="6"/>
      <c r="H2554" s="6"/>
      <c r="I2554" s="6"/>
      <c r="J2554" s="6"/>
      <c r="K2554" s="6"/>
      <c r="L2554" s="6"/>
      <c r="M2554" s="6"/>
      <c r="N2554" s="6"/>
      <c r="O2554" s="6"/>
      <c r="P2554" s="6"/>
      <c r="Q2554" s="6"/>
      <c r="R2554" s="6"/>
      <c r="S2554" s="6"/>
      <c r="T2554" s="6"/>
      <c r="U2554" s="6"/>
      <c r="V2554" s="6"/>
      <c r="W2554" s="6"/>
      <c r="X2554" s="6"/>
      <c r="Y2554" s="6"/>
      <c r="Z2554" s="6"/>
      <c r="AA2554" s="6"/>
      <c r="AB2554" s="6"/>
      <c r="AC2554" s="6"/>
      <c r="AD2554" s="6"/>
      <c r="AE2554" s="6"/>
      <c r="AF2554" s="6"/>
      <c r="AG2554" s="6"/>
      <c r="AH2554" s="6"/>
      <c r="AI2554" s="6"/>
      <c r="AJ2554" s="6"/>
      <c r="AK2554" s="6"/>
      <c r="AL2554" s="6"/>
      <c r="AM2554" s="6"/>
    </row>
    <row r="2555">
      <c r="A2555" s="6"/>
      <c r="B2555" s="6"/>
      <c r="C2555" s="6"/>
      <c r="D2555" s="6"/>
      <c r="E2555" s="6"/>
      <c r="F2555" s="6"/>
      <c r="G2555" s="6"/>
      <c r="H2555" s="6"/>
      <c r="I2555" s="6"/>
      <c r="J2555" s="6"/>
      <c r="K2555" s="6"/>
      <c r="L2555" s="6"/>
      <c r="M2555" s="6"/>
      <c r="N2555" s="6"/>
      <c r="O2555" s="6"/>
      <c r="P2555" s="6"/>
      <c r="Q2555" s="6"/>
      <c r="R2555" s="6"/>
      <c r="S2555" s="6"/>
      <c r="T2555" s="6"/>
      <c r="U2555" s="6"/>
      <c r="V2555" s="6"/>
      <c r="W2555" s="6"/>
      <c r="X2555" s="6"/>
      <c r="Y2555" s="6"/>
      <c r="Z2555" s="6"/>
      <c r="AA2555" s="6"/>
      <c r="AB2555" s="6"/>
      <c r="AC2555" s="6"/>
      <c r="AD2555" s="6"/>
      <c r="AE2555" s="6"/>
      <c r="AF2555" s="6"/>
      <c r="AG2555" s="6"/>
      <c r="AH2555" s="6"/>
      <c r="AI2555" s="6"/>
      <c r="AJ2555" s="6"/>
      <c r="AK2555" s="6"/>
      <c r="AL2555" s="6"/>
      <c r="AM2555" s="6"/>
    </row>
    <row r="2556">
      <c r="A2556" s="6"/>
      <c r="B2556" s="6"/>
      <c r="C2556" s="6"/>
      <c r="D2556" s="6"/>
      <c r="E2556" s="6"/>
      <c r="F2556" s="6"/>
      <c r="G2556" s="6"/>
      <c r="H2556" s="6"/>
      <c r="I2556" s="6"/>
      <c r="J2556" s="6"/>
      <c r="K2556" s="6"/>
      <c r="L2556" s="6"/>
      <c r="M2556" s="6"/>
      <c r="N2556" s="6"/>
      <c r="O2556" s="6"/>
      <c r="P2556" s="6"/>
      <c r="Q2556" s="6"/>
      <c r="R2556" s="6"/>
      <c r="S2556" s="6"/>
      <c r="T2556" s="6"/>
      <c r="U2556" s="6"/>
      <c r="V2556" s="6"/>
      <c r="W2556" s="6"/>
      <c r="X2556" s="6"/>
      <c r="Y2556" s="6"/>
      <c r="Z2556" s="6"/>
      <c r="AA2556" s="6"/>
      <c r="AB2556" s="6"/>
      <c r="AC2556" s="6"/>
      <c r="AD2556" s="6"/>
      <c r="AE2556" s="6"/>
      <c r="AF2556" s="6"/>
      <c r="AG2556" s="6"/>
      <c r="AH2556" s="6"/>
      <c r="AI2556" s="6"/>
      <c r="AJ2556" s="6"/>
      <c r="AK2556" s="6"/>
      <c r="AL2556" s="6"/>
      <c r="AM2556" s="6"/>
    </row>
    <row r="2557">
      <c r="A2557" s="6"/>
      <c r="B2557" s="6"/>
      <c r="C2557" s="6"/>
      <c r="D2557" s="6"/>
      <c r="E2557" s="6"/>
      <c r="F2557" s="6"/>
      <c r="G2557" s="6"/>
      <c r="H2557" s="6"/>
      <c r="I2557" s="6"/>
      <c r="J2557" s="6"/>
      <c r="K2557" s="6"/>
      <c r="L2557" s="6"/>
      <c r="M2557" s="6"/>
      <c r="N2557" s="6"/>
      <c r="O2557" s="6"/>
      <c r="P2557" s="6"/>
      <c r="Q2557" s="6"/>
      <c r="R2557" s="6"/>
      <c r="S2557" s="6"/>
      <c r="T2557" s="6"/>
      <c r="U2557" s="6"/>
      <c r="V2557" s="6"/>
      <c r="W2557" s="6"/>
      <c r="X2557" s="6"/>
      <c r="Y2557" s="6"/>
      <c r="Z2557" s="6"/>
      <c r="AA2557" s="6"/>
      <c r="AB2557" s="6"/>
      <c r="AC2557" s="6"/>
      <c r="AD2557" s="6"/>
      <c r="AE2557" s="6"/>
      <c r="AF2557" s="6"/>
      <c r="AG2557" s="6"/>
      <c r="AH2557" s="6"/>
      <c r="AI2557" s="6"/>
      <c r="AJ2557" s="6"/>
      <c r="AK2557" s="6"/>
      <c r="AL2557" s="6"/>
      <c r="AM2557" s="6"/>
    </row>
    <row r="2558">
      <c r="A2558" s="6"/>
      <c r="B2558" s="6"/>
      <c r="C2558" s="6"/>
      <c r="D2558" s="6"/>
      <c r="E2558" s="6"/>
      <c r="F2558" s="6"/>
      <c r="G2558" s="6"/>
      <c r="H2558" s="6"/>
      <c r="I2558" s="6"/>
      <c r="J2558" s="6"/>
      <c r="K2558" s="6"/>
      <c r="L2558" s="6"/>
      <c r="M2558" s="6"/>
      <c r="N2558" s="6"/>
      <c r="O2558" s="6"/>
      <c r="P2558" s="6"/>
      <c r="Q2558" s="6"/>
      <c r="R2558" s="6"/>
      <c r="S2558" s="6"/>
      <c r="T2558" s="6"/>
      <c r="U2558" s="6"/>
      <c r="V2558" s="6"/>
      <c r="W2558" s="6"/>
      <c r="X2558" s="6"/>
      <c r="Y2558" s="6"/>
      <c r="Z2558" s="6"/>
      <c r="AA2558" s="6"/>
      <c r="AB2558" s="6"/>
      <c r="AC2558" s="6"/>
      <c r="AD2558" s="6"/>
      <c r="AE2558" s="6"/>
      <c r="AF2558" s="6"/>
      <c r="AG2558" s="6"/>
      <c r="AH2558" s="6"/>
      <c r="AI2558" s="6"/>
      <c r="AJ2558" s="6"/>
      <c r="AK2558" s="6"/>
      <c r="AL2558" s="6"/>
      <c r="AM2558" s="6"/>
    </row>
    <row r="2559">
      <c r="A2559" s="6"/>
      <c r="B2559" s="6"/>
      <c r="C2559" s="6"/>
      <c r="D2559" s="6"/>
      <c r="E2559" s="6"/>
      <c r="F2559" s="6"/>
      <c r="G2559" s="6"/>
      <c r="H2559" s="6"/>
      <c r="I2559" s="6"/>
      <c r="J2559" s="6"/>
      <c r="K2559" s="6"/>
      <c r="L2559" s="6"/>
      <c r="M2559" s="6"/>
      <c r="N2559" s="6"/>
      <c r="O2559" s="6"/>
      <c r="P2559" s="6"/>
      <c r="Q2559" s="6"/>
      <c r="R2559" s="6"/>
      <c r="S2559" s="6"/>
      <c r="T2559" s="6"/>
      <c r="U2559" s="6"/>
      <c r="V2559" s="6"/>
      <c r="W2559" s="6"/>
      <c r="X2559" s="6"/>
      <c r="Y2559" s="6"/>
      <c r="Z2559" s="6"/>
      <c r="AA2559" s="6"/>
      <c r="AB2559" s="6"/>
      <c r="AC2559" s="6"/>
      <c r="AD2559" s="6"/>
      <c r="AE2559" s="6"/>
      <c r="AF2559" s="6"/>
      <c r="AG2559" s="6"/>
      <c r="AH2559" s="6"/>
      <c r="AI2559" s="6"/>
      <c r="AJ2559" s="6"/>
      <c r="AK2559" s="6"/>
      <c r="AL2559" s="6"/>
      <c r="AM2559" s="6"/>
    </row>
    <row r="2560">
      <c r="A2560" s="6"/>
      <c r="B2560" s="6"/>
      <c r="C2560" s="6"/>
      <c r="D2560" s="6"/>
      <c r="E2560" s="6"/>
      <c r="F2560" s="6"/>
      <c r="G2560" s="6"/>
      <c r="H2560" s="6"/>
      <c r="I2560" s="6"/>
      <c r="J2560" s="6"/>
      <c r="K2560" s="6"/>
      <c r="L2560" s="6"/>
      <c r="M2560" s="6"/>
      <c r="N2560" s="6"/>
      <c r="O2560" s="6"/>
      <c r="P2560" s="6"/>
      <c r="Q2560" s="6"/>
      <c r="R2560" s="6"/>
      <c r="S2560" s="6"/>
      <c r="T2560" s="6"/>
      <c r="U2560" s="6"/>
      <c r="V2560" s="6"/>
      <c r="W2560" s="6"/>
      <c r="X2560" s="6"/>
      <c r="Y2560" s="6"/>
      <c r="Z2560" s="6"/>
      <c r="AA2560" s="6"/>
      <c r="AB2560" s="6"/>
      <c r="AC2560" s="6"/>
      <c r="AD2560" s="6"/>
      <c r="AE2560" s="6"/>
      <c r="AF2560" s="6"/>
      <c r="AG2560" s="6"/>
      <c r="AH2560" s="6"/>
      <c r="AI2560" s="6"/>
      <c r="AJ2560" s="6"/>
      <c r="AK2560" s="6"/>
      <c r="AL2560" s="6"/>
      <c r="AM2560" s="6"/>
    </row>
    <row r="2561">
      <c r="A2561" s="6"/>
      <c r="B2561" s="6"/>
      <c r="C2561" s="6"/>
      <c r="D2561" s="6"/>
      <c r="E2561" s="6"/>
      <c r="F2561" s="6"/>
      <c r="G2561" s="6"/>
      <c r="H2561" s="6"/>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c r="AG2561" s="6"/>
      <c r="AH2561" s="6"/>
      <c r="AI2561" s="6"/>
      <c r="AJ2561" s="6"/>
      <c r="AK2561" s="6"/>
      <c r="AL2561" s="6"/>
      <c r="AM2561" s="6"/>
    </row>
    <row r="2562">
      <c r="A2562" s="6"/>
      <c r="B2562" s="6"/>
      <c r="C2562" s="6"/>
      <c r="D2562" s="6"/>
      <c r="E2562" s="6"/>
      <c r="F2562" s="6"/>
      <c r="G2562" s="6"/>
      <c r="H2562" s="6"/>
      <c r="I2562" s="6"/>
      <c r="J2562" s="6"/>
      <c r="K2562" s="6"/>
      <c r="L2562" s="6"/>
      <c r="M2562" s="6"/>
      <c r="N2562" s="6"/>
      <c r="O2562" s="6"/>
      <c r="P2562" s="6"/>
      <c r="Q2562" s="6"/>
      <c r="R2562" s="6"/>
      <c r="S2562" s="6"/>
      <c r="T2562" s="6"/>
      <c r="U2562" s="6"/>
      <c r="V2562" s="6"/>
      <c r="W2562" s="6"/>
      <c r="X2562" s="6"/>
      <c r="Y2562" s="6"/>
      <c r="Z2562" s="6"/>
      <c r="AA2562" s="6"/>
      <c r="AB2562" s="6"/>
      <c r="AC2562" s="6"/>
      <c r="AD2562" s="6"/>
      <c r="AE2562" s="6"/>
      <c r="AF2562" s="6"/>
      <c r="AG2562" s="6"/>
      <c r="AH2562" s="6"/>
      <c r="AI2562" s="6"/>
      <c r="AJ2562" s="6"/>
      <c r="AK2562" s="6"/>
      <c r="AL2562" s="6"/>
      <c r="AM2562" s="6"/>
    </row>
    <row r="2563">
      <c r="A2563" s="6"/>
      <c r="B2563" s="6"/>
      <c r="C2563" s="6"/>
      <c r="D2563" s="6"/>
      <c r="E2563" s="6"/>
      <c r="F2563" s="6"/>
      <c r="G2563" s="6"/>
      <c r="H2563" s="6"/>
      <c r="I2563" s="6"/>
      <c r="J2563" s="6"/>
      <c r="K2563" s="6"/>
      <c r="L2563" s="6"/>
      <c r="M2563" s="6"/>
      <c r="N2563" s="6"/>
      <c r="O2563" s="6"/>
      <c r="P2563" s="6"/>
      <c r="Q2563" s="6"/>
      <c r="R2563" s="6"/>
      <c r="S2563" s="6"/>
      <c r="T2563" s="6"/>
      <c r="U2563" s="6"/>
      <c r="V2563" s="6"/>
      <c r="W2563" s="6"/>
      <c r="X2563" s="6"/>
      <c r="Y2563" s="6"/>
      <c r="Z2563" s="6"/>
      <c r="AA2563" s="6"/>
      <c r="AB2563" s="6"/>
      <c r="AC2563" s="6"/>
      <c r="AD2563" s="6"/>
      <c r="AE2563" s="6"/>
      <c r="AF2563" s="6"/>
      <c r="AG2563" s="6"/>
      <c r="AH2563" s="6"/>
      <c r="AI2563" s="6"/>
      <c r="AJ2563" s="6"/>
      <c r="AK2563" s="6"/>
      <c r="AL2563" s="6"/>
      <c r="AM2563" s="6"/>
    </row>
    <row r="2564">
      <c r="A2564" s="6"/>
      <c r="B2564" s="6"/>
      <c r="C2564" s="6"/>
      <c r="D2564" s="6"/>
      <c r="E2564" s="6"/>
      <c r="F2564" s="6"/>
      <c r="G2564" s="6"/>
      <c r="H2564" s="6"/>
      <c r="I2564" s="6"/>
      <c r="J2564" s="6"/>
      <c r="K2564" s="6"/>
      <c r="L2564" s="6"/>
      <c r="M2564" s="6"/>
      <c r="N2564" s="6"/>
      <c r="O2564" s="6"/>
      <c r="P2564" s="6"/>
      <c r="Q2564" s="6"/>
      <c r="R2564" s="6"/>
      <c r="S2564" s="6"/>
      <c r="T2564" s="6"/>
      <c r="U2564" s="6"/>
      <c r="V2564" s="6"/>
      <c r="W2564" s="6"/>
      <c r="X2564" s="6"/>
      <c r="Y2564" s="6"/>
      <c r="Z2564" s="6"/>
      <c r="AA2564" s="6"/>
      <c r="AB2564" s="6"/>
      <c r="AC2564" s="6"/>
      <c r="AD2564" s="6"/>
      <c r="AE2564" s="6"/>
      <c r="AF2564" s="6"/>
      <c r="AG2564" s="6"/>
      <c r="AH2564" s="6"/>
      <c r="AI2564" s="6"/>
      <c r="AJ2564" s="6"/>
      <c r="AK2564" s="6"/>
      <c r="AL2564" s="6"/>
      <c r="AM2564" s="6"/>
    </row>
    <row r="2565">
      <c r="A2565" s="6"/>
      <c r="B2565" s="6"/>
      <c r="C2565" s="6"/>
      <c r="D2565" s="6"/>
      <c r="E2565" s="6"/>
      <c r="F2565" s="6"/>
      <c r="G2565" s="6"/>
      <c r="H2565" s="6"/>
      <c r="I2565" s="6"/>
      <c r="J2565" s="6"/>
      <c r="K2565" s="6"/>
      <c r="L2565" s="6"/>
      <c r="M2565" s="6"/>
      <c r="N2565" s="6"/>
      <c r="O2565" s="6"/>
      <c r="P2565" s="6"/>
      <c r="Q2565" s="6"/>
      <c r="R2565" s="6"/>
      <c r="S2565" s="6"/>
      <c r="T2565" s="6"/>
      <c r="U2565" s="6"/>
      <c r="V2565" s="6"/>
      <c r="W2565" s="6"/>
      <c r="X2565" s="6"/>
      <c r="Y2565" s="6"/>
      <c r="Z2565" s="6"/>
      <c r="AA2565" s="6"/>
      <c r="AB2565" s="6"/>
      <c r="AC2565" s="6"/>
      <c r="AD2565" s="6"/>
      <c r="AE2565" s="6"/>
      <c r="AF2565" s="6"/>
      <c r="AG2565" s="6"/>
      <c r="AH2565" s="6"/>
      <c r="AI2565" s="6"/>
      <c r="AJ2565" s="6"/>
      <c r="AK2565" s="6"/>
      <c r="AL2565" s="6"/>
      <c r="AM2565" s="6"/>
    </row>
    <row r="2566">
      <c r="A2566" s="6"/>
      <c r="B2566" s="6"/>
      <c r="C2566" s="6"/>
      <c r="D2566" s="6"/>
      <c r="E2566" s="6"/>
      <c r="F2566" s="6"/>
      <c r="G2566" s="6"/>
      <c r="H2566" s="6"/>
      <c r="I2566" s="6"/>
      <c r="J2566" s="6"/>
      <c r="K2566" s="6"/>
      <c r="L2566" s="6"/>
      <c r="M2566" s="6"/>
      <c r="N2566" s="6"/>
      <c r="O2566" s="6"/>
      <c r="P2566" s="6"/>
      <c r="Q2566" s="6"/>
      <c r="R2566" s="6"/>
      <c r="S2566" s="6"/>
      <c r="T2566" s="6"/>
      <c r="U2566" s="6"/>
      <c r="V2566" s="6"/>
      <c r="W2566" s="6"/>
      <c r="X2566" s="6"/>
      <c r="Y2566" s="6"/>
      <c r="Z2566" s="6"/>
      <c r="AA2566" s="6"/>
      <c r="AB2566" s="6"/>
      <c r="AC2566" s="6"/>
      <c r="AD2566" s="6"/>
      <c r="AE2566" s="6"/>
      <c r="AF2566" s="6"/>
      <c r="AG2566" s="6"/>
      <c r="AH2566" s="6"/>
      <c r="AI2566" s="6"/>
      <c r="AJ2566" s="6"/>
      <c r="AK2566" s="6"/>
      <c r="AL2566" s="6"/>
      <c r="AM2566" s="6"/>
    </row>
    <row r="2567">
      <c r="A2567" s="6"/>
      <c r="B2567" s="6"/>
      <c r="C2567" s="6"/>
      <c r="D2567" s="6"/>
      <c r="E2567" s="6"/>
      <c r="F2567" s="6"/>
      <c r="G2567" s="6"/>
      <c r="H2567" s="6"/>
      <c r="I2567" s="6"/>
      <c r="J2567" s="6"/>
      <c r="K2567" s="6"/>
      <c r="L2567" s="6"/>
      <c r="M2567" s="6"/>
      <c r="N2567" s="6"/>
      <c r="O2567" s="6"/>
      <c r="P2567" s="6"/>
      <c r="Q2567" s="6"/>
      <c r="R2567" s="6"/>
      <c r="S2567" s="6"/>
      <c r="T2567" s="6"/>
      <c r="U2567" s="6"/>
      <c r="V2567" s="6"/>
      <c r="W2567" s="6"/>
      <c r="X2567" s="6"/>
      <c r="Y2567" s="6"/>
      <c r="Z2567" s="6"/>
      <c r="AA2567" s="6"/>
      <c r="AB2567" s="6"/>
      <c r="AC2567" s="6"/>
      <c r="AD2567" s="6"/>
      <c r="AE2567" s="6"/>
      <c r="AF2567" s="6"/>
      <c r="AG2567" s="6"/>
      <c r="AH2567" s="6"/>
      <c r="AI2567" s="6"/>
      <c r="AJ2567" s="6"/>
      <c r="AK2567" s="6"/>
      <c r="AL2567" s="6"/>
      <c r="AM2567" s="6"/>
    </row>
    <row r="2568">
      <c r="A2568" s="6"/>
      <c r="B2568" s="6"/>
      <c r="C2568" s="6"/>
      <c r="D2568" s="6"/>
      <c r="E2568" s="6"/>
      <c r="F2568" s="6"/>
      <c r="G2568" s="6"/>
      <c r="H2568" s="6"/>
      <c r="I2568" s="6"/>
      <c r="J2568" s="6"/>
      <c r="K2568" s="6"/>
      <c r="L2568" s="6"/>
      <c r="M2568" s="6"/>
      <c r="N2568" s="6"/>
      <c r="O2568" s="6"/>
      <c r="P2568" s="6"/>
      <c r="Q2568" s="6"/>
      <c r="R2568" s="6"/>
      <c r="S2568" s="6"/>
      <c r="T2568" s="6"/>
      <c r="U2568" s="6"/>
      <c r="V2568" s="6"/>
      <c r="W2568" s="6"/>
      <c r="X2568" s="6"/>
      <c r="Y2568" s="6"/>
      <c r="Z2568" s="6"/>
      <c r="AA2568" s="6"/>
      <c r="AB2568" s="6"/>
      <c r="AC2568" s="6"/>
      <c r="AD2568" s="6"/>
      <c r="AE2568" s="6"/>
      <c r="AF2568" s="6"/>
      <c r="AG2568" s="6"/>
      <c r="AH2568" s="6"/>
      <c r="AI2568" s="6"/>
      <c r="AJ2568" s="6"/>
      <c r="AK2568" s="6"/>
      <c r="AL2568" s="6"/>
      <c r="AM2568" s="6"/>
    </row>
    <row r="2569">
      <c r="A2569" s="6"/>
      <c r="B2569" s="6"/>
      <c r="C2569" s="6"/>
      <c r="D2569" s="6"/>
      <c r="E2569" s="6"/>
      <c r="F2569" s="6"/>
      <c r="G2569" s="6"/>
      <c r="H2569" s="6"/>
      <c r="I2569" s="6"/>
      <c r="J2569" s="6"/>
      <c r="K2569" s="6"/>
      <c r="L2569" s="6"/>
      <c r="M2569" s="6"/>
      <c r="N2569" s="6"/>
      <c r="O2569" s="6"/>
      <c r="P2569" s="6"/>
      <c r="Q2569" s="6"/>
      <c r="R2569" s="6"/>
      <c r="S2569" s="6"/>
      <c r="T2569" s="6"/>
      <c r="U2569" s="6"/>
      <c r="V2569" s="6"/>
      <c r="W2569" s="6"/>
      <c r="X2569" s="6"/>
      <c r="Y2569" s="6"/>
      <c r="Z2569" s="6"/>
      <c r="AA2569" s="6"/>
      <c r="AB2569" s="6"/>
      <c r="AC2569" s="6"/>
      <c r="AD2569" s="6"/>
      <c r="AE2569" s="6"/>
      <c r="AF2569" s="6"/>
      <c r="AG2569" s="6"/>
      <c r="AH2569" s="6"/>
      <c r="AI2569" s="6"/>
      <c r="AJ2569" s="6"/>
      <c r="AK2569" s="6"/>
      <c r="AL2569" s="6"/>
      <c r="AM2569" s="6"/>
    </row>
    <row r="2570">
      <c r="A2570" s="6"/>
      <c r="B2570" s="6"/>
      <c r="C2570" s="6"/>
      <c r="D2570" s="6"/>
      <c r="E2570" s="6"/>
      <c r="F2570" s="6"/>
      <c r="G2570" s="6"/>
      <c r="H2570" s="6"/>
      <c r="I2570" s="6"/>
      <c r="J2570" s="6"/>
      <c r="K2570" s="6"/>
      <c r="L2570" s="6"/>
      <c r="M2570" s="6"/>
      <c r="N2570" s="6"/>
      <c r="O2570" s="6"/>
      <c r="P2570" s="6"/>
      <c r="Q2570" s="6"/>
      <c r="R2570" s="6"/>
      <c r="S2570" s="6"/>
      <c r="T2570" s="6"/>
      <c r="U2570" s="6"/>
      <c r="V2570" s="6"/>
      <c r="W2570" s="6"/>
      <c r="X2570" s="6"/>
      <c r="Y2570" s="6"/>
      <c r="Z2570" s="6"/>
      <c r="AA2570" s="6"/>
      <c r="AB2570" s="6"/>
      <c r="AC2570" s="6"/>
      <c r="AD2570" s="6"/>
      <c r="AE2570" s="6"/>
      <c r="AF2570" s="6"/>
      <c r="AG2570" s="6"/>
      <c r="AH2570" s="6"/>
      <c r="AI2570" s="6"/>
      <c r="AJ2570" s="6"/>
      <c r="AK2570" s="6"/>
      <c r="AL2570" s="6"/>
      <c r="AM2570" s="6"/>
    </row>
    <row r="2571">
      <c r="A2571" s="6"/>
      <c r="B2571" s="6"/>
      <c r="C2571" s="6"/>
      <c r="D2571" s="6"/>
      <c r="E2571" s="6"/>
      <c r="F2571" s="6"/>
      <c r="G2571" s="6"/>
      <c r="H2571" s="6"/>
      <c r="I2571" s="6"/>
      <c r="J2571" s="6"/>
      <c r="K2571" s="6"/>
      <c r="L2571" s="6"/>
      <c r="M2571" s="6"/>
      <c r="N2571" s="6"/>
      <c r="O2571" s="6"/>
      <c r="P2571" s="6"/>
      <c r="Q2571" s="6"/>
      <c r="R2571" s="6"/>
      <c r="S2571" s="6"/>
      <c r="T2571" s="6"/>
      <c r="U2571" s="6"/>
      <c r="V2571" s="6"/>
      <c r="W2571" s="6"/>
      <c r="X2571" s="6"/>
      <c r="Y2571" s="6"/>
      <c r="Z2571" s="6"/>
      <c r="AA2571" s="6"/>
      <c r="AB2571" s="6"/>
      <c r="AC2571" s="6"/>
      <c r="AD2571" s="6"/>
      <c r="AE2571" s="6"/>
      <c r="AF2571" s="6"/>
      <c r="AG2571" s="6"/>
      <c r="AH2571" s="6"/>
      <c r="AI2571" s="6"/>
      <c r="AJ2571" s="6"/>
      <c r="AK2571" s="6"/>
      <c r="AL2571" s="6"/>
      <c r="AM2571" s="6"/>
    </row>
    <row r="2572">
      <c r="A2572" s="6"/>
      <c r="B2572" s="6"/>
      <c r="C2572" s="6"/>
      <c r="D2572" s="6"/>
      <c r="E2572" s="6"/>
      <c r="F2572" s="6"/>
      <c r="G2572" s="6"/>
      <c r="H2572" s="6"/>
      <c r="I2572" s="6"/>
      <c r="J2572" s="6"/>
      <c r="K2572" s="6"/>
      <c r="L2572" s="6"/>
      <c r="M2572" s="6"/>
      <c r="N2572" s="6"/>
      <c r="O2572" s="6"/>
      <c r="P2572" s="6"/>
      <c r="Q2572" s="6"/>
      <c r="R2572" s="6"/>
      <c r="S2572" s="6"/>
      <c r="T2572" s="6"/>
      <c r="U2572" s="6"/>
      <c r="V2572" s="6"/>
      <c r="W2572" s="6"/>
      <c r="X2572" s="6"/>
      <c r="Y2572" s="6"/>
      <c r="Z2572" s="6"/>
      <c r="AA2572" s="6"/>
      <c r="AB2572" s="6"/>
      <c r="AC2572" s="6"/>
      <c r="AD2572" s="6"/>
      <c r="AE2572" s="6"/>
      <c r="AF2572" s="6"/>
      <c r="AG2572" s="6"/>
      <c r="AH2572" s="6"/>
      <c r="AI2572" s="6"/>
      <c r="AJ2572" s="6"/>
      <c r="AK2572" s="6"/>
      <c r="AL2572" s="6"/>
      <c r="AM2572" s="6"/>
    </row>
    <row r="2573">
      <c r="A2573" s="6"/>
      <c r="B2573" s="6"/>
      <c r="C2573" s="6"/>
      <c r="D2573" s="6"/>
      <c r="E2573" s="6"/>
      <c r="F2573" s="6"/>
      <c r="G2573" s="6"/>
      <c r="H2573" s="6"/>
      <c r="I2573" s="6"/>
      <c r="J2573" s="6"/>
      <c r="K2573" s="6"/>
      <c r="L2573" s="6"/>
      <c r="M2573" s="6"/>
      <c r="N2573" s="6"/>
      <c r="O2573" s="6"/>
      <c r="P2573" s="6"/>
      <c r="Q2573" s="6"/>
      <c r="R2573" s="6"/>
      <c r="S2573" s="6"/>
      <c r="T2573" s="6"/>
      <c r="U2573" s="6"/>
      <c r="V2573" s="6"/>
      <c r="W2573" s="6"/>
      <c r="X2573" s="6"/>
      <c r="Y2573" s="6"/>
      <c r="Z2573" s="6"/>
      <c r="AA2573" s="6"/>
      <c r="AB2573" s="6"/>
      <c r="AC2573" s="6"/>
      <c r="AD2573" s="6"/>
      <c r="AE2573" s="6"/>
      <c r="AF2573" s="6"/>
      <c r="AG2573" s="6"/>
      <c r="AH2573" s="6"/>
      <c r="AI2573" s="6"/>
      <c r="AJ2573" s="6"/>
      <c r="AK2573" s="6"/>
      <c r="AL2573" s="6"/>
      <c r="AM2573" s="6"/>
    </row>
    <row r="2574">
      <c r="A2574" s="6"/>
      <c r="B2574" s="6"/>
      <c r="C2574" s="6"/>
      <c r="D2574" s="6"/>
      <c r="E2574" s="6"/>
      <c r="F2574" s="6"/>
      <c r="G2574" s="6"/>
      <c r="H2574" s="6"/>
      <c r="I2574" s="6"/>
      <c r="J2574" s="6"/>
      <c r="K2574" s="6"/>
      <c r="L2574" s="6"/>
      <c r="M2574" s="6"/>
      <c r="N2574" s="6"/>
      <c r="O2574" s="6"/>
      <c r="P2574" s="6"/>
      <c r="Q2574" s="6"/>
      <c r="R2574" s="6"/>
      <c r="S2574" s="6"/>
      <c r="T2574" s="6"/>
      <c r="U2574" s="6"/>
      <c r="V2574" s="6"/>
      <c r="W2574" s="6"/>
      <c r="X2574" s="6"/>
      <c r="Y2574" s="6"/>
      <c r="Z2574" s="6"/>
      <c r="AA2574" s="6"/>
      <c r="AB2574" s="6"/>
      <c r="AC2574" s="6"/>
      <c r="AD2574" s="6"/>
      <c r="AE2574" s="6"/>
      <c r="AF2574" s="6"/>
      <c r="AG2574" s="6"/>
      <c r="AH2574" s="6"/>
      <c r="AI2574" s="6"/>
      <c r="AJ2574" s="6"/>
      <c r="AK2574" s="6"/>
      <c r="AL2574" s="6"/>
      <c r="AM2574" s="6"/>
    </row>
    <row r="2575">
      <c r="A2575" s="6"/>
      <c r="B2575" s="6"/>
      <c r="C2575" s="6"/>
      <c r="D2575" s="6"/>
      <c r="E2575" s="6"/>
      <c r="F2575" s="6"/>
      <c r="G2575" s="6"/>
      <c r="H2575" s="6"/>
      <c r="I2575" s="6"/>
      <c r="J2575" s="6"/>
      <c r="K2575" s="6"/>
      <c r="L2575" s="6"/>
      <c r="M2575" s="6"/>
      <c r="N2575" s="6"/>
      <c r="O2575" s="6"/>
      <c r="P2575" s="6"/>
      <c r="Q2575" s="6"/>
      <c r="R2575" s="6"/>
      <c r="S2575" s="6"/>
      <c r="T2575" s="6"/>
      <c r="U2575" s="6"/>
      <c r="V2575" s="6"/>
      <c r="W2575" s="6"/>
      <c r="X2575" s="6"/>
      <c r="Y2575" s="6"/>
      <c r="Z2575" s="6"/>
      <c r="AA2575" s="6"/>
      <c r="AB2575" s="6"/>
      <c r="AC2575" s="6"/>
      <c r="AD2575" s="6"/>
      <c r="AE2575" s="6"/>
      <c r="AF2575" s="6"/>
      <c r="AG2575" s="6"/>
      <c r="AH2575" s="6"/>
      <c r="AI2575" s="6"/>
      <c r="AJ2575" s="6"/>
      <c r="AK2575" s="6"/>
      <c r="AL2575" s="6"/>
      <c r="AM2575" s="6"/>
    </row>
    <row r="2576">
      <c r="A2576" s="6"/>
      <c r="B2576" s="6"/>
      <c r="C2576" s="6"/>
      <c r="D2576" s="6"/>
      <c r="E2576" s="6"/>
      <c r="F2576" s="6"/>
      <c r="G2576" s="6"/>
      <c r="H2576" s="6"/>
      <c r="I2576" s="6"/>
      <c r="J2576" s="6"/>
      <c r="K2576" s="6"/>
      <c r="L2576" s="6"/>
      <c r="M2576" s="6"/>
      <c r="N2576" s="6"/>
      <c r="O2576" s="6"/>
      <c r="P2576" s="6"/>
      <c r="Q2576" s="6"/>
      <c r="R2576" s="6"/>
      <c r="S2576" s="6"/>
      <c r="T2576" s="6"/>
      <c r="U2576" s="6"/>
      <c r="V2576" s="6"/>
      <c r="W2576" s="6"/>
      <c r="X2576" s="6"/>
      <c r="Y2576" s="6"/>
      <c r="Z2576" s="6"/>
      <c r="AA2576" s="6"/>
      <c r="AB2576" s="6"/>
      <c r="AC2576" s="6"/>
      <c r="AD2576" s="6"/>
      <c r="AE2576" s="6"/>
      <c r="AF2576" s="6"/>
      <c r="AG2576" s="6"/>
      <c r="AH2576" s="6"/>
      <c r="AI2576" s="6"/>
      <c r="AJ2576" s="6"/>
      <c r="AK2576" s="6"/>
      <c r="AL2576" s="6"/>
      <c r="AM2576" s="6"/>
    </row>
    <row r="2577">
      <c r="A2577" s="6"/>
      <c r="B2577" s="6"/>
      <c r="C2577" s="6"/>
      <c r="D2577" s="6"/>
      <c r="E2577" s="6"/>
      <c r="F2577" s="6"/>
      <c r="G2577" s="6"/>
      <c r="H2577" s="6"/>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c r="AG2577" s="6"/>
      <c r="AH2577" s="6"/>
      <c r="AI2577" s="6"/>
      <c r="AJ2577" s="6"/>
      <c r="AK2577" s="6"/>
      <c r="AL2577" s="6"/>
      <c r="AM2577" s="6"/>
    </row>
    <row r="2578">
      <c r="A2578" s="6"/>
      <c r="B2578" s="6"/>
      <c r="C2578" s="6"/>
      <c r="D2578" s="6"/>
      <c r="E2578" s="6"/>
      <c r="F2578" s="6"/>
      <c r="G2578" s="6"/>
      <c r="H2578" s="6"/>
      <c r="I2578" s="6"/>
      <c r="J2578" s="6"/>
      <c r="K2578" s="6"/>
      <c r="L2578" s="6"/>
      <c r="M2578" s="6"/>
      <c r="N2578" s="6"/>
      <c r="O2578" s="6"/>
      <c r="P2578" s="6"/>
      <c r="Q2578" s="6"/>
      <c r="R2578" s="6"/>
      <c r="S2578" s="6"/>
      <c r="T2578" s="6"/>
      <c r="U2578" s="6"/>
      <c r="V2578" s="6"/>
      <c r="W2578" s="6"/>
      <c r="X2578" s="6"/>
      <c r="Y2578" s="6"/>
      <c r="Z2578" s="6"/>
      <c r="AA2578" s="6"/>
      <c r="AB2578" s="6"/>
      <c r="AC2578" s="6"/>
      <c r="AD2578" s="6"/>
      <c r="AE2578" s="6"/>
      <c r="AF2578" s="6"/>
      <c r="AG2578" s="6"/>
      <c r="AH2578" s="6"/>
      <c r="AI2578" s="6"/>
      <c r="AJ2578" s="6"/>
      <c r="AK2578" s="6"/>
      <c r="AL2578" s="6"/>
      <c r="AM2578" s="6"/>
    </row>
    <row r="2579">
      <c r="A2579" s="6"/>
      <c r="B2579" s="6"/>
      <c r="C2579" s="6"/>
      <c r="D2579" s="6"/>
      <c r="E2579" s="6"/>
      <c r="F2579" s="6"/>
      <c r="G2579" s="6"/>
      <c r="H2579" s="6"/>
      <c r="I2579" s="6"/>
      <c r="J2579" s="6"/>
      <c r="K2579" s="6"/>
      <c r="L2579" s="6"/>
      <c r="M2579" s="6"/>
      <c r="N2579" s="6"/>
      <c r="O2579" s="6"/>
      <c r="P2579" s="6"/>
      <c r="Q2579" s="6"/>
      <c r="R2579" s="6"/>
      <c r="S2579" s="6"/>
      <c r="T2579" s="6"/>
      <c r="U2579" s="6"/>
      <c r="V2579" s="6"/>
      <c r="W2579" s="6"/>
      <c r="X2579" s="6"/>
      <c r="Y2579" s="6"/>
      <c r="Z2579" s="6"/>
      <c r="AA2579" s="6"/>
      <c r="AB2579" s="6"/>
      <c r="AC2579" s="6"/>
      <c r="AD2579" s="6"/>
      <c r="AE2579" s="6"/>
      <c r="AF2579" s="6"/>
      <c r="AG2579" s="6"/>
      <c r="AH2579" s="6"/>
      <c r="AI2579" s="6"/>
      <c r="AJ2579" s="6"/>
      <c r="AK2579" s="6"/>
      <c r="AL2579" s="6"/>
      <c r="AM2579" s="6"/>
    </row>
    <row r="2580">
      <c r="A2580" s="6"/>
      <c r="B2580" s="6"/>
      <c r="C2580" s="6"/>
      <c r="D2580" s="6"/>
      <c r="E2580" s="6"/>
      <c r="F2580" s="6"/>
      <c r="G2580" s="6"/>
      <c r="H2580" s="6"/>
      <c r="I2580" s="6"/>
      <c r="J2580" s="6"/>
      <c r="K2580" s="6"/>
      <c r="L2580" s="6"/>
      <c r="M2580" s="6"/>
      <c r="N2580" s="6"/>
      <c r="O2580" s="6"/>
      <c r="P2580" s="6"/>
      <c r="Q2580" s="6"/>
      <c r="R2580" s="6"/>
      <c r="S2580" s="6"/>
      <c r="T2580" s="6"/>
      <c r="U2580" s="6"/>
      <c r="V2580" s="6"/>
      <c r="W2580" s="6"/>
      <c r="X2580" s="6"/>
      <c r="Y2580" s="6"/>
      <c r="Z2580" s="6"/>
      <c r="AA2580" s="6"/>
      <c r="AB2580" s="6"/>
      <c r="AC2580" s="6"/>
      <c r="AD2580" s="6"/>
      <c r="AE2580" s="6"/>
      <c r="AF2580" s="6"/>
      <c r="AG2580" s="6"/>
      <c r="AH2580" s="6"/>
      <c r="AI2580" s="6"/>
      <c r="AJ2580" s="6"/>
      <c r="AK2580" s="6"/>
      <c r="AL2580" s="6"/>
      <c r="AM2580" s="6"/>
    </row>
    <row r="2581">
      <c r="A2581" s="6"/>
      <c r="B2581" s="6"/>
      <c r="C2581" s="6"/>
      <c r="D2581" s="6"/>
      <c r="E2581" s="6"/>
      <c r="F2581" s="6"/>
      <c r="G2581" s="6"/>
      <c r="H2581" s="6"/>
      <c r="I2581" s="6"/>
      <c r="J2581" s="6"/>
      <c r="K2581" s="6"/>
      <c r="L2581" s="6"/>
      <c r="M2581" s="6"/>
      <c r="N2581" s="6"/>
      <c r="O2581" s="6"/>
      <c r="P2581" s="6"/>
      <c r="Q2581" s="6"/>
      <c r="R2581" s="6"/>
      <c r="S2581" s="6"/>
      <c r="T2581" s="6"/>
      <c r="U2581" s="6"/>
      <c r="V2581" s="6"/>
      <c r="W2581" s="6"/>
      <c r="X2581" s="6"/>
      <c r="Y2581" s="6"/>
      <c r="Z2581" s="6"/>
      <c r="AA2581" s="6"/>
      <c r="AB2581" s="6"/>
      <c r="AC2581" s="6"/>
      <c r="AD2581" s="6"/>
      <c r="AE2581" s="6"/>
      <c r="AF2581" s="6"/>
      <c r="AG2581" s="6"/>
      <c r="AH2581" s="6"/>
      <c r="AI2581" s="6"/>
      <c r="AJ2581" s="6"/>
      <c r="AK2581" s="6"/>
      <c r="AL2581" s="6"/>
      <c r="AM2581" s="6"/>
    </row>
    <row r="2582">
      <c r="A2582" s="6"/>
      <c r="B2582" s="6"/>
      <c r="C2582" s="6"/>
      <c r="D2582" s="6"/>
      <c r="E2582" s="6"/>
      <c r="F2582" s="6"/>
      <c r="G2582" s="6"/>
      <c r="H2582" s="6"/>
      <c r="I2582" s="6"/>
      <c r="J2582" s="6"/>
      <c r="K2582" s="6"/>
      <c r="L2582" s="6"/>
      <c r="M2582" s="6"/>
      <c r="N2582" s="6"/>
      <c r="O2582" s="6"/>
      <c r="P2582" s="6"/>
      <c r="Q2582" s="6"/>
      <c r="R2582" s="6"/>
      <c r="S2582" s="6"/>
      <c r="T2582" s="6"/>
      <c r="U2582" s="6"/>
      <c r="V2582" s="6"/>
      <c r="W2582" s="6"/>
      <c r="X2582" s="6"/>
      <c r="Y2582" s="6"/>
      <c r="Z2582" s="6"/>
      <c r="AA2582" s="6"/>
      <c r="AB2582" s="6"/>
      <c r="AC2582" s="6"/>
      <c r="AD2582" s="6"/>
      <c r="AE2582" s="6"/>
      <c r="AF2582" s="6"/>
      <c r="AG2582" s="6"/>
      <c r="AH2582" s="6"/>
      <c r="AI2582" s="6"/>
      <c r="AJ2582" s="6"/>
      <c r="AK2582" s="6"/>
      <c r="AL2582" s="6"/>
      <c r="AM2582" s="6"/>
    </row>
    <row r="2583">
      <c r="A2583" s="6"/>
      <c r="B2583" s="6"/>
      <c r="C2583" s="6"/>
      <c r="D2583" s="6"/>
      <c r="E2583" s="6"/>
      <c r="F2583" s="6"/>
      <c r="G2583" s="6"/>
      <c r="H2583" s="6"/>
      <c r="I2583" s="6"/>
      <c r="J2583" s="6"/>
      <c r="K2583" s="6"/>
      <c r="L2583" s="6"/>
      <c r="M2583" s="6"/>
      <c r="N2583" s="6"/>
      <c r="O2583" s="6"/>
      <c r="P2583" s="6"/>
      <c r="Q2583" s="6"/>
      <c r="R2583" s="6"/>
      <c r="S2583" s="6"/>
      <c r="T2583" s="6"/>
      <c r="U2583" s="6"/>
      <c r="V2583" s="6"/>
      <c r="W2583" s="6"/>
      <c r="X2583" s="6"/>
      <c r="Y2583" s="6"/>
      <c r="Z2583" s="6"/>
      <c r="AA2583" s="6"/>
      <c r="AB2583" s="6"/>
      <c r="AC2583" s="6"/>
      <c r="AD2583" s="6"/>
      <c r="AE2583" s="6"/>
      <c r="AF2583" s="6"/>
      <c r="AG2583" s="6"/>
      <c r="AH2583" s="6"/>
      <c r="AI2583" s="6"/>
      <c r="AJ2583" s="6"/>
      <c r="AK2583" s="6"/>
      <c r="AL2583" s="6"/>
      <c r="AM2583" s="6"/>
    </row>
    <row r="2584">
      <c r="A2584" s="6"/>
      <c r="B2584" s="6"/>
      <c r="C2584" s="6"/>
      <c r="D2584" s="6"/>
      <c r="E2584" s="6"/>
      <c r="F2584" s="6"/>
      <c r="G2584" s="6"/>
      <c r="H2584" s="6"/>
      <c r="I2584" s="6"/>
      <c r="J2584" s="6"/>
      <c r="K2584" s="6"/>
      <c r="L2584" s="6"/>
      <c r="M2584" s="6"/>
      <c r="N2584" s="6"/>
      <c r="O2584" s="6"/>
      <c r="P2584" s="6"/>
      <c r="Q2584" s="6"/>
      <c r="R2584" s="6"/>
      <c r="S2584" s="6"/>
      <c r="T2584" s="6"/>
      <c r="U2584" s="6"/>
      <c r="V2584" s="6"/>
      <c r="W2584" s="6"/>
      <c r="X2584" s="6"/>
      <c r="Y2584" s="6"/>
      <c r="Z2584" s="6"/>
      <c r="AA2584" s="6"/>
      <c r="AB2584" s="6"/>
      <c r="AC2584" s="6"/>
      <c r="AD2584" s="6"/>
      <c r="AE2584" s="6"/>
      <c r="AF2584" s="6"/>
      <c r="AG2584" s="6"/>
      <c r="AH2584" s="6"/>
      <c r="AI2584" s="6"/>
      <c r="AJ2584" s="6"/>
      <c r="AK2584" s="6"/>
      <c r="AL2584" s="6"/>
      <c r="AM2584" s="6"/>
    </row>
    <row r="2585">
      <c r="A2585" s="6"/>
      <c r="B2585" s="6"/>
      <c r="C2585" s="6"/>
      <c r="D2585" s="6"/>
      <c r="E2585" s="6"/>
      <c r="F2585" s="6"/>
      <c r="G2585" s="6"/>
      <c r="H2585" s="6"/>
      <c r="I2585" s="6"/>
      <c r="J2585" s="6"/>
      <c r="K2585" s="6"/>
      <c r="L2585" s="6"/>
      <c r="M2585" s="6"/>
      <c r="N2585" s="6"/>
      <c r="O2585" s="6"/>
      <c r="P2585" s="6"/>
      <c r="Q2585" s="6"/>
      <c r="R2585" s="6"/>
      <c r="S2585" s="6"/>
      <c r="T2585" s="6"/>
      <c r="U2585" s="6"/>
      <c r="V2585" s="6"/>
      <c r="W2585" s="6"/>
      <c r="X2585" s="6"/>
      <c r="Y2585" s="6"/>
      <c r="Z2585" s="6"/>
      <c r="AA2585" s="6"/>
      <c r="AB2585" s="6"/>
      <c r="AC2585" s="6"/>
      <c r="AD2585" s="6"/>
      <c r="AE2585" s="6"/>
      <c r="AF2585" s="6"/>
      <c r="AG2585" s="6"/>
      <c r="AH2585" s="6"/>
      <c r="AI2585" s="6"/>
      <c r="AJ2585" s="6"/>
      <c r="AK2585" s="6"/>
      <c r="AL2585" s="6"/>
      <c r="AM2585" s="6"/>
    </row>
    <row r="2586">
      <c r="A2586" s="6"/>
      <c r="B2586" s="6"/>
      <c r="C2586" s="6"/>
      <c r="D2586" s="6"/>
      <c r="E2586" s="6"/>
      <c r="F2586" s="6"/>
      <c r="G2586" s="6"/>
      <c r="H2586" s="6"/>
      <c r="I2586" s="6"/>
      <c r="J2586" s="6"/>
      <c r="K2586" s="6"/>
      <c r="L2586" s="6"/>
      <c r="M2586" s="6"/>
      <c r="N2586" s="6"/>
      <c r="O2586" s="6"/>
      <c r="P2586" s="6"/>
      <c r="Q2586" s="6"/>
      <c r="R2586" s="6"/>
      <c r="S2586" s="6"/>
      <c r="T2586" s="6"/>
      <c r="U2586" s="6"/>
      <c r="V2586" s="6"/>
      <c r="W2586" s="6"/>
      <c r="X2586" s="6"/>
      <c r="Y2586" s="6"/>
      <c r="Z2586" s="6"/>
      <c r="AA2586" s="6"/>
      <c r="AB2586" s="6"/>
      <c r="AC2586" s="6"/>
      <c r="AD2586" s="6"/>
      <c r="AE2586" s="6"/>
      <c r="AF2586" s="6"/>
      <c r="AG2586" s="6"/>
      <c r="AH2586" s="6"/>
      <c r="AI2586" s="6"/>
      <c r="AJ2586" s="6"/>
      <c r="AK2586" s="6"/>
      <c r="AL2586" s="6"/>
      <c r="AM2586" s="6"/>
    </row>
    <row r="2587">
      <c r="A2587" s="6"/>
      <c r="B2587" s="6"/>
      <c r="C2587" s="6"/>
      <c r="D2587" s="6"/>
      <c r="E2587" s="6"/>
      <c r="F2587" s="6"/>
      <c r="G2587" s="6"/>
      <c r="H2587" s="6"/>
      <c r="I2587" s="6"/>
      <c r="J2587" s="6"/>
      <c r="K2587" s="6"/>
      <c r="L2587" s="6"/>
      <c r="M2587" s="6"/>
      <c r="N2587" s="6"/>
      <c r="O2587" s="6"/>
      <c r="P2587" s="6"/>
      <c r="Q2587" s="6"/>
      <c r="R2587" s="6"/>
      <c r="S2587" s="6"/>
      <c r="T2587" s="6"/>
      <c r="U2587" s="6"/>
      <c r="V2587" s="6"/>
      <c r="W2587" s="6"/>
      <c r="X2587" s="6"/>
      <c r="Y2587" s="6"/>
      <c r="Z2587" s="6"/>
      <c r="AA2587" s="6"/>
      <c r="AB2587" s="6"/>
      <c r="AC2587" s="6"/>
      <c r="AD2587" s="6"/>
      <c r="AE2587" s="6"/>
      <c r="AF2587" s="6"/>
      <c r="AG2587" s="6"/>
      <c r="AH2587" s="6"/>
      <c r="AI2587" s="6"/>
      <c r="AJ2587" s="6"/>
      <c r="AK2587" s="6"/>
      <c r="AL2587" s="6"/>
      <c r="AM2587" s="6"/>
    </row>
    <row r="2588">
      <c r="A2588" s="6"/>
      <c r="B2588" s="6"/>
      <c r="C2588" s="6"/>
      <c r="D2588" s="6"/>
      <c r="E2588" s="6"/>
      <c r="F2588" s="6"/>
      <c r="G2588" s="6"/>
      <c r="H2588" s="6"/>
      <c r="I2588" s="6"/>
      <c r="J2588" s="6"/>
      <c r="K2588" s="6"/>
      <c r="L2588" s="6"/>
      <c r="M2588" s="6"/>
      <c r="N2588" s="6"/>
      <c r="O2588" s="6"/>
      <c r="P2588" s="6"/>
      <c r="Q2588" s="6"/>
      <c r="R2588" s="6"/>
      <c r="S2588" s="6"/>
      <c r="T2588" s="6"/>
      <c r="U2588" s="6"/>
      <c r="V2588" s="6"/>
      <c r="W2588" s="6"/>
      <c r="X2588" s="6"/>
      <c r="Y2588" s="6"/>
      <c r="Z2588" s="6"/>
      <c r="AA2588" s="6"/>
      <c r="AB2588" s="6"/>
      <c r="AC2588" s="6"/>
      <c r="AD2588" s="6"/>
      <c r="AE2588" s="6"/>
      <c r="AF2588" s="6"/>
      <c r="AG2588" s="6"/>
      <c r="AH2588" s="6"/>
      <c r="AI2588" s="6"/>
      <c r="AJ2588" s="6"/>
      <c r="AK2588" s="6"/>
      <c r="AL2588" s="6"/>
      <c r="AM2588" s="6"/>
    </row>
    <row r="2589">
      <c r="A2589" s="6"/>
      <c r="B2589" s="6"/>
      <c r="C2589" s="6"/>
      <c r="D2589" s="6"/>
      <c r="E2589" s="6"/>
      <c r="F2589" s="6"/>
      <c r="G2589" s="6"/>
      <c r="H2589" s="6"/>
      <c r="I2589" s="6"/>
      <c r="J2589" s="6"/>
      <c r="K2589" s="6"/>
      <c r="L2589" s="6"/>
      <c r="M2589" s="6"/>
      <c r="N2589" s="6"/>
      <c r="O2589" s="6"/>
      <c r="P2589" s="6"/>
      <c r="Q2589" s="6"/>
      <c r="R2589" s="6"/>
      <c r="S2589" s="6"/>
      <c r="T2589" s="6"/>
      <c r="U2589" s="6"/>
      <c r="V2589" s="6"/>
      <c r="W2589" s="6"/>
      <c r="X2589" s="6"/>
      <c r="Y2589" s="6"/>
      <c r="Z2589" s="6"/>
      <c r="AA2589" s="6"/>
      <c r="AB2589" s="6"/>
      <c r="AC2589" s="6"/>
      <c r="AD2589" s="6"/>
      <c r="AE2589" s="6"/>
      <c r="AF2589" s="6"/>
      <c r="AG2589" s="6"/>
      <c r="AH2589" s="6"/>
      <c r="AI2589" s="6"/>
      <c r="AJ2589" s="6"/>
      <c r="AK2589" s="6"/>
      <c r="AL2589" s="6"/>
      <c r="AM2589" s="6"/>
    </row>
    <row r="2590">
      <c r="A2590" s="6"/>
      <c r="B2590" s="6"/>
      <c r="C2590" s="6"/>
      <c r="D2590" s="6"/>
      <c r="E2590" s="6"/>
      <c r="F2590" s="6"/>
      <c r="G2590" s="6"/>
      <c r="H2590" s="6"/>
      <c r="I2590" s="6"/>
      <c r="J2590" s="6"/>
      <c r="K2590" s="6"/>
      <c r="L2590" s="6"/>
      <c r="M2590" s="6"/>
      <c r="N2590" s="6"/>
      <c r="O2590" s="6"/>
      <c r="P2590" s="6"/>
      <c r="Q2590" s="6"/>
      <c r="R2590" s="6"/>
      <c r="S2590" s="6"/>
      <c r="T2590" s="6"/>
      <c r="U2590" s="6"/>
      <c r="V2590" s="6"/>
      <c r="W2590" s="6"/>
      <c r="X2590" s="6"/>
      <c r="Y2590" s="6"/>
      <c r="Z2590" s="6"/>
      <c r="AA2590" s="6"/>
      <c r="AB2590" s="6"/>
      <c r="AC2590" s="6"/>
      <c r="AD2590" s="6"/>
      <c r="AE2590" s="6"/>
      <c r="AF2590" s="6"/>
      <c r="AG2590" s="6"/>
      <c r="AH2590" s="6"/>
      <c r="AI2590" s="6"/>
      <c r="AJ2590" s="6"/>
      <c r="AK2590" s="6"/>
      <c r="AL2590" s="6"/>
      <c r="AM2590" s="6"/>
    </row>
    <row r="2591">
      <c r="A2591" s="6"/>
      <c r="B2591" s="6"/>
      <c r="C2591" s="6"/>
      <c r="D2591" s="6"/>
      <c r="E2591" s="6"/>
      <c r="F2591" s="6"/>
      <c r="G2591" s="6"/>
      <c r="H2591" s="6"/>
      <c r="I2591" s="6"/>
      <c r="J2591" s="6"/>
      <c r="K2591" s="6"/>
      <c r="L2591" s="6"/>
      <c r="M2591" s="6"/>
      <c r="N2591" s="6"/>
      <c r="O2591" s="6"/>
      <c r="P2591" s="6"/>
      <c r="Q2591" s="6"/>
      <c r="R2591" s="6"/>
      <c r="S2591" s="6"/>
      <c r="T2591" s="6"/>
      <c r="U2591" s="6"/>
      <c r="V2591" s="6"/>
      <c r="W2591" s="6"/>
      <c r="X2591" s="6"/>
      <c r="Y2591" s="6"/>
      <c r="Z2591" s="6"/>
      <c r="AA2591" s="6"/>
      <c r="AB2591" s="6"/>
      <c r="AC2591" s="6"/>
      <c r="AD2591" s="6"/>
      <c r="AE2591" s="6"/>
      <c r="AF2591" s="6"/>
      <c r="AG2591" s="6"/>
      <c r="AH2591" s="6"/>
      <c r="AI2591" s="6"/>
      <c r="AJ2591" s="6"/>
      <c r="AK2591" s="6"/>
      <c r="AL2591" s="6"/>
      <c r="AM2591" s="6"/>
    </row>
    <row r="2592">
      <c r="A2592" s="6"/>
      <c r="B2592" s="6"/>
      <c r="C2592" s="6"/>
      <c r="D2592" s="6"/>
      <c r="E2592" s="6"/>
      <c r="F2592" s="6"/>
      <c r="G2592" s="6"/>
      <c r="H2592" s="6"/>
      <c r="I2592" s="6"/>
      <c r="J2592" s="6"/>
      <c r="K2592" s="6"/>
      <c r="L2592" s="6"/>
      <c r="M2592" s="6"/>
      <c r="N2592" s="6"/>
      <c r="O2592" s="6"/>
      <c r="P2592" s="6"/>
      <c r="Q2592" s="6"/>
      <c r="R2592" s="6"/>
      <c r="S2592" s="6"/>
      <c r="T2592" s="6"/>
      <c r="U2592" s="6"/>
      <c r="V2592" s="6"/>
      <c r="W2592" s="6"/>
      <c r="X2592" s="6"/>
      <c r="Y2592" s="6"/>
      <c r="Z2592" s="6"/>
      <c r="AA2592" s="6"/>
      <c r="AB2592" s="6"/>
      <c r="AC2592" s="6"/>
      <c r="AD2592" s="6"/>
      <c r="AE2592" s="6"/>
      <c r="AF2592" s="6"/>
      <c r="AG2592" s="6"/>
      <c r="AH2592" s="6"/>
      <c r="AI2592" s="6"/>
      <c r="AJ2592" s="6"/>
      <c r="AK2592" s="6"/>
      <c r="AL2592" s="6"/>
      <c r="AM2592" s="6"/>
    </row>
    <row r="2593">
      <c r="A2593" s="6"/>
      <c r="B2593" s="6"/>
      <c r="C2593" s="6"/>
      <c r="D2593" s="6"/>
      <c r="E2593" s="6"/>
      <c r="F2593" s="6"/>
      <c r="G2593" s="6"/>
      <c r="H2593" s="6"/>
      <c r="I2593" s="6"/>
      <c r="J2593" s="6"/>
      <c r="K2593" s="6"/>
      <c r="L2593" s="6"/>
      <c r="M2593" s="6"/>
      <c r="N2593" s="6"/>
      <c r="O2593" s="6"/>
      <c r="P2593" s="6"/>
      <c r="Q2593" s="6"/>
      <c r="R2593" s="6"/>
      <c r="S2593" s="6"/>
      <c r="T2593" s="6"/>
      <c r="U2593" s="6"/>
      <c r="V2593" s="6"/>
      <c r="W2593" s="6"/>
      <c r="X2593" s="6"/>
      <c r="Y2593" s="6"/>
      <c r="Z2593" s="6"/>
      <c r="AA2593" s="6"/>
      <c r="AB2593" s="6"/>
      <c r="AC2593" s="6"/>
      <c r="AD2593" s="6"/>
      <c r="AE2593" s="6"/>
      <c r="AF2593" s="6"/>
      <c r="AG2593" s="6"/>
      <c r="AH2593" s="6"/>
      <c r="AI2593" s="6"/>
      <c r="AJ2593" s="6"/>
      <c r="AK2593" s="6"/>
      <c r="AL2593" s="6"/>
      <c r="AM2593" s="6"/>
    </row>
    <row r="2594">
      <c r="A2594" s="6"/>
      <c r="B2594" s="6"/>
      <c r="C2594" s="6"/>
      <c r="D2594" s="6"/>
      <c r="E2594" s="6"/>
      <c r="F2594" s="6"/>
      <c r="G2594" s="6"/>
      <c r="H2594" s="6"/>
      <c r="I2594" s="6"/>
      <c r="J2594" s="6"/>
      <c r="K2594" s="6"/>
      <c r="L2594" s="6"/>
      <c r="M2594" s="6"/>
      <c r="N2594" s="6"/>
      <c r="O2594" s="6"/>
      <c r="P2594" s="6"/>
      <c r="Q2594" s="6"/>
      <c r="R2594" s="6"/>
      <c r="S2594" s="6"/>
      <c r="T2594" s="6"/>
      <c r="U2594" s="6"/>
      <c r="V2594" s="6"/>
      <c r="W2594" s="6"/>
      <c r="X2594" s="6"/>
      <c r="Y2594" s="6"/>
      <c r="Z2594" s="6"/>
      <c r="AA2594" s="6"/>
      <c r="AB2594" s="6"/>
      <c r="AC2594" s="6"/>
      <c r="AD2594" s="6"/>
      <c r="AE2594" s="6"/>
      <c r="AF2594" s="6"/>
      <c r="AG2594" s="6"/>
      <c r="AH2594" s="6"/>
      <c r="AI2594" s="6"/>
      <c r="AJ2594" s="6"/>
      <c r="AK2594" s="6"/>
      <c r="AL2594" s="6"/>
      <c r="AM2594" s="6"/>
    </row>
    <row r="2595">
      <c r="A2595" s="6"/>
      <c r="B2595" s="6"/>
      <c r="C2595" s="6"/>
      <c r="D2595" s="6"/>
      <c r="E2595" s="6"/>
      <c r="F2595" s="6"/>
      <c r="G2595" s="6"/>
      <c r="H2595" s="6"/>
      <c r="I2595" s="6"/>
      <c r="J2595" s="6"/>
      <c r="K2595" s="6"/>
      <c r="L2595" s="6"/>
      <c r="M2595" s="6"/>
      <c r="N2595" s="6"/>
      <c r="O2595" s="6"/>
      <c r="P2595" s="6"/>
      <c r="Q2595" s="6"/>
      <c r="R2595" s="6"/>
      <c r="S2595" s="6"/>
      <c r="T2595" s="6"/>
      <c r="U2595" s="6"/>
      <c r="V2595" s="6"/>
      <c r="W2595" s="6"/>
      <c r="X2595" s="6"/>
      <c r="Y2595" s="6"/>
      <c r="Z2595" s="6"/>
      <c r="AA2595" s="6"/>
      <c r="AB2595" s="6"/>
      <c r="AC2595" s="6"/>
      <c r="AD2595" s="6"/>
      <c r="AE2595" s="6"/>
      <c r="AF2595" s="6"/>
      <c r="AG2595" s="6"/>
      <c r="AH2595" s="6"/>
      <c r="AI2595" s="6"/>
      <c r="AJ2595" s="6"/>
      <c r="AK2595" s="6"/>
      <c r="AL2595" s="6"/>
      <c r="AM2595" s="6"/>
    </row>
    <row r="2596">
      <c r="A2596" s="6"/>
      <c r="B2596" s="6"/>
      <c r="C2596" s="6"/>
      <c r="D2596" s="6"/>
      <c r="E2596" s="6"/>
      <c r="F2596" s="6"/>
      <c r="G2596" s="6"/>
      <c r="H2596" s="6"/>
      <c r="I2596" s="6"/>
      <c r="J2596" s="6"/>
      <c r="K2596" s="6"/>
      <c r="L2596" s="6"/>
      <c r="M2596" s="6"/>
      <c r="N2596" s="6"/>
      <c r="O2596" s="6"/>
      <c r="P2596" s="6"/>
      <c r="Q2596" s="6"/>
      <c r="R2596" s="6"/>
      <c r="S2596" s="6"/>
      <c r="T2596" s="6"/>
      <c r="U2596" s="6"/>
      <c r="V2596" s="6"/>
      <c r="W2596" s="6"/>
      <c r="X2596" s="6"/>
      <c r="Y2596" s="6"/>
      <c r="Z2596" s="6"/>
      <c r="AA2596" s="6"/>
      <c r="AB2596" s="6"/>
      <c r="AC2596" s="6"/>
      <c r="AD2596" s="6"/>
      <c r="AE2596" s="6"/>
      <c r="AF2596" s="6"/>
      <c r="AG2596" s="6"/>
      <c r="AH2596" s="6"/>
      <c r="AI2596" s="6"/>
      <c r="AJ2596" s="6"/>
      <c r="AK2596" s="6"/>
      <c r="AL2596" s="6"/>
      <c r="AM2596" s="6"/>
    </row>
    <row r="2597">
      <c r="A2597" s="6"/>
      <c r="B2597" s="6"/>
      <c r="C2597" s="6"/>
      <c r="D2597" s="6"/>
      <c r="E2597" s="6"/>
      <c r="F2597" s="6"/>
      <c r="G2597" s="6"/>
      <c r="H2597" s="6"/>
      <c r="I2597" s="6"/>
      <c r="J2597" s="6"/>
      <c r="K2597" s="6"/>
      <c r="L2597" s="6"/>
      <c r="M2597" s="6"/>
      <c r="N2597" s="6"/>
      <c r="O2597" s="6"/>
      <c r="P2597" s="6"/>
      <c r="Q2597" s="6"/>
      <c r="R2597" s="6"/>
      <c r="S2597" s="6"/>
      <c r="T2597" s="6"/>
      <c r="U2597" s="6"/>
      <c r="V2597" s="6"/>
      <c r="W2597" s="6"/>
      <c r="X2597" s="6"/>
      <c r="Y2597" s="6"/>
      <c r="Z2597" s="6"/>
      <c r="AA2597" s="6"/>
      <c r="AB2597" s="6"/>
      <c r="AC2597" s="6"/>
      <c r="AD2597" s="6"/>
      <c r="AE2597" s="6"/>
      <c r="AF2597" s="6"/>
      <c r="AG2597" s="6"/>
      <c r="AH2597" s="6"/>
      <c r="AI2597" s="6"/>
      <c r="AJ2597" s="6"/>
      <c r="AK2597" s="6"/>
      <c r="AL2597" s="6"/>
      <c r="AM2597" s="6"/>
    </row>
    <row r="2598">
      <c r="A2598" s="6"/>
      <c r="B2598" s="6"/>
      <c r="C2598" s="6"/>
      <c r="D2598" s="6"/>
      <c r="E2598" s="6"/>
      <c r="F2598" s="6"/>
      <c r="G2598" s="6"/>
      <c r="H2598" s="6"/>
      <c r="I2598" s="6"/>
      <c r="J2598" s="6"/>
      <c r="K2598" s="6"/>
      <c r="L2598" s="6"/>
      <c r="M2598" s="6"/>
      <c r="N2598" s="6"/>
      <c r="O2598" s="6"/>
      <c r="P2598" s="6"/>
      <c r="Q2598" s="6"/>
      <c r="R2598" s="6"/>
      <c r="S2598" s="6"/>
      <c r="T2598" s="6"/>
      <c r="U2598" s="6"/>
      <c r="V2598" s="6"/>
      <c r="W2598" s="6"/>
      <c r="X2598" s="6"/>
      <c r="Y2598" s="6"/>
      <c r="Z2598" s="6"/>
      <c r="AA2598" s="6"/>
      <c r="AB2598" s="6"/>
      <c r="AC2598" s="6"/>
      <c r="AD2598" s="6"/>
      <c r="AE2598" s="6"/>
      <c r="AF2598" s="6"/>
      <c r="AG2598" s="6"/>
      <c r="AH2598" s="6"/>
      <c r="AI2598" s="6"/>
      <c r="AJ2598" s="6"/>
      <c r="AK2598" s="6"/>
      <c r="AL2598" s="6"/>
      <c r="AM2598" s="6"/>
    </row>
    <row r="2599">
      <c r="A2599" s="6"/>
      <c r="B2599" s="6"/>
      <c r="C2599" s="6"/>
      <c r="D2599" s="6"/>
      <c r="E2599" s="6"/>
      <c r="F2599" s="6"/>
      <c r="G2599" s="6"/>
      <c r="H2599" s="6"/>
      <c r="I2599" s="6"/>
      <c r="J2599" s="6"/>
      <c r="K2599" s="6"/>
      <c r="L2599" s="6"/>
      <c r="M2599" s="6"/>
      <c r="N2599" s="6"/>
      <c r="O2599" s="6"/>
      <c r="P2599" s="6"/>
      <c r="Q2599" s="6"/>
      <c r="R2599" s="6"/>
      <c r="S2599" s="6"/>
      <c r="T2599" s="6"/>
      <c r="U2599" s="6"/>
      <c r="V2599" s="6"/>
      <c r="W2599" s="6"/>
      <c r="X2599" s="6"/>
      <c r="Y2599" s="6"/>
      <c r="Z2599" s="6"/>
      <c r="AA2599" s="6"/>
      <c r="AB2599" s="6"/>
      <c r="AC2599" s="6"/>
      <c r="AD2599" s="6"/>
      <c r="AE2599" s="6"/>
      <c r="AF2599" s="6"/>
      <c r="AG2599" s="6"/>
      <c r="AH2599" s="6"/>
      <c r="AI2599" s="6"/>
      <c r="AJ2599" s="6"/>
      <c r="AK2599" s="6"/>
      <c r="AL2599" s="6"/>
      <c r="AM2599" s="6"/>
    </row>
    <row r="2600">
      <c r="A2600" s="6"/>
      <c r="B2600" s="6"/>
      <c r="C2600" s="6"/>
      <c r="D2600" s="6"/>
      <c r="E2600" s="6"/>
      <c r="F2600" s="6"/>
      <c r="G2600" s="6"/>
      <c r="H2600" s="6"/>
      <c r="I2600" s="6"/>
      <c r="J2600" s="6"/>
      <c r="K2600" s="6"/>
      <c r="L2600" s="6"/>
      <c r="M2600" s="6"/>
      <c r="N2600" s="6"/>
      <c r="O2600" s="6"/>
      <c r="P2600" s="6"/>
      <c r="Q2600" s="6"/>
      <c r="R2600" s="6"/>
      <c r="S2600" s="6"/>
      <c r="T2600" s="6"/>
      <c r="U2600" s="6"/>
      <c r="V2600" s="6"/>
      <c r="W2600" s="6"/>
      <c r="X2600" s="6"/>
      <c r="Y2600" s="6"/>
      <c r="Z2600" s="6"/>
      <c r="AA2600" s="6"/>
      <c r="AB2600" s="6"/>
      <c r="AC2600" s="6"/>
      <c r="AD2600" s="6"/>
      <c r="AE2600" s="6"/>
      <c r="AF2600" s="6"/>
      <c r="AG2600" s="6"/>
      <c r="AH2600" s="6"/>
      <c r="AI2600" s="6"/>
      <c r="AJ2600" s="6"/>
      <c r="AK2600" s="6"/>
      <c r="AL2600" s="6"/>
      <c r="AM2600" s="6"/>
    </row>
    <row r="2601">
      <c r="A2601" s="6"/>
      <c r="B2601" s="6"/>
      <c r="C2601" s="6"/>
      <c r="D2601" s="6"/>
      <c r="E2601" s="6"/>
      <c r="F2601" s="6"/>
      <c r="G2601" s="6"/>
      <c r="H2601" s="6"/>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c r="AG2601" s="6"/>
      <c r="AH2601" s="6"/>
      <c r="AI2601" s="6"/>
      <c r="AJ2601" s="6"/>
      <c r="AK2601" s="6"/>
      <c r="AL2601" s="6"/>
      <c r="AM2601" s="6"/>
    </row>
    <row r="2602">
      <c r="A2602" s="6"/>
      <c r="B2602" s="6"/>
      <c r="C2602" s="6"/>
      <c r="D2602" s="6"/>
      <c r="E2602" s="6"/>
      <c r="F2602" s="6"/>
      <c r="G2602" s="6"/>
      <c r="H2602" s="6"/>
      <c r="I2602" s="6"/>
      <c r="J2602" s="6"/>
      <c r="K2602" s="6"/>
      <c r="L2602" s="6"/>
      <c r="M2602" s="6"/>
      <c r="N2602" s="6"/>
      <c r="O2602" s="6"/>
      <c r="P2602" s="6"/>
      <c r="Q2602" s="6"/>
      <c r="R2602" s="6"/>
      <c r="S2602" s="6"/>
      <c r="T2602" s="6"/>
      <c r="U2602" s="6"/>
      <c r="V2602" s="6"/>
      <c r="W2602" s="6"/>
      <c r="X2602" s="6"/>
      <c r="Y2602" s="6"/>
      <c r="Z2602" s="6"/>
      <c r="AA2602" s="6"/>
      <c r="AB2602" s="6"/>
      <c r="AC2602" s="6"/>
      <c r="AD2602" s="6"/>
      <c r="AE2602" s="6"/>
      <c r="AF2602" s="6"/>
      <c r="AG2602" s="6"/>
      <c r="AH2602" s="6"/>
      <c r="AI2602" s="6"/>
      <c r="AJ2602" s="6"/>
      <c r="AK2602" s="6"/>
      <c r="AL2602" s="6"/>
      <c r="AM2602" s="6"/>
    </row>
    <row r="2603">
      <c r="A2603" s="6"/>
      <c r="B2603" s="6"/>
      <c r="C2603" s="6"/>
      <c r="D2603" s="6"/>
      <c r="E2603" s="6"/>
      <c r="F2603" s="6"/>
      <c r="G2603" s="6"/>
      <c r="H2603" s="6"/>
      <c r="I2603" s="6"/>
      <c r="J2603" s="6"/>
      <c r="K2603" s="6"/>
      <c r="L2603" s="6"/>
      <c r="M2603" s="6"/>
      <c r="N2603" s="6"/>
      <c r="O2603" s="6"/>
      <c r="P2603" s="6"/>
      <c r="Q2603" s="6"/>
      <c r="R2603" s="6"/>
      <c r="S2603" s="6"/>
      <c r="T2603" s="6"/>
      <c r="U2603" s="6"/>
      <c r="V2603" s="6"/>
      <c r="W2603" s="6"/>
      <c r="X2603" s="6"/>
      <c r="Y2603" s="6"/>
      <c r="Z2603" s="6"/>
      <c r="AA2603" s="6"/>
      <c r="AB2603" s="6"/>
      <c r="AC2603" s="6"/>
      <c r="AD2603" s="6"/>
      <c r="AE2603" s="6"/>
      <c r="AF2603" s="6"/>
      <c r="AG2603" s="6"/>
      <c r="AH2603" s="6"/>
      <c r="AI2603" s="6"/>
      <c r="AJ2603" s="6"/>
      <c r="AK2603" s="6"/>
      <c r="AL2603" s="6"/>
      <c r="AM2603" s="6"/>
    </row>
    <row r="2604">
      <c r="A2604" s="6"/>
      <c r="B2604" s="6"/>
      <c r="C2604" s="6"/>
      <c r="D2604" s="6"/>
      <c r="E2604" s="6"/>
      <c r="F2604" s="6"/>
      <c r="G2604" s="6"/>
      <c r="H2604" s="6"/>
      <c r="I2604" s="6"/>
      <c r="J2604" s="6"/>
      <c r="K2604" s="6"/>
      <c r="L2604" s="6"/>
      <c r="M2604" s="6"/>
      <c r="N2604" s="6"/>
      <c r="O2604" s="6"/>
      <c r="P2604" s="6"/>
      <c r="Q2604" s="6"/>
      <c r="R2604" s="6"/>
      <c r="S2604" s="6"/>
      <c r="T2604" s="6"/>
      <c r="U2604" s="6"/>
      <c r="V2604" s="6"/>
      <c r="W2604" s="6"/>
      <c r="X2604" s="6"/>
      <c r="Y2604" s="6"/>
      <c r="Z2604" s="6"/>
      <c r="AA2604" s="6"/>
      <c r="AB2604" s="6"/>
      <c r="AC2604" s="6"/>
      <c r="AD2604" s="6"/>
      <c r="AE2604" s="6"/>
      <c r="AF2604" s="6"/>
      <c r="AG2604" s="6"/>
      <c r="AH2604" s="6"/>
      <c r="AI2604" s="6"/>
      <c r="AJ2604" s="6"/>
      <c r="AK2604" s="6"/>
      <c r="AL2604" s="6"/>
      <c r="AM2604" s="6"/>
    </row>
    <row r="2605">
      <c r="A2605" s="6"/>
      <c r="B2605" s="6"/>
      <c r="C2605" s="6"/>
      <c r="D2605" s="6"/>
      <c r="E2605" s="6"/>
      <c r="F2605" s="6"/>
      <c r="G2605" s="6"/>
      <c r="H2605" s="6"/>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c r="AG2605" s="6"/>
      <c r="AH2605" s="6"/>
      <c r="AI2605" s="6"/>
      <c r="AJ2605" s="6"/>
      <c r="AK2605" s="6"/>
      <c r="AL2605" s="6"/>
      <c r="AM2605" s="6"/>
    </row>
    <row r="2606">
      <c r="A2606" s="6"/>
      <c r="B2606" s="6"/>
      <c r="C2606" s="6"/>
      <c r="D2606" s="6"/>
      <c r="E2606" s="6"/>
      <c r="F2606" s="6"/>
      <c r="G2606" s="6"/>
      <c r="H2606" s="6"/>
      <c r="I2606" s="6"/>
      <c r="J2606" s="6"/>
      <c r="K2606" s="6"/>
      <c r="L2606" s="6"/>
      <c r="M2606" s="6"/>
      <c r="N2606" s="6"/>
      <c r="O2606" s="6"/>
      <c r="P2606" s="6"/>
      <c r="Q2606" s="6"/>
      <c r="R2606" s="6"/>
      <c r="S2606" s="6"/>
      <c r="T2606" s="6"/>
      <c r="U2606" s="6"/>
      <c r="V2606" s="6"/>
      <c r="W2606" s="6"/>
      <c r="X2606" s="6"/>
      <c r="Y2606" s="6"/>
      <c r="Z2606" s="6"/>
      <c r="AA2606" s="6"/>
      <c r="AB2606" s="6"/>
      <c r="AC2606" s="6"/>
      <c r="AD2606" s="6"/>
      <c r="AE2606" s="6"/>
      <c r="AF2606" s="6"/>
      <c r="AG2606" s="6"/>
      <c r="AH2606" s="6"/>
      <c r="AI2606" s="6"/>
      <c r="AJ2606" s="6"/>
      <c r="AK2606" s="6"/>
      <c r="AL2606" s="6"/>
      <c r="AM2606" s="6"/>
    </row>
    <row r="2607">
      <c r="A2607" s="6"/>
      <c r="B2607" s="6"/>
      <c r="C2607" s="6"/>
      <c r="D2607" s="6"/>
      <c r="E2607" s="6"/>
      <c r="F2607" s="6"/>
      <c r="G2607" s="6"/>
      <c r="H2607" s="6"/>
      <c r="I2607" s="6"/>
      <c r="J2607" s="6"/>
      <c r="K2607" s="6"/>
      <c r="L2607" s="6"/>
      <c r="M2607" s="6"/>
      <c r="N2607" s="6"/>
      <c r="O2607" s="6"/>
      <c r="P2607" s="6"/>
      <c r="Q2607" s="6"/>
      <c r="R2607" s="6"/>
      <c r="S2607" s="6"/>
      <c r="T2607" s="6"/>
      <c r="U2607" s="6"/>
      <c r="V2607" s="6"/>
      <c r="W2607" s="6"/>
      <c r="X2607" s="6"/>
      <c r="Y2607" s="6"/>
      <c r="Z2607" s="6"/>
      <c r="AA2607" s="6"/>
      <c r="AB2607" s="6"/>
      <c r="AC2607" s="6"/>
      <c r="AD2607" s="6"/>
      <c r="AE2607" s="6"/>
      <c r="AF2607" s="6"/>
      <c r="AG2607" s="6"/>
      <c r="AH2607" s="6"/>
      <c r="AI2607" s="6"/>
      <c r="AJ2607" s="6"/>
      <c r="AK2607" s="6"/>
      <c r="AL2607" s="6"/>
      <c r="AM2607" s="6"/>
    </row>
    <row r="2608">
      <c r="A2608" s="6"/>
      <c r="B2608" s="6"/>
      <c r="C2608" s="6"/>
      <c r="D2608" s="6"/>
      <c r="E2608" s="6"/>
      <c r="F2608" s="6"/>
      <c r="G2608" s="6"/>
      <c r="H2608" s="6"/>
      <c r="I2608" s="6"/>
      <c r="J2608" s="6"/>
      <c r="K2608" s="6"/>
      <c r="L2608" s="6"/>
      <c r="M2608" s="6"/>
      <c r="N2608" s="6"/>
      <c r="O2608" s="6"/>
      <c r="P2608" s="6"/>
      <c r="Q2608" s="6"/>
      <c r="R2608" s="6"/>
      <c r="S2608" s="6"/>
      <c r="T2608" s="6"/>
      <c r="U2608" s="6"/>
      <c r="V2608" s="6"/>
      <c r="W2608" s="6"/>
      <c r="X2608" s="6"/>
      <c r="Y2608" s="6"/>
      <c r="Z2608" s="6"/>
      <c r="AA2608" s="6"/>
      <c r="AB2608" s="6"/>
      <c r="AC2608" s="6"/>
      <c r="AD2608" s="6"/>
      <c r="AE2608" s="6"/>
      <c r="AF2608" s="6"/>
      <c r="AG2608" s="6"/>
      <c r="AH2608" s="6"/>
      <c r="AI2608" s="6"/>
      <c r="AJ2608" s="6"/>
      <c r="AK2608" s="6"/>
      <c r="AL2608" s="6"/>
      <c r="AM2608" s="6"/>
    </row>
    <row r="2609">
      <c r="A2609" s="6"/>
      <c r="B2609" s="6"/>
      <c r="C2609" s="6"/>
      <c r="D2609" s="6"/>
      <c r="E2609" s="6"/>
      <c r="F2609" s="6"/>
      <c r="G2609" s="6"/>
      <c r="H2609" s="6"/>
      <c r="I2609" s="6"/>
      <c r="J2609" s="6"/>
      <c r="K2609" s="6"/>
      <c r="L2609" s="6"/>
      <c r="M2609" s="6"/>
      <c r="N2609" s="6"/>
      <c r="O2609" s="6"/>
      <c r="P2609" s="6"/>
      <c r="Q2609" s="6"/>
      <c r="R2609" s="6"/>
      <c r="S2609" s="6"/>
      <c r="T2609" s="6"/>
      <c r="U2609" s="6"/>
      <c r="V2609" s="6"/>
      <c r="W2609" s="6"/>
      <c r="X2609" s="6"/>
      <c r="Y2609" s="6"/>
      <c r="Z2609" s="6"/>
      <c r="AA2609" s="6"/>
      <c r="AB2609" s="6"/>
      <c r="AC2609" s="6"/>
      <c r="AD2609" s="6"/>
      <c r="AE2609" s="6"/>
      <c r="AF2609" s="6"/>
      <c r="AG2609" s="6"/>
      <c r="AH2609" s="6"/>
      <c r="AI2609" s="6"/>
      <c r="AJ2609" s="6"/>
      <c r="AK2609" s="6"/>
      <c r="AL2609" s="6"/>
      <c r="AM2609" s="6"/>
    </row>
    <row r="2610">
      <c r="A2610" s="6"/>
      <c r="B2610" s="6"/>
      <c r="C2610" s="6"/>
      <c r="D2610" s="6"/>
      <c r="E2610" s="6"/>
      <c r="F2610" s="6"/>
      <c r="G2610" s="6"/>
      <c r="H2610" s="6"/>
      <c r="I2610" s="6"/>
      <c r="J2610" s="6"/>
      <c r="K2610" s="6"/>
      <c r="L2610" s="6"/>
      <c r="M2610" s="6"/>
      <c r="N2610" s="6"/>
      <c r="O2610" s="6"/>
      <c r="P2610" s="6"/>
      <c r="Q2610" s="6"/>
      <c r="R2610" s="6"/>
      <c r="S2610" s="6"/>
      <c r="T2610" s="6"/>
      <c r="U2610" s="6"/>
      <c r="V2610" s="6"/>
      <c r="W2610" s="6"/>
      <c r="X2610" s="6"/>
      <c r="Y2610" s="6"/>
      <c r="Z2610" s="6"/>
      <c r="AA2610" s="6"/>
      <c r="AB2610" s="6"/>
      <c r="AC2610" s="6"/>
      <c r="AD2610" s="6"/>
      <c r="AE2610" s="6"/>
      <c r="AF2610" s="6"/>
      <c r="AG2610" s="6"/>
      <c r="AH2610" s="6"/>
      <c r="AI2610" s="6"/>
      <c r="AJ2610" s="6"/>
      <c r="AK2610" s="6"/>
      <c r="AL2610" s="6"/>
      <c r="AM2610" s="6"/>
    </row>
    <row r="2611">
      <c r="A2611" s="6"/>
      <c r="B2611" s="6"/>
      <c r="C2611" s="6"/>
      <c r="D2611" s="6"/>
      <c r="E2611" s="6"/>
      <c r="F2611" s="6"/>
      <c r="G2611" s="6"/>
      <c r="H2611" s="6"/>
      <c r="I2611" s="6"/>
      <c r="J2611" s="6"/>
      <c r="K2611" s="6"/>
      <c r="L2611" s="6"/>
      <c r="M2611" s="6"/>
      <c r="N2611" s="6"/>
      <c r="O2611" s="6"/>
      <c r="P2611" s="6"/>
      <c r="Q2611" s="6"/>
      <c r="R2611" s="6"/>
      <c r="S2611" s="6"/>
      <c r="T2611" s="6"/>
      <c r="U2611" s="6"/>
      <c r="V2611" s="6"/>
      <c r="W2611" s="6"/>
      <c r="X2611" s="6"/>
      <c r="Y2611" s="6"/>
      <c r="Z2611" s="6"/>
      <c r="AA2611" s="6"/>
      <c r="AB2611" s="6"/>
      <c r="AC2611" s="6"/>
      <c r="AD2611" s="6"/>
      <c r="AE2611" s="6"/>
      <c r="AF2611" s="6"/>
      <c r="AG2611" s="6"/>
      <c r="AH2611" s="6"/>
      <c r="AI2611" s="6"/>
      <c r="AJ2611" s="6"/>
      <c r="AK2611" s="6"/>
      <c r="AL2611" s="6"/>
      <c r="AM2611" s="6"/>
    </row>
    <row r="2612">
      <c r="A2612" s="6"/>
      <c r="B2612" s="6"/>
      <c r="C2612" s="6"/>
      <c r="D2612" s="6"/>
      <c r="E2612" s="6"/>
      <c r="F2612" s="6"/>
      <c r="G2612" s="6"/>
      <c r="H2612" s="6"/>
      <c r="I2612" s="6"/>
      <c r="J2612" s="6"/>
      <c r="K2612" s="6"/>
      <c r="L2612" s="6"/>
      <c r="M2612" s="6"/>
      <c r="N2612" s="6"/>
      <c r="O2612" s="6"/>
      <c r="P2612" s="6"/>
      <c r="Q2612" s="6"/>
      <c r="R2612" s="6"/>
      <c r="S2612" s="6"/>
      <c r="T2612" s="6"/>
      <c r="U2612" s="6"/>
      <c r="V2612" s="6"/>
      <c r="W2612" s="6"/>
      <c r="X2612" s="6"/>
      <c r="Y2612" s="6"/>
      <c r="Z2612" s="6"/>
      <c r="AA2612" s="6"/>
      <c r="AB2612" s="6"/>
      <c r="AC2612" s="6"/>
      <c r="AD2612" s="6"/>
      <c r="AE2612" s="6"/>
      <c r="AF2612" s="6"/>
      <c r="AG2612" s="6"/>
      <c r="AH2612" s="6"/>
      <c r="AI2612" s="6"/>
      <c r="AJ2612" s="6"/>
      <c r="AK2612" s="6"/>
      <c r="AL2612" s="6"/>
      <c r="AM2612" s="6"/>
    </row>
    <row r="2613">
      <c r="A2613" s="6"/>
      <c r="B2613" s="6"/>
      <c r="C2613" s="6"/>
      <c r="D2613" s="6"/>
      <c r="E2613" s="6"/>
      <c r="F2613" s="6"/>
      <c r="G2613" s="6"/>
      <c r="H2613" s="6"/>
      <c r="I2613" s="6"/>
      <c r="J2613" s="6"/>
      <c r="K2613" s="6"/>
      <c r="L2613" s="6"/>
      <c r="M2613" s="6"/>
      <c r="N2613" s="6"/>
      <c r="O2613" s="6"/>
      <c r="P2613" s="6"/>
      <c r="Q2613" s="6"/>
      <c r="R2613" s="6"/>
      <c r="S2613" s="6"/>
      <c r="T2613" s="6"/>
      <c r="U2613" s="6"/>
      <c r="V2613" s="6"/>
      <c r="W2613" s="6"/>
      <c r="X2613" s="6"/>
      <c r="Y2613" s="6"/>
      <c r="Z2613" s="6"/>
      <c r="AA2613" s="6"/>
      <c r="AB2613" s="6"/>
      <c r="AC2613" s="6"/>
      <c r="AD2613" s="6"/>
      <c r="AE2613" s="6"/>
      <c r="AF2613" s="6"/>
      <c r="AG2613" s="6"/>
      <c r="AH2613" s="6"/>
      <c r="AI2613" s="6"/>
      <c r="AJ2613" s="6"/>
      <c r="AK2613" s="6"/>
      <c r="AL2613" s="6"/>
      <c r="AM2613" s="6"/>
    </row>
    <row r="2614">
      <c r="A2614" s="6"/>
      <c r="B2614" s="6"/>
      <c r="C2614" s="6"/>
      <c r="D2614" s="6"/>
      <c r="E2614" s="6"/>
      <c r="F2614" s="6"/>
      <c r="G2614" s="6"/>
      <c r="H2614" s="6"/>
      <c r="I2614" s="6"/>
      <c r="J2614" s="6"/>
      <c r="K2614" s="6"/>
      <c r="L2614" s="6"/>
      <c r="M2614" s="6"/>
      <c r="N2614" s="6"/>
      <c r="O2614" s="6"/>
      <c r="P2614" s="6"/>
      <c r="Q2614" s="6"/>
      <c r="R2614" s="6"/>
      <c r="S2614" s="6"/>
      <c r="T2614" s="6"/>
      <c r="U2614" s="6"/>
      <c r="V2614" s="6"/>
      <c r="W2614" s="6"/>
      <c r="X2614" s="6"/>
      <c r="Y2614" s="6"/>
      <c r="Z2614" s="6"/>
      <c r="AA2614" s="6"/>
      <c r="AB2614" s="6"/>
      <c r="AC2614" s="6"/>
      <c r="AD2614" s="6"/>
      <c r="AE2614" s="6"/>
      <c r="AF2614" s="6"/>
      <c r="AG2614" s="6"/>
      <c r="AH2614" s="6"/>
      <c r="AI2614" s="6"/>
      <c r="AJ2614" s="6"/>
      <c r="AK2614" s="6"/>
      <c r="AL2614" s="6"/>
      <c r="AM2614" s="6"/>
    </row>
    <row r="2615">
      <c r="A2615" s="6"/>
      <c r="B2615" s="6"/>
      <c r="C2615" s="6"/>
      <c r="D2615" s="6"/>
      <c r="E2615" s="6"/>
      <c r="F2615" s="6"/>
      <c r="G2615" s="6"/>
      <c r="H2615" s="6"/>
      <c r="I2615" s="6"/>
      <c r="J2615" s="6"/>
      <c r="K2615" s="6"/>
      <c r="L2615" s="6"/>
      <c r="M2615" s="6"/>
      <c r="N2615" s="6"/>
      <c r="O2615" s="6"/>
      <c r="P2615" s="6"/>
      <c r="Q2615" s="6"/>
      <c r="R2615" s="6"/>
      <c r="S2615" s="6"/>
      <c r="T2615" s="6"/>
      <c r="U2615" s="6"/>
      <c r="V2615" s="6"/>
      <c r="W2615" s="6"/>
      <c r="X2615" s="6"/>
      <c r="Y2615" s="6"/>
      <c r="Z2615" s="6"/>
      <c r="AA2615" s="6"/>
      <c r="AB2615" s="6"/>
      <c r="AC2615" s="6"/>
      <c r="AD2615" s="6"/>
      <c r="AE2615" s="6"/>
      <c r="AF2615" s="6"/>
      <c r="AG2615" s="6"/>
      <c r="AH2615" s="6"/>
      <c r="AI2615" s="6"/>
      <c r="AJ2615" s="6"/>
      <c r="AK2615" s="6"/>
      <c r="AL2615" s="6"/>
      <c r="AM2615" s="6"/>
    </row>
    <row r="2616">
      <c r="A2616" s="6"/>
      <c r="B2616" s="6"/>
      <c r="C2616" s="6"/>
      <c r="D2616" s="6"/>
      <c r="E2616" s="6"/>
      <c r="F2616" s="6"/>
      <c r="G2616" s="6"/>
      <c r="H2616" s="6"/>
      <c r="I2616" s="6"/>
      <c r="J2616" s="6"/>
      <c r="K2616" s="6"/>
      <c r="L2616" s="6"/>
      <c r="M2616" s="6"/>
      <c r="N2616" s="6"/>
      <c r="O2616" s="6"/>
      <c r="P2616" s="6"/>
      <c r="Q2616" s="6"/>
      <c r="R2616" s="6"/>
      <c r="S2616" s="6"/>
      <c r="T2616" s="6"/>
      <c r="U2616" s="6"/>
      <c r="V2616" s="6"/>
      <c r="W2616" s="6"/>
      <c r="X2616" s="6"/>
      <c r="Y2616" s="6"/>
      <c r="Z2616" s="6"/>
      <c r="AA2616" s="6"/>
      <c r="AB2616" s="6"/>
      <c r="AC2616" s="6"/>
      <c r="AD2616" s="6"/>
      <c r="AE2616" s="6"/>
      <c r="AF2616" s="6"/>
      <c r="AG2616" s="6"/>
      <c r="AH2616" s="6"/>
      <c r="AI2616" s="6"/>
      <c r="AJ2616" s="6"/>
      <c r="AK2616" s="6"/>
      <c r="AL2616" s="6"/>
      <c r="AM2616" s="6"/>
    </row>
    <row r="2617">
      <c r="A2617" s="6"/>
      <c r="B2617" s="6"/>
      <c r="C2617" s="6"/>
      <c r="D2617" s="6"/>
      <c r="E2617" s="6"/>
      <c r="F2617" s="6"/>
      <c r="G2617" s="6"/>
      <c r="H2617" s="6"/>
      <c r="I2617" s="6"/>
      <c r="J2617" s="6"/>
      <c r="K2617" s="6"/>
      <c r="L2617" s="6"/>
      <c r="M2617" s="6"/>
      <c r="N2617" s="6"/>
      <c r="O2617" s="6"/>
      <c r="P2617" s="6"/>
      <c r="Q2617" s="6"/>
      <c r="R2617" s="6"/>
      <c r="S2617" s="6"/>
      <c r="T2617" s="6"/>
      <c r="U2617" s="6"/>
      <c r="V2617" s="6"/>
      <c r="W2617" s="6"/>
      <c r="X2617" s="6"/>
      <c r="Y2617" s="6"/>
      <c r="Z2617" s="6"/>
      <c r="AA2617" s="6"/>
      <c r="AB2617" s="6"/>
      <c r="AC2617" s="6"/>
      <c r="AD2617" s="6"/>
      <c r="AE2617" s="6"/>
      <c r="AF2617" s="6"/>
      <c r="AG2617" s="6"/>
      <c r="AH2617" s="6"/>
      <c r="AI2617" s="6"/>
      <c r="AJ2617" s="6"/>
      <c r="AK2617" s="6"/>
      <c r="AL2617" s="6"/>
      <c r="AM2617" s="6"/>
    </row>
    <row r="2618">
      <c r="A2618" s="6"/>
      <c r="B2618" s="6"/>
      <c r="C2618" s="6"/>
      <c r="D2618" s="6"/>
      <c r="E2618" s="6"/>
      <c r="F2618" s="6"/>
      <c r="G2618" s="6"/>
      <c r="H2618" s="6"/>
      <c r="I2618" s="6"/>
      <c r="J2618" s="6"/>
      <c r="K2618" s="6"/>
      <c r="L2618" s="6"/>
      <c r="M2618" s="6"/>
      <c r="N2618" s="6"/>
      <c r="O2618" s="6"/>
      <c r="P2618" s="6"/>
      <c r="Q2618" s="6"/>
      <c r="R2618" s="6"/>
      <c r="S2618" s="6"/>
      <c r="T2618" s="6"/>
      <c r="U2618" s="6"/>
      <c r="V2618" s="6"/>
      <c r="W2618" s="6"/>
      <c r="X2618" s="6"/>
      <c r="Y2618" s="6"/>
      <c r="Z2618" s="6"/>
      <c r="AA2618" s="6"/>
      <c r="AB2618" s="6"/>
      <c r="AC2618" s="6"/>
      <c r="AD2618" s="6"/>
      <c r="AE2618" s="6"/>
      <c r="AF2618" s="6"/>
      <c r="AG2618" s="6"/>
      <c r="AH2618" s="6"/>
      <c r="AI2618" s="6"/>
      <c r="AJ2618" s="6"/>
      <c r="AK2618" s="6"/>
      <c r="AL2618" s="6"/>
      <c r="AM2618" s="6"/>
    </row>
    <row r="2619">
      <c r="A2619" s="6"/>
      <c r="B2619" s="6"/>
      <c r="C2619" s="6"/>
      <c r="D2619" s="6"/>
      <c r="E2619" s="6"/>
      <c r="F2619" s="6"/>
      <c r="G2619" s="6"/>
      <c r="H2619" s="6"/>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c r="AG2619" s="6"/>
      <c r="AH2619" s="6"/>
      <c r="AI2619" s="6"/>
      <c r="AJ2619" s="6"/>
      <c r="AK2619" s="6"/>
      <c r="AL2619" s="6"/>
      <c r="AM2619" s="6"/>
    </row>
    <row r="2620">
      <c r="A2620" s="6"/>
      <c r="B2620" s="6"/>
      <c r="C2620" s="6"/>
      <c r="D2620" s="6"/>
      <c r="E2620" s="6"/>
      <c r="F2620" s="6"/>
      <c r="G2620" s="6"/>
      <c r="H2620" s="6"/>
      <c r="I2620" s="6"/>
      <c r="J2620" s="6"/>
      <c r="K2620" s="6"/>
      <c r="L2620" s="6"/>
      <c r="M2620" s="6"/>
      <c r="N2620" s="6"/>
      <c r="O2620" s="6"/>
      <c r="P2620" s="6"/>
      <c r="Q2620" s="6"/>
      <c r="R2620" s="6"/>
      <c r="S2620" s="6"/>
      <c r="T2620" s="6"/>
      <c r="U2620" s="6"/>
      <c r="V2620" s="6"/>
      <c r="W2620" s="6"/>
      <c r="X2620" s="6"/>
      <c r="Y2620" s="6"/>
      <c r="Z2620" s="6"/>
      <c r="AA2620" s="6"/>
      <c r="AB2620" s="6"/>
      <c r="AC2620" s="6"/>
      <c r="AD2620" s="6"/>
      <c r="AE2620" s="6"/>
      <c r="AF2620" s="6"/>
      <c r="AG2620" s="6"/>
      <c r="AH2620" s="6"/>
      <c r="AI2620" s="6"/>
      <c r="AJ2620" s="6"/>
      <c r="AK2620" s="6"/>
      <c r="AL2620" s="6"/>
      <c r="AM2620" s="6"/>
    </row>
    <row r="2621">
      <c r="A2621" s="6"/>
      <c r="B2621" s="6"/>
      <c r="C2621" s="6"/>
      <c r="D2621" s="6"/>
      <c r="E2621" s="6"/>
      <c r="F2621" s="6"/>
      <c r="G2621" s="6"/>
      <c r="H2621" s="6"/>
      <c r="I2621" s="6"/>
      <c r="J2621" s="6"/>
      <c r="K2621" s="6"/>
      <c r="L2621" s="6"/>
      <c r="M2621" s="6"/>
      <c r="N2621" s="6"/>
      <c r="O2621" s="6"/>
      <c r="P2621" s="6"/>
      <c r="Q2621" s="6"/>
      <c r="R2621" s="6"/>
      <c r="S2621" s="6"/>
      <c r="T2621" s="6"/>
      <c r="U2621" s="6"/>
      <c r="V2621" s="6"/>
      <c r="W2621" s="6"/>
      <c r="X2621" s="6"/>
      <c r="Y2621" s="6"/>
      <c r="Z2621" s="6"/>
      <c r="AA2621" s="6"/>
      <c r="AB2621" s="6"/>
      <c r="AC2621" s="6"/>
      <c r="AD2621" s="6"/>
      <c r="AE2621" s="6"/>
      <c r="AF2621" s="6"/>
      <c r="AG2621" s="6"/>
      <c r="AH2621" s="6"/>
      <c r="AI2621" s="6"/>
      <c r="AJ2621" s="6"/>
      <c r="AK2621" s="6"/>
      <c r="AL2621" s="6"/>
      <c r="AM2621" s="6"/>
    </row>
    <row r="2622">
      <c r="A2622" s="6"/>
      <c r="B2622" s="6"/>
      <c r="C2622" s="6"/>
      <c r="D2622" s="6"/>
      <c r="E2622" s="6"/>
      <c r="F2622" s="6"/>
      <c r="G2622" s="6"/>
      <c r="H2622" s="6"/>
      <c r="I2622" s="6"/>
      <c r="J2622" s="6"/>
      <c r="K2622" s="6"/>
      <c r="L2622" s="6"/>
      <c r="M2622" s="6"/>
      <c r="N2622" s="6"/>
      <c r="O2622" s="6"/>
      <c r="P2622" s="6"/>
      <c r="Q2622" s="6"/>
      <c r="R2622" s="6"/>
      <c r="S2622" s="6"/>
      <c r="T2622" s="6"/>
      <c r="U2622" s="6"/>
      <c r="V2622" s="6"/>
      <c r="W2622" s="6"/>
      <c r="X2622" s="6"/>
      <c r="Y2622" s="6"/>
      <c r="Z2622" s="6"/>
      <c r="AA2622" s="6"/>
      <c r="AB2622" s="6"/>
      <c r="AC2622" s="6"/>
      <c r="AD2622" s="6"/>
      <c r="AE2622" s="6"/>
      <c r="AF2622" s="6"/>
      <c r="AG2622" s="6"/>
      <c r="AH2622" s="6"/>
      <c r="AI2622" s="6"/>
      <c r="AJ2622" s="6"/>
      <c r="AK2622" s="6"/>
      <c r="AL2622" s="6"/>
      <c r="AM2622" s="6"/>
    </row>
    <row r="2623">
      <c r="A2623" s="6"/>
      <c r="B2623" s="6"/>
      <c r="C2623" s="6"/>
      <c r="D2623" s="6"/>
      <c r="E2623" s="6"/>
      <c r="F2623" s="6"/>
      <c r="G2623" s="6"/>
      <c r="H2623" s="6"/>
      <c r="I2623" s="6"/>
      <c r="J2623" s="6"/>
      <c r="K2623" s="6"/>
      <c r="L2623" s="6"/>
      <c r="M2623" s="6"/>
      <c r="N2623" s="6"/>
      <c r="O2623" s="6"/>
      <c r="P2623" s="6"/>
      <c r="Q2623" s="6"/>
      <c r="R2623" s="6"/>
      <c r="S2623" s="6"/>
      <c r="T2623" s="6"/>
      <c r="U2623" s="6"/>
      <c r="V2623" s="6"/>
      <c r="W2623" s="6"/>
      <c r="X2623" s="6"/>
      <c r="Y2623" s="6"/>
      <c r="Z2623" s="6"/>
      <c r="AA2623" s="6"/>
      <c r="AB2623" s="6"/>
      <c r="AC2623" s="6"/>
      <c r="AD2623" s="6"/>
      <c r="AE2623" s="6"/>
      <c r="AF2623" s="6"/>
      <c r="AG2623" s="6"/>
      <c r="AH2623" s="6"/>
      <c r="AI2623" s="6"/>
      <c r="AJ2623" s="6"/>
      <c r="AK2623" s="6"/>
      <c r="AL2623" s="6"/>
      <c r="AM2623" s="6"/>
    </row>
    <row r="2624">
      <c r="A2624" s="6"/>
      <c r="B2624" s="6"/>
      <c r="C2624" s="6"/>
      <c r="D2624" s="6"/>
      <c r="E2624" s="6"/>
      <c r="F2624" s="6"/>
      <c r="G2624" s="6"/>
      <c r="H2624" s="6"/>
      <c r="I2624" s="6"/>
      <c r="J2624" s="6"/>
      <c r="K2624" s="6"/>
      <c r="L2624" s="6"/>
      <c r="M2624" s="6"/>
      <c r="N2624" s="6"/>
      <c r="O2624" s="6"/>
      <c r="P2624" s="6"/>
      <c r="Q2624" s="6"/>
      <c r="R2624" s="6"/>
      <c r="S2624" s="6"/>
      <c r="T2624" s="6"/>
      <c r="U2624" s="6"/>
      <c r="V2624" s="6"/>
      <c r="W2624" s="6"/>
      <c r="X2624" s="6"/>
      <c r="Y2624" s="6"/>
      <c r="Z2624" s="6"/>
      <c r="AA2624" s="6"/>
      <c r="AB2624" s="6"/>
      <c r="AC2624" s="6"/>
      <c r="AD2624" s="6"/>
      <c r="AE2624" s="6"/>
      <c r="AF2624" s="6"/>
      <c r="AG2624" s="6"/>
      <c r="AH2624" s="6"/>
      <c r="AI2624" s="6"/>
      <c r="AJ2624" s="6"/>
      <c r="AK2624" s="6"/>
      <c r="AL2624" s="6"/>
      <c r="AM2624" s="6"/>
    </row>
    <row r="2625">
      <c r="A2625" s="6"/>
      <c r="B2625" s="6"/>
      <c r="C2625" s="6"/>
      <c r="D2625" s="6"/>
      <c r="E2625" s="6"/>
      <c r="F2625" s="6"/>
      <c r="G2625" s="6"/>
      <c r="H2625" s="6"/>
      <c r="I2625" s="6"/>
      <c r="J2625" s="6"/>
      <c r="K2625" s="6"/>
      <c r="L2625" s="6"/>
      <c r="M2625" s="6"/>
      <c r="N2625" s="6"/>
      <c r="O2625" s="6"/>
      <c r="P2625" s="6"/>
      <c r="Q2625" s="6"/>
      <c r="R2625" s="6"/>
      <c r="S2625" s="6"/>
      <c r="T2625" s="6"/>
      <c r="U2625" s="6"/>
      <c r="V2625" s="6"/>
      <c r="W2625" s="6"/>
      <c r="X2625" s="6"/>
      <c r="Y2625" s="6"/>
      <c r="Z2625" s="6"/>
      <c r="AA2625" s="6"/>
      <c r="AB2625" s="6"/>
      <c r="AC2625" s="6"/>
      <c r="AD2625" s="6"/>
      <c r="AE2625" s="6"/>
      <c r="AF2625" s="6"/>
      <c r="AG2625" s="6"/>
      <c r="AH2625" s="6"/>
      <c r="AI2625" s="6"/>
      <c r="AJ2625" s="6"/>
      <c r="AK2625" s="6"/>
      <c r="AL2625" s="6"/>
      <c r="AM2625" s="6"/>
    </row>
    <row r="2626">
      <c r="A2626" s="6"/>
      <c r="B2626" s="6"/>
      <c r="C2626" s="6"/>
      <c r="D2626" s="6"/>
      <c r="E2626" s="6"/>
      <c r="F2626" s="6"/>
      <c r="G2626" s="6"/>
      <c r="H2626" s="6"/>
      <c r="I2626" s="6"/>
      <c r="J2626" s="6"/>
      <c r="K2626" s="6"/>
      <c r="L2626" s="6"/>
      <c r="M2626" s="6"/>
      <c r="N2626" s="6"/>
      <c r="O2626" s="6"/>
      <c r="P2626" s="6"/>
      <c r="Q2626" s="6"/>
      <c r="R2626" s="6"/>
      <c r="S2626" s="6"/>
      <c r="T2626" s="6"/>
      <c r="U2626" s="6"/>
      <c r="V2626" s="6"/>
      <c r="W2626" s="6"/>
      <c r="X2626" s="6"/>
      <c r="Y2626" s="6"/>
      <c r="Z2626" s="6"/>
      <c r="AA2626" s="6"/>
      <c r="AB2626" s="6"/>
      <c r="AC2626" s="6"/>
      <c r="AD2626" s="6"/>
      <c r="AE2626" s="6"/>
      <c r="AF2626" s="6"/>
      <c r="AG2626" s="6"/>
      <c r="AH2626" s="6"/>
      <c r="AI2626" s="6"/>
      <c r="AJ2626" s="6"/>
      <c r="AK2626" s="6"/>
      <c r="AL2626" s="6"/>
      <c r="AM2626" s="6"/>
    </row>
    <row r="2627">
      <c r="A2627" s="6"/>
      <c r="B2627" s="6"/>
      <c r="C2627" s="6"/>
      <c r="D2627" s="6"/>
      <c r="E2627" s="6"/>
      <c r="F2627" s="6"/>
      <c r="G2627" s="6"/>
      <c r="H2627" s="6"/>
      <c r="I2627" s="6"/>
      <c r="J2627" s="6"/>
      <c r="K2627" s="6"/>
      <c r="L2627" s="6"/>
      <c r="M2627" s="6"/>
      <c r="N2627" s="6"/>
      <c r="O2627" s="6"/>
      <c r="P2627" s="6"/>
      <c r="Q2627" s="6"/>
      <c r="R2627" s="6"/>
      <c r="S2627" s="6"/>
      <c r="T2627" s="6"/>
      <c r="U2627" s="6"/>
      <c r="V2627" s="6"/>
      <c r="W2627" s="6"/>
      <c r="X2627" s="6"/>
      <c r="Y2627" s="6"/>
      <c r="Z2627" s="6"/>
      <c r="AA2627" s="6"/>
      <c r="AB2627" s="6"/>
      <c r="AC2627" s="6"/>
      <c r="AD2627" s="6"/>
      <c r="AE2627" s="6"/>
      <c r="AF2627" s="6"/>
      <c r="AG2627" s="6"/>
      <c r="AH2627" s="6"/>
      <c r="AI2627" s="6"/>
      <c r="AJ2627" s="6"/>
      <c r="AK2627" s="6"/>
      <c r="AL2627" s="6"/>
      <c r="AM2627" s="6"/>
    </row>
    <row r="2628">
      <c r="A2628" s="6"/>
      <c r="B2628" s="6"/>
      <c r="C2628" s="6"/>
      <c r="D2628" s="6"/>
      <c r="E2628" s="6"/>
      <c r="F2628" s="6"/>
      <c r="G2628" s="6"/>
      <c r="H2628" s="6"/>
      <c r="I2628" s="6"/>
      <c r="J2628" s="6"/>
      <c r="K2628" s="6"/>
      <c r="L2628" s="6"/>
      <c r="M2628" s="6"/>
      <c r="N2628" s="6"/>
      <c r="O2628" s="6"/>
      <c r="P2628" s="6"/>
      <c r="Q2628" s="6"/>
      <c r="R2628" s="6"/>
      <c r="S2628" s="6"/>
      <c r="T2628" s="6"/>
      <c r="U2628" s="6"/>
      <c r="V2628" s="6"/>
      <c r="W2628" s="6"/>
      <c r="X2628" s="6"/>
      <c r="Y2628" s="6"/>
      <c r="Z2628" s="6"/>
      <c r="AA2628" s="6"/>
      <c r="AB2628" s="6"/>
      <c r="AC2628" s="6"/>
      <c r="AD2628" s="6"/>
      <c r="AE2628" s="6"/>
      <c r="AF2628" s="6"/>
      <c r="AG2628" s="6"/>
      <c r="AH2628" s="6"/>
      <c r="AI2628" s="6"/>
      <c r="AJ2628" s="6"/>
      <c r="AK2628" s="6"/>
      <c r="AL2628" s="6"/>
      <c r="AM2628" s="6"/>
    </row>
    <row r="2629">
      <c r="A2629" s="6"/>
      <c r="B2629" s="6"/>
      <c r="C2629" s="6"/>
      <c r="D2629" s="6"/>
      <c r="E2629" s="6"/>
      <c r="F2629" s="6"/>
      <c r="G2629" s="6"/>
      <c r="H2629" s="6"/>
      <c r="I2629" s="6"/>
      <c r="J2629" s="6"/>
      <c r="K2629" s="6"/>
      <c r="L2629" s="6"/>
      <c r="M2629" s="6"/>
      <c r="N2629" s="6"/>
      <c r="O2629" s="6"/>
      <c r="P2629" s="6"/>
      <c r="Q2629" s="6"/>
      <c r="R2629" s="6"/>
      <c r="S2629" s="6"/>
      <c r="T2629" s="6"/>
      <c r="U2629" s="6"/>
      <c r="V2629" s="6"/>
      <c r="W2629" s="6"/>
      <c r="X2629" s="6"/>
      <c r="Y2629" s="6"/>
      <c r="Z2629" s="6"/>
      <c r="AA2629" s="6"/>
      <c r="AB2629" s="6"/>
      <c r="AC2629" s="6"/>
      <c r="AD2629" s="6"/>
      <c r="AE2629" s="6"/>
      <c r="AF2629" s="6"/>
      <c r="AG2629" s="6"/>
      <c r="AH2629" s="6"/>
      <c r="AI2629" s="6"/>
      <c r="AJ2629" s="6"/>
      <c r="AK2629" s="6"/>
      <c r="AL2629" s="6"/>
      <c r="AM2629" s="6"/>
    </row>
    <row r="2630">
      <c r="A2630" s="6"/>
      <c r="B2630" s="6"/>
      <c r="C2630" s="6"/>
      <c r="D2630" s="6"/>
      <c r="E2630" s="6"/>
      <c r="F2630" s="6"/>
      <c r="G2630" s="6"/>
      <c r="H2630" s="6"/>
      <c r="I2630" s="6"/>
      <c r="J2630" s="6"/>
      <c r="K2630" s="6"/>
      <c r="L2630" s="6"/>
      <c r="M2630" s="6"/>
      <c r="N2630" s="6"/>
      <c r="O2630" s="6"/>
      <c r="P2630" s="6"/>
      <c r="Q2630" s="6"/>
      <c r="R2630" s="6"/>
      <c r="S2630" s="6"/>
      <c r="T2630" s="6"/>
      <c r="U2630" s="6"/>
      <c r="V2630" s="6"/>
      <c r="W2630" s="6"/>
      <c r="X2630" s="6"/>
      <c r="Y2630" s="6"/>
      <c r="Z2630" s="6"/>
      <c r="AA2630" s="6"/>
      <c r="AB2630" s="6"/>
      <c r="AC2630" s="6"/>
      <c r="AD2630" s="6"/>
      <c r="AE2630" s="6"/>
      <c r="AF2630" s="6"/>
      <c r="AG2630" s="6"/>
      <c r="AH2630" s="6"/>
      <c r="AI2630" s="6"/>
      <c r="AJ2630" s="6"/>
      <c r="AK2630" s="6"/>
      <c r="AL2630" s="6"/>
      <c r="AM2630" s="6"/>
    </row>
    <row r="2631">
      <c r="A2631" s="6"/>
      <c r="B2631" s="6"/>
      <c r="C2631" s="6"/>
      <c r="D2631" s="6"/>
      <c r="E2631" s="6"/>
      <c r="F2631" s="6"/>
      <c r="G2631" s="6"/>
      <c r="H2631" s="6"/>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c r="AG2631" s="6"/>
      <c r="AH2631" s="6"/>
      <c r="AI2631" s="6"/>
      <c r="AJ2631" s="6"/>
      <c r="AK2631" s="6"/>
      <c r="AL2631" s="6"/>
      <c r="AM2631" s="6"/>
    </row>
    <row r="2632">
      <c r="A2632" s="6"/>
      <c r="B2632" s="6"/>
      <c r="C2632" s="6"/>
      <c r="D2632" s="6"/>
      <c r="E2632" s="6"/>
      <c r="F2632" s="6"/>
      <c r="G2632" s="6"/>
      <c r="H2632" s="6"/>
      <c r="I2632" s="6"/>
      <c r="J2632" s="6"/>
      <c r="K2632" s="6"/>
      <c r="L2632" s="6"/>
      <c r="M2632" s="6"/>
      <c r="N2632" s="6"/>
      <c r="O2632" s="6"/>
      <c r="P2632" s="6"/>
      <c r="Q2632" s="6"/>
      <c r="R2632" s="6"/>
      <c r="S2632" s="6"/>
      <c r="T2632" s="6"/>
      <c r="U2632" s="6"/>
      <c r="V2632" s="6"/>
      <c r="W2632" s="6"/>
      <c r="X2632" s="6"/>
      <c r="Y2632" s="6"/>
      <c r="Z2632" s="6"/>
      <c r="AA2632" s="6"/>
      <c r="AB2632" s="6"/>
      <c r="AC2632" s="6"/>
      <c r="AD2632" s="6"/>
      <c r="AE2632" s="6"/>
      <c r="AF2632" s="6"/>
      <c r="AG2632" s="6"/>
      <c r="AH2632" s="6"/>
      <c r="AI2632" s="6"/>
      <c r="AJ2632" s="6"/>
      <c r="AK2632" s="6"/>
      <c r="AL2632" s="6"/>
      <c r="AM2632" s="6"/>
    </row>
    <row r="2633">
      <c r="A2633" s="6"/>
      <c r="B2633" s="6"/>
      <c r="C2633" s="6"/>
      <c r="D2633" s="6"/>
      <c r="E2633" s="6"/>
      <c r="F2633" s="6"/>
      <c r="G2633" s="6"/>
      <c r="H2633" s="6"/>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c r="AG2633" s="6"/>
      <c r="AH2633" s="6"/>
      <c r="AI2633" s="6"/>
      <c r="AJ2633" s="6"/>
      <c r="AK2633" s="6"/>
      <c r="AL2633" s="6"/>
      <c r="AM2633" s="6"/>
    </row>
    <row r="2634">
      <c r="A2634" s="6"/>
      <c r="B2634" s="6"/>
      <c r="C2634" s="6"/>
      <c r="D2634" s="6"/>
      <c r="E2634" s="6"/>
      <c r="F2634" s="6"/>
      <c r="G2634" s="6"/>
      <c r="H2634" s="6"/>
      <c r="I2634" s="6"/>
      <c r="J2634" s="6"/>
      <c r="K2634" s="6"/>
      <c r="L2634" s="6"/>
      <c r="M2634" s="6"/>
      <c r="N2634" s="6"/>
      <c r="O2634" s="6"/>
      <c r="P2634" s="6"/>
      <c r="Q2634" s="6"/>
      <c r="R2634" s="6"/>
      <c r="S2634" s="6"/>
      <c r="T2634" s="6"/>
      <c r="U2634" s="6"/>
      <c r="V2634" s="6"/>
      <c r="W2634" s="6"/>
      <c r="X2634" s="6"/>
      <c r="Y2634" s="6"/>
      <c r="Z2634" s="6"/>
      <c r="AA2634" s="6"/>
      <c r="AB2634" s="6"/>
      <c r="AC2634" s="6"/>
      <c r="AD2634" s="6"/>
      <c r="AE2634" s="6"/>
      <c r="AF2634" s="6"/>
      <c r="AG2634" s="6"/>
      <c r="AH2634" s="6"/>
      <c r="AI2634" s="6"/>
      <c r="AJ2634" s="6"/>
      <c r="AK2634" s="6"/>
      <c r="AL2634" s="6"/>
      <c r="AM2634" s="6"/>
    </row>
    <row r="2635">
      <c r="A2635" s="6"/>
      <c r="B2635" s="6"/>
      <c r="C2635" s="6"/>
      <c r="D2635" s="6"/>
      <c r="E2635" s="6"/>
      <c r="F2635" s="6"/>
      <c r="G2635" s="6"/>
      <c r="H2635" s="6"/>
      <c r="I2635" s="6"/>
      <c r="J2635" s="6"/>
      <c r="K2635" s="6"/>
      <c r="L2635" s="6"/>
      <c r="M2635" s="6"/>
      <c r="N2635" s="6"/>
      <c r="O2635" s="6"/>
      <c r="P2635" s="6"/>
      <c r="Q2635" s="6"/>
      <c r="R2635" s="6"/>
      <c r="S2635" s="6"/>
      <c r="T2635" s="6"/>
      <c r="U2635" s="6"/>
      <c r="V2635" s="6"/>
      <c r="W2635" s="6"/>
      <c r="X2635" s="6"/>
      <c r="Y2635" s="6"/>
      <c r="Z2635" s="6"/>
      <c r="AA2635" s="6"/>
      <c r="AB2635" s="6"/>
      <c r="AC2635" s="6"/>
      <c r="AD2635" s="6"/>
      <c r="AE2635" s="6"/>
      <c r="AF2635" s="6"/>
      <c r="AG2635" s="6"/>
      <c r="AH2635" s="6"/>
      <c r="AI2635" s="6"/>
      <c r="AJ2635" s="6"/>
      <c r="AK2635" s="6"/>
      <c r="AL2635" s="6"/>
      <c r="AM2635" s="6"/>
    </row>
    <row r="2636">
      <c r="A2636" s="6"/>
      <c r="B2636" s="6"/>
      <c r="C2636" s="6"/>
      <c r="D2636" s="6"/>
      <c r="E2636" s="6"/>
      <c r="F2636" s="6"/>
      <c r="G2636" s="6"/>
      <c r="H2636" s="6"/>
      <c r="I2636" s="6"/>
      <c r="J2636" s="6"/>
      <c r="K2636" s="6"/>
      <c r="L2636" s="6"/>
      <c r="M2636" s="6"/>
      <c r="N2636" s="6"/>
      <c r="O2636" s="6"/>
      <c r="P2636" s="6"/>
      <c r="Q2636" s="6"/>
      <c r="R2636" s="6"/>
      <c r="S2636" s="6"/>
      <c r="T2636" s="6"/>
      <c r="U2636" s="6"/>
      <c r="V2636" s="6"/>
      <c r="W2636" s="6"/>
      <c r="X2636" s="6"/>
      <c r="Y2636" s="6"/>
      <c r="Z2636" s="6"/>
      <c r="AA2636" s="6"/>
      <c r="AB2636" s="6"/>
      <c r="AC2636" s="6"/>
      <c r="AD2636" s="6"/>
      <c r="AE2636" s="6"/>
      <c r="AF2636" s="6"/>
      <c r="AG2636" s="6"/>
      <c r="AH2636" s="6"/>
      <c r="AI2636" s="6"/>
      <c r="AJ2636" s="6"/>
      <c r="AK2636" s="6"/>
      <c r="AL2636" s="6"/>
      <c r="AM2636" s="6"/>
    </row>
    <row r="2637">
      <c r="A2637" s="6"/>
      <c r="B2637" s="6"/>
      <c r="C2637" s="6"/>
      <c r="D2637" s="6"/>
      <c r="E2637" s="6"/>
      <c r="F2637" s="6"/>
      <c r="G2637" s="6"/>
      <c r="H2637" s="6"/>
      <c r="I2637" s="6"/>
      <c r="J2637" s="6"/>
      <c r="K2637" s="6"/>
      <c r="L2637" s="6"/>
      <c r="M2637" s="6"/>
      <c r="N2637" s="6"/>
      <c r="O2637" s="6"/>
      <c r="P2637" s="6"/>
      <c r="Q2637" s="6"/>
      <c r="R2637" s="6"/>
      <c r="S2637" s="6"/>
      <c r="T2637" s="6"/>
      <c r="U2637" s="6"/>
      <c r="V2637" s="6"/>
      <c r="W2637" s="6"/>
      <c r="X2637" s="6"/>
      <c r="Y2637" s="6"/>
      <c r="Z2637" s="6"/>
      <c r="AA2637" s="6"/>
      <c r="AB2637" s="6"/>
      <c r="AC2637" s="6"/>
      <c r="AD2637" s="6"/>
      <c r="AE2637" s="6"/>
      <c r="AF2637" s="6"/>
      <c r="AG2637" s="6"/>
      <c r="AH2637" s="6"/>
      <c r="AI2637" s="6"/>
      <c r="AJ2637" s="6"/>
      <c r="AK2637" s="6"/>
      <c r="AL2637" s="6"/>
      <c r="AM2637" s="6"/>
    </row>
    <row r="2638">
      <c r="A2638" s="6"/>
      <c r="B2638" s="6"/>
      <c r="C2638" s="6"/>
      <c r="D2638" s="6"/>
      <c r="E2638" s="6"/>
      <c r="F2638" s="6"/>
      <c r="G2638" s="6"/>
      <c r="H2638" s="6"/>
      <c r="I2638" s="6"/>
      <c r="J2638" s="6"/>
      <c r="K2638" s="6"/>
      <c r="L2638" s="6"/>
      <c r="M2638" s="6"/>
      <c r="N2638" s="6"/>
      <c r="O2638" s="6"/>
      <c r="P2638" s="6"/>
      <c r="Q2638" s="6"/>
      <c r="R2638" s="6"/>
      <c r="S2638" s="6"/>
      <c r="T2638" s="6"/>
      <c r="U2638" s="6"/>
      <c r="V2638" s="6"/>
      <c r="W2638" s="6"/>
      <c r="X2638" s="6"/>
      <c r="Y2638" s="6"/>
      <c r="Z2638" s="6"/>
      <c r="AA2638" s="6"/>
      <c r="AB2638" s="6"/>
      <c r="AC2638" s="6"/>
      <c r="AD2638" s="6"/>
      <c r="AE2638" s="6"/>
      <c r="AF2638" s="6"/>
      <c r="AG2638" s="6"/>
      <c r="AH2638" s="6"/>
      <c r="AI2638" s="6"/>
      <c r="AJ2638" s="6"/>
      <c r="AK2638" s="6"/>
      <c r="AL2638" s="6"/>
      <c r="AM2638" s="6"/>
    </row>
    <row r="2639">
      <c r="A2639" s="6"/>
      <c r="B2639" s="6"/>
      <c r="C2639" s="6"/>
      <c r="D2639" s="6"/>
      <c r="E2639" s="6"/>
      <c r="F2639" s="6"/>
      <c r="G2639" s="6"/>
      <c r="H2639" s="6"/>
      <c r="I2639" s="6"/>
      <c r="J2639" s="6"/>
      <c r="K2639" s="6"/>
      <c r="L2639" s="6"/>
      <c r="M2639" s="6"/>
      <c r="N2639" s="6"/>
      <c r="O2639" s="6"/>
      <c r="P2639" s="6"/>
      <c r="Q2639" s="6"/>
      <c r="R2639" s="6"/>
      <c r="S2639" s="6"/>
      <c r="T2639" s="6"/>
      <c r="U2639" s="6"/>
      <c r="V2639" s="6"/>
      <c r="W2639" s="6"/>
      <c r="X2639" s="6"/>
      <c r="Y2639" s="6"/>
      <c r="Z2639" s="6"/>
      <c r="AA2639" s="6"/>
      <c r="AB2639" s="6"/>
      <c r="AC2639" s="6"/>
      <c r="AD2639" s="6"/>
      <c r="AE2639" s="6"/>
      <c r="AF2639" s="6"/>
      <c r="AG2639" s="6"/>
      <c r="AH2639" s="6"/>
      <c r="AI2639" s="6"/>
      <c r="AJ2639" s="6"/>
      <c r="AK2639" s="6"/>
      <c r="AL2639" s="6"/>
      <c r="AM2639" s="6"/>
    </row>
    <row r="2640">
      <c r="A2640" s="6"/>
      <c r="B2640" s="6"/>
      <c r="C2640" s="6"/>
      <c r="D2640" s="6"/>
      <c r="E2640" s="6"/>
      <c r="F2640" s="6"/>
      <c r="G2640" s="6"/>
      <c r="H2640" s="6"/>
      <c r="I2640" s="6"/>
      <c r="J2640" s="6"/>
      <c r="K2640" s="6"/>
      <c r="L2640" s="6"/>
      <c r="M2640" s="6"/>
      <c r="N2640" s="6"/>
      <c r="O2640" s="6"/>
      <c r="P2640" s="6"/>
      <c r="Q2640" s="6"/>
      <c r="R2640" s="6"/>
      <c r="S2640" s="6"/>
      <c r="T2640" s="6"/>
      <c r="U2640" s="6"/>
      <c r="V2640" s="6"/>
      <c r="W2640" s="6"/>
      <c r="X2640" s="6"/>
      <c r="Y2640" s="6"/>
      <c r="Z2640" s="6"/>
      <c r="AA2640" s="6"/>
      <c r="AB2640" s="6"/>
      <c r="AC2640" s="6"/>
      <c r="AD2640" s="6"/>
      <c r="AE2640" s="6"/>
      <c r="AF2640" s="6"/>
      <c r="AG2640" s="6"/>
      <c r="AH2640" s="6"/>
      <c r="AI2640" s="6"/>
      <c r="AJ2640" s="6"/>
      <c r="AK2640" s="6"/>
      <c r="AL2640" s="6"/>
      <c r="AM2640" s="6"/>
    </row>
    <row r="2641">
      <c r="A2641" s="6"/>
      <c r="B2641" s="6"/>
      <c r="C2641" s="6"/>
      <c r="D2641" s="6"/>
      <c r="E2641" s="6"/>
      <c r="F2641" s="6"/>
      <c r="G2641" s="6"/>
      <c r="H2641" s="6"/>
      <c r="I2641" s="6"/>
      <c r="J2641" s="6"/>
      <c r="K2641" s="6"/>
      <c r="L2641" s="6"/>
      <c r="M2641" s="6"/>
      <c r="N2641" s="6"/>
      <c r="O2641" s="6"/>
      <c r="P2641" s="6"/>
      <c r="Q2641" s="6"/>
      <c r="R2641" s="6"/>
      <c r="S2641" s="6"/>
      <c r="T2641" s="6"/>
      <c r="U2641" s="6"/>
      <c r="V2641" s="6"/>
      <c r="W2641" s="6"/>
      <c r="X2641" s="6"/>
      <c r="Y2641" s="6"/>
      <c r="Z2641" s="6"/>
      <c r="AA2641" s="6"/>
      <c r="AB2641" s="6"/>
      <c r="AC2641" s="6"/>
      <c r="AD2641" s="6"/>
      <c r="AE2641" s="6"/>
      <c r="AF2641" s="6"/>
      <c r="AG2641" s="6"/>
      <c r="AH2641" s="6"/>
      <c r="AI2641" s="6"/>
      <c r="AJ2641" s="6"/>
      <c r="AK2641" s="6"/>
      <c r="AL2641" s="6"/>
      <c r="AM2641" s="6"/>
    </row>
    <row r="2642">
      <c r="A2642" s="6"/>
      <c r="B2642" s="6"/>
      <c r="C2642" s="6"/>
      <c r="D2642" s="6"/>
      <c r="E2642" s="6"/>
      <c r="F2642" s="6"/>
      <c r="G2642" s="6"/>
      <c r="H2642" s="6"/>
      <c r="I2642" s="6"/>
      <c r="J2642" s="6"/>
      <c r="K2642" s="6"/>
      <c r="L2642" s="6"/>
      <c r="M2642" s="6"/>
      <c r="N2642" s="6"/>
      <c r="O2642" s="6"/>
      <c r="P2642" s="6"/>
      <c r="Q2642" s="6"/>
      <c r="R2642" s="6"/>
      <c r="S2642" s="6"/>
      <c r="T2642" s="6"/>
      <c r="U2642" s="6"/>
      <c r="V2642" s="6"/>
      <c r="W2642" s="6"/>
      <c r="X2642" s="6"/>
      <c r="Y2642" s="6"/>
      <c r="Z2642" s="6"/>
      <c r="AA2642" s="6"/>
      <c r="AB2642" s="6"/>
      <c r="AC2642" s="6"/>
      <c r="AD2642" s="6"/>
      <c r="AE2642" s="6"/>
      <c r="AF2642" s="6"/>
      <c r="AG2642" s="6"/>
      <c r="AH2642" s="6"/>
      <c r="AI2642" s="6"/>
      <c r="AJ2642" s="6"/>
      <c r="AK2642" s="6"/>
      <c r="AL2642" s="6"/>
      <c r="AM2642" s="6"/>
    </row>
    <row r="2643">
      <c r="A2643" s="6"/>
      <c r="B2643" s="6"/>
      <c r="C2643" s="6"/>
      <c r="D2643" s="6"/>
      <c r="E2643" s="6"/>
      <c r="F2643" s="6"/>
      <c r="G2643" s="6"/>
      <c r="H2643" s="6"/>
      <c r="I2643" s="6"/>
      <c r="J2643" s="6"/>
      <c r="K2643" s="6"/>
      <c r="L2643" s="6"/>
      <c r="M2643" s="6"/>
      <c r="N2643" s="6"/>
      <c r="O2643" s="6"/>
      <c r="P2643" s="6"/>
      <c r="Q2643" s="6"/>
      <c r="R2643" s="6"/>
      <c r="S2643" s="6"/>
      <c r="T2643" s="6"/>
      <c r="U2643" s="6"/>
      <c r="V2643" s="6"/>
      <c r="W2643" s="6"/>
      <c r="X2643" s="6"/>
      <c r="Y2643" s="6"/>
      <c r="Z2643" s="6"/>
      <c r="AA2643" s="6"/>
      <c r="AB2643" s="6"/>
      <c r="AC2643" s="6"/>
      <c r="AD2643" s="6"/>
      <c r="AE2643" s="6"/>
      <c r="AF2643" s="6"/>
      <c r="AG2643" s="6"/>
      <c r="AH2643" s="6"/>
      <c r="AI2643" s="6"/>
      <c r="AJ2643" s="6"/>
      <c r="AK2643" s="6"/>
      <c r="AL2643" s="6"/>
      <c r="AM2643" s="6"/>
    </row>
    <row r="2644">
      <c r="A2644" s="6"/>
      <c r="B2644" s="6"/>
      <c r="C2644" s="6"/>
      <c r="D2644" s="6"/>
      <c r="E2644" s="6"/>
      <c r="F2644" s="6"/>
      <c r="G2644" s="6"/>
      <c r="H2644" s="6"/>
      <c r="I2644" s="6"/>
      <c r="J2644" s="6"/>
      <c r="K2644" s="6"/>
      <c r="L2644" s="6"/>
      <c r="M2644" s="6"/>
      <c r="N2644" s="6"/>
      <c r="O2644" s="6"/>
      <c r="P2644" s="6"/>
      <c r="Q2644" s="6"/>
      <c r="R2644" s="6"/>
      <c r="S2644" s="6"/>
      <c r="T2644" s="6"/>
      <c r="U2644" s="6"/>
      <c r="V2644" s="6"/>
      <c r="W2644" s="6"/>
      <c r="X2644" s="6"/>
      <c r="Y2644" s="6"/>
      <c r="Z2644" s="6"/>
      <c r="AA2644" s="6"/>
      <c r="AB2644" s="6"/>
      <c r="AC2644" s="6"/>
      <c r="AD2644" s="6"/>
      <c r="AE2644" s="6"/>
      <c r="AF2644" s="6"/>
      <c r="AG2644" s="6"/>
      <c r="AH2644" s="6"/>
      <c r="AI2644" s="6"/>
      <c r="AJ2644" s="6"/>
      <c r="AK2644" s="6"/>
      <c r="AL2644" s="6"/>
      <c r="AM2644" s="6"/>
    </row>
    <row r="2645">
      <c r="A2645" s="6"/>
      <c r="B2645" s="6"/>
      <c r="C2645" s="6"/>
      <c r="D2645" s="6"/>
      <c r="E2645" s="6"/>
      <c r="F2645" s="6"/>
      <c r="G2645" s="6"/>
      <c r="H2645" s="6"/>
      <c r="I2645" s="6"/>
      <c r="J2645" s="6"/>
      <c r="K2645" s="6"/>
      <c r="L2645" s="6"/>
      <c r="M2645" s="6"/>
      <c r="N2645" s="6"/>
      <c r="O2645" s="6"/>
      <c r="P2645" s="6"/>
      <c r="Q2645" s="6"/>
      <c r="R2645" s="6"/>
      <c r="S2645" s="6"/>
      <c r="T2645" s="6"/>
      <c r="U2645" s="6"/>
      <c r="V2645" s="6"/>
      <c r="W2645" s="6"/>
      <c r="X2645" s="6"/>
      <c r="Y2645" s="6"/>
      <c r="Z2645" s="6"/>
      <c r="AA2645" s="6"/>
      <c r="AB2645" s="6"/>
      <c r="AC2645" s="6"/>
      <c r="AD2645" s="6"/>
      <c r="AE2645" s="6"/>
      <c r="AF2645" s="6"/>
      <c r="AG2645" s="6"/>
      <c r="AH2645" s="6"/>
      <c r="AI2645" s="6"/>
      <c r="AJ2645" s="6"/>
      <c r="AK2645" s="6"/>
      <c r="AL2645" s="6"/>
      <c r="AM2645" s="6"/>
    </row>
    <row r="2646">
      <c r="A2646" s="6"/>
      <c r="B2646" s="6"/>
      <c r="C2646" s="6"/>
      <c r="D2646" s="6"/>
      <c r="E2646" s="6"/>
      <c r="F2646" s="6"/>
      <c r="G2646" s="6"/>
      <c r="H2646" s="6"/>
      <c r="I2646" s="6"/>
      <c r="J2646" s="6"/>
      <c r="K2646" s="6"/>
      <c r="L2646" s="6"/>
      <c r="M2646" s="6"/>
      <c r="N2646" s="6"/>
      <c r="O2646" s="6"/>
      <c r="P2646" s="6"/>
      <c r="Q2646" s="6"/>
      <c r="R2646" s="6"/>
      <c r="S2646" s="6"/>
      <c r="T2646" s="6"/>
      <c r="U2646" s="6"/>
      <c r="V2646" s="6"/>
      <c r="W2646" s="6"/>
      <c r="X2646" s="6"/>
      <c r="Y2646" s="6"/>
      <c r="Z2646" s="6"/>
      <c r="AA2646" s="6"/>
      <c r="AB2646" s="6"/>
      <c r="AC2646" s="6"/>
      <c r="AD2646" s="6"/>
      <c r="AE2646" s="6"/>
      <c r="AF2646" s="6"/>
      <c r="AG2646" s="6"/>
      <c r="AH2646" s="6"/>
      <c r="AI2646" s="6"/>
      <c r="AJ2646" s="6"/>
      <c r="AK2646" s="6"/>
      <c r="AL2646" s="6"/>
      <c r="AM2646" s="6"/>
    </row>
    <row r="2647">
      <c r="A2647" s="6"/>
      <c r="B2647" s="6"/>
      <c r="C2647" s="6"/>
      <c r="D2647" s="6"/>
      <c r="E2647" s="6"/>
      <c r="F2647" s="6"/>
      <c r="G2647" s="6"/>
      <c r="H2647" s="6"/>
      <c r="I2647" s="6"/>
      <c r="J2647" s="6"/>
      <c r="K2647" s="6"/>
      <c r="L2647" s="6"/>
      <c r="M2647" s="6"/>
      <c r="N2647" s="6"/>
      <c r="O2647" s="6"/>
      <c r="P2647" s="6"/>
      <c r="Q2647" s="6"/>
      <c r="R2647" s="6"/>
      <c r="S2647" s="6"/>
      <c r="T2647" s="6"/>
      <c r="U2647" s="6"/>
      <c r="V2647" s="6"/>
      <c r="W2647" s="6"/>
      <c r="X2647" s="6"/>
      <c r="Y2647" s="6"/>
      <c r="Z2647" s="6"/>
      <c r="AA2647" s="6"/>
      <c r="AB2647" s="6"/>
      <c r="AC2647" s="6"/>
      <c r="AD2647" s="6"/>
      <c r="AE2647" s="6"/>
      <c r="AF2647" s="6"/>
      <c r="AG2647" s="6"/>
      <c r="AH2647" s="6"/>
      <c r="AI2647" s="6"/>
      <c r="AJ2647" s="6"/>
      <c r="AK2647" s="6"/>
      <c r="AL2647" s="6"/>
      <c r="AM2647" s="6"/>
    </row>
    <row r="2648">
      <c r="A2648" s="6"/>
      <c r="B2648" s="6"/>
      <c r="C2648" s="6"/>
      <c r="D2648" s="6"/>
      <c r="E2648" s="6"/>
      <c r="F2648" s="6"/>
      <c r="G2648" s="6"/>
      <c r="H2648" s="6"/>
      <c r="I2648" s="6"/>
      <c r="J2648" s="6"/>
      <c r="K2648" s="6"/>
      <c r="L2648" s="6"/>
      <c r="M2648" s="6"/>
      <c r="N2648" s="6"/>
      <c r="O2648" s="6"/>
      <c r="P2648" s="6"/>
      <c r="Q2648" s="6"/>
      <c r="R2648" s="6"/>
      <c r="S2648" s="6"/>
      <c r="T2648" s="6"/>
      <c r="U2648" s="6"/>
      <c r="V2648" s="6"/>
      <c r="W2648" s="6"/>
      <c r="X2648" s="6"/>
      <c r="Y2648" s="6"/>
      <c r="Z2648" s="6"/>
      <c r="AA2648" s="6"/>
      <c r="AB2648" s="6"/>
      <c r="AC2648" s="6"/>
      <c r="AD2648" s="6"/>
      <c r="AE2648" s="6"/>
      <c r="AF2648" s="6"/>
      <c r="AG2648" s="6"/>
      <c r="AH2648" s="6"/>
      <c r="AI2648" s="6"/>
      <c r="AJ2648" s="6"/>
      <c r="AK2648" s="6"/>
      <c r="AL2648" s="6"/>
      <c r="AM2648" s="6"/>
    </row>
    <row r="2649">
      <c r="A2649" s="6"/>
      <c r="B2649" s="6"/>
      <c r="C2649" s="6"/>
      <c r="D2649" s="6"/>
      <c r="E2649" s="6"/>
      <c r="F2649" s="6"/>
      <c r="G2649" s="6"/>
      <c r="H2649" s="6"/>
      <c r="I2649" s="6"/>
      <c r="J2649" s="6"/>
      <c r="K2649" s="6"/>
      <c r="L2649" s="6"/>
      <c r="M2649" s="6"/>
      <c r="N2649" s="6"/>
      <c r="O2649" s="6"/>
      <c r="P2649" s="6"/>
      <c r="Q2649" s="6"/>
      <c r="R2649" s="6"/>
      <c r="S2649" s="6"/>
      <c r="T2649" s="6"/>
      <c r="U2649" s="6"/>
      <c r="V2649" s="6"/>
      <c r="W2649" s="6"/>
      <c r="X2649" s="6"/>
      <c r="Y2649" s="6"/>
      <c r="Z2649" s="6"/>
      <c r="AA2649" s="6"/>
      <c r="AB2649" s="6"/>
      <c r="AC2649" s="6"/>
      <c r="AD2649" s="6"/>
      <c r="AE2649" s="6"/>
      <c r="AF2649" s="6"/>
      <c r="AG2649" s="6"/>
      <c r="AH2649" s="6"/>
      <c r="AI2649" s="6"/>
      <c r="AJ2649" s="6"/>
      <c r="AK2649" s="6"/>
      <c r="AL2649" s="6"/>
      <c r="AM2649" s="6"/>
    </row>
    <row r="2650">
      <c r="A2650" s="6"/>
      <c r="B2650" s="6"/>
      <c r="C2650" s="6"/>
      <c r="D2650" s="6"/>
      <c r="E2650" s="6"/>
      <c r="F2650" s="6"/>
      <c r="G2650" s="6"/>
      <c r="H2650" s="6"/>
      <c r="I2650" s="6"/>
      <c r="J2650" s="6"/>
      <c r="K2650" s="6"/>
      <c r="L2650" s="6"/>
      <c r="M2650" s="6"/>
      <c r="N2650" s="6"/>
      <c r="O2650" s="6"/>
      <c r="P2650" s="6"/>
      <c r="Q2650" s="6"/>
      <c r="R2650" s="6"/>
      <c r="S2650" s="6"/>
      <c r="T2650" s="6"/>
      <c r="U2650" s="6"/>
      <c r="V2650" s="6"/>
      <c r="W2650" s="6"/>
      <c r="X2650" s="6"/>
      <c r="Y2650" s="6"/>
      <c r="Z2650" s="6"/>
      <c r="AA2650" s="6"/>
      <c r="AB2650" s="6"/>
      <c r="AC2650" s="6"/>
      <c r="AD2650" s="6"/>
      <c r="AE2650" s="6"/>
      <c r="AF2650" s="6"/>
      <c r="AG2650" s="6"/>
      <c r="AH2650" s="6"/>
      <c r="AI2650" s="6"/>
      <c r="AJ2650" s="6"/>
      <c r="AK2650" s="6"/>
      <c r="AL2650" s="6"/>
      <c r="AM2650" s="6"/>
    </row>
    <row r="2651">
      <c r="A2651" s="6"/>
      <c r="B2651" s="6"/>
      <c r="C2651" s="6"/>
      <c r="D2651" s="6"/>
      <c r="E2651" s="6"/>
      <c r="F2651" s="6"/>
      <c r="G2651" s="6"/>
      <c r="H2651" s="6"/>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c r="AG2651" s="6"/>
      <c r="AH2651" s="6"/>
      <c r="AI2651" s="6"/>
      <c r="AJ2651" s="6"/>
      <c r="AK2651" s="6"/>
      <c r="AL2651" s="6"/>
      <c r="AM2651" s="6"/>
    </row>
    <row r="2652">
      <c r="A2652" s="6"/>
      <c r="B2652" s="6"/>
      <c r="C2652" s="6"/>
      <c r="D2652" s="6"/>
      <c r="E2652" s="6"/>
      <c r="F2652" s="6"/>
      <c r="G2652" s="6"/>
      <c r="H2652" s="6"/>
      <c r="I2652" s="6"/>
      <c r="J2652" s="6"/>
      <c r="K2652" s="6"/>
      <c r="L2652" s="6"/>
      <c r="M2652" s="6"/>
      <c r="N2652" s="6"/>
      <c r="O2652" s="6"/>
      <c r="P2652" s="6"/>
      <c r="Q2652" s="6"/>
      <c r="R2652" s="6"/>
      <c r="S2652" s="6"/>
      <c r="T2652" s="6"/>
      <c r="U2652" s="6"/>
      <c r="V2652" s="6"/>
      <c r="W2652" s="6"/>
      <c r="X2652" s="6"/>
      <c r="Y2652" s="6"/>
      <c r="Z2652" s="6"/>
      <c r="AA2652" s="6"/>
      <c r="AB2652" s="6"/>
      <c r="AC2652" s="6"/>
      <c r="AD2652" s="6"/>
      <c r="AE2652" s="6"/>
      <c r="AF2652" s="6"/>
      <c r="AG2652" s="6"/>
      <c r="AH2652" s="6"/>
      <c r="AI2652" s="6"/>
      <c r="AJ2652" s="6"/>
      <c r="AK2652" s="6"/>
      <c r="AL2652" s="6"/>
      <c r="AM2652" s="6"/>
    </row>
    <row r="2653">
      <c r="A2653" s="6"/>
      <c r="B2653" s="6"/>
      <c r="C2653" s="6"/>
      <c r="D2653" s="6"/>
      <c r="E2653" s="6"/>
      <c r="F2653" s="6"/>
      <c r="G2653" s="6"/>
      <c r="H2653" s="6"/>
      <c r="I2653" s="6"/>
      <c r="J2653" s="6"/>
      <c r="K2653" s="6"/>
      <c r="L2653" s="6"/>
      <c r="M2653" s="6"/>
      <c r="N2653" s="6"/>
      <c r="O2653" s="6"/>
      <c r="P2653" s="6"/>
      <c r="Q2653" s="6"/>
      <c r="R2653" s="6"/>
      <c r="S2653" s="6"/>
      <c r="T2653" s="6"/>
      <c r="U2653" s="6"/>
      <c r="V2653" s="6"/>
      <c r="W2653" s="6"/>
      <c r="X2653" s="6"/>
      <c r="Y2653" s="6"/>
      <c r="Z2653" s="6"/>
      <c r="AA2653" s="6"/>
      <c r="AB2653" s="6"/>
      <c r="AC2653" s="6"/>
      <c r="AD2653" s="6"/>
      <c r="AE2653" s="6"/>
      <c r="AF2653" s="6"/>
      <c r="AG2653" s="6"/>
      <c r="AH2653" s="6"/>
      <c r="AI2653" s="6"/>
      <c r="AJ2653" s="6"/>
      <c r="AK2653" s="6"/>
      <c r="AL2653" s="6"/>
      <c r="AM2653" s="6"/>
    </row>
    <row r="2654">
      <c r="A2654" s="6"/>
      <c r="B2654" s="6"/>
      <c r="C2654" s="6"/>
      <c r="D2654" s="6"/>
      <c r="E2654" s="6"/>
      <c r="F2654" s="6"/>
      <c r="G2654" s="6"/>
      <c r="H2654" s="6"/>
      <c r="I2654" s="6"/>
      <c r="J2654" s="6"/>
      <c r="K2654" s="6"/>
      <c r="L2654" s="6"/>
      <c r="M2654" s="6"/>
      <c r="N2654" s="6"/>
      <c r="O2654" s="6"/>
      <c r="P2654" s="6"/>
      <c r="Q2654" s="6"/>
      <c r="R2654" s="6"/>
      <c r="S2654" s="6"/>
      <c r="T2654" s="6"/>
      <c r="U2654" s="6"/>
      <c r="V2654" s="6"/>
      <c r="W2654" s="6"/>
      <c r="X2654" s="6"/>
      <c r="Y2654" s="6"/>
      <c r="Z2654" s="6"/>
      <c r="AA2654" s="6"/>
      <c r="AB2654" s="6"/>
      <c r="AC2654" s="6"/>
      <c r="AD2654" s="6"/>
      <c r="AE2654" s="6"/>
      <c r="AF2654" s="6"/>
      <c r="AG2654" s="6"/>
      <c r="AH2654" s="6"/>
      <c r="AI2654" s="6"/>
      <c r="AJ2654" s="6"/>
      <c r="AK2654" s="6"/>
      <c r="AL2654" s="6"/>
      <c r="AM2654" s="6"/>
    </row>
    <row r="2655">
      <c r="A2655" s="6"/>
      <c r="B2655" s="6"/>
      <c r="C2655" s="6"/>
      <c r="D2655" s="6"/>
      <c r="E2655" s="6"/>
      <c r="F2655" s="6"/>
      <c r="G2655" s="6"/>
      <c r="H2655" s="6"/>
      <c r="I2655" s="6"/>
      <c r="J2655" s="6"/>
      <c r="K2655" s="6"/>
      <c r="L2655" s="6"/>
      <c r="M2655" s="6"/>
      <c r="N2655" s="6"/>
      <c r="O2655" s="6"/>
      <c r="P2655" s="6"/>
      <c r="Q2655" s="6"/>
      <c r="R2655" s="6"/>
      <c r="S2655" s="6"/>
      <c r="T2655" s="6"/>
      <c r="U2655" s="6"/>
      <c r="V2655" s="6"/>
      <c r="W2655" s="6"/>
      <c r="X2655" s="6"/>
      <c r="Y2655" s="6"/>
      <c r="Z2655" s="6"/>
      <c r="AA2655" s="6"/>
      <c r="AB2655" s="6"/>
      <c r="AC2655" s="6"/>
      <c r="AD2655" s="6"/>
      <c r="AE2655" s="6"/>
      <c r="AF2655" s="6"/>
      <c r="AG2655" s="6"/>
      <c r="AH2655" s="6"/>
      <c r="AI2655" s="6"/>
      <c r="AJ2655" s="6"/>
      <c r="AK2655" s="6"/>
      <c r="AL2655" s="6"/>
      <c r="AM2655" s="6"/>
    </row>
    <row r="2656">
      <c r="A2656" s="6"/>
      <c r="B2656" s="6"/>
      <c r="C2656" s="6"/>
      <c r="D2656" s="6"/>
      <c r="E2656" s="6"/>
      <c r="F2656" s="6"/>
      <c r="G2656" s="6"/>
      <c r="H2656" s="6"/>
      <c r="I2656" s="6"/>
      <c r="J2656" s="6"/>
      <c r="K2656" s="6"/>
      <c r="L2656" s="6"/>
      <c r="M2656" s="6"/>
      <c r="N2656" s="6"/>
      <c r="O2656" s="6"/>
      <c r="P2656" s="6"/>
      <c r="Q2656" s="6"/>
      <c r="R2656" s="6"/>
      <c r="S2656" s="6"/>
      <c r="T2656" s="6"/>
      <c r="U2656" s="6"/>
      <c r="V2656" s="6"/>
      <c r="W2656" s="6"/>
      <c r="X2656" s="6"/>
      <c r="Y2656" s="6"/>
      <c r="Z2656" s="6"/>
      <c r="AA2656" s="6"/>
      <c r="AB2656" s="6"/>
      <c r="AC2656" s="6"/>
      <c r="AD2656" s="6"/>
      <c r="AE2656" s="6"/>
      <c r="AF2656" s="6"/>
      <c r="AG2656" s="6"/>
      <c r="AH2656" s="6"/>
      <c r="AI2656" s="6"/>
      <c r="AJ2656" s="6"/>
      <c r="AK2656" s="6"/>
      <c r="AL2656" s="6"/>
      <c r="AM2656" s="6"/>
    </row>
    <row r="2657">
      <c r="A2657" s="6"/>
      <c r="B2657" s="6"/>
      <c r="C2657" s="6"/>
      <c r="D2657" s="6"/>
      <c r="E2657" s="6"/>
      <c r="F2657" s="6"/>
      <c r="G2657" s="6"/>
      <c r="H2657" s="6"/>
      <c r="I2657" s="6"/>
      <c r="J2657" s="6"/>
      <c r="K2657" s="6"/>
      <c r="L2657" s="6"/>
      <c r="M2657" s="6"/>
      <c r="N2657" s="6"/>
      <c r="O2657" s="6"/>
      <c r="P2657" s="6"/>
      <c r="Q2657" s="6"/>
      <c r="R2657" s="6"/>
      <c r="S2657" s="6"/>
      <c r="T2657" s="6"/>
      <c r="U2657" s="6"/>
      <c r="V2657" s="6"/>
      <c r="W2657" s="6"/>
      <c r="X2657" s="6"/>
      <c r="Y2657" s="6"/>
      <c r="Z2657" s="6"/>
      <c r="AA2657" s="6"/>
      <c r="AB2657" s="6"/>
      <c r="AC2657" s="6"/>
      <c r="AD2657" s="6"/>
      <c r="AE2657" s="6"/>
      <c r="AF2657" s="6"/>
      <c r="AG2657" s="6"/>
      <c r="AH2657" s="6"/>
      <c r="AI2657" s="6"/>
      <c r="AJ2657" s="6"/>
      <c r="AK2657" s="6"/>
      <c r="AL2657" s="6"/>
      <c r="AM2657" s="6"/>
    </row>
    <row r="2658">
      <c r="A2658" s="6"/>
      <c r="B2658" s="6"/>
      <c r="C2658" s="6"/>
      <c r="D2658" s="6"/>
      <c r="E2658" s="6"/>
      <c r="F2658" s="6"/>
      <c r="G2658" s="6"/>
      <c r="H2658" s="6"/>
      <c r="I2658" s="6"/>
      <c r="J2658" s="6"/>
      <c r="K2658" s="6"/>
      <c r="L2658" s="6"/>
      <c r="M2658" s="6"/>
      <c r="N2658" s="6"/>
      <c r="O2658" s="6"/>
      <c r="P2658" s="6"/>
      <c r="Q2658" s="6"/>
      <c r="R2658" s="6"/>
      <c r="S2658" s="6"/>
      <c r="T2658" s="6"/>
      <c r="U2658" s="6"/>
      <c r="V2658" s="6"/>
      <c r="W2658" s="6"/>
      <c r="X2658" s="6"/>
      <c r="Y2658" s="6"/>
      <c r="Z2658" s="6"/>
      <c r="AA2658" s="6"/>
      <c r="AB2658" s="6"/>
      <c r="AC2658" s="6"/>
      <c r="AD2658" s="6"/>
      <c r="AE2658" s="6"/>
      <c r="AF2658" s="6"/>
      <c r="AG2658" s="6"/>
      <c r="AH2658" s="6"/>
      <c r="AI2658" s="6"/>
      <c r="AJ2658" s="6"/>
      <c r="AK2658" s="6"/>
      <c r="AL2658" s="6"/>
      <c r="AM2658" s="6"/>
    </row>
    <row r="2659">
      <c r="A2659" s="6"/>
      <c r="B2659" s="6"/>
      <c r="C2659" s="6"/>
      <c r="D2659" s="6"/>
      <c r="E2659" s="6"/>
      <c r="F2659" s="6"/>
      <c r="G2659" s="6"/>
      <c r="H2659" s="6"/>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c r="AG2659" s="6"/>
      <c r="AH2659" s="6"/>
      <c r="AI2659" s="6"/>
      <c r="AJ2659" s="6"/>
      <c r="AK2659" s="6"/>
      <c r="AL2659" s="6"/>
      <c r="AM2659" s="6"/>
    </row>
    <row r="2660">
      <c r="A2660" s="6"/>
      <c r="B2660" s="6"/>
      <c r="C2660" s="6"/>
      <c r="D2660" s="6"/>
      <c r="E2660" s="6"/>
      <c r="F2660" s="6"/>
      <c r="G2660" s="6"/>
      <c r="H2660" s="6"/>
      <c r="I2660" s="6"/>
      <c r="J2660" s="6"/>
      <c r="K2660" s="6"/>
      <c r="L2660" s="6"/>
      <c r="M2660" s="6"/>
      <c r="N2660" s="6"/>
      <c r="O2660" s="6"/>
      <c r="P2660" s="6"/>
      <c r="Q2660" s="6"/>
      <c r="R2660" s="6"/>
      <c r="S2660" s="6"/>
      <c r="T2660" s="6"/>
      <c r="U2660" s="6"/>
      <c r="V2660" s="6"/>
      <c r="W2660" s="6"/>
      <c r="X2660" s="6"/>
      <c r="Y2660" s="6"/>
      <c r="Z2660" s="6"/>
      <c r="AA2660" s="6"/>
      <c r="AB2660" s="6"/>
      <c r="AC2660" s="6"/>
      <c r="AD2660" s="6"/>
      <c r="AE2660" s="6"/>
      <c r="AF2660" s="6"/>
      <c r="AG2660" s="6"/>
      <c r="AH2660" s="6"/>
      <c r="AI2660" s="6"/>
      <c r="AJ2660" s="6"/>
      <c r="AK2660" s="6"/>
      <c r="AL2660" s="6"/>
      <c r="AM2660" s="6"/>
    </row>
    <row r="2661">
      <c r="A2661" s="6"/>
      <c r="B2661" s="6"/>
      <c r="C2661" s="6"/>
      <c r="D2661" s="6"/>
      <c r="E2661" s="6"/>
      <c r="F2661" s="6"/>
      <c r="G2661" s="6"/>
      <c r="H2661" s="6"/>
      <c r="I2661" s="6"/>
      <c r="J2661" s="6"/>
      <c r="K2661" s="6"/>
      <c r="L2661" s="6"/>
      <c r="M2661" s="6"/>
      <c r="N2661" s="6"/>
      <c r="O2661" s="6"/>
      <c r="P2661" s="6"/>
      <c r="Q2661" s="6"/>
      <c r="R2661" s="6"/>
      <c r="S2661" s="6"/>
      <c r="T2661" s="6"/>
      <c r="U2661" s="6"/>
      <c r="V2661" s="6"/>
      <c r="W2661" s="6"/>
      <c r="X2661" s="6"/>
      <c r="Y2661" s="6"/>
      <c r="Z2661" s="6"/>
      <c r="AA2661" s="6"/>
      <c r="AB2661" s="6"/>
      <c r="AC2661" s="6"/>
      <c r="AD2661" s="6"/>
      <c r="AE2661" s="6"/>
      <c r="AF2661" s="6"/>
      <c r="AG2661" s="6"/>
      <c r="AH2661" s="6"/>
      <c r="AI2661" s="6"/>
      <c r="AJ2661" s="6"/>
      <c r="AK2661" s="6"/>
      <c r="AL2661" s="6"/>
      <c r="AM2661" s="6"/>
    </row>
    <row r="2662">
      <c r="A2662" s="6"/>
      <c r="B2662" s="6"/>
      <c r="C2662" s="6"/>
      <c r="D2662" s="6"/>
      <c r="E2662" s="6"/>
      <c r="F2662" s="6"/>
      <c r="G2662" s="6"/>
      <c r="H2662" s="6"/>
      <c r="I2662" s="6"/>
      <c r="J2662" s="6"/>
      <c r="K2662" s="6"/>
      <c r="L2662" s="6"/>
      <c r="M2662" s="6"/>
      <c r="N2662" s="6"/>
      <c r="O2662" s="6"/>
      <c r="P2662" s="6"/>
      <c r="Q2662" s="6"/>
      <c r="R2662" s="6"/>
      <c r="S2662" s="6"/>
      <c r="T2662" s="6"/>
      <c r="U2662" s="6"/>
      <c r="V2662" s="6"/>
      <c r="W2662" s="6"/>
      <c r="X2662" s="6"/>
      <c r="Y2662" s="6"/>
      <c r="Z2662" s="6"/>
      <c r="AA2662" s="6"/>
      <c r="AB2662" s="6"/>
      <c r="AC2662" s="6"/>
      <c r="AD2662" s="6"/>
      <c r="AE2662" s="6"/>
      <c r="AF2662" s="6"/>
      <c r="AG2662" s="6"/>
      <c r="AH2662" s="6"/>
      <c r="AI2662" s="6"/>
      <c r="AJ2662" s="6"/>
      <c r="AK2662" s="6"/>
      <c r="AL2662" s="6"/>
      <c r="AM2662" s="6"/>
    </row>
    <row r="2663">
      <c r="A2663" s="6"/>
      <c r="B2663" s="6"/>
      <c r="C2663" s="6"/>
      <c r="D2663" s="6"/>
      <c r="E2663" s="6"/>
      <c r="F2663" s="6"/>
      <c r="G2663" s="6"/>
      <c r="H2663" s="6"/>
      <c r="I2663" s="6"/>
      <c r="J2663" s="6"/>
      <c r="K2663" s="6"/>
      <c r="L2663" s="6"/>
      <c r="M2663" s="6"/>
      <c r="N2663" s="6"/>
      <c r="O2663" s="6"/>
      <c r="P2663" s="6"/>
      <c r="Q2663" s="6"/>
      <c r="R2663" s="6"/>
      <c r="S2663" s="6"/>
      <c r="T2663" s="6"/>
      <c r="U2663" s="6"/>
      <c r="V2663" s="6"/>
      <c r="W2663" s="6"/>
      <c r="X2663" s="6"/>
      <c r="Y2663" s="6"/>
      <c r="Z2663" s="6"/>
      <c r="AA2663" s="6"/>
      <c r="AB2663" s="6"/>
      <c r="AC2663" s="6"/>
      <c r="AD2663" s="6"/>
      <c r="AE2663" s="6"/>
      <c r="AF2663" s="6"/>
      <c r="AG2663" s="6"/>
      <c r="AH2663" s="6"/>
      <c r="AI2663" s="6"/>
      <c r="AJ2663" s="6"/>
      <c r="AK2663" s="6"/>
      <c r="AL2663" s="6"/>
      <c r="AM2663" s="6"/>
    </row>
    <row r="2664">
      <c r="A2664" s="6"/>
      <c r="B2664" s="6"/>
      <c r="C2664" s="6"/>
      <c r="D2664" s="6"/>
      <c r="E2664" s="6"/>
      <c r="F2664" s="6"/>
      <c r="G2664" s="6"/>
      <c r="H2664" s="6"/>
      <c r="I2664" s="6"/>
      <c r="J2664" s="6"/>
      <c r="K2664" s="6"/>
      <c r="L2664" s="6"/>
      <c r="M2664" s="6"/>
      <c r="N2664" s="6"/>
      <c r="O2664" s="6"/>
      <c r="P2664" s="6"/>
      <c r="Q2664" s="6"/>
      <c r="R2664" s="6"/>
      <c r="S2664" s="6"/>
      <c r="T2664" s="6"/>
      <c r="U2664" s="6"/>
      <c r="V2664" s="6"/>
      <c r="W2664" s="6"/>
      <c r="X2664" s="6"/>
      <c r="Y2664" s="6"/>
      <c r="Z2664" s="6"/>
      <c r="AA2664" s="6"/>
      <c r="AB2664" s="6"/>
      <c r="AC2664" s="6"/>
      <c r="AD2664" s="6"/>
      <c r="AE2664" s="6"/>
      <c r="AF2664" s="6"/>
      <c r="AG2664" s="6"/>
      <c r="AH2664" s="6"/>
      <c r="AI2664" s="6"/>
      <c r="AJ2664" s="6"/>
      <c r="AK2664" s="6"/>
      <c r="AL2664" s="6"/>
      <c r="AM2664" s="6"/>
    </row>
    <row r="2665">
      <c r="A2665" s="6"/>
      <c r="B2665" s="6"/>
      <c r="C2665" s="6"/>
      <c r="D2665" s="6"/>
      <c r="E2665" s="6"/>
      <c r="F2665" s="6"/>
      <c r="G2665" s="6"/>
      <c r="H2665" s="6"/>
      <c r="I2665" s="6"/>
      <c r="J2665" s="6"/>
      <c r="K2665" s="6"/>
      <c r="L2665" s="6"/>
      <c r="M2665" s="6"/>
      <c r="N2665" s="6"/>
      <c r="O2665" s="6"/>
      <c r="P2665" s="6"/>
      <c r="Q2665" s="6"/>
      <c r="R2665" s="6"/>
      <c r="S2665" s="6"/>
      <c r="T2665" s="6"/>
      <c r="U2665" s="6"/>
      <c r="V2665" s="6"/>
      <c r="W2665" s="6"/>
      <c r="X2665" s="6"/>
      <c r="Y2665" s="6"/>
      <c r="Z2665" s="6"/>
      <c r="AA2665" s="6"/>
      <c r="AB2665" s="6"/>
      <c r="AC2665" s="6"/>
      <c r="AD2665" s="6"/>
      <c r="AE2665" s="6"/>
      <c r="AF2665" s="6"/>
      <c r="AG2665" s="6"/>
      <c r="AH2665" s="6"/>
      <c r="AI2665" s="6"/>
      <c r="AJ2665" s="6"/>
      <c r="AK2665" s="6"/>
      <c r="AL2665" s="6"/>
      <c r="AM2665" s="6"/>
    </row>
    <row r="2666">
      <c r="A2666" s="6"/>
      <c r="B2666" s="6"/>
      <c r="C2666" s="6"/>
      <c r="D2666" s="6"/>
      <c r="E2666" s="6"/>
      <c r="F2666" s="6"/>
      <c r="G2666" s="6"/>
      <c r="H2666" s="6"/>
      <c r="I2666" s="6"/>
      <c r="J2666" s="6"/>
      <c r="K2666" s="6"/>
      <c r="L2666" s="6"/>
      <c r="M2666" s="6"/>
      <c r="N2666" s="6"/>
      <c r="O2666" s="6"/>
      <c r="P2666" s="6"/>
      <c r="Q2666" s="6"/>
      <c r="R2666" s="6"/>
      <c r="S2666" s="6"/>
      <c r="T2666" s="6"/>
      <c r="U2666" s="6"/>
      <c r="V2666" s="6"/>
      <c r="W2666" s="6"/>
      <c r="X2666" s="6"/>
      <c r="Y2666" s="6"/>
      <c r="Z2666" s="6"/>
      <c r="AA2666" s="6"/>
      <c r="AB2666" s="6"/>
      <c r="AC2666" s="6"/>
      <c r="AD2666" s="6"/>
      <c r="AE2666" s="6"/>
      <c r="AF2666" s="6"/>
      <c r="AG2666" s="6"/>
      <c r="AH2666" s="6"/>
      <c r="AI2666" s="6"/>
      <c r="AJ2666" s="6"/>
      <c r="AK2666" s="6"/>
      <c r="AL2666" s="6"/>
      <c r="AM2666" s="6"/>
    </row>
    <row r="2667">
      <c r="A2667" s="6"/>
      <c r="B2667" s="6"/>
      <c r="C2667" s="6"/>
      <c r="D2667" s="6"/>
      <c r="E2667" s="6"/>
      <c r="F2667" s="6"/>
      <c r="G2667" s="6"/>
      <c r="H2667" s="6"/>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c r="AG2667" s="6"/>
      <c r="AH2667" s="6"/>
      <c r="AI2667" s="6"/>
      <c r="AJ2667" s="6"/>
      <c r="AK2667" s="6"/>
      <c r="AL2667" s="6"/>
      <c r="AM2667" s="6"/>
    </row>
    <row r="2668">
      <c r="A2668" s="6"/>
      <c r="B2668" s="6"/>
      <c r="C2668" s="6"/>
      <c r="D2668" s="6"/>
      <c r="E2668" s="6"/>
      <c r="F2668" s="6"/>
      <c r="G2668" s="6"/>
      <c r="H2668" s="6"/>
      <c r="I2668" s="6"/>
      <c r="J2668" s="6"/>
      <c r="K2668" s="6"/>
      <c r="L2668" s="6"/>
      <c r="M2668" s="6"/>
      <c r="N2668" s="6"/>
      <c r="O2668" s="6"/>
      <c r="P2668" s="6"/>
      <c r="Q2668" s="6"/>
      <c r="R2668" s="6"/>
      <c r="S2668" s="6"/>
      <c r="T2668" s="6"/>
      <c r="U2668" s="6"/>
      <c r="V2668" s="6"/>
      <c r="W2668" s="6"/>
      <c r="X2668" s="6"/>
      <c r="Y2668" s="6"/>
      <c r="Z2668" s="6"/>
      <c r="AA2668" s="6"/>
      <c r="AB2668" s="6"/>
      <c r="AC2668" s="6"/>
      <c r="AD2668" s="6"/>
      <c r="AE2668" s="6"/>
      <c r="AF2668" s="6"/>
      <c r="AG2668" s="6"/>
      <c r="AH2668" s="6"/>
      <c r="AI2668" s="6"/>
      <c r="AJ2668" s="6"/>
      <c r="AK2668" s="6"/>
      <c r="AL2668" s="6"/>
      <c r="AM2668" s="6"/>
    </row>
    <row r="2669">
      <c r="A2669" s="6"/>
      <c r="B2669" s="6"/>
      <c r="C2669" s="6"/>
      <c r="D2669" s="6"/>
      <c r="E2669" s="6"/>
      <c r="F2669" s="6"/>
      <c r="G2669" s="6"/>
      <c r="H2669" s="6"/>
      <c r="I2669" s="6"/>
      <c r="J2669" s="6"/>
      <c r="K2669" s="6"/>
      <c r="L2669" s="6"/>
      <c r="M2669" s="6"/>
      <c r="N2669" s="6"/>
      <c r="O2669" s="6"/>
      <c r="P2669" s="6"/>
      <c r="Q2669" s="6"/>
      <c r="R2669" s="6"/>
      <c r="S2669" s="6"/>
      <c r="T2669" s="6"/>
      <c r="U2669" s="6"/>
      <c r="V2669" s="6"/>
      <c r="W2669" s="6"/>
      <c r="X2669" s="6"/>
      <c r="Y2669" s="6"/>
      <c r="Z2669" s="6"/>
      <c r="AA2669" s="6"/>
      <c r="AB2669" s="6"/>
      <c r="AC2669" s="6"/>
      <c r="AD2669" s="6"/>
      <c r="AE2669" s="6"/>
      <c r="AF2669" s="6"/>
      <c r="AG2669" s="6"/>
      <c r="AH2669" s="6"/>
      <c r="AI2669" s="6"/>
      <c r="AJ2669" s="6"/>
      <c r="AK2669" s="6"/>
      <c r="AL2669" s="6"/>
      <c r="AM2669" s="6"/>
    </row>
    <row r="2670">
      <c r="A2670" s="6"/>
      <c r="B2670" s="6"/>
      <c r="C2670" s="6"/>
      <c r="D2670" s="6"/>
      <c r="E2670" s="6"/>
      <c r="F2670" s="6"/>
      <c r="G2670" s="6"/>
      <c r="H2670" s="6"/>
      <c r="I2670" s="6"/>
      <c r="J2670" s="6"/>
      <c r="K2670" s="6"/>
      <c r="L2670" s="6"/>
      <c r="M2670" s="6"/>
      <c r="N2670" s="6"/>
      <c r="O2670" s="6"/>
      <c r="P2670" s="6"/>
      <c r="Q2670" s="6"/>
      <c r="R2670" s="6"/>
      <c r="S2670" s="6"/>
      <c r="T2670" s="6"/>
      <c r="U2670" s="6"/>
      <c r="V2670" s="6"/>
      <c r="W2670" s="6"/>
      <c r="X2670" s="6"/>
      <c r="Y2670" s="6"/>
      <c r="Z2670" s="6"/>
      <c r="AA2670" s="6"/>
      <c r="AB2670" s="6"/>
      <c r="AC2670" s="6"/>
      <c r="AD2670" s="6"/>
      <c r="AE2670" s="6"/>
      <c r="AF2670" s="6"/>
      <c r="AG2670" s="6"/>
      <c r="AH2670" s="6"/>
      <c r="AI2670" s="6"/>
      <c r="AJ2670" s="6"/>
      <c r="AK2670" s="6"/>
      <c r="AL2670" s="6"/>
      <c r="AM2670" s="6"/>
    </row>
    <row r="2671">
      <c r="A2671" s="6"/>
      <c r="B2671" s="6"/>
      <c r="C2671" s="6"/>
      <c r="D2671" s="6"/>
      <c r="E2671" s="6"/>
      <c r="F2671" s="6"/>
      <c r="G2671" s="6"/>
      <c r="H2671" s="6"/>
      <c r="I2671" s="6"/>
      <c r="J2671" s="6"/>
      <c r="K2671" s="6"/>
      <c r="L2671" s="6"/>
      <c r="M2671" s="6"/>
      <c r="N2671" s="6"/>
      <c r="O2671" s="6"/>
      <c r="P2671" s="6"/>
      <c r="Q2671" s="6"/>
      <c r="R2671" s="6"/>
      <c r="S2671" s="6"/>
      <c r="T2671" s="6"/>
      <c r="U2671" s="6"/>
      <c r="V2671" s="6"/>
      <c r="W2671" s="6"/>
      <c r="X2671" s="6"/>
      <c r="Y2671" s="6"/>
      <c r="Z2671" s="6"/>
      <c r="AA2671" s="6"/>
      <c r="AB2671" s="6"/>
      <c r="AC2671" s="6"/>
      <c r="AD2671" s="6"/>
      <c r="AE2671" s="6"/>
      <c r="AF2671" s="6"/>
      <c r="AG2671" s="6"/>
      <c r="AH2671" s="6"/>
      <c r="AI2671" s="6"/>
      <c r="AJ2671" s="6"/>
      <c r="AK2671" s="6"/>
      <c r="AL2671" s="6"/>
      <c r="AM2671" s="6"/>
    </row>
    <row r="2672">
      <c r="A2672" s="6"/>
      <c r="B2672" s="6"/>
      <c r="C2672" s="6"/>
      <c r="D2672" s="6"/>
      <c r="E2672" s="6"/>
      <c r="F2672" s="6"/>
      <c r="G2672" s="6"/>
      <c r="H2672" s="6"/>
      <c r="I2672" s="6"/>
      <c r="J2672" s="6"/>
      <c r="K2672" s="6"/>
      <c r="L2672" s="6"/>
      <c r="M2672" s="6"/>
      <c r="N2672" s="6"/>
      <c r="O2672" s="6"/>
      <c r="P2672" s="6"/>
      <c r="Q2672" s="6"/>
      <c r="R2672" s="6"/>
      <c r="S2672" s="6"/>
      <c r="T2672" s="6"/>
      <c r="U2672" s="6"/>
      <c r="V2672" s="6"/>
      <c r="W2672" s="6"/>
      <c r="X2672" s="6"/>
      <c r="Y2672" s="6"/>
      <c r="Z2672" s="6"/>
      <c r="AA2672" s="6"/>
      <c r="AB2672" s="6"/>
      <c r="AC2672" s="6"/>
      <c r="AD2672" s="6"/>
      <c r="AE2672" s="6"/>
      <c r="AF2672" s="6"/>
      <c r="AG2672" s="6"/>
      <c r="AH2672" s="6"/>
      <c r="AI2672" s="6"/>
      <c r="AJ2672" s="6"/>
      <c r="AK2672" s="6"/>
      <c r="AL2672" s="6"/>
      <c r="AM2672" s="6"/>
    </row>
    <row r="2673">
      <c r="A2673" s="6"/>
      <c r="B2673" s="6"/>
      <c r="C2673" s="6"/>
      <c r="D2673" s="6"/>
      <c r="E2673" s="6"/>
      <c r="F2673" s="6"/>
      <c r="G2673" s="6"/>
      <c r="H2673" s="6"/>
      <c r="I2673" s="6"/>
      <c r="J2673" s="6"/>
      <c r="K2673" s="6"/>
      <c r="L2673" s="6"/>
      <c r="M2673" s="6"/>
      <c r="N2673" s="6"/>
      <c r="O2673" s="6"/>
      <c r="P2673" s="6"/>
      <c r="Q2673" s="6"/>
      <c r="R2673" s="6"/>
      <c r="S2673" s="6"/>
      <c r="T2673" s="6"/>
      <c r="U2673" s="6"/>
      <c r="V2673" s="6"/>
      <c r="W2673" s="6"/>
      <c r="X2673" s="6"/>
      <c r="Y2673" s="6"/>
      <c r="Z2673" s="6"/>
      <c r="AA2673" s="6"/>
      <c r="AB2673" s="6"/>
      <c r="AC2673" s="6"/>
      <c r="AD2673" s="6"/>
      <c r="AE2673" s="6"/>
      <c r="AF2673" s="6"/>
      <c r="AG2673" s="6"/>
      <c r="AH2673" s="6"/>
      <c r="AI2673" s="6"/>
      <c r="AJ2673" s="6"/>
      <c r="AK2673" s="6"/>
      <c r="AL2673" s="6"/>
      <c r="AM2673" s="6"/>
    </row>
    <row r="2674">
      <c r="A2674" s="6"/>
      <c r="B2674" s="6"/>
      <c r="C2674" s="6"/>
      <c r="D2674" s="6"/>
      <c r="E2674" s="6"/>
      <c r="F2674" s="6"/>
      <c r="G2674" s="6"/>
      <c r="H2674" s="6"/>
      <c r="I2674" s="6"/>
      <c r="J2674" s="6"/>
      <c r="K2674" s="6"/>
      <c r="L2674" s="6"/>
      <c r="M2674" s="6"/>
      <c r="N2674" s="6"/>
      <c r="O2674" s="6"/>
      <c r="P2674" s="6"/>
      <c r="Q2674" s="6"/>
      <c r="R2674" s="6"/>
      <c r="S2674" s="6"/>
      <c r="T2674" s="6"/>
      <c r="U2674" s="6"/>
      <c r="V2674" s="6"/>
      <c r="W2674" s="6"/>
      <c r="X2674" s="6"/>
      <c r="Y2674" s="6"/>
      <c r="Z2674" s="6"/>
      <c r="AA2674" s="6"/>
      <c r="AB2674" s="6"/>
      <c r="AC2674" s="6"/>
      <c r="AD2674" s="6"/>
      <c r="AE2674" s="6"/>
      <c r="AF2674" s="6"/>
      <c r="AG2674" s="6"/>
      <c r="AH2674" s="6"/>
      <c r="AI2674" s="6"/>
      <c r="AJ2674" s="6"/>
      <c r="AK2674" s="6"/>
      <c r="AL2674" s="6"/>
      <c r="AM2674" s="6"/>
    </row>
    <row r="2675">
      <c r="A2675" s="6"/>
      <c r="B2675" s="6"/>
      <c r="C2675" s="6"/>
      <c r="D2675" s="6"/>
      <c r="E2675" s="6"/>
      <c r="F2675" s="6"/>
      <c r="G2675" s="6"/>
      <c r="H2675" s="6"/>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c r="AG2675" s="6"/>
      <c r="AH2675" s="6"/>
      <c r="AI2675" s="6"/>
      <c r="AJ2675" s="6"/>
      <c r="AK2675" s="6"/>
      <c r="AL2675" s="6"/>
      <c r="AM2675" s="6"/>
    </row>
    <row r="2676">
      <c r="A2676" s="6"/>
      <c r="B2676" s="6"/>
      <c r="C2676" s="6"/>
      <c r="D2676" s="6"/>
      <c r="E2676" s="6"/>
      <c r="F2676" s="6"/>
      <c r="G2676" s="6"/>
      <c r="H2676" s="6"/>
      <c r="I2676" s="6"/>
      <c r="J2676" s="6"/>
      <c r="K2676" s="6"/>
      <c r="L2676" s="6"/>
      <c r="M2676" s="6"/>
      <c r="N2676" s="6"/>
      <c r="O2676" s="6"/>
      <c r="P2676" s="6"/>
      <c r="Q2676" s="6"/>
      <c r="R2676" s="6"/>
      <c r="S2676" s="6"/>
      <c r="T2676" s="6"/>
      <c r="U2676" s="6"/>
      <c r="V2676" s="6"/>
      <c r="W2676" s="6"/>
      <c r="X2676" s="6"/>
      <c r="Y2676" s="6"/>
      <c r="Z2676" s="6"/>
      <c r="AA2676" s="6"/>
      <c r="AB2676" s="6"/>
      <c r="AC2676" s="6"/>
      <c r="AD2676" s="6"/>
      <c r="AE2676" s="6"/>
      <c r="AF2676" s="6"/>
      <c r="AG2676" s="6"/>
      <c r="AH2676" s="6"/>
      <c r="AI2676" s="6"/>
      <c r="AJ2676" s="6"/>
      <c r="AK2676" s="6"/>
      <c r="AL2676" s="6"/>
      <c r="AM2676" s="6"/>
    </row>
    <row r="2677">
      <c r="A2677" s="6"/>
      <c r="B2677" s="6"/>
      <c r="C2677" s="6"/>
      <c r="D2677" s="6"/>
      <c r="E2677" s="6"/>
      <c r="F2677" s="6"/>
      <c r="G2677" s="6"/>
      <c r="H2677" s="6"/>
      <c r="I2677" s="6"/>
      <c r="J2677" s="6"/>
      <c r="K2677" s="6"/>
      <c r="L2677" s="6"/>
      <c r="M2677" s="6"/>
      <c r="N2677" s="6"/>
      <c r="O2677" s="6"/>
      <c r="P2677" s="6"/>
      <c r="Q2677" s="6"/>
      <c r="R2677" s="6"/>
      <c r="S2677" s="6"/>
      <c r="T2677" s="6"/>
      <c r="U2677" s="6"/>
      <c r="V2677" s="6"/>
      <c r="W2677" s="6"/>
      <c r="X2677" s="6"/>
      <c r="Y2677" s="6"/>
      <c r="Z2677" s="6"/>
      <c r="AA2677" s="6"/>
      <c r="AB2677" s="6"/>
      <c r="AC2677" s="6"/>
      <c r="AD2677" s="6"/>
      <c r="AE2677" s="6"/>
      <c r="AF2677" s="6"/>
      <c r="AG2677" s="6"/>
      <c r="AH2677" s="6"/>
      <c r="AI2677" s="6"/>
      <c r="AJ2677" s="6"/>
      <c r="AK2677" s="6"/>
      <c r="AL2677" s="6"/>
      <c r="AM2677" s="6"/>
    </row>
    <row r="2678">
      <c r="A2678" s="6"/>
      <c r="B2678" s="6"/>
      <c r="C2678" s="6"/>
      <c r="D2678" s="6"/>
      <c r="E2678" s="6"/>
      <c r="F2678" s="6"/>
      <c r="G2678" s="6"/>
      <c r="H2678" s="6"/>
      <c r="I2678" s="6"/>
      <c r="J2678" s="6"/>
      <c r="K2678" s="6"/>
      <c r="L2678" s="6"/>
      <c r="M2678" s="6"/>
      <c r="N2678" s="6"/>
      <c r="O2678" s="6"/>
      <c r="P2678" s="6"/>
      <c r="Q2678" s="6"/>
      <c r="R2678" s="6"/>
      <c r="S2678" s="6"/>
      <c r="T2678" s="6"/>
      <c r="U2678" s="6"/>
      <c r="V2678" s="6"/>
      <c r="W2678" s="6"/>
      <c r="X2678" s="6"/>
      <c r="Y2678" s="6"/>
      <c r="Z2678" s="6"/>
      <c r="AA2678" s="6"/>
      <c r="AB2678" s="6"/>
      <c r="AC2678" s="6"/>
      <c r="AD2678" s="6"/>
      <c r="AE2678" s="6"/>
      <c r="AF2678" s="6"/>
      <c r="AG2678" s="6"/>
      <c r="AH2678" s="6"/>
      <c r="AI2678" s="6"/>
      <c r="AJ2678" s="6"/>
      <c r="AK2678" s="6"/>
      <c r="AL2678" s="6"/>
      <c r="AM2678" s="6"/>
    </row>
    <row r="2679">
      <c r="A2679" s="6"/>
      <c r="B2679" s="6"/>
      <c r="C2679" s="6"/>
      <c r="D2679" s="6"/>
      <c r="E2679" s="6"/>
      <c r="F2679" s="6"/>
      <c r="G2679" s="6"/>
      <c r="H2679" s="6"/>
      <c r="I2679" s="6"/>
      <c r="J2679" s="6"/>
      <c r="K2679" s="6"/>
      <c r="L2679" s="6"/>
      <c r="M2679" s="6"/>
      <c r="N2679" s="6"/>
      <c r="O2679" s="6"/>
      <c r="P2679" s="6"/>
      <c r="Q2679" s="6"/>
      <c r="R2679" s="6"/>
      <c r="S2679" s="6"/>
      <c r="T2679" s="6"/>
      <c r="U2679" s="6"/>
      <c r="V2679" s="6"/>
      <c r="W2679" s="6"/>
      <c r="X2679" s="6"/>
      <c r="Y2679" s="6"/>
      <c r="Z2679" s="6"/>
      <c r="AA2679" s="6"/>
      <c r="AB2679" s="6"/>
      <c r="AC2679" s="6"/>
      <c r="AD2679" s="6"/>
      <c r="AE2679" s="6"/>
      <c r="AF2679" s="6"/>
      <c r="AG2679" s="6"/>
      <c r="AH2679" s="6"/>
      <c r="AI2679" s="6"/>
      <c r="AJ2679" s="6"/>
      <c r="AK2679" s="6"/>
      <c r="AL2679" s="6"/>
      <c r="AM2679" s="6"/>
    </row>
    <row r="2680">
      <c r="A2680" s="6"/>
      <c r="B2680" s="6"/>
      <c r="C2680" s="6"/>
      <c r="D2680" s="6"/>
      <c r="E2680" s="6"/>
      <c r="F2680" s="6"/>
      <c r="G2680" s="6"/>
      <c r="H2680" s="6"/>
      <c r="I2680" s="6"/>
      <c r="J2680" s="6"/>
      <c r="K2680" s="6"/>
      <c r="L2680" s="6"/>
      <c r="M2680" s="6"/>
      <c r="N2680" s="6"/>
      <c r="O2680" s="6"/>
      <c r="P2680" s="6"/>
      <c r="Q2680" s="6"/>
      <c r="R2680" s="6"/>
      <c r="S2680" s="6"/>
      <c r="T2680" s="6"/>
      <c r="U2680" s="6"/>
      <c r="V2680" s="6"/>
      <c r="W2680" s="6"/>
      <c r="X2680" s="6"/>
      <c r="Y2680" s="6"/>
      <c r="Z2680" s="6"/>
      <c r="AA2680" s="6"/>
      <c r="AB2680" s="6"/>
      <c r="AC2680" s="6"/>
      <c r="AD2680" s="6"/>
      <c r="AE2680" s="6"/>
      <c r="AF2680" s="6"/>
      <c r="AG2680" s="6"/>
      <c r="AH2680" s="6"/>
      <c r="AI2680" s="6"/>
      <c r="AJ2680" s="6"/>
      <c r="AK2680" s="6"/>
      <c r="AL2680" s="6"/>
      <c r="AM2680" s="6"/>
    </row>
    <row r="2681">
      <c r="A2681" s="6"/>
      <c r="B2681" s="6"/>
      <c r="C2681" s="6"/>
      <c r="D2681" s="6"/>
      <c r="E2681" s="6"/>
      <c r="F2681" s="6"/>
      <c r="G2681" s="6"/>
      <c r="H2681" s="6"/>
      <c r="I2681" s="6"/>
      <c r="J2681" s="6"/>
      <c r="K2681" s="6"/>
      <c r="L2681" s="6"/>
      <c r="M2681" s="6"/>
      <c r="N2681" s="6"/>
      <c r="O2681" s="6"/>
      <c r="P2681" s="6"/>
      <c r="Q2681" s="6"/>
      <c r="R2681" s="6"/>
      <c r="S2681" s="6"/>
      <c r="T2681" s="6"/>
      <c r="U2681" s="6"/>
      <c r="V2681" s="6"/>
      <c r="W2681" s="6"/>
      <c r="X2681" s="6"/>
      <c r="Y2681" s="6"/>
      <c r="Z2681" s="6"/>
      <c r="AA2681" s="6"/>
      <c r="AB2681" s="6"/>
      <c r="AC2681" s="6"/>
      <c r="AD2681" s="6"/>
      <c r="AE2681" s="6"/>
      <c r="AF2681" s="6"/>
      <c r="AG2681" s="6"/>
      <c r="AH2681" s="6"/>
      <c r="AI2681" s="6"/>
      <c r="AJ2681" s="6"/>
      <c r="AK2681" s="6"/>
      <c r="AL2681" s="6"/>
      <c r="AM2681" s="6"/>
    </row>
    <row r="2682">
      <c r="A2682" s="6"/>
      <c r="B2682" s="6"/>
      <c r="C2682" s="6"/>
      <c r="D2682" s="6"/>
      <c r="E2682" s="6"/>
      <c r="F2682" s="6"/>
      <c r="G2682" s="6"/>
      <c r="H2682" s="6"/>
      <c r="I2682" s="6"/>
      <c r="J2682" s="6"/>
      <c r="K2682" s="6"/>
      <c r="L2682" s="6"/>
      <c r="M2682" s="6"/>
      <c r="N2682" s="6"/>
      <c r="O2682" s="6"/>
      <c r="P2682" s="6"/>
      <c r="Q2682" s="6"/>
      <c r="R2682" s="6"/>
      <c r="S2682" s="6"/>
      <c r="T2682" s="6"/>
      <c r="U2682" s="6"/>
      <c r="V2682" s="6"/>
      <c r="W2682" s="6"/>
      <c r="X2682" s="6"/>
      <c r="Y2682" s="6"/>
      <c r="Z2682" s="6"/>
      <c r="AA2682" s="6"/>
      <c r="AB2682" s="6"/>
      <c r="AC2682" s="6"/>
      <c r="AD2682" s="6"/>
      <c r="AE2682" s="6"/>
      <c r="AF2682" s="6"/>
      <c r="AG2682" s="6"/>
      <c r="AH2682" s="6"/>
      <c r="AI2682" s="6"/>
      <c r="AJ2682" s="6"/>
      <c r="AK2682" s="6"/>
      <c r="AL2682" s="6"/>
      <c r="AM2682" s="6"/>
    </row>
    <row r="2683">
      <c r="A2683" s="6"/>
      <c r="B2683" s="6"/>
      <c r="C2683" s="6"/>
      <c r="D2683" s="6"/>
      <c r="E2683" s="6"/>
      <c r="F2683" s="6"/>
      <c r="G2683" s="6"/>
      <c r="H2683" s="6"/>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c r="AG2683" s="6"/>
      <c r="AH2683" s="6"/>
      <c r="AI2683" s="6"/>
      <c r="AJ2683" s="6"/>
      <c r="AK2683" s="6"/>
      <c r="AL2683" s="6"/>
      <c r="AM2683" s="6"/>
    </row>
    <row r="2684">
      <c r="A2684" s="6"/>
      <c r="B2684" s="6"/>
      <c r="C2684" s="6"/>
      <c r="D2684" s="6"/>
      <c r="E2684" s="6"/>
      <c r="F2684" s="6"/>
      <c r="G2684" s="6"/>
      <c r="H2684" s="6"/>
      <c r="I2684" s="6"/>
      <c r="J2684" s="6"/>
      <c r="K2684" s="6"/>
      <c r="L2684" s="6"/>
      <c r="M2684" s="6"/>
      <c r="N2684" s="6"/>
      <c r="O2684" s="6"/>
      <c r="P2684" s="6"/>
      <c r="Q2684" s="6"/>
      <c r="R2684" s="6"/>
      <c r="S2684" s="6"/>
      <c r="T2684" s="6"/>
      <c r="U2684" s="6"/>
      <c r="V2684" s="6"/>
      <c r="W2684" s="6"/>
      <c r="X2684" s="6"/>
      <c r="Y2684" s="6"/>
      <c r="Z2684" s="6"/>
      <c r="AA2684" s="6"/>
      <c r="AB2684" s="6"/>
      <c r="AC2684" s="6"/>
      <c r="AD2684" s="6"/>
      <c r="AE2684" s="6"/>
      <c r="AF2684" s="6"/>
      <c r="AG2684" s="6"/>
      <c r="AH2684" s="6"/>
      <c r="AI2684" s="6"/>
      <c r="AJ2684" s="6"/>
      <c r="AK2684" s="6"/>
      <c r="AL2684" s="6"/>
      <c r="AM2684" s="6"/>
    </row>
    <row r="2685">
      <c r="A2685" s="6"/>
      <c r="B2685" s="6"/>
      <c r="C2685" s="6"/>
      <c r="D2685" s="6"/>
      <c r="E2685" s="6"/>
      <c r="F2685" s="6"/>
      <c r="G2685" s="6"/>
      <c r="H2685" s="6"/>
      <c r="I2685" s="6"/>
      <c r="J2685" s="6"/>
      <c r="K2685" s="6"/>
      <c r="L2685" s="6"/>
      <c r="M2685" s="6"/>
      <c r="N2685" s="6"/>
      <c r="O2685" s="6"/>
      <c r="P2685" s="6"/>
      <c r="Q2685" s="6"/>
      <c r="R2685" s="6"/>
      <c r="S2685" s="6"/>
      <c r="T2685" s="6"/>
      <c r="U2685" s="6"/>
      <c r="V2685" s="6"/>
      <c r="W2685" s="6"/>
      <c r="X2685" s="6"/>
      <c r="Y2685" s="6"/>
      <c r="Z2685" s="6"/>
      <c r="AA2685" s="6"/>
      <c r="AB2685" s="6"/>
      <c r="AC2685" s="6"/>
      <c r="AD2685" s="6"/>
      <c r="AE2685" s="6"/>
      <c r="AF2685" s="6"/>
      <c r="AG2685" s="6"/>
      <c r="AH2685" s="6"/>
      <c r="AI2685" s="6"/>
      <c r="AJ2685" s="6"/>
      <c r="AK2685" s="6"/>
      <c r="AL2685" s="6"/>
      <c r="AM2685" s="6"/>
    </row>
    <row r="2686">
      <c r="A2686" s="6"/>
      <c r="B2686" s="6"/>
      <c r="C2686" s="6"/>
      <c r="D2686" s="6"/>
      <c r="E2686" s="6"/>
      <c r="F2686" s="6"/>
      <c r="G2686" s="6"/>
      <c r="H2686" s="6"/>
      <c r="I2686" s="6"/>
      <c r="J2686" s="6"/>
      <c r="K2686" s="6"/>
      <c r="L2686" s="6"/>
      <c r="M2686" s="6"/>
      <c r="N2686" s="6"/>
      <c r="O2686" s="6"/>
      <c r="P2686" s="6"/>
      <c r="Q2686" s="6"/>
      <c r="R2686" s="6"/>
      <c r="S2686" s="6"/>
      <c r="T2686" s="6"/>
      <c r="U2686" s="6"/>
      <c r="V2686" s="6"/>
      <c r="W2686" s="6"/>
      <c r="X2686" s="6"/>
      <c r="Y2686" s="6"/>
      <c r="Z2686" s="6"/>
      <c r="AA2686" s="6"/>
      <c r="AB2686" s="6"/>
      <c r="AC2686" s="6"/>
      <c r="AD2686" s="6"/>
      <c r="AE2686" s="6"/>
      <c r="AF2686" s="6"/>
      <c r="AG2686" s="6"/>
      <c r="AH2686" s="6"/>
      <c r="AI2686" s="6"/>
      <c r="AJ2686" s="6"/>
      <c r="AK2686" s="6"/>
      <c r="AL2686" s="6"/>
      <c r="AM2686" s="6"/>
    </row>
    <row r="2687">
      <c r="A2687" s="6"/>
      <c r="B2687" s="6"/>
      <c r="C2687" s="6"/>
      <c r="D2687" s="6"/>
      <c r="E2687" s="6"/>
      <c r="F2687" s="6"/>
      <c r="G2687" s="6"/>
      <c r="H2687" s="6"/>
      <c r="I2687" s="6"/>
      <c r="J2687" s="6"/>
      <c r="K2687" s="6"/>
      <c r="L2687" s="6"/>
      <c r="M2687" s="6"/>
      <c r="N2687" s="6"/>
      <c r="O2687" s="6"/>
      <c r="P2687" s="6"/>
      <c r="Q2687" s="6"/>
      <c r="R2687" s="6"/>
      <c r="S2687" s="6"/>
      <c r="T2687" s="6"/>
      <c r="U2687" s="6"/>
      <c r="V2687" s="6"/>
      <c r="W2687" s="6"/>
      <c r="X2687" s="6"/>
      <c r="Y2687" s="6"/>
      <c r="Z2687" s="6"/>
      <c r="AA2687" s="6"/>
      <c r="AB2687" s="6"/>
      <c r="AC2687" s="6"/>
      <c r="AD2687" s="6"/>
      <c r="AE2687" s="6"/>
      <c r="AF2687" s="6"/>
      <c r="AG2687" s="6"/>
      <c r="AH2687" s="6"/>
      <c r="AI2687" s="6"/>
      <c r="AJ2687" s="6"/>
      <c r="AK2687" s="6"/>
      <c r="AL2687" s="6"/>
      <c r="AM2687" s="6"/>
    </row>
    <row r="2688">
      <c r="A2688" s="6"/>
      <c r="B2688" s="6"/>
      <c r="C2688" s="6"/>
      <c r="D2688" s="6"/>
      <c r="E2688" s="6"/>
      <c r="F2688" s="6"/>
      <c r="G2688" s="6"/>
      <c r="H2688" s="6"/>
      <c r="I2688" s="6"/>
      <c r="J2688" s="6"/>
      <c r="K2688" s="6"/>
      <c r="L2688" s="6"/>
      <c r="M2688" s="6"/>
      <c r="N2688" s="6"/>
      <c r="O2688" s="6"/>
      <c r="P2688" s="6"/>
      <c r="Q2688" s="6"/>
      <c r="R2688" s="6"/>
      <c r="S2688" s="6"/>
      <c r="T2688" s="6"/>
      <c r="U2688" s="6"/>
      <c r="V2688" s="6"/>
      <c r="W2688" s="6"/>
      <c r="X2688" s="6"/>
      <c r="Y2688" s="6"/>
      <c r="Z2688" s="6"/>
      <c r="AA2688" s="6"/>
      <c r="AB2688" s="6"/>
      <c r="AC2688" s="6"/>
      <c r="AD2688" s="6"/>
      <c r="AE2688" s="6"/>
      <c r="AF2688" s="6"/>
      <c r="AG2688" s="6"/>
      <c r="AH2688" s="6"/>
      <c r="AI2688" s="6"/>
      <c r="AJ2688" s="6"/>
      <c r="AK2688" s="6"/>
      <c r="AL2688" s="6"/>
      <c r="AM2688" s="6"/>
    </row>
    <row r="2689">
      <c r="A2689" s="6"/>
      <c r="B2689" s="6"/>
      <c r="C2689" s="6"/>
      <c r="D2689" s="6"/>
      <c r="E2689" s="6"/>
      <c r="F2689" s="6"/>
      <c r="G2689" s="6"/>
      <c r="H2689" s="6"/>
      <c r="I2689" s="6"/>
      <c r="J2689" s="6"/>
      <c r="K2689" s="6"/>
      <c r="L2689" s="6"/>
      <c r="M2689" s="6"/>
      <c r="N2689" s="6"/>
      <c r="O2689" s="6"/>
      <c r="P2689" s="6"/>
      <c r="Q2689" s="6"/>
      <c r="R2689" s="6"/>
      <c r="S2689" s="6"/>
      <c r="T2689" s="6"/>
      <c r="U2689" s="6"/>
      <c r="V2689" s="6"/>
      <c r="W2689" s="6"/>
      <c r="X2689" s="6"/>
      <c r="Y2689" s="6"/>
      <c r="Z2689" s="6"/>
      <c r="AA2689" s="6"/>
      <c r="AB2689" s="6"/>
      <c r="AC2689" s="6"/>
      <c r="AD2689" s="6"/>
      <c r="AE2689" s="6"/>
      <c r="AF2689" s="6"/>
      <c r="AG2689" s="6"/>
      <c r="AH2689" s="6"/>
      <c r="AI2689" s="6"/>
      <c r="AJ2689" s="6"/>
      <c r="AK2689" s="6"/>
      <c r="AL2689" s="6"/>
      <c r="AM2689" s="6"/>
    </row>
    <row r="2690">
      <c r="A2690" s="6"/>
      <c r="B2690" s="6"/>
      <c r="C2690" s="6"/>
      <c r="D2690" s="6"/>
      <c r="E2690" s="6"/>
      <c r="F2690" s="6"/>
      <c r="G2690" s="6"/>
      <c r="H2690" s="6"/>
      <c r="I2690" s="6"/>
      <c r="J2690" s="6"/>
      <c r="K2690" s="6"/>
      <c r="L2690" s="6"/>
      <c r="M2690" s="6"/>
      <c r="N2690" s="6"/>
      <c r="O2690" s="6"/>
      <c r="P2690" s="6"/>
      <c r="Q2690" s="6"/>
      <c r="R2690" s="6"/>
      <c r="S2690" s="6"/>
      <c r="T2690" s="6"/>
      <c r="U2690" s="6"/>
      <c r="V2690" s="6"/>
      <c r="W2690" s="6"/>
      <c r="X2690" s="6"/>
      <c r="Y2690" s="6"/>
      <c r="Z2690" s="6"/>
      <c r="AA2690" s="6"/>
      <c r="AB2690" s="6"/>
      <c r="AC2690" s="6"/>
      <c r="AD2690" s="6"/>
      <c r="AE2690" s="6"/>
      <c r="AF2690" s="6"/>
      <c r="AG2690" s="6"/>
      <c r="AH2690" s="6"/>
      <c r="AI2690" s="6"/>
      <c r="AJ2690" s="6"/>
      <c r="AK2690" s="6"/>
      <c r="AL2690" s="6"/>
      <c r="AM2690" s="6"/>
    </row>
    <row r="2691">
      <c r="A2691" s="6"/>
      <c r="B2691" s="6"/>
      <c r="C2691" s="6"/>
      <c r="D2691" s="6"/>
      <c r="E2691" s="6"/>
      <c r="F2691" s="6"/>
      <c r="G2691" s="6"/>
      <c r="H2691" s="6"/>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c r="AG2691" s="6"/>
      <c r="AH2691" s="6"/>
      <c r="AI2691" s="6"/>
      <c r="AJ2691" s="6"/>
      <c r="AK2691" s="6"/>
      <c r="AL2691" s="6"/>
      <c r="AM2691" s="6"/>
    </row>
    <row r="2692">
      <c r="A2692" s="6"/>
      <c r="B2692" s="6"/>
      <c r="C2692" s="6"/>
      <c r="D2692" s="6"/>
      <c r="E2692" s="6"/>
      <c r="F2692" s="6"/>
      <c r="G2692" s="6"/>
      <c r="H2692" s="6"/>
      <c r="I2692" s="6"/>
      <c r="J2692" s="6"/>
      <c r="K2692" s="6"/>
      <c r="L2692" s="6"/>
      <c r="M2692" s="6"/>
      <c r="N2692" s="6"/>
      <c r="O2692" s="6"/>
      <c r="P2692" s="6"/>
      <c r="Q2692" s="6"/>
      <c r="R2692" s="6"/>
      <c r="S2692" s="6"/>
      <c r="T2692" s="6"/>
      <c r="U2692" s="6"/>
      <c r="V2692" s="6"/>
      <c r="W2692" s="6"/>
      <c r="X2692" s="6"/>
      <c r="Y2692" s="6"/>
      <c r="Z2692" s="6"/>
      <c r="AA2692" s="6"/>
      <c r="AB2692" s="6"/>
      <c r="AC2692" s="6"/>
      <c r="AD2692" s="6"/>
      <c r="AE2692" s="6"/>
      <c r="AF2692" s="6"/>
      <c r="AG2692" s="6"/>
      <c r="AH2692" s="6"/>
      <c r="AI2692" s="6"/>
      <c r="AJ2692" s="6"/>
      <c r="AK2692" s="6"/>
      <c r="AL2692" s="6"/>
      <c r="AM2692" s="6"/>
    </row>
    <row r="2693">
      <c r="A2693" s="6"/>
      <c r="B2693" s="6"/>
      <c r="C2693" s="6"/>
      <c r="D2693" s="6"/>
      <c r="E2693" s="6"/>
      <c r="F2693" s="6"/>
      <c r="G2693" s="6"/>
      <c r="H2693" s="6"/>
      <c r="I2693" s="6"/>
      <c r="J2693" s="6"/>
      <c r="K2693" s="6"/>
      <c r="L2693" s="6"/>
      <c r="M2693" s="6"/>
      <c r="N2693" s="6"/>
      <c r="O2693" s="6"/>
      <c r="P2693" s="6"/>
      <c r="Q2693" s="6"/>
      <c r="R2693" s="6"/>
      <c r="S2693" s="6"/>
      <c r="T2693" s="6"/>
      <c r="U2693" s="6"/>
      <c r="V2693" s="6"/>
      <c r="W2693" s="6"/>
      <c r="X2693" s="6"/>
      <c r="Y2693" s="6"/>
      <c r="Z2693" s="6"/>
      <c r="AA2693" s="6"/>
      <c r="AB2693" s="6"/>
      <c r="AC2693" s="6"/>
      <c r="AD2693" s="6"/>
      <c r="AE2693" s="6"/>
      <c r="AF2693" s="6"/>
      <c r="AG2693" s="6"/>
      <c r="AH2693" s="6"/>
      <c r="AI2693" s="6"/>
      <c r="AJ2693" s="6"/>
      <c r="AK2693" s="6"/>
      <c r="AL2693" s="6"/>
      <c r="AM2693" s="6"/>
    </row>
    <row r="2694">
      <c r="A2694" s="6"/>
      <c r="B2694" s="6"/>
      <c r="C2694" s="6"/>
      <c r="D2694" s="6"/>
      <c r="E2694" s="6"/>
      <c r="F2694" s="6"/>
      <c r="G2694" s="6"/>
      <c r="H2694" s="6"/>
      <c r="I2694" s="6"/>
      <c r="J2694" s="6"/>
      <c r="K2694" s="6"/>
      <c r="L2694" s="6"/>
      <c r="M2694" s="6"/>
      <c r="N2694" s="6"/>
      <c r="O2694" s="6"/>
      <c r="P2694" s="6"/>
      <c r="Q2694" s="6"/>
      <c r="R2694" s="6"/>
      <c r="S2694" s="6"/>
      <c r="T2694" s="6"/>
      <c r="U2694" s="6"/>
      <c r="V2694" s="6"/>
      <c r="W2694" s="6"/>
      <c r="X2694" s="6"/>
      <c r="Y2694" s="6"/>
      <c r="Z2694" s="6"/>
      <c r="AA2694" s="6"/>
      <c r="AB2694" s="6"/>
      <c r="AC2694" s="6"/>
      <c r="AD2694" s="6"/>
      <c r="AE2694" s="6"/>
      <c r="AF2694" s="6"/>
      <c r="AG2694" s="6"/>
      <c r="AH2694" s="6"/>
      <c r="AI2694" s="6"/>
      <c r="AJ2694" s="6"/>
      <c r="AK2694" s="6"/>
      <c r="AL2694" s="6"/>
      <c r="AM2694" s="6"/>
    </row>
    <row r="2695">
      <c r="A2695" s="6"/>
      <c r="B2695" s="6"/>
      <c r="C2695" s="6"/>
      <c r="D2695" s="6"/>
      <c r="E2695" s="6"/>
      <c r="F2695" s="6"/>
      <c r="G2695" s="6"/>
      <c r="H2695" s="6"/>
      <c r="I2695" s="6"/>
      <c r="J2695" s="6"/>
      <c r="K2695" s="6"/>
      <c r="L2695" s="6"/>
      <c r="M2695" s="6"/>
      <c r="N2695" s="6"/>
      <c r="O2695" s="6"/>
      <c r="P2695" s="6"/>
      <c r="Q2695" s="6"/>
      <c r="R2695" s="6"/>
      <c r="S2695" s="6"/>
      <c r="T2695" s="6"/>
      <c r="U2695" s="6"/>
      <c r="V2695" s="6"/>
      <c r="W2695" s="6"/>
      <c r="X2695" s="6"/>
      <c r="Y2695" s="6"/>
      <c r="Z2695" s="6"/>
      <c r="AA2695" s="6"/>
      <c r="AB2695" s="6"/>
      <c r="AC2695" s="6"/>
      <c r="AD2695" s="6"/>
      <c r="AE2695" s="6"/>
      <c r="AF2695" s="6"/>
      <c r="AG2695" s="6"/>
      <c r="AH2695" s="6"/>
      <c r="AI2695" s="6"/>
      <c r="AJ2695" s="6"/>
      <c r="AK2695" s="6"/>
      <c r="AL2695" s="6"/>
      <c r="AM2695" s="6"/>
    </row>
    <row r="2696">
      <c r="A2696" s="6"/>
      <c r="B2696" s="6"/>
      <c r="C2696" s="6"/>
      <c r="D2696" s="6"/>
      <c r="E2696" s="6"/>
      <c r="F2696" s="6"/>
      <c r="G2696" s="6"/>
      <c r="H2696" s="6"/>
      <c r="I2696" s="6"/>
      <c r="J2696" s="6"/>
      <c r="K2696" s="6"/>
      <c r="L2696" s="6"/>
      <c r="M2696" s="6"/>
      <c r="N2696" s="6"/>
      <c r="O2696" s="6"/>
      <c r="P2696" s="6"/>
      <c r="Q2696" s="6"/>
      <c r="R2696" s="6"/>
      <c r="S2696" s="6"/>
      <c r="T2696" s="6"/>
      <c r="U2696" s="6"/>
      <c r="V2696" s="6"/>
      <c r="W2696" s="6"/>
      <c r="X2696" s="6"/>
      <c r="Y2696" s="6"/>
      <c r="Z2696" s="6"/>
      <c r="AA2696" s="6"/>
      <c r="AB2696" s="6"/>
      <c r="AC2696" s="6"/>
      <c r="AD2696" s="6"/>
      <c r="AE2696" s="6"/>
      <c r="AF2696" s="6"/>
      <c r="AG2696" s="6"/>
      <c r="AH2696" s="6"/>
      <c r="AI2696" s="6"/>
      <c r="AJ2696" s="6"/>
      <c r="AK2696" s="6"/>
      <c r="AL2696" s="6"/>
      <c r="AM2696" s="6"/>
    </row>
    <row r="2697">
      <c r="A2697" s="6"/>
      <c r="B2697" s="6"/>
      <c r="C2697" s="6"/>
      <c r="D2697" s="6"/>
      <c r="E2697" s="6"/>
      <c r="F2697" s="6"/>
      <c r="G2697" s="6"/>
      <c r="H2697" s="6"/>
      <c r="I2697" s="6"/>
      <c r="J2697" s="6"/>
      <c r="K2697" s="6"/>
      <c r="L2697" s="6"/>
      <c r="M2697" s="6"/>
      <c r="N2697" s="6"/>
      <c r="O2697" s="6"/>
      <c r="P2697" s="6"/>
      <c r="Q2697" s="6"/>
      <c r="R2697" s="6"/>
      <c r="S2697" s="6"/>
      <c r="T2697" s="6"/>
      <c r="U2697" s="6"/>
      <c r="V2697" s="6"/>
      <c r="W2697" s="6"/>
      <c r="X2697" s="6"/>
      <c r="Y2697" s="6"/>
      <c r="Z2697" s="6"/>
      <c r="AA2697" s="6"/>
      <c r="AB2697" s="6"/>
      <c r="AC2697" s="6"/>
      <c r="AD2697" s="6"/>
      <c r="AE2697" s="6"/>
      <c r="AF2697" s="6"/>
      <c r="AG2697" s="6"/>
      <c r="AH2697" s="6"/>
      <c r="AI2697" s="6"/>
      <c r="AJ2697" s="6"/>
      <c r="AK2697" s="6"/>
      <c r="AL2697" s="6"/>
      <c r="AM2697" s="6"/>
    </row>
    <row r="2698">
      <c r="A2698" s="6"/>
      <c r="B2698" s="6"/>
      <c r="C2698" s="6"/>
      <c r="D2698" s="6"/>
      <c r="E2698" s="6"/>
      <c r="F2698" s="6"/>
      <c r="G2698" s="6"/>
      <c r="H2698" s="6"/>
      <c r="I2698" s="6"/>
      <c r="J2698" s="6"/>
      <c r="K2698" s="6"/>
      <c r="L2698" s="6"/>
      <c r="M2698" s="6"/>
      <c r="N2698" s="6"/>
      <c r="O2698" s="6"/>
      <c r="P2698" s="6"/>
      <c r="Q2698" s="6"/>
      <c r="R2698" s="6"/>
      <c r="S2698" s="6"/>
      <c r="T2698" s="6"/>
      <c r="U2698" s="6"/>
      <c r="V2698" s="6"/>
      <c r="W2698" s="6"/>
      <c r="X2698" s="6"/>
      <c r="Y2698" s="6"/>
      <c r="Z2698" s="6"/>
      <c r="AA2698" s="6"/>
      <c r="AB2698" s="6"/>
      <c r="AC2698" s="6"/>
      <c r="AD2698" s="6"/>
      <c r="AE2698" s="6"/>
      <c r="AF2698" s="6"/>
      <c r="AG2698" s="6"/>
      <c r="AH2698" s="6"/>
      <c r="AI2698" s="6"/>
      <c r="AJ2698" s="6"/>
      <c r="AK2698" s="6"/>
      <c r="AL2698" s="6"/>
      <c r="AM2698" s="6"/>
    </row>
    <row r="2699">
      <c r="A2699" s="6"/>
      <c r="B2699" s="6"/>
      <c r="C2699" s="6"/>
      <c r="D2699" s="6"/>
      <c r="E2699" s="6"/>
      <c r="F2699" s="6"/>
      <c r="G2699" s="6"/>
      <c r="H2699" s="6"/>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c r="AG2699" s="6"/>
      <c r="AH2699" s="6"/>
      <c r="AI2699" s="6"/>
      <c r="AJ2699" s="6"/>
      <c r="AK2699" s="6"/>
      <c r="AL2699" s="6"/>
      <c r="AM2699" s="6"/>
    </row>
    <row r="2700">
      <c r="A2700" s="6"/>
      <c r="B2700" s="6"/>
      <c r="C2700" s="6"/>
      <c r="D2700" s="6"/>
      <c r="E2700" s="6"/>
      <c r="F2700" s="6"/>
      <c r="G2700" s="6"/>
      <c r="H2700" s="6"/>
      <c r="I2700" s="6"/>
      <c r="J2700" s="6"/>
      <c r="K2700" s="6"/>
      <c r="L2700" s="6"/>
      <c r="M2700" s="6"/>
      <c r="N2700" s="6"/>
      <c r="O2700" s="6"/>
      <c r="P2700" s="6"/>
      <c r="Q2700" s="6"/>
      <c r="R2700" s="6"/>
      <c r="S2700" s="6"/>
      <c r="T2700" s="6"/>
      <c r="U2700" s="6"/>
      <c r="V2700" s="6"/>
      <c r="W2700" s="6"/>
      <c r="X2700" s="6"/>
      <c r="Y2700" s="6"/>
      <c r="Z2700" s="6"/>
      <c r="AA2700" s="6"/>
      <c r="AB2700" s="6"/>
      <c r="AC2700" s="6"/>
      <c r="AD2700" s="6"/>
      <c r="AE2700" s="6"/>
      <c r="AF2700" s="6"/>
      <c r="AG2700" s="6"/>
      <c r="AH2700" s="6"/>
      <c r="AI2700" s="6"/>
      <c r="AJ2700" s="6"/>
      <c r="AK2700" s="6"/>
      <c r="AL2700" s="6"/>
      <c r="AM2700" s="6"/>
    </row>
    <row r="2701">
      <c r="A2701" s="6"/>
      <c r="B2701" s="6"/>
      <c r="C2701" s="6"/>
      <c r="D2701" s="6"/>
      <c r="E2701" s="6"/>
      <c r="F2701" s="6"/>
      <c r="G2701" s="6"/>
      <c r="H2701" s="6"/>
      <c r="I2701" s="6"/>
      <c r="J2701" s="6"/>
      <c r="K2701" s="6"/>
      <c r="L2701" s="6"/>
      <c r="M2701" s="6"/>
      <c r="N2701" s="6"/>
      <c r="O2701" s="6"/>
      <c r="P2701" s="6"/>
      <c r="Q2701" s="6"/>
      <c r="R2701" s="6"/>
      <c r="S2701" s="6"/>
      <c r="T2701" s="6"/>
      <c r="U2701" s="6"/>
      <c r="V2701" s="6"/>
      <c r="W2701" s="6"/>
      <c r="X2701" s="6"/>
      <c r="Y2701" s="6"/>
      <c r="Z2701" s="6"/>
      <c r="AA2701" s="6"/>
      <c r="AB2701" s="6"/>
      <c r="AC2701" s="6"/>
      <c r="AD2701" s="6"/>
      <c r="AE2701" s="6"/>
      <c r="AF2701" s="6"/>
      <c r="AG2701" s="6"/>
      <c r="AH2701" s="6"/>
      <c r="AI2701" s="6"/>
      <c r="AJ2701" s="6"/>
      <c r="AK2701" s="6"/>
      <c r="AL2701" s="6"/>
      <c r="AM2701" s="6"/>
    </row>
    <row r="2702">
      <c r="A2702" s="6"/>
      <c r="B2702" s="6"/>
      <c r="C2702" s="6"/>
      <c r="D2702" s="6"/>
      <c r="E2702" s="6"/>
      <c r="F2702" s="6"/>
      <c r="G2702" s="6"/>
      <c r="H2702" s="6"/>
      <c r="I2702" s="6"/>
      <c r="J2702" s="6"/>
      <c r="K2702" s="6"/>
      <c r="L2702" s="6"/>
      <c r="M2702" s="6"/>
      <c r="N2702" s="6"/>
      <c r="O2702" s="6"/>
      <c r="P2702" s="6"/>
      <c r="Q2702" s="6"/>
      <c r="R2702" s="6"/>
      <c r="S2702" s="6"/>
      <c r="T2702" s="6"/>
      <c r="U2702" s="6"/>
      <c r="V2702" s="6"/>
      <c r="W2702" s="6"/>
      <c r="X2702" s="6"/>
      <c r="Y2702" s="6"/>
      <c r="Z2702" s="6"/>
      <c r="AA2702" s="6"/>
      <c r="AB2702" s="6"/>
      <c r="AC2702" s="6"/>
      <c r="AD2702" s="6"/>
      <c r="AE2702" s="6"/>
      <c r="AF2702" s="6"/>
      <c r="AG2702" s="6"/>
      <c r="AH2702" s="6"/>
      <c r="AI2702" s="6"/>
      <c r="AJ2702" s="6"/>
      <c r="AK2702" s="6"/>
      <c r="AL2702" s="6"/>
      <c r="AM2702" s="6"/>
    </row>
    <row r="2703">
      <c r="A2703" s="6"/>
      <c r="B2703" s="6"/>
      <c r="C2703" s="6"/>
      <c r="D2703" s="6"/>
      <c r="E2703" s="6"/>
      <c r="F2703" s="6"/>
      <c r="G2703" s="6"/>
      <c r="H2703" s="6"/>
      <c r="I2703" s="6"/>
      <c r="J2703" s="6"/>
      <c r="K2703" s="6"/>
      <c r="L2703" s="6"/>
      <c r="M2703" s="6"/>
      <c r="N2703" s="6"/>
      <c r="O2703" s="6"/>
      <c r="P2703" s="6"/>
      <c r="Q2703" s="6"/>
      <c r="R2703" s="6"/>
      <c r="S2703" s="6"/>
      <c r="T2703" s="6"/>
      <c r="U2703" s="6"/>
      <c r="V2703" s="6"/>
      <c r="W2703" s="6"/>
      <c r="X2703" s="6"/>
      <c r="Y2703" s="6"/>
      <c r="Z2703" s="6"/>
      <c r="AA2703" s="6"/>
      <c r="AB2703" s="6"/>
      <c r="AC2703" s="6"/>
      <c r="AD2703" s="6"/>
      <c r="AE2703" s="6"/>
      <c r="AF2703" s="6"/>
      <c r="AG2703" s="6"/>
      <c r="AH2703" s="6"/>
      <c r="AI2703" s="6"/>
      <c r="AJ2703" s="6"/>
      <c r="AK2703" s="6"/>
      <c r="AL2703" s="6"/>
      <c r="AM2703" s="6"/>
    </row>
    <row r="2704">
      <c r="A2704" s="6"/>
      <c r="B2704" s="6"/>
      <c r="C2704" s="6"/>
      <c r="D2704" s="6"/>
      <c r="E2704" s="6"/>
      <c r="F2704" s="6"/>
      <c r="G2704" s="6"/>
      <c r="H2704" s="6"/>
      <c r="I2704" s="6"/>
      <c r="J2704" s="6"/>
      <c r="K2704" s="6"/>
      <c r="L2704" s="6"/>
      <c r="M2704" s="6"/>
      <c r="N2704" s="6"/>
      <c r="O2704" s="6"/>
      <c r="P2704" s="6"/>
      <c r="Q2704" s="6"/>
      <c r="R2704" s="6"/>
      <c r="S2704" s="6"/>
      <c r="T2704" s="6"/>
      <c r="U2704" s="6"/>
      <c r="V2704" s="6"/>
      <c r="W2704" s="6"/>
      <c r="X2704" s="6"/>
      <c r="Y2704" s="6"/>
      <c r="Z2704" s="6"/>
      <c r="AA2704" s="6"/>
      <c r="AB2704" s="6"/>
      <c r="AC2704" s="6"/>
      <c r="AD2704" s="6"/>
      <c r="AE2704" s="6"/>
      <c r="AF2704" s="6"/>
      <c r="AG2704" s="6"/>
      <c r="AH2704" s="6"/>
      <c r="AI2704" s="6"/>
      <c r="AJ2704" s="6"/>
      <c r="AK2704" s="6"/>
      <c r="AL2704" s="6"/>
      <c r="AM2704" s="6"/>
    </row>
    <row r="2705">
      <c r="A2705" s="6"/>
      <c r="B2705" s="6"/>
      <c r="C2705" s="6"/>
      <c r="D2705" s="6"/>
      <c r="E2705" s="6"/>
      <c r="F2705" s="6"/>
      <c r="G2705" s="6"/>
      <c r="H2705" s="6"/>
      <c r="I2705" s="6"/>
      <c r="J2705" s="6"/>
      <c r="K2705" s="6"/>
      <c r="L2705" s="6"/>
      <c r="M2705" s="6"/>
      <c r="N2705" s="6"/>
      <c r="O2705" s="6"/>
      <c r="P2705" s="6"/>
      <c r="Q2705" s="6"/>
      <c r="R2705" s="6"/>
      <c r="S2705" s="6"/>
      <c r="T2705" s="6"/>
      <c r="U2705" s="6"/>
      <c r="V2705" s="6"/>
      <c r="W2705" s="6"/>
      <c r="X2705" s="6"/>
      <c r="Y2705" s="6"/>
      <c r="Z2705" s="6"/>
      <c r="AA2705" s="6"/>
      <c r="AB2705" s="6"/>
      <c r="AC2705" s="6"/>
      <c r="AD2705" s="6"/>
      <c r="AE2705" s="6"/>
      <c r="AF2705" s="6"/>
      <c r="AG2705" s="6"/>
      <c r="AH2705" s="6"/>
      <c r="AI2705" s="6"/>
      <c r="AJ2705" s="6"/>
      <c r="AK2705" s="6"/>
      <c r="AL2705" s="6"/>
      <c r="AM2705" s="6"/>
    </row>
    <row r="2706">
      <c r="A2706" s="6"/>
      <c r="B2706" s="6"/>
      <c r="C2706" s="6"/>
      <c r="D2706" s="6"/>
      <c r="E2706" s="6"/>
      <c r="F2706" s="6"/>
      <c r="G2706" s="6"/>
      <c r="H2706" s="6"/>
      <c r="I2706" s="6"/>
      <c r="J2706" s="6"/>
      <c r="K2706" s="6"/>
      <c r="L2706" s="6"/>
      <c r="M2706" s="6"/>
      <c r="N2706" s="6"/>
      <c r="O2706" s="6"/>
      <c r="P2706" s="6"/>
      <c r="Q2706" s="6"/>
      <c r="R2706" s="6"/>
      <c r="S2706" s="6"/>
      <c r="T2706" s="6"/>
      <c r="U2706" s="6"/>
      <c r="V2706" s="6"/>
      <c r="W2706" s="6"/>
      <c r="X2706" s="6"/>
      <c r="Y2706" s="6"/>
      <c r="Z2706" s="6"/>
      <c r="AA2706" s="6"/>
      <c r="AB2706" s="6"/>
      <c r="AC2706" s="6"/>
      <c r="AD2706" s="6"/>
      <c r="AE2706" s="6"/>
      <c r="AF2706" s="6"/>
      <c r="AG2706" s="6"/>
      <c r="AH2706" s="6"/>
      <c r="AI2706" s="6"/>
      <c r="AJ2706" s="6"/>
      <c r="AK2706" s="6"/>
      <c r="AL2706" s="6"/>
      <c r="AM2706" s="6"/>
    </row>
    <row r="2707">
      <c r="A2707" s="6"/>
      <c r="B2707" s="6"/>
      <c r="C2707" s="6"/>
      <c r="D2707" s="6"/>
      <c r="E2707" s="6"/>
      <c r="F2707" s="6"/>
      <c r="G2707" s="6"/>
      <c r="H2707" s="6"/>
      <c r="I2707" s="6"/>
      <c r="J2707" s="6"/>
      <c r="K2707" s="6"/>
      <c r="L2707" s="6"/>
      <c r="M2707" s="6"/>
      <c r="N2707" s="6"/>
      <c r="O2707" s="6"/>
      <c r="P2707" s="6"/>
      <c r="Q2707" s="6"/>
      <c r="R2707" s="6"/>
      <c r="S2707" s="6"/>
      <c r="T2707" s="6"/>
      <c r="U2707" s="6"/>
      <c r="V2707" s="6"/>
      <c r="W2707" s="6"/>
      <c r="X2707" s="6"/>
      <c r="Y2707" s="6"/>
      <c r="Z2707" s="6"/>
      <c r="AA2707" s="6"/>
      <c r="AB2707" s="6"/>
      <c r="AC2707" s="6"/>
      <c r="AD2707" s="6"/>
      <c r="AE2707" s="6"/>
      <c r="AF2707" s="6"/>
      <c r="AG2707" s="6"/>
      <c r="AH2707" s="6"/>
      <c r="AI2707" s="6"/>
      <c r="AJ2707" s="6"/>
      <c r="AK2707" s="6"/>
      <c r="AL2707" s="6"/>
      <c r="AM2707" s="6"/>
    </row>
    <row r="2708">
      <c r="A2708" s="6"/>
      <c r="B2708" s="6"/>
      <c r="C2708" s="6"/>
      <c r="D2708" s="6"/>
      <c r="E2708" s="6"/>
      <c r="F2708" s="6"/>
      <c r="G2708" s="6"/>
      <c r="H2708" s="6"/>
      <c r="I2708" s="6"/>
      <c r="J2708" s="6"/>
      <c r="K2708" s="6"/>
      <c r="L2708" s="6"/>
      <c r="M2708" s="6"/>
      <c r="N2708" s="6"/>
      <c r="O2708" s="6"/>
      <c r="P2708" s="6"/>
      <c r="Q2708" s="6"/>
      <c r="R2708" s="6"/>
      <c r="S2708" s="6"/>
      <c r="T2708" s="6"/>
      <c r="U2708" s="6"/>
      <c r="V2708" s="6"/>
      <c r="W2708" s="6"/>
      <c r="X2708" s="6"/>
      <c r="Y2708" s="6"/>
      <c r="Z2708" s="6"/>
      <c r="AA2708" s="6"/>
      <c r="AB2708" s="6"/>
      <c r="AC2708" s="6"/>
      <c r="AD2708" s="6"/>
      <c r="AE2708" s="6"/>
      <c r="AF2708" s="6"/>
      <c r="AG2708" s="6"/>
      <c r="AH2708" s="6"/>
      <c r="AI2708" s="6"/>
      <c r="AJ2708" s="6"/>
      <c r="AK2708" s="6"/>
      <c r="AL2708" s="6"/>
      <c r="AM2708" s="6"/>
    </row>
    <row r="2709">
      <c r="A2709" s="6"/>
      <c r="B2709" s="6"/>
      <c r="C2709" s="6"/>
      <c r="D2709" s="6"/>
      <c r="E2709" s="6"/>
      <c r="F2709" s="6"/>
      <c r="G2709" s="6"/>
      <c r="H2709" s="6"/>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c r="AG2709" s="6"/>
      <c r="AH2709" s="6"/>
      <c r="AI2709" s="6"/>
      <c r="AJ2709" s="6"/>
      <c r="AK2709" s="6"/>
      <c r="AL2709" s="6"/>
      <c r="AM2709" s="6"/>
    </row>
    <row r="2710">
      <c r="A2710" s="6"/>
      <c r="B2710" s="6"/>
      <c r="C2710" s="6"/>
      <c r="D2710" s="6"/>
      <c r="E2710" s="6"/>
      <c r="F2710" s="6"/>
      <c r="G2710" s="6"/>
      <c r="H2710" s="6"/>
      <c r="I2710" s="6"/>
      <c r="J2710" s="6"/>
      <c r="K2710" s="6"/>
      <c r="L2710" s="6"/>
      <c r="M2710" s="6"/>
      <c r="N2710" s="6"/>
      <c r="O2710" s="6"/>
      <c r="P2710" s="6"/>
      <c r="Q2710" s="6"/>
      <c r="R2710" s="6"/>
      <c r="S2710" s="6"/>
      <c r="T2710" s="6"/>
      <c r="U2710" s="6"/>
      <c r="V2710" s="6"/>
      <c r="W2710" s="6"/>
      <c r="X2710" s="6"/>
      <c r="Y2710" s="6"/>
      <c r="Z2710" s="6"/>
      <c r="AA2710" s="6"/>
      <c r="AB2710" s="6"/>
      <c r="AC2710" s="6"/>
      <c r="AD2710" s="6"/>
      <c r="AE2710" s="6"/>
      <c r="AF2710" s="6"/>
      <c r="AG2710" s="6"/>
      <c r="AH2710" s="6"/>
      <c r="AI2710" s="6"/>
      <c r="AJ2710" s="6"/>
      <c r="AK2710" s="6"/>
      <c r="AL2710" s="6"/>
      <c r="AM2710" s="6"/>
    </row>
    <row r="2711">
      <c r="A2711" s="6"/>
      <c r="B2711" s="6"/>
      <c r="C2711" s="6"/>
      <c r="D2711" s="6"/>
      <c r="E2711" s="6"/>
      <c r="F2711" s="6"/>
      <c r="G2711" s="6"/>
      <c r="H2711" s="6"/>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c r="AG2711" s="6"/>
      <c r="AH2711" s="6"/>
      <c r="AI2711" s="6"/>
      <c r="AJ2711" s="6"/>
      <c r="AK2711" s="6"/>
      <c r="AL2711" s="6"/>
      <c r="AM2711" s="6"/>
    </row>
    <row r="2712">
      <c r="A2712" s="6"/>
      <c r="B2712" s="6"/>
      <c r="C2712" s="6"/>
      <c r="D2712" s="6"/>
      <c r="E2712" s="6"/>
      <c r="F2712" s="6"/>
      <c r="G2712" s="6"/>
      <c r="H2712" s="6"/>
      <c r="I2712" s="6"/>
      <c r="J2712" s="6"/>
      <c r="K2712" s="6"/>
      <c r="L2712" s="6"/>
      <c r="M2712" s="6"/>
      <c r="N2712" s="6"/>
      <c r="O2712" s="6"/>
      <c r="P2712" s="6"/>
      <c r="Q2712" s="6"/>
      <c r="R2712" s="6"/>
      <c r="S2712" s="6"/>
      <c r="T2712" s="6"/>
      <c r="U2712" s="6"/>
      <c r="V2712" s="6"/>
      <c r="W2712" s="6"/>
      <c r="X2712" s="6"/>
      <c r="Y2712" s="6"/>
      <c r="Z2712" s="6"/>
      <c r="AA2712" s="6"/>
      <c r="AB2712" s="6"/>
      <c r="AC2712" s="6"/>
      <c r="AD2712" s="6"/>
      <c r="AE2712" s="6"/>
      <c r="AF2712" s="6"/>
      <c r="AG2712" s="6"/>
      <c r="AH2712" s="6"/>
      <c r="AI2712" s="6"/>
      <c r="AJ2712" s="6"/>
      <c r="AK2712" s="6"/>
      <c r="AL2712" s="6"/>
      <c r="AM2712" s="6"/>
    </row>
    <row r="2713">
      <c r="A2713" s="6"/>
      <c r="B2713" s="6"/>
      <c r="C2713" s="6"/>
      <c r="D2713" s="6"/>
      <c r="E2713" s="6"/>
      <c r="F2713" s="6"/>
      <c r="G2713" s="6"/>
      <c r="H2713" s="6"/>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c r="AG2713" s="6"/>
      <c r="AH2713" s="6"/>
      <c r="AI2713" s="6"/>
      <c r="AJ2713" s="6"/>
      <c r="AK2713" s="6"/>
      <c r="AL2713" s="6"/>
      <c r="AM2713" s="6"/>
    </row>
    <row r="2714">
      <c r="A2714" s="6"/>
      <c r="B2714" s="6"/>
      <c r="C2714" s="6"/>
      <c r="D2714" s="6"/>
      <c r="E2714" s="6"/>
      <c r="F2714" s="6"/>
      <c r="G2714" s="6"/>
      <c r="H2714" s="6"/>
      <c r="I2714" s="6"/>
      <c r="J2714" s="6"/>
      <c r="K2714" s="6"/>
      <c r="L2714" s="6"/>
      <c r="M2714" s="6"/>
      <c r="N2714" s="6"/>
      <c r="O2714" s="6"/>
      <c r="P2714" s="6"/>
      <c r="Q2714" s="6"/>
      <c r="R2714" s="6"/>
      <c r="S2714" s="6"/>
      <c r="T2714" s="6"/>
      <c r="U2714" s="6"/>
      <c r="V2714" s="6"/>
      <c r="W2714" s="6"/>
      <c r="X2714" s="6"/>
      <c r="Y2714" s="6"/>
      <c r="Z2714" s="6"/>
      <c r="AA2714" s="6"/>
      <c r="AB2714" s="6"/>
      <c r="AC2714" s="6"/>
      <c r="AD2714" s="6"/>
      <c r="AE2714" s="6"/>
      <c r="AF2714" s="6"/>
      <c r="AG2714" s="6"/>
      <c r="AH2714" s="6"/>
      <c r="AI2714" s="6"/>
      <c r="AJ2714" s="6"/>
      <c r="AK2714" s="6"/>
      <c r="AL2714" s="6"/>
      <c r="AM2714" s="6"/>
    </row>
    <row r="2715">
      <c r="A2715" s="6"/>
      <c r="B2715" s="6"/>
      <c r="C2715" s="6"/>
      <c r="D2715" s="6"/>
      <c r="E2715" s="6"/>
      <c r="F2715" s="6"/>
      <c r="G2715" s="6"/>
      <c r="H2715" s="6"/>
      <c r="I2715" s="6"/>
      <c r="J2715" s="6"/>
      <c r="K2715" s="6"/>
      <c r="L2715" s="6"/>
      <c r="M2715" s="6"/>
      <c r="N2715" s="6"/>
      <c r="O2715" s="6"/>
      <c r="P2715" s="6"/>
      <c r="Q2715" s="6"/>
      <c r="R2715" s="6"/>
      <c r="S2715" s="6"/>
      <c r="T2715" s="6"/>
      <c r="U2715" s="6"/>
      <c r="V2715" s="6"/>
      <c r="W2715" s="6"/>
      <c r="X2715" s="6"/>
      <c r="Y2715" s="6"/>
      <c r="Z2715" s="6"/>
      <c r="AA2715" s="6"/>
      <c r="AB2715" s="6"/>
      <c r="AC2715" s="6"/>
      <c r="AD2715" s="6"/>
      <c r="AE2715" s="6"/>
      <c r="AF2715" s="6"/>
      <c r="AG2715" s="6"/>
      <c r="AH2715" s="6"/>
      <c r="AI2715" s="6"/>
      <c r="AJ2715" s="6"/>
      <c r="AK2715" s="6"/>
      <c r="AL2715" s="6"/>
      <c r="AM2715" s="6"/>
    </row>
    <row r="2716">
      <c r="A2716" s="6"/>
      <c r="B2716" s="6"/>
      <c r="C2716" s="6"/>
      <c r="D2716" s="6"/>
      <c r="E2716" s="6"/>
      <c r="F2716" s="6"/>
      <c r="G2716" s="6"/>
      <c r="H2716" s="6"/>
      <c r="I2716" s="6"/>
      <c r="J2716" s="6"/>
      <c r="K2716" s="6"/>
      <c r="L2716" s="6"/>
      <c r="M2716" s="6"/>
      <c r="N2716" s="6"/>
      <c r="O2716" s="6"/>
      <c r="P2716" s="6"/>
      <c r="Q2716" s="6"/>
      <c r="R2716" s="6"/>
      <c r="S2716" s="6"/>
      <c r="T2716" s="6"/>
      <c r="U2716" s="6"/>
      <c r="V2716" s="6"/>
      <c r="W2716" s="6"/>
      <c r="X2716" s="6"/>
      <c r="Y2716" s="6"/>
      <c r="Z2716" s="6"/>
      <c r="AA2716" s="6"/>
      <c r="AB2716" s="6"/>
      <c r="AC2716" s="6"/>
      <c r="AD2716" s="6"/>
      <c r="AE2716" s="6"/>
      <c r="AF2716" s="6"/>
      <c r="AG2716" s="6"/>
      <c r="AH2716" s="6"/>
      <c r="AI2716" s="6"/>
      <c r="AJ2716" s="6"/>
      <c r="AK2716" s="6"/>
      <c r="AL2716" s="6"/>
      <c r="AM2716" s="6"/>
    </row>
    <row r="2717">
      <c r="A2717" s="6"/>
      <c r="B2717" s="6"/>
      <c r="C2717" s="6"/>
      <c r="D2717" s="6"/>
      <c r="E2717" s="6"/>
      <c r="F2717" s="6"/>
      <c r="G2717" s="6"/>
      <c r="H2717" s="6"/>
      <c r="I2717" s="6"/>
      <c r="J2717" s="6"/>
      <c r="K2717" s="6"/>
      <c r="L2717" s="6"/>
      <c r="M2717" s="6"/>
      <c r="N2717" s="6"/>
      <c r="O2717" s="6"/>
      <c r="P2717" s="6"/>
      <c r="Q2717" s="6"/>
      <c r="R2717" s="6"/>
      <c r="S2717" s="6"/>
      <c r="T2717" s="6"/>
      <c r="U2717" s="6"/>
      <c r="V2717" s="6"/>
      <c r="W2717" s="6"/>
      <c r="X2717" s="6"/>
      <c r="Y2717" s="6"/>
      <c r="Z2717" s="6"/>
      <c r="AA2717" s="6"/>
      <c r="AB2717" s="6"/>
      <c r="AC2717" s="6"/>
      <c r="AD2717" s="6"/>
      <c r="AE2717" s="6"/>
      <c r="AF2717" s="6"/>
      <c r="AG2717" s="6"/>
      <c r="AH2717" s="6"/>
      <c r="AI2717" s="6"/>
      <c r="AJ2717" s="6"/>
      <c r="AK2717" s="6"/>
      <c r="AL2717" s="6"/>
      <c r="AM2717" s="6"/>
    </row>
    <row r="2718">
      <c r="A2718" s="6"/>
      <c r="B2718" s="6"/>
      <c r="C2718" s="6"/>
      <c r="D2718" s="6"/>
      <c r="E2718" s="6"/>
      <c r="F2718" s="6"/>
      <c r="G2718" s="6"/>
      <c r="H2718" s="6"/>
      <c r="I2718" s="6"/>
      <c r="J2718" s="6"/>
      <c r="K2718" s="6"/>
      <c r="L2718" s="6"/>
      <c r="M2718" s="6"/>
      <c r="N2718" s="6"/>
      <c r="O2718" s="6"/>
      <c r="P2718" s="6"/>
      <c r="Q2718" s="6"/>
      <c r="R2718" s="6"/>
      <c r="S2718" s="6"/>
      <c r="T2718" s="6"/>
      <c r="U2718" s="6"/>
      <c r="V2718" s="6"/>
      <c r="W2718" s="6"/>
      <c r="X2718" s="6"/>
      <c r="Y2718" s="6"/>
      <c r="Z2718" s="6"/>
      <c r="AA2718" s="6"/>
      <c r="AB2718" s="6"/>
      <c r="AC2718" s="6"/>
      <c r="AD2718" s="6"/>
      <c r="AE2718" s="6"/>
      <c r="AF2718" s="6"/>
      <c r="AG2718" s="6"/>
      <c r="AH2718" s="6"/>
      <c r="AI2718" s="6"/>
      <c r="AJ2718" s="6"/>
      <c r="AK2718" s="6"/>
      <c r="AL2718" s="6"/>
      <c r="AM2718" s="6"/>
    </row>
    <row r="2719">
      <c r="A2719" s="6"/>
      <c r="B2719" s="6"/>
      <c r="C2719" s="6"/>
      <c r="D2719" s="6"/>
      <c r="E2719" s="6"/>
      <c r="F2719" s="6"/>
      <c r="G2719" s="6"/>
      <c r="H2719" s="6"/>
      <c r="I2719" s="6"/>
      <c r="J2719" s="6"/>
      <c r="K2719" s="6"/>
      <c r="L2719" s="6"/>
      <c r="M2719" s="6"/>
      <c r="N2719" s="6"/>
      <c r="O2719" s="6"/>
      <c r="P2719" s="6"/>
      <c r="Q2719" s="6"/>
      <c r="R2719" s="6"/>
      <c r="S2719" s="6"/>
      <c r="T2719" s="6"/>
      <c r="U2719" s="6"/>
      <c r="V2719" s="6"/>
      <c r="W2719" s="6"/>
      <c r="X2719" s="6"/>
      <c r="Y2719" s="6"/>
      <c r="Z2719" s="6"/>
      <c r="AA2719" s="6"/>
      <c r="AB2719" s="6"/>
      <c r="AC2719" s="6"/>
      <c r="AD2719" s="6"/>
      <c r="AE2719" s="6"/>
      <c r="AF2719" s="6"/>
      <c r="AG2719" s="6"/>
      <c r="AH2719" s="6"/>
      <c r="AI2719" s="6"/>
      <c r="AJ2719" s="6"/>
      <c r="AK2719" s="6"/>
      <c r="AL2719" s="6"/>
      <c r="AM2719" s="6"/>
    </row>
    <row r="2720">
      <c r="A2720" s="6"/>
      <c r="B2720" s="6"/>
      <c r="C2720" s="6"/>
      <c r="D2720" s="6"/>
      <c r="E2720" s="6"/>
      <c r="F2720" s="6"/>
      <c r="G2720" s="6"/>
      <c r="H2720" s="6"/>
      <c r="I2720" s="6"/>
      <c r="J2720" s="6"/>
      <c r="K2720" s="6"/>
      <c r="L2720" s="6"/>
      <c r="M2720" s="6"/>
      <c r="N2720" s="6"/>
      <c r="O2720" s="6"/>
      <c r="P2720" s="6"/>
      <c r="Q2720" s="6"/>
      <c r="R2720" s="6"/>
      <c r="S2720" s="6"/>
      <c r="T2720" s="6"/>
      <c r="U2720" s="6"/>
      <c r="V2720" s="6"/>
      <c r="W2720" s="6"/>
      <c r="X2720" s="6"/>
      <c r="Y2720" s="6"/>
      <c r="Z2720" s="6"/>
      <c r="AA2720" s="6"/>
      <c r="AB2720" s="6"/>
      <c r="AC2720" s="6"/>
      <c r="AD2720" s="6"/>
      <c r="AE2720" s="6"/>
      <c r="AF2720" s="6"/>
      <c r="AG2720" s="6"/>
      <c r="AH2720" s="6"/>
      <c r="AI2720" s="6"/>
      <c r="AJ2720" s="6"/>
      <c r="AK2720" s="6"/>
      <c r="AL2720" s="6"/>
      <c r="AM2720" s="6"/>
    </row>
    <row r="2721">
      <c r="A2721" s="6"/>
      <c r="B2721" s="6"/>
      <c r="C2721" s="6"/>
      <c r="D2721" s="6"/>
      <c r="E2721" s="6"/>
      <c r="F2721" s="6"/>
      <c r="G2721" s="6"/>
      <c r="H2721" s="6"/>
      <c r="I2721" s="6"/>
      <c r="J2721" s="6"/>
      <c r="K2721" s="6"/>
      <c r="L2721" s="6"/>
      <c r="M2721" s="6"/>
      <c r="N2721" s="6"/>
      <c r="O2721" s="6"/>
      <c r="P2721" s="6"/>
      <c r="Q2721" s="6"/>
      <c r="R2721" s="6"/>
      <c r="S2721" s="6"/>
      <c r="T2721" s="6"/>
      <c r="U2721" s="6"/>
      <c r="V2721" s="6"/>
      <c r="W2721" s="6"/>
      <c r="X2721" s="6"/>
      <c r="Y2721" s="6"/>
      <c r="Z2721" s="6"/>
      <c r="AA2721" s="6"/>
      <c r="AB2721" s="6"/>
      <c r="AC2721" s="6"/>
      <c r="AD2721" s="6"/>
      <c r="AE2721" s="6"/>
      <c r="AF2721" s="6"/>
      <c r="AG2721" s="6"/>
      <c r="AH2721" s="6"/>
      <c r="AI2721" s="6"/>
      <c r="AJ2721" s="6"/>
      <c r="AK2721" s="6"/>
      <c r="AL2721" s="6"/>
      <c r="AM2721" s="6"/>
    </row>
    <row r="2722">
      <c r="A2722" s="6"/>
      <c r="B2722" s="6"/>
      <c r="C2722" s="6"/>
      <c r="D2722" s="6"/>
      <c r="E2722" s="6"/>
      <c r="F2722" s="6"/>
      <c r="G2722" s="6"/>
      <c r="H2722" s="6"/>
      <c r="I2722" s="6"/>
      <c r="J2722" s="6"/>
      <c r="K2722" s="6"/>
      <c r="L2722" s="6"/>
      <c r="M2722" s="6"/>
      <c r="N2722" s="6"/>
      <c r="O2722" s="6"/>
      <c r="P2722" s="6"/>
      <c r="Q2722" s="6"/>
      <c r="R2722" s="6"/>
      <c r="S2722" s="6"/>
      <c r="T2722" s="6"/>
      <c r="U2722" s="6"/>
      <c r="V2722" s="6"/>
      <c r="W2722" s="6"/>
      <c r="X2722" s="6"/>
      <c r="Y2722" s="6"/>
      <c r="Z2722" s="6"/>
      <c r="AA2722" s="6"/>
      <c r="AB2722" s="6"/>
      <c r="AC2722" s="6"/>
      <c r="AD2722" s="6"/>
      <c r="AE2722" s="6"/>
      <c r="AF2722" s="6"/>
      <c r="AG2722" s="6"/>
      <c r="AH2722" s="6"/>
      <c r="AI2722" s="6"/>
      <c r="AJ2722" s="6"/>
      <c r="AK2722" s="6"/>
      <c r="AL2722" s="6"/>
      <c r="AM2722" s="6"/>
    </row>
    <row r="2723">
      <c r="A2723" s="6"/>
      <c r="B2723" s="6"/>
      <c r="C2723" s="6"/>
      <c r="D2723" s="6"/>
      <c r="E2723" s="6"/>
      <c r="F2723" s="6"/>
      <c r="G2723" s="6"/>
      <c r="H2723" s="6"/>
      <c r="I2723" s="6"/>
      <c r="J2723" s="6"/>
      <c r="K2723" s="6"/>
      <c r="L2723" s="6"/>
      <c r="M2723" s="6"/>
      <c r="N2723" s="6"/>
      <c r="O2723" s="6"/>
      <c r="P2723" s="6"/>
      <c r="Q2723" s="6"/>
      <c r="R2723" s="6"/>
      <c r="S2723" s="6"/>
      <c r="T2723" s="6"/>
      <c r="U2723" s="6"/>
      <c r="V2723" s="6"/>
      <c r="W2723" s="6"/>
      <c r="X2723" s="6"/>
      <c r="Y2723" s="6"/>
      <c r="Z2723" s="6"/>
      <c r="AA2723" s="6"/>
      <c r="AB2723" s="6"/>
      <c r="AC2723" s="6"/>
      <c r="AD2723" s="6"/>
      <c r="AE2723" s="6"/>
      <c r="AF2723" s="6"/>
      <c r="AG2723" s="6"/>
      <c r="AH2723" s="6"/>
      <c r="AI2723" s="6"/>
      <c r="AJ2723" s="6"/>
      <c r="AK2723" s="6"/>
      <c r="AL2723" s="6"/>
      <c r="AM2723" s="6"/>
    </row>
    <row r="2724">
      <c r="A2724" s="6"/>
      <c r="B2724" s="6"/>
      <c r="C2724" s="6"/>
      <c r="D2724" s="6"/>
      <c r="E2724" s="6"/>
      <c r="F2724" s="6"/>
      <c r="G2724" s="6"/>
      <c r="H2724" s="6"/>
      <c r="I2724" s="6"/>
      <c r="J2724" s="6"/>
      <c r="K2724" s="6"/>
      <c r="L2724" s="6"/>
      <c r="M2724" s="6"/>
      <c r="N2724" s="6"/>
      <c r="O2724" s="6"/>
      <c r="P2724" s="6"/>
      <c r="Q2724" s="6"/>
      <c r="R2724" s="6"/>
      <c r="S2724" s="6"/>
      <c r="T2724" s="6"/>
      <c r="U2724" s="6"/>
      <c r="V2724" s="6"/>
      <c r="W2724" s="6"/>
      <c r="X2724" s="6"/>
      <c r="Y2724" s="6"/>
      <c r="Z2724" s="6"/>
      <c r="AA2724" s="6"/>
      <c r="AB2724" s="6"/>
      <c r="AC2724" s="6"/>
      <c r="AD2724" s="6"/>
      <c r="AE2724" s="6"/>
      <c r="AF2724" s="6"/>
      <c r="AG2724" s="6"/>
      <c r="AH2724" s="6"/>
      <c r="AI2724" s="6"/>
      <c r="AJ2724" s="6"/>
      <c r="AK2724" s="6"/>
      <c r="AL2724" s="6"/>
      <c r="AM2724" s="6"/>
    </row>
    <row r="2725">
      <c r="A2725" s="6"/>
      <c r="B2725" s="6"/>
      <c r="C2725" s="6"/>
      <c r="D2725" s="6"/>
      <c r="E2725" s="6"/>
      <c r="F2725" s="6"/>
      <c r="G2725" s="6"/>
      <c r="H2725" s="6"/>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c r="AG2725" s="6"/>
      <c r="AH2725" s="6"/>
      <c r="AI2725" s="6"/>
      <c r="AJ2725" s="6"/>
      <c r="AK2725" s="6"/>
      <c r="AL2725" s="6"/>
      <c r="AM2725" s="6"/>
    </row>
    <row r="2726">
      <c r="A2726" s="6"/>
      <c r="B2726" s="6"/>
      <c r="C2726" s="6"/>
      <c r="D2726" s="6"/>
      <c r="E2726" s="6"/>
      <c r="F2726" s="6"/>
      <c r="G2726" s="6"/>
      <c r="H2726" s="6"/>
      <c r="I2726" s="6"/>
      <c r="J2726" s="6"/>
      <c r="K2726" s="6"/>
      <c r="L2726" s="6"/>
      <c r="M2726" s="6"/>
      <c r="N2726" s="6"/>
      <c r="O2726" s="6"/>
      <c r="P2726" s="6"/>
      <c r="Q2726" s="6"/>
      <c r="R2726" s="6"/>
      <c r="S2726" s="6"/>
      <c r="T2726" s="6"/>
      <c r="U2726" s="6"/>
      <c r="V2726" s="6"/>
      <c r="W2726" s="6"/>
      <c r="X2726" s="6"/>
      <c r="Y2726" s="6"/>
      <c r="Z2726" s="6"/>
      <c r="AA2726" s="6"/>
      <c r="AB2726" s="6"/>
      <c r="AC2726" s="6"/>
      <c r="AD2726" s="6"/>
      <c r="AE2726" s="6"/>
      <c r="AF2726" s="6"/>
      <c r="AG2726" s="6"/>
      <c r="AH2726" s="6"/>
      <c r="AI2726" s="6"/>
      <c r="AJ2726" s="6"/>
      <c r="AK2726" s="6"/>
      <c r="AL2726" s="6"/>
      <c r="AM2726" s="6"/>
    </row>
    <row r="2727">
      <c r="A2727" s="6"/>
      <c r="B2727" s="6"/>
      <c r="C2727" s="6"/>
      <c r="D2727" s="6"/>
      <c r="E2727" s="6"/>
      <c r="F2727" s="6"/>
      <c r="G2727" s="6"/>
      <c r="H2727" s="6"/>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c r="AG2727" s="6"/>
      <c r="AH2727" s="6"/>
      <c r="AI2727" s="6"/>
      <c r="AJ2727" s="6"/>
      <c r="AK2727" s="6"/>
      <c r="AL2727" s="6"/>
      <c r="AM2727" s="6"/>
    </row>
    <row r="2728">
      <c r="A2728" s="6"/>
      <c r="B2728" s="6"/>
      <c r="C2728" s="6"/>
      <c r="D2728" s="6"/>
      <c r="E2728" s="6"/>
      <c r="F2728" s="6"/>
      <c r="G2728" s="6"/>
      <c r="H2728" s="6"/>
      <c r="I2728" s="6"/>
      <c r="J2728" s="6"/>
      <c r="K2728" s="6"/>
      <c r="L2728" s="6"/>
      <c r="M2728" s="6"/>
      <c r="N2728" s="6"/>
      <c r="O2728" s="6"/>
      <c r="P2728" s="6"/>
      <c r="Q2728" s="6"/>
      <c r="R2728" s="6"/>
      <c r="S2728" s="6"/>
      <c r="T2728" s="6"/>
      <c r="U2728" s="6"/>
      <c r="V2728" s="6"/>
      <c r="W2728" s="6"/>
      <c r="X2728" s="6"/>
      <c r="Y2728" s="6"/>
      <c r="Z2728" s="6"/>
      <c r="AA2728" s="6"/>
      <c r="AB2728" s="6"/>
      <c r="AC2728" s="6"/>
      <c r="AD2728" s="6"/>
      <c r="AE2728" s="6"/>
      <c r="AF2728" s="6"/>
      <c r="AG2728" s="6"/>
      <c r="AH2728" s="6"/>
      <c r="AI2728" s="6"/>
      <c r="AJ2728" s="6"/>
      <c r="AK2728" s="6"/>
      <c r="AL2728" s="6"/>
      <c r="AM2728" s="6"/>
    </row>
    <row r="2729">
      <c r="A2729" s="6"/>
      <c r="B2729" s="6"/>
      <c r="C2729" s="6"/>
      <c r="D2729" s="6"/>
      <c r="E2729" s="6"/>
      <c r="F2729" s="6"/>
      <c r="G2729" s="6"/>
      <c r="H2729" s="6"/>
      <c r="I2729" s="6"/>
      <c r="J2729" s="6"/>
      <c r="K2729" s="6"/>
      <c r="L2729" s="6"/>
      <c r="M2729" s="6"/>
      <c r="N2729" s="6"/>
      <c r="O2729" s="6"/>
      <c r="P2729" s="6"/>
      <c r="Q2729" s="6"/>
      <c r="R2729" s="6"/>
      <c r="S2729" s="6"/>
      <c r="T2729" s="6"/>
      <c r="U2729" s="6"/>
      <c r="V2729" s="6"/>
      <c r="W2729" s="6"/>
      <c r="X2729" s="6"/>
      <c r="Y2729" s="6"/>
      <c r="Z2729" s="6"/>
      <c r="AA2729" s="6"/>
      <c r="AB2729" s="6"/>
      <c r="AC2729" s="6"/>
      <c r="AD2729" s="6"/>
      <c r="AE2729" s="6"/>
      <c r="AF2729" s="6"/>
      <c r="AG2729" s="6"/>
      <c r="AH2729" s="6"/>
      <c r="AI2729" s="6"/>
      <c r="AJ2729" s="6"/>
      <c r="AK2729" s="6"/>
      <c r="AL2729" s="6"/>
      <c r="AM2729" s="6"/>
    </row>
    <row r="2730">
      <c r="A2730" s="6"/>
      <c r="B2730" s="6"/>
      <c r="C2730" s="6"/>
      <c r="D2730" s="6"/>
      <c r="E2730" s="6"/>
      <c r="F2730" s="6"/>
      <c r="G2730" s="6"/>
      <c r="H2730" s="6"/>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c r="AG2730" s="6"/>
      <c r="AH2730" s="6"/>
      <c r="AI2730" s="6"/>
      <c r="AJ2730" s="6"/>
      <c r="AK2730" s="6"/>
      <c r="AL2730" s="6"/>
      <c r="AM2730" s="6"/>
    </row>
    <row r="2731">
      <c r="A2731" s="6"/>
      <c r="B2731" s="6"/>
      <c r="C2731" s="6"/>
      <c r="D2731" s="6"/>
      <c r="E2731" s="6"/>
      <c r="F2731" s="6"/>
      <c r="G2731" s="6"/>
      <c r="H2731" s="6"/>
      <c r="I2731" s="6"/>
      <c r="J2731" s="6"/>
      <c r="K2731" s="6"/>
      <c r="L2731" s="6"/>
      <c r="M2731" s="6"/>
      <c r="N2731" s="6"/>
      <c r="O2731" s="6"/>
      <c r="P2731" s="6"/>
      <c r="Q2731" s="6"/>
      <c r="R2731" s="6"/>
      <c r="S2731" s="6"/>
      <c r="T2731" s="6"/>
      <c r="U2731" s="6"/>
      <c r="V2731" s="6"/>
      <c r="W2731" s="6"/>
      <c r="X2731" s="6"/>
      <c r="Y2731" s="6"/>
      <c r="Z2731" s="6"/>
      <c r="AA2731" s="6"/>
      <c r="AB2731" s="6"/>
      <c r="AC2731" s="6"/>
      <c r="AD2731" s="6"/>
      <c r="AE2731" s="6"/>
      <c r="AF2731" s="6"/>
      <c r="AG2731" s="6"/>
      <c r="AH2731" s="6"/>
      <c r="AI2731" s="6"/>
      <c r="AJ2731" s="6"/>
      <c r="AK2731" s="6"/>
      <c r="AL2731" s="6"/>
      <c r="AM2731" s="6"/>
    </row>
    <row r="2732">
      <c r="A2732" s="6"/>
      <c r="B2732" s="6"/>
      <c r="C2732" s="6"/>
      <c r="D2732" s="6"/>
      <c r="E2732" s="6"/>
      <c r="F2732" s="6"/>
      <c r="G2732" s="6"/>
      <c r="H2732" s="6"/>
      <c r="I2732" s="6"/>
      <c r="J2732" s="6"/>
      <c r="K2732" s="6"/>
      <c r="L2732" s="6"/>
      <c r="M2732" s="6"/>
      <c r="N2732" s="6"/>
      <c r="O2732" s="6"/>
      <c r="P2732" s="6"/>
      <c r="Q2732" s="6"/>
      <c r="R2732" s="6"/>
      <c r="S2732" s="6"/>
      <c r="T2732" s="6"/>
      <c r="U2732" s="6"/>
      <c r="V2732" s="6"/>
      <c r="W2732" s="6"/>
      <c r="X2732" s="6"/>
      <c r="Y2732" s="6"/>
      <c r="Z2732" s="6"/>
      <c r="AA2732" s="6"/>
      <c r="AB2732" s="6"/>
      <c r="AC2732" s="6"/>
      <c r="AD2732" s="6"/>
      <c r="AE2732" s="6"/>
      <c r="AF2732" s="6"/>
      <c r="AG2732" s="6"/>
      <c r="AH2732" s="6"/>
      <c r="AI2732" s="6"/>
      <c r="AJ2732" s="6"/>
      <c r="AK2732" s="6"/>
      <c r="AL2732" s="6"/>
      <c r="AM2732" s="6"/>
    </row>
    <row r="2733">
      <c r="A2733" s="6"/>
      <c r="B2733" s="6"/>
      <c r="C2733" s="6"/>
      <c r="D2733" s="6"/>
      <c r="E2733" s="6"/>
      <c r="F2733" s="6"/>
      <c r="G2733" s="6"/>
      <c r="H2733" s="6"/>
      <c r="I2733" s="6"/>
      <c r="J2733" s="6"/>
      <c r="K2733" s="6"/>
      <c r="L2733" s="6"/>
      <c r="M2733" s="6"/>
      <c r="N2733" s="6"/>
      <c r="O2733" s="6"/>
      <c r="P2733" s="6"/>
      <c r="Q2733" s="6"/>
      <c r="R2733" s="6"/>
      <c r="S2733" s="6"/>
      <c r="T2733" s="6"/>
      <c r="U2733" s="6"/>
      <c r="V2733" s="6"/>
      <c r="W2733" s="6"/>
      <c r="X2733" s="6"/>
      <c r="Y2733" s="6"/>
      <c r="Z2733" s="6"/>
      <c r="AA2733" s="6"/>
      <c r="AB2733" s="6"/>
      <c r="AC2733" s="6"/>
      <c r="AD2733" s="6"/>
      <c r="AE2733" s="6"/>
      <c r="AF2733" s="6"/>
      <c r="AG2733" s="6"/>
      <c r="AH2733" s="6"/>
      <c r="AI2733" s="6"/>
      <c r="AJ2733" s="6"/>
      <c r="AK2733" s="6"/>
      <c r="AL2733" s="6"/>
      <c r="AM2733" s="6"/>
    </row>
    <row r="2734">
      <c r="A2734" s="6"/>
      <c r="B2734" s="6"/>
      <c r="C2734" s="6"/>
      <c r="D2734" s="6"/>
      <c r="E2734" s="6"/>
      <c r="F2734" s="6"/>
      <c r="G2734" s="6"/>
      <c r="H2734" s="6"/>
      <c r="I2734" s="6"/>
      <c r="J2734" s="6"/>
      <c r="K2734" s="6"/>
      <c r="L2734" s="6"/>
      <c r="M2734" s="6"/>
      <c r="N2734" s="6"/>
      <c r="O2734" s="6"/>
      <c r="P2734" s="6"/>
      <c r="Q2734" s="6"/>
      <c r="R2734" s="6"/>
      <c r="S2734" s="6"/>
      <c r="T2734" s="6"/>
      <c r="U2734" s="6"/>
      <c r="V2734" s="6"/>
      <c r="W2734" s="6"/>
      <c r="X2734" s="6"/>
      <c r="Y2734" s="6"/>
      <c r="Z2734" s="6"/>
      <c r="AA2734" s="6"/>
      <c r="AB2734" s="6"/>
      <c r="AC2734" s="6"/>
      <c r="AD2734" s="6"/>
      <c r="AE2734" s="6"/>
      <c r="AF2734" s="6"/>
      <c r="AG2734" s="6"/>
      <c r="AH2734" s="6"/>
      <c r="AI2734" s="6"/>
      <c r="AJ2734" s="6"/>
      <c r="AK2734" s="6"/>
      <c r="AL2734" s="6"/>
      <c r="AM2734" s="6"/>
    </row>
    <row r="2735">
      <c r="A2735" s="6"/>
      <c r="B2735" s="6"/>
      <c r="C2735" s="6"/>
      <c r="D2735" s="6"/>
      <c r="E2735" s="6"/>
      <c r="F2735" s="6"/>
      <c r="G2735" s="6"/>
      <c r="H2735" s="6"/>
      <c r="I2735" s="6"/>
      <c r="J2735" s="6"/>
      <c r="K2735" s="6"/>
      <c r="L2735" s="6"/>
      <c r="M2735" s="6"/>
      <c r="N2735" s="6"/>
      <c r="O2735" s="6"/>
      <c r="P2735" s="6"/>
      <c r="Q2735" s="6"/>
      <c r="R2735" s="6"/>
      <c r="S2735" s="6"/>
      <c r="T2735" s="6"/>
      <c r="U2735" s="6"/>
      <c r="V2735" s="6"/>
      <c r="W2735" s="6"/>
      <c r="X2735" s="6"/>
      <c r="Y2735" s="6"/>
      <c r="Z2735" s="6"/>
      <c r="AA2735" s="6"/>
      <c r="AB2735" s="6"/>
      <c r="AC2735" s="6"/>
      <c r="AD2735" s="6"/>
      <c r="AE2735" s="6"/>
      <c r="AF2735" s="6"/>
      <c r="AG2735" s="6"/>
      <c r="AH2735" s="6"/>
      <c r="AI2735" s="6"/>
      <c r="AJ2735" s="6"/>
      <c r="AK2735" s="6"/>
      <c r="AL2735" s="6"/>
      <c r="AM2735" s="6"/>
    </row>
    <row r="2736">
      <c r="A2736" s="6"/>
      <c r="B2736" s="6"/>
      <c r="C2736" s="6"/>
      <c r="D2736" s="6"/>
      <c r="E2736" s="6"/>
      <c r="F2736" s="6"/>
      <c r="G2736" s="6"/>
      <c r="H2736" s="6"/>
      <c r="I2736" s="6"/>
      <c r="J2736" s="6"/>
      <c r="K2736" s="6"/>
      <c r="L2736" s="6"/>
      <c r="M2736" s="6"/>
      <c r="N2736" s="6"/>
      <c r="O2736" s="6"/>
      <c r="P2736" s="6"/>
      <c r="Q2736" s="6"/>
      <c r="R2736" s="6"/>
      <c r="S2736" s="6"/>
      <c r="T2736" s="6"/>
      <c r="U2736" s="6"/>
      <c r="V2736" s="6"/>
      <c r="W2736" s="6"/>
      <c r="X2736" s="6"/>
      <c r="Y2736" s="6"/>
      <c r="Z2736" s="6"/>
      <c r="AA2736" s="6"/>
      <c r="AB2736" s="6"/>
      <c r="AC2736" s="6"/>
      <c r="AD2736" s="6"/>
      <c r="AE2736" s="6"/>
      <c r="AF2736" s="6"/>
      <c r="AG2736" s="6"/>
      <c r="AH2736" s="6"/>
      <c r="AI2736" s="6"/>
      <c r="AJ2736" s="6"/>
      <c r="AK2736" s="6"/>
      <c r="AL2736" s="6"/>
      <c r="AM2736" s="6"/>
    </row>
    <row r="2737">
      <c r="A2737" s="6"/>
      <c r="B2737" s="6"/>
      <c r="C2737" s="6"/>
      <c r="D2737" s="6"/>
      <c r="E2737" s="6"/>
      <c r="F2737" s="6"/>
      <c r="G2737" s="6"/>
      <c r="H2737" s="6"/>
      <c r="I2737" s="6"/>
      <c r="J2737" s="6"/>
      <c r="K2737" s="6"/>
      <c r="L2737" s="6"/>
      <c r="M2737" s="6"/>
      <c r="N2737" s="6"/>
      <c r="O2737" s="6"/>
      <c r="P2737" s="6"/>
      <c r="Q2737" s="6"/>
      <c r="R2737" s="6"/>
      <c r="S2737" s="6"/>
      <c r="T2737" s="6"/>
      <c r="U2737" s="6"/>
      <c r="V2737" s="6"/>
      <c r="W2737" s="6"/>
      <c r="X2737" s="6"/>
      <c r="Y2737" s="6"/>
      <c r="Z2737" s="6"/>
      <c r="AA2737" s="6"/>
      <c r="AB2737" s="6"/>
      <c r="AC2737" s="6"/>
      <c r="AD2737" s="6"/>
      <c r="AE2737" s="6"/>
      <c r="AF2737" s="6"/>
      <c r="AG2737" s="6"/>
      <c r="AH2737" s="6"/>
      <c r="AI2737" s="6"/>
      <c r="AJ2737" s="6"/>
      <c r="AK2737" s="6"/>
      <c r="AL2737" s="6"/>
      <c r="AM2737" s="6"/>
    </row>
    <row r="2738">
      <c r="A2738" s="6"/>
      <c r="B2738" s="6"/>
      <c r="C2738" s="6"/>
      <c r="D2738" s="6"/>
      <c r="E2738" s="6"/>
      <c r="F2738" s="6"/>
      <c r="G2738" s="6"/>
      <c r="H2738" s="6"/>
      <c r="I2738" s="6"/>
      <c r="J2738" s="6"/>
      <c r="K2738" s="6"/>
      <c r="L2738" s="6"/>
      <c r="M2738" s="6"/>
      <c r="N2738" s="6"/>
      <c r="O2738" s="6"/>
      <c r="P2738" s="6"/>
      <c r="Q2738" s="6"/>
      <c r="R2738" s="6"/>
      <c r="S2738" s="6"/>
      <c r="T2738" s="6"/>
      <c r="U2738" s="6"/>
      <c r="V2738" s="6"/>
      <c r="W2738" s="6"/>
      <c r="X2738" s="6"/>
      <c r="Y2738" s="6"/>
      <c r="Z2738" s="6"/>
      <c r="AA2738" s="6"/>
      <c r="AB2738" s="6"/>
      <c r="AC2738" s="6"/>
      <c r="AD2738" s="6"/>
      <c r="AE2738" s="6"/>
      <c r="AF2738" s="6"/>
      <c r="AG2738" s="6"/>
      <c r="AH2738" s="6"/>
      <c r="AI2738" s="6"/>
      <c r="AJ2738" s="6"/>
      <c r="AK2738" s="6"/>
      <c r="AL2738" s="6"/>
      <c r="AM2738" s="6"/>
    </row>
    <row r="2739">
      <c r="A2739" s="6"/>
      <c r="B2739" s="6"/>
      <c r="C2739" s="6"/>
      <c r="D2739" s="6"/>
      <c r="E2739" s="6"/>
      <c r="F2739" s="6"/>
      <c r="G2739" s="6"/>
      <c r="H2739" s="6"/>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c r="AG2739" s="6"/>
      <c r="AH2739" s="6"/>
      <c r="AI2739" s="6"/>
      <c r="AJ2739" s="6"/>
      <c r="AK2739" s="6"/>
      <c r="AL2739" s="6"/>
      <c r="AM2739" s="6"/>
    </row>
    <row r="2740">
      <c r="A2740" s="6"/>
      <c r="B2740" s="6"/>
      <c r="C2740" s="6"/>
      <c r="D2740" s="6"/>
      <c r="E2740" s="6"/>
      <c r="F2740" s="6"/>
      <c r="G2740" s="6"/>
      <c r="H2740" s="6"/>
      <c r="I2740" s="6"/>
      <c r="J2740" s="6"/>
      <c r="K2740" s="6"/>
      <c r="L2740" s="6"/>
      <c r="M2740" s="6"/>
      <c r="N2740" s="6"/>
      <c r="O2740" s="6"/>
      <c r="P2740" s="6"/>
      <c r="Q2740" s="6"/>
      <c r="R2740" s="6"/>
      <c r="S2740" s="6"/>
      <c r="T2740" s="6"/>
      <c r="U2740" s="6"/>
      <c r="V2740" s="6"/>
      <c r="W2740" s="6"/>
      <c r="X2740" s="6"/>
      <c r="Y2740" s="6"/>
      <c r="Z2740" s="6"/>
      <c r="AA2740" s="6"/>
      <c r="AB2740" s="6"/>
      <c r="AC2740" s="6"/>
      <c r="AD2740" s="6"/>
      <c r="AE2740" s="6"/>
      <c r="AF2740" s="6"/>
      <c r="AG2740" s="6"/>
      <c r="AH2740" s="6"/>
      <c r="AI2740" s="6"/>
      <c r="AJ2740" s="6"/>
      <c r="AK2740" s="6"/>
      <c r="AL2740" s="6"/>
      <c r="AM2740" s="6"/>
    </row>
    <row r="2741">
      <c r="A2741" s="6"/>
      <c r="B2741" s="6"/>
      <c r="C2741" s="6"/>
      <c r="D2741" s="6"/>
      <c r="E2741" s="6"/>
      <c r="F2741" s="6"/>
      <c r="G2741" s="6"/>
      <c r="H2741" s="6"/>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c r="AG2741" s="6"/>
      <c r="AH2741" s="6"/>
      <c r="AI2741" s="6"/>
      <c r="AJ2741" s="6"/>
      <c r="AK2741" s="6"/>
      <c r="AL2741" s="6"/>
      <c r="AM2741" s="6"/>
    </row>
    <row r="2742">
      <c r="A2742" s="6"/>
      <c r="B2742" s="6"/>
      <c r="C2742" s="6"/>
      <c r="D2742" s="6"/>
      <c r="E2742" s="6"/>
      <c r="F2742" s="6"/>
      <c r="G2742" s="6"/>
      <c r="H2742" s="6"/>
      <c r="I2742" s="6"/>
      <c r="J2742" s="6"/>
      <c r="K2742" s="6"/>
      <c r="L2742" s="6"/>
      <c r="M2742" s="6"/>
      <c r="N2742" s="6"/>
      <c r="O2742" s="6"/>
      <c r="P2742" s="6"/>
      <c r="Q2742" s="6"/>
      <c r="R2742" s="6"/>
      <c r="S2742" s="6"/>
      <c r="T2742" s="6"/>
      <c r="U2742" s="6"/>
      <c r="V2742" s="6"/>
      <c r="W2742" s="6"/>
      <c r="X2742" s="6"/>
      <c r="Y2742" s="6"/>
      <c r="Z2742" s="6"/>
      <c r="AA2742" s="6"/>
      <c r="AB2742" s="6"/>
      <c r="AC2742" s="6"/>
      <c r="AD2742" s="6"/>
      <c r="AE2742" s="6"/>
      <c r="AF2742" s="6"/>
      <c r="AG2742" s="6"/>
      <c r="AH2742" s="6"/>
      <c r="AI2742" s="6"/>
      <c r="AJ2742" s="6"/>
      <c r="AK2742" s="6"/>
      <c r="AL2742" s="6"/>
      <c r="AM2742" s="6"/>
    </row>
    <row r="2743">
      <c r="A2743" s="6"/>
      <c r="B2743" s="6"/>
      <c r="C2743" s="6"/>
      <c r="D2743" s="6"/>
      <c r="E2743" s="6"/>
      <c r="F2743" s="6"/>
      <c r="G2743" s="6"/>
      <c r="H2743" s="6"/>
      <c r="I2743" s="6"/>
      <c r="J2743" s="6"/>
      <c r="K2743" s="6"/>
      <c r="L2743" s="6"/>
      <c r="M2743" s="6"/>
      <c r="N2743" s="6"/>
      <c r="O2743" s="6"/>
      <c r="P2743" s="6"/>
      <c r="Q2743" s="6"/>
      <c r="R2743" s="6"/>
      <c r="S2743" s="6"/>
      <c r="T2743" s="6"/>
      <c r="U2743" s="6"/>
      <c r="V2743" s="6"/>
      <c r="W2743" s="6"/>
      <c r="X2743" s="6"/>
      <c r="Y2743" s="6"/>
      <c r="Z2743" s="6"/>
      <c r="AA2743" s="6"/>
      <c r="AB2743" s="6"/>
      <c r="AC2743" s="6"/>
      <c r="AD2743" s="6"/>
      <c r="AE2743" s="6"/>
      <c r="AF2743" s="6"/>
      <c r="AG2743" s="6"/>
      <c r="AH2743" s="6"/>
      <c r="AI2743" s="6"/>
      <c r="AJ2743" s="6"/>
      <c r="AK2743" s="6"/>
      <c r="AL2743" s="6"/>
      <c r="AM2743" s="6"/>
    </row>
    <row r="2744">
      <c r="A2744" s="6"/>
      <c r="B2744" s="6"/>
      <c r="C2744" s="6"/>
      <c r="D2744" s="6"/>
      <c r="E2744" s="6"/>
      <c r="F2744" s="6"/>
      <c r="G2744" s="6"/>
      <c r="H2744" s="6"/>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c r="AG2744" s="6"/>
      <c r="AH2744" s="6"/>
      <c r="AI2744" s="6"/>
      <c r="AJ2744" s="6"/>
      <c r="AK2744" s="6"/>
      <c r="AL2744" s="6"/>
      <c r="AM2744" s="6"/>
    </row>
    <row r="2745">
      <c r="A2745" s="6"/>
      <c r="B2745" s="6"/>
      <c r="C2745" s="6"/>
      <c r="D2745" s="6"/>
      <c r="E2745" s="6"/>
      <c r="F2745" s="6"/>
      <c r="G2745" s="6"/>
      <c r="H2745" s="6"/>
      <c r="I2745" s="6"/>
      <c r="J2745" s="6"/>
      <c r="K2745" s="6"/>
      <c r="L2745" s="6"/>
      <c r="M2745" s="6"/>
      <c r="N2745" s="6"/>
      <c r="O2745" s="6"/>
      <c r="P2745" s="6"/>
      <c r="Q2745" s="6"/>
      <c r="R2745" s="6"/>
      <c r="S2745" s="6"/>
      <c r="T2745" s="6"/>
      <c r="U2745" s="6"/>
      <c r="V2745" s="6"/>
      <c r="W2745" s="6"/>
      <c r="X2745" s="6"/>
      <c r="Y2745" s="6"/>
      <c r="Z2745" s="6"/>
      <c r="AA2745" s="6"/>
      <c r="AB2745" s="6"/>
      <c r="AC2745" s="6"/>
      <c r="AD2745" s="6"/>
      <c r="AE2745" s="6"/>
      <c r="AF2745" s="6"/>
      <c r="AG2745" s="6"/>
      <c r="AH2745" s="6"/>
      <c r="AI2745" s="6"/>
      <c r="AJ2745" s="6"/>
      <c r="AK2745" s="6"/>
      <c r="AL2745" s="6"/>
      <c r="AM2745" s="6"/>
    </row>
    <row r="2746">
      <c r="A2746" s="6"/>
      <c r="B2746" s="6"/>
      <c r="C2746" s="6"/>
      <c r="D2746" s="6"/>
      <c r="E2746" s="6"/>
      <c r="F2746" s="6"/>
      <c r="G2746" s="6"/>
      <c r="H2746" s="6"/>
      <c r="I2746" s="6"/>
      <c r="J2746" s="6"/>
      <c r="K2746" s="6"/>
      <c r="L2746" s="6"/>
      <c r="M2746" s="6"/>
      <c r="N2746" s="6"/>
      <c r="O2746" s="6"/>
      <c r="P2746" s="6"/>
      <c r="Q2746" s="6"/>
      <c r="R2746" s="6"/>
      <c r="S2746" s="6"/>
      <c r="T2746" s="6"/>
      <c r="U2746" s="6"/>
      <c r="V2746" s="6"/>
      <c r="W2746" s="6"/>
      <c r="X2746" s="6"/>
      <c r="Y2746" s="6"/>
      <c r="Z2746" s="6"/>
      <c r="AA2746" s="6"/>
      <c r="AB2746" s="6"/>
      <c r="AC2746" s="6"/>
      <c r="AD2746" s="6"/>
      <c r="AE2746" s="6"/>
      <c r="AF2746" s="6"/>
      <c r="AG2746" s="6"/>
      <c r="AH2746" s="6"/>
      <c r="AI2746" s="6"/>
      <c r="AJ2746" s="6"/>
      <c r="AK2746" s="6"/>
      <c r="AL2746" s="6"/>
      <c r="AM2746" s="6"/>
    </row>
    <row r="2747">
      <c r="A2747" s="6"/>
      <c r="B2747" s="6"/>
      <c r="C2747" s="6"/>
      <c r="D2747" s="6"/>
      <c r="E2747" s="6"/>
      <c r="F2747" s="6"/>
      <c r="G2747" s="6"/>
      <c r="H2747" s="6"/>
      <c r="I2747" s="6"/>
      <c r="J2747" s="6"/>
      <c r="K2747" s="6"/>
      <c r="L2747" s="6"/>
      <c r="M2747" s="6"/>
      <c r="N2747" s="6"/>
      <c r="O2747" s="6"/>
      <c r="P2747" s="6"/>
      <c r="Q2747" s="6"/>
      <c r="R2747" s="6"/>
      <c r="S2747" s="6"/>
      <c r="T2747" s="6"/>
      <c r="U2747" s="6"/>
      <c r="V2747" s="6"/>
      <c r="W2747" s="6"/>
      <c r="X2747" s="6"/>
      <c r="Y2747" s="6"/>
      <c r="Z2747" s="6"/>
      <c r="AA2747" s="6"/>
      <c r="AB2747" s="6"/>
      <c r="AC2747" s="6"/>
      <c r="AD2747" s="6"/>
      <c r="AE2747" s="6"/>
      <c r="AF2747" s="6"/>
      <c r="AG2747" s="6"/>
      <c r="AH2747" s="6"/>
      <c r="AI2747" s="6"/>
      <c r="AJ2747" s="6"/>
      <c r="AK2747" s="6"/>
      <c r="AL2747" s="6"/>
      <c r="AM2747" s="6"/>
    </row>
    <row r="2748">
      <c r="A2748" s="6"/>
      <c r="B2748" s="6"/>
      <c r="C2748" s="6"/>
      <c r="D2748" s="6"/>
      <c r="E2748" s="6"/>
      <c r="F2748" s="6"/>
      <c r="G2748" s="6"/>
      <c r="H2748" s="6"/>
      <c r="I2748" s="6"/>
      <c r="J2748" s="6"/>
      <c r="K2748" s="6"/>
      <c r="L2748" s="6"/>
      <c r="M2748" s="6"/>
      <c r="N2748" s="6"/>
      <c r="O2748" s="6"/>
      <c r="P2748" s="6"/>
      <c r="Q2748" s="6"/>
      <c r="R2748" s="6"/>
      <c r="S2748" s="6"/>
      <c r="T2748" s="6"/>
      <c r="U2748" s="6"/>
      <c r="V2748" s="6"/>
      <c r="W2748" s="6"/>
      <c r="X2748" s="6"/>
      <c r="Y2748" s="6"/>
      <c r="Z2748" s="6"/>
      <c r="AA2748" s="6"/>
      <c r="AB2748" s="6"/>
      <c r="AC2748" s="6"/>
      <c r="AD2748" s="6"/>
      <c r="AE2748" s="6"/>
      <c r="AF2748" s="6"/>
      <c r="AG2748" s="6"/>
      <c r="AH2748" s="6"/>
      <c r="AI2748" s="6"/>
      <c r="AJ2748" s="6"/>
      <c r="AK2748" s="6"/>
      <c r="AL2748" s="6"/>
      <c r="AM2748" s="6"/>
    </row>
    <row r="2749">
      <c r="A2749" s="6"/>
      <c r="B2749" s="6"/>
      <c r="C2749" s="6"/>
      <c r="D2749" s="6"/>
      <c r="E2749" s="6"/>
      <c r="F2749" s="6"/>
      <c r="G2749" s="6"/>
      <c r="H2749" s="6"/>
      <c r="I2749" s="6"/>
      <c r="J2749" s="6"/>
      <c r="K2749" s="6"/>
      <c r="L2749" s="6"/>
      <c r="M2749" s="6"/>
      <c r="N2749" s="6"/>
      <c r="O2749" s="6"/>
      <c r="P2749" s="6"/>
      <c r="Q2749" s="6"/>
      <c r="R2749" s="6"/>
      <c r="S2749" s="6"/>
      <c r="T2749" s="6"/>
      <c r="U2749" s="6"/>
      <c r="V2749" s="6"/>
      <c r="W2749" s="6"/>
      <c r="X2749" s="6"/>
      <c r="Y2749" s="6"/>
      <c r="Z2749" s="6"/>
      <c r="AA2749" s="6"/>
      <c r="AB2749" s="6"/>
      <c r="AC2749" s="6"/>
      <c r="AD2749" s="6"/>
      <c r="AE2749" s="6"/>
      <c r="AF2749" s="6"/>
      <c r="AG2749" s="6"/>
      <c r="AH2749" s="6"/>
      <c r="AI2749" s="6"/>
      <c r="AJ2749" s="6"/>
      <c r="AK2749" s="6"/>
      <c r="AL2749" s="6"/>
      <c r="AM2749" s="6"/>
    </row>
    <row r="2750">
      <c r="A2750" s="6"/>
      <c r="B2750" s="6"/>
      <c r="C2750" s="6"/>
      <c r="D2750" s="6"/>
      <c r="E2750" s="6"/>
      <c r="F2750" s="6"/>
      <c r="G2750" s="6"/>
      <c r="H2750" s="6"/>
      <c r="I2750" s="6"/>
      <c r="J2750" s="6"/>
      <c r="K2750" s="6"/>
      <c r="L2750" s="6"/>
      <c r="M2750" s="6"/>
      <c r="N2750" s="6"/>
      <c r="O2750" s="6"/>
      <c r="P2750" s="6"/>
      <c r="Q2750" s="6"/>
      <c r="R2750" s="6"/>
      <c r="S2750" s="6"/>
      <c r="T2750" s="6"/>
      <c r="U2750" s="6"/>
      <c r="V2750" s="6"/>
      <c r="W2750" s="6"/>
      <c r="X2750" s="6"/>
      <c r="Y2750" s="6"/>
      <c r="Z2750" s="6"/>
      <c r="AA2750" s="6"/>
      <c r="AB2750" s="6"/>
      <c r="AC2750" s="6"/>
      <c r="AD2750" s="6"/>
      <c r="AE2750" s="6"/>
      <c r="AF2750" s="6"/>
      <c r="AG2750" s="6"/>
      <c r="AH2750" s="6"/>
      <c r="AI2750" s="6"/>
      <c r="AJ2750" s="6"/>
      <c r="AK2750" s="6"/>
      <c r="AL2750" s="6"/>
      <c r="AM2750" s="6"/>
    </row>
    <row r="2751">
      <c r="A2751" s="6"/>
      <c r="B2751" s="6"/>
      <c r="C2751" s="6"/>
      <c r="D2751" s="6"/>
      <c r="E2751" s="6"/>
      <c r="F2751" s="6"/>
      <c r="G2751" s="6"/>
      <c r="H2751" s="6"/>
      <c r="I2751" s="6"/>
      <c r="J2751" s="6"/>
      <c r="K2751" s="6"/>
      <c r="L2751" s="6"/>
      <c r="M2751" s="6"/>
      <c r="N2751" s="6"/>
      <c r="O2751" s="6"/>
      <c r="P2751" s="6"/>
      <c r="Q2751" s="6"/>
      <c r="R2751" s="6"/>
      <c r="S2751" s="6"/>
      <c r="T2751" s="6"/>
      <c r="U2751" s="6"/>
      <c r="V2751" s="6"/>
      <c r="W2751" s="6"/>
      <c r="X2751" s="6"/>
      <c r="Y2751" s="6"/>
      <c r="Z2751" s="6"/>
      <c r="AA2751" s="6"/>
      <c r="AB2751" s="6"/>
      <c r="AC2751" s="6"/>
      <c r="AD2751" s="6"/>
      <c r="AE2751" s="6"/>
      <c r="AF2751" s="6"/>
      <c r="AG2751" s="6"/>
      <c r="AH2751" s="6"/>
      <c r="AI2751" s="6"/>
      <c r="AJ2751" s="6"/>
      <c r="AK2751" s="6"/>
      <c r="AL2751" s="6"/>
      <c r="AM2751" s="6"/>
    </row>
    <row r="2752">
      <c r="A2752" s="6"/>
      <c r="B2752" s="6"/>
      <c r="C2752" s="6"/>
      <c r="D2752" s="6"/>
      <c r="E2752" s="6"/>
      <c r="F2752" s="6"/>
      <c r="G2752" s="6"/>
      <c r="H2752" s="6"/>
      <c r="I2752" s="6"/>
      <c r="J2752" s="6"/>
      <c r="K2752" s="6"/>
      <c r="L2752" s="6"/>
      <c r="M2752" s="6"/>
      <c r="N2752" s="6"/>
      <c r="O2752" s="6"/>
      <c r="P2752" s="6"/>
      <c r="Q2752" s="6"/>
      <c r="R2752" s="6"/>
      <c r="S2752" s="6"/>
      <c r="T2752" s="6"/>
      <c r="U2752" s="6"/>
      <c r="V2752" s="6"/>
      <c r="W2752" s="6"/>
      <c r="X2752" s="6"/>
      <c r="Y2752" s="6"/>
      <c r="Z2752" s="6"/>
      <c r="AA2752" s="6"/>
      <c r="AB2752" s="6"/>
      <c r="AC2752" s="6"/>
      <c r="AD2752" s="6"/>
      <c r="AE2752" s="6"/>
      <c r="AF2752" s="6"/>
      <c r="AG2752" s="6"/>
      <c r="AH2752" s="6"/>
      <c r="AI2752" s="6"/>
      <c r="AJ2752" s="6"/>
      <c r="AK2752" s="6"/>
      <c r="AL2752" s="6"/>
      <c r="AM2752" s="6"/>
    </row>
    <row r="2753">
      <c r="A2753" s="6"/>
      <c r="B2753" s="6"/>
      <c r="C2753" s="6"/>
      <c r="D2753" s="6"/>
      <c r="E2753" s="6"/>
      <c r="F2753" s="6"/>
      <c r="G2753" s="6"/>
      <c r="H2753" s="6"/>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c r="AG2753" s="6"/>
      <c r="AH2753" s="6"/>
      <c r="AI2753" s="6"/>
      <c r="AJ2753" s="6"/>
      <c r="AK2753" s="6"/>
      <c r="AL2753" s="6"/>
      <c r="AM2753" s="6"/>
    </row>
    <row r="2754">
      <c r="A2754" s="6"/>
      <c r="B2754" s="6"/>
      <c r="C2754" s="6"/>
      <c r="D2754" s="6"/>
      <c r="E2754" s="6"/>
      <c r="F2754" s="6"/>
      <c r="G2754" s="6"/>
      <c r="H2754" s="6"/>
      <c r="I2754" s="6"/>
      <c r="J2754" s="6"/>
      <c r="K2754" s="6"/>
      <c r="L2754" s="6"/>
      <c r="M2754" s="6"/>
      <c r="N2754" s="6"/>
      <c r="O2754" s="6"/>
      <c r="P2754" s="6"/>
      <c r="Q2754" s="6"/>
      <c r="R2754" s="6"/>
      <c r="S2754" s="6"/>
      <c r="T2754" s="6"/>
      <c r="U2754" s="6"/>
      <c r="V2754" s="6"/>
      <c r="W2754" s="6"/>
      <c r="X2754" s="6"/>
      <c r="Y2754" s="6"/>
      <c r="Z2754" s="6"/>
      <c r="AA2754" s="6"/>
      <c r="AB2754" s="6"/>
      <c r="AC2754" s="6"/>
      <c r="AD2754" s="6"/>
      <c r="AE2754" s="6"/>
      <c r="AF2754" s="6"/>
      <c r="AG2754" s="6"/>
      <c r="AH2754" s="6"/>
      <c r="AI2754" s="6"/>
      <c r="AJ2754" s="6"/>
      <c r="AK2754" s="6"/>
      <c r="AL2754" s="6"/>
      <c r="AM2754" s="6"/>
    </row>
    <row r="2755">
      <c r="A2755" s="6"/>
      <c r="B2755" s="6"/>
      <c r="C2755" s="6"/>
      <c r="D2755" s="6"/>
      <c r="E2755" s="6"/>
      <c r="F2755" s="6"/>
      <c r="G2755" s="6"/>
      <c r="H2755" s="6"/>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c r="AG2755" s="6"/>
      <c r="AH2755" s="6"/>
      <c r="AI2755" s="6"/>
      <c r="AJ2755" s="6"/>
      <c r="AK2755" s="6"/>
      <c r="AL2755" s="6"/>
      <c r="AM2755" s="6"/>
    </row>
    <row r="2756">
      <c r="A2756" s="6"/>
      <c r="B2756" s="6"/>
      <c r="C2756" s="6"/>
      <c r="D2756" s="6"/>
      <c r="E2756" s="6"/>
      <c r="F2756" s="6"/>
      <c r="G2756" s="6"/>
      <c r="H2756" s="6"/>
      <c r="I2756" s="6"/>
      <c r="J2756" s="6"/>
      <c r="K2756" s="6"/>
      <c r="L2756" s="6"/>
      <c r="M2756" s="6"/>
      <c r="N2756" s="6"/>
      <c r="O2756" s="6"/>
      <c r="P2756" s="6"/>
      <c r="Q2756" s="6"/>
      <c r="R2756" s="6"/>
      <c r="S2756" s="6"/>
      <c r="T2756" s="6"/>
      <c r="U2756" s="6"/>
      <c r="V2756" s="6"/>
      <c r="W2756" s="6"/>
      <c r="X2756" s="6"/>
      <c r="Y2756" s="6"/>
      <c r="Z2756" s="6"/>
      <c r="AA2756" s="6"/>
      <c r="AB2756" s="6"/>
      <c r="AC2756" s="6"/>
      <c r="AD2756" s="6"/>
      <c r="AE2756" s="6"/>
      <c r="AF2756" s="6"/>
      <c r="AG2756" s="6"/>
      <c r="AH2756" s="6"/>
      <c r="AI2756" s="6"/>
      <c r="AJ2756" s="6"/>
      <c r="AK2756" s="6"/>
      <c r="AL2756" s="6"/>
      <c r="AM2756" s="6"/>
    </row>
    <row r="2757">
      <c r="A2757" s="6"/>
      <c r="B2757" s="6"/>
      <c r="C2757" s="6"/>
      <c r="D2757" s="6"/>
      <c r="E2757" s="6"/>
      <c r="F2757" s="6"/>
      <c r="G2757" s="6"/>
      <c r="H2757" s="6"/>
      <c r="I2757" s="6"/>
      <c r="J2757" s="6"/>
      <c r="K2757" s="6"/>
      <c r="L2757" s="6"/>
      <c r="M2757" s="6"/>
      <c r="N2757" s="6"/>
      <c r="O2757" s="6"/>
      <c r="P2757" s="6"/>
      <c r="Q2757" s="6"/>
      <c r="R2757" s="6"/>
      <c r="S2757" s="6"/>
      <c r="T2757" s="6"/>
      <c r="U2757" s="6"/>
      <c r="V2757" s="6"/>
      <c r="W2757" s="6"/>
      <c r="X2757" s="6"/>
      <c r="Y2757" s="6"/>
      <c r="Z2757" s="6"/>
      <c r="AA2757" s="6"/>
      <c r="AB2757" s="6"/>
      <c r="AC2757" s="6"/>
      <c r="AD2757" s="6"/>
      <c r="AE2757" s="6"/>
      <c r="AF2757" s="6"/>
      <c r="AG2757" s="6"/>
      <c r="AH2757" s="6"/>
      <c r="AI2757" s="6"/>
      <c r="AJ2757" s="6"/>
      <c r="AK2757" s="6"/>
      <c r="AL2757" s="6"/>
      <c r="AM2757" s="6"/>
    </row>
    <row r="2758">
      <c r="A2758" s="6"/>
      <c r="B2758" s="6"/>
      <c r="C2758" s="6"/>
      <c r="D2758" s="6"/>
      <c r="E2758" s="6"/>
      <c r="F2758" s="6"/>
      <c r="G2758" s="6"/>
      <c r="H2758" s="6"/>
      <c r="I2758" s="6"/>
      <c r="J2758" s="6"/>
      <c r="K2758" s="6"/>
      <c r="L2758" s="6"/>
      <c r="M2758" s="6"/>
      <c r="N2758" s="6"/>
      <c r="O2758" s="6"/>
      <c r="P2758" s="6"/>
      <c r="Q2758" s="6"/>
      <c r="R2758" s="6"/>
      <c r="S2758" s="6"/>
      <c r="T2758" s="6"/>
      <c r="U2758" s="6"/>
      <c r="V2758" s="6"/>
      <c r="W2758" s="6"/>
      <c r="X2758" s="6"/>
      <c r="Y2758" s="6"/>
      <c r="Z2758" s="6"/>
      <c r="AA2758" s="6"/>
      <c r="AB2758" s="6"/>
      <c r="AC2758" s="6"/>
      <c r="AD2758" s="6"/>
      <c r="AE2758" s="6"/>
      <c r="AF2758" s="6"/>
      <c r="AG2758" s="6"/>
      <c r="AH2758" s="6"/>
      <c r="AI2758" s="6"/>
      <c r="AJ2758" s="6"/>
      <c r="AK2758" s="6"/>
      <c r="AL2758" s="6"/>
      <c r="AM2758" s="6"/>
    </row>
    <row r="2759">
      <c r="A2759" s="6"/>
      <c r="B2759" s="6"/>
      <c r="C2759" s="6"/>
      <c r="D2759" s="6"/>
      <c r="E2759" s="6"/>
      <c r="F2759" s="6"/>
      <c r="G2759" s="6"/>
      <c r="H2759" s="6"/>
      <c r="I2759" s="6"/>
      <c r="J2759" s="6"/>
      <c r="K2759" s="6"/>
      <c r="L2759" s="6"/>
      <c r="M2759" s="6"/>
      <c r="N2759" s="6"/>
      <c r="O2759" s="6"/>
      <c r="P2759" s="6"/>
      <c r="Q2759" s="6"/>
      <c r="R2759" s="6"/>
      <c r="S2759" s="6"/>
      <c r="T2759" s="6"/>
      <c r="U2759" s="6"/>
      <c r="V2759" s="6"/>
      <c r="W2759" s="6"/>
      <c r="X2759" s="6"/>
      <c r="Y2759" s="6"/>
      <c r="Z2759" s="6"/>
      <c r="AA2759" s="6"/>
      <c r="AB2759" s="6"/>
      <c r="AC2759" s="6"/>
      <c r="AD2759" s="6"/>
      <c r="AE2759" s="6"/>
      <c r="AF2759" s="6"/>
      <c r="AG2759" s="6"/>
      <c r="AH2759" s="6"/>
      <c r="AI2759" s="6"/>
      <c r="AJ2759" s="6"/>
      <c r="AK2759" s="6"/>
      <c r="AL2759" s="6"/>
      <c r="AM2759" s="6"/>
    </row>
    <row r="2760">
      <c r="A2760" s="6"/>
      <c r="B2760" s="6"/>
      <c r="C2760" s="6"/>
      <c r="D2760" s="6"/>
      <c r="E2760" s="6"/>
      <c r="F2760" s="6"/>
      <c r="G2760" s="6"/>
      <c r="H2760" s="6"/>
      <c r="I2760" s="6"/>
      <c r="J2760" s="6"/>
      <c r="K2760" s="6"/>
      <c r="L2760" s="6"/>
      <c r="M2760" s="6"/>
      <c r="N2760" s="6"/>
      <c r="O2760" s="6"/>
      <c r="P2760" s="6"/>
      <c r="Q2760" s="6"/>
      <c r="R2760" s="6"/>
      <c r="S2760" s="6"/>
      <c r="T2760" s="6"/>
      <c r="U2760" s="6"/>
      <c r="V2760" s="6"/>
      <c r="W2760" s="6"/>
      <c r="X2760" s="6"/>
      <c r="Y2760" s="6"/>
      <c r="Z2760" s="6"/>
      <c r="AA2760" s="6"/>
      <c r="AB2760" s="6"/>
      <c r="AC2760" s="6"/>
      <c r="AD2760" s="6"/>
      <c r="AE2760" s="6"/>
      <c r="AF2760" s="6"/>
      <c r="AG2760" s="6"/>
      <c r="AH2760" s="6"/>
      <c r="AI2760" s="6"/>
      <c r="AJ2760" s="6"/>
      <c r="AK2760" s="6"/>
      <c r="AL2760" s="6"/>
      <c r="AM2760" s="6"/>
    </row>
    <row r="2761">
      <c r="A2761" s="6"/>
      <c r="B2761" s="6"/>
      <c r="C2761" s="6"/>
      <c r="D2761" s="6"/>
      <c r="E2761" s="6"/>
      <c r="F2761" s="6"/>
      <c r="G2761" s="6"/>
      <c r="H2761" s="6"/>
      <c r="I2761" s="6"/>
      <c r="J2761" s="6"/>
      <c r="K2761" s="6"/>
      <c r="L2761" s="6"/>
      <c r="M2761" s="6"/>
      <c r="N2761" s="6"/>
      <c r="O2761" s="6"/>
      <c r="P2761" s="6"/>
      <c r="Q2761" s="6"/>
      <c r="R2761" s="6"/>
      <c r="S2761" s="6"/>
      <c r="T2761" s="6"/>
      <c r="U2761" s="6"/>
      <c r="V2761" s="6"/>
      <c r="W2761" s="6"/>
      <c r="X2761" s="6"/>
      <c r="Y2761" s="6"/>
      <c r="Z2761" s="6"/>
      <c r="AA2761" s="6"/>
      <c r="AB2761" s="6"/>
      <c r="AC2761" s="6"/>
      <c r="AD2761" s="6"/>
      <c r="AE2761" s="6"/>
      <c r="AF2761" s="6"/>
      <c r="AG2761" s="6"/>
      <c r="AH2761" s="6"/>
      <c r="AI2761" s="6"/>
      <c r="AJ2761" s="6"/>
      <c r="AK2761" s="6"/>
      <c r="AL2761" s="6"/>
      <c r="AM2761" s="6"/>
    </row>
    <row r="2762">
      <c r="A2762" s="6"/>
      <c r="B2762" s="6"/>
      <c r="C2762" s="6"/>
      <c r="D2762" s="6"/>
      <c r="E2762" s="6"/>
      <c r="F2762" s="6"/>
      <c r="G2762" s="6"/>
      <c r="H2762" s="6"/>
      <c r="I2762" s="6"/>
      <c r="J2762" s="6"/>
      <c r="K2762" s="6"/>
      <c r="L2762" s="6"/>
      <c r="M2762" s="6"/>
      <c r="N2762" s="6"/>
      <c r="O2762" s="6"/>
      <c r="P2762" s="6"/>
      <c r="Q2762" s="6"/>
      <c r="R2762" s="6"/>
      <c r="S2762" s="6"/>
      <c r="T2762" s="6"/>
      <c r="U2762" s="6"/>
      <c r="V2762" s="6"/>
      <c r="W2762" s="6"/>
      <c r="X2762" s="6"/>
      <c r="Y2762" s="6"/>
      <c r="Z2762" s="6"/>
      <c r="AA2762" s="6"/>
      <c r="AB2762" s="6"/>
      <c r="AC2762" s="6"/>
      <c r="AD2762" s="6"/>
      <c r="AE2762" s="6"/>
      <c r="AF2762" s="6"/>
      <c r="AG2762" s="6"/>
      <c r="AH2762" s="6"/>
      <c r="AI2762" s="6"/>
      <c r="AJ2762" s="6"/>
      <c r="AK2762" s="6"/>
      <c r="AL2762" s="6"/>
      <c r="AM2762" s="6"/>
    </row>
    <row r="2763">
      <c r="A2763" s="6"/>
      <c r="B2763" s="6"/>
      <c r="C2763" s="6"/>
      <c r="D2763" s="6"/>
      <c r="E2763" s="6"/>
      <c r="F2763" s="6"/>
      <c r="G2763" s="6"/>
      <c r="H2763" s="6"/>
      <c r="I2763" s="6"/>
      <c r="J2763" s="6"/>
      <c r="K2763" s="6"/>
      <c r="L2763" s="6"/>
      <c r="M2763" s="6"/>
      <c r="N2763" s="6"/>
      <c r="O2763" s="6"/>
      <c r="P2763" s="6"/>
      <c r="Q2763" s="6"/>
      <c r="R2763" s="6"/>
      <c r="S2763" s="6"/>
      <c r="T2763" s="6"/>
      <c r="U2763" s="6"/>
      <c r="V2763" s="6"/>
      <c r="W2763" s="6"/>
      <c r="X2763" s="6"/>
      <c r="Y2763" s="6"/>
      <c r="Z2763" s="6"/>
      <c r="AA2763" s="6"/>
      <c r="AB2763" s="6"/>
      <c r="AC2763" s="6"/>
      <c r="AD2763" s="6"/>
      <c r="AE2763" s="6"/>
      <c r="AF2763" s="6"/>
      <c r="AG2763" s="6"/>
      <c r="AH2763" s="6"/>
      <c r="AI2763" s="6"/>
      <c r="AJ2763" s="6"/>
      <c r="AK2763" s="6"/>
      <c r="AL2763" s="6"/>
      <c r="AM2763" s="6"/>
    </row>
    <row r="2764">
      <c r="A2764" s="6"/>
      <c r="B2764" s="6"/>
      <c r="C2764" s="6"/>
      <c r="D2764" s="6"/>
      <c r="E2764" s="6"/>
      <c r="F2764" s="6"/>
      <c r="G2764" s="6"/>
      <c r="H2764" s="6"/>
      <c r="I2764" s="6"/>
      <c r="J2764" s="6"/>
      <c r="K2764" s="6"/>
      <c r="L2764" s="6"/>
      <c r="M2764" s="6"/>
      <c r="N2764" s="6"/>
      <c r="O2764" s="6"/>
      <c r="P2764" s="6"/>
      <c r="Q2764" s="6"/>
      <c r="R2764" s="6"/>
      <c r="S2764" s="6"/>
      <c r="T2764" s="6"/>
      <c r="U2764" s="6"/>
      <c r="V2764" s="6"/>
      <c r="W2764" s="6"/>
      <c r="X2764" s="6"/>
      <c r="Y2764" s="6"/>
      <c r="Z2764" s="6"/>
      <c r="AA2764" s="6"/>
      <c r="AB2764" s="6"/>
      <c r="AC2764" s="6"/>
      <c r="AD2764" s="6"/>
      <c r="AE2764" s="6"/>
      <c r="AF2764" s="6"/>
      <c r="AG2764" s="6"/>
      <c r="AH2764" s="6"/>
      <c r="AI2764" s="6"/>
      <c r="AJ2764" s="6"/>
      <c r="AK2764" s="6"/>
      <c r="AL2764" s="6"/>
      <c r="AM2764" s="6"/>
    </row>
    <row r="2765">
      <c r="A2765" s="6"/>
      <c r="B2765" s="6"/>
      <c r="C2765" s="6"/>
      <c r="D2765" s="6"/>
      <c r="E2765" s="6"/>
      <c r="F2765" s="6"/>
      <c r="G2765" s="6"/>
      <c r="H2765" s="6"/>
      <c r="I2765" s="6"/>
      <c r="J2765" s="6"/>
      <c r="K2765" s="6"/>
      <c r="L2765" s="6"/>
      <c r="M2765" s="6"/>
      <c r="N2765" s="6"/>
      <c r="O2765" s="6"/>
      <c r="P2765" s="6"/>
      <c r="Q2765" s="6"/>
      <c r="R2765" s="6"/>
      <c r="S2765" s="6"/>
      <c r="T2765" s="6"/>
      <c r="U2765" s="6"/>
      <c r="V2765" s="6"/>
      <c r="W2765" s="6"/>
      <c r="X2765" s="6"/>
      <c r="Y2765" s="6"/>
      <c r="Z2765" s="6"/>
      <c r="AA2765" s="6"/>
      <c r="AB2765" s="6"/>
      <c r="AC2765" s="6"/>
      <c r="AD2765" s="6"/>
      <c r="AE2765" s="6"/>
      <c r="AF2765" s="6"/>
      <c r="AG2765" s="6"/>
      <c r="AH2765" s="6"/>
      <c r="AI2765" s="6"/>
      <c r="AJ2765" s="6"/>
      <c r="AK2765" s="6"/>
      <c r="AL2765" s="6"/>
      <c r="AM2765" s="6"/>
    </row>
    <row r="2766">
      <c r="A2766" s="6"/>
      <c r="B2766" s="6"/>
      <c r="C2766" s="6"/>
      <c r="D2766" s="6"/>
      <c r="E2766" s="6"/>
      <c r="F2766" s="6"/>
      <c r="G2766" s="6"/>
      <c r="H2766" s="6"/>
      <c r="I2766" s="6"/>
      <c r="J2766" s="6"/>
      <c r="K2766" s="6"/>
      <c r="L2766" s="6"/>
      <c r="M2766" s="6"/>
      <c r="N2766" s="6"/>
      <c r="O2766" s="6"/>
      <c r="P2766" s="6"/>
      <c r="Q2766" s="6"/>
      <c r="R2766" s="6"/>
      <c r="S2766" s="6"/>
      <c r="T2766" s="6"/>
      <c r="U2766" s="6"/>
      <c r="V2766" s="6"/>
      <c r="W2766" s="6"/>
      <c r="X2766" s="6"/>
      <c r="Y2766" s="6"/>
      <c r="Z2766" s="6"/>
      <c r="AA2766" s="6"/>
      <c r="AB2766" s="6"/>
      <c r="AC2766" s="6"/>
      <c r="AD2766" s="6"/>
      <c r="AE2766" s="6"/>
      <c r="AF2766" s="6"/>
      <c r="AG2766" s="6"/>
      <c r="AH2766" s="6"/>
      <c r="AI2766" s="6"/>
      <c r="AJ2766" s="6"/>
      <c r="AK2766" s="6"/>
      <c r="AL2766" s="6"/>
      <c r="AM2766" s="6"/>
    </row>
    <row r="2767">
      <c r="A2767" s="6"/>
      <c r="B2767" s="6"/>
      <c r="C2767" s="6"/>
      <c r="D2767" s="6"/>
      <c r="E2767" s="6"/>
      <c r="F2767" s="6"/>
      <c r="G2767" s="6"/>
      <c r="H2767" s="6"/>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c r="AG2767" s="6"/>
      <c r="AH2767" s="6"/>
      <c r="AI2767" s="6"/>
      <c r="AJ2767" s="6"/>
      <c r="AK2767" s="6"/>
      <c r="AL2767" s="6"/>
      <c r="AM2767" s="6"/>
    </row>
    <row r="2768">
      <c r="A2768" s="6"/>
      <c r="B2768" s="6"/>
      <c r="C2768" s="6"/>
      <c r="D2768" s="6"/>
      <c r="E2768" s="6"/>
      <c r="F2768" s="6"/>
      <c r="G2768" s="6"/>
      <c r="H2768" s="6"/>
      <c r="I2768" s="6"/>
      <c r="J2768" s="6"/>
      <c r="K2768" s="6"/>
      <c r="L2768" s="6"/>
      <c r="M2768" s="6"/>
      <c r="N2768" s="6"/>
      <c r="O2768" s="6"/>
      <c r="P2768" s="6"/>
      <c r="Q2768" s="6"/>
      <c r="R2768" s="6"/>
      <c r="S2768" s="6"/>
      <c r="T2768" s="6"/>
      <c r="U2768" s="6"/>
      <c r="V2768" s="6"/>
      <c r="W2768" s="6"/>
      <c r="X2768" s="6"/>
      <c r="Y2768" s="6"/>
      <c r="Z2768" s="6"/>
      <c r="AA2768" s="6"/>
      <c r="AB2768" s="6"/>
      <c r="AC2768" s="6"/>
      <c r="AD2768" s="6"/>
      <c r="AE2768" s="6"/>
      <c r="AF2768" s="6"/>
      <c r="AG2768" s="6"/>
      <c r="AH2768" s="6"/>
      <c r="AI2768" s="6"/>
      <c r="AJ2768" s="6"/>
      <c r="AK2768" s="6"/>
      <c r="AL2768" s="6"/>
      <c r="AM2768" s="6"/>
    </row>
    <row r="2769">
      <c r="A2769" s="6"/>
      <c r="B2769" s="6"/>
      <c r="C2769" s="6"/>
      <c r="D2769" s="6"/>
      <c r="E2769" s="6"/>
      <c r="F2769" s="6"/>
      <c r="G2769" s="6"/>
      <c r="H2769" s="6"/>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c r="AG2769" s="6"/>
      <c r="AH2769" s="6"/>
      <c r="AI2769" s="6"/>
      <c r="AJ2769" s="6"/>
      <c r="AK2769" s="6"/>
      <c r="AL2769" s="6"/>
      <c r="AM2769" s="6"/>
    </row>
    <row r="2770">
      <c r="A2770" s="6"/>
      <c r="B2770" s="6"/>
      <c r="C2770" s="6"/>
      <c r="D2770" s="6"/>
      <c r="E2770" s="6"/>
      <c r="F2770" s="6"/>
      <c r="G2770" s="6"/>
      <c r="H2770" s="6"/>
      <c r="I2770" s="6"/>
      <c r="J2770" s="6"/>
      <c r="K2770" s="6"/>
      <c r="L2770" s="6"/>
      <c r="M2770" s="6"/>
      <c r="N2770" s="6"/>
      <c r="O2770" s="6"/>
      <c r="P2770" s="6"/>
      <c r="Q2770" s="6"/>
      <c r="R2770" s="6"/>
      <c r="S2770" s="6"/>
      <c r="T2770" s="6"/>
      <c r="U2770" s="6"/>
      <c r="V2770" s="6"/>
      <c r="W2770" s="6"/>
      <c r="X2770" s="6"/>
      <c r="Y2770" s="6"/>
      <c r="Z2770" s="6"/>
      <c r="AA2770" s="6"/>
      <c r="AB2770" s="6"/>
      <c r="AC2770" s="6"/>
      <c r="AD2770" s="6"/>
      <c r="AE2770" s="6"/>
      <c r="AF2770" s="6"/>
      <c r="AG2770" s="6"/>
      <c r="AH2770" s="6"/>
      <c r="AI2770" s="6"/>
      <c r="AJ2770" s="6"/>
      <c r="AK2770" s="6"/>
      <c r="AL2770" s="6"/>
      <c r="AM2770" s="6"/>
    </row>
    <row r="2771">
      <c r="A2771" s="6"/>
      <c r="B2771" s="6"/>
      <c r="C2771" s="6"/>
      <c r="D2771" s="6"/>
      <c r="E2771" s="6"/>
      <c r="F2771" s="6"/>
      <c r="G2771" s="6"/>
      <c r="H2771" s="6"/>
      <c r="I2771" s="6"/>
      <c r="J2771" s="6"/>
      <c r="K2771" s="6"/>
      <c r="L2771" s="6"/>
      <c r="M2771" s="6"/>
      <c r="N2771" s="6"/>
      <c r="O2771" s="6"/>
      <c r="P2771" s="6"/>
      <c r="Q2771" s="6"/>
      <c r="R2771" s="6"/>
      <c r="S2771" s="6"/>
      <c r="T2771" s="6"/>
      <c r="U2771" s="6"/>
      <c r="V2771" s="6"/>
      <c r="W2771" s="6"/>
      <c r="X2771" s="6"/>
      <c r="Y2771" s="6"/>
      <c r="Z2771" s="6"/>
      <c r="AA2771" s="6"/>
      <c r="AB2771" s="6"/>
      <c r="AC2771" s="6"/>
      <c r="AD2771" s="6"/>
      <c r="AE2771" s="6"/>
      <c r="AF2771" s="6"/>
      <c r="AG2771" s="6"/>
      <c r="AH2771" s="6"/>
      <c r="AI2771" s="6"/>
      <c r="AJ2771" s="6"/>
      <c r="AK2771" s="6"/>
      <c r="AL2771" s="6"/>
      <c r="AM2771" s="6"/>
    </row>
    <row r="2772">
      <c r="A2772" s="6"/>
      <c r="B2772" s="6"/>
      <c r="C2772" s="6"/>
      <c r="D2772" s="6"/>
      <c r="E2772" s="6"/>
      <c r="F2772" s="6"/>
      <c r="G2772" s="6"/>
      <c r="H2772" s="6"/>
      <c r="I2772" s="6"/>
      <c r="J2772" s="6"/>
      <c r="K2772" s="6"/>
      <c r="L2772" s="6"/>
      <c r="M2772" s="6"/>
      <c r="N2772" s="6"/>
      <c r="O2772" s="6"/>
      <c r="P2772" s="6"/>
      <c r="Q2772" s="6"/>
      <c r="R2772" s="6"/>
      <c r="S2772" s="6"/>
      <c r="T2772" s="6"/>
      <c r="U2772" s="6"/>
      <c r="V2772" s="6"/>
      <c r="W2772" s="6"/>
      <c r="X2772" s="6"/>
      <c r="Y2772" s="6"/>
      <c r="Z2772" s="6"/>
      <c r="AA2772" s="6"/>
      <c r="AB2772" s="6"/>
      <c r="AC2772" s="6"/>
      <c r="AD2772" s="6"/>
      <c r="AE2772" s="6"/>
      <c r="AF2772" s="6"/>
      <c r="AG2772" s="6"/>
      <c r="AH2772" s="6"/>
      <c r="AI2772" s="6"/>
      <c r="AJ2772" s="6"/>
      <c r="AK2772" s="6"/>
      <c r="AL2772" s="6"/>
      <c r="AM2772" s="6"/>
    </row>
    <row r="2773">
      <c r="A2773" s="6"/>
      <c r="B2773" s="6"/>
      <c r="C2773" s="6"/>
      <c r="D2773" s="6"/>
      <c r="E2773" s="6"/>
      <c r="F2773" s="6"/>
      <c r="G2773" s="6"/>
      <c r="H2773" s="6"/>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c r="AG2773" s="6"/>
      <c r="AH2773" s="6"/>
      <c r="AI2773" s="6"/>
      <c r="AJ2773" s="6"/>
      <c r="AK2773" s="6"/>
      <c r="AL2773" s="6"/>
      <c r="AM2773" s="6"/>
    </row>
    <row r="2774">
      <c r="A2774" s="6"/>
      <c r="B2774" s="6"/>
      <c r="C2774" s="6"/>
      <c r="D2774" s="6"/>
      <c r="E2774" s="6"/>
      <c r="F2774" s="6"/>
      <c r="G2774" s="6"/>
      <c r="H2774" s="6"/>
      <c r="I2774" s="6"/>
      <c r="J2774" s="6"/>
      <c r="K2774" s="6"/>
      <c r="L2774" s="6"/>
      <c r="M2774" s="6"/>
      <c r="N2774" s="6"/>
      <c r="O2774" s="6"/>
      <c r="P2774" s="6"/>
      <c r="Q2774" s="6"/>
      <c r="R2774" s="6"/>
      <c r="S2774" s="6"/>
      <c r="T2774" s="6"/>
      <c r="U2774" s="6"/>
      <c r="V2774" s="6"/>
      <c r="W2774" s="6"/>
      <c r="X2774" s="6"/>
      <c r="Y2774" s="6"/>
      <c r="Z2774" s="6"/>
      <c r="AA2774" s="6"/>
      <c r="AB2774" s="6"/>
      <c r="AC2774" s="6"/>
      <c r="AD2774" s="6"/>
      <c r="AE2774" s="6"/>
      <c r="AF2774" s="6"/>
      <c r="AG2774" s="6"/>
      <c r="AH2774" s="6"/>
      <c r="AI2774" s="6"/>
      <c r="AJ2774" s="6"/>
      <c r="AK2774" s="6"/>
      <c r="AL2774" s="6"/>
      <c r="AM2774" s="6"/>
    </row>
    <row r="2775">
      <c r="A2775" s="6"/>
      <c r="B2775" s="6"/>
      <c r="C2775" s="6"/>
      <c r="D2775" s="6"/>
      <c r="E2775" s="6"/>
      <c r="F2775" s="6"/>
      <c r="G2775" s="6"/>
      <c r="H2775" s="6"/>
      <c r="I2775" s="6"/>
      <c r="J2775" s="6"/>
      <c r="K2775" s="6"/>
      <c r="L2775" s="6"/>
      <c r="M2775" s="6"/>
      <c r="N2775" s="6"/>
      <c r="O2775" s="6"/>
      <c r="P2775" s="6"/>
      <c r="Q2775" s="6"/>
      <c r="R2775" s="6"/>
      <c r="S2775" s="6"/>
      <c r="T2775" s="6"/>
      <c r="U2775" s="6"/>
      <c r="V2775" s="6"/>
      <c r="W2775" s="6"/>
      <c r="X2775" s="6"/>
      <c r="Y2775" s="6"/>
      <c r="Z2775" s="6"/>
      <c r="AA2775" s="6"/>
      <c r="AB2775" s="6"/>
      <c r="AC2775" s="6"/>
      <c r="AD2775" s="6"/>
      <c r="AE2775" s="6"/>
      <c r="AF2775" s="6"/>
      <c r="AG2775" s="6"/>
      <c r="AH2775" s="6"/>
      <c r="AI2775" s="6"/>
      <c r="AJ2775" s="6"/>
      <c r="AK2775" s="6"/>
      <c r="AL2775" s="6"/>
      <c r="AM2775" s="6"/>
    </row>
    <row r="2776">
      <c r="A2776" s="6"/>
      <c r="B2776" s="6"/>
      <c r="C2776" s="6"/>
      <c r="D2776" s="6"/>
      <c r="E2776" s="6"/>
      <c r="F2776" s="6"/>
      <c r="G2776" s="6"/>
      <c r="H2776" s="6"/>
      <c r="I2776" s="6"/>
      <c r="J2776" s="6"/>
      <c r="K2776" s="6"/>
      <c r="L2776" s="6"/>
      <c r="M2776" s="6"/>
      <c r="N2776" s="6"/>
      <c r="O2776" s="6"/>
      <c r="P2776" s="6"/>
      <c r="Q2776" s="6"/>
      <c r="R2776" s="6"/>
      <c r="S2776" s="6"/>
      <c r="T2776" s="6"/>
      <c r="U2776" s="6"/>
      <c r="V2776" s="6"/>
      <c r="W2776" s="6"/>
      <c r="X2776" s="6"/>
      <c r="Y2776" s="6"/>
      <c r="Z2776" s="6"/>
      <c r="AA2776" s="6"/>
      <c r="AB2776" s="6"/>
      <c r="AC2776" s="6"/>
      <c r="AD2776" s="6"/>
      <c r="AE2776" s="6"/>
      <c r="AF2776" s="6"/>
      <c r="AG2776" s="6"/>
      <c r="AH2776" s="6"/>
      <c r="AI2776" s="6"/>
      <c r="AJ2776" s="6"/>
      <c r="AK2776" s="6"/>
      <c r="AL2776" s="6"/>
      <c r="AM2776" s="6"/>
    </row>
    <row r="2777">
      <c r="A2777" s="6"/>
      <c r="B2777" s="6"/>
      <c r="C2777" s="6"/>
      <c r="D2777" s="6"/>
      <c r="E2777" s="6"/>
      <c r="F2777" s="6"/>
      <c r="G2777" s="6"/>
      <c r="H2777" s="6"/>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c r="AG2777" s="6"/>
      <c r="AH2777" s="6"/>
      <c r="AI2777" s="6"/>
      <c r="AJ2777" s="6"/>
      <c r="AK2777" s="6"/>
      <c r="AL2777" s="6"/>
      <c r="AM2777" s="6"/>
    </row>
    <row r="2778">
      <c r="A2778" s="6"/>
      <c r="B2778" s="6"/>
      <c r="C2778" s="6"/>
      <c r="D2778" s="6"/>
      <c r="E2778" s="6"/>
      <c r="F2778" s="6"/>
      <c r="G2778" s="6"/>
      <c r="H2778" s="6"/>
      <c r="I2778" s="6"/>
      <c r="J2778" s="6"/>
      <c r="K2778" s="6"/>
      <c r="L2778" s="6"/>
      <c r="M2778" s="6"/>
      <c r="N2778" s="6"/>
      <c r="O2778" s="6"/>
      <c r="P2778" s="6"/>
      <c r="Q2778" s="6"/>
      <c r="R2778" s="6"/>
      <c r="S2778" s="6"/>
      <c r="T2778" s="6"/>
      <c r="U2778" s="6"/>
      <c r="V2778" s="6"/>
      <c r="W2778" s="6"/>
      <c r="X2778" s="6"/>
      <c r="Y2778" s="6"/>
      <c r="Z2778" s="6"/>
      <c r="AA2778" s="6"/>
      <c r="AB2778" s="6"/>
      <c r="AC2778" s="6"/>
      <c r="AD2778" s="6"/>
      <c r="AE2778" s="6"/>
      <c r="AF2778" s="6"/>
      <c r="AG2778" s="6"/>
      <c r="AH2778" s="6"/>
      <c r="AI2778" s="6"/>
      <c r="AJ2778" s="6"/>
      <c r="AK2778" s="6"/>
      <c r="AL2778" s="6"/>
      <c r="AM2778" s="6"/>
    </row>
    <row r="2779">
      <c r="A2779" s="6"/>
      <c r="B2779" s="6"/>
      <c r="C2779" s="6"/>
      <c r="D2779" s="6"/>
      <c r="E2779" s="6"/>
      <c r="F2779" s="6"/>
      <c r="G2779" s="6"/>
      <c r="H2779" s="6"/>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c r="AG2779" s="6"/>
      <c r="AH2779" s="6"/>
      <c r="AI2779" s="6"/>
      <c r="AJ2779" s="6"/>
      <c r="AK2779" s="6"/>
      <c r="AL2779" s="6"/>
      <c r="AM2779" s="6"/>
    </row>
    <row r="2780">
      <c r="A2780" s="6"/>
      <c r="B2780" s="6"/>
      <c r="C2780" s="6"/>
      <c r="D2780" s="6"/>
      <c r="E2780" s="6"/>
      <c r="F2780" s="6"/>
      <c r="G2780" s="6"/>
      <c r="H2780" s="6"/>
      <c r="I2780" s="6"/>
      <c r="J2780" s="6"/>
      <c r="K2780" s="6"/>
      <c r="L2780" s="6"/>
      <c r="M2780" s="6"/>
      <c r="N2780" s="6"/>
      <c r="O2780" s="6"/>
      <c r="P2780" s="6"/>
      <c r="Q2780" s="6"/>
      <c r="R2780" s="6"/>
      <c r="S2780" s="6"/>
      <c r="T2780" s="6"/>
      <c r="U2780" s="6"/>
      <c r="V2780" s="6"/>
      <c r="W2780" s="6"/>
      <c r="X2780" s="6"/>
      <c r="Y2780" s="6"/>
      <c r="Z2780" s="6"/>
      <c r="AA2780" s="6"/>
      <c r="AB2780" s="6"/>
      <c r="AC2780" s="6"/>
      <c r="AD2780" s="6"/>
      <c r="AE2780" s="6"/>
      <c r="AF2780" s="6"/>
      <c r="AG2780" s="6"/>
      <c r="AH2780" s="6"/>
      <c r="AI2780" s="6"/>
      <c r="AJ2780" s="6"/>
      <c r="AK2780" s="6"/>
      <c r="AL2780" s="6"/>
      <c r="AM2780" s="6"/>
    </row>
    <row r="2781">
      <c r="A2781" s="6"/>
      <c r="B2781" s="6"/>
      <c r="C2781" s="6"/>
      <c r="D2781" s="6"/>
      <c r="E2781" s="6"/>
      <c r="F2781" s="6"/>
      <c r="G2781" s="6"/>
      <c r="H2781" s="6"/>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c r="AG2781" s="6"/>
      <c r="AH2781" s="6"/>
      <c r="AI2781" s="6"/>
      <c r="AJ2781" s="6"/>
      <c r="AK2781" s="6"/>
      <c r="AL2781" s="6"/>
      <c r="AM2781" s="6"/>
    </row>
    <row r="2782">
      <c r="A2782" s="6"/>
      <c r="B2782" s="6"/>
      <c r="C2782" s="6"/>
      <c r="D2782" s="6"/>
      <c r="E2782" s="6"/>
      <c r="F2782" s="6"/>
      <c r="G2782" s="6"/>
      <c r="H2782" s="6"/>
      <c r="I2782" s="6"/>
      <c r="J2782" s="6"/>
      <c r="K2782" s="6"/>
      <c r="L2782" s="6"/>
      <c r="M2782" s="6"/>
      <c r="N2782" s="6"/>
      <c r="O2782" s="6"/>
      <c r="P2782" s="6"/>
      <c r="Q2782" s="6"/>
      <c r="R2782" s="6"/>
      <c r="S2782" s="6"/>
      <c r="T2782" s="6"/>
      <c r="U2782" s="6"/>
      <c r="V2782" s="6"/>
      <c r="W2782" s="6"/>
      <c r="X2782" s="6"/>
      <c r="Y2782" s="6"/>
      <c r="Z2782" s="6"/>
      <c r="AA2782" s="6"/>
      <c r="AB2782" s="6"/>
      <c r="AC2782" s="6"/>
      <c r="AD2782" s="6"/>
      <c r="AE2782" s="6"/>
      <c r="AF2782" s="6"/>
      <c r="AG2782" s="6"/>
      <c r="AH2782" s="6"/>
      <c r="AI2782" s="6"/>
      <c r="AJ2782" s="6"/>
      <c r="AK2782" s="6"/>
      <c r="AL2782" s="6"/>
      <c r="AM2782" s="6"/>
    </row>
    <row r="2783">
      <c r="A2783" s="6"/>
      <c r="B2783" s="6"/>
      <c r="C2783" s="6"/>
      <c r="D2783" s="6"/>
      <c r="E2783" s="6"/>
      <c r="F2783" s="6"/>
      <c r="G2783" s="6"/>
      <c r="H2783" s="6"/>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6"/>
      <c r="AG2783" s="6"/>
      <c r="AH2783" s="6"/>
      <c r="AI2783" s="6"/>
      <c r="AJ2783" s="6"/>
      <c r="AK2783" s="6"/>
      <c r="AL2783" s="6"/>
      <c r="AM2783" s="6"/>
    </row>
    <row r="2784">
      <c r="A2784" s="6"/>
      <c r="B2784" s="6"/>
      <c r="C2784" s="6"/>
      <c r="D2784" s="6"/>
      <c r="E2784" s="6"/>
      <c r="F2784" s="6"/>
      <c r="G2784" s="6"/>
      <c r="H2784" s="6"/>
      <c r="I2784" s="6"/>
      <c r="J2784" s="6"/>
      <c r="K2784" s="6"/>
      <c r="L2784" s="6"/>
      <c r="M2784" s="6"/>
      <c r="N2784" s="6"/>
      <c r="O2784" s="6"/>
      <c r="P2784" s="6"/>
      <c r="Q2784" s="6"/>
      <c r="R2784" s="6"/>
      <c r="S2784" s="6"/>
      <c r="T2784" s="6"/>
      <c r="U2784" s="6"/>
      <c r="V2784" s="6"/>
      <c r="W2784" s="6"/>
      <c r="X2784" s="6"/>
      <c r="Y2784" s="6"/>
      <c r="Z2784" s="6"/>
      <c r="AA2784" s="6"/>
      <c r="AB2784" s="6"/>
      <c r="AC2784" s="6"/>
      <c r="AD2784" s="6"/>
      <c r="AE2784" s="6"/>
      <c r="AF2784" s="6"/>
      <c r="AG2784" s="6"/>
      <c r="AH2784" s="6"/>
      <c r="AI2784" s="6"/>
      <c r="AJ2784" s="6"/>
      <c r="AK2784" s="6"/>
      <c r="AL2784" s="6"/>
      <c r="AM2784" s="6"/>
    </row>
    <row r="2785">
      <c r="A2785" s="6"/>
      <c r="B2785" s="6"/>
      <c r="C2785" s="6"/>
      <c r="D2785" s="6"/>
      <c r="E2785" s="6"/>
      <c r="F2785" s="6"/>
      <c r="G2785" s="6"/>
      <c r="H2785" s="6"/>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c r="AG2785" s="6"/>
      <c r="AH2785" s="6"/>
      <c r="AI2785" s="6"/>
      <c r="AJ2785" s="6"/>
      <c r="AK2785" s="6"/>
      <c r="AL2785" s="6"/>
      <c r="AM2785" s="6"/>
    </row>
    <row r="2786">
      <c r="A2786" s="6"/>
      <c r="B2786" s="6"/>
      <c r="C2786" s="6"/>
      <c r="D2786" s="6"/>
      <c r="E2786" s="6"/>
      <c r="F2786" s="6"/>
      <c r="G2786" s="6"/>
      <c r="H2786" s="6"/>
      <c r="I2786" s="6"/>
      <c r="J2786" s="6"/>
      <c r="K2786" s="6"/>
      <c r="L2786" s="6"/>
      <c r="M2786" s="6"/>
      <c r="N2786" s="6"/>
      <c r="O2786" s="6"/>
      <c r="P2786" s="6"/>
      <c r="Q2786" s="6"/>
      <c r="R2786" s="6"/>
      <c r="S2786" s="6"/>
      <c r="T2786" s="6"/>
      <c r="U2786" s="6"/>
      <c r="V2786" s="6"/>
      <c r="W2786" s="6"/>
      <c r="X2786" s="6"/>
      <c r="Y2786" s="6"/>
      <c r="Z2786" s="6"/>
      <c r="AA2786" s="6"/>
      <c r="AB2786" s="6"/>
      <c r="AC2786" s="6"/>
      <c r="AD2786" s="6"/>
      <c r="AE2786" s="6"/>
      <c r="AF2786" s="6"/>
      <c r="AG2786" s="6"/>
      <c r="AH2786" s="6"/>
      <c r="AI2786" s="6"/>
      <c r="AJ2786" s="6"/>
      <c r="AK2786" s="6"/>
      <c r="AL2786" s="6"/>
      <c r="AM2786" s="6"/>
    </row>
    <row r="2787">
      <c r="A2787" s="6"/>
      <c r="B2787" s="6"/>
      <c r="C2787" s="6"/>
      <c r="D2787" s="6"/>
      <c r="E2787" s="6"/>
      <c r="F2787" s="6"/>
      <c r="G2787" s="6"/>
      <c r="H2787" s="6"/>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c r="AG2787" s="6"/>
      <c r="AH2787" s="6"/>
      <c r="AI2787" s="6"/>
      <c r="AJ2787" s="6"/>
      <c r="AK2787" s="6"/>
      <c r="AL2787" s="6"/>
      <c r="AM2787" s="6"/>
    </row>
    <row r="2788">
      <c r="A2788" s="6"/>
      <c r="B2788" s="6"/>
      <c r="C2788" s="6"/>
      <c r="D2788" s="6"/>
      <c r="E2788" s="6"/>
      <c r="F2788" s="6"/>
      <c r="G2788" s="6"/>
      <c r="H2788" s="6"/>
      <c r="I2788" s="6"/>
      <c r="J2788" s="6"/>
      <c r="K2788" s="6"/>
      <c r="L2788" s="6"/>
      <c r="M2788" s="6"/>
      <c r="N2788" s="6"/>
      <c r="O2788" s="6"/>
      <c r="P2788" s="6"/>
      <c r="Q2788" s="6"/>
      <c r="R2788" s="6"/>
      <c r="S2788" s="6"/>
      <c r="T2788" s="6"/>
      <c r="U2788" s="6"/>
      <c r="V2788" s="6"/>
      <c r="W2788" s="6"/>
      <c r="X2788" s="6"/>
      <c r="Y2788" s="6"/>
      <c r="Z2788" s="6"/>
      <c r="AA2788" s="6"/>
      <c r="AB2788" s="6"/>
      <c r="AC2788" s="6"/>
      <c r="AD2788" s="6"/>
      <c r="AE2788" s="6"/>
      <c r="AF2788" s="6"/>
      <c r="AG2788" s="6"/>
      <c r="AH2788" s="6"/>
      <c r="AI2788" s="6"/>
      <c r="AJ2788" s="6"/>
      <c r="AK2788" s="6"/>
      <c r="AL2788" s="6"/>
      <c r="AM2788" s="6"/>
    </row>
    <row r="2789">
      <c r="A2789" s="6"/>
      <c r="B2789" s="6"/>
      <c r="C2789" s="6"/>
      <c r="D2789" s="6"/>
      <c r="E2789" s="6"/>
      <c r="F2789" s="6"/>
      <c r="G2789" s="6"/>
      <c r="H2789" s="6"/>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c r="AG2789" s="6"/>
      <c r="AH2789" s="6"/>
      <c r="AI2789" s="6"/>
      <c r="AJ2789" s="6"/>
      <c r="AK2789" s="6"/>
      <c r="AL2789" s="6"/>
      <c r="AM2789" s="6"/>
    </row>
    <row r="2790">
      <c r="A2790" s="6"/>
      <c r="B2790" s="6"/>
      <c r="C2790" s="6"/>
      <c r="D2790" s="6"/>
      <c r="E2790" s="6"/>
      <c r="F2790" s="6"/>
      <c r="G2790" s="6"/>
      <c r="H2790" s="6"/>
      <c r="I2790" s="6"/>
      <c r="J2790" s="6"/>
      <c r="K2790" s="6"/>
      <c r="L2790" s="6"/>
      <c r="M2790" s="6"/>
      <c r="N2790" s="6"/>
      <c r="O2790" s="6"/>
      <c r="P2790" s="6"/>
      <c r="Q2790" s="6"/>
      <c r="R2790" s="6"/>
      <c r="S2790" s="6"/>
      <c r="T2790" s="6"/>
      <c r="U2790" s="6"/>
      <c r="V2790" s="6"/>
      <c r="W2790" s="6"/>
      <c r="X2790" s="6"/>
      <c r="Y2790" s="6"/>
      <c r="Z2790" s="6"/>
      <c r="AA2790" s="6"/>
      <c r="AB2790" s="6"/>
      <c r="AC2790" s="6"/>
      <c r="AD2790" s="6"/>
      <c r="AE2790" s="6"/>
      <c r="AF2790" s="6"/>
      <c r="AG2790" s="6"/>
      <c r="AH2790" s="6"/>
      <c r="AI2790" s="6"/>
      <c r="AJ2790" s="6"/>
      <c r="AK2790" s="6"/>
      <c r="AL2790" s="6"/>
      <c r="AM2790" s="6"/>
    </row>
    <row r="2791">
      <c r="A2791" s="6"/>
      <c r="B2791" s="6"/>
      <c r="C2791" s="6"/>
      <c r="D2791" s="6"/>
      <c r="E2791" s="6"/>
      <c r="F2791" s="6"/>
      <c r="G2791" s="6"/>
      <c r="H2791" s="6"/>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c r="AG2791" s="6"/>
      <c r="AH2791" s="6"/>
      <c r="AI2791" s="6"/>
      <c r="AJ2791" s="6"/>
      <c r="AK2791" s="6"/>
      <c r="AL2791" s="6"/>
      <c r="AM2791" s="6"/>
    </row>
    <row r="2792">
      <c r="A2792" s="6"/>
      <c r="B2792" s="6"/>
      <c r="C2792" s="6"/>
      <c r="D2792" s="6"/>
      <c r="E2792" s="6"/>
      <c r="F2792" s="6"/>
      <c r="G2792" s="6"/>
      <c r="H2792" s="6"/>
      <c r="I2792" s="6"/>
      <c r="J2792" s="6"/>
      <c r="K2792" s="6"/>
      <c r="L2792" s="6"/>
      <c r="M2792" s="6"/>
      <c r="N2792" s="6"/>
      <c r="O2792" s="6"/>
      <c r="P2792" s="6"/>
      <c r="Q2792" s="6"/>
      <c r="R2792" s="6"/>
      <c r="S2792" s="6"/>
      <c r="T2792" s="6"/>
      <c r="U2792" s="6"/>
      <c r="V2792" s="6"/>
      <c r="W2792" s="6"/>
      <c r="X2792" s="6"/>
      <c r="Y2792" s="6"/>
      <c r="Z2792" s="6"/>
      <c r="AA2792" s="6"/>
      <c r="AB2792" s="6"/>
      <c r="AC2792" s="6"/>
      <c r="AD2792" s="6"/>
      <c r="AE2792" s="6"/>
      <c r="AF2792" s="6"/>
      <c r="AG2792" s="6"/>
      <c r="AH2792" s="6"/>
      <c r="AI2792" s="6"/>
      <c r="AJ2792" s="6"/>
      <c r="AK2792" s="6"/>
      <c r="AL2792" s="6"/>
      <c r="AM2792" s="6"/>
    </row>
    <row r="2793">
      <c r="A2793" s="6"/>
      <c r="B2793" s="6"/>
      <c r="C2793" s="6"/>
      <c r="D2793" s="6"/>
      <c r="E2793" s="6"/>
      <c r="F2793" s="6"/>
      <c r="G2793" s="6"/>
      <c r="H2793" s="6"/>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c r="AG2793" s="6"/>
      <c r="AH2793" s="6"/>
      <c r="AI2793" s="6"/>
      <c r="AJ2793" s="6"/>
      <c r="AK2793" s="6"/>
      <c r="AL2793" s="6"/>
      <c r="AM2793" s="6"/>
    </row>
    <row r="2794">
      <c r="A2794" s="6"/>
      <c r="B2794" s="6"/>
      <c r="C2794" s="6"/>
      <c r="D2794" s="6"/>
      <c r="E2794" s="6"/>
      <c r="F2794" s="6"/>
      <c r="G2794" s="6"/>
      <c r="H2794" s="6"/>
      <c r="I2794" s="6"/>
      <c r="J2794" s="6"/>
      <c r="K2794" s="6"/>
      <c r="L2794" s="6"/>
      <c r="M2794" s="6"/>
      <c r="N2794" s="6"/>
      <c r="O2794" s="6"/>
      <c r="P2794" s="6"/>
      <c r="Q2794" s="6"/>
      <c r="R2794" s="6"/>
      <c r="S2794" s="6"/>
      <c r="T2794" s="6"/>
      <c r="U2794" s="6"/>
      <c r="V2794" s="6"/>
      <c r="W2794" s="6"/>
      <c r="X2794" s="6"/>
      <c r="Y2794" s="6"/>
      <c r="Z2794" s="6"/>
      <c r="AA2794" s="6"/>
      <c r="AB2794" s="6"/>
      <c r="AC2794" s="6"/>
      <c r="AD2794" s="6"/>
      <c r="AE2794" s="6"/>
      <c r="AF2794" s="6"/>
      <c r="AG2794" s="6"/>
      <c r="AH2794" s="6"/>
      <c r="AI2794" s="6"/>
      <c r="AJ2794" s="6"/>
      <c r="AK2794" s="6"/>
      <c r="AL2794" s="6"/>
      <c r="AM2794" s="6"/>
    </row>
    <row r="2795">
      <c r="A2795" s="6"/>
      <c r="B2795" s="6"/>
      <c r="C2795" s="6"/>
      <c r="D2795" s="6"/>
      <c r="E2795" s="6"/>
      <c r="F2795" s="6"/>
      <c r="G2795" s="6"/>
      <c r="H2795" s="6"/>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c r="AG2795" s="6"/>
      <c r="AH2795" s="6"/>
      <c r="AI2795" s="6"/>
      <c r="AJ2795" s="6"/>
      <c r="AK2795" s="6"/>
      <c r="AL2795" s="6"/>
      <c r="AM2795" s="6"/>
    </row>
    <row r="2796">
      <c r="A2796" s="6"/>
      <c r="B2796" s="6"/>
      <c r="C2796" s="6"/>
      <c r="D2796" s="6"/>
      <c r="E2796" s="6"/>
      <c r="F2796" s="6"/>
      <c r="G2796" s="6"/>
      <c r="H2796" s="6"/>
      <c r="I2796" s="6"/>
      <c r="J2796" s="6"/>
      <c r="K2796" s="6"/>
      <c r="L2796" s="6"/>
      <c r="M2796" s="6"/>
      <c r="N2796" s="6"/>
      <c r="O2796" s="6"/>
      <c r="P2796" s="6"/>
      <c r="Q2796" s="6"/>
      <c r="R2796" s="6"/>
      <c r="S2796" s="6"/>
      <c r="T2796" s="6"/>
      <c r="U2796" s="6"/>
      <c r="V2796" s="6"/>
      <c r="W2796" s="6"/>
      <c r="X2796" s="6"/>
      <c r="Y2796" s="6"/>
      <c r="Z2796" s="6"/>
      <c r="AA2796" s="6"/>
      <c r="AB2796" s="6"/>
      <c r="AC2796" s="6"/>
      <c r="AD2796" s="6"/>
      <c r="AE2796" s="6"/>
      <c r="AF2796" s="6"/>
      <c r="AG2796" s="6"/>
      <c r="AH2796" s="6"/>
      <c r="AI2796" s="6"/>
      <c r="AJ2796" s="6"/>
      <c r="AK2796" s="6"/>
      <c r="AL2796" s="6"/>
      <c r="AM2796" s="6"/>
    </row>
    <row r="2797">
      <c r="A2797" s="6"/>
      <c r="B2797" s="6"/>
      <c r="C2797" s="6"/>
      <c r="D2797" s="6"/>
      <c r="E2797" s="6"/>
      <c r="F2797" s="6"/>
      <c r="G2797" s="6"/>
      <c r="H2797" s="6"/>
      <c r="I2797" s="6"/>
      <c r="J2797" s="6"/>
      <c r="K2797" s="6"/>
      <c r="L2797" s="6"/>
      <c r="M2797" s="6"/>
      <c r="N2797" s="6"/>
      <c r="O2797" s="6"/>
      <c r="P2797" s="6"/>
      <c r="Q2797" s="6"/>
      <c r="R2797" s="6"/>
      <c r="S2797" s="6"/>
      <c r="T2797" s="6"/>
      <c r="U2797" s="6"/>
      <c r="V2797" s="6"/>
      <c r="W2797" s="6"/>
      <c r="X2797" s="6"/>
      <c r="Y2797" s="6"/>
      <c r="Z2797" s="6"/>
      <c r="AA2797" s="6"/>
      <c r="AB2797" s="6"/>
      <c r="AC2797" s="6"/>
      <c r="AD2797" s="6"/>
      <c r="AE2797" s="6"/>
      <c r="AF2797" s="6"/>
      <c r="AG2797" s="6"/>
      <c r="AH2797" s="6"/>
      <c r="AI2797" s="6"/>
      <c r="AJ2797" s="6"/>
      <c r="AK2797" s="6"/>
      <c r="AL2797" s="6"/>
      <c r="AM2797" s="6"/>
    </row>
    <row r="2798">
      <c r="A2798" s="6"/>
      <c r="B2798" s="6"/>
      <c r="C2798" s="6"/>
      <c r="D2798" s="6"/>
      <c r="E2798" s="6"/>
      <c r="F2798" s="6"/>
      <c r="G2798" s="6"/>
      <c r="H2798" s="6"/>
      <c r="I2798" s="6"/>
      <c r="J2798" s="6"/>
      <c r="K2798" s="6"/>
      <c r="L2798" s="6"/>
      <c r="M2798" s="6"/>
      <c r="N2798" s="6"/>
      <c r="O2798" s="6"/>
      <c r="P2798" s="6"/>
      <c r="Q2798" s="6"/>
      <c r="R2798" s="6"/>
      <c r="S2798" s="6"/>
      <c r="T2798" s="6"/>
      <c r="U2798" s="6"/>
      <c r="V2798" s="6"/>
      <c r="W2798" s="6"/>
      <c r="X2798" s="6"/>
      <c r="Y2798" s="6"/>
      <c r="Z2798" s="6"/>
      <c r="AA2798" s="6"/>
      <c r="AB2798" s="6"/>
      <c r="AC2798" s="6"/>
      <c r="AD2798" s="6"/>
      <c r="AE2798" s="6"/>
      <c r="AF2798" s="6"/>
      <c r="AG2798" s="6"/>
      <c r="AH2798" s="6"/>
      <c r="AI2798" s="6"/>
      <c r="AJ2798" s="6"/>
      <c r="AK2798" s="6"/>
      <c r="AL2798" s="6"/>
      <c r="AM2798" s="6"/>
    </row>
    <row r="2799">
      <c r="A2799" s="6"/>
      <c r="B2799" s="6"/>
      <c r="C2799" s="6"/>
      <c r="D2799" s="6"/>
      <c r="E2799" s="6"/>
      <c r="F2799" s="6"/>
      <c r="G2799" s="6"/>
      <c r="H2799" s="6"/>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c r="AG2799" s="6"/>
      <c r="AH2799" s="6"/>
      <c r="AI2799" s="6"/>
      <c r="AJ2799" s="6"/>
      <c r="AK2799" s="6"/>
      <c r="AL2799" s="6"/>
      <c r="AM2799" s="6"/>
    </row>
    <row r="2800">
      <c r="A2800" s="6"/>
      <c r="B2800" s="6"/>
      <c r="C2800" s="6"/>
      <c r="D2800" s="6"/>
      <c r="E2800" s="6"/>
      <c r="F2800" s="6"/>
      <c r="G2800" s="6"/>
      <c r="H2800" s="6"/>
      <c r="I2800" s="6"/>
      <c r="J2800" s="6"/>
      <c r="K2800" s="6"/>
      <c r="L2800" s="6"/>
      <c r="M2800" s="6"/>
      <c r="N2800" s="6"/>
      <c r="O2800" s="6"/>
      <c r="P2800" s="6"/>
      <c r="Q2800" s="6"/>
      <c r="R2800" s="6"/>
      <c r="S2800" s="6"/>
      <c r="T2800" s="6"/>
      <c r="U2800" s="6"/>
      <c r="V2800" s="6"/>
      <c r="W2800" s="6"/>
      <c r="X2800" s="6"/>
      <c r="Y2800" s="6"/>
      <c r="Z2800" s="6"/>
      <c r="AA2800" s="6"/>
      <c r="AB2800" s="6"/>
      <c r="AC2800" s="6"/>
      <c r="AD2800" s="6"/>
      <c r="AE2800" s="6"/>
      <c r="AF2800" s="6"/>
      <c r="AG2800" s="6"/>
      <c r="AH2800" s="6"/>
      <c r="AI2800" s="6"/>
      <c r="AJ2800" s="6"/>
      <c r="AK2800" s="6"/>
      <c r="AL2800" s="6"/>
      <c r="AM2800" s="6"/>
    </row>
    <row r="2801">
      <c r="A2801" s="6"/>
      <c r="B2801" s="6"/>
      <c r="C2801" s="6"/>
      <c r="D2801" s="6"/>
      <c r="E2801" s="6"/>
      <c r="F2801" s="6"/>
      <c r="G2801" s="6"/>
      <c r="H2801" s="6"/>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c r="AG2801" s="6"/>
      <c r="AH2801" s="6"/>
      <c r="AI2801" s="6"/>
      <c r="AJ2801" s="6"/>
      <c r="AK2801" s="6"/>
      <c r="AL2801" s="6"/>
      <c r="AM2801" s="6"/>
    </row>
    <row r="2802">
      <c r="A2802" s="6"/>
      <c r="B2802" s="6"/>
      <c r="C2802" s="6"/>
      <c r="D2802" s="6"/>
      <c r="E2802" s="6"/>
      <c r="F2802" s="6"/>
      <c r="G2802" s="6"/>
      <c r="H2802" s="6"/>
      <c r="I2802" s="6"/>
      <c r="J2802" s="6"/>
      <c r="K2802" s="6"/>
      <c r="L2802" s="6"/>
      <c r="M2802" s="6"/>
      <c r="N2802" s="6"/>
      <c r="O2802" s="6"/>
      <c r="P2802" s="6"/>
      <c r="Q2802" s="6"/>
      <c r="R2802" s="6"/>
      <c r="S2802" s="6"/>
      <c r="T2802" s="6"/>
      <c r="U2802" s="6"/>
      <c r="V2802" s="6"/>
      <c r="W2802" s="6"/>
      <c r="X2802" s="6"/>
      <c r="Y2802" s="6"/>
      <c r="Z2802" s="6"/>
      <c r="AA2802" s="6"/>
      <c r="AB2802" s="6"/>
      <c r="AC2802" s="6"/>
      <c r="AD2802" s="6"/>
      <c r="AE2802" s="6"/>
      <c r="AF2802" s="6"/>
      <c r="AG2802" s="6"/>
      <c r="AH2802" s="6"/>
      <c r="AI2802" s="6"/>
      <c r="AJ2802" s="6"/>
      <c r="AK2802" s="6"/>
      <c r="AL2802" s="6"/>
      <c r="AM2802" s="6"/>
    </row>
    <row r="2803">
      <c r="A2803" s="6"/>
      <c r="B2803" s="6"/>
      <c r="C2803" s="6"/>
      <c r="D2803" s="6"/>
      <c r="E2803" s="6"/>
      <c r="F2803" s="6"/>
      <c r="G2803" s="6"/>
      <c r="H2803" s="6"/>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c r="AG2803" s="6"/>
      <c r="AH2803" s="6"/>
      <c r="AI2803" s="6"/>
      <c r="AJ2803" s="6"/>
      <c r="AK2803" s="6"/>
      <c r="AL2803" s="6"/>
      <c r="AM2803" s="6"/>
    </row>
    <row r="2804">
      <c r="A2804" s="6"/>
      <c r="B2804" s="6"/>
      <c r="C2804" s="6"/>
      <c r="D2804" s="6"/>
      <c r="E2804" s="6"/>
      <c r="F2804" s="6"/>
      <c r="G2804" s="6"/>
      <c r="H2804" s="6"/>
      <c r="I2804" s="6"/>
      <c r="J2804" s="6"/>
      <c r="K2804" s="6"/>
      <c r="L2804" s="6"/>
      <c r="M2804" s="6"/>
      <c r="N2804" s="6"/>
      <c r="O2804" s="6"/>
      <c r="P2804" s="6"/>
      <c r="Q2804" s="6"/>
      <c r="R2804" s="6"/>
      <c r="S2804" s="6"/>
      <c r="T2804" s="6"/>
      <c r="U2804" s="6"/>
      <c r="V2804" s="6"/>
      <c r="W2804" s="6"/>
      <c r="X2804" s="6"/>
      <c r="Y2804" s="6"/>
      <c r="Z2804" s="6"/>
      <c r="AA2804" s="6"/>
      <c r="AB2804" s="6"/>
      <c r="AC2804" s="6"/>
      <c r="AD2804" s="6"/>
      <c r="AE2804" s="6"/>
      <c r="AF2804" s="6"/>
      <c r="AG2804" s="6"/>
      <c r="AH2804" s="6"/>
      <c r="AI2804" s="6"/>
      <c r="AJ2804" s="6"/>
      <c r="AK2804" s="6"/>
      <c r="AL2804" s="6"/>
      <c r="AM2804" s="6"/>
    </row>
    <row r="2805">
      <c r="A2805" s="6"/>
      <c r="B2805" s="6"/>
      <c r="C2805" s="6"/>
      <c r="D2805" s="6"/>
      <c r="E2805" s="6"/>
      <c r="F2805" s="6"/>
      <c r="G2805" s="6"/>
      <c r="H2805" s="6"/>
      <c r="I2805" s="6"/>
      <c r="J2805" s="6"/>
      <c r="K2805" s="6"/>
      <c r="L2805" s="6"/>
      <c r="M2805" s="6"/>
      <c r="N2805" s="6"/>
      <c r="O2805" s="6"/>
      <c r="P2805" s="6"/>
      <c r="Q2805" s="6"/>
      <c r="R2805" s="6"/>
      <c r="S2805" s="6"/>
      <c r="T2805" s="6"/>
      <c r="U2805" s="6"/>
      <c r="V2805" s="6"/>
      <c r="W2805" s="6"/>
      <c r="X2805" s="6"/>
      <c r="Y2805" s="6"/>
      <c r="Z2805" s="6"/>
      <c r="AA2805" s="6"/>
      <c r="AB2805" s="6"/>
      <c r="AC2805" s="6"/>
      <c r="AD2805" s="6"/>
      <c r="AE2805" s="6"/>
      <c r="AF2805" s="6"/>
      <c r="AG2805" s="6"/>
      <c r="AH2805" s="6"/>
      <c r="AI2805" s="6"/>
      <c r="AJ2805" s="6"/>
      <c r="AK2805" s="6"/>
      <c r="AL2805" s="6"/>
      <c r="AM2805" s="6"/>
    </row>
    <row r="2806">
      <c r="A2806" s="6"/>
      <c r="B2806" s="6"/>
      <c r="C2806" s="6"/>
      <c r="D2806" s="6"/>
      <c r="E2806" s="6"/>
      <c r="F2806" s="6"/>
      <c r="G2806" s="6"/>
      <c r="H2806" s="6"/>
      <c r="I2806" s="6"/>
      <c r="J2806" s="6"/>
      <c r="K2806" s="6"/>
      <c r="L2806" s="6"/>
      <c r="M2806" s="6"/>
      <c r="N2806" s="6"/>
      <c r="O2806" s="6"/>
      <c r="P2806" s="6"/>
      <c r="Q2806" s="6"/>
      <c r="R2806" s="6"/>
      <c r="S2806" s="6"/>
      <c r="T2806" s="6"/>
      <c r="U2806" s="6"/>
      <c r="V2806" s="6"/>
      <c r="W2806" s="6"/>
      <c r="X2806" s="6"/>
      <c r="Y2806" s="6"/>
      <c r="Z2806" s="6"/>
      <c r="AA2806" s="6"/>
      <c r="AB2806" s="6"/>
      <c r="AC2806" s="6"/>
      <c r="AD2806" s="6"/>
      <c r="AE2806" s="6"/>
      <c r="AF2806" s="6"/>
      <c r="AG2806" s="6"/>
      <c r="AH2806" s="6"/>
      <c r="AI2806" s="6"/>
      <c r="AJ2806" s="6"/>
      <c r="AK2806" s="6"/>
      <c r="AL2806" s="6"/>
      <c r="AM2806" s="6"/>
    </row>
    <row r="2807">
      <c r="A2807" s="6"/>
      <c r="B2807" s="6"/>
      <c r="C2807" s="6"/>
      <c r="D2807" s="6"/>
      <c r="E2807" s="6"/>
      <c r="F2807" s="6"/>
      <c r="G2807" s="6"/>
      <c r="H2807" s="6"/>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6"/>
      <c r="AG2807" s="6"/>
      <c r="AH2807" s="6"/>
      <c r="AI2807" s="6"/>
      <c r="AJ2807" s="6"/>
      <c r="AK2807" s="6"/>
      <c r="AL2807" s="6"/>
      <c r="AM2807" s="6"/>
    </row>
    <row r="2808">
      <c r="A2808" s="6"/>
      <c r="B2808" s="6"/>
      <c r="C2808" s="6"/>
      <c r="D2808" s="6"/>
      <c r="E2808" s="6"/>
      <c r="F2808" s="6"/>
      <c r="G2808" s="6"/>
      <c r="H2808" s="6"/>
      <c r="I2808" s="6"/>
      <c r="J2808" s="6"/>
      <c r="K2808" s="6"/>
      <c r="L2808" s="6"/>
      <c r="M2808" s="6"/>
      <c r="N2808" s="6"/>
      <c r="O2808" s="6"/>
      <c r="P2808" s="6"/>
      <c r="Q2808" s="6"/>
      <c r="R2808" s="6"/>
      <c r="S2808" s="6"/>
      <c r="T2808" s="6"/>
      <c r="U2808" s="6"/>
      <c r="V2808" s="6"/>
      <c r="W2808" s="6"/>
      <c r="X2808" s="6"/>
      <c r="Y2808" s="6"/>
      <c r="Z2808" s="6"/>
      <c r="AA2808" s="6"/>
      <c r="AB2808" s="6"/>
      <c r="AC2808" s="6"/>
      <c r="AD2808" s="6"/>
      <c r="AE2808" s="6"/>
      <c r="AF2808" s="6"/>
      <c r="AG2808" s="6"/>
      <c r="AH2808" s="6"/>
      <c r="AI2808" s="6"/>
      <c r="AJ2808" s="6"/>
      <c r="AK2808" s="6"/>
      <c r="AL2808" s="6"/>
      <c r="AM2808" s="6"/>
    </row>
    <row r="2809">
      <c r="A2809" s="6"/>
      <c r="B2809" s="6"/>
      <c r="C2809" s="6"/>
      <c r="D2809" s="6"/>
      <c r="E2809" s="6"/>
      <c r="F2809" s="6"/>
      <c r="G2809" s="6"/>
      <c r="H2809" s="6"/>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c r="AG2809" s="6"/>
      <c r="AH2809" s="6"/>
      <c r="AI2809" s="6"/>
      <c r="AJ2809" s="6"/>
      <c r="AK2809" s="6"/>
      <c r="AL2809" s="6"/>
      <c r="AM2809" s="6"/>
    </row>
    <row r="2810">
      <c r="A2810" s="6"/>
      <c r="B2810" s="6"/>
      <c r="C2810" s="6"/>
      <c r="D2810" s="6"/>
      <c r="E2810" s="6"/>
      <c r="F2810" s="6"/>
      <c r="G2810" s="6"/>
      <c r="H2810" s="6"/>
      <c r="I2810" s="6"/>
      <c r="J2810" s="6"/>
      <c r="K2810" s="6"/>
      <c r="L2810" s="6"/>
      <c r="M2810" s="6"/>
      <c r="N2810" s="6"/>
      <c r="O2810" s="6"/>
      <c r="P2810" s="6"/>
      <c r="Q2810" s="6"/>
      <c r="R2810" s="6"/>
      <c r="S2810" s="6"/>
      <c r="T2810" s="6"/>
      <c r="U2810" s="6"/>
      <c r="V2810" s="6"/>
      <c r="W2810" s="6"/>
      <c r="X2810" s="6"/>
      <c r="Y2810" s="6"/>
      <c r="Z2810" s="6"/>
      <c r="AA2810" s="6"/>
      <c r="AB2810" s="6"/>
      <c r="AC2810" s="6"/>
      <c r="AD2810" s="6"/>
      <c r="AE2810" s="6"/>
      <c r="AF2810" s="6"/>
      <c r="AG2810" s="6"/>
      <c r="AH2810" s="6"/>
      <c r="AI2810" s="6"/>
      <c r="AJ2810" s="6"/>
      <c r="AK2810" s="6"/>
      <c r="AL2810" s="6"/>
      <c r="AM2810" s="6"/>
    </row>
    <row r="2811">
      <c r="A2811" s="6"/>
      <c r="B2811" s="6"/>
      <c r="C2811" s="6"/>
      <c r="D2811" s="6"/>
      <c r="E2811" s="6"/>
      <c r="F2811" s="6"/>
      <c r="G2811" s="6"/>
      <c r="H2811" s="6"/>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c r="AG2811" s="6"/>
      <c r="AH2811" s="6"/>
      <c r="AI2811" s="6"/>
      <c r="AJ2811" s="6"/>
      <c r="AK2811" s="6"/>
      <c r="AL2811" s="6"/>
      <c r="AM2811" s="6"/>
    </row>
    <row r="2812">
      <c r="A2812" s="6"/>
      <c r="B2812" s="6"/>
      <c r="C2812" s="6"/>
      <c r="D2812" s="6"/>
      <c r="E2812" s="6"/>
      <c r="F2812" s="6"/>
      <c r="G2812" s="6"/>
      <c r="H2812" s="6"/>
      <c r="I2812" s="6"/>
      <c r="J2812" s="6"/>
      <c r="K2812" s="6"/>
      <c r="L2812" s="6"/>
      <c r="M2812" s="6"/>
      <c r="N2812" s="6"/>
      <c r="O2812" s="6"/>
      <c r="P2812" s="6"/>
      <c r="Q2812" s="6"/>
      <c r="R2812" s="6"/>
      <c r="S2812" s="6"/>
      <c r="T2812" s="6"/>
      <c r="U2812" s="6"/>
      <c r="V2812" s="6"/>
      <c r="W2812" s="6"/>
      <c r="X2812" s="6"/>
      <c r="Y2812" s="6"/>
      <c r="Z2812" s="6"/>
      <c r="AA2812" s="6"/>
      <c r="AB2812" s="6"/>
      <c r="AC2812" s="6"/>
      <c r="AD2812" s="6"/>
      <c r="AE2812" s="6"/>
      <c r="AF2812" s="6"/>
      <c r="AG2812" s="6"/>
      <c r="AH2812" s="6"/>
      <c r="AI2812" s="6"/>
      <c r="AJ2812" s="6"/>
      <c r="AK2812" s="6"/>
      <c r="AL2812" s="6"/>
      <c r="AM2812" s="6"/>
    </row>
    <row r="2813">
      <c r="A2813" s="6"/>
      <c r="B2813" s="6"/>
      <c r="C2813" s="6"/>
      <c r="D2813" s="6"/>
      <c r="E2813" s="6"/>
      <c r="F2813" s="6"/>
      <c r="G2813" s="6"/>
      <c r="H2813" s="6"/>
      <c r="I2813" s="6"/>
      <c r="J2813" s="6"/>
      <c r="K2813" s="6"/>
      <c r="L2813" s="6"/>
      <c r="M2813" s="6"/>
      <c r="N2813" s="6"/>
      <c r="O2813" s="6"/>
      <c r="P2813" s="6"/>
      <c r="Q2813" s="6"/>
      <c r="R2813" s="6"/>
      <c r="S2813" s="6"/>
      <c r="T2813" s="6"/>
      <c r="U2813" s="6"/>
      <c r="V2813" s="6"/>
      <c r="W2813" s="6"/>
      <c r="X2813" s="6"/>
      <c r="Y2813" s="6"/>
      <c r="Z2813" s="6"/>
      <c r="AA2813" s="6"/>
      <c r="AB2813" s="6"/>
      <c r="AC2813" s="6"/>
      <c r="AD2813" s="6"/>
      <c r="AE2813" s="6"/>
      <c r="AF2813" s="6"/>
      <c r="AG2813" s="6"/>
      <c r="AH2813" s="6"/>
      <c r="AI2813" s="6"/>
      <c r="AJ2813" s="6"/>
      <c r="AK2813" s="6"/>
      <c r="AL2813" s="6"/>
      <c r="AM2813" s="6"/>
    </row>
    <row r="2814">
      <c r="A2814" s="6"/>
      <c r="B2814" s="6"/>
      <c r="C2814" s="6"/>
      <c r="D2814" s="6"/>
      <c r="E2814" s="6"/>
      <c r="F2814" s="6"/>
      <c r="G2814" s="6"/>
      <c r="H2814" s="6"/>
      <c r="I2814" s="6"/>
      <c r="J2814" s="6"/>
      <c r="K2814" s="6"/>
      <c r="L2814" s="6"/>
      <c r="M2814" s="6"/>
      <c r="N2814" s="6"/>
      <c r="O2814" s="6"/>
      <c r="P2814" s="6"/>
      <c r="Q2814" s="6"/>
      <c r="R2814" s="6"/>
      <c r="S2814" s="6"/>
      <c r="T2814" s="6"/>
      <c r="U2814" s="6"/>
      <c r="V2814" s="6"/>
      <c r="W2814" s="6"/>
      <c r="X2814" s="6"/>
      <c r="Y2814" s="6"/>
      <c r="Z2814" s="6"/>
      <c r="AA2814" s="6"/>
      <c r="AB2814" s="6"/>
      <c r="AC2814" s="6"/>
      <c r="AD2814" s="6"/>
      <c r="AE2814" s="6"/>
      <c r="AF2814" s="6"/>
      <c r="AG2814" s="6"/>
      <c r="AH2814" s="6"/>
      <c r="AI2814" s="6"/>
      <c r="AJ2814" s="6"/>
      <c r="AK2814" s="6"/>
      <c r="AL2814" s="6"/>
      <c r="AM2814" s="6"/>
    </row>
    <row r="2815">
      <c r="A2815" s="6"/>
      <c r="B2815" s="6"/>
      <c r="C2815" s="6"/>
      <c r="D2815" s="6"/>
      <c r="E2815" s="6"/>
      <c r="F2815" s="6"/>
      <c r="G2815" s="6"/>
      <c r="H2815" s="6"/>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c r="AG2815" s="6"/>
      <c r="AH2815" s="6"/>
      <c r="AI2815" s="6"/>
      <c r="AJ2815" s="6"/>
      <c r="AK2815" s="6"/>
      <c r="AL2815" s="6"/>
      <c r="AM2815" s="6"/>
    </row>
    <row r="2816">
      <c r="A2816" s="6"/>
      <c r="B2816" s="6"/>
      <c r="C2816" s="6"/>
      <c r="D2816" s="6"/>
      <c r="E2816" s="6"/>
      <c r="F2816" s="6"/>
      <c r="G2816" s="6"/>
      <c r="H2816" s="6"/>
      <c r="I2816" s="6"/>
      <c r="J2816" s="6"/>
      <c r="K2816" s="6"/>
      <c r="L2816" s="6"/>
      <c r="M2816" s="6"/>
      <c r="N2816" s="6"/>
      <c r="O2816" s="6"/>
      <c r="P2816" s="6"/>
      <c r="Q2816" s="6"/>
      <c r="R2816" s="6"/>
      <c r="S2816" s="6"/>
      <c r="T2816" s="6"/>
      <c r="U2816" s="6"/>
      <c r="V2816" s="6"/>
      <c r="W2816" s="6"/>
      <c r="X2816" s="6"/>
      <c r="Y2816" s="6"/>
      <c r="Z2816" s="6"/>
      <c r="AA2816" s="6"/>
      <c r="AB2816" s="6"/>
      <c r="AC2816" s="6"/>
      <c r="AD2816" s="6"/>
      <c r="AE2816" s="6"/>
      <c r="AF2816" s="6"/>
      <c r="AG2816" s="6"/>
      <c r="AH2816" s="6"/>
      <c r="AI2816" s="6"/>
      <c r="AJ2816" s="6"/>
      <c r="AK2816" s="6"/>
      <c r="AL2816" s="6"/>
      <c r="AM2816" s="6"/>
    </row>
    <row r="2817">
      <c r="A2817" s="6"/>
      <c r="B2817" s="6"/>
      <c r="C2817" s="6"/>
      <c r="D2817" s="6"/>
      <c r="E2817" s="6"/>
      <c r="F2817" s="6"/>
      <c r="G2817" s="6"/>
      <c r="H2817" s="6"/>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c r="AG2817" s="6"/>
      <c r="AH2817" s="6"/>
      <c r="AI2817" s="6"/>
      <c r="AJ2817" s="6"/>
      <c r="AK2817" s="6"/>
      <c r="AL2817" s="6"/>
      <c r="AM2817" s="6"/>
    </row>
    <row r="2818">
      <c r="A2818" s="6"/>
      <c r="B2818" s="6"/>
      <c r="C2818" s="6"/>
      <c r="D2818" s="6"/>
      <c r="E2818" s="6"/>
      <c r="F2818" s="6"/>
      <c r="G2818" s="6"/>
      <c r="H2818" s="6"/>
      <c r="I2818" s="6"/>
      <c r="J2818" s="6"/>
      <c r="K2818" s="6"/>
      <c r="L2818" s="6"/>
      <c r="M2818" s="6"/>
      <c r="N2818" s="6"/>
      <c r="O2818" s="6"/>
      <c r="P2818" s="6"/>
      <c r="Q2818" s="6"/>
      <c r="R2818" s="6"/>
      <c r="S2818" s="6"/>
      <c r="T2818" s="6"/>
      <c r="U2818" s="6"/>
      <c r="V2818" s="6"/>
      <c r="W2818" s="6"/>
      <c r="X2818" s="6"/>
      <c r="Y2818" s="6"/>
      <c r="Z2818" s="6"/>
      <c r="AA2818" s="6"/>
      <c r="AB2818" s="6"/>
      <c r="AC2818" s="6"/>
      <c r="AD2818" s="6"/>
      <c r="AE2818" s="6"/>
      <c r="AF2818" s="6"/>
      <c r="AG2818" s="6"/>
      <c r="AH2818" s="6"/>
      <c r="AI2818" s="6"/>
      <c r="AJ2818" s="6"/>
      <c r="AK2818" s="6"/>
      <c r="AL2818" s="6"/>
      <c r="AM2818" s="6"/>
    </row>
    <row r="2819">
      <c r="A2819" s="6"/>
      <c r="B2819" s="6"/>
      <c r="C2819" s="6"/>
      <c r="D2819" s="6"/>
      <c r="E2819" s="6"/>
      <c r="F2819" s="6"/>
      <c r="G2819" s="6"/>
      <c r="H2819" s="6"/>
      <c r="I2819" s="6"/>
      <c r="J2819" s="6"/>
      <c r="K2819" s="6"/>
      <c r="L2819" s="6"/>
      <c r="M2819" s="6"/>
      <c r="N2819" s="6"/>
      <c r="O2819" s="6"/>
      <c r="P2819" s="6"/>
      <c r="Q2819" s="6"/>
      <c r="R2819" s="6"/>
      <c r="S2819" s="6"/>
      <c r="T2819" s="6"/>
      <c r="U2819" s="6"/>
      <c r="V2819" s="6"/>
      <c r="W2819" s="6"/>
      <c r="X2819" s="6"/>
      <c r="Y2819" s="6"/>
      <c r="Z2819" s="6"/>
      <c r="AA2819" s="6"/>
      <c r="AB2819" s="6"/>
      <c r="AC2819" s="6"/>
      <c r="AD2819" s="6"/>
      <c r="AE2819" s="6"/>
      <c r="AF2819" s="6"/>
      <c r="AG2819" s="6"/>
      <c r="AH2819" s="6"/>
      <c r="AI2819" s="6"/>
      <c r="AJ2819" s="6"/>
      <c r="AK2819" s="6"/>
      <c r="AL2819" s="6"/>
      <c r="AM2819" s="6"/>
    </row>
    <row r="2820">
      <c r="A2820" s="6"/>
      <c r="B2820" s="6"/>
      <c r="C2820" s="6"/>
      <c r="D2820" s="6"/>
      <c r="E2820" s="6"/>
      <c r="F2820" s="6"/>
      <c r="G2820" s="6"/>
      <c r="H2820" s="6"/>
      <c r="I2820" s="6"/>
      <c r="J2820" s="6"/>
      <c r="K2820" s="6"/>
      <c r="L2820" s="6"/>
      <c r="M2820" s="6"/>
      <c r="N2820" s="6"/>
      <c r="O2820" s="6"/>
      <c r="P2820" s="6"/>
      <c r="Q2820" s="6"/>
      <c r="R2820" s="6"/>
      <c r="S2820" s="6"/>
      <c r="T2820" s="6"/>
      <c r="U2820" s="6"/>
      <c r="V2820" s="6"/>
      <c r="W2820" s="6"/>
      <c r="X2820" s="6"/>
      <c r="Y2820" s="6"/>
      <c r="Z2820" s="6"/>
      <c r="AA2820" s="6"/>
      <c r="AB2820" s="6"/>
      <c r="AC2820" s="6"/>
      <c r="AD2820" s="6"/>
      <c r="AE2820" s="6"/>
      <c r="AF2820" s="6"/>
      <c r="AG2820" s="6"/>
      <c r="AH2820" s="6"/>
      <c r="AI2820" s="6"/>
      <c r="AJ2820" s="6"/>
      <c r="AK2820" s="6"/>
      <c r="AL2820" s="6"/>
      <c r="AM2820" s="6"/>
    </row>
    <row r="2821">
      <c r="A2821" s="6"/>
      <c r="B2821" s="6"/>
      <c r="C2821" s="6"/>
      <c r="D2821" s="6"/>
      <c r="E2821" s="6"/>
      <c r="F2821" s="6"/>
      <c r="G2821" s="6"/>
      <c r="H2821" s="6"/>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c r="AG2821" s="6"/>
      <c r="AH2821" s="6"/>
      <c r="AI2821" s="6"/>
      <c r="AJ2821" s="6"/>
      <c r="AK2821" s="6"/>
      <c r="AL2821" s="6"/>
      <c r="AM2821" s="6"/>
    </row>
    <row r="2822">
      <c r="A2822" s="6"/>
      <c r="B2822" s="6"/>
      <c r="C2822" s="6"/>
      <c r="D2822" s="6"/>
      <c r="E2822" s="6"/>
      <c r="F2822" s="6"/>
      <c r="G2822" s="6"/>
      <c r="H2822" s="6"/>
      <c r="I2822" s="6"/>
      <c r="J2822" s="6"/>
      <c r="K2822" s="6"/>
      <c r="L2822" s="6"/>
      <c r="M2822" s="6"/>
      <c r="N2822" s="6"/>
      <c r="O2822" s="6"/>
      <c r="P2822" s="6"/>
      <c r="Q2822" s="6"/>
      <c r="R2822" s="6"/>
      <c r="S2822" s="6"/>
      <c r="T2822" s="6"/>
      <c r="U2822" s="6"/>
      <c r="V2822" s="6"/>
      <c r="W2822" s="6"/>
      <c r="X2822" s="6"/>
      <c r="Y2822" s="6"/>
      <c r="Z2822" s="6"/>
      <c r="AA2822" s="6"/>
      <c r="AB2822" s="6"/>
      <c r="AC2822" s="6"/>
      <c r="AD2822" s="6"/>
      <c r="AE2822" s="6"/>
      <c r="AF2822" s="6"/>
      <c r="AG2822" s="6"/>
      <c r="AH2822" s="6"/>
      <c r="AI2822" s="6"/>
      <c r="AJ2822" s="6"/>
      <c r="AK2822" s="6"/>
      <c r="AL2822" s="6"/>
      <c r="AM2822" s="6"/>
    </row>
    <row r="2823">
      <c r="A2823" s="6"/>
      <c r="B2823" s="6"/>
      <c r="C2823" s="6"/>
      <c r="D2823" s="6"/>
      <c r="E2823" s="6"/>
      <c r="F2823" s="6"/>
      <c r="G2823" s="6"/>
      <c r="H2823" s="6"/>
      <c r="I2823" s="6"/>
      <c r="J2823" s="6"/>
      <c r="K2823" s="6"/>
      <c r="L2823" s="6"/>
      <c r="M2823" s="6"/>
      <c r="N2823" s="6"/>
      <c r="O2823" s="6"/>
      <c r="P2823" s="6"/>
      <c r="Q2823" s="6"/>
      <c r="R2823" s="6"/>
      <c r="S2823" s="6"/>
      <c r="T2823" s="6"/>
      <c r="U2823" s="6"/>
      <c r="V2823" s="6"/>
      <c r="W2823" s="6"/>
      <c r="X2823" s="6"/>
      <c r="Y2823" s="6"/>
      <c r="Z2823" s="6"/>
      <c r="AA2823" s="6"/>
      <c r="AB2823" s="6"/>
      <c r="AC2823" s="6"/>
      <c r="AD2823" s="6"/>
      <c r="AE2823" s="6"/>
      <c r="AF2823" s="6"/>
      <c r="AG2823" s="6"/>
      <c r="AH2823" s="6"/>
      <c r="AI2823" s="6"/>
      <c r="AJ2823" s="6"/>
      <c r="AK2823" s="6"/>
      <c r="AL2823" s="6"/>
      <c r="AM2823" s="6"/>
    </row>
    <row r="2824">
      <c r="A2824" s="6"/>
      <c r="B2824" s="6"/>
      <c r="C2824" s="6"/>
      <c r="D2824" s="6"/>
      <c r="E2824" s="6"/>
      <c r="F2824" s="6"/>
      <c r="G2824" s="6"/>
      <c r="H2824" s="6"/>
      <c r="I2824" s="6"/>
      <c r="J2824" s="6"/>
      <c r="K2824" s="6"/>
      <c r="L2824" s="6"/>
      <c r="M2824" s="6"/>
      <c r="N2824" s="6"/>
      <c r="O2824" s="6"/>
      <c r="P2824" s="6"/>
      <c r="Q2824" s="6"/>
      <c r="R2824" s="6"/>
      <c r="S2824" s="6"/>
      <c r="T2824" s="6"/>
      <c r="U2824" s="6"/>
      <c r="V2824" s="6"/>
      <c r="W2824" s="6"/>
      <c r="X2824" s="6"/>
      <c r="Y2824" s="6"/>
      <c r="Z2824" s="6"/>
      <c r="AA2824" s="6"/>
      <c r="AB2824" s="6"/>
      <c r="AC2824" s="6"/>
      <c r="AD2824" s="6"/>
      <c r="AE2824" s="6"/>
      <c r="AF2824" s="6"/>
      <c r="AG2824" s="6"/>
      <c r="AH2824" s="6"/>
      <c r="AI2824" s="6"/>
      <c r="AJ2824" s="6"/>
      <c r="AK2824" s="6"/>
      <c r="AL2824" s="6"/>
      <c r="AM2824" s="6"/>
    </row>
    <row r="2825">
      <c r="A2825" s="6"/>
      <c r="B2825" s="6"/>
      <c r="C2825" s="6"/>
      <c r="D2825" s="6"/>
      <c r="E2825" s="6"/>
      <c r="F2825" s="6"/>
      <c r="G2825" s="6"/>
      <c r="H2825" s="6"/>
      <c r="I2825" s="6"/>
      <c r="J2825" s="6"/>
      <c r="K2825" s="6"/>
      <c r="L2825" s="6"/>
      <c r="M2825" s="6"/>
      <c r="N2825" s="6"/>
      <c r="O2825" s="6"/>
      <c r="P2825" s="6"/>
      <c r="Q2825" s="6"/>
      <c r="R2825" s="6"/>
      <c r="S2825" s="6"/>
      <c r="T2825" s="6"/>
      <c r="U2825" s="6"/>
      <c r="V2825" s="6"/>
      <c r="W2825" s="6"/>
      <c r="X2825" s="6"/>
      <c r="Y2825" s="6"/>
      <c r="Z2825" s="6"/>
      <c r="AA2825" s="6"/>
      <c r="AB2825" s="6"/>
      <c r="AC2825" s="6"/>
      <c r="AD2825" s="6"/>
      <c r="AE2825" s="6"/>
      <c r="AF2825" s="6"/>
      <c r="AG2825" s="6"/>
      <c r="AH2825" s="6"/>
      <c r="AI2825" s="6"/>
      <c r="AJ2825" s="6"/>
      <c r="AK2825" s="6"/>
      <c r="AL2825" s="6"/>
      <c r="AM2825" s="6"/>
    </row>
    <row r="2826">
      <c r="A2826" s="6"/>
      <c r="B2826" s="6"/>
      <c r="C2826" s="6"/>
      <c r="D2826" s="6"/>
      <c r="E2826" s="6"/>
      <c r="F2826" s="6"/>
      <c r="G2826" s="6"/>
      <c r="H2826" s="6"/>
      <c r="I2826" s="6"/>
      <c r="J2826" s="6"/>
      <c r="K2826" s="6"/>
      <c r="L2826" s="6"/>
      <c r="M2826" s="6"/>
      <c r="N2826" s="6"/>
      <c r="O2826" s="6"/>
      <c r="P2826" s="6"/>
      <c r="Q2826" s="6"/>
      <c r="R2826" s="6"/>
      <c r="S2826" s="6"/>
      <c r="T2826" s="6"/>
      <c r="U2826" s="6"/>
      <c r="V2826" s="6"/>
      <c r="W2826" s="6"/>
      <c r="X2826" s="6"/>
      <c r="Y2826" s="6"/>
      <c r="Z2826" s="6"/>
      <c r="AA2826" s="6"/>
      <c r="AB2826" s="6"/>
      <c r="AC2826" s="6"/>
      <c r="AD2826" s="6"/>
      <c r="AE2826" s="6"/>
      <c r="AF2826" s="6"/>
      <c r="AG2826" s="6"/>
      <c r="AH2826" s="6"/>
      <c r="AI2826" s="6"/>
      <c r="AJ2826" s="6"/>
      <c r="AK2826" s="6"/>
      <c r="AL2826" s="6"/>
      <c r="AM2826" s="6"/>
    </row>
    <row r="2827">
      <c r="A2827" s="6"/>
      <c r="B2827" s="6"/>
      <c r="C2827" s="6"/>
      <c r="D2827" s="6"/>
      <c r="E2827" s="6"/>
      <c r="F2827" s="6"/>
      <c r="G2827" s="6"/>
      <c r="H2827" s="6"/>
      <c r="I2827" s="6"/>
      <c r="J2827" s="6"/>
      <c r="K2827" s="6"/>
      <c r="L2827" s="6"/>
      <c r="M2827" s="6"/>
      <c r="N2827" s="6"/>
      <c r="O2827" s="6"/>
      <c r="P2827" s="6"/>
      <c r="Q2827" s="6"/>
      <c r="R2827" s="6"/>
      <c r="S2827" s="6"/>
      <c r="T2827" s="6"/>
      <c r="U2827" s="6"/>
      <c r="V2827" s="6"/>
      <c r="W2827" s="6"/>
      <c r="X2827" s="6"/>
      <c r="Y2827" s="6"/>
      <c r="Z2827" s="6"/>
      <c r="AA2827" s="6"/>
      <c r="AB2827" s="6"/>
      <c r="AC2827" s="6"/>
      <c r="AD2827" s="6"/>
      <c r="AE2827" s="6"/>
      <c r="AF2827" s="6"/>
      <c r="AG2827" s="6"/>
      <c r="AH2827" s="6"/>
      <c r="AI2827" s="6"/>
      <c r="AJ2827" s="6"/>
      <c r="AK2827" s="6"/>
      <c r="AL2827" s="6"/>
      <c r="AM2827" s="6"/>
    </row>
    <row r="2828">
      <c r="A2828" s="6"/>
      <c r="B2828" s="6"/>
      <c r="C2828" s="6"/>
      <c r="D2828" s="6"/>
      <c r="E2828" s="6"/>
      <c r="F2828" s="6"/>
      <c r="G2828" s="6"/>
      <c r="H2828" s="6"/>
      <c r="I2828" s="6"/>
      <c r="J2828" s="6"/>
      <c r="K2828" s="6"/>
      <c r="L2828" s="6"/>
      <c r="M2828" s="6"/>
      <c r="N2828" s="6"/>
      <c r="O2828" s="6"/>
      <c r="P2828" s="6"/>
      <c r="Q2828" s="6"/>
      <c r="R2828" s="6"/>
      <c r="S2828" s="6"/>
      <c r="T2828" s="6"/>
      <c r="U2828" s="6"/>
      <c r="V2828" s="6"/>
      <c r="W2828" s="6"/>
      <c r="X2828" s="6"/>
      <c r="Y2828" s="6"/>
      <c r="Z2828" s="6"/>
      <c r="AA2828" s="6"/>
      <c r="AB2828" s="6"/>
      <c r="AC2828" s="6"/>
      <c r="AD2828" s="6"/>
      <c r="AE2828" s="6"/>
      <c r="AF2828" s="6"/>
      <c r="AG2828" s="6"/>
      <c r="AH2828" s="6"/>
      <c r="AI2828" s="6"/>
      <c r="AJ2828" s="6"/>
      <c r="AK2828" s="6"/>
      <c r="AL2828" s="6"/>
      <c r="AM2828" s="6"/>
    </row>
    <row r="2829">
      <c r="A2829" s="6"/>
      <c r="B2829" s="6"/>
      <c r="C2829" s="6"/>
      <c r="D2829" s="6"/>
      <c r="E2829" s="6"/>
      <c r="F2829" s="6"/>
      <c r="G2829" s="6"/>
      <c r="H2829" s="6"/>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c r="AG2829" s="6"/>
      <c r="AH2829" s="6"/>
      <c r="AI2829" s="6"/>
      <c r="AJ2829" s="6"/>
      <c r="AK2829" s="6"/>
      <c r="AL2829" s="6"/>
      <c r="AM2829" s="6"/>
    </row>
    <row r="2830">
      <c r="A2830" s="6"/>
      <c r="B2830" s="6"/>
      <c r="C2830" s="6"/>
      <c r="D2830" s="6"/>
      <c r="E2830" s="6"/>
      <c r="F2830" s="6"/>
      <c r="G2830" s="6"/>
      <c r="H2830" s="6"/>
      <c r="I2830" s="6"/>
      <c r="J2830" s="6"/>
      <c r="K2830" s="6"/>
      <c r="L2830" s="6"/>
      <c r="M2830" s="6"/>
      <c r="N2830" s="6"/>
      <c r="O2830" s="6"/>
      <c r="P2830" s="6"/>
      <c r="Q2830" s="6"/>
      <c r="R2830" s="6"/>
      <c r="S2830" s="6"/>
      <c r="T2830" s="6"/>
      <c r="U2830" s="6"/>
      <c r="V2830" s="6"/>
      <c r="W2830" s="6"/>
      <c r="X2830" s="6"/>
      <c r="Y2830" s="6"/>
      <c r="Z2830" s="6"/>
      <c r="AA2830" s="6"/>
      <c r="AB2830" s="6"/>
      <c r="AC2830" s="6"/>
      <c r="AD2830" s="6"/>
      <c r="AE2830" s="6"/>
      <c r="AF2830" s="6"/>
      <c r="AG2830" s="6"/>
      <c r="AH2830" s="6"/>
      <c r="AI2830" s="6"/>
      <c r="AJ2830" s="6"/>
      <c r="AK2830" s="6"/>
      <c r="AL2830" s="6"/>
      <c r="AM2830" s="6"/>
    </row>
    <row r="2831">
      <c r="A2831" s="6"/>
      <c r="B2831" s="6"/>
      <c r="C2831" s="6"/>
      <c r="D2831" s="6"/>
      <c r="E2831" s="6"/>
      <c r="F2831" s="6"/>
      <c r="G2831" s="6"/>
      <c r="H2831" s="6"/>
      <c r="I2831" s="6"/>
      <c r="J2831" s="6"/>
      <c r="K2831" s="6"/>
      <c r="L2831" s="6"/>
      <c r="M2831" s="6"/>
      <c r="N2831" s="6"/>
      <c r="O2831" s="6"/>
      <c r="P2831" s="6"/>
      <c r="Q2831" s="6"/>
      <c r="R2831" s="6"/>
      <c r="S2831" s="6"/>
      <c r="T2831" s="6"/>
      <c r="U2831" s="6"/>
      <c r="V2831" s="6"/>
      <c r="W2831" s="6"/>
      <c r="X2831" s="6"/>
      <c r="Y2831" s="6"/>
      <c r="Z2831" s="6"/>
      <c r="AA2831" s="6"/>
      <c r="AB2831" s="6"/>
      <c r="AC2831" s="6"/>
      <c r="AD2831" s="6"/>
      <c r="AE2831" s="6"/>
      <c r="AF2831" s="6"/>
      <c r="AG2831" s="6"/>
      <c r="AH2831" s="6"/>
      <c r="AI2831" s="6"/>
      <c r="AJ2831" s="6"/>
      <c r="AK2831" s="6"/>
      <c r="AL2831" s="6"/>
      <c r="AM2831" s="6"/>
    </row>
    <row r="2832">
      <c r="A2832" s="6"/>
      <c r="B2832" s="6"/>
      <c r="C2832" s="6"/>
      <c r="D2832" s="6"/>
      <c r="E2832" s="6"/>
      <c r="F2832" s="6"/>
      <c r="G2832" s="6"/>
      <c r="H2832" s="6"/>
      <c r="I2832" s="6"/>
      <c r="J2832" s="6"/>
      <c r="K2832" s="6"/>
      <c r="L2832" s="6"/>
      <c r="M2832" s="6"/>
      <c r="N2832" s="6"/>
      <c r="O2832" s="6"/>
      <c r="P2832" s="6"/>
      <c r="Q2832" s="6"/>
      <c r="R2832" s="6"/>
      <c r="S2832" s="6"/>
      <c r="T2832" s="6"/>
      <c r="U2832" s="6"/>
      <c r="V2832" s="6"/>
      <c r="W2832" s="6"/>
      <c r="X2832" s="6"/>
      <c r="Y2832" s="6"/>
      <c r="Z2832" s="6"/>
      <c r="AA2832" s="6"/>
      <c r="AB2832" s="6"/>
      <c r="AC2832" s="6"/>
      <c r="AD2832" s="6"/>
      <c r="AE2832" s="6"/>
      <c r="AF2832" s="6"/>
      <c r="AG2832" s="6"/>
      <c r="AH2832" s="6"/>
      <c r="AI2832" s="6"/>
      <c r="AJ2832" s="6"/>
      <c r="AK2832" s="6"/>
      <c r="AL2832" s="6"/>
      <c r="AM2832" s="6"/>
    </row>
    <row r="2833">
      <c r="A2833" s="6"/>
      <c r="B2833" s="6"/>
      <c r="C2833" s="6"/>
      <c r="D2833" s="6"/>
      <c r="E2833" s="6"/>
      <c r="F2833" s="6"/>
      <c r="G2833" s="6"/>
      <c r="H2833" s="6"/>
      <c r="I2833" s="6"/>
      <c r="J2833" s="6"/>
      <c r="K2833" s="6"/>
      <c r="L2833" s="6"/>
      <c r="M2833" s="6"/>
      <c r="N2833" s="6"/>
      <c r="O2833" s="6"/>
      <c r="P2833" s="6"/>
      <c r="Q2833" s="6"/>
      <c r="R2833" s="6"/>
      <c r="S2833" s="6"/>
      <c r="T2833" s="6"/>
      <c r="U2833" s="6"/>
      <c r="V2833" s="6"/>
      <c r="W2833" s="6"/>
      <c r="X2833" s="6"/>
      <c r="Y2833" s="6"/>
      <c r="Z2833" s="6"/>
      <c r="AA2833" s="6"/>
      <c r="AB2833" s="6"/>
      <c r="AC2833" s="6"/>
      <c r="AD2833" s="6"/>
      <c r="AE2833" s="6"/>
      <c r="AF2833" s="6"/>
      <c r="AG2833" s="6"/>
      <c r="AH2833" s="6"/>
      <c r="AI2833" s="6"/>
      <c r="AJ2833" s="6"/>
      <c r="AK2833" s="6"/>
      <c r="AL2833" s="6"/>
      <c r="AM2833" s="6"/>
    </row>
    <row r="2834">
      <c r="A2834" s="6"/>
      <c r="B2834" s="6"/>
      <c r="C2834" s="6"/>
      <c r="D2834" s="6"/>
      <c r="E2834" s="6"/>
      <c r="F2834" s="6"/>
      <c r="G2834" s="6"/>
      <c r="H2834" s="6"/>
      <c r="I2834" s="6"/>
      <c r="J2834" s="6"/>
      <c r="K2834" s="6"/>
      <c r="L2834" s="6"/>
      <c r="M2834" s="6"/>
      <c r="N2834" s="6"/>
      <c r="O2834" s="6"/>
      <c r="P2834" s="6"/>
      <c r="Q2834" s="6"/>
      <c r="R2834" s="6"/>
      <c r="S2834" s="6"/>
      <c r="T2834" s="6"/>
      <c r="U2834" s="6"/>
      <c r="V2834" s="6"/>
      <c r="W2834" s="6"/>
      <c r="X2834" s="6"/>
      <c r="Y2834" s="6"/>
      <c r="Z2834" s="6"/>
      <c r="AA2834" s="6"/>
      <c r="AB2834" s="6"/>
      <c r="AC2834" s="6"/>
      <c r="AD2834" s="6"/>
      <c r="AE2834" s="6"/>
      <c r="AF2834" s="6"/>
      <c r="AG2834" s="6"/>
      <c r="AH2834" s="6"/>
      <c r="AI2834" s="6"/>
      <c r="AJ2834" s="6"/>
      <c r="AK2834" s="6"/>
      <c r="AL2834" s="6"/>
      <c r="AM2834" s="6"/>
    </row>
    <row r="2835">
      <c r="A2835" s="6"/>
      <c r="B2835" s="6"/>
      <c r="C2835" s="6"/>
      <c r="D2835" s="6"/>
      <c r="E2835" s="6"/>
      <c r="F2835" s="6"/>
      <c r="G2835" s="6"/>
      <c r="H2835" s="6"/>
      <c r="I2835" s="6"/>
      <c r="J2835" s="6"/>
      <c r="K2835" s="6"/>
      <c r="L2835" s="6"/>
      <c r="M2835" s="6"/>
      <c r="N2835" s="6"/>
      <c r="O2835" s="6"/>
      <c r="P2835" s="6"/>
      <c r="Q2835" s="6"/>
      <c r="R2835" s="6"/>
      <c r="S2835" s="6"/>
      <c r="T2835" s="6"/>
      <c r="U2835" s="6"/>
      <c r="V2835" s="6"/>
      <c r="W2835" s="6"/>
      <c r="X2835" s="6"/>
      <c r="Y2835" s="6"/>
      <c r="Z2835" s="6"/>
      <c r="AA2835" s="6"/>
      <c r="AB2835" s="6"/>
      <c r="AC2835" s="6"/>
      <c r="AD2835" s="6"/>
      <c r="AE2835" s="6"/>
      <c r="AF2835" s="6"/>
      <c r="AG2835" s="6"/>
      <c r="AH2835" s="6"/>
      <c r="AI2835" s="6"/>
      <c r="AJ2835" s="6"/>
      <c r="AK2835" s="6"/>
      <c r="AL2835" s="6"/>
      <c r="AM2835" s="6"/>
    </row>
    <row r="2836">
      <c r="A2836" s="6"/>
      <c r="B2836" s="6"/>
      <c r="C2836" s="6"/>
      <c r="D2836" s="6"/>
      <c r="E2836" s="6"/>
      <c r="F2836" s="6"/>
      <c r="G2836" s="6"/>
      <c r="H2836" s="6"/>
      <c r="I2836" s="6"/>
      <c r="J2836" s="6"/>
      <c r="K2836" s="6"/>
      <c r="L2836" s="6"/>
      <c r="M2836" s="6"/>
      <c r="N2836" s="6"/>
      <c r="O2836" s="6"/>
      <c r="P2836" s="6"/>
      <c r="Q2836" s="6"/>
      <c r="R2836" s="6"/>
      <c r="S2836" s="6"/>
      <c r="T2836" s="6"/>
      <c r="U2836" s="6"/>
      <c r="V2836" s="6"/>
      <c r="W2836" s="6"/>
      <c r="X2836" s="6"/>
      <c r="Y2836" s="6"/>
      <c r="Z2836" s="6"/>
      <c r="AA2836" s="6"/>
      <c r="AB2836" s="6"/>
      <c r="AC2836" s="6"/>
      <c r="AD2836" s="6"/>
      <c r="AE2836" s="6"/>
      <c r="AF2836" s="6"/>
      <c r="AG2836" s="6"/>
      <c r="AH2836" s="6"/>
      <c r="AI2836" s="6"/>
      <c r="AJ2836" s="6"/>
      <c r="AK2836" s="6"/>
      <c r="AL2836" s="6"/>
      <c r="AM2836" s="6"/>
    </row>
    <row r="2837">
      <c r="A2837" s="6"/>
      <c r="B2837" s="6"/>
      <c r="C2837" s="6"/>
      <c r="D2837" s="6"/>
      <c r="E2837" s="6"/>
      <c r="F2837" s="6"/>
      <c r="G2837" s="6"/>
      <c r="H2837" s="6"/>
      <c r="I2837" s="6"/>
      <c r="J2837" s="6"/>
      <c r="K2837" s="6"/>
      <c r="L2837" s="6"/>
      <c r="M2837" s="6"/>
      <c r="N2837" s="6"/>
      <c r="O2837" s="6"/>
      <c r="P2837" s="6"/>
      <c r="Q2837" s="6"/>
      <c r="R2837" s="6"/>
      <c r="S2837" s="6"/>
      <c r="T2837" s="6"/>
      <c r="U2837" s="6"/>
      <c r="V2837" s="6"/>
      <c r="W2837" s="6"/>
      <c r="X2837" s="6"/>
      <c r="Y2837" s="6"/>
      <c r="Z2837" s="6"/>
      <c r="AA2837" s="6"/>
      <c r="AB2837" s="6"/>
      <c r="AC2837" s="6"/>
      <c r="AD2837" s="6"/>
      <c r="AE2837" s="6"/>
      <c r="AF2837" s="6"/>
      <c r="AG2837" s="6"/>
      <c r="AH2837" s="6"/>
      <c r="AI2837" s="6"/>
      <c r="AJ2837" s="6"/>
      <c r="AK2837" s="6"/>
      <c r="AL2837" s="6"/>
      <c r="AM2837" s="6"/>
    </row>
    <row r="2838">
      <c r="A2838" s="6"/>
      <c r="B2838" s="6"/>
      <c r="C2838" s="6"/>
      <c r="D2838" s="6"/>
      <c r="E2838" s="6"/>
      <c r="F2838" s="6"/>
      <c r="G2838" s="6"/>
      <c r="H2838" s="6"/>
      <c r="I2838" s="6"/>
      <c r="J2838" s="6"/>
      <c r="K2838" s="6"/>
      <c r="L2838" s="6"/>
      <c r="M2838" s="6"/>
      <c r="N2838" s="6"/>
      <c r="O2838" s="6"/>
      <c r="P2838" s="6"/>
      <c r="Q2838" s="6"/>
      <c r="R2838" s="6"/>
      <c r="S2838" s="6"/>
      <c r="T2838" s="6"/>
      <c r="U2838" s="6"/>
      <c r="V2838" s="6"/>
      <c r="W2838" s="6"/>
      <c r="X2838" s="6"/>
      <c r="Y2838" s="6"/>
      <c r="Z2838" s="6"/>
      <c r="AA2838" s="6"/>
      <c r="AB2838" s="6"/>
      <c r="AC2838" s="6"/>
      <c r="AD2838" s="6"/>
      <c r="AE2838" s="6"/>
      <c r="AF2838" s="6"/>
      <c r="AG2838" s="6"/>
      <c r="AH2838" s="6"/>
      <c r="AI2838" s="6"/>
      <c r="AJ2838" s="6"/>
      <c r="AK2838" s="6"/>
      <c r="AL2838" s="6"/>
      <c r="AM2838" s="6"/>
    </row>
    <row r="2839">
      <c r="A2839" s="6"/>
      <c r="B2839" s="6"/>
      <c r="C2839" s="6"/>
      <c r="D2839" s="6"/>
      <c r="E2839" s="6"/>
      <c r="F2839" s="6"/>
      <c r="G2839" s="6"/>
      <c r="H2839" s="6"/>
      <c r="I2839" s="6"/>
      <c r="J2839" s="6"/>
      <c r="K2839" s="6"/>
      <c r="L2839" s="6"/>
      <c r="M2839" s="6"/>
      <c r="N2839" s="6"/>
      <c r="O2839" s="6"/>
      <c r="P2839" s="6"/>
      <c r="Q2839" s="6"/>
      <c r="R2839" s="6"/>
      <c r="S2839" s="6"/>
      <c r="T2839" s="6"/>
      <c r="U2839" s="6"/>
      <c r="V2839" s="6"/>
      <c r="W2839" s="6"/>
      <c r="X2839" s="6"/>
      <c r="Y2839" s="6"/>
      <c r="Z2839" s="6"/>
      <c r="AA2839" s="6"/>
      <c r="AB2839" s="6"/>
      <c r="AC2839" s="6"/>
      <c r="AD2839" s="6"/>
      <c r="AE2839" s="6"/>
      <c r="AF2839" s="6"/>
      <c r="AG2839" s="6"/>
      <c r="AH2839" s="6"/>
      <c r="AI2839" s="6"/>
      <c r="AJ2839" s="6"/>
      <c r="AK2839" s="6"/>
      <c r="AL2839" s="6"/>
      <c r="AM2839" s="6"/>
    </row>
    <row r="2840">
      <c r="A2840" s="6"/>
      <c r="B2840" s="6"/>
      <c r="C2840" s="6"/>
      <c r="D2840" s="6"/>
      <c r="E2840" s="6"/>
      <c r="F2840" s="6"/>
      <c r="G2840" s="6"/>
      <c r="H2840" s="6"/>
      <c r="I2840" s="6"/>
      <c r="J2840" s="6"/>
      <c r="K2840" s="6"/>
      <c r="L2840" s="6"/>
      <c r="M2840" s="6"/>
      <c r="N2840" s="6"/>
      <c r="O2840" s="6"/>
      <c r="P2840" s="6"/>
      <c r="Q2840" s="6"/>
      <c r="R2840" s="6"/>
      <c r="S2840" s="6"/>
      <c r="T2840" s="6"/>
      <c r="U2840" s="6"/>
      <c r="V2840" s="6"/>
      <c r="W2840" s="6"/>
      <c r="X2840" s="6"/>
      <c r="Y2840" s="6"/>
      <c r="Z2840" s="6"/>
      <c r="AA2840" s="6"/>
      <c r="AB2840" s="6"/>
      <c r="AC2840" s="6"/>
      <c r="AD2840" s="6"/>
      <c r="AE2840" s="6"/>
      <c r="AF2840" s="6"/>
      <c r="AG2840" s="6"/>
      <c r="AH2840" s="6"/>
      <c r="AI2840" s="6"/>
      <c r="AJ2840" s="6"/>
      <c r="AK2840" s="6"/>
      <c r="AL2840" s="6"/>
      <c r="AM2840" s="6"/>
    </row>
    <row r="2841">
      <c r="A2841" s="6"/>
      <c r="B2841" s="6"/>
      <c r="C2841" s="6"/>
      <c r="D2841" s="6"/>
      <c r="E2841" s="6"/>
      <c r="F2841" s="6"/>
      <c r="G2841" s="6"/>
      <c r="H2841" s="6"/>
      <c r="I2841" s="6"/>
      <c r="J2841" s="6"/>
      <c r="K2841" s="6"/>
      <c r="L2841" s="6"/>
      <c r="M2841" s="6"/>
      <c r="N2841" s="6"/>
      <c r="O2841" s="6"/>
      <c r="P2841" s="6"/>
      <c r="Q2841" s="6"/>
      <c r="R2841" s="6"/>
      <c r="S2841" s="6"/>
      <c r="T2841" s="6"/>
      <c r="U2841" s="6"/>
      <c r="V2841" s="6"/>
      <c r="W2841" s="6"/>
      <c r="X2841" s="6"/>
      <c r="Y2841" s="6"/>
      <c r="Z2841" s="6"/>
      <c r="AA2841" s="6"/>
      <c r="AB2841" s="6"/>
      <c r="AC2841" s="6"/>
      <c r="AD2841" s="6"/>
      <c r="AE2841" s="6"/>
      <c r="AF2841" s="6"/>
      <c r="AG2841" s="6"/>
      <c r="AH2841" s="6"/>
      <c r="AI2841" s="6"/>
      <c r="AJ2841" s="6"/>
      <c r="AK2841" s="6"/>
      <c r="AL2841" s="6"/>
      <c r="AM2841" s="6"/>
    </row>
    <row r="2842">
      <c r="A2842" s="6"/>
      <c r="B2842" s="6"/>
      <c r="C2842" s="6"/>
      <c r="D2842" s="6"/>
      <c r="E2842" s="6"/>
      <c r="F2842" s="6"/>
      <c r="G2842" s="6"/>
      <c r="H2842" s="6"/>
      <c r="I2842" s="6"/>
      <c r="J2842" s="6"/>
      <c r="K2842" s="6"/>
      <c r="L2842" s="6"/>
      <c r="M2842" s="6"/>
      <c r="N2842" s="6"/>
      <c r="O2842" s="6"/>
      <c r="P2842" s="6"/>
      <c r="Q2842" s="6"/>
      <c r="R2842" s="6"/>
      <c r="S2842" s="6"/>
      <c r="T2842" s="6"/>
      <c r="U2842" s="6"/>
      <c r="V2842" s="6"/>
      <c r="W2842" s="6"/>
      <c r="X2842" s="6"/>
      <c r="Y2842" s="6"/>
      <c r="Z2842" s="6"/>
      <c r="AA2842" s="6"/>
      <c r="AB2842" s="6"/>
      <c r="AC2842" s="6"/>
      <c r="AD2842" s="6"/>
      <c r="AE2842" s="6"/>
      <c r="AF2842" s="6"/>
      <c r="AG2842" s="6"/>
      <c r="AH2842" s="6"/>
      <c r="AI2842" s="6"/>
      <c r="AJ2842" s="6"/>
      <c r="AK2842" s="6"/>
      <c r="AL2842" s="6"/>
      <c r="AM2842" s="6"/>
    </row>
    <row r="2843">
      <c r="A2843" s="6"/>
      <c r="B2843" s="6"/>
      <c r="C2843" s="6"/>
      <c r="D2843" s="6"/>
      <c r="E2843" s="6"/>
      <c r="F2843" s="6"/>
      <c r="G2843" s="6"/>
      <c r="H2843" s="6"/>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c r="AG2843" s="6"/>
      <c r="AH2843" s="6"/>
      <c r="AI2843" s="6"/>
      <c r="AJ2843" s="6"/>
      <c r="AK2843" s="6"/>
      <c r="AL2843" s="6"/>
      <c r="AM2843" s="6"/>
    </row>
    <row r="2844">
      <c r="A2844" s="6"/>
      <c r="B2844" s="6"/>
      <c r="C2844" s="6"/>
      <c r="D2844" s="6"/>
      <c r="E2844" s="6"/>
      <c r="F2844" s="6"/>
      <c r="G2844" s="6"/>
      <c r="H2844" s="6"/>
      <c r="I2844" s="6"/>
      <c r="J2844" s="6"/>
      <c r="K2844" s="6"/>
      <c r="L2844" s="6"/>
      <c r="M2844" s="6"/>
      <c r="N2844" s="6"/>
      <c r="O2844" s="6"/>
      <c r="P2844" s="6"/>
      <c r="Q2844" s="6"/>
      <c r="R2844" s="6"/>
      <c r="S2844" s="6"/>
      <c r="T2844" s="6"/>
      <c r="U2844" s="6"/>
      <c r="V2844" s="6"/>
      <c r="W2844" s="6"/>
      <c r="X2844" s="6"/>
      <c r="Y2844" s="6"/>
      <c r="Z2844" s="6"/>
      <c r="AA2844" s="6"/>
      <c r="AB2844" s="6"/>
      <c r="AC2844" s="6"/>
      <c r="AD2844" s="6"/>
      <c r="AE2844" s="6"/>
      <c r="AF2844" s="6"/>
      <c r="AG2844" s="6"/>
      <c r="AH2844" s="6"/>
      <c r="AI2844" s="6"/>
      <c r="AJ2844" s="6"/>
      <c r="AK2844" s="6"/>
      <c r="AL2844" s="6"/>
      <c r="AM2844" s="6"/>
    </row>
    <row r="2845">
      <c r="A2845" s="6"/>
      <c r="B2845" s="6"/>
      <c r="C2845" s="6"/>
      <c r="D2845" s="6"/>
      <c r="E2845" s="6"/>
      <c r="F2845" s="6"/>
      <c r="G2845" s="6"/>
      <c r="H2845" s="6"/>
      <c r="I2845" s="6"/>
      <c r="J2845" s="6"/>
      <c r="K2845" s="6"/>
      <c r="L2845" s="6"/>
      <c r="M2845" s="6"/>
      <c r="N2845" s="6"/>
      <c r="O2845" s="6"/>
      <c r="P2845" s="6"/>
      <c r="Q2845" s="6"/>
      <c r="R2845" s="6"/>
      <c r="S2845" s="6"/>
      <c r="T2845" s="6"/>
      <c r="U2845" s="6"/>
      <c r="V2845" s="6"/>
      <c r="W2845" s="6"/>
      <c r="X2845" s="6"/>
      <c r="Y2845" s="6"/>
      <c r="Z2845" s="6"/>
      <c r="AA2845" s="6"/>
      <c r="AB2845" s="6"/>
      <c r="AC2845" s="6"/>
      <c r="AD2845" s="6"/>
      <c r="AE2845" s="6"/>
      <c r="AF2845" s="6"/>
      <c r="AG2845" s="6"/>
      <c r="AH2845" s="6"/>
      <c r="AI2845" s="6"/>
      <c r="AJ2845" s="6"/>
      <c r="AK2845" s="6"/>
      <c r="AL2845" s="6"/>
      <c r="AM2845" s="6"/>
    </row>
    <row r="2846">
      <c r="A2846" s="6"/>
      <c r="B2846" s="6"/>
      <c r="C2846" s="6"/>
      <c r="D2846" s="6"/>
      <c r="E2846" s="6"/>
      <c r="F2846" s="6"/>
      <c r="G2846" s="6"/>
      <c r="H2846" s="6"/>
      <c r="I2846" s="6"/>
      <c r="J2846" s="6"/>
      <c r="K2846" s="6"/>
      <c r="L2846" s="6"/>
      <c r="M2846" s="6"/>
      <c r="N2846" s="6"/>
      <c r="O2846" s="6"/>
      <c r="P2846" s="6"/>
      <c r="Q2846" s="6"/>
      <c r="R2846" s="6"/>
      <c r="S2846" s="6"/>
      <c r="T2846" s="6"/>
      <c r="U2846" s="6"/>
      <c r="V2846" s="6"/>
      <c r="W2846" s="6"/>
      <c r="X2846" s="6"/>
      <c r="Y2846" s="6"/>
      <c r="Z2846" s="6"/>
      <c r="AA2846" s="6"/>
      <c r="AB2846" s="6"/>
      <c r="AC2846" s="6"/>
      <c r="AD2846" s="6"/>
      <c r="AE2846" s="6"/>
      <c r="AF2846" s="6"/>
      <c r="AG2846" s="6"/>
      <c r="AH2846" s="6"/>
      <c r="AI2846" s="6"/>
      <c r="AJ2846" s="6"/>
      <c r="AK2846" s="6"/>
      <c r="AL2846" s="6"/>
      <c r="AM2846" s="6"/>
    </row>
    <row r="2847">
      <c r="A2847" s="6"/>
      <c r="B2847" s="6"/>
      <c r="C2847" s="6"/>
      <c r="D2847" s="6"/>
      <c r="E2847" s="6"/>
      <c r="F2847" s="6"/>
      <c r="G2847" s="6"/>
      <c r="H2847" s="6"/>
      <c r="I2847" s="6"/>
      <c r="J2847" s="6"/>
      <c r="K2847" s="6"/>
      <c r="L2847" s="6"/>
      <c r="M2847" s="6"/>
      <c r="N2847" s="6"/>
      <c r="O2847" s="6"/>
      <c r="P2847" s="6"/>
      <c r="Q2847" s="6"/>
      <c r="R2847" s="6"/>
      <c r="S2847" s="6"/>
      <c r="T2847" s="6"/>
      <c r="U2847" s="6"/>
      <c r="V2847" s="6"/>
      <c r="W2847" s="6"/>
      <c r="X2847" s="6"/>
      <c r="Y2847" s="6"/>
      <c r="Z2847" s="6"/>
      <c r="AA2847" s="6"/>
      <c r="AB2847" s="6"/>
      <c r="AC2847" s="6"/>
      <c r="AD2847" s="6"/>
      <c r="AE2847" s="6"/>
      <c r="AF2847" s="6"/>
      <c r="AG2847" s="6"/>
      <c r="AH2847" s="6"/>
      <c r="AI2847" s="6"/>
      <c r="AJ2847" s="6"/>
      <c r="AK2847" s="6"/>
      <c r="AL2847" s="6"/>
      <c r="AM2847" s="6"/>
    </row>
    <row r="2848">
      <c r="A2848" s="6"/>
      <c r="B2848" s="6"/>
      <c r="C2848" s="6"/>
      <c r="D2848" s="6"/>
      <c r="E2848" s="6"/>
      <c r="F2848" s="6"/>
      <c r="G2848" s="6"/>
      <c r="H2848" s="6"/>
      <c r="I2848" s="6"/>
      <c r="J2848" s="6"/>
      <c r="K2848" s="6"/>
      <c r="L2848" s="6"/>
      <c r="M2848" s="6"/>
      <c r="N2848" s="6"/>
      <c r="O2848" s="6"/>
      <c r="P2848" s="6"/>
      <c r="Q2848" s="6"/>
      <c r="R2848" s="6"/>
      <c r="S2848" s="6"/>
      <c r="T2848" s="6"/>
      <c r="U2848" s="6"/>
      <c r="V2848" s="6"/>
      <c r="W2848" s="6"/>
      <c r="X2848" s="6"/>
      <c r="Y2848" s="6"/>
      <c r="Z2848" s="6"/>
      <c r="AA2848" s="6"/>
      <c r="AB2848" s="6"/>
      <c r="AC2848" s="6"/>
      <c r="AD2848" s="6"/>
      <c r="AE2848" s="6"/>
      <c r="AF2848" s="6"/>
      <c r="AG2848" s="6"/>
      <c r="AH2848" s="6"/>
      <c r="AI2848" s="6"/>
      <c r="AJ2848" s="6"/>
      <c r="AK2848" s="6"/>
      <c r="AL2848" s="6"/>
      <c r="AM2848" s="6"/>
    </row>
    <row r="2849">
      <c r="A2849" s="6"/>
      <c r="B2849" s="6"/>
      <c r="C2849" s="6"/>
      <c r="D2849" s="6"/>
      <c r="E2849" s="6"/>
      <c r="F2849" s="6"/>
      <c r="G2849" s="6"/>
      <c r="H2849" s="6"/>
      <c r="I2849" s="6"/>
      <c r="J2849" s="6"/>
      <c r="K2849" s="6"/>
      <c r="L2849" s="6"/>
      <c r="M2849" s="6"/>
      <c r="N2849" s="6"/>
      <c r="O2849" s="6"/>
      <c r="P2849" s="6"/>
      <c r="Q2849" s="6"/>
      <c r="R2849" s="6"/>
      <c r="S2849" s="6"/>
      <c r="T2849" s="6"/>
      <c r="U2849" s="6"/>
      <c r="V2849" s="6"/>
      <c r="W2849" s="6"/>
      <c r="X2849" s="6"/>
      <c r="Y2849" s="6"/>
      <c r="Z2849" s="6"/>
      <c r="AA2849" s="6"/>
      <c r="AB2849" s="6"/>
      <c r="AC2849" s="6"/>
      <c r="AD2849" s="6"/>
      <c r="AE2849" s="6"/>
      <c r="AF2849" s="6"/>
      <c r="AG2849" s="6"/>
      <c r="AH2849" s="6"/>
      <c r="AI2849" s="6"/>
      <c r="AJ2849" s="6"/>
      <c r="AK2849" s="6"/>
      <c r="AL2849" s="6"/>
      <c r="AM2849" s="6"/>
    </row>
    <row r="2850">
      <c r="A2850" s="6"/>
      <c r="B2850" s="6"/>
      <c r="C2850" s="6"/>
      <c r="D2850" s="6"/>
      <c r="E2850" s="6"/>
      <c r="F2850" s="6"/>
      <c r="G2850" s="6"/>
      <c r="H2850" s="6"/>
      <c r="I2850" s="6"/>
      <c r="J2850" s="6"/>
      <c r="K2850" s="6"/>
      <c r="L2850" s="6"/>
      <c r="M2850" s="6"/>
      <c r="N2850" s="6"/>
      <c r="O2850" s="6"/>
      <c r="P2850" s="6"/>
      <c r="Q2850" s="6"/>
      <c r="R2850" s="6"/>
      <c r="S2850" s="6"/>
      <c r="T2850" s="6"/>
      <c r="U2850" s="6"/>
      <c r="V2850" s="6"/>
      <c r="W2850" s="6"/>
      <c r="X2850" s="6"/>
      <c r="Y2850" s="6"/>
      <c r="Z2850" s="6"/>
      <c r="AA2850" s="6"/>
      <c r="AB2850" s="6"/>
      <c r="AC2850" s="6"/>
      <c r="AD2850" s="6"/>
      <c r="AE2850" s="6"/>
      <c r="AF2850" s="6"/>
      <c r="AG2850" s="6"/>
      <c r="AH2850" s="6"/>
      <c r="AI2850" s="6"/>
      <c r="AJ2850" s="6"/>
      <c r="AK2850" s="6"/>
      <c r="AL2850" s="6"/>
      <c r="AM2850" s="6"/>
    </row>
    <row r="2851">
      <c r="A2851" s="6"/>
      <c r="B2851" s="6"/>
      <c r="C2851" s="6"/>
      <c r="D2851" s="6"/>
      <c r="E2851" s="6"/>
      <c r="F2851" s="6"/>
      <c r="G2851" s="6"/>
      <c r="H2851" s="6"/>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c r="AG2851" s="6"/>
      <c r="AH2851" s="6"/>
      <c r="AI2851" s="6"/>
      <c r="AJ2851" s="6"/>
      <c r="AK2851" s="6"/>
      <c r="AL2851" s="6"/>
      <c r="AM2851" s="6"/>
    </row>
    <row r="2852">
      <c r="A2852" s="6"/>
      <c r="B2852" s="6"/>
      <c r="C2852" s="6"/>
      <c r="D2852" s="6"/>
      <c r="E2852" s="6"/>
      <c r="F2852" s="6"/>
      <c r="G2852" s="6"/>
      <c r="H2852" s="6"/>
      <c r="I2852" s="6"/>
      <c r="J2852" s="6"/>
      <c r="K2852" s="6"/>
      <c r="L2852" s="6"/>
      <c r="M2852" s="6"/>
      <c r="N2852" s="6"/>
      <c r="O2852" s="6"/>
      <c r="P2852" s="6"/>
      <c r="Q2852" s="6"/>
      <c r="R2852" s="6"/>
      <c r="S2852" s="6"/>
      <c r="T2852" s="6"/>
      <c r="U2852" s="6"/>
      <c r="V2852" s="6"/>
      <c r="W2852" s="6"/>
      <c r="X2852" s="6"/>
      <c r="Y2852" s="6"/>
      <c r="Z2852" s="6"/>
      <c r="AA2852" s="6"/>
      <c r="AB2852" s="6"/>
      <c r="AC2852" s="6"/>
      <c r="AD2852" s="6"/>
      <c r="AE2852" s="6"/>
      <c r="AF2852" s="6"/>
      <c r="AG2852" s="6"/>
      <c r="AH2852" s="6"/>
      <c r="AI2852" s="6"/>
      <c r="AJ2852" s="6"/>
      <c r="AK2852" s="6"/>
      <c r="AL2852" s="6"/>
      <c r="AM2852" s="6"/>
    </row>
    <row r="2853">
      <c r="A2853" s="6"/>
      <c r="B2853" s="6"/>
      <c r="C2853" s="6"/>
      <c r="D2853" s="6"/>
      <c r="E2853" s="6"/>
      <c r="F2853" s="6"/>
      <c r="G2853" s="6"/>
      <c r="H2853" s="6"/>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c r="AG2853" s="6"/>
      <c r="AH2853" s="6"/>
      <c r="AI2853" s="6"/>
      <c r="AJ2853" s="6"/>
      <c r="AK2853" s="6"/>
      <c r="AL2853" s="6"/>
      <c r="AM2853" s="6"/>
    </row>
    <row r="2854">
      <c r="A2854" s="6"/>
      <c r="B2854" s="6"/>
      <c r="C2854" s="6"/>
      <c r="D2854" s="6"/>
      <c r="E2854" s="6"/>
      <c r="F2854" s="6"/>
      <c r="G2854" s="6"/>
      <c r="H2854" s="6"/>
      <c r="I2854" s="6"/>
      <c r="J2854" s="6"/>
      <c r="K2854" s="6"/>
      <c r="L2854" s="6"/>
      <c r="M2854" s="6"/>
      <c r="N2854" s="6"/>
      <c r="O2854" s="6"/>
      <c r="P2854" s="6"/>
      <c r="Q2854" s="6"/>
      <c r="R2854" s="6"/>
      <c r="S2854" s="6"/>
      <c r="T2854" s="6"/>
      <c r="U2854" s="6"/>
      <c r="V2854" s="6"/>
      <c r="W2854" s="6"/>
      <c r="X2854" s="6"/>
      <c r="Y2854" s="6"/>
      <c r="Z2854" s="6"/>
      <c r="AA2854" s="6"/>
      <c r="AB2854" s="6"/>
      <c r="AC2854" s="6"/>
      <c r="AD2854" s="6"/>
      <c r="AE2854" s="6"/>
      <c r="AF2854" s="6"/>
      <c r="AG2854" s="6"/>
      <c r="AH2854" s="6"/>
      <c r="AI2854" s="6"/>
      <c r="AJ2854" s="6"/>
      <c r="AK2854" s="6"/>
      <c r="AL2854" s="6"/>
      <c r="AM2854" s="6"/>
    </row>
    <row r="2855">
      <c r="A2855" s="6"/>
      <c r="B2855" s="6"/>
      <c r="C2855" s="6"/>
      <c r="D2855" s="6"/>
      <c r="E2855" s="6"/>
      <c r="F2855" s="6"/>
      <c r="G2855" s="6"/>
      <c r="H2855" s="6"/>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c r="AG2855" s="6"/>
      <c r="AH2855" s="6"/>
      <c r="AI2855" s="6"/>
      <c r="AJ2855" s="6"/>
      <c r="AK2855" s="6"/>
      <c r="AL2855" s="6"/>
      <c r="AM2855" s="6"/>
    </row>
    <row r="2856">
      <c r="A2856" s="6"/>
      <c r="B2856" s="6"/>
      <c r="C2856" s="6"/>
      <c r="D2856" s="6"/>
      <c r="E2856" s="6"/>
      <c r="F2856" s="6"/>
      <c r="G2856" s="6"/>
      <c r="H2856" s="6"/>
      <c r="I2856" s="6"/>
      <c r="J2856" s="6"/>
      <c r="K2856" s="6"/>
      <c r="L2856" s="6"/>
      <c r="M2856" s="6"/>
      <c r="N2856" s="6"/>
      <c r="O2856" s="6"/>
      <c r="P2856" s="6"/>
      <c r="Q2856" s="6"/>
      <c r="R2856" s="6"/>
      <c r="S2856" s="6"/>
      <c r="T2856" s="6"/>
      <c r="U2856" s="6"/>
      <c r="V2856" s="6"/>
      <c r="W2856" s="6"/>
      <c r="X2856" s="6"/>
      <c r="Y2856" s="6"/>
      <c r="Z2856" s="6"/>
      <c r="AA2856" s="6"/>
      <c r="AB2856" s="6"/>
      <c r="AC2856" s="6"/>
      <c r="AD2856" s="6"/>
      <c r="AE2856" s="6"/>
      <c r="AF2856" s="6"/>
      <c r="AG2856" s="6"/>
      <c r="AH2856" s="6"/>
      <c r="AI2856" s="6"/>
      <c r="AJ2856" s="6"/>
      <c r="AK2856" s="6"/>
      <c r="AL2856" s="6"/>
      <c r="AM2856" s="6"/>
    </row>
    <row r="2857">
      <c r="A2857" s="6"/>
      <c r="B2857" s="6"/>
      <c r="C2857" s="6"/>
      <c r="D2857" s="6"/>
      <c r="E2857" s="6"/>
      <c r="F2857" s="6"/>
      <c r="G2857" s="6"/>
      <c r="H2857" s="6"/>
      <c r="I2857" s="6"/>
      <c r="J2857" s="6"/>
      <c r="K2857" s="6"/>
      <c r="L2857" s="6"/>
      <c r="M2857" s="6"/>
      <c r="N2857" s="6"/>
      <c r="O2857" s="6"/>
      <c r="P2857" s="6"/>
      <c r="Q2857" s="6"/>
      <c r="R2857" s="6"/>
      <c r="S2857" s="6"/>
      <c r="T2857" s="6"/>
      <c r="U2857" s="6"/>
      <c r="V2857" s="6"/>
      <c r="W2857" s="6"/>
      <c r="X2857" s="6"/>
      <c r="Y2857" s="6"/>
      <c r="Z2857" s="6"/>
      <c r="AA2857" s="6"/>
      <c r="AB2857" s="6"/>
      <c r="AC2857" s="6"/>
      <c r="AD2857" s="6"/>
      <c r="AE2857" s="6"/>
      <c r="AF2857" s="6"/>
      <c r="AG2857" s="6"/>
      <c r="AH2857" s="6"/>
      <c r="AI2857" s="6"/>
      <c r="AJ2857" s="6"/>
      <c r="AK2857" s="6"/>
      <c r="AL2857" s="6"/>
      <c r="AM2857" s="6"/>
    </row>
    <row r="2858">
      <c r="A2858" s="6"/>
      <c r="B2858" s="6"/>
      <c r="C2858" s="6"/>
      <c r="D2858" s="6"/>
      <c r="E2858" s="6"/>
      <c r="F2858" s="6"/>
      <c r="G2858" s="6"/>
      <c r="H2858" s="6"/>
      <c r="I2858" s="6"/>
      <c r="J2858" s="6"/>
      <c r="K2858" s="6"/>
      <c r="L2858" s="6"/>
      <c r="M2858" s="6"/>
      <c r="N2858" s="6"/>
      <c r="O2858" s="6"/>
      <c r="P2858" s="6"/>
      <c r="Q2858" s="6"/>
      <c r="R2858" s="6"/>
      <c r="S2858" s="6"/>
      <c r="T2858" s="6"/>
      <c r="U2858" s="6"/>
      <c r="V2858" s="6"/>
      <c r="W2858" s="6"/>
      <c r="X2858" s="6"/>
      <c r="Y2858" s="6"/>
      <c r="Z2858" s="6"/>
      <c r="AA2858" s="6"/>
      <c r="AB2858" s="6"/>
      <c r="AC2858" s="6"/>
      <c r="AD2858" s="6"/>
      <c r="AE2858" s="6"/>
      <c r="AF2858" s="6"/>
      <c r="AG2858" s="6"/>
      <c r="AH2858" s="6"/>
      <c r="AI2858" s="6"/>
      <c r="AJ2858" s="6"/>
      <c r="AK2858" s="6"/>
      <c r="AL2858" s="6"/>
      <c r="AM2858" s="6"/>
    </row>
    <row r="2859">
      <c r="A2859" s="6"/>
      <c r="B2859" s="6"/>
      <c r="C2859" s="6"/>
      <c r="D2859" s="6"/>
      <c r="E2859" s="6"/>
      <c r="F2859" s="6"/>
      <c r="G2859" s="6"/>
      <c r="H2859" s="6"/>
      <c r="I2859" s="6"/>
      <c r="J2859" s="6"/>
      <c r="K2859" s="6"/>
      <c r="L2859" s="6"/>
      <c r="M2859" s="6"/>
      <c r="N2859" s="6"/>
      <c r="O2859" s="6"/>
      <c r="P2859" s="6"/>
      <c r="Q2859" s="6"/>
      <c r="R2859" s="6"/>
      <c r="S2859" s="6"/>
      <c r="T2859" s="6"/>
      <c r="U2859" s="6"/>
      <c r="V2859" s="6"/>
      <c r="W2859" s="6"/>
      <c r="X2859" s="6"/>
      <c r="Y2859" s="6"/>
      <c r="Z2859" s="6"/>
      <c r="AA2859" s="6"/>
      <c r="AB2859" s="6"/>
      <c r="AC2859" s="6"/>
      <c r="AD2859" s="6"/>
      <c r="AE2859" s="6"/>
      <c r="AF2859" s="6"/>
      <c r="AG2859" s="6"/>
      <c r="AH2859" s="6"/>
      <c r="AI2859" s="6"/>
      <c r="AJ2859" s="6"/>
      <c r="AK2859" s="6"/>
      <c r="AL2859" s="6"/>
      <c r="AM2859" s="6"/>
    </row>
    <row r="2860">
      <c r="A2860" s="6"/>
      <c r="B2860" s="6"/>
      <c r="C2860" s="6"/>
      <c r="D2860" s="6"/>
      <c r="E2860" s="6"/>
      <c r="F2860" s="6"/>
      <c r="G2860" s="6"/>
      <c r="H2860" s="6"/>
      <c r="I2860" s="6"/>
      <c r="J2860" s="6"/>
      <c r="K2860" s="6"/>
      <c r="L2860" s="6"/>
      <c r="M2860" s="6"/>
      <c r="N2860" s="6"/>
      <c r="O2860" s="6"/>
      <c r="P2860" s="6"/>
      <c r="Q2860" s="6"/>
      <c r="R2860" s="6"/>
      <c r="S2860" s="6"/>
      <c r="T2860" s="6"/>
      <c r="U2860" s="6"/>
      <c r="V2860" s="6"/>
      <c r="W2860" s="6"/>
      <c r="X2860" s="6"/>
      <c r="Y2860" s="6"/>
      <c r="Z2860" s="6"/>
      <c r="AA2860" s="6"/>
      <c r="AB2860" s="6"/>
      <c r="AC2860" s="6"/>
      <c r="AD2860" s="6"/>
      <c r="AE2860" s="6"/>
      <c r="AF2860" s="6"/>
      <c r="AG2860" s="6"/>
      <c r="AH2860" s="6"/>
      <c r="AI2860" s="6"/>
      <c r="AJ2860" s="6"/>
      <c r="AK2860" s="6"/>
      <c r="AL2860" s="6"/>
      <c r="AM2860" s="6"/>
    </row>
    <row r="2861">
      <c r="A2861" s="6"/>
      <c r="B2861" s="6"/>
      <c r="C2861" s="6"/>
      <c r="D2861" s="6"/>
      <c r="E2861" s="6"/>
      <c r="F2861" s="6"/>
      <c r="G2861" s="6"/>
      <c r="H2861" s="6"/>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c r="AG2861" s="6"/>
      <c r="AH2861" s="6"/>
      <c r="AI2861" s="6"/>
      <c r="AJ2861" s="6"/>
      <c r="AK2861" s="6"/>
      <c r="AL2861" s="6"/>
      <c r="AM2861" s="6"/>
    </row>
    <row r="2862">
      <c r="A2862" s="6"/>
      <c r="B2862" s="6"/>
      <c r="C2862" s="6"/>
      <c r="D2862" s="6"/>
      <c r="E2862" s="6"/>
      <c r="F2862" s="6"/>
      <c r="G2862" s="6"/>
      <c r="H2862" s="6"/>
      <c r="I2862" s="6"/>
      <c r="J2862" s="6"/>
      <c r="K2862" s="6"/>
      <c r="L2862" s="6"/>
      <c r="M2862" s="6"/>
      <c r="N2862" s="6"/>
      <c r="O2862" s="6"/>
      <c r="P2862" s="6"/>
      <c r="Q2862" s="6"/>
      <c r="R2862" s="6"/>
      <c r="S2862" s="6"/>
      <c r="T2862" s="6"/>
      <c r="U2862" s="6"/>
      <c r="V2862" s="6"/>
      <c r="W2862" s="6"/>
      <c r="X2862" s="6"/>
      <c r="Y2862" s="6"/>
      <c r="Z2862" s="6"/>
      <c r="AA2862" s="6"/>
      <c r="AB2862" s="6"/>
      <c r="AC2862" s="6"/>
      <c r="AD2862" s="6"/>
      <c r="AE2862" s="6"/>
      <c r="AF2862" s="6"/>
      <c r="AG2862" s="6"/>
      <c r="AH2862" s="6"/>
      <c r="AI2862" s="6"/>
      <c r="AJ2862" s="6"/>
      <c r="AK2862" s="6"/>
      <c r="AL2862" s="6"/>
      <c r="AM2862" s="6"/>
    </row>
    <row r="2863">
      <c r="A2863" s="6"/>
      <c r="B2863" s="6"/>
      <c r="C2863" s="6"/>
      <c r="D2863" s="6"/>
      <c r="E2863" s="6"/>
      <c r="F2863" s="6"/>
      <c r="G2863" s="6"/>
      <c r="H2863" s="6"/>
      <c r="I2863" s="6"/>
      <c r="J2863" s="6"/>
      <c r="K2863" s="6"/>
      <c r="L2863" s="6"/>
      <c r="M2863" s="6"/>
      <c r="N2863" s="6"/>
      <c r="O2863" s="6"/>
      <c r="P2863" s="6"/>
      <c r="Q2863" s="6"/>
      <c r="R2863" s="6"/>
      <c r="S2863" s="6"/>
      <c r="T2863" s="6"/>
      <c r="U2863" s="6"/>
      <c r="V2863" s="6"/>
      <c r="W2863" s="6"/>
      <c r="X2863" s="6"/>
      <c r="Y2863" s="6"/>
      <c r="Z2863" s="6"/>
      <c r="AA2863" s="6"/>
      <c r="AB2863" s="6"/>
      <c r="AC2863" s="6"/>
      <c r="AD2863" s="6"/>
      <c r="AE2863" s="6"/>
      <c r="AF2863" s="6"/>
      <c r="AG2863" s="6"/>
      <c r="AH2863" s="6"/>
      <c r="AI2863" s="6"/>
      <c r="AJ2863" s="6"/>
      <c r="AK2863" s="6"/>
      <c r="AL2863" s="6"/>
      <c r="AM2863" s="6"/>
    </row>
    <row r="2864">
      <c r="A2864" s="6"/>
      <c r="B2864" s="6"/>
      <c r="C2864" s="6"/>
      <c r="D2864" s="6"/>
      <c r="E2864" s="6"/>
      <c r="F2864" s="6"/>
      <c r="G2864" s="6"/>
      <c r="H2864" s="6"/>
      <c r="I2864" s="6"/>
      <c r="J2864" s="6"/>
      <c r="K2864" s="6"/>
      <c r="L2864" s="6"/>
      <c r="M2864" s="6"/>
      <c r="N2864" s="6"/>
      <c r="O2864" s="6"/>
      <c r="P2864" s="6"/>
      <c r="Q2864" s="6"/>
      <c r="R2864" s="6"/>
      <c r="S2864" s="6"/>
      <c r="T2864" s="6"/>
      <c r="U2864" s="6"/>
      <c r="V2864" s="6"/>
      <c r="W2864" s="6"/>
      <c r="X2864" s="6"/>
      <c r="Y2864" s="6"/>
      <c r="Z2864" s="6"/>
      <c r="AA2864" s="6"/>
      <c r="AB2864" s="6"/>
      <c r="AC2864" s="6"/>
      <c r="AD2864" s="6"/>
      <c r="AE2864" s="6"/>
      <c r="AF2864" s="6"/>
      <c r="AG2864" s="6"/>
      <c r="AH2864" s="6"/>
      <c r="AI2864" s="6"/>
      <c r="AJ2864" s="6"/>
      <c r="AK2864" s="6"/>
      <c r="AL2864" s="6"/>
      <c r="AM2864" s="6"/>
    </row>
    <row r="2865">
      <c r="A2865" s="6"/>
      <c r="B2865" s="6"/>
      <c r="C2865" s="6"/>
      <c r="D2865" s="6"/>
      <c r="E2865" s="6"/>
      <c r="F2865" s="6"/>
      <c r="G2865" s="6"/>
      <c r="H2865" s="6"/>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c r="AG2865" s="6"/>
      <c r="AH2865" s="6"/>
      <c r="AI2865" s="6"/>
      <c r="AJ2865" s="6"/>
      <c r="AK2865" s="6"/>
      <c r="AL2865" s="6"/>
      <c r="AM2865" s="6"/>
    </row>
    <row r="2866">
      <c r="A2866" s="6"/>
      <c r="B2866" s="6"/>
      <c r="C2866" s="6"/>
      <c r="D2866" s="6"/>
      <c r="E2866" s="6"/>
      <c r="F2866" s="6"/>
      <c r="G2866" s="6"/>
      <c r="H2866" s="6"/>
      <c r="I2866" s="6"/>
      <c r="J2866" s="6"/>
      <c r="K2866" s="6"/>
      <c r="L2866" s="6"/>
      <c r="M2866" s="6"/>
      <c r="N2866" s="6"/>
      <c r="O2866" s="6"/>
      <c r="P2866" s="6"/>
      <c r="Q2866" s="6"/>
      <c r="R2866" s="6"/>
      <c r="S2866" s="6"/>
      <c r="T2866" s="6"/>
      <c r="U2866" s="6"/>
      <c r="V2866" s="6"/>
      <c r="W2866" s="6"/>
      <c r="X2866" s="6"/>
      <c r="Y2866" s="6"/>
      <c r="Z2866" s="6"/>
      <c r="AA2866" s="6"/>
      <c r="AB2866" s="6"/>
      <c r="AC2866" s="6"/>
      <c r="AD2866" s="6"/>
      <c r="AE2866" s="6"/>
      <c r="AF2866" s="6"/>
      <c r="AG2866" s="6"/>
      <c r="AH2866" s="6"/>
      <c r="AI2866" s="6"/>
      <c r="AJ2866" s="6"/>
      <c r="AK2866" s="6"/>
      <c r="AL2866" s="6"/>
      <c r="AM2866" s="6"/>
    </row>
    <row r="2867">
      <c r="A2867" s="6"/>
      <c r="B2867" s="6"/>
      <c r="C2867" s="6"/>
      <c r="D2867" s="6"/>
      <c r="E2867" s="6"/>
      <c r="F2867" s="6"/>
      <c r="G2867" s="6"/>
      <c r="H2867" s="6"/>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c r="AG2867" s="6"/>
      <c r="AH2867" s="6"/>
      <c r="AI2867" s="6"/>
      <c r="AJ2867" s="6"/>
      <c r="AK2867" s="6"/>
      <c r="AL2867" s="6"/>
      <c r="AM2867" s="6"/>
    </row>
    <row r="2868">
      <c r="A2868" s="6"/>
      <c r="B2868" s="6"/>
      <c r="C2868" s="6"/>
      <c r="D2868" s="6"/>
      <c r="E2868" s="6"/>
      <c r="F2868" s="6"/>
      <c r="G2868" s="6"/>
      <c r="H2868" s="6"/>
      <c r="I2868" s="6"/>
      <c r="J2868" s="6"/>
      <c r="K2868" s="6"/>
      <c r="L2868" s="6"/>
      <c r="M2868" s="6"/>
      <c r="N2868" s="6"/>
      <c r="O2868" s="6"/>
      <c r="P2868" s="6"/>
      <c r="Q2868" s="6"/>
      <c r="R2868" s="6"/>
      <c r="S2868" s="6"/>
      <c r="T2868" s="6"/>
      <c r="U2868" s="6"/>
      <c r="V2868" s="6"/>
      <c r="W2868" s="6"/>
      <c r="X2868" s="6"/>
      <c r="Y2868" s="6"/>
      <c r="Z2868" s="6"/>
      <c r="AA2868" s="6"/>
      <c r="AB2868" s="6"/>
      <c r="AC2868" s="6"/>
      <c r="AD2868" s="6"/>
      <c r="AE2868" s="6"/>
      <c r="AF2868" s="6"/>
      <c r="AG2868" s="6"/>
      <c r="AH2868" s="6"/>
      <c r="AI2868" s="6"/>
      <c r="AJ2868" s="6"/>
      <c r="AK2868" s="6"/>
      <c r="AL2868" s="6"/>
      <c r="AM2868" s="6"/>
    </row>
    <row r="2869">
      <c r="A2869" s="6"/>
      <c r="B2869" s="6"/>
      <c r="C2869" s="6"/>
      <c r="D2869" s="6"/>
      <c r="E2869" s="6"/>
      <c r="F2869" s="6"/>
      <c r="G2869" s="6"/>
      <c r="H2869" s="6"/>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c r="AG2869" s="6"/>
      <c r="AH2869" s="6"/>
      <c r="AI2869" s="6"/>
      <c r="AJ2869" s="6"/>
      <c r="AK2869" s="6"/>
      <c r="AL2869" s="6"/>
      <c r="AM2869" s="6"/>
    </row>
    <row r="2870">
      <c r="A2870" s="6"/>
      <c r="B2870" s="6"/>
      <c r="C2870" s="6"/>
      <c r="D2870" s="6"/>
      <c r="E2870" s="6"/>
      <c r="F2870" s="6"/>
      <c r="G2870" s="6"/>
      <c r="H2870" s="6"/>
      <c r="I2870" s="6"/>
      <c r="J2870" s="6"/>
      <c r="K2870" s="6"/>
      <c r="L2870" s="6"/>
      <c r="M2870" s="6"/>
      <c r="N2870" s="6"/>
      <c r="O2870" s="6"/>
      <c r="P2870" s="6"/>
      <c r="Q2870" s="6"/>
      <c r="R2870" s="6"/>
      <c r="S2870" s="6"/>
      <c r="T2870" s="6"/>
      <c r="U2870" s="6"/>
      <c r="V2870" s="6"/>
      <c r="W2870" s="6"/>
      <c r="X2870" s="6"/>
      <c r="Y2870" s="6"/>
      <c r="Z2870" s="6"/>
      <c r="AA2870" s="6"/>
      <c r="AB2870" s="6"/>
      <c r="AC2870" s="6"/>
      <c r="AD2870" s="6"/>
      <c r="AE2870" s="6"/>
      <c r="AF2870" s="6"/>
      <c r="AG2870" s="6"/>
      <c r="AH2870" s="6"/>
      <c r="AI2870" s="6"/>
      <c r="AJ2870" s="6"/>
      <c r="AK2870" s="6"/>
      <c r="AL2870" s="6"/>
      <c r="AM2870" s="6"/>
    </row>
    <row r="2871">
      <c r="A2871" s="6"/>
      <c r="B2871" s="6"/>
      <c r="C2871" s="6"/>
      <c r="D2871" s="6"/>
      <c r="E2871" s="6"/>
      <c r="F2871" s="6"/>
      <c r="G2871" s="6"/>
      <c r="H2871" s="6"/>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c r="AG2871" s="6"/>
      <c r="AH2871" s="6"/>
      <c r="AI2871" s="6"/>
      <c r="AJ2871" s="6"/>
      <c r="AK2871" s="6"/>
      <c r="AL2871" s="6"/>
      <c r="AM2871" s="6"/>
    </row>
    <row r="2872">
      <c r="A2872" s="6"/>
      <c r="B2872" s="6"/>
      <c r="C2872" s="6"/>
      <c r="D2872" s="6"/>
      <c r="E2872" s="6"/>
      <c r="F2872" s="6"/>
      <c r="G2872" s="6"/>
      <c r="H2872" s="6"/>
      <c r="I2872" s="6"/>
      <c r="J2872" s="6"/>
      <c r="K2872" s="6"/>
      <c r="L2872" s="6"/>
      <c r="M2872" s="6"/>
      <c r="N2872" s="6"/>
      <c r="O2872" s="6"/>
      <c r="P2872" s="6"/>
      <c r="Q2872" s="6"/>
      <c r="R2872" s="6"/>
      <c r="S2872" s="6"/>
      <c r="T2872" s="6"/>
      <c r="U2872" s="6"/>
      <c r="V2872" s="6"/>
      <c r="W2872" s="6"/>
      <c r="X2872" s="6"/>
      <c r="Y2872" s="6"/>
      <c r="Z2872" s="6"/>
      <c r="AA2872" s="6"/>
      <c r="AB2872" s="6"/>
      <c r="AC2872" s="6"/>
      <c r="AD2872" s="6"/>
      <c r="AE2872" s="6"/>
      <c r="AF2872" s="6"/>
      <c r="AG2872" s="6"/>
      <c r="AH2872" s="6"/>
      <c r="AI2872" s="6"/>
      <c r="AJ2872" s="6"/>
      <c r="AK2872" s="6"/>
      <c r="AL2872" s="6"/>
      <c r="AM2872" s="6"/>
    </row>
    <row r="2873">
      <c r="A2873" s="6"/>
      <c r="B2873" s="6"/>
      <c r="C2873" s="6"/>
      <c r="D2873" s="6"/>
      <c r="E2873" s="6"/>
      <c r="F2873" s="6"/>
      <c r="G2873" s="6"/>
      <c r="H2873" s="6"/>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c r="AG2873" s="6"/>
      <c r="AH2873" s="6"/>
      <c r="AI2873" s="6"/>
      <c r="AJ2873" s="6"/>
      <c r="AK2873" s="6"/>
      <c r="AL2873" s="6"/>
      <c r="AM2873" s="6"/>
    </row>
    <row r="2874">
      <c r="A2874" s="6"/>
      <c r="B2874" s="6"/>
      <c r="C2874" s="6"/>
      <c r="D2874" s="6"/>
      <c r="E2874" s="6"/>
      <c r="F2874" s="6"/>
      <c r="G2874" s="6"/>
      <c r="H2874" s="6"/>
      <c r="I2874" s="6"/>
      <c r="J2874" s="6"/>
      <c r="K2874" s="6"/>
      <c r="L2874" s="6"/>
      <c r="M2874" s="6"/>
      <c r="N2874" s="6"/>
      <c r="O2874" s="6"/>
      <c r="P2874" s="6"/>
      <c r="Q2874" s="6"/>
      <c r="R2874" s="6"/>
      <c r="S2874" s="6"/>
      <c r="T2874" s="6"/>
      <c r="U2874" s="6"/>
      <c r="V2874" s="6"/>
      <c r="W2874" s="6"/>
      <c r="X2874" s="6"/>
      <c r="Y2874" s="6"/>
      <c r="Z2874" s="6"/>
      <c r="AA2874" s="6"/>
      <c r="AB2874" s="6"/>
      <c r="AC2874" s="6"/>
      <c r="AD2874" s="6"/>
      <c r="AE2874" s="6"/>
      <c r="AF2874" s="6"/>
      <c r="AG2874" s="6"/>
      <c r="AH2874" s="6"/>
      <c r="AI2874" s="6"/>
      <c r="AJ2874" s="6"/>
      <c r="AK2874" s="6"/>
      <c r="AL2874" s="6"/>
      <c r="AM2874" s="6"/>
    </row>
    <row r="2875">
      <c r="A2875" s="6"/>
      <c r="B2875" s="6"/>
      <c r="C2875" s="6"/>
      <c r="D2875" s="6"/>
      <c r="E2875" s="6"/>
      <c r="F2875" s="6"/>
      <c r="G2875" s="6"/>
      <c r="H2875" s="6"/>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c r="AG2875" s="6"/>
      <c r="AH2875" s="6"/>
      <c r="AI2875" s="6"/>
      <c r="AJ2875" s="6"/>
      <c r="AK2875" s="6"/>
      <c r="AL2875" s="6"/>
      <c r="AM2875" s="6"/>
    </row>
    <row r="2876">
      <c r="A2876" s="6"/>
      <c r="B2876" s="6"/>
      <c r="C2876" s="6"/>
      <c r="D2876" s="6"/>
      <c r="E2876" s="6"/>
      <c r="F2876" s="6"/>
      <c r="G2876" s="6"/>
      <c r="H2876" s="6"/>
      <c r="I2876" s="6"/>
      <c r="J2876" s="6"/>
      <c r="K2876" s="6"/>
      <c r="L2876" s="6"/>
      <c r="M2876" s="6"/>
      <c r="N2876" s="6"/>
      <c r="O2876" s="6"/>
      <c r="P2876" s="6"/>
      <c r="Q2876" s="6"/>
      <c r="R2876" s="6"/>
      <c r="S2876" s="6"/>
      <c r="T2876" s="6"/>
      <c r="U2876" s="6"/>
      <c r="V2876" s="6"/>
      <c r="W2876" s="6"/>
      <c r="X2876" s="6"/>
      <c r="Y2876" s="6"/>
      <c r="Z2876" s="6"/>
      <c r="AA2876" s="6"/>
      <c r="AB2876" s="6"/>
      <c r="AC2876" s="6"/>
      <c r="AD2876" s="6"/>
      <c r="AE2876" s="6"/>
      <c r="AF2876" s="6"/>
      <c r="AG2876" s="6"/>
      <c r="AH2876" s="6"/>
      <c r="AI2876" s="6"/>
      <c r="AJ2876" s="6"/>
      <c r="AK2876" s="6"/>
      <c r="AL2876" s="6"/>
      <c r="AM2876" s="6"/>
    </row>
    <row r="2877">
      <c r="A2877" s="6"/>
      <c r="B2877" s="6"/>
      <c r="C2877" s="6"/>
      <c r="D2877" s="6"/>
      <c r="E2877" s="6"/>
      <c r="F2877" s="6"/>
      <c r="G2877" s="6"/>
      <c r="H2877" s="6"/>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c r="AG2877" s="6"/>
      <c r="AH2877" s="6"/>
      <c r="AI2877" s="6"/>
      <c r="AJ2877" s="6"/>
      <c r="AK2877" s="6"/>
      <c r="AL2877" s="6"/>
      <c r="AM2877" s="6"/>
    </row>
    <row r="2878">
      <c r="A2878" s="6"/>
      <c r="B2878" s="6"/>
      <c r="C2878" s="6"/>
      <c r="D2878" s="6"/>
      <c r="E2878" s="6"/>
      <c r="F2878" s="6"/>
      <c r="G2878" s="6"/>
      <c r="H2878" s="6"/>
      <c r="I2878" s="6"/>
      <c r="J2878" s="6"/>
      <c r="K2878" s="6"/>
      <c r="L2878" s="6"/>
      <c r="M2878" s="6"/>
      <c r="N2878" s="6"/>
      <c r="O2878" s="6"/>
      <c r="P2878" s="6"/>
      <c r="Q2878" s="6"/>
      <c r="R2878" s="6"/>
      <c r="S2878" s="6"/>
      <c r="T2878" s="6"/>
      <c r="U2878" s="6"/>
      <c r="V2878" s="6"/>
      <c r="W2878" s="6"/>
      <c r="X2878" s="6"/>
      <c r="Y2878" s="6"/>
      <c r="Z2878" s="6"/>
      <c r="AA2878" s="6"/>
      <c r="AB2878" s="6"/>
      <c r="AC2878" s="6"/>
      <c r="AD2878" s="6"/>
      <c r="AE2878" s="6"/>
      <c r="AF2878" s="6"/>
      <c r="AG2878" s="6"/>
      <c r="AH2878" s="6"/>
      <c r="AI2878" s="6"/>
      <c r="AJ2878" s="6"/>
      <c r="AK2878" s="6"/>
      <c r="AL2878" s="6"/>
      <c r="AM2878" s="6"/>
    </row>
    <row r="2879">
      <c r="A2879" s="6"/>
      <c r="B2879" s="6"/>
      <c r="C2879" s="6"/>
      <c r="D2879" s="6"/>
      <c r="E2879" s="6"/>
      <c r="F2879" s="6"/>
      <c r="G2879" s="6"/>
      <c r="H2879" s="6"/>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c r="AG2879" s="6"/>
      <c r="AH2879" s="6"/>
      <c r="AI2879" s="6"/>
      <c r="AJ2879" s="6"/>
      <c r="AK2879" s="6"/>
      <c r="AL2879" s="6"/>
      <c r="AM2879" s="6"/>
    </row>
    <row r="2880">
      <c r="A2880" s="6"/>
      <c r="B2880" s="6"/>
      <c r="C2880" s="6"/>
      <c r="D2880" s="6"/>
      <c r="E2880" s="6"/>
      <c r="F2880" s="6"/>
      <c r="G2880" s="6"/>
      <c r="H2880" s="6"/>
      <c r="I2880" s="6"/>
      <c r="J2880" s="6"/>
      <c r="K2880" s="6"/>
      <c r="L2880" s="6"/>
      <c r="M2880" s="6"/>
      <c r="N2880" s="6"/>
      <c r="O2880" s="6"/>
      <c r="P2880" s="6"/>
      <c r="Q2880" s="6"/>
      <c r="R2880" s="6"/>
      <c r="S2880" s="6"/>
      <c r="T2880" s="6"/>
      <c r="U2880" s="6"/>
      <c r="V2880" s="6"/>
      <c r="W2880" s="6"/>
      <c r="X2880" s="6"/>
      <c r="Y2880" s="6"/>
      <c r="Z2880" s="6"/>
      <c r="AA2880" s="6"/>
      <c r="AB2880" s="6"/>
      <c r="AC2880" s="6"/>
      <c r="AD2880" s="6"/>
      <c r="AE2880" s="6"/>
      <c r="AF2880" s="6"/>
      <c r="AG2880" s="6"/>
      <c r="AH2880" s="6"/>
      <c r="AI2880" s="6"/>
      <c r="AJ2880" s="6"/>
      <c r="AK2880" s="6"/>
      <c r="AL2880" s="6"/>
      <c r="AM2880" s="6"/>
    </row>
    <row r="2881">
      <c r="A2881" s="6"/>
      <c r="B2881" s="6"/>
      <c r="C2881" s="6"/>
      <c r="D2881" s="6"/>
      <c r="E2881" s="6"/>
      <c r="F2881" s="6"/>
      <c r="G2881" s="6"/>
      <c r="H2881" s="6"/>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c r="AG2881" s="6"/>
      <c r="AH2881" s="6"/>
      <c r="AI2881" s="6"/>
      <c r="AJ2881" s="6"/>
      <c r="AK2881" s="6"/>
      <c r="AL2881" s="6"/>
      <c r="AM2881" s="6"/>
    </row>
    <row r="2882">
      <c r="A2882" s="6"/>
      <c r="B2882" s="6"/>
      <c r="C2882" s="6"/>
      <c r="D2882" s="6"/>
      <c r="E2882" s="6"/>
      <c r="F2882" s="6"/>
      <c r="G2882" s="6"/>
      <c r="H2882" s="6"/>
      <c r="I2882" s="6"/>
      <c r="J2882" s="6"/>
      <c r="K2882" s="6"/>
      <c r="L2882" s="6"/>
      <c r="M2882" s="6"/>
      <c r="N2882" s="6"/>
      <c r="O2882" s="6"/>
      <c r="P2882" s="6"/>
      <c r="Q2882" s="6"/>
      <c r="R2882" s="6"/>
      <c r="S2882" s="6"/>
      <c r="T2882" s="6"/>
      <c r="U2882" s="6"/>
      <c r="V2882" s="6"/>
      <c r="W2882" s="6"/>
      <c r="X2882" s="6"/>
      <c r="Y2882" s="6"/>
      <c r="Z2882" s="6"/>
      <c r="AA2882" s="6"/>
      <c r="AB2882" s="6"/>
      <c r="AC2882" s="6"/>
      <c r="AD2882" s="6"/>
      <c r="AE2882" s="6"/>
      <c r="AF2882" s="6"/>
      <c r="AG2882" s="6"/>
      <c r="AH2882" s="6"/>
      <c r="AI2882" s="6"/>
      <c r="AJ2882" s="6"/>
      <c r="AK2882" s="6"/>
      <c r="AL2882" s="6"/>
      <c r="AM2882" s="6"/>
    </row>
    <row r="2883">
      <c r="A2883" s="6"/>
      <c r="B2883" s="6"/>
      <c r="C2883" s="6"/>
      <c r="D2883" s="6"/>
      <c r="E2883" s="6"/>
      <c r="F2883" s="6"/>
      <c r="G2883" s="6"/>
      <c r="H2883" s="6"/>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c r="AG2883" s="6"/>
      <c r="AH2883" s="6"/>
      <c r="AI2883" s="6"/>
      <c r="AJ2883" s="6"/>
      <c r="AK2883" s="6"/>
      <c r="AL2883" s="6"/>
      <c r="AM2883" s="6"/>
    </row>
    <row r="2884">
      <c r="A2884" s="6"/>
      <c r="B2884" s="6"/>
      <c r="C2884" s="6"/>
      <c r="D2884" s="6"/>
      <c r="E2884" s="6"/>
      <c r="F2884" s="6"/>
      <c r="G2884" s="6"/>
      <c r="H2884" s="6"/>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c r="AG2884" s="6"/>
      <c r="AH2884" s="6"/>
      <c r="AI2884" s="6"/>
      <c r="AJ2884" s="6"/>
      <c r="AK2884" s="6"/>
      <c r="AL2884" s="6"/>
      <c r="AM2884" s="6"/>
    </row>
    <row r="2885">
      <c r="A2885" s="6"/>
      <c r="B2885" s="6"/>
      <c r="C2885" s="6"/>
      <c r="D2885" s="6"/>
      <c r="E2885" s="6"/>
      <c r="F2885" s="6"/>
      <c r="G2885" s="6"/>
      <c r="H2885" s="6"/>
      <c r="I2885" s="6"/>
      <c r="J2885" s="6"/>
      <c r="K2885" s="6"/>
      <c r="L2885" s="6"/>
      <c r="M2885" s="6"/>
      <c r="N2885" s="6"/>
      <c r="O2885" s="6"/>
      <c r="P2885" s="6"/>
      <c r="Q2885" s="6"/>
      <c r="R2885" s="6"/>
      <c r="S2885" s="6"/>
      <c r="T2885" s="6"/>
      <c r="U2885" s="6"/>
      <c r="V2885" s="6"/>
      <c r="W2885" s="6"/>
      <c r="X2885" s="6"/>
      <c r="Y2885" s="6"/>
      <c r="Z2885" s="6"/>
      <c r="AA2885" s="6"/>
      <c r="AB2885" s="6"/>
      <c r="AC2885" s="6"/>
      <c r="AD2885" s="6"/>
      <c r="AE2885" s="6"/>
      <c r="AF2885" s="6"/>
      <c r="AG2885" s="6"/>
      <c r="AH2885" s="6"/>
      <c r="AI2885" s="6"/>
      <c r="AJ2885" s="6"/>
      <c r="AK2885" s="6"/>
      <c r="AL2885" s="6"/>
      <c r="AM2885" s="6"/>
    </row>
    <row r="2886">
      <c r="A2886" s="6"/>
      <c r="B2886" s="6"/>
      <c r="C2886" s="6"/>
      <c r="D2886" s="6"/>
      <c r="E2886" s="6"/>
      <c r="F2886" s="6"/>
      <c r="G2886" s="6"/>
      <c r="H2886" s="6"/>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c r="AG2886" s="6"/>
      <c r="AH2886" s="6"/>
      <c r="AI2886" s="6"/>
      <c r="AJ2886" s="6"/>
      <c r="AK2886" s="6"/>
      <c r="AL2886" s="6"/>
      <c r="AM2886" s="6"/>
    </row>
    <row r="2887">
      <c r="A2887" s="6"/>
      <c r="B2887" s="6"/>
      <c r="C2887" s="6"/>
      <c r="D2887" s="6"/>
      <c r="E2887" s="6"/>
      <c r="F2887" s="6"/>
      <c r="G2887" s="6"/>
      <c r="H2887" s="6"/>
      <c r="I2887" s="6"/>
      <c r="J2887" s="6"/>
      <c r="K2887" s="6"/>
      <c r="L2887" s="6"/>
      <c r="M2887" s="6"/>
      <c r="N2887" s="6"/>
      <c r="O2887" s="6"/>
      <c r="P2887" s="6"/>
      <c r="Q2887" s="6"/>
      <c r="R2887" s="6"/>
      <c r="S2887" s="6"/>
      <c r="T2887" s="6"/>
      <c r="U2887" s="6"/>
      <c r="V2887" s="6"/>
      <c r="W2887" s="6"/>
      <c r="X2887" s="6"/>
      <c r="Y2887" s="6"/>
      <c r="Z2887" s="6"/>
      <c r="AA2887" s="6"/>
      <c r="AB2887" s="6"/>
      <c r="AC2887" s="6"/>
      <c r="AD2887" s="6"/>
      <c r="AE2887" s="6"/>
      <c r="AF2887" s="6"/>
      <c r="AG2887" s="6"/>
      <c r="AH2887" s="6"/>
      <c r="AI2887" s="6"/>
      <c r="AJ2887" s="6"/>
      <c r="AK2887" s="6"/>
      <c r="AL2887" s="6"/>
      <c r="AM2887" s="6"/>
    </row>
    <row r="2888">
      <c r="A2888" s="6"/>
      <c r="B2888" s="6"/>
      <c r="C2888" s="6"/>
      <c r="D2888" s="6"/>
      <c r="E2888" s="6"/>
      <c r="F2888" s="6"/>
      <c r="G2888" s="6"/>
      <c r="H2888" s="6"/>
      <c r="I2888" s="6"/>
      <c r="J2888" s="6"/>
      <c r="K2888" s="6"/>
      <c r="L2888" s="6"/>
      <c r="M2888" s="6"/>
      <c r="N2888" s="6"/>
      <c r="O2888" s="6"/>
      <c r="P2888" s="6"/>
      <c r="Q2888" s="6"/>
      <c r="R2888" s="6"/>
      <c r="S2888" s="6"/>
      <c r="T2888" s="6"/>
      <c r="U2888" s="6"/>
      <c r="V2888" s="6"/>
      <c r="W2888" s="6"/>
      <c r="X2888" s="6"/>
      <c r="Y2888" s="6"/>
      <c r="Z2888" s="6"/>
      <c r="AA2888" s="6"/>
      <c r="AB2888" s="6"/>
      <c r="AC2888" s="6"/>
      <c r="AD2888" s="6"/>
      <c r="AE2888" s="6"/>
      <c r="AF2888" s="6"/>
      <c r="AG2888" s="6"/>
      <c r="AH2888" s="6"/>
      <c r="AI2888" s="6"/>
      <c r="AJ2888" s="6"/>
      <c r="AK2888" s="6"/>
      <c r="AL2888" s="6"/>
      <c r="AM2888" s="6"/>
    </row>
    <row r="2889">
      <c r="A2889" s="6"/>
      <c r="B2889" s="6"/>
      <c r="C2889" s="6"/>
      <c r="D2889" s="6"/>
      <c r="E2889" s="6"/>
      <c r="F2889" s="6"/>
      <c r="G2889" s="6"/>
      <c r="H2889" s="6"/>
      <c r="I2889" s="6"/>
      <c r="J2889" s="6"/>
      <c r="K2889" s="6"/>
      <c r="L2889" s="6"/>
      <c r="M2889" s="6"/>
      <c r="N2889" s="6"/>
      <c r="O2889" s="6"/>
      <c r="P2889" s="6"/>
      <c r="Q2889" s="6"/>
      <c r="R2889" s="6"/>
      <c r="S2889" s="6"/>
      <c r="T2889" s="6"/>
      <c r="U2889" s="6"/>
      <c r="V2889" s="6"/>
      <c r="W2889" s="6"/>
      <c r="X2889" s="6"/>
      <c r="Y2889" s="6"/>
      <c r="Z2889" s="6"/>
      <c r="AA2889" s="6"/>
      <c r="AB2889" s="6"/>
      <c r="AC2889" s="6"/>
      <c r="AD2889" s="6"/>
      <c r="AE2889" s="6"/>
      <c r="AF2889" s="6"/>
      <c r="AG2889" s="6"/>
      <c r="AH2889" s="6"/>
      <c r="AI2889" s="6"/>
      <c r="AJ2889" s="6"/>
      <c r="AK2889" s="6"/>
      <c r="AL2889" s="6"/>
      <c r="AM2889" s="6"/>
    </row>
    <row r="2890">
      <c r="A2890" s="6"/>
      <c r="B2890" s="6"/>
      <c r="C2890" s="6"/>
      <c r="D2890" s="6"/>
      <c r="E2890" s="6"/>
      <c r="F2890" s="6"/>
      <c r="G2890" s="6"/>
      <c r="H2890" s="6"/>
      <c r="I2890" s="6"/>
      <c r="J2890" s="6"/>
      <c r="K2890" s="6"/>
      <c r="L2890" s="6"/>
      <c r="M2890" s="6"/>
      <c r="N2890" s="6"/>
      <c r="O2890" s="6"/>
      <c r="P2890" s="6"/>
      <c r="Q2890" s="6"/>
      <c r="R2890" s="6"/>
      <c r="S2890" s="6"/>
      <c r="T2890" s="6"/>
      <c r="U2890" s="6"/>
      <c r="V2890" s="6"/>
      <c r="W2890" s="6"/>
      <c r="X2890" s="6"/>
      <c r="Y2890" s="6"/>
      <c r="Z2890" s="6"/>
      <c r="AA2890" s="6"/>
      <c r="AB2890" s="6"/>
      <c r="AC2890" s="6"/>
      <c r="AD2890" s="6"/>
      <c r="AE2890" s="6"/>
      <c r="AF2890" s="6"/>
      <c r="AG2890" s="6"/>
      <c r="AH2890" s="6"/>
      <c r="AI2890" s="6"/>
      <c r="AJ2890" s="6"/>
      <c r="AK2890" s="6"/>
      <c r="AL2890" s="6"/>
      <c r="AM2890" s="6"/>
    </row>
    <row r="2891">
      <c r="A2891" s="6"/>
      <c r="B2891" s="6"/>
      <c r="C2891" s="6"/>
      <c r="D2891" s="6"/>
      <c r="E2891" s="6"/>
      <c r="F2891" s="6"/>
      <c r="G2891" s="6"/>
      <c r="H2891" s="6"/>
      <c r="I2891" s="6"/>
      <c r="J2891" s="6"/>
      <c r="K2891" s="6"/>
      <c r="L2891" s="6"/>
      <c r="M2891" s="6"/>
      <c r="N2891" s="6"/>
      <c r="O2891" s="6"/>
      <c r="P2891" s="6"/>
      <c r="Q2891" s="6"/>
      <c r="R2891" s="6"/>
      <c r="S2891" s="6"/>
      <c r="T2891" s="6"/>
      <c r="U2891" s="6"/>
      <c r="V2891" s="6"/>
      <c r="W2891" s="6"/>
      <c r="X2891" s="6"/>
      <c r="Y2891" s="6"/>
      <c r="Z2891" s="6"/>
      <c r="AA2891" s="6"/>
      <c r="AB2891" s="6"/>
      <c r="AC2891" s="6"/>
      <c r="AD2891" s="6"/>
      <c r="AE2891" s="6"/>
      <c r="AF2891" s="6"/>
      <c r="AG2891" s="6"/>
      <c r="AH2891" s="6"/>
      <c r="AI2891" s="6"/>
      <c r="AJ2891" s="6"/>
      <c r="AK2891" s="6"/>
      <c r="AL2891" s="6"/>
      <c r="AM2891" s="6"/>
    </row>
    <row r="2892">
      <c r="A2892" s="6"/>
      <c r="B2892" s="6"/>
      <c r="C2892" s="6"/>
      <c r="D2892" s="6"/>
      <c r="E2892" s="6"/>
      <c r="F2892" s="6"/>
      <c r="G2892" s="6"/>
      <c r="H2892" s="6"/>
      <c r="I2892" s="6"/>
      <c r="J2892" s="6"/>
      <c r="K2892" s="6"/>
      <c r="L2892" s="6"/>
      <c r="M2892" s="6"/>
      <c r="N2892" s="6"/>
      <c r="O2892" s="6"/>
      <c r="P2892" s="6"/>
      <c r="Q2892" s="6"/>
      <c r="R2892" s="6"/>
      <c r="S2892" s="6"/>
      <c r="T2892" s="6"/>
      <c r="U2892" s="6"/>
      <c r="V2892" s="6"/>
      <c r="W2892" s="6"/>
      <c r="X2892" s="6"/>
      <c r="Y2892" s="6"/>
      <c r="Z2892" s="6"/>
      <c r="AA2892" s="6"/>
      <c r="AB2892" s="6"/>
      <c r="AC2892" s="6"/>
      <c r="AD2892" s="6"/>
      <c r="AE2892" s="6"/>
      <c r="AF2892" s="6"/>
      <c r="AG2892" s="6"/>
      <c r="AH2892" s="6"/>
      <c r="AI2892" s="6"/>
      <c r="AJ2892" s="6"/>
      <c r="AK2892" s="6"/>
      <c r="AL2892" s="6"/>
      <c r="AM2892" s="6"/>
    </row>
    <row r="2893">
      <c r="A2893" s="6"/>
      <c r="B2893" s="6"/>
      <c r="C2893" s="6"/>
      <c r="D2893" s="6"/>
      <c r="E2893" s="6"/>
      <c r="F2893" s="6"/>
      <c r="G2893" s="6"/>
      <c r="H2893" s="6"/>
      <c r="I2893" s="6"/>
      <c r="J2893" s="6"/>
      <c r="K2893" s="6"/>
      <c r="L2893" s="6"/>
      <c r="M2893" s="6"/>
      <c r="N2893" s="6"/>
      <c r="O2893" s="6"/>
      <c r="P2893" s="6"/>
      <c r="Q2893" s="6"/>
      <c r="R2893" s="6"/>
      <c r="S2893" s="6"/>
      <c r="T2893" s="6"/>
      <c r="U2893" s="6"/>
      <c r="V2893" s="6"/>
      <c r="W2893" s="6"/>
      <c r="X2893" s="6"/>
      <c r="Y2893" s="6"/>
      <c r="Z2893" s="6"/>
      <c r="AA2893" s="6"/>
      <c r="AB2893" s="6"/>
      <c r="AC2893" s="6"/>
      <c r="AD2893" s="6"/>
      <c r="AE2893" s="6"/>
      <c r="AF2893" s="6"/>
      <c r="AG2893" s="6"/>
      <c r="AH2893" s="6"/>
      <c r="AI2893" s="6"/>
      <c r="AJ2893" s="6"/>
      <c r="AK2893" s="6"/>
      <c r="AL2893" s="6"/>
      <c r="AM2893" s="6"/>
    </row>
    <row r="2894">
      <c r="A2894" s="6"/>
      <c r="B2894" s="6"/>
      <c r="C2894" s="6"/>
      <c r="D2894" s="6"/>
      <c r="E2894" s="6"/>
      <c r="F2894" s="6"/>
      <c r="G2894" s="6"/>
      <c r="H2894" s="6"/>
      <c r="I2894" s="6"/>
      <c r="J2894" s="6"/>
      <c r="K2894" s="6"/>
      <c r="L2894" s="6"/>
      <c r="M2894" s="6"/>
      <c r="N2894" s="6"/>
      <c r="O2894" s="6"/>
      <c r="P2894" s="6"/>
      <c r="Q2894" s="6"/>
      <c r="R2894" s="6"/>
      <c r="S2894" s="6"/>
      <c r="T2894" s="6"/>
      <c r="U2894" s="6"/>
      <c r="V2894" s="6"/>
      <c r="W2894" s="6"/>
      <c r="X2894" s="6"/>
      <c r="Y2894" s="6"/>
      <c r="Z2894" s="6"/>
      <c r="AA2894" s="6"/>
      <c r="AB2894" s="6"/>
      <c r="AC2894" s="6"/>
      <c r="AD2894" s="6"/>
      <c r="AE2894" s="6"/>
      <c r="AF2894" s="6"/>
      <c r="AG2894" s="6"/>
      <c r="AH2894" s="6"/>
      <c r="AI2894" s="6"/>
      <c r="AJ2894" s="6"/>
      <c r="AK2894" s="6"/>
      <c r="AL2894" s="6"/>
      <c r="AM2894" s="6"/>
    </row>
    <row r="2895">
      <c r="A2895" s="6"/>
      <c r="B2895" s="6"/>
      <c r="C2895" s="6"/>
      <c r="D2895" s="6"/>
      <c r="E2895" s="6"/>
      <c r="F2895" s="6"/>
      <c r="G2895" s="6"/>
      <c r="H2895" s="6"/>
      <c r="I2895" s="6"/>
      <c r="J2895" s="6"/>
      <c r="K2895" s="6"/>
      <c r="L2895" s="6"/>
      <c r="M2895" s="6"/>
      <c r="N2895" s="6"/>
      <c r="O2895" s="6"/>
      <c r="P2895" s="6"/>
      <c r="Q2895" s="6"/>
      <c r="R2895" s="6"/>
      <c r="S2895" s="6"/>
      <c r="T2895" s="6"/>
      <c r="U2895" s="6"/>
      <c r="V2895" s="6"/>
      <c r="W2895" s="6"/>
      <c r="X2895" s="6"/>
      <c r="Y2895" s="6"/>
      <c r="Z2895" s="6"/>
      <c r="AA2895" s="6"/>
      <c r="AB2895" s="6"/>
      <c r="AC2895" s="6"/>
      <c r="AD2895" s="6"/>
      <c r="AE2895" s="6"/>
      <c r="AF2895" s="6"/>
      <c r="AG2895" s="6"/>
      <c r="AH2895" s="6"/>
      <c r="AI2895" s="6"/>
      <c r="AJ2895" s="6"/>
      <c r="AK2895" s="6"/>
      <c r="AL2895" s="6"/>
      <c r="AM2895" s="6"/>
    </row>
    <row r="2896">
      <c r="A2896" s="6"/>
      <c r="B2896" s="6"/>
      <c r="C2896" s="6"/>
      <c r="D2896" s="6"/>
      <c r="E2896" s="6"/>
      <c r="F2896" s="6"/>
      <c r="G2896" s="6"/>
      <c r="H2896" s="6"/>
      <c r="I2896" s="6"/>
      <c r="J2896" s="6"/>
      <c r="K2896" s="6"/>
      <c r="L2896" s="6"/>
      <c r="M2896" s="6"/>
      <c r="N2896" s="6"/>
      <c r="O2896" s="6"/>
      <c r="P2896" s="6"/>
      <c r="Q2896" s="6"/>
      <c r="R2896" s="6"/>
      <c r="S2896" s="6"/>
      <c r="T2896" s="6"/>
      <c r="U2896" s="6"/>
      <c r="V2896" s="6"/>
      <c r="W2896" s="6"/>
      <c r="X2896" s="6"/>
      <c r="Y2896" s="6"/>
      <c r="Z2896" s="6"/>
      <c r="AA2896" s="6"/>
      <c r="AB2896" s="6"/>
      <c r="AC2896" s="6"/>
      <c r="AD2896" s="6"/>
      <c r="AE2896" s="6"/>
      <c r="AF2896" s="6"/>
      <c r="AG2896" s="6"/>
      <c r="AH2896" s="6"/>
      <c r="AI2896" s="6"/>
      <c r="AJ2896" s="6"/>
      <c r="AK2896" s="6"/>
      <c r="AL2896" s="6"/>
      <c r="AM2896" s="6"/>
    </row>
    <row r="2897">
      <c r="A2897" s="6"/>
      <c r="B2897" s="6"/>
      <c r="C2897" s="6"/>
      <c r="D2897" s="6"/>
      <c r="E2897" s="6"/>
      <c r="F2897" s="6"/>
      <c r="G2897" s="6"/>
      <c r="H2897" s="6"/>
      <c r="I2897" s="6"/>
      <c r="J2897" s="6"/>
      <c r="K2897" s="6"/>
      <c r="L2897" s="6"/>
      <c r="M2897" s="6"/>
      <c r="N2897" s="6"/>
      <c r="O2897" s="6"/>
      <c r="P2897" s="6"/>
      <c r="Q2897" s="6"/>
      <c r="R2897" s="6"/>
      <c r="S2897" s="6"/>
      <c r="T2897" s="6"/>
      <c r="U2897" s="6"/>
      <c r="V2897" s="6"/>
      <c r="W2897" s="6"/>
      <c r="X2897" s="6"/>
      <c r="Y2897" s="6"/>
      <c r="Z2897" s="6"/>
      <c r="AA2897" s="6"/>
      <c r="AB2897" s="6"/>
      <c r="AC2897" s="6"/>
      <c r="AD2897" s="6"/>
      <c r="AE2897" s="6"/>
      <c r="AF2897" s="6"/>
      <c r="AG2897" s="6"/>
      <c r="AH2897" s="6"/>
      <c r="AI2897" s="6"/>
      <c r="AJ2897" s="6"/>
      <c r="AK2897" s="6"/>
      <c r="AL2897" s="6"/>
      <c r="AM2897" s="6"/>
    </row>
    <row r="2898">
      <c r="A2898" s="6"/>
      <c r="B2898" s="6"/>
      <c r="C2898" s="6"/>
      <c r="D2898" s="6"/>
      <c r="E2898" s="6"/>
      <c r="F2898" s="6"/>
      <c r="G2898" s="6"/>
      <c r="H2898" s="6"/>
      <c r="I2898" s="6"/>
      <c r="J2898" s="6"/>
      <c r="K2898" s="6"/>
      <c r="L2898" s="6"/>
      <c r="M2898" s="6"/>
      <c r="N2898" s="6"/>
      <c r="O2898" s="6"/>
      <c r="P2898" s="6"/>
      <c r="Q2898" s="6"/>
      <c r="R2898" s="6"/>
      <c r="S2898" s="6"/>
      <c r="T2898" s="6"/>
      <c r="U2898" s="6"/>
      <c r="V2898" s="6"/>
      <c r="W2898" s="6"/>
      <c r="X2898" s="6"/>
      <c r="Y2898" s="6"/>
      <c r="Z2898" s="6"/>
      <c r="AA2898" s="6"/>
      <c r="AB2898" s="6"/>
      <c r="AC2898" s="6"/>
      <c r="AD2898" s="6"/>
      <c r="AE2898" s="6"/>
      <c r="AF2898" s="6"/>
      <c r="AG2898" s="6"/>
      <c r="AH2898" s="6"/>
      <c r="AI2898" s="6"/>
      <c r="AJ2898" s="6"/>
      <c r="AK2898" s="6"/>
      <c r="AL2898" s="6"/>
      <c r="AM2898" s="6"/>
    </row>
    <row r="2899">
      <c r="A2899" s="6"/>
      <c r="B2899" s="6"/>
      <c r="C2899" s="6"/>
      <c r="D2899" s="6"/>
      <c r="E2899" s="6"/>
      <c r="F2899" s="6"/>
      <c r="G2899" s="6"/>
      <c r="H2899" s="6"/>
      <c r="I2899" s="6"/>
      <c r="J2899" s="6"/>
      <c r="K2899" s="6"/>
      <c r="L2899" s="6"/>
      <c r="M2899" s="6"/>
      <c r="N2899" s="6"/>
      <c r="O2899" s="6"/>
      <c r="P2899" s="6"/>
      <c r="Q2899" s="6"/>
      <c r="R2899" s="6"/>
      <c r="S2899" s="6"/>
      <c r="T2899" s="6"/>
      <c r="U2899" s="6"/>
      <c r="V2899" s="6"/>
      <c r="W2899" s="6"/>
      <c r="X2899" s="6"/>
      <c r="Y2899" s="6"/>
      <c r="Z2899" s="6"/>
      <c r="AA2899" s="6"/>
      <c r="AB2899" s="6"/>
      <c r="AC2899" s="6"/>
      <c r="AD2899" s="6"/>
      <c r="AE2899" s="6"/>
      <c r="AF2899" s="6"/>
      <c r="AG2899" s="6"/>
      <c r="AH2899" s="6"/>
      <c r="AI2899" s="6"/>
      <c r="AJ2899" s="6"/>
      <c r="AK2899" s="6"/>
      <c r="AL2899" s="6"/>
      <c r="AM2899" s="6"/>
    </row>
    <row r="2900">
      <c r="A2900" s="6"/>
      <c r="B2900" s="6"/>
      <c r="C2900" s="6"/>
      <c r="D2900" s="6"/>
      <c r="E2900" s="6"/>
      <c r="F2900" s="6"/>
      <c r="G2900" s="6"/>
      <c r="H2900" s="6"/>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c r="AG2900" s="6"/>
      <c r="AH2900" s="6"/>
      <c r="AI2900" s="6"/>
      <c r="AJ2900" s="6"/>
      <c r="AK2900" s="6"/>
      <c r="AL2900" s="6"/>
      <c r="AM2900" s="6"/>
    </row>
    <row r="2901">
      <c r="A2901" s="6"/>
      <c r="B2901" s="6"/>
      <c r="C2901" s="6"/>
      <c r="D2901" s="6"/>
      <c r="E2901" s="6"/>
      <c r="F2901" s="6"/>
      <c r="G2901" s="6"/>
      <c r="H2901" s="6"/>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c r="AG2901" s="6"/>
      <c r="AH2901" s="6"/>
      <c r="AI2901" s="6"/>
      <c r="AJ2901" s="6"/>
      <c r="AK2901" s="6"/>
      <c r="AL2901" s="6"/>
      <c r="AM2901" s="6"/>
    </row>
    <row r="2902">
      <c r="A2902" s="6"/>
      <c r="B2902" s="6"/>
      <c r="C2902" s="6"/>
      <c r="D2902" s="6"/>
      <c r="E2902" s="6"/>
      <c r="F2902" s="6"/>
      <c r="G2902" s="6"/>
      <c r="H2902" s="6"/>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c r="AG2902" s="6"/>
      <c r="AH2902" s="6"/>
      <c r="AI2902" s="6"/>
      <c r="AJ2902" s="6"/>
      <c r="AK2902" s="6"/>
      <c r="AL2902" s="6"/>
      <c r="AM2902" s="6"/>
    </row>
    <row r="2903">
      <c r="A2903" s="6"/>
      <c r="B2903" s="6"/>
      <c r="C2903" s="6"/>
      <c r="D2903" s="6"/>
      <c r="E2903" s="6"/>
      <c r="F2903" s="6"/>
      <c r="G2903" s="6"/>
      <c r="H2903" s="6"/>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c r="AG2903" s="6"/>
      <c r="AH2903" s="6"/>
      <c r="AI2903" s="6"/>
      <c r="AJ2903" s="6"/>
      <c r="AK2903" s="6"/>
      <c r="AL2903" s="6"/>
      <c r="AM2903" s="6"/>
    </row>
    <row r="2904">
      <c r="A2904" s="6"/>
      <c r="B2904" s="6"/>
      <c r="C2904" s="6"/>
      <c r="D2904" s="6"/>
      <c r="E2904" s="6"/>
      <c r="F2904" s="6"/>
      <c r="G2904" s="6"/>
      <c r="H2904" s="6"/>
      <c r="I2904" s="6"/>
      <c r="J2904" s="6"/>
      <c r="K2904" s="6"/>
      <c r="L2904" s="6"/>
      <c r="M2904" s="6"/>
      <c r="N2904" s="6"/>
      <c r="O2904" s="6"/>
      <c r="P2904" s="6"/>
      <c r="Q2904" s="6"/>
      <c r="R2904" s="6"/>
      <c r="S2904" s="6"/>
      <c r="T2904" s="6"/>
      <c r="U2904" s="6"/>
      <c r="V2904" s="6"/>
      <c r="W2904" s="6"/>
      <c r="X2904" s="6"/>
      <c r="Y2904" s="6"/>
      <c r="Z2904" s="6"/>
      <c r="AA2904" s="6"/>
      <c r="AB2904" s="6"/>
      <c r="AC2904" s="6"/>
      <c r="AD2904" s="6"/>
      <c r="AE2904" s="6"/>
      <c r="AF2904" s="6"/>
      <c r="AG2904" s="6"/>
      <c r="AH2904" s="6"/>
      <c r="AI2904" s="6"/>
      <c r="AJ2904" s="6"/>
      <c r="AK2904" s="6"/>
      <c r="AL2904" s="6"/>
      <c r="AM2904" s="6"/>
    </row>
    <row r="2905">
      <c r="A2905" s="6"/>
      <c r="B2905" s="6"/>
      <c r="C2905" s="6"/>
      <c r="D2905" s="6"/>
      <c r="E2905" s="6"/>
      <c r="F2905" s="6"/>
      <c r="G2905" s="6"/>
      <c r="H2905" s="6"/>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c r="AG2905" s="6"/>
      <c r="AH2905" s="6"/>
      <c r="AI2905" s="6"/>
      <c r="AJ2905" s="6"/>
      <c r="AK2905" s="6"/>
      <c r="AL2905" s="6"/>
      <c r="AM2905" s="6"/>
    </row>
    <row r="2906">
      <c r="A2906" s="6"/>
      <c r="B2906" s="6"/>
      <c r="C2906" s="6"/>
      <c r="D2906" s="6"/>
      <c r="E2906" s="6"/>
      <c r="F2906" s="6"/>
      <c r="G2906" s="6"/>
      <c r="H2906" s="6"/>
      <c r="I2906" s="6"/>
      <c r="J2906" s="6"/>
      <c r="K2906" s="6"/>
      <c r="L2906" s="6"/>
      <c r="M2906" s="6"/>
      <c r="N2906" s="6"/>
      <c r="O2906" s="6"/>
      <c r="P2906" s="6"/>
      <c r="Q2906" s="6"/>
      <c r="R2906" s="6"/>
      <c r="S2906" s="6"/>
      <c r="T2906" s="6"/>
      <c r="U2906" s="6"/>
      <c r="V2906" s="6"/>
      <c r="W2906" s="6"/>
      <c r="X2906" s="6"/>
      <c r="Y2906" s="6"/>
      <c r="Z2906" s="6"/>
      <c r="AA2906" s="6"/>
      <c r="AB2906" s="6"/>
      <c r="AC2906" s="6"/>
      <c r="AD2906" s="6"/>
      <c r="AE2906" s="6"/>
      <c r="AF2906" s="6"/>
      <c r="AG2906" s="6"/>
      <c r="AH2906" s="6"/>
      <c r="AI2906" s="6"/>
      <c r="AJ2906" s="6"/>
      <c r="AK2906" s="6"/>
      <c r="AL2906" s="6"/>
      <c r="AM2906" s="6"/>
    </row>
    <row r="2907">
      <c r="A2907" s="6"/>
      <c r="B2907" s="6"/>
      <c r="C2907" s="6"/>
      <c r="D2907" s="6"/>
      <c r="E2907" s="6"/>
      <c r="F2907" s="6"/>
      <c r="G2907" s="6"/>
      <c r="H2907" s="6"/>
      <c r="I2907" s="6"/>
      <c r="J2907" s="6"/>
      <c r="K2907" s="6"/>
      <c r="L2907" s="6"/>
      <c r="M2907" s="6"/>
      <c r="N2907" s="6"/>
      <c r="O2907" s="6"/>
      <c r="P2907" s="6"/>
      <c r="Q2907" s="6"/>
      <c r="R2907" s="6"/>
      <c r="S2907" s="6"/>
      <c r="T2907" s="6"/>
      <c r="U2907" s="6"/>
      <c r="V2907" s="6"/>
      <c r="W2907" s="6"/>
      <c r="X2907" s="6"/>
      <c r="Y2907" s="6"/>
      <c r="Z2907" s="6"/>
      <c r="AA2907" s="6"/>
      <c r="AB2907" s="6"/>
      <c r="AC2907" s="6"/>
      <c r="AD2907" s="6"/>
      <c r="AE2907" s="6"/>
      <c r="AF2907" s="6"/>
      <c r="AG2907" s="6"/>
      <c r="AH2907" s="6"/>
      <c r="AI2907" s="6"/>
      <c r="AJ2907" s="6"/>
      <c r="AK2907" s="6"/>
      <c r="AL2907" s="6"/>
      <c r="AM2907" s="6"/>
    </row>
    <row r="2908">
      <c r="A2908" s="6"/>
      <c r="B2908" s="6"/>
      <c r="C2908" s="6"/>
      <c r="D2908" s="6"/>
      <c r="E2908" s="6"/>
      <c r="F2908" s="6"/>
      <c r="G2908" s="6"/>
      <c r="H2908" s="6"/>
      <c r="I2908" s="6"/>
      <c r="J2908" s="6"/>
      <c r="K2908" s="6"/>
      <c r="L2908" s="6"/>
      <c r="M2908" s="6"/>
      <c r="N2908" s="6"/>
      <c r="O2908" s="6"/>
      <c r="P2908" s="6"/>
      <c r="Q2908" s="6"/>
      <c r="R2908" s="6"/>
      <c r="S2908" s="6"/>
      <c r="T2908" s="6"/>
      <c r="U2908" s="6"/>
      <c r="V2908" s="6"/>
      <c r="W2908" s="6"/>
      <c r="X2908" s="6"/>
      <c r="Y2908" s="6"/>
      <c r="Z2908" s="6"/>
      <c r="AA2908" s="6"/>
      <c r="AB2908" s="6"/>
      <c r="AC2908" s="6"/>
      <c r="AD2908" s="6"/>
      <c r="AE2908" s="6"/>
      <c r="AF2908" s="6"/>
      <c r="AG2908" s="6"/>
      <c r="AH2908" s="6"/>
      <c r="AI2908" s="6"/>
      <c r="AJ2908" s="6"/>
      <c r="AK2908" s="6"/>
      <c r="AL2908" s="6"/>
      <c r="AM2908" s="6"/>
    </row>
    <row r="2909">
      <c r="A2909" s="6"/>
      <c r="B2909" s="6"/>
      <c r="C2909" s="6"/>
      <c r="D2909" s="6"/>
      <c r="E2909" s="6"/>
      <c r="F2909" s="6"/>
      <c r="G2909" s="6"/>
      <c r="H2909" s="6"/>
      <c r="I2909" s="6"/>
      <c r="J2909" s="6"/>
      <c r="K2909" s="6"/>
      <c r="L2909" s="6"/>
      <c r="M2909" s="6"/>
      <c r="N2909" s="6"/>
      <c r="O2909" s="6"/>
      <c r="P2909" s="6"/>
      <c r="Q2909" s="6"/>
      <c r="R2909" s="6"/>
      <c r="S2909" s="6"/>
      <c r="T2909" s="6"/>
      <c r="U2909" s="6"/>
      <c r="V2909" s="6"/>
      <c r="W2909" s="6"/>
      <c r="X2909" s="6"/>
      <c r="Y2909" s="6"/>
      <c r="Z2909" s="6"/>
      <c r="AA2909" s="6"/>
      <c r="AB2909" s="6"/>
      <c r="AC2909" s="6"/>
      <c r="AD2909" s="6"/>
      <c r="AE2909" s="6"/>
      <c r="AF2909" s="6"/>
      <c r="AG2909" s="6"/>
      <c r="AH2909" s="6"/>
      <c r="AI2909" s="6"/>
      <c r="AJ2909" s="6"/>
      <c r="AK2909" s="6"/>
      <c r="AL2909" s="6"/>
      <c r="AM2909" s="6"/>
    </row>
    <row r="2910">
      <c r="A2910" s="6"/>
      <c r="B2910" s="6"/>
      <c r="C2910" s="6"/>
      <c r="D2910" s="6"/>
      <c r="E2910" s="6"/>
      <c r="F2910" s="6"/>
      <c r="G2910" s="6"/>
      <c r="H2910" s="6"/>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c r="AG2910" s="6"/>
      <c r="AH2910" s="6"/>
      <c r="AI2910" s="6"/>
      <c r="AJ2910" s="6"/>
      <c r="AK2910" s="6"/>
      <c r="AL2910" s="6"/>
      <c r="AM2910" s="6"/>
    </row>
    <row r="2911">
      <c r="A2911" s="6"/>
      <c r="B2911" s="6"/>
      <c r="C2911" s="6"/>
      <c r="D2911" s="6"/>
      <c r="E2911" s="6"/>
      <c r="F2911" s="6"/>
      <c r="G2911" s="6"/>
      <c r="H2911" s="6"/>
      <c r="I2911" s="6"/>
      <c r="J2911" s="6"/>
      <c r="K2911" s="6"/>
      <c r="L2911" s="6"/>
      <c r="M2911" s="6"/>
      <c r="N2911" s="6"/>
      <c r="O2911" s="6"/>
      <c r="P2911" s="6"/>
      <c r="Q2911" s="6"/>
      <c r="R2911" s="6"/>
      <c r="S2911" s="6"/>
      <c r="T2911" s="6"/>
      <c r="U2911" s="6"/>
      <c r="V2911" s="6"/>
      <c r="W2911" s="6"/>
      <c r="X2911" s="6"/>
      <c r="Y2911" s="6"/>
      <c r="Z2911" s="6"/>
      <c r="AA2911" s="6"/>
      <c r="AB2911" s="6"/>
      <c r="AC2911" s="6"/>
      <c r="AD2911" s="6"/>
      <c r="AE2911" s="6"/>
      <c r="AF2911" s="6"/>
      <c r="AG2911" s="6"/>
      <c r="AH2911" s="6"/>
      <c r="AI2911" s="6"/>
      <c r="AJ2911" s="6"/>
      <c r="AK2911" s="6"/>
      <c r="AL2911" s="6"/>
      <c r="AM2911" s="6"/>
    </row>
    <row r="2912">
      <c r="A2912" s="6"/>
      <c r="B2912" s="6"/>
      <c r="C2912" s="6"/>
      <c r="D2912" s="6"/>
      <c r="E2912" s="6"/>
      <c r="F2912" s="6"/>
      <c r="G2912" s="6"/>
      <c r="H2912" s="6"/>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c r="AG2912" s="6"/>
      <c r="AH2912" s="6"/>
      <c r="AI2912" s="6"/>
      <c r="AJ2912" s="6"/>
      <c r="AK2912" s="6"/>
      <c r="AL2912" s="6"/>
      <c r="AM2912" s="6"/>
    </row>
    <row r="2913">
      <c r="A2913" s="6"/>
      <c r="B2913" s="6"/>
      <c r="C2913" s="6"/>
      <c r="D2913" s="6"/>
      <c r="E2913" s="6"/>
      <c r="F2913" s="6"/>
      <c r="G2913" s="6"/>
      <c r="H2913" s="6"/>
      <c r="I2913" s="6"/>
      <c r="J2913" s="6"/>
      <c r="K2913" s="6"/>
      <c r="L2913" s="6"/>
      <c r="M2913" s="6"/>
      <c r="N2913" s="6"/>
      <c r="O2913" s="6"/>
      <c r="P2913" s="6"/>
      <c r="Q2913" s="6"/>
      <c r="R2913" s="6"/>
      <c r="S2913" s="6"/>
      <c r="T2913" s="6"/>
      <c r="U2913" s="6"/>
      <c r="V2913" s="6"/>
      <c r="W2913" s="6"/>
      <c r="X2913" s="6"/>
      <c r="Y2913" s="6"/>
      <c r="Z2913" s="6"/>
      <c r="AA2913" s="6"/>
      <c r="AB2913" s="6"/>
      <c r="AC2913" s="6"/>
      <c r="AD2913" s="6"/>
      <c r="AE2913" s="6"/>
      <c r="AF2913" s="6"/>
      <c r="AG2913" s="6"/>
      <c r="AH2913" s="6"/>
      <c r="AI2913" s="6"/>
      <c r="AJ2913" s="6"/>
      <c r="AK2913" s="6"/>
      <c r="AL2913" s="6"/>
      <c r="AM2913" s="6"/>
    </row>
    <row r="2914">
      <c r="A2914" s="6"/>
      <c r="B2914" s="6"/>
      <c r="C2914" s="6"/>
      <c r="D2914" s="6"/>
      <c r="E2914" s="6"/>
      <c r="F2914" s="6"/>
      <c r="G2914" s="6"/>
      <c r="H2914" s="6"/>
      <c r="I2914" s="6"/>
      <c r="J2914" s="6"/>
      <c r="K2914" s="6"/>
      <c r="L2914" s="6"/>
      <c r="M2914" s="6"/>
      <c r="N2914" s="6"/>
      <c r="O2914" s="6"/>
      <c r="P2914" s="6"/>
      <c r="Q2914" s="6"/>
      <c r="R2914" s="6"/>
      <c r="S2914" s="6"/>
      <c r="T2914" s="6"/>
      <c r="U2914" s="6"/>
      <c r="V2914" s="6"/>
      <c r="W2914" s="6"/>
      <c r="X2914" s="6"/>
      <c r="Y2914" s="6"/>
      <c r="Z2914" s="6"/>
      <c r="AA2914" s="6"/>
      <c r="AB2914" s="6"/>
      <c r="AC2914" s="6"/>
      <c r="AD2914" s="6"/>
      <c r="AE2914" s="6"/>
      <c r="AF2914" s="6"/>
      <c r="AG2914" s="6"/>
      <c r="AH2914" s="6"/>
      <c r="AI2914" s="6"/>
      <c r="AJ2914" s="6"/>
      <c r="AK2914" s="6"/>
      <c r="AL2914" s="6"/>
      <c r="AM2914" s="6"/>
    </row>
    <row r="2915">
      <c r="A2915" s="6"/>
      <c r="B2915" s="6"/>
      <c r="C2915" s="6"/>
      <c r="D2915" s="6"/>
      <c r="E2915" s="6"/>
      <c r="F2915" s="6"/>
      <c r="G2915" s="6"/>
      <c r="H2915" s="6"/>
      <c r="I2915" s="6"/>
      <c r="J2915" s="6"/>
      <c r="K2915" s="6"/>
      <c r="L2915" s="6"/>
      <c r="M2915" s="6"/>
      <c r="N2915" s="6"/>
      <c r="O2915" s="6"/>
      <c r="P2915" s="6"/>
      <c r="Q2915" s="6"/>
      <c r="R2915" s="6"/>
      <c r="S2915" s="6"/>
      <c r="T2915" s="6"/>
      <c r="U2915" s="6"/>
      <c r="V2915" s="6"/>
      <c r="W2915" s="6"/>
      <c r="X2915" s="6"/>
      <c r="Y2915" s="6"/>
      <c r="Z2915" s="6"/>
      <c r="AA2915" s="6"/>
      <c r="AB2915" s="6"/>
      <c r="AC2915" s="6"/>
      <c r="AD2915" s="6"/>
      <c r="AE2915" s="6"/>
      <c r="AF2915" s="6"/>
      <c r="AG2915" s="6"/>
      <c r="AH2915" s="6"/>
      <c r="AI2915" s="6"/>
      <c r="AJ2915" s="6"/>
      <c r="AK2915" s="6"/>
      <c r="AL2915" s="6"/>
      <c r="AM2915" s="6"/>
    </row>
    <row r="2916">
      <c r="A2916" s="6"/>
      <c r="B2916" s="6"/>
      <c r="C2916" s="6"/>
      <c r="D2916" s="6"/>
      <c r="E2916" s="6"/>
      <c r="F2916" s="6"/>
      <c r="G2916" s="6"/>
      <c r="H2916" s="6"/>
      <c r="I2916" s="6"/>
      <c r="J2916" s="6"/>
      <c r="K2916" s="6"/>
      <c r="L2916" s="6"/>
      <c r="M2916" s="6"/>
      <c r="N2916" s="6"/>
      <c r="O2916" s="6"/>
      <c r="P2916" s="6"/>
      <c r="Q2916" s="6"/>
      <c r="R2916" s="6"/>
      <c r="S2916" s="6"/>
      <c r="T2916" s="6"/>
      <c r="U2916" s="6"/>
      <c r="V2916" s="6"/>
      <c r="W2916" s="6"/>
      <c r="X2916" s="6"/>
      <c r="Y2916" s="6"/>
      <c r="Z2916" s="6"/>
      <c r="AA2916" s="6"/>
      <c r="AB2916" s="6"/>
      <c r="AC2916" s="6"/>
      <c r="AD2916" s="6"/>
      <c r="AE2916" s="6"/>
      <c r="AF2916" s="6"/>
      <c r="AG2916" s="6"/>
      <c r="AH2916" s="6"/>
      <c r="AI2916" s="6"/>
      <c r="AJ2916" s="6"/>
      <c r="AK2916" s="6"/>
      <c r="AL2916" s="6"/>
      <c r="AM2916" s="6"/>
    </row>
    <row r="2917">
      <c r="A2917" s="6"/>
      <c r="B2917" s="6"/>
      <c r="C2917" s="6"/>
      <c r="D2917" s="6"/>
      <c r="E2917" s="6"/>
      <c r="F2917" s="6"/>
      <c r="G2917" s="6"/>
      <c r="H2917" s="6"/>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c r="AG2917" s="6"/>
      <c r="AH2917" s="6"/>
      <c r="AI2917" s="6"/>
      <c r="AJ2917" s="6"/>
      <c r="AK2917" s="6"/>
      <c r="AL2917" s="6"/>
      <c r="AM2917" s="6"/>
    </row>
    <row r="2918">
      <c r="A2918" s="6"/>
      <c r="B2918" s="6"/>
      <c r="C2918" s="6"/>
      <c r="D2918" s="6"/>
      <c r="E2918" s="6"/>
      <c r="F2918" s="6"/>
      <c r="G2918" s="6"/>
      <c r="H2918" s="6"/>
      <c r="I2918" s="6"/>
      <c r="J2918" s="6"/>
      <c r="K2918" s="6"/>
      <c r="L2918" s="6"/>
      <c r="M2918" s="6"/>
      <c r="N2918" s="6"/>
      <c r="O2918" s="6"/>
      <c r="P2918" s="6"/>
      <c r="Q2918" s="6"/>
      <c r="R2918" s="6"/>
      <c r="S2918" s="6"/>
      <c r="T2918" s="6"/>
      <c r="U2918" s="6"/>
      <c r="V2918" s="6"/>
      <c r="W2918" s="6"/>
      <c r="X2918" s="6"/>
      <c r="Y2918" s="6"/>
      <c r="Z2918" s="6"/>
      <c r="AA2918" s="6"/>
      <c r="AB2918" s="6"/>
      <c r="AC2918" s="6"/>
      <c r="AD2918" s="6"/>
      <c r="AE2918" s="6"/>
      <c r="AF2918" s="6"/>
      <c r="AG2918" s="6"/>
      <c r="AH2918" s="6"/>
      <c r="AI2918" s="6"/>
      <c r="AJ2918" s="6"/>
      <c r="AK2918" s="6"/>
      <c r="AL2918" s="6"/>
      <c r="AM2918" s="6"/>
    </row>
    <row r="2919">
      <c r="A2919" s="6"/>
      <c r="B2919" s="6"/>
      <c r="C2919" s="6"/>
      <c r="D2919" s="6"/>
      <c r="E2919" s="6"/>
      <c r="F2919" s="6"/>
      <c r="G2919" s="6"/>
      <c r="H2919" s="6"/>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c r="AG2919" s="6"/>
      <c r="AH2919" s="6"/>
      <c r="AI2919" s="6"/>
      <c r="AJ2919" s="6"/>
      <c r="AK2919" s="6"/>
      <c r="AL2919" s="6"/>
      <c r="AM2919" s="6"/>
    </row>
    <row r="2920">
      <c r="A2920" s="6"/>
      <c r="B2920" s="6"/>
      <c r="C2920" s="6"/>
      <c r="D2920" s="6"/>
      <c r="E2920" s="6"/>
      <c r="F2920" s="6"/>
      <c r="G2920" s="6"/>
      <c r="H2920" s="6"/>
      <c r="I2920" s="6"/>
      <c r="J2920" s="6"/>
      <c r="K2920" s="6"/>
      <c r="L2920" s="6"/>
      <c r="M2920" s="6"/>
      <c r="N2920" s="6"/>
      <c r="O2920" s="6"/>
      <c r="P2920" s="6"/>
      <c r="Q2920" s="6"/>
      <c r="R2920" s="6"/>
      <c r="S2920" s="6"/>
      <c r="T2920" s="6"/>
      <c r="U2920" s="6"/>
      <c r="V2920" s="6"/>
      <c r="W2920" s="6"/>
      <c r="X2920" s="6"/>
      <c r="Y2920" s="6"/>
      <c r="Z2920" s="6"/>
      <c r="AA2920" s="6"/>
      <c r="AB2920" s="6"/>
      <c r="AC2920" s="6"/>
      <c r="AD2920" s="6"/>
      <c r="AE2920" s="6"/>
      <c r="AF2920" s="6"/>
      <c r="AG2920" s="6"/>
      <c r="AH2920" s="6"/>
      <c r="AI2920" s="6"/>
      <c r="AJ2920" s="6"/>
      <c r="AK2920" s="6"/>
      <c r="AL2920" s="6"/>
      <c r="AM2920" s="6"/>
    </row>
    <row r="2921">
      <c r="A2921" s="6"/>
      <c r="B2921" s="6"/>
      <c r="C2921" s="6"/>
      <c r="D2921" s="6"/>
      <c r="E2921" s="6"/>
      <c r="F2921" s="6"/>
      <c r="G2921" s="6"/>
      <c r="H2921" s="6"/>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c r="AG2921" s="6"/>
      <c r="AH2921" s="6"/>
      <c r="AI2921" s="6"/>
      <c r="AJ2921" s="6"/>
      <c r="AK2921" s="6"/>
      <c r="AL2921" s="6"/>
      <c r="AM2921" s="6"/>
    </row>
    <row r="2922">
      <c r="A2922" s="6"/>
      <c r="B2922" s="6"/>
      <c r="C2922" s="6"/>
      <c r="D2922" s="6"/>
      <c r="E2922" s="6"/>
      <c r="F2922" s="6"/>
      <c r="G2922" s="6"/>
      <c r="H2922" s="6"/>
      <c r="I2922" s="6"/>
      <c r="J2922" s="6"/>
      <c r="K2922" s="6"/>
      <c r="L2922" s="6"/>
      <c r="M2922" s="6"/>
      <c r="N2922" s="6"/>
      <c r="O2922" s="6"/>
      <c r="P2922" s="6"/>
      <c r="Q2922" s="6"/>
      <c r="R2922" s="6"/>
      <c r="S2922" s="6"/>
      <c r="T2922" s="6"/>
      <c r="U2922" s="6"/>
      <c r="V2922" s="6"/>
      <c r="W2922" s="6"/>
      <c r="X2922" s="6"/>
      <c r="Y2922" s="6"/>
      <c r="Z2922" s="6"/>
      <c r="AA2922" s="6"/>
      <c r="AB2922" s="6"/>
      <c r="AC2922" s="6"/>
      <c r="AD2922" s="6"/>
      <c r="AE2922" s="6"/>
      <c r="AF2922" s="6"/>
      <c r="AG2922" s="6"/>
      <c r="AH2922" s="6"/>
      <c r="AI2922" s="6"/>
      <c r="AJ2922" s="6"/>
      <c r="AK2922" s="6"/>
      <c r="AL2922" s="6"/>
      <c r="AM2922" s="6"/>
    </row>
    <row r="2923">
      <c r="A2923" s="6"/>
      <c r="B2923" s="6"/>
      <c r="C2923" s="6"/>
      <c r="D2923" s="6"/>
      <c r="E2923" s="6"/>
      <c r="F2923" s="6"/>
      <c r="G2923" s="6"/>
      <c r="H2923" s="6"/>
      <c r="I2923" s="6"/>
      <c r="J2923" s="6"/>
      <c r="K2923" s="6"/>
      <c r="L2923" s="6"/>
      <c r="M2923" s="6"/>
      <c r="N2923" s="6"/>
      <c r="O2923" s="6"/>
      <c r="P2923" s="6"/>
      <c r="Q2923" s="6"/>
      <c r="R2923" s="6"/>
      <c r="S2923" s="6"/>
      <c r="T2923" s="6"/>
      <c r="U2923" s="6"/>
      <c r="V2923" s="6"/>
      <c r="W2923" s="6"/>
      <c r="X2923" s="6"/>
      <c r="Y2923" s="6"/>
      <c r="Z2923" s="6"/>
      <c r="AA2923" s="6"/>
      <c r="AB2923" s="6"/>
      <c r="AC2923" s="6"/>
      <c r="AD2923" s="6"/>
      <c r="AE2923" s="6"/>
      <c r="AF2923" s="6"/>
      <c r="AG2923" s="6"/>
      <c r="AH2923" s="6"/>
      <c r="AI2923" s="6"/>
      <c r="AJ2923" s="6"/>
      <c r="AK2923" s="6"/>
      <c r="AL2923" s="6"/>
      <c r="AM2923" s="6"/>
    </row>
    <row r="2924">
      <c r="A2924" s="6"/>
      <c r="B2924" s="6"/>
      <c r="C2924" s="6"/>
      <c r="D2924" s="6"/>
      <c r="E2924" s="6"/>
      <c r="F2924" s="6"/>
      <c r="G2924" s="6"/>
      <c r="H2924" s="6"/>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c r="AG2924" s="6"/>
      <c r="AH2924" s="6"/>
      <c r="AI2924" s="6"/>
      <c r="AJ2924" s="6"/>
      <c r="AK2924" s="6"/>
      <c r="AL2924" s="6"/>
      <c r="AM2924" s="6"/>
    </row>
    <row r="2925">
      <c r="A2925" s="6"/>
      <c r="B2925" s="6"/>
      <c r="C2925" s="6"/>
      <c r="D2925" s="6"/>
      <c r="E2925" s="6"/>
      <c r="F2925" s="6"/>
      <c r="G2925" s="6"/>
      <c r="H2925" s="6"/>
      <c r="I2925" s="6"/>
      <c r="J2925" s="6"/>
      <c r="K2925" s="6"/>
      <c r="L2925" s="6"/>
      <c r="M2925" s="6"/>
      <c r="N2925" s="6"/>
      <c r="O2925" s="6"/>
      <c r="P2925" s="6"/>
      <c r="Q2925" s="6"/>
      <c r="R2925" s="6"/>
      <c r="S2925" s="6"/>
      <c r="T2925" s="6"/>
      <c r="U2925" s="6"/>
      <c r="V2925" s="6"/>
      <c r="W2925" s="6"/>
      <c r="X2925" s="6"/>
      <c r="Y2925" s="6"/>
      <c r="Z2925" s="6"/>
      <c r="AA2925" s="6"/>
      <c r="AB2925" s="6"/>
      <c r="AC2925" s="6"/>
      <c r="AD2925" s="6"/>
      <c r="AE2925" s="6"/>
      <c r="AF2925" s="6"/>
      <c r="AG2925" s="6"/>
      <c r="AH2925" s="6"/>
      <c r="AI2925" s="6"/>
      <c r="AJ2925" s="6"/>
      <c r="AK2925" s="6"/>
      <c r="AL2925" s="6"/>
      <c r="AM2925" s="6"/>
    </row>
    <row r="2926">
      <c r="A2926" s="6"/>
      <c r="B2926" s="6"/>
      <c r="C2926" s="6"/>
      <c r="D2926" s="6"/>
      <c r="E2926" s="6"/>
      <c r="F2926" s="6"/>
      <c r="G2926" s="6"/>
      <c r="H2926" s="6"/>
      <c r="I2926" s="6"/>
      <c r="J2926" s="6"/>
      <c r="K2926" s="6"/>
      <c r="L2926" s="6"/>
      <c r="M2926" s="6"/>
      <c r="N2926" s="6"/>
      <c r="O2926" s="6"/>
      <c r="P2926" s="6"/>
      <c r="Q2926" s="6"/>
      <c r="R2926" s="6"/>
      <c r="S2926" s="6"/>
      <c r="T2926" s="6"/>
      <c r="U2926" s="6"/>
      <c r="V2926" s="6"/>
      <c r="W2926" s="6"/>
      <c r="X2926" s="6"/>
      <c r="Y2926" s="6"/>
      <c r="Z2926" s="6"/>
      <c r="AA2926" s="6"/>
      <c r="AB2926" s="6"/>
      <c r="AC2926" s="6"/>
      <c r="AD2926" s="6"/>
      <c r="AE2926" s="6"/>
      <c r="AF2926" s="6"/>
      <c r="AG2926" s="6"/>
      <c r="AH2926" s="6"/>
      <c r="AI2926" s="6"/>
      <c r="AJ2926" s="6"/>
      <c r="AK2926" s="6"/>
      <c r="AL2926" s="6"/>
      <c r="AM2926" s="6"/>
    </row>
    <row r="2927">
      <c r="A2927" s="6"/>
      <c r="B2927" s="6"/>
      <c r="C2927" s="6"/>
      <c r="D2927" s="6"/>
      <c r="E2927" s="6"/>
      <c r="F2927" s="6"/>
      <c r="G2927" s="6"/>
      <c r="H2927" s="6"/>
      <c r="I2927" s="6"/>
      <c r="J2927" s="6"/>
      <c r="K2927" s="6"/>
      <c r="L2927" s="6"/>
      <c r="M2927" s="6"/>
      <c r="N2927" s="6"/>
      <c r="O2927" s="6"/>
      <c r="P2927" s="6"/>
      <c r="Q2927" s="6"/>
      <c r="R2927" s="6"/>
      <c r="S2927" s="6"/>
      <c r="T2927" s="6"/>
      <c r="U2927" s="6"/>
      <c r="V2927" s="6"/>
      <c r="W2927" s="6"/>
      <c r="X2927" s="6"/>
      <c r="Y2927" s="6"/>
      <c r="Z2927" s="6"/>
      <c r="AA2927" s="6"/>
      <c r="AB2927" s="6"/>
      <c r="AC2927" s="6"/>
      <c r="AD2927" s="6"/>
      <c r="AE2927" s="6"/>
      <c r="AF2927" s="6"/>
      <c r="AG2927" s="6"/>
      <c r="AH2927" s="6"/>
      <c r="AI2927" s="6"/>
      <c r="AJ2927" s="6"/>
      <c r="AK2927" s="6"/>
      <c r="AL2927" s="6"/>
      <c r="AM2927" s="6"/>
    </row>
    <row r="2928">
      <c r="A2928" s="6"/>
      <c r="B2928" s="6"/>
      <c r="C2928" s="6"/>
      <c r="D2928" s="6"/>
      <c r="E2928" s="6"/>
      <c r="F2928" s="6"/>
      <c r="G2928" s="6"/>
      <c r="H2928" s="6"/>
      <c r="I2928" s="6"/>
      <c r="J2928" s="6"/>
      <c r="K2928" s="6"/>
      <c r="L2928" s="6"/>
      <c r="M2928" s="6"/>
      <c r="N2928" s="6"/>
      <c r="O2928" s="6"/>
      <c r="P2928" s="6"/>
      <c r="Q2928" s="6"/>
      <c r="R2928" s="6"/>
      <c r="S2928" s="6"/>
      <c r="T2928" s="6"/>
      <c r="U2928" s="6"/>
      <c r="V2928" s="6"/>
      <c r="W2928" s="6"/>
      <c r="X2928" s="6"/>
      <c r="Y2928" s="6"/>
      <c r="Z2928" s="6"/>
      <c r="AA2928" s="6"/>
      <c r="AB2928" s="6"/>
      <c r="AC2928" s="6"/>
      <c r="AD2928" s="6"/>
      <c r="AE2928" s="6"/>
      <c r="AF2928" s="6"/>
      <c r="AG2928" s="6"/>
      <c r="AH2928" s="6"/>
      <c r="AI2928" s="6"/>
      <c r="AJ2928" s="6"/>
      <c r="AK2928" s="6"/>
      <c r="AL2928" s="6"/>
      <c r="AM2928" s="6"/>
    </row>
    <row r="2929">
      <c r="A2929" s="6"/>
      <c r="B2929" s="6"/>
      <c r="C2929" s="6"/>
      <c r="D2929" s="6"/>
      <c r="E2929" s="6"/>
      <c r="F2929" s="6"/>
      <c r="G2929" s="6"/>
      <c r="H2929" s="6"/>
      <c r="I2929" s="6"/>
      <c r="J2929" s="6"/>
      <c r="K2929" s="6"/>
      <c r="L2929" s="6"/>
      <c r="M2929" s="6"/>
      <c r="N2929" s="6"/>
      <c r="O2929" s="6"/>
      <c r="P2929" s="6"/>
      <c r="Q2929" s="6"/>
      <c r="R2929" s="6"/>
      <c r="S2929" s="6"/>
      <c r="T2929" s="6"/>
      <c r="U2929" s="6"/>
      <c r="V2929" s="6"/>
      <c r="W2929" s="6"/>
      <c r="X2929" s="6"/>
      <c r="Y2929" s="6"/>
      <c r="Z2929" s="6"/>
      <c r="AA2929" s="6"/>
      <c r="AB2929" s="6"/>
      <c r="AC2929" s="6"/>
      <c r="AD2929" s="6"/>
      <c r="AE2929" s="6"/>
      <c r="AF2929" s="6"/>
      <c r="AG2929" s="6"/>
      <c r="AH2929" s="6"/>
      <c r="AI2929" s="6"/>
      <c r="AJ2929" s="6"/>
      <c r="AK2929" s="6"/>
      <c r="AL2929" s="6"/>
      <c r="AM2929" s="6"/>
    </row>
    <row r="2930">
      <c r="A2930" s="6"/>
      <c r="B2930" s="6"/>
      <c r="C2930" s="6"/>
      <c r="D2930" s="6"/>
      <c r="E2930" s="6"/>
      <c r="F2930" s="6"/>
      <c r="G2930" s="6"/>
      <c r="H2930" s="6"/>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c r="AG2930" s="6"/>
      <c r="AH2930" s="6"/>
      <c r="AI2930" s="6"/>
      <c r="AJ2930" s="6"/>
      <c r="AK2930" s="6"/>
      <c r="AL2930" s="6"/>
      <c r="AM2930" s="6"/>
    </row>
    <row r="2931">
      <c r="A2931" s="6"/>
      <c r="B2931" s="6"/>
      <c r="C2931" s="6"/>
      <c r="D2931" s="6"/>
      <c r="E2931" s="6"/>
      <c r="F2931" s="6"/>
      <c r="G2931" s="6"/>
      <c r="H2931" s="6"/>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c r="AG2931" s="6"/>
      <c r="AH2931" s="6"/>
      <c r="AI2931" s="6"/>
      <c r="AJ2931" s="6"/>
      <c r="AK2931" s="6"/>
      <c r="AL2931" s="6"/>
      <c r="AM2931" s="6"/>
    </row>
    <row r="2932">
      <c r="A2932" s="6"/>
      <c r="B2932" s="6"/>
      <c r="C2932" s="6"/>
      <c r="D2932" s="6"/>
      <c r="E2932" s="6"/>
      <c r="F2932" s="6"/>
      <c r="G2932" s="6"/>
      <c r="H2932" s="6"/>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c r="AG2932" s="6"/>
      <c r="AH2932" s="6"/>
      <c r="AI2932" s="6"/>
      <c r="AJ2932" s="6"/>
      <c r="AK2932" s="6"/>
      <c r="AL2932" s="6"/>
      <c r="AM2932" s="6"/>
    </row>
    <row r="2933">
      <c r="A2933" s="6"/>
      <c r="B2933" s="6"/>
      <c r="C2933" s="6"/>
      <c r="D2933" s="6"/>
      <c r="E2933" s="6"/>
      <c r="F2933" s="6"/>
      <c r="G2933" s="6"/>
      <c r="H2933" s="6"/>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c r="AG2933" s="6"/>
      <c r="AH2933" s="6"/>
      <c r="AI2933" s="6"/>
      <c r="AJ2933" s="6"/>
      <c r="AK2933" s="6"/>
      <c r="AL2933" s="6"/>
      <c r="AM2933" s="6"/>
    </row>
    <row r="2934">
      <c r="A2934" s="6"/>
      <c r="B2934" s="6"/>
      <c r="C2934" s="6"/>
      <c r="D2934" s="6"/>
      <c r="E2934" s="6"/>
      <c r="F2934" s="6"/>
      <c r="G2934" s="6"/>
      <c r="H2934" s="6"/>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c r="AG2934" s="6"/>
      <c r="AH2934" s="6"/>
      <c r="AI2934" s="6"/>
      <c r="AJ2934" s="6"/>
      <c r="AK2934" s="6"/>
      <c r="AL2934" s="6"/>
      <c r="AM2934" s="6"/>
    </row>
    <row r="2935">
      <c r="A2935" s="6"/>
      <c r="B2935" s="6"/>
      <c r="C2935" s="6"/>
      <c r="D2935" s="6"/>
      <c r="E2935" s="6"/>
      <c r="F2935" s="6"/>
      <c r="G2935" s="6"/>
      <c r="H2935" s="6"/>
      <c r="I2935" s="6"/>
      <c r="J2935" s="6"/>
      <c r="K2935" s="6"/>
      <c r="L2935" s="6"/>
      <c r="M2935" s="6"/>
      <c r="N2935" s="6"/>
      <c r="O2935" s="6"/>
      <c r="P2935" s="6"/>
      <c r="Q2935" s="6"/>
      <c r="R2935" s="6"/>
      <c r="S2935" s="6"/>
      <c r="T2935" s="6"/>
      <c r="U2935" s="6"/>
      <c r="V2935" s="6"/>
      <c r="W2935" s="6"/>
      <c r="X2935" s="6"/>
      <c r="Y2935" s="6"/>
      <c r="Z2935" s="6"/>
      <c r="AA2935" s="6"/>
      <c r="AB2935" s="6"/>
      <c r="AC2935" s="6"/>
      <c r="AD2935" s="6"/>
      <c r="AE2935" s="6"/>
      <c r="AF2935" s="6"/>
      <c r="AG2935" s="6"/>
      <c r="AH2935" s="6"/>
      <c r="AI2935" s="6"/>
      <c r="AJ2935" s="6"/>
      <c r="AK2935" s="6"/>
      <c r="AL2935" s="6"/>
      <c r="AM2935" s="6"/>
    </row>
    <row r="2936">
      <c r="A2936" s="6"/>
      <c r="B2936" s="6"/>
      <c r="C2936" s="6"/>
      <c r="D2936" s="6"/>
      <c r="E2936" s="6"/>
      <c r="F2936" s="6"/>
      <c r="G2936" s="6"/>
      <c r="H2936" s="6"/>
      <c r="I2936" s="6"/>
      <c r="J2936" s="6"/>
      <c r="K2936" s="6"/>
      <c r="L2936" s="6"/>
      <c r="M2936" s="6"/>
      <c r="N2936" s="6"/>
      <c r="O2936" s="6"/>
      <c r="P2936" s="6"/>
      <c r="Q2936" s="6"/>
      <c r="R2936" s="6"/>
      <c r="S2936" s="6"/>
      <c r="T2936" s="6"/>
      <c r="U2936" s="6"/>
      <c r="V2936" s="6"/>
      <c r="W2936" s="6"/>
      <c r="X2936" s="6"/>
      <c r="Y2936" s="6"/>
      <c r="Z2936" s="6"/>
      <c r="AA2936" s="6"/>
      <c r="AB2936" s="6"/>
      <c r="AC2936" s="6"/>
      <c r="AD2936" s="6"/>
      <c r="AE2936" s="6"/>
      <c r="AF2936" s="6"/>
      <c r="AG2936" s="6"/>
      <c r="AH2936" s="6"/>
      <c r="AI2936" s="6"/>
      <c r="AJ2936" s="6"/>
      <c r="AK2936" s="6"/>
      <c r="AL2936" s="6"/>
      <c r="AM2936" s="6"/>
    </row>
    <row r="2937">
      <c r="A2937" s="6"/>
      <c r="B2937" s="6"/>
      <c r="C2937" s="6"/>
      <c r="D2937" s="6"/>
      <c r="E2937" s="6"/>
      <c r="F2937" s="6"/>
      <c r="G2937" s="6"/>
      <c r="H2937" s="6"/>
      <c r="I2937" s="6"/>
      <c r="J2937" s="6"/>
      <c r="K2937" s="6"/>
      <c r="L2937" s="6"/>
      <c r="M2937" s="6"/>
      <c r="N2937" s="6"/>
      <c r="O2937" s="6"/>
      <c r="P2937" s="6"/>
      <c r="Q2937" s="6"/>
      <c r="R2937" s="6"/>
      <c r="S2937" s="6"/>
      <c r="T2937" s="6"/>
      <c r="U2937" s="6"/>
      <c r="V2937" s="6"/>
      <c r="W2937" s="6"/>
      <c r="X2937" s="6"/>
      <c r="Y2937" s="6"/>
      <c r="Z2937" s="6"/>
      <c r="AA2937" s="6"/>
      <c r="AB2937" s="6"/>
      <c r="AC2937" s="6"/>
      <c r="AD2937" s="6"/>
      <c r="AE2937" s="6"/>
      <c r="AF2937" s="6"/>
      <c r="AG2937" s="6"/>
      <c r="AH2937" s="6"/>
      <c r="AI2937" s="6"/>
      <c r="AJ2937" s="6"/>
      <c r="AK2937" s="6"/>
      <c r="AL2937" s="6"/>
      <c r="AM2937" s="6"/>
    </row>
    <row r="2938">
      <c r="A2938" s="6"/>
      <c r="B2938" s="6"/>
      <c r="C2938" s="6"/>
      <c r="D2938" s="6"/>
      <c r="E2938" s="6"/>
      <c r="F2938" s="6"/>
      <c r="G2938" s="6"/>
      <c r="H2938" s="6"/>
      <c r="I2938" s="6"/>
      <c r="J2938" s="6"/>
      <c r="K2938" s="6"/>
      <c r="L2938" s="6"/>
      <c r="M2938" s="6"/>
      <c r="N2938" s="6"/>
      <c r="O2938" s="6"/>
      <c r="P2938" s="6"/>
      <c r="Q2938" s="6"/>
      <c r="R2938" s="6"/>
      <c r="S2938" s="6"/>
      <c r="T2938" s="6"/>
      <c r="U2938" s="6"/>
      <c r="V2938" s="6"/>
      <c r="W2938" s="6"/>
      <c r="X2938" s="6"/>
      <c r="Y2938" s="6"/>
      <c r="Z2938" s="6"/>
      <c r="AA2938" s="6"/>
      <c r="AB2938" s="6"/>
      <c r="AC2938" s="6"/>
      <c r="AD2938" s="6"/>
      <c r="AE2938" s="6"/>
      <c r="AF2938" s="6"/>
      <c r="AG2938" s="6"/>
      <c r="AH2938" s="6"/>
      <c r="AI2938" s="6"/>
      <c r="AJ2938" s="6"/>
      <c r="AK2938" s="6"/>
      <c r="AL2938" s="6"/>
      <c r="AM2938" s="6"/>
    </row>
    <row r="2939">
      <c r="A2939" s="6"/>
      <c r="B2939" s="6"/>
      <c r="C2939" s="6"/>
      <c r="D2939" s="6"/>
      <c r="E2939" s="6"/>
      <c r="F2939" s="6"/>
      <c r="G2939" s="6"/>
      <c r="H2939" s="6"/>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c r="AG2939" s="6"/>
      <c r="AH2939" s="6"/>
      <c r="AI2939" s="6"/>
      <c r="AJ2939" s="6"/>
      <c r="AK2939" s="6"/>
      <c r="AL2939" s="6"/>
      <c r="AM2939" s="6"/>
    </row>
    <row r="2940">
      <c r="A2940" s="6"/>
      <c r="B2940" s="6"/>
      <c r="C2940" s="6"/>
      <c r="D2940" s="6"/>
      <c r="E2940" s="6"/>
      <c r="F2940" s="6"/>
      <c r="G2940" s="6"/>
      <c r="H2940" s="6"/>
      <c r="I2940" s="6"/>
      <c r="J2940" s="6"/>
      <c r="K2940" s="6"/>
      <c r="L2940" s="6"/>
      <c r="M2940" s="6"/>
      <c r="N2940" s="6"/>
      <c r="O2940" s="6"/>
      <c r="P2940" s="6"/>
      <c r="Q2940" s="6"/>
      <c r="R2940" s="6"/>
      <c r="S2940" s="6"/>
      <c r="T2940" s="6"/>
      <c r="U2940" s="6"/>
      <c r="V2940" s="6"/>
      <c r="W2940" s="6"/>
      <c r="X2940" s="6"/>
      <c r="Y2940" s="6"/>
      <c r="Z2940" s="6"/>
      <c r="AA2940" s="6"/>
      <c r="AB2940" s="6"/>
      <c r="AC2940" s="6"/>
      <c r="AD2940" s="6"/>
      <c r="AE2940" s="6"/>
      <c r="AF2940" s="6"/>
      <c r="AG2940" s="6"/>
      <c r="AH2940" s="6"/>
      <c r="AI2940" s="6"/>
      <c r="AJ2940" s="6"/>
      <c r="AK2940" s="6"/>
      <c r="AL2940" s="6"/>
      <c r="AM2940" s="6"/>
    </row>
    <row r="2941">
      <c r="A2941" s="6"/>
      <c r="B2941" s="6"/>
      <c r="C2941" s="6"/>
      <c r="D2941" s="6"/>
      <c r="E2941" s="6"/>
      <c r="F2941" s="6"/>
      <c r="G2941" s="6"/>
      <c r="H2941" s="6"/>
      <c r="I2941" s="6"/>
      <c r="J2941" s="6"/>
      <c r="K2941" s="6"/>
      <c r="L2941" s="6"/>
      <c r="M2941" s="6"/>
      <c r="N2941" s="6"/>
      <c r="O2941" s="6"/>
      <c r="P2941" s="6"/>
      <c r="Q2941" s="6"/>
      <c r="R2941" s="6"/>
      <c r="S2941" s="6"/>
      <c r="T2941" s="6"/>
      <c r="U2941" s="6"/>
      <c r="V2941" s="6"/>
      <c r="W2941" s="6"/>
      <c r="X2941" s="6"/>
      <c r="Y2941" s="6"/>
      <c r="Z2941" s="6"/>
      <c r="AA2941" s="6"/>
      <c r="AB2941" s="6"/>
      <c r="AC2941" s="6"/>
      <c r="AD2941" s="6"/>
      <c r="AE2941" s="6"/>
      <c r="AF2941" s="6"/>
      <c r="AG2941" s="6"/>
      <c r="AH2941" s="6"/>
      <c r="AI2941" s="6"/>
      <c r="AJ2941" s="6"/>
      <c r="AK2941" s="6"/>
      <c r="AL2941" s="6"/>
      <c r="AM2941" s="6"/>
    </row>
    <row r="2942">
      <c r="A2942" s="6"/>
      <c r="B2942" s="6"/>
      <c r="C2942" s="6"/>
      <c r="D2942" s="6"/>
      <c r="E2942" s="6"/>
      <c r="F2942" s="6"/>
      <c r="G2942" s="6"/>
      <c r="H2942" s="6"/>
      <c r="I2942" s="6"/>
      <c r="J2942" s="6"/>
      <c r="K2942" s="6"/>
      <c r="L2942" s="6"/>
      <c r="M2942" s="6"/>
      <c r="N2942" s="6"/>
      <c r="O2942" s="6"/>
      <c r="P2942" s="6"/>
      <c r="Q2942" s="6"/>
      <c r="R2942" s="6"/>
      <c r="S2942" s="6"/>
      <c r="T2942" s="6"/>
      <c r="U2942" s="6"/>
      <c r="V2942" s="6"/>
      <c r="W2942" s="6"/>
      <c r="X2942" s="6"/>
      <c r="Y2942" s="6"/>
      <c r="Z2942" s="6"/>
      <c r="AA2942" s="6"/>
      <c r="AB2942" s="6"/>
      <c r="AC2942" s="6"/>
      <c r="AD2942" s="6"/>
      <c r="AE2942" s="6"/>
      <c r="AF2942" s="6"/>
      <c r="AG2942" s="6"/>
      <c r="AH2942" s="6"/>
      <c r="AI2942" s="6"/>
      <c r="AJ2942" s="6"/>
      <c r="AK2942" s="6"/>
      <c r="AL2942" s="6"/>
      <c r="AM2942" s="6"/>
    </row>
    <row r="2943">
      <c r="A2943" s="6"/>
      <c r="B2943" s="6"/>
      <c r="C2943" s="6"/>
      <c r="D2943" s="6"/>
      <c r="E2943" s="6"/>
      <c r="F2943" s="6"/>
      <c r="G2943" s="6"/>
      <c r="H2943" s="6"/>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c r="AG2943" s="6"/>
      <c r="AH2943" s="6"/>
      <c r="AI2943" s="6"/>
      <c r="AJ2943" s="6"/>
      <c r="AK2943" s="6"/>
      <c r="AL2943" s="6"/>
      <c r="AM2943" s="6"/>
    </row>
    <row r="2944">
      <c r="A2944" s="6"/>
      <c r="B2944" s="6"/>
      <c r="C2944" s="6"/>
      <c r="D2944" s="6"/>
      <c r="E2944" s="6"/>
      <c r="F2944" s="6"/>
      <c r="G2944" s="6"/>
      <c r="H2944" s="6"/>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c r="AG2944" s="6"/>
      <c r="AH2944" s="6"/>
      <c r="AI2944" s="6"/>
      <c r="AJ2944" s="6"/>
      <c r="AK2944" s="6"/>
      <c r="AL2944" s="6"/>
      <c r="AM2944" s="6"/>
    </row>
    <row r="2945">
      <c r="A2945" s="6"/>
      <c r="B2945" s="6"/>
      <c r="C2945" s="6"/>
      <c r="D2945" s="6"/>
      <c r="E2945" s="6"/>
      <c r="F2945" s="6"/>
      <c r="G2945" s="6"/>
      <c r="H2945" s="6"/>
      <c r="I2945" s="6"/>
      <c r="J2945" s="6"/>
      <c r="K2945" s="6"/>
      <c r="L2945" s="6"/>
      <c r="M2945" s="6"/>
      <c r="N2945" s="6"/>
      <c r="O2945" s="6"/>
      <c r="P2945" s="6"/>
      <c r="Q2945" s="6"/>
      <c r="R2945" s="6"/>
      <c r="S2945" s="6"/>
      <c r="T2945" s="6"/>
      <c r="U2945" s="6"/>
      <c r="V2945" s="6"/>
      <c r="W2945" s="6"/>
      <c r="X2945" s="6"/>
      <c r="Y2945" s="6"/>
      <c r="Z2945" s="6"/>
      <c r="AA2945" s="6"/>
      <c r="AB2945" s="6"/>
      <c r="AC2945" s="6"/>
      <c r="AD2945" s="6"/>
      <c r="AE2945" s="6"/>
      <c r="AF2945" s="6"/>
      <c r="AG2945" s="6"/>
      <c r="AH2945" s="6"/>
      <c r="AI2945" s="6"/>
      <c r="AJ2945" s="6"/>
      <c r="AK2945" s="6"/>
      <c r="AL2945" s="6"/>
      <c r="AM2945" s="6"/>
    </row>
    <row r="2946">
      <c r="A2946" s="6"/>
      <c r="B2946" s="6"/>
      <c r="C2946" s="6"/>
      <c r="D2946" s="6"/>
      <c r="E2946" s="6"/>
      <c r="F2946" s="6"/>
      <c r="G2946" s="6"/>
      <c r="H2946" s="6"/>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c r="AG2946" s="6"/>
      <c r="AH2946" s="6"/>
      <c r="AI2946" s="6"/>
      <c r="AJ2946" s="6"/>
      <c r="AK2946" s="6"/>
      <c r="AL2946" s="6"/>
      <c r="AM2946" s="6"/>
    </row>
    <row r="2947">
      <c r="A2947" s="6"/>
      <c r="B2947" s="6"/>
      <c r="C2947" s="6"/>
      <c r="D2947" s="6"/>
      <c r="E2947" s="6"/>
      <c r="F2947" s="6"/>
      <c r="G2947" s="6"/>
      <c r="H2947" s="6"/>
      <c r="I2947" s="6"/>
      <c r="J2947" s="6"/>
      <c r="K2947" s="6"/>
      <c r="L2947" s="6"/>
      <c r="M2947" s="6"/>
      <c r="N2947" s="6"/>
      <c r="O2947" s="6"/>
      <c r="P2947" s="6"/>
      <c r="Q2947" s="6"/>
      <c r="R2947" s="6"/>
      <c r="S2947" s="6"/>
      <c r="T2947" s="6"/>
      <c r="U2947" s="6"/>
      <c r="V2947" s="6"/>
      <c r="W2947" s="6"/>
      <c r="X2947" s="6"/>
      <c r="Y2947" s="6"/>
      <c r="Z2947" s="6"/>
      <c r="AA2947" s="6"/>
      <c r="AB2947" s="6"/>
      <c r="AC2947" s="6"/>
      <c r="AD2947" s="6"/>
      <c r="AE2947" s="6"/>
      <c r="AF2947" s="6"/>
      <c r="AG2947" s="6"/>
      <c r="AH2947" s="6"/>
      <c r="AI2947" s="6"/>
      <c r="AJ2947" s="6"/>
      <c r="AK2947" s="6"/>
      <c r="AL2947" s="6"/>
      <c r="AM2947" s="6"/>
    </row>
    <row r="2948">
      <c r="A2948" s="6"/>
      <c r="B2948" s="6"/>
      <c r="C2948" s="6"/>
      <c r="D2948" s="6"/>
      <c r="E2948" s="6"/>
      <c r="F2948" s="6"/>
      <c r="G2948" s="6"/>
      <c r="H2948" s="6"/>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c r="AG2948" s="6"/>
      <c r="AH2948" s="6"/>
      <c r="AI2948" s="6"/>
      <c r="AJ2948" s="6"/>
      <c r="AK2948" s="6"/>
      <c r="AL2948" s="6"/>
      <c r="AM2948" s="6"/>
    </row>
    <row r="2949">
      <c r="A2949" s="6"/>
      <c r="B2949" s="6"/>
      <c r="C2949" s="6"/>
      <c r="D2949" s="6"/>
      <c r="E2949" s="6"/>
      <c r="F2949" s="6"/>
      <c r="G2949" s="6"/>
      <c r="H2949" s="6"/>
      <c r="I2949" s="6"/>
      <c r="J2949" s="6"/>
      <c r="K2949" s="6"/>
      <c r="L2949" s="6"/>
      <c r="M2949" s="6"/>
      <c r="N2949" s="6"/>
      <c r="O2949" s="6"/>
      <c r="P2949" s="6"/>
      <c r="Q2949" s="6"/>
      <c r="R2949" s="6"/>
      <c r="S2949" s="6"/>
      <c r="T2949" s="6"/>
      <c r="U2949" s="6"/>
      <c r="V2949" s="6"/>
      <c r="W2949" s="6"/>
      <c r="X2949" s="6"/>
      <c r="Y2949" s="6"/>
      <c r="Z2949" s="6"/>
      <c r="AA2949" s="6"/>
      <c r="AB2949" s="6"/>
      <c r="AC2949" s="6"/>
      <c r="AD2949" s="6"/>
      <c r="AE2949" s="6"/>
      <c r="AF2949" s="6"/>
      <c r="AG2949" s="6"/>
      <c r="AH2949" s="6"/>
      <c r="AI2949" s="6"/>
      <c r="AJ2949" s="6"/>
      <c r="AK2949" s="6"/>
      <c r="AL2949" s="6"/>
      <c r="AM2949" s="6"/>
    </row>
    <row r="2950">
      <c r="A2950" s="6"/>
      <c r="B2950" s="6"/>
      <c r="C2950" s="6"/>
      <c r="D2950" s="6"/>
      <c r="E2950" s="6"/>
      <c r="F2950" s="6"/>
      <c r="G2950" s="6"/>
      <c r="H2950" s="6"/>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c r="AG2950" s="6"/>
      <c r="AH2950" s="6"/>
      <c r="AI2950" s="6"/>
      <c r="AJ2950" s="6"/>
      <c r="AK2950" s="6"/>
      <c r="AL2950" s="6"/>
      <c r="AM2950" s="6"/>
    </row>
    <row r="2951">
      <c r="A2951" s="6"/>
      <c r="B2951" s="6"/>
      <c r="C2951" s="6"/>
      <c r="D2951" s="6"/>
      <c r="E2951" s="6"/>
      <c r="F2951" s="6"/>
      <c r="G2951" s="6"/>
      <c r="H2951" s="6"/>
      <c r="I2951" s="6"/>
      <c r="J2951" s="6"/>
      <c r="K2951" s="6"/>
      <c r="L2951" s="6"/>
      <c r="M2951" s="6"/>
      <c r="N2951" s="6"/>
      <c r="O2951" s="6"/>
      <c r="P2951" s="6"/>
      <c r="Q2951" s="6"/>
      <c r="R2951" s="6"/>
      <c r="S2951" s="6"/>
      <c r="T2951" s="6"/>
      <c r="U2951" s="6"/>
      <c r="V2951" s="6"/>
      <c r="W2951" s="6"/>
      <c r="X2951" s="6"/>
      <c r="Y2951" s="6"/>
      <c r="Z2951" s="6"/>
      <c r="AA2951" s="6"/>
      <c r="AB2951" s="6"/>
      <c r="AC2951" s="6"/>
      <c r="AD2951" s="6"/>
      <c r="AE2951" s="6"/>
      <c r="AF2951" s="6"/>
      <c r="AG2951" s="6"/>
      <c r="AH2951" s="6"/>
      <c r="AI2951" s="6"/>
      <c r="AJ2951" s="6"/>
      <c r="AK2951" s="6"/>
      <c r="AL2951" s="6"/>
      <c r="AM2951" s="6"/>
    </row>
    <row r="2952">
      <c r="A2952" s="6"/>
      <c r="B2952" s="6"/>
      <c r="C2952" s="6"/>
      <c r="D2952" s="6"/>
      <c r="E2952" s="6"/>
      <c r="F2952" s="6"/>
      <c r="G2952" s="6"/>
      <c r="H2952" s="6"/>
      <c r="I2952" s="6"/>
      <c r="J2952" s="6"/>
      <c r="K2952" s="6"/>
      <c r="L2952" s="6"/>
      <c r="M2952" s="6"/>
      <c r="N2952" s="6"/>
      <c r="O2952" s="6"/>
      <c r="P2952" s="6"/>
      <c r="Q2952" s="6"/>
      <c r="R2952" s="6"/>
      <c r="S2952" s="6"/>
      <c r="T2952" s="6"/>
      <c r="U2952" s="6"/>
      <c r="V2952" s="6"/>
      <c r="W2952" s="6"/>
      <c r="X2952" s="6"/>
      <c r="Y2952" s="6"/>
      <c r="Z2952" s="6"/>
      <c r="AA2952" s="6"/>
      <c r="AB2952" s="6"/>
      <c r="AC2952" s="6"/>
      <c r="AD2952" s="6"/>
      <c r="AE2952" s="6"/>
      <c r="AF2952" s="6"/>
      <c r="AG2952" s="6"/>
      <c r="AH2952" s="6"/>
      <c r="AI2952" s="6"/>
      <c r="AJ2952" s="6"/>
      <c r="AK2952" s="6"/>
      <c r="AL2952" s="6"/>
      <c r="AM2952" s="6"/>
    </row>
    <row r="2953">
      <c r="A2953" s="6"/>
      <c r="B2953" s="6"/>
      <c r="C2953" s="6"/>
      <c r="D2953" s="6"/>
      <c r="E2953" s="6"/>
      <c r="F2953" s="6"/>
      <c r="G2953" s="6"/>
      <c r="H2953" s="6"/>
      <c r="I2953" s="6"/>
      <c r="J2953" s="6"/>
      <c r="K2953" s="6"/>
      <c r="L2953" s="6"/>
      <c r="M2953" s="6"/>
      <c r="N2953" s="6"/>
      <c r="O2953" s="6"/>
      <c r="P2953" s="6"/>
      <c r="Q2953" s="6"/>
      <c r="R2953" s="6"/>
      <c r="S2953" s="6"/>
      <c r="T2953" s="6"/>
      <c r="U2953" s="6"/>
      <c r="V2953" s="6"/>
      <c r="W2953" s="6"/>
      <c r="X2953" s="6"/>
      <c r="Y2953" s="6"/>
      <c r="Z2953" s="6"/>
      <c r="AA2953" s="6"/>
      <c r="AB2953" s="6"/>
      <c r="AC2953" s="6"/>
      <c r="AD2953" s="6"/>
      <c r="AE2953" s="6"/>
      <c r="AF2953" s="6"/>
      <c r="AG2953" s="6"/>
      <c r="AH2953" s="6"/>
      <c r="AI2953" s="6"/>
      <c r="AJ2953" s="6"/>
      <c r="AK2953" s="6"/>
      <c r="AL2953" s="6"/>
      <c r="AM2953" s="6"/>
    </row>
    <row r="2954">
      <c r="A2954" s="6"/>
      <c r="B2954" s="6"/>
      <c r="C2954" s="6"/>
      <c r="D2954" s="6"/>
      <c r="E2954" s="6"/>
      <c r="F2954" s="6"/>
      <c r="G2954" s="6"/>
      <c r="H2954" s="6"/>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c r="AG2954" s="6"/>
      <c r="AH2954" s="6"/>
      <c r="AI2954" s="6"/>
      <c r="AJ2954" s="6"/>
      <c r="AK2954" s="6"/>
      <c r="AL2954" s="6"/>
      <c r="AM2954" s="6"/>
    </row>
    <row r="2955">
      <c r="A2955" s="6"/>
      <c r="B2955" s="6"/>
      <c r="C2955" s="6"/>
      <c r="D2955" s="6"/>
      <c r="E2955" s="6"/>
      <c r="F2955" s="6"/>
      <c r="G2955" s="6"/>
      <c r="H2955" s="6"/>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c r="AG2955" s="6"/>
      <c r="AH2955" s="6"/>
      <c r="AI2955" s="6"/>
      <c r="AJ2955" s="6"/>
      <c r="AK2955" s="6"/>
      <c r="AL2955" s="6"/>
      <c r="AM2955" s="6"/>
    </row>
    <row r="2956">
      <c r="A2956" s="6"/>
      <c r="B2956" s="6"/>
      <c r="C2956" s="6"/>
      <c r="D2956" s="6"/>
      <c r="E2956" s="6"/>
      <c r="F2956" s="6"/>
      <c r="G2956" s="6"/>
      <c r="H2956" s="6"/>
      <c r="I2956" s="6"/>
      <c r="J2956" s="6"/>
      <c r="K2956" s="6"/>
      <c r="L2956" s="6"/>
      <c r="M2956" s="6"/>
      <c r="N2956" s="6"/>
      <c r="O2956" s="6"/>
      <c r="P2956" s="6"/>
      <c r="Q2956" s="6"/>
      <c r="R2956" s="6"/>
      <c r="S2956" s="6"/>
      <c r="T2956" s="6"/>
      <c r="U2956" s="6"/>
      <c r="V2956" s="6"/>
      <c r="W2956" s="6"/>
      <c r="X2956" s="6"/>
      <c r="Y2956" s="6"/>
      <c r="Z2956" s="6"/>
      <c r="AA2956" s="6"/>
      <c r="AB2956" s="6"/>
      <c r="AC2956" s="6"/>
      <c r="AD2956" s="6"/>
      <c r="AE2956" s="6"/>
      <c r="AF2956" s="6"/>
      <c r="AG2956" s="6"/>
      <c r="AH2956" s="6"/>
      <c r="AI2956" s="6"/>
      <c r="AJ2956" s="6"/>
      <c r="AK2956" s="6"/>
      <c r="AL2956" s="6"/>
      <c r="AM2956" s="6"/>
    </row>
    <row r="2957">
      <c r="A2957" s="6"/>
      <c r="B2957" s="6"/>
      <c r="C2957" s="6"/>
      <c r="D2957" s="6"/>
      <c r="E2957" s="6"/>
      <c r="F2957" s="6"/>
      <c r="G2957" s="6"/>
      <c r="H2957" s="6"/>
      <c r="I2957" s="6"/>
      <c r="J2957" s="6"/>
      <c r="K2957" s="6"/>
      <c r="L2957" s="6"/>
      <c r="M2957" s="6"/>
      <c r="N2957" s="6"/>
      <c r="O2957" s="6"/>
      <c r="P2957" s="6"/>
      <c r="Q2957" s="6"/>
      <c r="R2957" s="6"/>
      <c r="S2957" s="6"/>
      <c r="T2957" s="6"/>
      <c r="U2957" s="6"/>
      <c r="V2957" s="6"/>
      <c r="W2957" s="6"/>
      <c r="X2957" s="6"/>
      <c r="Y2957" s="6"/>
      <c r="Z2957" s="6"/>
      <c r="AA2957" s="6"/>
      <c r="AB2957" s="6"/>
      <c r="AC2957" s="6"/>
      <c r="AD2957" s="6"/>
      <c r="AE2957" s="6"/>
      <c r="AF2957" s="6"/>
      <c r="AG2957" s="6"/>
      <c r="AH2957" s="6"/>
      <c r="AI2957" s="6"/>
      <c r="AJ2957" s="6"/>
      <c r="AK2957" s="6"/>
      <c r="AL2957" s="6"/>
      <c r="AM2957" s="6"/>
    </row>
    <row r="2958">
      <c r="A2958" s="6"/>
      <c r="B2958" s="6"/>
      <c r="C2958" s="6"/>
      <c r="D2958" s="6"/>
      <c r="E2958" s="6"/>
      <c r="F2958" s="6"/>
      <c r="G2958" s="6"/>
      <c r="H2958" s="6"/>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c r="AG2958" s="6"/>
      <c r="AH2958" s="6"/>
      <c r="AI2958" s="6"/>
      <c r="AJ2958" s="6"/>
      <c r="AK2958" s="6"/>
      <c r="AL2958" s="6"/>
      <c r="AM2958" s="6"/>
    </row>
    <row r="2959">
      <c r="A2959" s="6"/>
      <c r="B2959" s="6"/>
      <c r="C2959" s="6"/>
      <c r="D2959" s="6"/>
      <c r="E2959" s="6"/>
      <c r="F2959" s="6"/>
      <c r="G2959" s="6"/>
      <c r="H2959" s="6"/>
      <c r="I2959" s="6"/>
      <c r="J2959" s="6"/>
      <c r="K2959" s="6"/>
      <c r="L2959" s="6"/>
      <c r="M2959" s="6"/>
      <c r="N2959" s="6"/>
      <c r="O2959" s="6"/>
      <c r="P2959" s="6"/>
      <c r="Q2959" s="6"/>
      <c r="R2959" s="6"/>
      <c r="S2959" s="6"/>
      <c r="T2959" s="6"/>
      <c r="U2959" s="6"/>
      <c r="V2959" s="6"/>
      <c r="W2959" s="6"/>
      <c r="X2959" s="6"/>
      <c r="Y2959" s="6"/>
      <c r="Z2959" s="6"/>
      <c r="AA2959" s="6"/>
      <c r="AB2959" s="6"/>
      <c r="AC2959" s="6"/>
      <c r="AD2959" s="6"/>
      <c r="AE2959" s="6"/>
      <c r="AF2959" s="6"/>
      <c r="AG2959" s="6"/>
      <c r="AH2959" s="6"/>
      <c r="AI2959" s="6"/>
      <c r="AJ2959" s="6"/>
      <c r="AK2959" s="6"/>
      <c r="AL2959" s="6"/>
      <c r="AM2959" s="6"/>
    </row>
    <row r="2960">
      <c r="A2960" s="6"/>
      <c r="B2960" s="6"/>
      <c r="C2960" s="6"/>
      <c r="D2960" s="6"/>
      <c r="E2960" s="6"/>
      <c r="F2960" s="6"/>
      <c r="G2960" s="6"/>
      <c r="H2960" s="6"/>
      <c r="I2960" s="6"/>
      <c r="J2960" s="6"/>
      <c r="K2960" s="6"/>
      <c r="L2960" s="6"/>
      <c r="M2960" s="6"/>
      <c r="N2960" s="6"/>
      <c r="O2960" s="6"/>
      <c r="P2960" s="6"/>
      <c r="Q2960" s="6"/>
      <c r="R2960" s="6"/>
      <c r="S2960" s="6"/>
      <c r="T2960" s="6"/>
      <c r="U2960" s="6"/>
      <c r="V2960" s="6"/>
      <c r="W2960" s="6"/>
      <c r="X2960" s="6"/>
      <c r="Y2960" s="6"/>
      <c r="Z2960" s="6"/>
      <c r="AA2960" s="6"/>
      <c r="AB2960" s="6"/>
      <c r="AC2960" s="6"/>
      <c r="AD2960" s="6"/>
      <c r="AE2960" s="6"/>
      <c r="AF2960" s="6"/>
      <c r="AG2960" s="6"/>
      <c r="AH2960" s="6"/>
      <c r="AI2960" s="6"/>
      <c r="AJ2960" s="6"/>
      <c r="AK2960" s="6"/>
      <c r="AL2960" s="6"/>
      <c r="AM2960" s="6"/>
    </row>
    <row r="2961">
      <c r="A2961" s="6"/>
      <c r="B2961" s="6"/>
      <c r="C2961" s="6"/>
      <c r="D2961" s="6"/>
      <c r="E2961" s="6"/>
      <c r="F2961" s="6"/>
      <c r="G2961" s="6"/>
      <c r="H2961" s="6"/>
      <c r="I2961" s="6"/>
      <c r="J2961" s="6"/>
      <c r="K2961" s="6"/>
      <c r="L2961" s="6"/>
      <c r="M2961" s="6"/>
      <c r="N2961" s="6"/>
      <c r="O2961" s="6"/>
      <c r="P2961" s="6"/>
      <c r="Q2961" s="6"/>
      <c r="R2961" s="6"/>
      <c r="S2961" s="6"/>
      <c r="T2961" s="6"/>
      <c r="U2961" s="6"/>
      <c r="V2961" s="6"/>
      <c r="W2961" s="6"/>
      <c r="X2961" s="6"/>
      <c r="Y2961" s="6"/>
      <c r="Z2961" s="6"/>
      <c r="AA2961" s="6"/>
      <c r="AB2961" s="6"/>
      <c r="AC2961" s="6"/>
      <c r="AD2961" s="6"/>
      <c r="AE2961" s="6"/>
      <c r="AF2961" s="6"/>
      <c r="AG2961" s="6"/>
      <c r="AH2961" s="6"/>
      <c r="AI2961" s="6"/>
      <c r="AJ2961" s="6"/>
      <c r="AK2961" s="6"/>
      <c r="AL2961" s="6"/>
      <c r="AM2961" s="6"/>
    </row>
    <row r="2962">
      <c r="A2962" s="6"/>
      <c r="B2962" s="6"/>
      <c r="C2962" s="6"/>
      <c r="D2962" s="6"/>
      <c r="E2962" s="6"/>
      <c r="F2962" s="6"/>
      <c r="G2962" s="6"/>
      <c r="H2962" s="6"/>
      <c r="I2962" s="6"/>
      <c r="J2962" s="6"/>
      <c r="K2962" s="6"/>
      <c r="L2962" s="6"/>
      <c r="M2962" s="6"/>
      <c r="N2962" s="6"/>
      <c r="O2962" s="6"/>
      <c r="P2962" s="6"/>
      <c r="Q2962" s="6"/>
      <c r="R2962" s="6"/>
      <c r="S2962" s="6"/>
      <c r="T2962" s="6"/>
      <c r="U2962" s="6"/>
      <c r="V2962" s="6"/>
      <c r="W2962" s="6"/>
      <c r="X2962" s="6"/>
      <c r="Y2962" s="6"/>
      <c r="Z2962" s="6"/>
      <c r="AA2962" s="6"/>
      <c r="AB2962" s="6"/>
      <c r="AC2962" s="6"/>
      <c r="AD2962" s="6"/>
      <c r="AE2962" s="6"/>
      <c r="AF2962" s="6"/>
      <c r="AG2962" s="6"/>
      <c r="AH2962" s="6"/>
      <c r="AI2962" s="6"/>
      <c r="AJ2962" s="6"/>
      <c r="AK2962" s="6"/>
      <c r="AL2962" s="6"/>
      <c r="AM2962" s="6"/>
    </row>
    <row r="2963">
      <c r="A2963" s="6"/>
      <c r="B2963" s="6"/>
      <c r="C2963" s="6"/>
      <c r="D2963" s="6"/>
      <c r="E2963" s="6"/>
      <c r="F2963" s="6"/>
      <c r="G2963" s="6"/>
      <c r="H2963" s="6"/>
      <c r="I2963" s="6"/>
      <c r="J2963" s="6"/>
      <c r="K2963" s="6"/>
      <c r="L2963" s="6"/>
      <c r="M2963" s="6"/>
      <c r="N2963" s="6"/>
      <c r="O2963" s="6"/>
      <c r="P2963" s="6"/>
      <c r="Q2963" s="6"/>
      <c r="R2963" s="6"/>
      <c r="S2963" s="6"/>
      <c r="T2963" s="6"/>
      <c r="U2963" s="6"/>
      <c r="V2963" s="6"/>
      <c r="W2963" s="6"/>
      <c r="X2963" s="6"/>
      <c r="Y2963" s="6"/>
      <c r="Z2963" s="6"/>
      <c r="AA2963" s="6"/>
      <c r="AB2963" s="6"/>
      <c r="AC2963" s="6"/>
      <c r="AD2963" s="6"/>
      <c r="AE2963" s="6"/>
      <c r="AF2963" s="6"/>
      <c r="AG2963" s="6"/>
      <c r="AH2963" s="6"/>
      <c r="AI2963" s="6"/>
      <c r="AJ2963" s="6"/>
      <c r="AK2963" s="6"/>
      <c r="AL2963" s="6"/>
      <c r="AM2963" s="6"/>
    </row>
    <row r="2964">
      <c r="A2964" s="6"/>
      <c r="B2964" s="6"/>
      <c r="C2964" s="6"/>
      <c r="D2964" s="6"/>
      <c r="E2964" s="6"/>
      <c r="F2964" s="6"/>
      <c r="G2964" s="6"/>
      <c r="H2964" s="6"/>
      <c r="I2964" s="6"/>
      <c r="J2964" s="6"/>
      <c r="K2964" s="6"/>
      <c r="L2964" s="6"/>
      <c r="M2964" s="6"/>
      <c r="N2964" s="6"/>
      <c r="O2964" s="6"/>
      <c r="P2964" s="6"/>
      <c r="Q2964" s="6"/>
      <c r="R2964" s="6"/>
      <c r="S2964" s="6"/>
      <c r="T2964" s="6"/>
      <c r="U2964" s="6"/>
      <c r="V2964" s="6"/>
      <c r="W2964" s="6"/>
      <c r="X2964" s="6"/>
      <c r="Y2964" s="6"/>
      <c r="Z2964" s="6"/>
      <c r="AA2964" s="6"/>
      <c r="AB2964" s="6"/>
      <c r="AC2964" s="6"/>
      <c r="AD2964" s="6"/>
      <c r="AE2964" s="6"/>
      <c r="AF2964" s="6"/>
      <c r="AG2964" s="6"/>
      <c r="AH2964" s="6"/>
      <c r="AI2964" s="6"/>
      <c r="AJ2964" s="6"/>
      <c r="AK2964" s="6"/>
      <c r="AL2964" s="6"/>
      <c r="AM2964" s="6"/>
    </row>
    <row r="2965">
      <c r="A2965" s="6"/>
      <c r="B2965" s="6"/>
      <c r="C2965" s="6"/>
      <c r="D2965" s="6"/>
      <c r="E2965" s="6"/>
      <c r="F2965" s="6"/>
      <c r="G2965" s="6"/>
      <c r="H2965" s="6"/>
      <c r="I2965" s="6"/>
      <c r="J2965" s="6"/>
      <c r="K2965" s="6"/>
      <c r="L2965" s="6"/>
      <c r="M2965" s="6"/>
      <c r="N2965" s="6"/>
      <c r="O2965" s="6"/>
      <c r="P2965" s="6"/>
      <c r="Q2965" s="6"/>
      <c r="R2965" s="6"/>
      <c r="S2965" s="6"/>
      <c r="T2965" s="6"/>
      <c r="U2965" s="6"/>
      <c r="V2965" s="6"/>
      <c r="W2965" s="6"/>
      <c r="X2965" s="6"/>
      <c r="Y2965" s="6"/>
      <c r="Z2965" s="6"/>
      <c r="AA2965" s="6"/>
      <c r="AB2965" s="6"/>
      <c r="AC2965" s="6"/>
      <c r="AD2965" s="6"/>
      <c r="AE2965" s="6"/>
      <c r="AF2965" s="6"/>
      <c r="AG2965" s="6"/>
      <c r="AH2965" s="6"/>
      <c r="AI2965" s="6"/>
      <c r="AJ2965" s="6"/>
      <c r="AK2965" s="6"/>
      <c r="AL2965" s="6"/>
      <c r="AM2965" s="6"/>
    </row>
    <row r="2966">
      <c r="A2966" s="6"/>
      <c r="B2966" s="6"/>
      <c r="C2966" s="6"/>
      <c r="D2966" s="6"/>
      <c r="E2966" s="6"/>
      <c r="F2966" s="6"/>
      <c r="G2966" s="6"/>
      <c r="H2966" s="6"/>
      <c r="I2966" s="6"/>
      <c r="J2966" s="6"/>
      <c r="K2966" s="6"/>
      <c r="L2966" s="6"/>
      <c r="M2966" s="6"/>
      <c r="N2966" s="6"/>
      <c r="O2966" s="6"/>
      <c r="P2966" s="6"/>
      <c r="Q2966" s="6"/>
      <c r="R2966" s="6"/>
      <c r="S2966" s="6"/>
      <c r="T2966" s="6"/>
      <c r="U2966" s="6"/>
      <c r="V2966" s="6"/>
      <c r="W2966" s="6"/>
      <c r="X2966" s="6"/>
      <c r="Y2966" s="6"/>
      <c r="Z2966" s="6"/>
      <c r="AA2966" s="6"/>
      <c r="AB2966" s="6"/>
      <c r="AC2966" s="6"/>
      <c r="AD2966" s="6"/>
      <c r="AE2966" s="6"/>
      <c r="AF2966" s="6"/>
      <c r="AG2966" s="6"/>
      <c r="AH2966" s="6"/>
      <c r="AI2966" s="6"/>
      <c r="AJ2966" s="6"/>
      <c r="AK2966" s="6"/>
      <c r="AL2966" s="6"/>
      <c r="AM2966" s="6"/>
    </row>
    <row r="2967">
      <c r="A2967" s="6"/>
      <c r="B2967" s="6"/>
      <c r="C2967" s="6"/>
      <c r="D2967" s="6"/>
      <c r="E2967" s="6"/>
      <c r="F2967" s="6"/>
      <c r="G2967" s="6"/>
      <c r="H2967" s="6"/>
      <c r="I2967" s="6"/>
      <c r="J2967" s="6"/>
      <c r="K2967" s="6"/>
      <c r="L2967" s="6"/>
      <c r="M2967" s="6"/>
      <c r="N2967" s="6"/>
      <c r="O2967" s="6"/>
      <c r="P2967" s="6"/>
      <c r="Q2967" s="6"/>
      <c r="R2967" s="6"/>
      <c r="S2967" s="6"/>
      <c r="T2967" s="6"/>
      <c r="U2967" s="6"/>
      <c r="V2967" s="6"/>
      <c r="W2967" s="6"/>
      <c r="X2967" s="6"/>
      <c r="Y2967" s="6"/>
      <c r="Z2967" s="6"/>
      <c r="AA2967" s="6"/>
      <c r="AB2967" s="6"/>
      <c r="AC2967" s="6"/>
      <c r="AD2967" s="6"/>
      <c r="AE2967" s="6"/>
      <c r="AF2967" s="6"/>
      <c r="AG2967" s="6"/>
      <c r="AH2967" s="6"/>
      <c r="AI2967" s="6"/>
      <c r="AJ2967" s="6"/>
      <c r="AK2967" s="6"/>
      <c r="AL2967" s="6"/>
      <c r="AM2967" s="6"/>
    </row>
    <row r="2968">
      <c r="A2968" s="6"/>
      <c r="B2968" s="6"/>
      <c r="C2968" s="6"/>
      <c r="D2968" s="6"/>
      <c r="E2968" s="6"/>
      <c r="F2968" s="6"/>
      <c r="G2968" s="6"/>
      <c r="H2968" s="6"/>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c r="AG2968" s="6"/>
      <c r="AH2968" s="6"/>
      <c r="AI2968" s="6"/>
      <c r="AJ2968" s="6"/>
      <c r="AK2968" s="6"/>
      <c r="AL2968" s="6"/>
      <c r="AM2968" s="6"/>
    </row>
    <row r="2969">
      <c r="A2969" s="6"/>
      <c r="B2969" s="6"/>
      <c r="C2969" s="6"/>
      <c r="D2969" s="6"/>
      <c r="E2969" s="6"/>
      <c r="F2969" s="6"/>
      <c r="G2969" s="6"/>
      <c r="H2969" s="6"/>
      <c r="I2969" s="6"/>
      <c r="J2969" s="6"/>
      <c r="K2969" s="6"/>
      <c r="L2969" s="6"/>
      <c r="M2969" s="6"/>
      <c r="N2969" s="6"/>
      <c r="O2969" s="6"/>
      <c r="P2969" s="6"/>
      <c r="Q2969" s="6"/>
      <c r="R2969" s="6"/>
      <c r="S2969" s="6"/>
      <c r="T2969" s="6"/>
      <c r="U2969" s="6"/>
      <c r="V2969" s="6"/>
      <c r="W2969" s="6"/>
      <c r="X2969" s="6"/>
      <c r="Y2969" s="6"/>
      <c r="Z2969" s="6"/>
      <c r="AA2969" s="6"/>
      <c r="AB2969" s="6"/>
      <c r="AC2969" s="6"/>
      <c r="AD2969" s="6"/>
      <c r="AE2969" s="6"/>
      <c r="AF2969" s="6"/>
      <c r="AG2969" s="6"/>
      <c r="AH2969" s="6"/>
      <c r="AI2969" s="6"/>
      <c r="AJ2969" s="6"/>
      <c r="AK2969" s="6"/>
      <c r="AL2969" s="6"/>
      <c r="AM2969" s="6"/>
    </row>
    <row r="2970">
      <c r="A2970" s="6"/>
      <c r="B2970" s="6"/>
      <c r="C2970" s="6"/>
      <c r="D2970" s="6"/>
      <c r="E2970" s="6"/>
      <c r="F2970" s="6"/>
      <c r="G2970" s="6"/>
      <c r="H2970" s="6"/>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c r="AG2970" s="6"/>
      <c r="AH2970" s="6"/>
      <c r="AI2970" s="6"/>
      <c r="AJ2970" s="6"/>
      <c r="AK2970" s="6"/>
      <c r="AL2970" s="6"/>
      <c r="AM2970" s="6"/>
    </row>
    <row r="2971">
      <c r="A2971" s="6"/>
      <c r="B2971" s="6"/>
      <c r="C2971" s="6"/>
      <c r="D2971" s="6"/>
      <c r="E2971" s="6"/>
      <c r="F2971" s="6"/>
      <c r="G2971" s="6"/>
      <c r="H2971" s="6"/>
      <c r="I2971" s="6"/>
      <c r="J2971" s="6"/>
      <c r="K2971" s="6"/>
      <c r="L2971" s="6"/>
      <c r="M2971" s="6"/>
      <c r="N2971" s="6"/>
      <c r="O2971" s="6"/>
      <c r="P2971" s="6"/>
      <c r="Q2971" s="6"/>
      <c r="R2971" s="6"/>
      <c r="S2971" s="6"/>
      <c r="T2971" s="6"/>
      <c r="U2971" s="6"/>
      <c r="V2971" s="6"/>
      <c r="W2971" s="6"/>
      <c r="X2971" s="6"/>
      <c r="Y2971" s="6"/>
      <c r="Z2971" s="6"/>
      <c r="AA2971" s="6"/>
      <c r="AB2971" s="6"/>
      <c r="AC2971" s="6"/>
      <c r="AD2971" s="6"/>
      <c r="AE2971" s="6"/>
      <c r="AF2971" s="6"/>
      <c r="AG2971" s="6"/>
      <c r="AH2971" s="6"/>
      <c r="AI2971" s="6"/>
      <c r="AJ2971" s="6"/>
      <c r="AK2971" s="6"/>
      <c r="AL2971" s="6"/>
      <c r="AM2971" s="6"/>
    </row>
    <row r="2972">
      <c r="A2972" s="6"/>
      <c r="B2972" s="6"/>
      <c r="C2972" s="6"/>
      <c r="D2972" s="6"/>
      <c r="E2972" s="6"/>
      <c r="F2972" s="6"/>
      <c r="G2972" s="6"/>
      <c r="H2972" s="6"/>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c r="AG2972" s="6"/>
      <c r="AH2972" s="6"/>
      <c r="AI2972" s="6"/>
      <c r="AJ2972" s="6"/>
      <c r="AK2972" s="6"/>
      <c r="AL2972" s="6"/>
      <c r="AM2972" s="6"/>
    </row>
    <row r="2973">
      <c r="A2973" s="6"/>
      <c r="B2973" s="6"/>
      <c r="C2973" s="6"/>
      <c r="D2973" s="6"/>
      <c r="E2973" s="6"/>
      <c r="F2973" s="6"/>
      <c r="G2973" s="6"/>
      <c r="H2973" s="6"/>
      <c r="I2973" s="6"/>
      <c r="J2973" s="6"/>
      <c r="K2973" s="6"/>
      <c r="L2973" s="6"/>
      <c r="M2973" s="6"/>
      <c r="N2973" s="6"/>
      <c r="O2973" s="6"/>
      <c r="P2973" s="6"/>
      <c r="Q2973" s="6"/>
      <c r="R2973" s="6"/>
      <c r="S2973" s="6"/>
      <c r="T2973" s="6"/>
      <c r="U2973" s="6"/>
      <c r="V2973" s="6"/>
      <c r="W2973" s="6"/>
      <c r="X2973" s="6"/>
      <c r="Y2973" s="6"/>
      <c r="Z2973" s="6"/>
      <c r="AA2973" s="6"/>
      <c r="AB2973" s="6"/>
      <c r="AC2973" s="6"/>
      <c r="AD2973" s="6"/>
      <c r="AE2973" s="6"/>
      <c r="AF2973" s="6"/>
      <c r="AG2973" s="6"/>
      <c r="AH2973" s="6"/>
      <c r="AI2973" s="6"/>
      <c r="AJ2973" s="6"/>
      <c r="AK2973" s="6"/>
      <c r="AL2973" s="6"/>
      <c r="AM2973" s="6"/>
    </row>
    <row r="2974">
      <c r="A2974" s="6"/>
      <c r="B2974" s="6"/>
      <c r="C2974" s="6"/>
      <c r="D2974" s="6"/>
      <c r="E2974" s="6"/>
      <c r="F2974" s="6"/>
      <c r="G2974" s="6"/>
      <c r="H2974" s="6"/>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c r="AG2974" s="6"/>
      <c r="AH2974" s="6"/>
      <c r="AI2974" s="6"/>
      <c r="AJ2974" s="6"/>
      <c r="AK2974" s="6"/>
      <c r="AL2974" s="6"/>
      <c r="AM2974" s="6"/>
    </row>
    <row r="2975">
      <c r="A2975" s="6"/>
      <c r="B2975" s="6"/>
      <c r="C2975" s="6"/>
      <c r="D2975" s="6"/>
      <c r="E2975" s="6"/>
      <c r="F2975" s="6"/>
      <c r="G2975" s="6"/>
      <c r="H2975" s="6"/>
      <c r="I2975" s="6"/>
      <c r="J2975" s="6"/>
      <c r="K2975" s="6"/>
      <c r="L2975" s="6"/>
      <c r="M2975" s="6"/>
      <c r="N2975" s="6"/>
      <c r="O2975" s="6"/>
      <c r="P2975" s="6"/>
      <c r="Q2975" s="6"/>
      <c r="R2975" s="6"/>
      <c r="S2975" s="6"/>
      <c r="T2975" s="6"/>
      <c r="U2975" s="6"/>
      <c r="V2975" s="6"/>
      <c r="W2975" s="6"/>
      <c r="X2975" s="6"/>
      <c r="Y2975" s="6"/>
      <c r="Z2975" s="6"/>
      <c r="AA2975" s="6"/>
      <c r="AB2975" s="6"/>
      <c r="AC2975" s="6"/>
      <c r="AD2975" s="6"/>
      <c r="AE2975" s="6"/>
      <c r="AF2975" s="6"/>
      <c r="AG2975" s="6"/>
      <c r="AH2975" s="6"/>
      <c r="AI2975" s="6"/>
      <c r="AJ2975" s="6"/>
      <c r="AK2975" s="6"/>
      <c r="AL2975" s="6"/>
      <c r="AM2975" s="6"/>
    </row>
    <row r="2976">
      <c r="A2976" s="6"/>
      <c r="B2976" s="6"/>
      <c r="C2976" s="6"/>
      <c r="D2976" s="6"/>
      <c r="E2976" s="6"/>
      <c r="F2976" s="6"/>
      <c r="G2976" s="6"/>
      <c r="H2976" s="6"/>
      <c r="I2976" s="6"/>
      <c r="J2976" s="6"/>
      <c r="K2976" s="6"/>
      <c r="L2976" s="6"/>
      <c r="M2976" s="6"/>
      <c r="N2976" s="6"/>
      <c r="O2976" s="6"/>
      <c r="P2976" s="6"/>
      <c r="Q2976" s="6"/>
      <c r="R2976" s="6"/>
      <c r="S2976" s="6"/>
      <c r="T2976" s="6"/>
      <c r="U2976" s="6"/>
      <c r="V2976" s="6"/>
      <c r="W2976" s="6"/>
      <c r="X2976" s="6"/>
      <c r="Y2976" s="6"/>
      <c r="Z2976" s="6"/>
      <c r="AA2976" s="6"/>
      <c r="AB2976" s="6"/>
      <c r="AC2976" s="6"/>
      <c r="AD2976" s="6"/>
      <c r="AE2976" s="6"/>
      <c r="AF2976" s="6"/>
      <c r="AG2976" s="6"/>
      <c r="AH2976" s="6"/>
      <c r="AI2976" s="6"/>
      <c r="AJ2976" s="6"/>
      <c r="AK2976" s="6"/>
      <c r="AL2976" s="6"/>
      <c r="AM2976" s="6"/>
    </row>
    <row r="2977">
      <c r="A2977" s="6"/>
      <c r="B2977" s="6"/>
      <c r="C2977" s="6"/>
      <c r="D2977" s="6"/>
      <c r="E2977" s="6"/>
      <c r="F2977" s="6"/>
      <c r="G2977" s="6"/>
      <c r="H2977" s="6"/>
      <c r="I2977" s="6"/>
      <c r="J2977" s="6"/>
      <c r="K2977" s="6"/>
      <c r="L2977" s="6"/>
      <c r="M2977" s="6"/>
      <c r="N2977" s="6"/>
      <c r="O2977" s="6"/>
      <c r="P2977" s="6"/>
      <c r="Q2977" s="6"/>
      <c r="R2977" s="6"/>
      <c r="S2977" s="6"/>
      <c r="T2977" s="6"/>
      <c r="U2977" s="6"/>
      <c r="V2977" s="6"/>
      <c r="W2977" s="6"/>
      <c r="X2977" s="6"/>
      <c r="Y2977" s="6"/>
      <c r="Z2977" s="6"/>
      <c r="AA2977" s="6"/>
      <c r="AB2977" s="6"/>
      <c r="AC2977" s="6"/>
      <c r="AD2977" s="6"/>
      <c r="AE2977" s="6"/>
      <c r="AF2977" s="6"/>
      <c r="AG2977" s="6"/>
      <c r="AH2977" s="6"/>
      <c r="AI2977" s="6"/>
      <c r="AJ2977" s="6"/>
      <c r="AK2977" s="6"/>
      <c r="AL2977" s="6"/>
      <c r="AM2977" s="6"/>
    </row>
    <row r="2978">
      <c r="A2978" s="6"/>
      <c r="B2978" s="6"/>
      <c r="C2978" s="6"/>
      <c r="D2978" s="6"/>
      <c r="E2978" s="6"/>
      <c r="F2978" s="6"/>
      <c r="G2978" s="6"/>
      <c r="H2978" s="6"/>
      <c r="I2978" s="6"/>
      <c r="J2978" s="6"/>
      <c r="K2978" s="6"/>
      <c r="L2978" s="6"/>
      <c r="M2978" s="6"/>
      <c r="N2978" s="6"/>
      <c r="O2978" s="6"/>
      <c r="P2978" s="6"/>
      <c r="Q2978" s="6"/>
      <c r="R2978" s="6"/>
      <c r="S2978" s="6"/>
      <c r="T2978" s="6"/>
      <c r="U2978" s="6"/>
      <c r="V2978" s="6"/>
      <c r="W2978" s="6"/>
      <c r="X2978" s="6"/>
      <c r="Y2978" s="6"/>
      <c r="Z2978" s="6"/>
      <c r="AA2978" s="6"/>
      <c r="AB2978" s="6"/>
      <c r="AC2978" s="6"/>
      <c r="AD2978" s="6"/>
      <c r="AE2978" s="6"/>
      <c r="AF2978" s="6"/>
      <c r="AG2978" s="6"/>
      <c r="AH2978" s="6"/>
      <c r="AI2978" s="6"/>
      <c r="AJ2978" s="6"/>
      <c r="AK2978" s="6"/>
      <c r="AL2978" s="6"/>
      <c r="AM2978" s="6"/>
    </row>
    <row r="2979">
      <c r="A2979" s="6"/>
      <c r="B2979" s="6"/>
      <c r="C2979" s="6"/>
      <c r="D2979" s="6"/>
      <c r="E2979" s="6"/>
      <c r="F2979" s="6"/>
      <c r="G2979" s="6"/>
      <c r="H2979" s="6"/>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c r="AG2979" s="6"/>
      <c r="AH2979" s="6"/>
      <c r="AI2979" s="6"/>
      <c r="AJ2979" s="6"/>
      <c r="AK2979" s="6"/>
      <c r="AL2979" s="6"/>
      <c r="AM2979" s="6"/>
    </row>
    <row r="2980">
      <c r="A2980" s="6"/>
      <c r="B2980" s="6"/>
      <c r="C2980" s="6"/>
      <c r="D2980" s="6"/>
      <c r="E2980" s="6"/>
      <c r="F2980" s="6"/>
      <c r="G2980" s="6"/>
      <c r="H2980" s="6"/>
      <c r="I2980" s="6"/>
      <c r="J2980" s="6"/>
      <c r="K2980" s="6"/>
      <c r="L2980" s="6"/>
      <c r="M2980" s="6"/>
      <c r="N2980" s="6"/>
      <c r="O2980" s="6"/>
      <c r="P2980" s="6"/>
      <c r="Q2980" s="6"/>
      <c r="R2980" s="6"/>
      <c r="S2980" s="6"/>
      <c r="T2980" s="6"/>
      <c r="U2980" s="6"/>
      <c r="V2980" s="6"/>
      <c r="W2980" s="6"/>
      <c r="X2980" s="6"/>
      <c r="Y2980" s="6"/>
      <c r="Z2980" s="6"/>
      <c r="AA2980" s="6"/>
      <c r="AB2980" s="6"/>
      <c r="AC2980" s="6"/>
      <c r="AD2980" s="6"/>
      <c r="AE2980" s="6"/>
      <c r="AF2980" s="6"/>
      <c r="AG2980" s="6"/>
      <c r="AH2980" s="6"/>
      <c r="AI2980" s="6"/>
      <c r="AJ2980" s="6"/>
      <c r="AK2980" s="6"/>
      <c r="AL2980" s="6"/>
      <c r="AM2980" s="6"/>
    </row>
    <row r="2981">
      <c r="A2981" s="6"/>
      <c r="B2981" s="6"/>
      <c r="C2981" s="6"/>
      <c r="D2981" s="6"/>
      <c r="E2981" s="6"/>
      <c r="F2981" s="6"/>
      <c r="G2981" s="6"/>
      <c r="H2981" s="6"/>
      <c r="I2981" s="6"/>
      <c r="J2981" s="6"/>
      <c r="K2981" s="6"/>
      <c r="L2981" s="6"/>
      <c r="M2981" s="6"/>
      <c r="N2981" s="6"/>
      <c r="O2981" s="6"/>
      <c r="P2981" s="6"/>
      <c r="Q2981" s="6"/>
      <c r="R2981" s="6"/>
      <c r="S2981" s="6"/>
      <c r="T2981" s="6"/>
      <c r="U2981" s="6"/>
      <c r="V2981" s="6"/>
      <c r="W2981" s="6"/>
      <c r="X2981" s="6"/>
      <c r="Y2981" s="6"/>
      <c r="Z2981" s="6"/>
      <c r="AA2981" s="6"/>
      <c r="AB2981" s="6"/>
      <c r="AC2981" s="6"/>
      <c r="AD2981" s="6"/>
      <c r="AE2981" s="6"/>
      <c r="AF2981" s="6"/>
      <c r="AG2981" s="6"/>
      <c r="AH2981" s="6"/>
      <c r="AI2981" s="6"/>
      <c r="AJ2981" s="6"/>
      <c r="AK2981" s="6"/>
      <c r="AL2981" s="6"/>
      <c r="AM2981" s="6"/>
    </row>
    <row r="2982">
      <c r="A2982" s="6"/>
      <c r="B2982" s="6"/>
      <c r="C2982" s="6"/>
      <c r="D2982" s="6"/>
      <c r="E2982" s="6"/>
      <c r="F2982" s="6"/>
      <c r="G2982" s="6"/>
      <c r="H2982" s="6"/>
      <c r="I2982" s="6"/>
      <c r="J2982" s="6"/>
      <c r="K2982" s="6"/>
      <c r="L2982" s="6"/>
      <c r="M2982" s="6"/>
      <c r="N2982" s="6"/>
      <c r="O2982" s="6"/>
      <c r="P2982" s="6"/>
      <c r="Q2982" s="6"/>
      <c r="R2982" s="6"/>
      <c r="S2982" s="6"/>
      <c r="T2982" s="6"/>
      <c r="U2982" s="6"/>
      <c r="V2982" s="6"/>
      <c r="W2982" s="6"/>
      <c r="X2982" s="6"/>
      <c r="Y2982" s="6"/>
      <c r="Z2982" s="6"/>
      <c r="AA2982" s="6"/>
      <c r="AB2982" s="6"/>
      <c r="AC2982" s="6"/>
      <c r="AD2982" s="6"/>
      <c r="AE2982" s="6"/>
      <c r="AF2982" s="6"/>
      <c r="AG2982" s="6"/>
      <c r="AH2982" s="6"/>
      <c r="AI2982" s="6"/>
      <c r="AJ2982" s="6"/>
      <c r="AK2982" s="6"/>
      <c r="AL2982" s="6"/>
      <c r="AM2982" s="6"/>
    </row>
    <row r="2983">
      <c r="A2983" s="6"/>
      <c r="B2983" s="6"/>
      <c r="C2983" s="6"/>
      <c r="D2983" s="6"/>
      <c r="E2983" s="6"/>
      <c r="F2983" s="6"/>
      <c r="G2983" s="6"/>
      <c r="H2983" s="6"/>
      <c r="I2983" s="6"/>
      <c r="J2983" s="6"/>
      <c r="K2983" s="6"/>
      <c r="L2983" s="6"/>
      <c r="M2983" s="6"/>
      <c r="N2983" s="6"/>
      <c r="O2983" s="6"/>
      <c r="P2983" s="6"/>
      <c r="Q2983" s="6"/>
      <c r="R2983" s="6"/>
      <c r="S2983" s="6"/>
      <c r="T2983" s="6"/>
      <c r="U2983" s="6"/>
      <c r="V2983" s="6"/>
      <c r="W2983" s="6"/>
      <c r="X2983" s="6"/>
      <c r="Y2983" s="6"/>
      <c r="Z2983" s="6"/>
      <c r="AA2983" s="6"/>
      <c r="AB2983" s="6"/>
      <c r="AC2983" s="6"/>
      <c r="AD2983" s="6"/>
      <c r="AE2983" s="6"/>
      <c r="AF2983" s="6"/>
      <c r="AG2983" s="6"/>
      <c r="AH2983" s="6"/>
      <c r="AI2983" s="6"/>
      <c r="AJ2983" s="6"/>
      <c r="AK2983" s="6"/>
      <c r="AL2983" s="6"/>
      <c r="AM2983" s="6"/>
    </row>
    <row r="2984">
      <c r="A2984" s="6"/>
      <c r="B2984" s="6"/>
      <c r="C2984" s="6"/>
      <c r="D2984" s="6"/>
      <c r="E2984" s="6"/>
      <c r="F2984" s="6"/>
      <c r="G2984" s="6"/>
      <c r="H2984" s="6"/>
      <c r="I2984" s="6"/>
      <c r="J2984" s="6"/>
      <c r="K2984" s="6"/>
      <c r="L2984" s="6"/>
      <c r="M2984" s="6"/>
      <c r="N2984" s="6"/>
      <c r="O2984" s="6"/>
      <c r="P2984" s="6"/>
      <c r="Q2984" s="6"/>
      <c r="R2984" s="6"/>
      <c r="S2984" s="6"/>
      <c r="T2984" s="6"/>
      <c r="U2984" s="6"/>
      <c r="V2984" s="6"/>
      <c r="W2984" s="6"/>
      <c r="X2984" s="6"/>
      <c r="Y2984" s="6"/>
      <c r="Z2984" s="6"/>
      <c r="AA2984" s="6"/>
      <c r="AB2984" s="6"/>
      <c r="AC2984" s="6"/>
      <c r="AD2984" s="6"/>
      <c r="AE2984" s="6"/>
      <c r="AF2984" s="6"/>
      <c r="AG2984" s="6"/>
      <c r="AH2984" s="6"/>
      <c r="AI2984" s="6"/>
      <c r="AJ2984" s="6"/>
      <c r="AK2984" s="6"/>
      <c r="AL2984" s="6"/>
      <c r="AM2984" s="6"/>
    </row>
    <row r="2985">
      <c r="A2985" s="6"/>
      <c r="B2985" s="6"/>
      <c r="C2985" s="6"/>
      <c r="D2985" s="6"/>
      <c r="E2985" s="6"/>
      <c r="F2985" s="6"/>
      <c r="G2985" s="6"/>
      <c r="H2985" s="6"/>
      <c r="I2985" s="6"/>
      <c r="J2985" s="6"/>
      <c r="K2985" s="6"/>
      <c r="L2985" s="6"/>
      <c r="M2985" s="6"/>
      <c r="N2985" s="6"/>
      <c r="O2985" s="6"/>
      <c r="P2985" s="6"/>
      <c r="Q2985" s="6"/>
      <c r="R2985" s="6"/>
      <c r="S2985" s="6"/>
      <c r="T2985" s="6"/>
      <c r="U2985" s="6"/>
      <c r="V2985" s="6"/>
      <c r="W2985" s="6"/>
      <c r="X2985" s="6"/>
      <c r="Y2985" s="6"/>
      <c r="Z2985" s="6"/>
      <c r="AA2985" s="6"/>
      <c r="AB2985" s="6"/>
      <c r="AC2985" s="6"/>
      <c r="AD2985" s="6"/>
      <c r="AE2985" s="6"/>
      <c r="AF2985" s="6"/>
      <c r="AG2985" s="6"/>
      <c r="AH2985" s="6"/>
      <c r="AI2985" s="6"/>
      <c r="AJ2985" s="6"/>
      <c r="AK2985" s="6"/>
      <c r="AL2985" s="6"/>
      <c r="AM2985" s="6"/>
    </row>
    <row r="2986">
      <c r="A2986" s="6"/>
      <c r="B2986" s="6"/>
      <c r="C2986" s="6"/>
      <c r="D2986" s="6"/>
      <c r="E2986" s="6"/>
      <c r="F2986" s="6"/>
      <c r="G2986" s="6"/>
      <c r="H2986" s="6"/>
      <c r="I2986" s="6"/>
      <c r="J2986" s="6"/>
      <c r="K2986" s="6"/>
      <c r="L2986" s="6"/>
      <c r="M2986" s="6"/>
      <c r="N2986" s="6"/>
      <c r="O2986" s="6"/>
      <c r="P2986" s="6"/>
      <c r="Q2986" s="6"/>
      <c r="R2986" s="6"/>
      <c r="S2986" s="6"/>
      <c r="T2986" s="6"/>
      <c r="U2986" s="6"/>
      <c r="V2986" s="6"/>
      <c r="W2986" s="6"/>
      <c r="X2986" s="6"/>
      <c r="Y2986" s="6"/>
      <c r="Z2986" s="6"/>
      <c r="AA2986" s="6"/>
      <c r="AB2986" s="6"/>
      <c r="AC2986" s="6"/>
      <c r="AD2986" s="6"/>
      <c r="AE2986" s="6"/>
      <c r="AF2986" s="6"/>
      <c r="AG2986" s="6"/>
      <c r="AH2986" s="6"/>
      <c r="AI2986" s="6"/>
      <c r="AJ2986" s="6"/>
      <c r="AK2986" s="6"/>
      <c r="AL2986" s="6"/>
      <c r="AM2986" s="6"/>
    </row>
    <row r="2987">
      <c r="A2987" s="6"/>
      <c r="B2987" s="6"/>
      <c r="C2987" s="6"/>
      <c r="D2987" s="6"/>
      <c r="E2987" s="6"/>
      <c r="F2987" s="6"/>
      <c r="G2987" s="6"/>
      <c r="H2987" s="6"/>
      <c r="I2987" s="6"/>
      <c r="J2987" s="6"/>
      <c r="K2987" s="6"/>
      <c r="L2987" s="6"/>
      <c r="M2987" s="6"/>
      <c r="N2987" s="6"/>
      <c r="O2987" s="6"/>
      <c r="P2987" s="6"/>
      <c r="Q2987" s="6"/>
      <c r="R2987" s="6"/>
      <c r="S2987" s="6"/>
      <c r="T2987" s="6"/>
      <c r="U2987" s="6"/>
      <c r="V2987" s="6"/>
      <c r="W2987" s="6"/>
      <c r="X2987" s="6"/>
      <c r="Y2987" s="6"/>
      <c r="Z2987" s="6"/>
      <c r="AA2987" s="6"/>
      <c r="AB2987" s="6"/>
      <c r="AC2987" s="6"/>
      <c r="AD2987" s="6"/>
      <c r="AE2987" s="6"/>
      <c r="AF2987" s="6"/>
      <c r="AG2987" s="6"/>
      <c r="AH2987" s="6"/>
      <c r="AI2987" s="6"/>
      <c r="AJ2987" s="6"/>
      <c r="AK2987" s="6"/>
      <c r="AL2987" s="6"/>
      <c r="AM2987" s="6"/>
    </row>
    <row r="2988">
      <c r="A2988" s="6"/>
      <c r="B2988" s="6"/>
      <c r="C2988" s="6"/>
      <c r="D2988" s="6"/>
      <c r="E2988" s="6"/>
      <c r="F2988" s="6"/>
      <c r="G2988" s="6"/>
      <c r="H2988" s="6"/>
      <c r="I2988" s="6"/>
      <c r="J2988" s="6"/>
      <c r="K2988" s="6"/>
      <c r="L2988" s="6"/>
      <c r="M2988" s="6"/>
      <c r="N2988" s="6"/>
      <c r="O2988" s="6"/>
      <c r="P2988" s="6"/>
      <c r="Q2988" s="6"/>
      <c r="R2988" s="6"/>
      <c r="S2988" s="6"/>
      <c r="T2988" s="6"/>
      <c r="U2988" s="6"/>
      <c r="V2988" s="6"/>
      <c r="W2988" s="6"/>
      <c r="X2988" s="6"/>
      <c r="Y2988" s="6"/>
      <c r="Z2988" s="6"/>
      <c r="AA2988" s="6"/>
      <c r="AB2988" s="6"/>
      <c r="AC2988" s="6"/>
      <c r="AD2988" s="6"/>
      <c r="AE2988" s="6"/>
      <c r="AF2988" s="6"/>
      <c r="AG2988" s="6"/>
      <c r="AH2988" s="6"/>
      <c r="AI2988" s="6"/>
      <c r="AJ2988" s="6"/>
      <c r="AK2988" s="6"/>
      <c r="AL2988" s="6"/>
      <c r="AM2988" s="6"/>
    </row>
    <row r="2989">
      <c r="A2989" s="6"/>
      <c r="B2989" s="6"/>
      <c r="C2989" s="6"/>
      <c r="D2989" s="6"/>
      <c r="E2989" s="6"/>
      <c r="F2989" s="6"/>
      <c r="G2989" s="6"/>
      <c r="H2989" s="6"/>
      <c r="I2989" s="6"/>
      <c r="J2989" s="6"/>
      <c r="K2989" s="6"/>
      <c r="L2989" s="6"/>
      <c r="M2989" s="6"/>
      <c r="N2989" s="6"/>
      <c r="O2989" s="6"/>
      <c r="P2989" s="6"/>
      <c r="Q2989" s="6"/>
      <c r="R2989" s="6"/>
      <c r="S2989" s="6"/>
      <c r="T2989" s="6"/>
      <c r="U2989" s="6"/>
      <c r="V2989" s="6"/>
      <c r="W2989" s="6"/>
      <c r="X2989" s="6"/>
      <c r="Y2989" s="6"/>
      <c r="Z2989" s="6"/>
      <c r="AA2989" s="6"/>
      <c r="AB2989" s="6"/>
      <c r="AC2989" s="6"/>
      <c r="AD2989" s="6"/>
      <c r="AE2989" s="6"/>
      <c r="AF2989" s="6"/>
      <c r="AG2989" s="6"/>
      <c r="AH2989" s="6"/>
      <c r="AI2989" s="6"/>
      <c r="AJ2989" s="6"/>
      <c r="AK2989" s="6"/>
      <c r="AL2989" s="6"/>
      <c r="AM2989" s="6"/>
    </row>
    <row r="2990">
      <c r="A2990" s="6"/>
      <c r="B2990" s="6"/>
      <c r="C2990" s="6"/>
      <c r="D2990" s="6"/>
      <c r="E2990" s="6"/>
      <c r="F2990" s="6"/>
      <c r="G2990" s="6"/>
      <c r="H2990" s="6"/>
      <c r="I2990" s="6"/>
      <c r="J2990" s="6"/>
      <c r="K2990" s="6"/>
      <c r="L2990" s="6"/>
      <c r="M2990" s="6"/>
      <c r="N2990" s="6"/>
      <c r="O2990" s="6"/>
      <c r="P2990" s="6"/>
      <c r="Q2990" s="6"/>
      <c r="R2990" s="6"/>
      <c r="S2990" s="6"/>
      <c r="T2990" s="6"/>
      <c r="U2990" s="6"/>
      <c r="V2990" s="6"/>
      <c r="W2990" s="6"/>
      <c r="X2990" s="6"/>
      <c r="Y2990" s="6"/>
      <c r="Z2990" s="6"/>
      <c r="AA2990" s="6"/>
      <c r="AB2990" s="6"/>
      <c r="AC2990" s="6"/>
      <c r="AD2990" s="6"/>
      <c r="AE2990" s="6"/>
      <c r="AF2990" s="6"/>
      <c r="AG2990" s="6"/>
      <c r="AH2990" s="6"/>
      <c r="AI2990" s="6"/>
      <c r="AJ2990" s="6"/>
      <c r="AK2990" s="6"/>
      <c r="AL2990" s="6"/>
      <c r="AM2990" s="6"/>
    </row>
    <row r="2991">
      <c r="A2991" s="6"/>
      <c r="B2991" s="6"/>
      <c r="C2991" s="6"/>
      <c r="D2991" s="6"/>
      <c r="E2991" s="6"/>
      <c r="F2991" s="6"/>
      <c r="G2991" s="6"/>
      <c r="H2991" s="6"/>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c r="AG2991" s="6"/>
      <c r="AH2991" s="6"/>
      <c r="AI2991" s="6"/>
      <c r="AJ2991" s="6"/>
      <c r="AK2991" s="6"/>
      <c r="AL2991" s="6"/>
      <c r="AM2991" s="6"/>
    </row>
    <row r="2992">
      <c r="A2992" s="6"/>
      <c r="B2992" s="6"/>
      <c r="C2992" s="6"/>
      <c r="D2992" s="6"/>
      <c r="E2992" s="6"/>
      <c r="F2992" s="6"/>
      <c r="G2992" s="6"/>
      <c r="H2992" s="6"/>
      <c r="I2992" s="6"/>
      <c r="J2992" s="6"/>
      <c r="K2992" s="6"/>
      <c r="L2992" s="6"/>
      <c r="M2992" s="6"/>
      <c r="N2992" s="6"/>
      <c r="O2992" s="6"/>
      <c r="P2992" s="6"/>
      <c r="Q2992" s="6"/>
      <c r="R2992" s="6"/>
      <c r="S2992" s="6"/>
      <c r="T2992" s="6"/>
      <c r="U2992" s="6"/>
      <c r="V2992" s="6"/>
      <c r="W2992" s="6"/>
      <c r="X2992" s="6"/>
      <c r="Y2992" s="6"/>
      <c r="Z2992" s="6"/>
      <c r="AA2992" s="6"/>
      <c r="AB2992" s="6"/>
      <c r="AC2992" s="6"/>
      <c r="AD2992" s="6"/>
      <c r="AE2992" s="6"/>
      <c r="AF2992" s="6"/>
      <c r="AG2992" s="6"/>
      <c r="AH2992" s="6"/>
      <c r="AI2992" s="6"/>
      <c r="AJ2992" s="6"/>
      <c r="AK2992" s="6"/>
      <c r="AL2992" s="6"/>
      <c r="AM2992" s="6"/>
    </row>
    <row r="2993">
      <c r="A2993" s="6"/>
      <c r="B2993" s="6"/>
      <c r="C2993" s="6"/>
      <c r="D2993" s="6"/>
      <c r="E2993" s="6"/>
      <c r="F2993" s="6"/>
      <c r="G2993" s="6"/>
      <c r="H2993" s="6"/>
      <c r="I2993" s="6"/>
      <c r="J2993" s="6"/>
      <c r="K2993" s="6"/>
      <c r="L2993" s="6"/>
      <c r="M2993" s="6"/>
      <c r="N2993" s="6"/>
      <c r="O2993" s="6"/>
      <c r="P2993" s="6"/>
      <c r="Q2993" s="6"/>
      <c r="R2993" s="6"/>
      <c r="S2993" s="6"/>
      <c r="T2993" s="6"/>
      <c r="U2993" s="6"/>
      <c r="V2993" s="6"/>
      <c r="W2993" s="6"/>
      <c r="X2993" s="6"/>
      <c r="Y2993" s="6"/>
      <c r="Z2993" s="6"/>
      <c r="AA2993" s="6"/>
      <c r="AB2993" s="6"/>
      <c r="AC2993" s="6"/>
      <c r="AD2993" s="6"/>
      <c r="AE2993" s="6"/>
      <c r="AF2993" s="6"/>
      <c r="AG2993" s="6"/>
      <c r="AH2993" s="6"/>
      <c r="AI2993" s="6"/>
      <c r="AJ2993" s="6"/>
      <c r="AK2993" s="6"/>
      <c r="AL2993" s="6"/>
      <c r="AM2993" s="6"/>
    </row>
    <row r="2994">
      <c r="A2994" s="6"/>
      <c r="B2994" s="6"/>
      <c r="C2994" s="6"/>
      <c r="D2994" s="6"/>
      <c r="E2994" s="6"/>
      <c r="F2994" s="6"/>
      <c r="G2994" s="6"/>
      <c r="H2994" s="6"/>
      <c r="I2994" s="6"/>
      <c r="J2994" s="6"/>
      <c r="K2994" s="6"/>
      <c r="L2994" s="6"/>
      <c r="M2994" s="6"/>
      <c r="N2994" s="6"/>
      <c r="O2994" s="6"/>
      <c r="P2994" s="6"/>
      <c r="Q2994" s="6"/>
      <c r="R2994" s="6"/>
      <c r="S2994" s="6"/>
      <c r="T2994" s="6"/>
      <c r="U2994" s="6"/>
      <c r="V2994" s="6"/>
      <c r="W2994" s="6"/>
      <c r="X2994" s="6"/>
      <c r="Y2994" s="6"/>
      <c r="Z2994" s="6"/>
      <c r="AA2994" s="6"/>
      <c r="AB2994" s="6"/>
      <c r="AC2994" s="6"/>
      <c r="AD2994" s="6"/>
      <c r="AE2994" s="6"/>
      <c r="AF2994" s="6"/>
      <c r="AG2994" s="6"/>
      <c r="AH2994" s="6"/>
      <c r="AI2994" s="6"/>
      <c r="AJ2994" s="6"/>
      <c r="AK2994" s="6"/>
      <c r="AL2994" s="6"/>
      <c r="AM2994" s="6"/>
    </row>
    <row r="2995">
      <c r="A2995" s="6"/>
      <c r="B2995" s="6"/>
      <c r="C2995" s="6"/>
      <c r="D2995" s="6"/>
      <c r="E2995" s="6"/>
      <c r="F2995" s="6"/>
      <c r="G2995" s="6"/>
      <c r="H2995" s="6"/>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c r="AG2995" s="6"/>
      <c r="AH2995" s="6"/>
      <c r="AI2995" s="6"/>
      <c r="AJ2995" s="6"/>
      <c r="AK2995" s="6"/>
      <c r="AL2995" s="6"/>
      <c r="AM2995" s="6"/>
    </row>
    <row r="2996">
      <c r="A2996" s="6"/>
      <c r="B2996" s="6"/>
      <c r="C2996" s="6"/>
      <c r="D2996" s="6"/>
      <c r="E2996" s="6"/>
      <c r="F2996" s="6"/>
      <c r="G2996" s="6"/>
      <c r="H2996" s="6"/>
      <c r="I2996" s="6"/>
      <c r="J2996" s="6"/>
      <c r="K2996" s="6"/>
      <c r="L2996" s="6"/>
      <c r="M2996" s="6"/>
      <c r="N2996" s="6"/>
      <c r="O2996" s="6"/>
      <c r="P2996" s="6"/>
      <c r="Q2996" s="6"/>
      <c r="R2996" s="6"/>
      <c r="S2996" s="6"/>
      <c r="T2996" s="6"/>
      <c r="U2996" s="6"/>
      <c r="V2996" s="6"/>
      <c r="W2996" s="6"/>
      <c r="X2996" s="6"/>
      <c r="Y2996" s="6"/>
      <c r="Z2996" s="6"/>
      <c r="AA2996" s="6"/>
      <c r="AB2996" s="6"/>
      <c r="AC2996" s="6"/>
      <c r="AD2996" s="6"/>
      <c r="AE2996" s="6"/>
      <c r="AF2996" s="6"/>
      <c r="AG2996" s="6"/>
      <c r="AH2996" s="6"/>
      <c r="AI2996" s="6"/>
      <c r="AJ2996" s="6"/>
      <c r="AK2996" s="6"/>
      <c r="AL2996" s="6"/>
      <c r="AM2996" s="6"/>
    </row>
    <row r="2997">
      <c r="A2997" s="6"/>
      <c r="B2997" s="6"/>
      <c r="C2997" s="6"/>
      <c r="D2997" s="6"/>
      <c r="E2997" s="6"/>
      <c r="F2997" s="6"/>
      <c r="G2997" s="6"/>
      <c r="H2997" s="6"/>
      <c r="I2997" s="6"/>
      <c r="J2997" s="6"/>
      <c r="K2997" s="6"/>
      <c r="L2997" s="6"/>
      <c r="M2997" s="6"/>
      <c r="N2997" s="6"/>
      <c r="O2997" s="6"/>
      <c r="P2997" s="6"/>
      <c r="Q2997" s="6"/>
      <c r="R2997" s="6"/>
      <c r="S2997" s="6"/>
      <c r="T2997" s="6"/>
      <c r="U2997" s="6"/>
      <c r="V2997" s="6"/>
      <c r="W2997" s="6"/>
      <c r="X2997" s="6"/>
      <c r="Y2997" s="6"/>
      <c r="Z2997" s="6"/>
      <c r="AA2997" s="6"/>
      <c r="AB2997" s="6"/>
      <c r="AC2997" s="6"/>
      <c r="AD2997" s="6"/>
      <c r="AE2997" s="6"/>
      <c r="AF2997" s="6"/>
      <c r="AG2997" s="6"/>
      <c r="AH2997" s="6"/>
      <c r="AI2997" s="6"/>
      <c r="AJ2997" s="6"/>
      <c r="AK2997" s="6"/>
      <c r="AL2997" s="6"/>
      <c r="AM2997" s="6"/>
    </row>
    <row r="2998">
      <c r="A2998" s="6"/>
      <c r="B2998" s="6"/>
      <c r="C2998" s="6"/>
      <c r="D2998" s="6"/>
      <c r="E2998" s="6"/>
      <c r="F2998" s="6"/>
      <c r="G2998" s="6"/>
      <c r="H2998" s="6"/>
      <c r="I2998" s="6"/>
      <c r="J2998" s="6"/>
      <c r="K2998" s="6"/>
      <c r="L2998" s="6"/>
      <c r="M2998" s="6"/>
      <c r="N2998" s="6"/>
      <c r="O2998" s="6"/>
      <c r="P2998" s="6"/>
      <c r="Q2998" s="6"/>
      <c r="R2998" s="6"/>
      <c r="S2998" s="6"/>
      <c r="T2998" s="6"/>
      <c r="U2998" s="6"/>
      <c r="V2998" s="6"/>
      <c r="W2998" s="6"/>
      <c r="X2998" s="6"/>
      <c r="Y2998" s="6"/>
      <c r="Z2998" s="6"/>
      <c r="AA2998" s="6"/>
      <c r="AB2998" s="6"/>
      <c r="AC2998" s="6"/>
      <c r="AD2998" s="6"/>
      <c r="AE2998" s="6"/>
      <c r="AF2998" s="6"/>
      <c r="AG2998" s="6"/>
      <c r="AH2998" s="6"/>
      <c r="AI2998" s="6"/>
      <c r="AJ2998" s="6"/>
      <c r="AK2998" s="6"/>
      <c r="AL2998" s="6"/>
      <c r="AM2998" s="6"/>
    </row>
    <row r="2999">
      <c r="A2999" s="6"/>
      <c r="B2999" s="6"/>
      <c r="C2999" s="6"/>
      <c r="D2999" s="6"/>
      <c r="E2999" s="6"/>
      <c r="F2999" s="6"/>
      <c r="G2999" s="6"/>
      <c r="H2999" s="6"/>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c r="AG2999" s="6"/>
      <c r="AH2999" s="6"/>
      <c r="AI2999" s="6"/>
      <c r="AJ2999" s="6"/>
      <c r="AK2999" s="6"/>
      <c r="AL2999" s="6"/>
      <c r="AM2999" s="6"/>
    </row>
    <row r="3000">
      <c r="A3000" s="6"/>
      <c r="B3000" s="6"/>
      <c r="C3000" s="6"/>
      <c r="D3000" s="6"/>
      <c r="E3000" s="6"/>
      <c r="F3000" s="6"/>
      <c r="G3000" s="6"/>
      <c r="H3000" s="6"/>
      <c r="I3000" s="6"/>
      <c r="J3000" s="6"/>
      <c r="K3000" s="6"/>
      <c r="L3000" s="6"/>
      <c r="M3000" s="6"/>
      <c r="N3000" s="6"/>
      <c r="O3000" s="6"/>
      <c r="P3000" s="6"/>
      <c r="Q3000" s="6"/>
      <c r="R3000" s="6"/>
      <c r="S3000" s="6"/>
      <c r="T3000" s="6"/>
      <c r="U3000" s="6"/>
      <c r="V3000" s="6"/>
      <c r="W3000" s="6"/>
      <c r="X3000" s="6"/>
      <c r="Y3000" s="6"/>
      <c r="Z3000" s="6"/>
      <c r="AA3000" s="6"/>
      <c r="AB3000" s="6"/>
      <c r="AC3000" s="6"/>
      <c r="AD3000" s="6"/>
      <c r="AE3000" s="6"/>
      <c r="AF3000" s="6"/>
      <c r="AG3000" s="6"/>
      <c r="AH3000" s="6"/>
      <c r="AI3000" s="6"/>
      <c r="AJ3000" s="6"/>
      <c r="AK3000" s="6"/>
      <c r="AL3000" s="6"/>
      <c r="AM3000" s="6"/>
    </row>
    <row r="3001">
      <c r="A3001" s="6"/>
      <c r="B3001" s="6"/>
      <c r="C3001" s="6"/>
      <c r="D3001" s="6"/>
      <c r="E3001" s="6"/>
      <c r="F3001" s="6"/>
      <c r="G3001" s="6"/>
      <c r="H3001" s="6"/>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c r="AG3001" s="6"/>
      <c r="AH3001" s="6"/>
      <c r="AI3001" s="6"/>
      <c r="AJ3001" s="6"/>
      <c r="AK3001" s="6"/>
      <c r="AL3001" s="6"/>
      <c r="AM3001" s="6"/>
    </row>
    <row r="3002">
      <c r="A3002" s="6"/>
      <c r="B3002" s="6"/>
      <c r="C3002" s="6"/>
      <c r="D3002" s="6"/>
      <c r="E3002" s="6"/>
      <c r="F3002" s="6"/>
      <c r="G3002" s="6"/>
      <c r="H3002" s="6"/>
      <c r="I3002" s="6"/>
      <c r="J3002" s="6"/>
      <c r="K3002" s="6"/>
      <c r="L3002" s="6"/>
      <c r="M3002" s="6"/>
      <c r="N3002" s="6"/>
      <c r="O3002" s="6"/>
      <c r="P3002" s="6"/>
      <c r="Q3002" s="6"/>
      <c r="R3002" s="6"/>
      <c r="S3002" s="6"/>
      <c r="T3002" s="6"/>
      <c r="U3002" s="6"/>
      <c r="V3002" s="6"/>
      <c r="W3002" s="6"/>
      <c r="X3002" s="6"/>
      <c r="Y3002" s="6"/>
      <c r="Z3002" s="6"/>
      <c r="AA3002" s="6"/>
      <c r="AB3002" s="6"/>
      <c r="AC3002" s="6"/>
      <c r="AD3002" s="6"/>
      <c r="AE3002" s="6"/>
      <c r="AF3002" s="6"/>
      <c r="AG3002" s="6"/>
      <c r="AH3002" s="6"/>
      <c r="AI3002" s="6"/>
      <c r="AJ3002" s="6"/>
      <c r="AK3002" s="6"/>
      <c r="AL3002" s="6"/>
      <c r="AM3002" s="6"/>
    </row>
    <row r="3003">
      <c r="A3003" s="6"/>
      <c r="B3003" s="6"/>
      <c r="C3003" s="6"/>
      <c r="D3003" s="6"/>
      <c r="E3003" s="6"/>
      <c r="F3003" s="6"/>
      <c r="G3003" s="6"/>
      <c r="H3003" s="6"/>
      <c r="I3003" s="6"/>
      <c r="J3003" s="6"/>
      <c r="K3003" s="6"/>
      <c r="L3003" s="6"/>
      <c r="M3003" s="6"/>
      <c r="N3003" s="6"/>
      <c r="O3003" s="6"/>
      <c r="P3003" s="6"/>
      <c r="Q3003" s="6"/>
      <c r="R3003" s="6"/>
      <c r="S3003" s="6"/>
      <c r="T3003" s="6"/>
      <c r="U3003" s="6"/>
      <c r="V3003" s="6"/>
      <c r="W3003" s="6"/>
      <c r="X3003" s="6"/>
      <c r="Y3003" s="6"/>
      <c r="Z3003" s="6"/>
      <c r="AA3003" s="6"/>
      <c r="AB3003" s="6"/>
      <c r="AC3003" s="6"/>
      <c r="AD3003" s="6"/>
      <c r="AE3003" s="6"/>
      <c r="AF3003" s="6"/>
      <c r="AG3003" s="6"/>
      <c r="AH3003" s="6"/>
      <c r="AI3003" s="6"/>
      <c r="AJ3003" s="6"/>
      <c r="AK3003" s="6"/>
      <c r="AL3003" s="6"/>
      <c r="AM3003" s="6"/>
    </row>
    <row r="3004">
      <c r="A3004" s="6"/>
      <c r="B3004" s="6"/>
      <c r="C3004" s="6"/>
      <c r="D3004" s="6"/>
      <c r="E3004" s="6"/>
      <c r="F3004" s="6"/>
      <c r="G3004" s="6"/>
      <c r="H3004" s="6"/>
      <c r="I3004" s="6"/>
      <c r="J3004" s="6"/>
      <c r="K3004" s="6"/>
      <c r="L3004" s="6"/>
      <c r="M3004" s="6"/>
      <c r="N3004" s="6"/>
      <c r="O3004" s="6"/>
      <c r="P3004" s="6"/>
      <c r="Q3004" s="6"/>
      <c r="R3004" s="6"/>
      <c r="S3004" s="6"/>
      <c r="T3004" s="6"/>
      <c r="U3004" s="6"/>
      <c r="V3004" s="6"/>
      <c r="W3004" s="6"/>
      <c r="X3004" s="6"/>
      <c r="Y3004" s="6"/>
      <c r="Z3004" s="6"/>
      <c r="AA3004" s="6"/>
      <c r="AB3004" s="6"/>
      <c r="AC3004" s="6"/>
      <c r="AD3004" s="6"/>
      <c r="AE3004" s="6"/>
      <c r="AF3004" s="6"/>
      <c r="AG3004" s="6"/>
      <c r="AH3004" s="6"/>
      <c r="AI3004" s="6"/>
      <c r="AJ3004" s="6"/>
      <c r="AK3004" s="6"/>
      <c r="AL3004" s="6"/>
      <c r="AM3004" s="6"/>
    </row>
    <row r="3005">
      <c r="A3005" s="6"/>
      <c r="B3005" s="6"/>
      <c r="C3005" s="6"/>
      <c r="D3005" s="6"/>
      <c r="E3005" s="6"/>
      <c r="F3005" s="6"/>
      <c r="G3005" s="6"/>
      <c r="H3005" s="6"/>
      <c r="I3005" s="6"/>
      <c r="J3005" s="6"/>
      <c r="K3005" s="6"/>
      <c r="L3005" s="6"/>
      <c r="M3005" s="6"/>
      <c r="N3005" s="6"/>
      <c r="O3005" s="6"/>
      <c r="P3005" s="6"/>
      <c r="Q3005" s="6"/>
      <c r="R3005" s="6"/>
      <c r="S3005" s="6"/>
      <c r="T3005" s="6"/>
      <c r="U3005" s="6"/>
      <c r="V3005" s="6"/>
      <c r="W3005" s="6"/>
      <c r="X3005" s="6"/>
      <c r="Y3005" s="6"/>
      <c r="Z3005" s="6"/>
      <c r="AA3005" s="6"/>
      <c r="AB3005" s="6"/>
      <c r="AC3005" s="6"/>
      <c r="AD3005" s="6"/>
      <c r="AE3005" s="6"/>
      <c r="AF3005" s="6"/>
      <c r="AG3005" s="6"/>
      <c r="AH3005" s="6"/>
      <c r="AI3005" s="6"/>
      <c r="AJ3005" s="6"/>
      <c r="AK3005" s="6"/>
      <c r="AL3005" s="6"/>
      <c r="AM3005" s="6"/>
    </row>
    <row r="3006">
      <c r="A3006" s="6"/>
      <c r="B3006" s="6"/>
      <c r="C3006" s="6"/>
      <c r="D3006" s="6"/>
      <c r="E3006" s="6"/>
      <c r="F3006" s="6"/>
      <c r="G3006" s="6"/>
      <c r="H3006" s="6"/>
      <c r="I3006" s="6"/>
      <c r="J3006" s="6"/>
      <c r="K3006" s="6"/>
      <c r="L3006" s="6"/>
      <c r="M3006" s="6"/>
      <c r="N3006" s="6"/>
      <c r="O3006" s="6"/>
      <c r="P3006" s="6"/>
      <c r="Q3006" s="6"/>
      <c r="R3006" s="6"/>
      <c r="S3006" s="6"/>
      <c r="T3006" s="6"/>
      <c r="U3006" s="6"/>
      <c r="V3006" s="6"/>
      <c r="W3006" s="6"/>
      <c r="X3006" s="6"/>
      <c r="Y3006" s="6"/>
      <c r="Z3006" s="6"/>
      <c r="AA3006" s="6"/>
      <c r="AB3006" s="6"/>
      <c r="AC3006" s="6"/>
      <c r="AD3006" s="6"/>
      <c r="AE3006" s="6"/>
      <c r="AF3006" s="6"/>
      <c r="AG3006" s="6"/>
      <c r="AH3006" s="6"/>
      <c r="AI3006" s="6"/>
      <c r="AJ3006" s="6"/>
      <c r="AK3006" s="6"/>
      <c r="AL3006" s="6"/>
      <c r="AM3006" s="6"/>
    </row>
    <row r="3007">
      <c r="A3007" s="6"/>
      <c r="B3007" s="6"/>
      <c r="C3007" s="6"/>
      <c r="D3007" s="6"/>
      <c r="E3007" s="6"/>
      <c r="F3007" s="6"/>
      <c r="G3007" s="6"/>
      <c r="H3007" s="6"/>
      <c r="I3007" s="6"/>
      <c r="J3007" s="6"/>
      <c r="K3007" s="6"/>
      <c r="L3007" s="6"/>
      <c r="M3007" s="6"/>
      <c r="N3007" s="6"/>
      <c r="O3007" s="6"/>
      <c r="P3007" s="6"/>
      <c r="Q3007" s="6"/>
      <c r="R3007" s="6"/>
      <c r="S3007" s="6"/>
      <c r="T3007" s="6"/>
      <c r="U3007" s="6"/>
      <c r="V3007" s="6"/>
      <c r="W3007" s="6"/>
      <c r="X3007" s="6"/>
      <c r="Y3007" s="6"/>
      <c r="Z3007" s="6"/>
      <c r="AA3007" s="6"/>
      <c r="AB3007" s="6"/>
      <c r="AC3007" s="6"/>
      <c r="AD3007" s="6"/>
      <c r="AE3007" s="6"/>
      <c r="AF3007" s="6"/>
      <c r="AG3007" s="6"/>
      <c r="AH3007" s="6"/>
      <c r="AI3007" s="6"/>
      <c r="AJ3007" s="6"/>
      <c r="AK3007" s="6"/>
      <c r="AL3007" s="6"/>
      <c r="AM3007" s="6"/>
    </row>
    <row r="3008">
      <c r="A3008" s="6"/>
      <c r="B3008" s="6"/>
      <c r="C3008" s="6"/>
      <c r="D3008" s="6"/>
      <c r="E3008" s="6"/>
      <c r="F3008" s="6"/>
      <c r="G3008" s="6"/>
      <c r="H3008" s="6"/>
      <c r="I3008" s="6"/>
      <c r="J3008" s="6"/>
      <c r="K3008" s="6"/>
      <c r="L3008" s="6"/>
      <c r="M3008" s="6"/>
      <c r="N3008" s="6"/>
      <c r="O3008" s="6"/>
      <c r="P3008" s="6"/>
      <c r="Q3008" s="6"/>
      <c r="R3008" s="6"/>
      <c r="S3008" s="6"/>
      <c r="T3008" s="6"/>
      <c r="U3008" s="6"/>
      <c r="V3008" s="6"/>
      <c r="W3008" s="6"/>
      <c r="X3008" s="6"/>
      <c r="Y3008" s="6"/>
      <c r="Z3008" s="6"/>
      <c r="AA3008" s="6"/>
      <c r="AB3008" s="6"/>
      <c r="AC3008" s="6"/>
      <c r="AD3008" s="6"/>
      <c r="AE3008" s="6"/>
      <c r="AF3008" s="6"/>
      <c r="AG3008" s="6"/>
      <c r="AH3008" s="6"/>
      <c r="AI3008" s="6"/>
      <c r="AJ3008" s="6"/>
      <c r="AK3008" s="6"/>
      <c r="AL3008" s="6"/>
      <c r="AM3008" s="6"/>
    </row>
    <row r="3009">
      <c r="A3009" s="6"/>
      <c r="B3009" s="6"/>
      <c r="C3009" s="6"/>
      <c r="D3009" s="6"/>
      <c r="E3009" s="6"/>
      <c r="F3009" s="6"/>
      <c r="G3009" s="6"/>
      <c r="H3009" s="6"/>
      <c r="I3009" s="6"/>
      <c r="J3009" s="6"/>
      <c r="K3009" s="6"/>
      <c r="L3009" s="6"/>
      <c r="M3009" s="6"/>
      <c r="N3009" s="6"/>
      <c r="O3009" s="6"/>
      <c r="P3009" s="6"/>
      <c r="Q3009" s="6"/>
      <c r="R3009" s="6"/>
      <c r="S3009" s="6"/>
      <c r="T3009" s="6"/>
      <c r="U3009" s="6"/>
      <c r="V3009" s="6"/>
      <c r="W3009" s="6"/>
      <c r="X3009" s="6"/>
      <c r="Y3009" s="6"/>
      <c r="Z3009" s="6"/>
      <c r="AA3009" s="6"/>
      <c r="AB3009" s="6"/>
      <c r="AC3009" s="6"/>
      <c r="AD3009" s="6"/>
      <c r="AE3009" s="6"/>
      <c r="AF3009" s="6"/>
      <c r="AG3009" s="6"/>
      <c r="AH3009" s="6"/>
      <c r="AI3009" s="6"/>
      <c r="AJ3009" s="6"/>
      <c r="AK3009" s="6"/>
      <c r="AL3009" s="6"/>
      <c r="AM3009" s="6"/>
    </row>
    <row r="3010">
      <c r="A3010" s="6"/>
      <c r="B3010" s="6"/>
      <c r="C3010" s="6"/>
      <c r="D3010" s="6"/>
      <c r="E3010" s="6"/>
      <c r="F3010" s="6"/>
      <c r="G3010" s="6"/>
      <c r="H3010" s="6"/>
      <c r="I3010" s="6"/>
      <c r="J3010" s="6"/>
      <c r="K3010" s="6"/>
      <c r="L3010" s="6"/>
      <c r="M3010" s="6"/>
      <c r="N3010" s="6"/>
      <c r="O3010" s="6"/>
      <c r="P3010" s="6"/>
      <c r="Q3010" s="6"/>
      <c r="R3010" s="6"/>
      <c r="S3010" s="6"/>
      <c r="T3010" s="6"/>
      <c r="U3010" s="6"/>
      <c r="V3010" s="6"/>
      <c r="W3010" s="6"/>
      <c r="X3010" s="6"/>
      <c r="Y3010" s="6"/>
      <c r="Z3010" s="6"/>
      <c r="AA3010" s="6"/>
      <c r="AB3010" s="6"/>
      <c r="AC3010" s="6"/>
      <c r="AD3010" s="6"/>
      <c r="AE3010" s="6"/>
      <c r="AF3010" s="6"/>
      <c r="AG3010" s="6"/>
      <c r="AH3010" s="6"/>
      <c r="AI3010" s="6"/>
      <c r="AJ3010" s="6"/>
      <c r="AK3010" s="6"/>
      <c r="AL3010" s="6"/>
      <c r="AM3010" s="6"/>
    </row>
    <row r="3011">
      <c r="A3011" s="6"/>
      <c r="B3011" s="6"/>
      <c r="C3011" s="6"/>
      <c r="D3011" s="6"/>
      <c r="E3011" s="6"/>
      <c r="F3011" s="6"/>
      <c r="G3011" s="6"/>
      <c r="H3011" s="6"/>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c r="AG3011" s="6"/>
      <c r="AH3011" s="6"/>
      <c r="AI3011" s="6"/>
      <c r="AJ3011" s="6"/>
      <c r="AK3011" s="6"/>
      <c r="AL3011" s="6"/>
      <c r="AM3011" s="6"/>
    </row>
    <row r="3012">
      <c r="A3012" s="6"/>
      <c r="B3012" s="6"/>
      <c r="C3012" s="6"/>
      <c r="D3012" s="6"/>
      <c r="E3012" s="6"/>
      <c r="F3012" s="6"/>
      <c r="G3012" s="6"/>
      <c r="H3012" s="6"/>
      <c r="I3012" s="6"/>
      <c r="J3012" s="6"/>
      <c r="K3012" s="6"/>
      <c r="L3012" s="6"/>
      <c r="M3012" s="6"/>
      <c r="N3012" s="6"/>
      <c r="O3012" s="6"/>
      <c r="P3012" s="6"/>
      <c r="Q3012" s="6"/>
      <c r="R3012" s="6"/>
      <c r="S3012" s="6"/>
      <c r="T3012" s="6"/>
      <c r="U3012" s="6"/>
      <c r="V3012" s="6"/>
      <c r="W3012" s="6"/>
      <c r="X3012" s="6"/>
      <c r="Y3012" s="6"/>
      <c r="Z3012" s="6"/>
      <c r="AA3012" s="6"/>
      <c r="AB3012" s="6"/>
      <c r="AC3012" s="6"/>
      <c r="AD3012" s="6"/>
      <c r="AE3012" s="6"/>
      <c r="AF3012" s="6"/>
      <c r="AG3012" s="6"/>
      <c r="AH3012" s="6"/>
      <c r="AI3012" s="6"/>
      <c r="AJ3012" s="6"/>
      <c r="AK3012" s="6"/>
      <c r="AL3012" s="6"/>
      <c r="AM3012" s="6"/>
    </row>
    <row r="3013">
      <c r="A3013" s="6"/>
      <c r="B3013" s="6"/>
      <c r="C3013" s="6"/>
      <c r="D3013" s="6"/>
      <c r="E3013" s="6"/>
      <c r="F3013" s="6"/>
      <c r="G3013" s="6"/>
      <c r="H3013" s="6"/>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c r="AG3013" s="6"/>
      <c r="AH3013" s="6"/>
      <c r="AI3013" s="6"/>
      <c r="AJ3013" s="6"/>
      <c r="AK3013" s="6"/>
      <c r="AL3013" s="6"/>
      <c r="AM3013" s="6"/>
    </row>
    <row r="3014">
      <c r="A3014" s="6"/>
      <c r="B3014" s="6"/>
      <c r="C3014" s="6"/>
      <c r="D3014" s="6"/>
      <c r="E3014" s="6"/>
      <c r="F3014" s="6"/>
      <c r="G3014" s="6"/>
      <c r="H3014" s="6"/>
      <c r="I3014" s="6"/>
      <c r="J3014" s="6"/>
      <c r="K3014" s="6"/>
      <c r="L3014" s="6"/>
      <c r="M3014" s="6"/>
      <c r="N3014" s="6"/>
      <c r="O3014" s="6"/>
      <c r="P3014" s="6"/>
      <c r="Q3014" s="6"/>
      <c r="R3014" s="6"/>
      <c r="S3014" s="6"/>
      <c r="T3014" s="6"/>
      <c r="U3014" s="6"/>
      <c r="V3014" s="6"/>
      <c r="W3014" s="6"/>
      <c r="X3014" s="6"/>
      <c r="Y3014" s="6"/>
      <c r="Z3014" s="6"/>
      <c r="AA3014" s="6"/>
      <c r="AB3014" s="6"/>
      <c r="AC3014" s="6"/>
      <c r="AD3014" s="6"/>
      <c r="AE3014" s="6"/>
      <c r="AF3014" s="6"/>
      <c r="AG3014" s="6"/>
      <c r="AH3014" s="6"/>
      <c r="AI3014" s="6"/>
      <c r="AJ3014" s="6"/>
      <c r="AK3014" s="6"/>
      <c r="AL3014" s="6"/>
      <c r="AM3014" s="6"/>
    </row>
    <row r="3015">
      <c r="A3015" s="6"/>
      <c r="B3015" s="6"/>
      <c r="C3015" s="6"/>
      <c r="D3015" s="6"/>
      <c r="E3015" s="6"/>
      <c r="F3015" s="6"/>
      <c r="G3015" s="6"/>
      <c r="H3015" s="6"/>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c r="AG3015" s="6"/>
      <c r="AH3015" s="6"/>
      <c r="AI3015" s="6"/>
      <c r="AJ3015" s="6"/>
      <c r="AK3015" s="6"/>
      <c r="AL3015" s="6"/>
      <c r="AM3015" s="6"/>
    </row>
    <row r="3016">
      <c r="A3016" s="6"/>
      <c r="B3016" s="6"/>
      <c r="C3016" s="6"/>
      <c r="D3016" s="6"/>
      <c r="E3016" s="6"/>
      <c r="F3016" s="6"/>
      <c r="G3016" s="6"/>
      <c r="H3016" s="6"/>
      <c r="I3016" s="6"/>
      <c r="J3016" s="6"/>
      <c r="K3016" s="6"/>
      <c r="L3016" s="6"/>
      <c r="M3016" s="6"/>
      <c r="N3016" s="6"/>
      <c r="O3016" s="6"/>
      <c r="P3016" s="6"/>
      <c r="Q3016" s="6"/>
      <c r="R3016" s="6"/>
      <c r="S3016" s="6"/>
      <c r="T3016" s="6"/>
      <c r="U3016" s="6"/>
      <c r="V3016" s="6"/>
      <c r="W3016" s="6"/>
      <c r="X3016" s="6"/>
      <c r="Y3016" s="6"/>
      <c r="Z3016" s="6"/>
      <c r="AA3016" s="6"/>
      <c r="AB3016" s="6"/>
      <c r="AC3016" s="6"/>
      <c r="AD3016" s="6"/>
      <c r="AE3016" s="6"/>
      <c r="AF3016" s="6"/>
      <c r="AG3016" s="6"/>
      <c r="AH3016" s="6"/>
      <c r="AI3016" s="6"/>
      <c r="AJ3016" s="6"/>
      <c r="AK3016" s="6"/>
      <c r="AL3016" s="6"/>
      <c r="AM3016" s="6"/>
    </row>
    <row r="3017">
      <c r="A3017" s="6"/>
      <c r="B3017" s="6"/>
      <c r="C3017" s="6"/>
      <c r="D3017" s="6"/>
      <c r="E3017" s="6"/>
      <c r="F3017" s="6"/>
      <c r="G3017" s="6"/>
      <c r="H3017" s="6"/>
      <c r="I3017" s="6"/>
      <c r="J3017" s="6"/>
      <c r="K3017" s="6"/>
      <c r="L3017" s="6"/>
      <c r="M3017" s="6"/>
      <c r="N3017" s="6"/>
      <c r="O3017" s="6"/>
      <c r="P3017" s="6"/>
      <c r="Q3017" s="6"/>
      <c r="R3017" s="6"/>
      <c r="S3017" s="6"/>
      <c r="T3017" s="6"/>
      <c r="U3017" s="6"/>
      <c r="V3017" s="6"/>
      <c r="W3017" s="6"/>
      <c r="X3017" s="6"/>
      <c r="Y3017" s="6"/>
      <c r="Z3017" s="6"/>
      <c r="AA3017" s="6"/>
      <c r="AB3017" s="6"/>
      <c r="AC3017" s="6"/>
      <c r="AD3017" s="6"/>
      <c r="AE3017" s="6"/>
      <c r="AF3017" s="6"/>
      <c r="AG3017" s="6"/>
      <c r="AH3017" s="6"/>
      <c r="AI3017" s="6"/>
      <c r="AJ3017" s="6"/>
      <c r="AK3017" s="6"/>
      <c r="AL3017" s="6"/>
      <c r="AM3017" s="6"/>
    </row>
    <row r="3018">
      <c r="A3018" s="6"/>
      <c r="B3018" s="6"/>
      <c r="C3018" s="6"/>
      <c r="D3018" s="6"/>
      <c r="E3018" s="6"/>
      <c r="F3018" s="6"/>
      <c r="G3018" s="6"/>
      <c r="H3018" s="6"/>
      <c r="I3018" s="6"/>
      <c r="J3018" s="6"/>
      <c r="K3018" s="6"/>
      <c r="L3018" s="6"/>
      <c r="M3018" s="6"/>
      <c r="N3018" s="6"/>
      <c r="O3018" s="6"/>
      <c r="P3018" s="6"/>
      <c r="Q3018" s="6"/>
      <c r="R3018" s="6"/>
      <c r="S3018" s="6"/>
      <c r="T3018" s="6"/>
      <c r="U3018" s="6"/>
      <c r="V3018" s="6"/>
      <c r="W3018" s="6"/>
      <c r="X3018" s="6"/>
      <c r="Y3018" s="6"/>
      <c r="Z3018" s="6"/>
      <c r="AA3018" s="6"/>
      <c r="AB3018" s="6"/>
      <c r="AC3018" s="6"/>
      <c r="AD3018" s="6"/>
      <c r="AE3018" s="6"/>
      <c r="AF3018" s="6"/>
      <c r="AG3018" s="6"/>
      <c r="AH3018" s="6"/>
      <c r="AI3018" s="6"/>
      <c r="AJ3018" s="6"/>
      <c r="AK3018" s="6"/>
      <c r="AL3018" s="6"/>
      <c r="AM3018" s="6"/>
    </row>
    <row r="3019">
      <c r="A3019" s="6"/>
      <c r="B3019" s="6"/>
      <c r="C3019" s="6"/>
      <c r="D3019" s="6"/>
      <c r="E3019" s="6"/>
      <c r="F3019" s="6"/>
      <c r="G3019" s="6"/>
      <c r="H3019" s="6"/>
      <c r="I3019" s="6"/>
      <c r="J3019" s="6"/>
      <c r="K3019" s="6"/>
      <c r="L3019" s="6"/>
      <c r="M3019" s="6"/>
      <c r="N3019" s="6"/>
      <c r="O3019" s="6"/>
      <c r="P3019" s="6"/>
      <c r="Q3019" s="6"/>
      <c r="R3019" s="6"/>
      <c r="S3019" s="6"/>
      <c r="T3019" s="6"/>
      <c r="U3019" s="6"/>
      <c r="V3019" s="6"/>
      <c r="W3019" s="6"/>
      <c r="X3019" s="6"/>
      <c r="Y3019" s="6"/>
      <c r="Z3019" s="6"/>
      <c r="AA3019" s="6"/>
      <c r="AB3019" s="6"/>
      <c r="AC3019" s="6"/>
      <c r="AD3019" s="6"/>
      <c r="AE3019" s="6"/>
      <c r="AF3019" s="6"/>
      <c r="AG3019" s="6"/>
      <c r="AH3019" s="6"/>
      <c r="AI3019" s="6"/>
      <c r="AJ3019" s="6"/>
      <c r="AK3019" s="6"/>
      <c r="AL3019" s="6"/>
      <c r="AM3019" s="6"/>
    </row>
    <row r="3020">
      <c r="A3020" s="6"/>
      <c r="B3020" s="6"/>
      <c r="C3020" s="6"/>
      <c r="D3020" s="6"/>
      <c r="E3020" s="6"/>
      <c r="F3020" s="6"/>
      <c r="G3020" s="6"/>
      <c r="H3020" s="6"/>
      <c r="I3020" s="6"/>
      <c r="J3020" s="6"/>
      <c r="K3020" s="6"/>
      <c r="L3020" s="6"/>
      <c r="M3020" s="6"/>
      <c r="N3020" s="6"/>
      <c r="O3020" s="6"/>
      <c r="P3020" s="6"/>
      <c r="Q3020" s="6"/>
      <c r="R3020" s="6"/>
      <c r="S3020" s="6"/>
      <c r="T3020" s="6"/>
      <c r="U3020" s="6"/>
      <c r="V3020" s="6"/>
      <c r="W3020" s="6"/>
      <c r="X3020" s="6"/>
      <c r="Y3020" s="6"/>
      <c r="Z3020" s="6"/>
      <c r="AA3020" s="6"/>
      <c r="AB3020" s="6"/>
      <c r="AC3020" s="6"/>
      <c r="AD3020" s="6"/>
      <c r="AE3020" s="6"/>
      <c r="AF3020" s="6"/>
      <c r="AG3020" s="6"/>
      <c r="AH3020" s="6"/>
      <c r="AI3020" s="6"/>
      <c r="AJ3020" s="6"/>
      <c r="AK3020" s="6"/>
      <c r="AL3020" s="6"/>
      <c r="AM3020" s="6"/>
    </row>
    <row r="3021">
      <c r="A3021" s="6"/>
      <c r="B3021" s="6"/>
      <c r="C3021" s="6"/>
      <c r="D3021" s="6"/>
      <c r="E3021" s="6"/>
      <c r="F3021" s="6"/>
      <c r="G3021" s="6"/>
      <c r="H3021" s="6"/>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c r="AG3021" s="6"/>
      <c r="AH3021" s="6"/>
      <c r="AI3021" s="6"/>
      <c r="AJ3021" s="6"/>
      <c r="AK3021" s="6"/>
      <c r="AL3021" s="6"/>
      <c r="AM3021" s="6"/>
    </row>
    <row r="3022">
      <c r="A3022" s="6"/>
      <c r="B3022" s="6"/>
      <c r="C3022" s="6"/>
      <c r="D3022" s="6"/>
      <c r="E3022" s="6"/>
      <c r="F3022" s="6"/>
      <c r="G3022" s="6"/>
      <c r="H3022" s="6"/>
      <c r="I3022" s="6"/>
      <c r="J3022" s="6"/>
      <c r="K3022" s="6"/>
      <c r="L3022" s="6"/>
      <c r="M3022" s="6"/>
      <c r="N3022" s="6"/>
      <c r="O3022" s="6"/>
      <c r="P3022" s="6"/>
      <c r="Q3022" s="6"/>
      <c r="R3022" s="6"/>
      <c r="S3022" s="6"/>
      <c r="T3022" s="6"/>
      <c r="U3022" s="6"/>
      <c r="V3022" s="6"/>
      <c r="W3022" s="6"/>
      <c r="X3022" s="6"/>
      <c r="Y3022" s="6"/>
      <c r="Z3022" s="6"/>
      <c r="AA3022" s="6"/>
      <c r="AB3022" s="6"/>
      <c r="AC3022" s="6"/>
      <c r="AD3022" s="6"/>
      <c r="AE3022" s="6"/>
      <c r="AF3022" s="6"/>
      <c r="AG3022" s="6"/>
      <c r="AH3022" s="6"/>
      <c r="AI3022" s="6"/>
      <c r="AJ3022" s="6"/>
      <c r="AK3022" s="6"/>
      <c r="AL3022" s="6"/>
      <c r="AM3022" s="6"/>
    </row>
    <row r="3023">
      <c r="A3023" s="6"/>
      <c r="B3023" s="6"/>
      <c r="C3023" s="6"/>
      <c r="D3023" s="6"/>
      <c r="E3023" s="6"/>
      <c r="F3023" s="6"/>
      <c r="G3023" s="6"/>
      <c r="H3023" s="6"/>
      <c r="I3023" s="6"/>
      <c r="J3023" s="6"/>
      <c r="K3023" s="6"/>
      <c r="L3023" s="6"/>
      <c r="M3023" s="6"/>
      <c r="N3023" s="6"/>
      <c r="O3023" s="6"/>
      <c r="P3023" s="6"/>
      <c r="Q3023" s="6"/>
      <c r="R3023" s="6"/>
      <c r="S3023" s="6"/>
      <c r="T3023" s="6"/>
      <c r="U3023" s="6"/>
      <c r="V3023" s="6"/>
      <c r="W3023" s="6"/>
      <c r="X3023" s="6"/>
      <c r="Y3023" s="6"/>
      <c r="Z3023" s="6"/>
      <c r="AA3023" s="6"/>
      <c r="AB3023" s="6"/>
      <c r="AC3023" s="6"/>
      <c r="AD3023" s="6"/>
      <c r="AE3023" s="6"/>
      <c r="AF3023" s="6"/>
      <c r="AG3023" s="6"/>
      <c r="AH3023" s="6"/>
      <c r="AI3023" s="6"/>
      <c r="AJ3023" s="6"/>
      <c r="AK3023" s="6"/>
      <c r="AL3023" s="6"/>
      <c r="AM3023" s="6"/>
    </row>
    <row r="3024">
      <c r="A3024" s="6"/>
      <c r="B3024" s="6"/>
      <c r="C3024" s="6"/>
      <c r="D3024" s="6"/>
      <c r="E3024" s="6"/>
      <c r="F3024" s="6"/>
      <c r="G3024" s="6"/>
      <c r="H3024" s="6"/>
      <c r="I3024" s="6"/>
      <c r="J3024" s="6"/>
      <c r="K3024" s="6"/>
      <c r="L3024" s="6"/>
      <c r="M3024" s="6"/>
      <c r="N3024" s="6"/>
      <c r="O3024" s="6"/>
      <c r="P3024" s="6"/>
      <c r="Q3024" s="6"/>
      <c r="R3024" s="6"/>
      <c r="S3024" s="6"/>
      <c r="T3024" s="6"/>
      <c r="U3024" s="6"/>
      <c r="V3024" s="6"/>
      <c r="W3024" s="6"/>
      <c r="X3024" s="6"/>
      <c r="Y3024" s="6"/>
      <c r="Z3024" s="6"/>
      <c r="AA3024" s="6"/>
      <c r="AB3024" s="6"/>
      <c r="AC3024" s="6"/>
      <c r="AD3024" s="6"/>
      <c r="AE3024" s="6"/>
      <c r="AF3024" s="6"/>
      <c r="AG3024" s="6"/>
      <c r="AH3024" s="6"/>
      <c r="AI3024" s="6"/>
      <c r="AJ3024" s="6"/>
      <c r="AK3024" s="6"/>
      <c r="AL3024" s="6"/>
      <c r="AM3024" s="6"/>
    </row>
    <row r="3025">
      <c r="A3025" s="6"/>
      <c r="B3025" s="6"/>
      <c r="C3025" s="6"/>
      <c r="D3025" s="6"/>
      <c r="E3025" s="6"/>
      <c r="F3025" s="6"/>
      <c r="G3025" s="6"/>
      <c r="H3025" s="6"/>
      <c r="I3025" s="6"/>
      <c r="J3025" s="6"/>
      <c r="K3025" s="6"/>
      <c r="L3025" s="6"/>
      <c r="M3025" s="6"/>
      <c r="N3025" s="6"/>
      <c r="O3025" s="6"/>
      <c r="P3025" s="6"/>
      <c r="Q3025" s="6"/>
      <c r="R3025" s="6"/>
      <c r="S3025" s="6"/>
      <c r="T3025" s="6"/>
      <c r="U3025" s="6"/>
      <c r="V3025" s="6"/>
      <c r="W3025" s="6"/>
      <c r="X3025" s="6"/>
      <c r="Y3025" s="6"/>
      <c r="Z3025" s="6"/>
      <c r="AA3025" s="6"/>
      <c r="AB3025" s="6"/>
      <c r="AC3025" s="6"/>
      <c r="AD3025" s="6"/>
      <c r="AE3025" s="6"/>
      <c r="AF3025" s="6"/>
      <c r="AG3025" s="6"/>
      <c r="AH3025" s="6"/>
      <c r="AI3025" s="6"/>
      <c r="AJ3025" s="6"/>
      <c r="AK3025" s="6"/>
      <c r="AL3025" s="6"/>
      <c r="AM3025" s="6"/>
    </row>
    <row r="3026">
      <c r="A3026" s="6"/>
      <c r="B3026" s="6"/>
      <c r="C3026" s="6"/>
      <c r="D3026" s="6"/>
      <c r="E3026" s="6"/>
      <c r="F3026" s="6"/>
      <c r="G3026" s="6"/>
      <c r="H3026" s="6"/>
      <c r="I3026" s="6"/>
      <c r="J3026" s="6"/>
      <c r="K3026" s="6"/>
      <c r="L3026" s="6"/>
      <c r="M3026" s="6"/>
      <c r="N3026" s="6"/>
      <c r="O3026" s="6"/>
      <c r="P3026" s="6"/>
      <c r="Q3026" s="6"/>
      <c r="R3026" s="6"/>
      <c r="S3026" s="6"/>
      <c r="T3026" s="6"/>
      <c r="U3026" s="6"/>
      <c r="V3026" s="6"/>
      <c r="W3026" s="6"/>
      <c r="X3026" s="6"/>
      <c r="Y3026" s="6"/>
      <c r="Z3026" s="6"/>
      <c r="AA3026" s="6"/>
      <c r="AB3026" s="6"/>
      <c r="AC3026" s="6"/>
      <c r="AD3026" s="6"/>
      <c r="AE3026" s="6"/>
      <c r="AF3026" s="6"/>
      <c r="AG3026" s="6"/>
      <c r="AH3026" s="6"/>
      <c r="AI3026" s="6"/>
      <c r="AJ3026" s="6"/>
      <c r="AK3026" s="6"/>
      <c r="AL3026" s="6"/>
      <c r="AM3026" s="6"/>
    </row>
    <row r="3027">
      <c r="A3027" s="6"/>
      <c r="B3027" s="6"/>
      <c r="C3027" s="6"/>
      <c r="D3027" s="6"/>
      <c r="E3027" s="6"/>
      <c r="F3027" s="6"/>
      <c r="G3027" s="6"/>
      <c r="H3027" s="6"/>
      <c r="I3027" s="6"/>
      <c r="J3027" s="6"/>
      <c r="K3027" s="6"/>
      <c r="L3027" s="6"/>
      <c r="M3027" s="6"/>
      <c r="N3027" s="6"/>
      <c r="O3027" s="6"/>
      <c r="P3027" s="6"/>
      <c r="Q3027" s="6"/>
      <c r="R3027" s="6"/>
      <c r="S3027" s="6"/>
      <c r="T3027" s="6"/>
      <c r="U3027" s="6"/>
      <c r="V3027" s="6"/>
      <c r="W3027" s="6"/>
      <c r="X3027" s="6"/>
      <c r="Y3027" s="6"/>
      <c r="Z3027" s="6"/>
      <c r="AA3027" s="6"/>
      <c r="AB3027" s="6"/>
      <c r="AC3027" s="6"/>
      <c r="AD3027" s="6"/>
      <c r="AE3027" s="6"/>
      <c r="AF3027" s="6"/>
      <c r="AG3027" s="6"/>
      <c r="AH3027" s="6"/>
      <c r="AI3027" s="6"/>
      <c r="AJ3027" s="6"/>
      <c r="AK3027" s="6"/>
      <c r="AL3027" s="6"/>
      <c r="AM3027" s="6"/>
    </row>
    <row r="3028">
      <c r="A3028" s="6"/>
      <c r="B3028" s="6"/>
      <c r="C3028" s="6"/>
      <c r="D3028" s="6"/>
      <c r="E3028" s="6"/>
      <c r="F3028" s="6"/>
      <c r="G3028" s="6"/>
      <c r="H3028" s="6"/>
      <c r="I3028" s="6"/>
      <c r="J3028" s="6"/>
      <c r="K3028" s="6"/>
      <c r="L3028" s="6"/>
      <c r="M3028" s="6"/>
      <c r="N3028" s="6"/>
      <c r="O3028" s="6"/>
      <c r="P3028" s="6"/>
      <c r="Q3028" s="6"/>
      <c r="R3028" s="6"/>
      <c r="S3028" s="6"/>
      <c r="T3028" s="6"/>
      <c r="U3028" s="6"/>
      <c r="V3028" s="6"/>
      <c r="W3028" s="6"/>
      <c r="X3028" s="6"/>
      <c r="Y3028" s="6"/>
      <c r="Z3028" s="6"/>
      <c r="AA3028" s="6"/>
      <c r="AB3028" s="6"/>
      <c r="AC3028" s="6"/>
      <c r="AD3028" s="6"/>
      <c r="AE3028" s="6"/>
      <c r="AF3028" s="6"/>
      <c r="AG3028" s="6"/>
      <c r="AH3028" s="6"/>
      <c r="AI3028" s="6"/>
      <c r="AJ3028" s="6"/>
      <c r="AK3028" s="6"/>
      <c r="AL3028" s="6"/>
      <c r="AM3028" s="6"/>
    </row>
    <row r="3029">
      <c r="A3029" s="6"/>
      <c r="B3029" s="6"/>
      <c r="C3029" s="6"/>
      <c r="D3029" s="6"/>
      <c r="E3029" s="6"/>
      <c r="F3029" s="6"/>
      <c r="G3029" s="6"/>
      <c r="H3029" s="6"/>
      <c r="I3029" s="6"/>
      <c r="J3029" s="6"/>
      <c r="K3029" s="6"/>
      <c r="L3029" s="6"/>
      <c r="M3029" s="6"/>
      <c r="N3029" s="6"/>
      <c r="O3029" s="6"/>
      <c r="P3029" s="6"/>
      <c r="Q3029" s="6"/>
      <c r="R3029" s="6"/>
      <c r="S3029" s="6"/>
      <c r="T3029" s="6"/>
      <c r="U3029" s="6"/>
      <c r="V3029" s="6"/>
      <c r="W3029" s="6"/>
      <c r="X3029" s="6"/>
      <c r="Y3029" s="6"/>
      <c r="Z3029" s="6"/>
      <c r="AA3029" s="6"/>
      <c r="AB3029" s="6"/>
      <c r="AC3029" s="6"/>
      <c r="AD3029" s="6"/>
      <c r="AE3029" s="6"/>
      <c r="AF3029" s="6"/>
      <c r="AG3029" s="6"/>
      <c r="AH3029" s="6"/>
      <c r="AI3029" s="6"/>
      <c r="AJ3029" s="6"/>
      <c r="AK3029" s="6"/>
      <c r="AL3029" s="6"/>
      <c r="AM3029" s="6"/>
    </row>
    <row r="3030">
      <c r="A3030" s="6"/>
      <c r="B3030" s="6"/>
      <c r="C3030" s="6"/>
      <c r="D3030" s="6"/>
      <c r="E3030" s="6"/>
      <c r="F3030" s="6"/>
      <c r="G3030" s="6"/>
      <c r="H3030" s="6"/>
      <c r="I3030" s="6"/>
      <c r="J3030" s="6"/>
      <c r="K3030" s="6"/>
      <c r="L3030" s="6"/>
      <c r="M3030" s="6"/>
      <c r="N3030" s="6"/>
      <c r="O3030" s="6"/>
      <c r="P3030" s="6"/>
      <c r="Q3030" s="6"/>
      <c r="R3030" s="6"/>
      <c r="S3030" s="6"/>
      <c r="T3030" s="6"/>
      <c r="U3030" s="6"/>
      <c r="V3030" s="6"/>
      <c r="W3030" s="6"/>
      <c r="X3030" s="6"/>
      <c r="Y3030" s="6"/>
      <c r="Z3030" s="6"/>
      <c r="AA3030" s="6"/>
      <c r="AB3030" s="6"/>
      <c r="AC3030" s="6"/>
      <c r="AD3030" s="6"/>
      <c r="AE3030" s="6"/>
      <c r="AF3030" s="6"/>
      <c r="AG3030" s="6"/>
      <c r="AH3030" s="6"/>
      <c r="AI3030" s="6"/>
      <c r="AJ3030" s="6"/>
      <c r="AK3030" s="6"/>
      <c r="AL3030" s="6"/>
      <c r="AM3030" s="6"/>
    </row>
    <row r="3031">
      <c r="A3031" s="6"/>
      <c r="B3031" s="6"/>
      <c r="C3031" s="6"/>
      <c r="D3031" s="6"/>
      <c r="E3031" s="6"/>
      <c r="F3031" s="6"/>
      <c r="G3031" s="6"/>
      <c r="H3031" s="6"/>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c r="AG3031" s="6"/>
      <c r="AH3031" s="6"/>
      <c r="AI3031" s="6"/>
      <c r="AJ3031" s="6"/>
      <c r="AK3031" s="6"/>
      <c r="AL3031" s="6"/>
      <c r="AM3031" s="6"/>
    </row>
    <row r="3032">
      <c r="A3032" s="6"/>
      <c r="B3032" s="6"/>
      <c r="C3032" s="6"/>
      <c r="D3032" s="6"/>
      <c r="E3032" s="6"/>
      <c r="F3032" s="6"/>
      <c r="G3032" s="6"/>
      <c r="H3032" s="6"/>
      <c r="I3032" s="6"/>
      <c r="J3032" s="6"/>
      <c r="K3032" s="6"/>
      <c r="L3032" s="6"/>
      <c r="M3032" s="6"/>
      <c r="N3032" s="6"/>
      <c r="O3032" s="6"/>
      <c r="P3032" s="6"/>
      <c r="Q3032" s="6"/>
      <c r="R3032" s="6"/>
      <c r="S3032" s="6"/>
      <c r="T3032" s="6"/>
      <c r="U3032" s="6"/>
      <c r="V3032" s="6"/>
      <c r="W3032" s="6"/>
      <c r="X3032" s="6"/>
      <c r="Y3032" s="6"/>
      <c r="Z3032" s="6"/>
      <c r="AA3032" s="6"/>
      <c r="AB3032" s="6"/>
      <c r="AC3032" s="6"/>
      <c r="AD3032" s="6"/>
      <c r="AE3032" s="6"/>
      <c r="AF3032" s="6"/>
      <c r="AG3032" s="6"/>
      <c r="AH3032" s="6"/>
      <c r="AI3032" s="6"/>
      <c r="AJ3032" s="6"/>
      <c r="AK3032" s="6"/>
      <c r="AL3032" s="6"/>
      <c r="AM3032" s="6"/>
    </row>
    <row r="3033">
      <c r="A3033" s="6"/>
      <c r="B3033" s="6"/>
      <c r="C3033" s="6"/>
      <c r="D3033" s="6"/>
      <c r="E3033" s="6"/>
      <c r="F3033" s="6"/>
      <c r="G3033" s="6"/>
      <c r="H3033" s="6"/>
      <c r="I3033" s="6"/>
      <c r="J3033" s="6"/>
      <c r="K3033" s="6"/>
      <c r="L3033" s="6"/>
      <c r="M3033" s="6"/>
      <c r="N3033" s="6"/>
      <c r="O3033" s="6"/>
      <c r="P3033" s="6"/>
      <c r="Q3033" s="6"/>
      <c r="R3033" s="6"/>
      <c r="S3033" s="6"/>
      <c r="T3033" s="6"/>
      <c r="U3033" s="6"/>
      <c r="V3033" s="6"/>
      <c r="W3033" s="6"/>
      <c r="X3033" s="6"/>
      <c r="Y3033" s="6"/>
      <c r="Z3033" s="6"/>
      <c r="AA3033" s="6"/>
      <c r="AB3033" s="6"/>
      <c r="AC3033" s="6"/>
      <c r="AD3033" s="6"/>
      <c r="AE3033" s="6"/>
      <c r="AF3033" s="6"/>
      <c r="AG3033" s="6"/>
      <c r="AH3033" s="6"/>
      <c r="AI3033" s="6"/>
      <c r="AJ3033" s="6"/>
      <c r="AK3033" s="6"/>
      <c r="AL3033" s="6"/>
      <c r="AM3033" s="6"/>
    </row>
    <row r="3034">
      <c r="A3034" s="6"/>
      <c r="B3034" s="6"/>
      <c r="C3034" s="6"/>
      <c r="D3034" s="6"/>
      <c r="E3034" s="6"/>
      <c r="F3034" s="6"/>
      <c r="G3034" s="6"/>
      <c r="H3034" s="6"/>
      <c r="I3034" s="6"/>
      <c r="J3034" s="6"/>
      <c r="K3034" s="6"/>
      <c r="L3034" s="6"/>
      <c r="M3034" s="6"/>
      <c r="N3034" s="6"/>
      <c r="O3034" s="6"/>
      <c r="P3034" s="6"/>
      <c r="Q3034" s="6"/>
      <c r="R3034" s="6"/>
      <c r="S3034" s="6"/>
      <c r="T3034" s="6"/>
      <c r="U3034" s="6"/>
      <c r="V3034" s="6"/>
      <c r="W3034" s="6"/>
      <c r="X3034" s="6"/>
      <c r="Y3034" s="6"/>
      <c r="Z3034" s="6"/>
      <c r="AA3034" s="6"/>
      <c r="AB3034" s="6"/>
      <c r="AC3034" s="6"/>
      <c r="AD3034" s="6"/>
      <c r="AE3034" s="6"/>
      <c r="AF3034" s="6"/>
      <c r="AG3034" s="6"/>
      <c r="AH3034" s="6"/>
      <c r="AI3034" s="6"/>
      <c r="AJ3034" s="6"/>
      <c r="AK3034" s="6"/>
      <c r="AL3034" s="6"/>
      <c r="AM3034" s="6"/>
    </row>
    <row r="3035">
      <c r="A3035" s="6"/>
      <c r="B3035" s="6"/>
      <c r="C3035" s="6"/>
      <c r="D3035" s="6"/>
      <c r="E3035" s="6"/>
      <c r="F3035" s="6"/>
      <c r="G3035" s="6"/>
      <c r="H3035" s="6"/>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c r="AG3035" s="6"/>
      <c r="AH3035" s="6"/>
      <c r="AI3035" s="6"/>
      <c r="AJ3035" s="6"/>
      <c r="AK3035" s="6"/>
      <c r="AL3035" s="6"/>
      <c r="AM3035" s="6"/>
    </row>
    <row r="3036">
      <c r="A3036" s="6"/>
      <c r="B3036" s="6"/>
      <c r="C3036" s="6"/>
      <c r="D3036" s="6"/>
      <c r="E3036" s="6"/>
      <c r="F3036" s="6"/>
      <c r="G3036" s="6"/>
      <c r="H3036" s="6"/>
      <c r="I3036" s="6"/>
      <c r="J3036" s="6"/>
      <c r="K3036" s="6"/>
      <c r="L3036" s="6"/>
      <c r="M3036" s="6"/>
      <c r="N3036" s="6"/>
      <c r="O3036" s="6"/>
      <c r="P3036" s="6"/>
      <c r="Q3036" s="6"/>
      <c r="R3036" s="6"/>
      <c r="S3036" s="6"/>
      <c r="T3036" s="6"/>
      <c r="U3036" s="6"/>
      <c r="V3036" s="6"/>
      <c r="W3036" s="6"/>
      <c r="X3036" s="6"/>
      <c r="Y3036" s="6"/>
      <c r="Z3036" s="6"/>
      <c r="AA3036" s="6"/>
      <c r="AB3036" s="6"/>
      <c r="AC3036" s="6"/>
      <c r="AD3036" s="6"/>
      <c r="AE3036" s="6"/>
      <c r="AF3036" s="6"/>
      <c r="AG3036" s="6"/>
      <c r="AH3036" s="6"/>
      <c r="AI3036" s="6"/>
      <c r="AJ3036" s="6"/>
      <c r="AK3036" s="6"/>
      <c r="AL3036" s="6"/>
      <c r="AM3036" s="6"/>
    </row>
    <row r="3037">
      <c r="A3037" s="6"/>
      <c r="B3037" s="6"/>
      <c r="C3037" s="6"/>
      <c r="D3037" s="6"/>
      <c r="E3037" s="6"/>
      <c r="F3037" s="6"/>
      <c r="G3037" s="6"/>
      <c r="H3037" s="6"/>
      <c r="I3037" s="6"/>
      <c r="J3037" s="6"/>
      <c r="K3037" s="6"/>
      <c r="L3037" s="6"/>
      <c r="M3037" s="6"/>
      <c r="N3037" s="6"/>
      <c r="O3037" s="6"/>
      <c r="P3037" s="6"/>
      <c r="Q3037" s="6"/>
      <c r="R3037" s="6"/>
      <c r="S3037" s="6"/>
      <c r="T3037" s="6"/>
      <c r="U3037" s="6"/>
      <c r="V3037" s="6"/>
      <c r="W3037" s="6"/>
      <c r="X3037" s="6"/>
      <c r="Y3037" s="6"/>
      <c r="Z3037" s="6"/>
      <c r="AA3037" s="6"/>
      <c r="AB3037" s="6"/>
      <c r="AC3037" s="6"/>
      <c r="AD3037" s="6"/>
      <c r="AE3037" s="6"/>
      <c r="AF3037" s="6"/>
      <c r="AG3037" s="6"/>
      <c r="AH3037" s="6"/>
      <c r="AI3037" s="6"/>
      <c r="AJ3037" s="6"/>
      <c r="AK3037" s="6"/>
      <c r="AL3037" s="6"/>
      <c r="AM3037" s="6"/>
    </row>
    <row r="3038">
      <c r="A3038" s="6"/>
      <c r="B3038" s="6"/>
      <c r="C3038" s="6"/>
      <c r="D3038" s="6"/>
      <c r="E3038" s="6"/>
      <c r="F3038" s="6"/>
      <c r="G3038" s="6"/>
      <c r="H3038" s="6"/>
      <c r="I3038" s="6"/>
      <c r="J3038" s="6"/>
      <c r="K3038" s="6"/>
      <c r="L3038" s="6"/>
      <c r="M3038" s="6"/>
      <c r="N3038" s="6"/>
      <c r="O3038" s="6"/>
      <c r="P3038" s="6"/>
      <c r="Q3038" s="6"/>
      <c r="R3038" s="6"/>
      <c r="S3038" s="6"/>
      <c r="T3038" s="6"/>
      <c r="U3038" s="6"/>
      <c r="V3038" s="6"/>
      <c r="W3038" s="6"/>
      <c r="X3038" s="6"/>
      <c r="Y3038" s="6"/>
      <c r="Z3038" s="6"/>
      <c r="AA3038" s="6"/>
      <c r="AB3038" s="6"/>
      <c r="AC3038" s="6"/>
      <c r="AD3038" s="6"/>
      <c r="AE3038" s="6"/>
      <c r="AF3038" s="6"/>
      <c r="AG3038" s="6"/>
      <c r="AH3038" s="6"/>
      <c r="AI3038" s="6"/>
      <c r="AJ3038" s="6"/>
      <c r="AK3038" s="6"/>
      <c r="AL3038" s="6"/>
      <c r="AM3038" s="6"/>
    </row>
    <row r="3039">
      <c r="A3039" s="6"/>
      <c r="B3039" s="6"/>
      <c r="C3039" s="6"/>
      <c r="D3039" s="6"/>
      <c r="E3039" s="6"/>
      <c r="F3039" s="6"/>
      <c r="G3039" s="6"/>
      <c r="H3039" s="6"/>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c r="AG3039" s="6"/>
      <c r="AH3039" s="6"/>
      <c r="AI3039" s="6"/>
      <c r="AJ3039" s="6"/>
      <c r="AK3039" s="6"/>
      <c r="AL3039" s="6"/>
      <c r="AM3039" s="6"/>
    </row>
    <row r="3040">
      <c r="A3040" s="6"/>
      <c r="B3040" s="6"/>
      <c r="C3040" s="6"/>
      <c r="D3040" s="6"/>
      <c r="E3040" s="6"/>
      <c r="F3040" s="6"/>
      <c r="G3040" s="6"/>
      <c r="H3040" s="6"/>
      <c r="I3040" s="6"/>
      <c r="J3040" s="6"/>
      <c r="K3040" s="6"/>
      <c r="L3040" s="6"/>
      <c r="M3040" s="6"/>
      <c r="N3040" s="6"/>
      <c r="O3040" s="6"/>
      <c r="P3040" s="6"/>
      <c r="Q3040" s="6"/>
      <c r="R3040" s="6"/>
      <c r="S3040" s="6"/>
      <c r="T3040" s="6"/>
      <c r="U3040" s="6"/>
      <c r="V3040" s="6"/>
      <c r="W3040" s="6"/>
      <c r="X3040" s="6"/>
      <c r="Y3040" s="6"/>
      <c r="Z3040" s="6"/>
      <c r="AA3040" s="6"/>
      <c r="AB3040" s="6"/>
      <c r="AC3040" s="6"/>
      <c r="AD3040" s="6"/>
      <c r="AE3040" s="6"/>
      <c r="AF3040" s="6"/>
      <c r="AG3040" s="6"/>
      <c r="AH3040" s="6"/>
      <c r="AI3040" s="6"/>
      <c r="AJ3040" s="6"/>
      <c r="AK3040" s="6"/>
      <c r="AL3040" s="6"/>
      <c r="AM3040" s="6"/>
    </row>
    <row r="3041">
      <c r="A3041" s="6"/>
      <c r="B3041" s="6"/>
      <c r="C3041" s="6"/>
      <c r="D3041" s="6"/>
      <c r="E3041" s="6"/>
      <c r="F3041" s="6"/>
      <c r="G3041" s="6"/>
      <c r="H3041" s="6"/>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c r="AG3041" s="6"/>
      <c r="AH3041" s="6"/>
      <c r="AI3041" s="6"/>
      <c r="AJ3041" s="6"/>
      <c r="AK3041" s="6"/>
      <c r="AL3041" s="6"/>
      <c r="AM3041" s="6"/>
    </row>
    <row r="3042">
      <c r="A3042" s="6"/>
      <c r="B3042" s="6"/>
      <c r="C3042" s="6"/>
      <c r="D3042" s="6"/>
      <c r="E3042" s="6"/>
      <c r="F3042" s="6"/>
      <c r="G3042" s="6"/>
      <c r="H3042" s="6"/>
      <c r="I3042" s="6"/>
      <c r="J3042" s="6"/>
      <c r="K3042" s="6"/>
      <c r="L3042" s="6"/>
      <c r="M3042" s="6"/>
      <c r="N3042" s="6"/>
      <c r="O3042" s="6"/>
      <c r="P3042" s="6"/>
      <c r="Q3042" s="6"/>
      <c r="R3042" s="6"/>
      <c r="S3042" s="6"/>
      <c r="T3042" s="6"/>
      <c r="U3042" s="6"/>
      <c r="V3042" s="6"/>
      <c r="W3042" s="6"/>
      <c r="X3042" s="6"/>
      <c r="Y3042" s="6"/>
      <c r="Z3042" s="6"/>
      <c r="AA3042" s="6"/>
      <c r="AB3042" s="6"/>
      <c r="AC3042" s="6"/>
      <c r="AD3042" s="6"/>
      <c r="AE3042" s="6"/>
      <c r="AF3042" s="6"/>
      <c r="AG3042" s="6"/>
      <c r="AH3042" s="6"/>
      <c r="AI3042" s="6"/>
      <c r="AJ3042" s="6"/>
      <c r="AK3042" s="6"/>
      <c r="AL3042" s="6"/>
      <c r="AM3042" s="6"/>
    </row>
    <row r="3043">
      <c r="A3043" s="6"/>
      <c r="B3043" s="6"/>
      <c r="C3043" s="6"/>
      <c r="D3043" s="6"/>
      <c r="E3043" s="6"/>
      <c r="F3043" s="6"/>
      <c r="G3043" s="6"/>
      <c r="H3043" s="6"/>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c r="AG3043" s="6"/>
      <c r="AH3043" s="6"/>
      <c r="AI3043" s="6"/>
      <c r="AJ3043" s="6"/>
      <c r="AK3043" s="6"/>
      <c r="AL3043" s="6"/>
      <c r="AM3043" s="6"/>
    </row>
    <row r="3044">
      <c r="A3044" s="6"/>
      <c r="B3044" s="6"/>
      <c r="C3044" s="6"/>
      <c r="D3044" s="6"/>
      <c r="E3044" s="6"/>
      <c r="F3044" s="6"/>
      <c r="G3044" s="6"/>
      <c r="H3044" s="6"/>
      <c r="I3044" s="6"/>
      <c r="J3044" s="6"/>
      <c r="K3044" s="6"/>
      <c r="L3044" s="6"/>
      <c r="M3044" s="6"/>
      <c r="N3044" s="6"/>
      <c r="O3044" s="6"/>
      <c r="P3044" s="6"/>
      <c r="Q3044" s="6"/>
      <c r="R3044" s="6"/>
      <c r="S3044" s="6"/>
      <c r="T3044" s="6"/>
      <c r="U3044" s="6"/>
      <c r="V3044" s="6"/>
      <c r="W3044" s="6"/>
      <c r="X3044" s="6"/>
      <c r="Y3044" s="6"/>
      <c r="Z3044" s="6"/>
      <c r="AA3044" s="6"/>
      <c r="AB3044" s="6"/>
      <c r="AC3044" s="6"/>
      <c r="AD3044" s="6"/>
      <c r="AE3044" s="6"/>
      <c r="AF3044" s="6"/>
      <c r="AG3044" s="6"/>
      <c r="AH3044" s="6"/>
      <c r="AI3044" s="6"/>
      <c r="AJ3044" s="6"/>
      <c r="AK3044" s="6"/>
      <c r="AL3044" s="6"/>
      <c r="AM3044" s="6"/>
    </row>
    <row r="3045">
      <c r="A3045" s="6"/>
      <c r="B3045" s="6"/>
      <c r="C3045" s="6"/>
      <c r="D3045" s="6"/>
      <c r="E3045" s="6"/>
      <c r="F3045" s="6"/>
      <c r="G3045" s="6"/>
      <c r="H3045" s="6"/>
      <c r="I3045" s="6"/>
      <c r="J3045" s="6"/>
      <c r="K3045" s="6"/>
      <c r="L3045" s="6"/>
      <c r="M3045" s="6"/>
      <c r="N3045" s="6"/>
      <c r="O3045" s="6"/>
      <c r="P3045" s="6"/>
      <c r="Q3045" s="6"/>
      <c r="R3045" s="6"/>
      <c r="S3045" s="6"/>
      <c r="T3045" s="6"/>
      <c r="U3045" s="6"/>
      <c r="V3045" s="6"/>
      <c r="W3045" s="6"/>
      <c r="X3045" s="6"/>
      <c r="Y3045" s="6"/>
      <c r="Z3045" s="6"/>
      <c r="AA3045" s="6"/>
      <c r="AB3045" s="6"/>
      <c r="AC3045" s="6"/>
      <c r="AD3045" s="6"/>
      <c r="AE3045" s="6"/>
      <c r="AF3045" s="6"/>
      <c r="AG3045" s="6"/>
      <c r="AH3045" s="6"/>
      <c r="AI3045" s="6"/>
      <c r="AJ3045" s="6"/>
      <c r="AK3045" s="6"/>
      <c r="AL3045" s="6"/>
      <c r="AM3045" s="6"/>
    </row>
    <row r="3046">
      <c r="A3046" s="6"/>
      <c r="B3046" s="6"/>
      <c r="C3046" s="6"/>
      <c r="D3046" s="6"/>
      <c r="E3046" s="6"/>
      <c r="F3046" s="6"/>
      <c r="G3046" s="6"/>
      <c r="H3046" s="6"/>
      <c r="I3046" s="6"/>
      <c r="J3046" s="6"/>
      <c r="K3046" s="6"/>
      <c r="L3046" s="6"/>
      <c r="M3046" s="6"/>
      <c r="N3046" s="6"/>
      <c r="O3046" s="6"/>
      <c r="P3046" s="6"/>
      <c r="Q3046" s="6"/>
      <c r="R3046" s="6"/>
      <c r="S3046" s="6"/>
      <c r="T3046" s="6"/>
      <c r="U3046" s="6"/>
      <c r="V3046" s="6"/>
      <c r="W3046" s="6"/>
      <c r="X3046" s="6"/>
      <c r="Y3046" s="6"/>
      <c r="Z3046" s="6"/>
      <c r="AA3046" s="6"/>
      <c r="AB3046" s="6"/>
      <c r="AC3046" s="6"/>
      <c r="AD3046" s="6"/>
      <c r="AE3046" s="6"/>
      <c r="AF3046" s="6"/>
      <c r="AG3046" s="6"/>
      <c r="AH3046" s="6"/>
      <c r="AI3046" s="6"/>
      <c r="AJ3046" s="6"/>
      <c r="AK3046" s="6"/>
      <c r="AL3046" s="6"/>
      <c r="AM3046" s="6"/>
    </row>
    <row r="3047">
      <c r="A3047" s="6"/>
      <c r="B3047" s="6"/>
      <c r="C3047" s="6"/>
      <c r="D3047" s="6"/>
      <c r="E3047" s="6"/>
      <c r="F3047" s="6"/>
      <c r="G3047" s="6"/>
      <c r="H3047" s="6"/>
      <c r="I3047" s="6"/>
      <c r="J3047" s="6"/>
      <c r="K3047" s="6"/>
      <c r="L3047" s="6"/>
      <c r="M3047" s="6"/>
      <c r="N3047" s="6"/>
      <c r="O3047" s="6"/>
      <c r="P3047" s="6"/>
      <c r="Q3047" s="6"/>
      <c r="R3047" s="6"/>
      <c r="S3047" s="6"/>
      <c r="T3047" s="6"/>
      <c r="U3047" s="6"/>
      <c r="V3047" s="6"/>
      <c r="W3047" s="6"/>
      <c r="X3047" s="6"/>
      <c r="Y3047" s="6"/>
      <c r="Z3047" s="6"/>
      <c r="AA3047" s="6"/>
      <c r="AB3047" s="6"/>
      <c r="AC3047" s="6"/>
      <c r="AD3047" s="6"/>
      <c r="AE3047" s="6"/>
      <c r="AF3047" s="6"/>
      <c r="AG3047" s="6"/>
      <c r="AH3047" s="6"/>
      <c r="AI3047" s="6"/>
      <c r="AJ3047" s="6"/>
      <c r="AK3047" s="6"/>
      <c r="AL3047" s="6"/>
      <c r="AM3047" s="6"/>
    </row>
    <row r="3048">
      <c r="A3048" s="6"/>
      <c r="B3048" s="6"/>
      <c r="C3048" s="6"/>
      <c r="D3048" s="6"/>
      <c r="E3048" s="6"/>
      <c r="F3048" s="6"/>
      <c r="G3048" s="6"/>
      <c r="H3048" s="6"/>
      <c r="I3048" s="6"/>
      <c r="J3048" s="6"/>
      <c r="K3048" s="6"/>
      <c r="L3048" s="6"/>
      <c r="M3048" s="6"/>
      <c r="N3048" s="6"/>
      <c r="O3048" s="6"/>
      <c r="P3048" s="6"/>
      <c r="Q3048" s="6"/>
      <c r="R3048" s="6"/>
      <c r="S3048" s="6"/>
      <c r="T3048" s="6"/>
      <c r="U3048" s="6"/>
      <c r="V3048" s="6"/>
      <c r="W3048" s="6"/>
      <c r="X3048" s="6"/>
      <c r="Y3048" s="6"/>
      <c r="Z3048" s="6"/>
      <c r="AA3048" s="6"/>
      <c r="AB3048" s="6"/>
      <c r="AC3048" s="6"/>
      <c r="AD3048" s="6"/>
      <c r="AE3048" s="6"/>
      <c r="AF3048" s="6"/>
      <c r="AG3048" s="6"/>
      <c r="AH3048" s="6"/>
      <c r="AI3048" s="6"/>
      <c r="AJ3048" s="6"/>
      <c r="AK3048" s="6"/>
      <c r="AL3048" s="6"/>
      <c r="AM3048" s="6"/>
    </row>
    <row r="3049">
      <c r="A3049" s="6"/>
      <c r="B3049" s="6"/>
      <c r="C3049" s="6"/>
      <c r="D3049" s="6"/>
      <c r="E3049" s="6"/>
      <c r="F3049" s="6"/>
      <c r="G3049" s="6"/>
      <c r="H3049" s="6"/>
      <c r="I3049" s="6"/>
      <c r="J3049" s="6"/>
      <c r="K3049" s="6"/>
      <c r="L3049" s="6"/>
      <c r="M3049" s="6"/>
      <c r="N3049" s="6"/>
      <c r="O3049" s="6"/>
      <c r="P3049" s="6"/>
      <c r="Q3049" s="6"/>
      <c r="R3049" s="6"/>
      <c r="S3049" s="6"/>
      <c r="T3049" s="6"/>
      <c r="U3049" s="6"/>
      <c r="V3049" s="6"/>
      <c r="W3049" s="6"/>
      <c r="X3049" s="6"/>
      <c r="Y3049" s="6"/>
      <c r="Z3049" s="6"/>
      <c r="AA3049" s="6"/>
      <c r="AB3049" s="6"/>
      <c r="AC3049" s="6"/>
      <c r="AD3049" s="6"/>
      <c r="AE3049" s="6"/>
      <c r="AF3049" s="6"/>
      <c r="AG3049" s="6"/>
      <c r="AH3049" s="6"/>
      <c r="AI3049" s="6"/>
      <c r="AJ3049" s="6"/>
      <c r="AK3049" s="6"/>
      <c r="AL3049" s="6"/>
      <c r="AM3049" s="6"/>
    </row>
    <row r="3050">
      <c r="A3050" s="6"/>
      <c r="B3050" s="6"/>
      <c r="C3050" s="6"/>
      <c r="D3050" s="6"/>
      <c r="E3050" s="6"/>
      <c r="F3050" s="6"/>
      <c r="G3050" s="6"/>
      <c r="H3050" s="6"/>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c r="AG3050" s="6"/>
      <c r="AH3050" s="6"/>
      <c r="AI3050" s="6"/>
      <c r="AJ3050" s="6"/>
      <c r="AK3050" s="6"/>
      <c r="AL3050" s="6"/>
      <c r="AM3050" s="6"/>
    </row>
    <row r="3051">
      <c r="A3051" s="6"/>
      <c r="B3051" s="6"/>
      <c r="C3051" s="6"/>
      <c r="D3051" s="6"/>
      <c r="E3051" s="6"/>
      <c r="F3051" s="6"/>
      <c r="G3051" s="6"/>
      <c r="H3051" s="6"/>
      <c r="I3051" s="6"/>
      <c r="J3051" s="6"/>
      <c r="K3051" s="6"/>
      <c r="L3051" s="6"/>
      <c r="M3051" s="6"/>
      <c r="N3051" s="6"/>
      <c r="O3051" s="6"/>
      <c r="P3051" s="6"/>
      <c r="Q3051" s="6"/>
      <c r="R3051" s="6"/>
      <c r="S3051" s="6"/>
      <c r="T3051" s="6"/>
      <c r="U3051" s="6"/>
      <c r="V3051" s="6"/>
      <c r="W3051" s="6"/>
      <c r="X3051" s="6"/>
      <c r="Y3051" s="6"/>
      <c r="Z3051" s="6"/>
      <c r="AA3051" s="6"/>
      <c r="AB3051" s="6"/>
      <c r="AC3051" s="6"/>
      <c r="AD3051" s="6"/>
      <c r="AE3051" s="6"/>
      <c r="AF3051" s="6"/>
      <c r="AG3051" s="6"/>
      <c r="AH3051" s="6"/>
      <c r="AI3051" s="6"/>
      <c r="AJ3051" s="6"/>
      <c r="AK3051" s="6"/>
      <c r="AL3051" s="6"/>
      <c r="AM3051" s="6"/>
    </row>
    <row r="3052">
      <c r="A3052" s="6"/>
      <c r="B3052" s="6"/>
      <c r="C3052" s="6"/>
      <c r="D3052" s="6"/>
      <c r="E3052" s="6"/>
      <c r="F3052" s="6"/>
      <c r="G3052" s="6"/>
      <c r="H3052" s="6"/>
      <c r="I3052" s="6"/>
      <c r="J3052" s="6"/>
      <c r="K3052" s="6"/>
      <c r="L3052" s="6"/>
      <c r="M3052" s="6"/>
      <c r="N3052" s="6"/>
      <c r="O3052" s="6"/>
      <c r="P3052" s="6"/>
      <c r="Q3052" s="6"/>
      <c r="R3052" s="6"/>
      <c r="S3052" s="6"/>
      <c r="T3052" s="6"/>
      <c r="U3052" s="6"/>
      <c r="V3052" s="6"/>
      <c r="W3052" s="6"/>
      <c r="X3052" s="6"/>
      <c r="Y3052" s="6"/>
      <c r="Z3052" s="6"/>
      <c r="AA3052" s="6"/>
      <c r="AB3052" s="6"/>
      <c r="AC3052" s="6"/>
      <c r="AD3052" s="6"/>
      <c r="AE3052" s="6"/>
      <c r="AF3052" s="6"/>
      <c r="AG3052" s="6"/>
      <c r="AH3052" s="6"/>
      <c r="AI3052" s="6"/>
      <c r="AJ3052" s="6"/>
      <c r="AK3052" s="6"/>
      <c r="AL3052" s="6"/>
      <c r="AM3052" s="6"/>
    </row>
    <row r="3053">
      <c r="A3053" s="6"/>
      <c r="B3053" s="6"/>
      <c r="C3053" s="6"/>
      <c r="D3053" s="6"/>
      <c r="E3053" s="6"/>
      <c r="F3053" s="6"/>
      <c r="G3053" s="6"/>
      <c r="H3053" s="6"/>
      <c r="I3053" s="6"/>
      <c r="J3053" s="6"/>
      <c r="K3053" s="6"/>
      <c r="L3053" s="6"/>
      <c r="M3053" s="6"/>
      <c r="N3053" s="6"/>
      <c r="O3053" s="6"/>
      <c r="P3053" s="6"/>
      <c r="Q3053" s="6"/>
      <c r="R3053" s="6"/>
      <c r="S3053" s="6"/>
      <c r="T3053" s="6"/>
      <c r="U3053" s="6"/>
      <c r="V3053" s="6"/>
      <c r="W3053" s="6"/>
      <c r="X3053" s="6"/>
      <c r="Y3053" s="6"/>
      <c r="Z3053" s="6"/>
      <c r="AA3053" s="6"/>
      <c r="AB3053" s="6"/>
      <c r="AC3053" s="6"/>
      <c r="AD3053" s="6"/>
      <c r="AE3053" s="6"/>
      <c r="AF3053" s="6"/>
      <c r="AG3053" s="6"/>
      <c r="AH3053" s="6"/>
      <c r="AI3053" s="6"/>
      <c r="AJ3053" s="6"/>
      <c r="AK3053" s="6"/>
      <c r="AL3053" s="6"/>
      <c r="AM3053" s="6"/>
    </row>
    <row r="3054">
      <c r="A3054" s="6"/>
      <c r="B3054" s="6"/>
      <c r="C3054" s="6"/>
      <c r="D3054" s="6"/>
      <c r="E3054" s="6"/>
      <c r="F3054" s="6"/>
      <c r="G3054" s="6"/>
      <c r="H3054" s="6"/>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c r="AG3054" s="6"/>
      <c r="AH3054" s="6"/>
      <c r="AI3054" s="6"/>
      <c r="AJ3054" s="6"/>
      <c r="AK3054" s="6"/>
      <c r="AL3054" s="6"/>
      <c r="AM3054" s="6"/>
    </row>
    <row r="3055">
      <c r="A3055" s="6"/>
      <c r="B3055" s="6"/>
      <c r="C3055" s="6"/>
      <c r="D3055" s="6"/>
      <c r="E3055" s="6"/>
      <c r="F3055" s="6"/>
      <c r="G3055" s="6"/>
      <c r="H3055" s="6"/>
      <c r="I3055" s="6"/>
      <c r="J3055" s="6"/>
      <c r="K3055" s="6"/>
      <c r="L3055" s="6"/>
      <c r="M3055" s="6"/>
      <c r="N3055" s="6"/>
      <c r="O3055" s="6"/>
      <c r="P3055" s="6"/>
      <c r="Q3055" s="6"/>
      <c r="R3055" s="6"/>
      <c r="S3055" s="6"/>
      <c r="T3055" s="6"/>
      <c r="U3055" s="6"/>
      <c r="V3055" s="6"/>
      <c r="W3055" s="6"/>
      <c r="X3055" s="6"/>
      <c r="Y3055" s="6"/>
      <c r="Z3055" s="6"/>
      <c r="AA3055" s="6"/>
      <c r="AB3055" s="6"/>
      <c r="AC3055" s="6"/>
      <c r="AD3055" s="6"/>
      <c r="AE3055" s="6"/>
      <c r="AF3055" s="6"/>
      <c r="AG3055" s="6"/>
      <c r="AH3055" s="6"/>
      <c r="AI3055" s="6"/>
      <c r="AJ3055" s="6"/>
      <c r="AK3055" s="6"/>
      <c r="AL3055" s="6"/>
      <c r="AM3055" s="6"/>
    </row>
    <row r="3056">
      <c r="A3056" s="6"/>
      <c r="B3056" s="6"/>
      <c r="C3056" s="6"/>
      <c r="D3056" s="6"/>
      <c r="E3056" s="6"/>
      <c r="F3056" s="6"/>
      <c r="G3056" s="6"/>
      <c r="H3056" s="6"/>
      <c r="I3056" s="6"/>
      <c r="J3056" s="6"/>
      <c r="K3056" s="6"/>
      <c r="L3056" s="6"/>
      <c r="M3056" s="6"/>
      <c r="N3056" s="6"/>
      <c r="O3056" s="6"/>
      <c r="P3056" s="6"/>
      <c r="Q3056" s="6"/>
      <c r="R3056" s="6"/>
      <c r="S3056" s="6"/>
      <c r="T3056" s="6"/>
      <c r="U3056" s="6"/>
      <c r="V3056" s="6"/>
      <c r="W3056" s="6"/>
      <c r="X3056" s="6"/>
      <c r="Y3056" s="6"/>
      <c r="Z3056" s="6"/>
      <c r="AA3056" s="6"/>
      <c r="AB3056" s="6"/>
      <c r="AC3056" s="6"/>
      <c r="AD3056" s="6"/>
      <c r="AE3056" s="6"/>
      <c r="AF3056" s="6"/>
      <c r="AG3056" s="6"/>
      <c r="AH3056" s="6"/>
      <c r="AI3056" s="6"/>
      <c r="AJ3056" s="6"/>
      <c r="AK3056" s="6"/>
      <c r="AL3056" s="6"/>
      <c r="AM3056" s="6"/>
    </row>
    <row r="3057">
      <c r="A3057" s="6"/>
      <c r="B3057" s="6"/>
      <c r="C3057" s="6"/>
      <c r="D3057" s="6"/>
      <c r="E3057" s="6"/>
      <c r="F3057" s="6"/>
      <c r="G3057" s="6"/>
      <c r="H3057" s="6"/>
      <c r="I3057" s="6"/>
      <c r="J3057" s="6"/>
      <c r="K3057" s="6"/>
      <c r="L3057" s="6"/>
      <c r="M3057" s="6"/>
      <c r="N3057" s="6"/>
      <c r="O3057" s="6"/>
      <c r="P3057" s="6"/>
      <c r="Q3057" s="6"/>
      <c r="R3057" s="6"/>
      <c r="S3057" s="6"/>
      <c r="T3057" s="6"/>
      <c r="U3057" s="6"/>
      <c r="V3057" s="6"/>
      <c r="W3057" s="6"/>
      <c r="X3057" s="6"/>
      <c r="Y3057" s="6"/>
      <c r="Z3057" s="6"/>
      <c r="AA3057" s="6"/>
      <c r="AB3057" s="6"/>
      <c r="AC3057" s="6"/>
      <c r="AD3057" s="6"/>
      <c r="AE3057" s="6"/>
      <c r="AF3057" s="6"/>
      <c r="AG3057" s="6"/>
      <c r="AH3057" s="6"/>
      <c r="AI3057" s="6"/>
      <c r="AJ3057" s="6"/>
      <c r="AK3057" s="6"/>
      <c r="AL3057" s="6"/>
      <c r="AM3057" s="6"/>
    </row>
    <row r="3058">
      <c r="A3058" s="6"/>
      <c r="B3058" s="6"/>
      <c r="C3058" s="6"/>
      <c r="D3058" s="6"/>
      <c r="E3058" s="6"/>
      <c r="F3058" s="6"/>
      <c r="G3058" s="6"/>
      <c r="H3058" s="6"/>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c r="AG3058" s="6"/>
      <c r="AH3058" s="6"/>
      <c r="AI3058" s="6"/>
      <c r="AJ3058" s="6"/>
      <c r="AK3058" s="6"/>
      <c r="AL3058" s="6"/>
      <c r="AM3058" s="6"/>
    </row>
    <row r="3059">
      <c r="A3059" s="6"/>
      <c r="B3059" s="6"/>
      <c r="C3059" s="6"/>
      <c r="D3059" s="6"/>
      <c r="E3059" s="6"/>
      <c r="F3059" s="6"/>
      <c r="G3059" s="6"/>
      <c r="H3059" s="6"/>
      <c r="I3059" s="6"/>
      <c r="J3059" s="6"/>
      <c r="K3059" s="6"/>
      <c r="L3059" s="6"/>
      <c r="M3059" s="6"/>
      <c r="N3059" s="6"/>
      <c r="O3059" s="6"/>
      <c r="P3059" s="6"/>
      <c r="Q3059" s="6"/>
      <c r="R3059" s="6"/>
      <c r="S3059" s="6"/>
      <c r="T3059" s="6"/>
      <c r="U3059" s="6"/>
      <c r="V3059" s="6"/>
      <c r="W3059" s="6"/>
      <c r="X3059" s="6"/>
      <c r="Y3059" s="6"/>
      <c r="Z3059" s="6"/>
      <c r="AA3059" s="6"/>
      <c r="AB3059" s="6"/>
      <c r="AC3059" s="6"/>
      <c r="AD3059" s="6"/>
      <c r="AE3059" s="6"/>
      <c r="AF3059" s="6"/>
      <c r="AG3059" s="6"/>
      <c r="AH3059" s="6"/>
      <c r="AI3059" s="6"/>
      <c r="AJ3059" s="6"/>
      <c r="AK3059" s="6"/>
      <c r="AL3059" s="6"/>
      <c r="AM3059" s="6"/>
    </row>
    <row r="3060">
      <c r="A3060" s="6"/>
      <c r="B3060" s="6"/>
      <c r="C3060" s="6"/>
      <c r="D3060" s="6"/>
      <c r="E3060" s="6"/>
      <c r="F3060" s="6"/>
      <c r="G3060" s="6"/>
      <c r="H3060" s="6"/>
      <c r="I3060" s="6"/>
      <c r="J3060" s="6"/>
      <c r="K3060" s="6"/>
      <c r="L3060" s="6"/>
      <c r="M3060" s="6"/>
      <c r="N3060" s="6"/>
      <c r="O3060" s="6"/>
      <c r="P3060" s="6"/>
      <c r="Q3060" s="6"/>
      <c r="R3060" s="6"/>
      <c r="S3060" s="6"/>
      <c r="T3060" s="6"/>
      <c r="U3060" s="6"/>
      <c r="V3060" s="6"/>
      <c r="W3060" s="6"/>
      <c r="X3060" s="6"/>
      <c r="Y3060" s="6"/>
      <c r="Z3060" s="6"/>
      <c r="AA3060" s="6"/>
      <c r="AB3060" s="6"/>
      <c r="AC3060" s="6"/>
      <c r="AD3060" s="6"/>
      <c r="AE3060" s="6"/>
      <c r="AF3060" s="6"/>
      <c r="AG3060" s="6"/>
      <c r="AH3060" s="6"/>
      <c r="AI3060" s="6"/>
      <c r="AJ3060" s="6"/>
      <c r="AK3060" s="6"/>
      <c r="AL3060" s="6"/>
      <c r="AM3060" s="6"/>
    </row>
    <row r="3061">
      <c r="A3061" s="6"/>
      <c r="B3061" s="6"/>
      <c r="C3061" s="6"/>
      <c r="D3061" s="6"/>
      <c r="E3061" s="6"/>
      <c r="F3061" s="6"/>
      <c r="G3061" s="6"/>
      <c r="H3061" s="6"/>
      <c r="I3061" s="6"/>
      <c r="J3061" s="6"/>
      <c r="K3061" s="6"/>
      <c r="L3061" s="6"/>
      <c r="M3061" s="6"/>
      <c r="N3061" s="6"/>
      <c r="O3061" s="6"/>
      <c r="P3061" s="6"/>
      <c r="Q3061" s="6"/>
      <c r="R3061" s="6"/>
      <c r="S3061" s="6"/>
      <c r="T3061" s="6"/>
      <c r="U3061" s="6"/>
      <c r="V3061" s="6"/>
      <c r="W3061" s="6"/>
      <c r="X3061" s="6"/>
      <c r="Y3061" s="6"/>
      <c r="Z3061" s="6"/>
      <c r="AA3061" s="6"/>
      <c r="AB3061" s="6"/>
      <c r="AC3061" s="6"/>
      <c r="AD3061" s="6"/>
      <c r="AE3061" s="6"/>
      <c r="AF3061" s="6"/>
      <c r="AG3061" s="6"/>
      <c r="AH3061" s="6"/>
      <c r="AI3061" s="6"/>
      <c r="AJ3061" s="6"/>
      <c r="AK3061" s="6"/>
      <c r="AL3061" s="6"/>
      <c r="AM3061" s="6"/>
    </row>
    <row r="3062">
      <c r="A3062" s="6"/>
      <c r="B3062" s="6"/>
      <c r="C3062" s="6"/>
      <c r="D3062" s="6"/>
      <c r="E3062" s="6"/>
      <c r="F3062" s="6"/>
      <c r="G3062" s="6"/>
      <c r="H3062" s="6"/>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c r="AG3062" s="6"/>
      <c r="AH3062" s="6"/>
      <c r="AI3062" s="6"/>
      <c r="AJ3062" s="6"/>
      <c r="AK3062" s="6"/>
      <c r="AL3062" s="6"/>
      <c r="AM3062" s="6"/>
    </row>
    <row r="3063">
      <c r="A3063" s="6"/>
      <c r="B3063" s="6"/>
      <c r="C3063" s="6"/>
      <c r="D3063" s="6"/>
      <c r="E3063" s="6"/>
      <c r="F3063" s="6"/>
      <c r="G3063" s="6"/>
      <c r="H3063" s="6"/>
      <c r="I3063" s="6"/>
      <c r="J3063" s="6"/>
      <c r="K3063" s="6"/>
      <c r="L3063" s="6"/>
      <c r="M3063" s="6"/>
      <c r="N3063" s="6"/>
      <c r="O3063" s="6"/>
      <c r="P3063" s="6"/>
      <c r="Q3063" s="6"/>
      <c r="R3063" s="6"/>
      <c r="S3063" s="6"/>
      <c r="T3063" s="6"/>
      <c r="U3063" s="6"/>
      <c r="V3063" s="6"/>
      <c r="W3063" s="6"/>
      <c r="X3063" s="6"/>
      <c r="Y3063" s="6"/>
      <c r="Z3063" s="6"/>
      <c r="AA3063" s="6"/>
      <c r="AB3063" s="6"/>
      <c r="AC3063" s="6"/>
      <c r="AD3063" s="6"/>
      <c r="AE3063" s="6"/>
      <c r="AF3063" s="6"/>
      <c r="AG3063" s="6"/>
      <c r="AH3063" s="6"/>
      <c r="AI3063" s="6"/>
      <c r="AJ3063" s="6"/>
      <c r="AK3063" s="6"/>
      <c r="AL3063" s="6"/>
      <c r="AM3063" s="6"/>
    </row>
    <row r="3064">
      <c r="A3064" s="6"/>
      <c r="B3064" s="6"/>
      <c r="C3064" s="6"/>
      <c r="D3064" s="6"/>
      <c r="E3064" s="6"/>
      <c r="F3064" s="6"/>
      <c r="G3064" s="6"/>
      <c r="H3064" s="6"/>
      <c r="I3064" s="6"/>
      <c r="J3064" s="6"/>
      <c r="K3064" s="6"/>
      <c r="L3064" s="6"/>
      <c r="M3064" s="6"/>
      <c r="N3064" s="6"/>
      <c r="O3064" s="6"/>
      <c r="P3064" s="6"/>
      <c r="Q3064" s="6"/>
      <c r="R3064" s="6"/>
      <c r="S3064" s="6"/>
      <c r="T3064" s="6"/>
      <c r="U3064" s="6"/>
      <c r="V3064" s="6"/>
      <c r="W3064" s="6"/>
      <c r="X3064" s="6"/>
      <c r="Y3064" s="6"/>
      <c r="Z3064" s="6"/>
      <c r="AA3064" s="6"/>
      <c r="AB3064" s="6"/>
      <c r="AC3064" s="6"/>
      <c r="AD3064" s="6"/>
      <c r="AE3064" s="6"/>
      <c r="AF3064" s="6"/>
      <c r="AG3064" s="6"/>
      <c r="AH3064" s="6"/>
      <c r="AI3064" s="6"/>
      <c r="AJ3064" s="6"/>
      <c r="AK3064" s="6"/>
      <c r="AL3064" s="6"/>
      <c r="AM3064" s="6"/>
    </row>
    <row r="3065">
      <c r="A3065" s="6"/>
      <c r="B3065" s="6"/>
      <c r="C3065" s="6"/>
      <c r="D3065" s="6"/>
      <c r="E3065" s="6"/>
      <c r="F3065" s="6"/>
      <c r="G3065" s="6"/>
      <c r="H3065" s="6"/>
      <c r="I3065" s="6"/>
      <c r="J3065" s="6"/>
      <c r="K3065" s="6"/>
      <c r="L3065" s="6"/>
      <c r="M3065" s="6"/>
      <c r="N3065" s="6"/>
      <c r="O3065" s="6"/>
      <c r="P3065" s="6"/>
      <c r="Q3065" s="6"/>
      <c r="R3065" s="6"/>
      <c r="S3065" s="6"/>
      <c r="T3065" s="6"/>
      <c r="U3065" s="6"/>
      <c r="V3065" s="6"/>
      <c r="W3065" s="6"/>
      <c r="X3065" s="6"/>
      <c r="Y3065" s="6"/>
      <c r="Z3065" s="6"/>
      <c r="AA3065" s="6"/>
      <c r="AB3065" s="6"/>
      <c r="AC3065" s="6"/>
      <c r="AD3065" s="6"/>
      <c r="AE3065" s="6"/>
      <c r="AF3065" s="6"/>
      <c r="AG3065" s="6"/>
      <c r="AH3065" s="6"/>
      <c r="AI3065" s="6"/>
      <c r="AJ3065" s="6"/>
      <c r="AK3065" s="6"/>
      <c r="AL3065" s="6"/>
      <c r="AM3065" s="6"/>
    </row>
    <row r="3066">
      <c r="A3066" s="6"/>
      <c r="B3066" s="6"/>
      <c r="C3066" s="6"/>
      <c r="D3066" s="6"/>
      <c r="E3066" s="6"/>
      <c r="F3066" s="6"/>
      <c r="G3066" s="6"/>
      <c r="H3066" s="6"/>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c r="AG3066" s="6"/>
      <c r="AH3066" s="6"/>
      <c r="AI3066" s="6"/>
      <c r="AJ3066" s="6"/>
      <c r="AK3066" s="6"/>
      <c r="AL3066" s="6"/>
      <c r="AM3066" s="6"/>
    </row>
    <row r="3067">
      <c r="A3067" s="6"/>
      <c r="B3067" s="6"/>
      <c r="C3067" s="6"/>
      <c r="D3067" s="6"/>
      <c r="E3067" s="6"/>
      <c r="F3067" s="6"/>
      <c r="G3067" s="6"/>
      <c r="H3067" s="6"/>
      <c r="I3067" s="6"/>
      <c r="J3067" s="6"/>
      <c r="K3067" s="6"/>
      <c r="L3067" s="6"/>
      <c r="M3067" s="6"/>
      <c r="N3067" s="6"/>
      <c r="O3067" s="6"/>
      <c r="P3067" s="6"/>
      <c r="Q3067" s="6"/>
      <c r="R3067" s="6"/>
      <c r="S3067" s="6"/>
      <c r="T3067" s="6"/>
      <c r="U3067" s="6"/>
      <c r="V3067" s="6"/>
      <c r="W3067" s="6"/>
      <c r="X3067" s="6"/>
      <c r="Y3067" s="6"/>
      <c r="Z3067" s="6"/>
      <c r="AA3067" s="6"/>
      <c r="AB3067" s="6"/>
      <c r="AC3067" s="6"/>
      <c r="AD3067" s="6"/>
      <c r="AE3067" s="6"/>
      <c r="AF3067" s="6"/>
      <c r="AG3067" s="6"/>
      <c r="AH3067" s="6"/>
      <c r="AI3067" s="6"/>
      <c r="AJ3067" s="6"/>
      <c r="AK3067" s="6"/>
      <c r="AL3067" s="6"/>
      <c r="AM3067" s="6"/>
    </row>
    <row r="3068">
      <c r="A3068" s="6"/>
      <c r="B3068" s="6"/>
      <c r="C3068" s="6"/>
      <c r="D3068" s="6"/>
      <c r="E3068" s="6"/>
      <c r="F3068" s="6"/>
      <c r="G3068" s="6"/>
      <c r="H3068" s="6"/>
      <c r="I3068" s="6"/>
      <c r="J3068" s="6"/>
      <c r="K3068" s="6"/>
      <c r="L3068" s="6"/>
      <c r="M3068" s="6"/>
      <c r="N3068" s="6"/>
      <c r="O3068" s="6"/>
      <c r="P3068" s="6"/>
      <c r="Q3068" s="6"/>
      <c r="R3068" s="6"/>
      <c r="S3068" s="6"/>
      <c r="T3068" s="6"/>
      <c r="U3068" s="6"/>
      <c r="V3068" s="6"/>
      <c r="W3068" s="6"/>
      <c r="X3068" s="6"/>
      <c r="Y3068" s="6"/>
      <c r="Z3068" s="6"/>
      <c r="AA3068" s="6"/>
      <c r="AB3068" s="6"/>
      <c r="AC3068" s="6"/>
      <c r="AD3068" s="6"/>
      <c r="AE3068" s="6"/>
      <c r="AF3068" s="6"/>
      <c r="AG3068" s="6"/>
      <c r="AH3068" s="6"/>
      <c r="AI3068" s="6"/>
      <c r="AJ3068" s="6"/>
      <c r="AK3068" s="6"/>
      <c r="AL3068" s="6"/>
      <c r="AM3068" s="6"/>
    </row>
    <row r="3069">
      <c r="A3069" s="6"/>
      <c r="B3069" s="6"/>
      <c r="C3069" s="6"/>
      <c r="D3069" s="6"/>
      <c r="E3069" s="6"/>
      <c r="F3069" s="6"/>
      <c r="G3069" s="6"/>
      <c r="H3069" s="6"/>
      <c r="I3069" s="6"/>
      <c r="J3069" s="6"/>
      <c r="K3069" s="6"/>
      <c r="L3069" s="6"/>
      <c r="M3069" s="6"/>
      <c r="N3069" s="6"/>
      <c r="O3069" s="6"/>
      <c r="P3069" s="6"/>
      <c r="Q3069" s="6"/>
      <c r="R3069" s="6"/>
      <c r="S3069" s="6"/>
      <c r="T3069" s="6"/>
      <c r="U3069" s="6"/>
      <c r="V3069" s="6"/>
      <c r="W3069" s="6"/>
      <c r="X3069" s="6"/>
      <c r="Y3069" s="6"/>
      <c r="Z3069" s="6"/>
      <c r="AA3069" s="6"/>
      <c r="AB3069" s="6"/>
      <c r="AC3069" s="6"/>
      <c r="AD3069" s="6"/>
      <c r="AE3069" s="6"/>
      <c r="AF3069" s="6"/>
      <c r="AG3069" s="6"/>
      <c r="AH3069" s="6"/>
      <c r="AI3069" s="6"/>
      <c r="AJ3069" s="6"/>
      <c r="AK3069" s="6"/>
      <c r="AL3069" s="6"/>
      <c r="AM3069" s="6"/>
    </row>
    <row r="3070">
      <c r="A3070" s="6"/>
      <c r="B3070" s="6"/>
      <c r="C3070" s="6"/>
      <c r="D3070" s="6"/>
      <c r="E3070" s="6"/>
      <c r="F3070" s="6"/>
      <c r="G3070" s="6"/>
      <c r="H3070" s="6"/>
      <c r="I3070" s="6"/>
      <c r="J3070" s="6"/>
      <c r="K3070" s="6"/>
      <c r="L3070" s="6"/>
      <c r="M3070" s="6"/>
      <c r="N3070" s="6"/>
      <c r="O3070" s="6"/>
      <c r="P3070" s="6"/>
      <c r="Q3070" s="6"/>
      <c r="R3070" s="6"/>
      <c r="S3070" s="6"/>
      <c r="T3070" s="6"/>
      <c r="U3070" s="6"/>
      <c r="V3070" s="6"/>
      <c r="W3070" s="6"/>
      <c r="X3070" s="6"/>
      <c r="Y3070" s="6"/>
      <c r="Z3070" s="6"/>
      <c r="AA3070" s="6"/>
      <c r="AB3070" s="6"/>
      <c r="AC3070" s="6"/>
      <c r="AD3070" s="6"/>
      <c r="AE3070" s="6"/>
      <c r="AF3070" s="6"/>
      <c r="AG3070" s="6"/>
      <c r="AH3070" s="6"/>
      <c r="AI3070" s="6"/>
      <c r="AJ3070" s="6"/>
      <c r="AK3070" s="6"/>
      <c r="AL3070" s="6"/>
      <c r="AM3070" s="6"/>
    </row>
    <row r="3071">
      <c r="A3071" s="6"/>
      <c r="B3071" s="6"/>
      <c r="C3071" s="6"/>
      <c r="D3071" s="6"/>
      <c r="E3071" s="6"/>
      <c r="F3071" s="6"/>
      <c r="G3071" s="6"/>
      <c r="H3071" s="6"/>
      <c r="I3071" s="6"/>
      <c r="J3071" s="6"/>
      <c r="K3071" s="6"/>
      <c r="L3071" s="6"/>
      <c r="M3071" s="6"/>
      <c r="N3071" s="6"/>
      <c r="O3071" s="6"/>
      <c r="P3071" s="6"/>
      <c r="Q3071" s="6"/>
      <c r="R3071" s="6"/>
      <c r="S3071" s="6"/>
      <c r="T3071" s="6"/>
      <c r="U3071" s="6"/>
      <c r="V3071" s="6"/>
      <c r="W3071" s="6"/>
      <c r="X3071" s="6"/>
      <c r="Y3071" s="6"/>
      <c r="Z3071" s="6"/>
      <c r="AA3071" s="6"/>
      <c r="AB3071" s="6"/>
      <c r="AC3071" s="6"/>
      <c r="AD3071" s="6"/>
      <c r="AE3071" s="6"/>
      <c r="AF3071" s="6"/>
      <c r="AG3071" s="6"/>
      <c r="AH3071" s="6"/>
      <c r="AI3071" s="6"/>
      <c r="AJ3071" s="6"/>
      <c r="AK3071" s="6"/>
      <c r="AL3071" s="6"/>
      <c r="AM3071" s="6"/>
    </row>
    <row r="3072">
      <c r="A3072" s="6"/>
      <c r="B3072" s="6"/>
      <c r="C3072" s="6"/>
      <c r="D3072" s="6"/>
      <c r="E3072" s="6"/>
      <c r="F3072" s="6"/>
      <c r="G3072" s="6"/>
      <c r="H3072" s="6"/>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c r="AG3072" s="6"/>
      <c r="AH3072" s="6"/>
      <c r="AI3072" s="6"/>
      <c r="AJ3072" s="6"/>
      <c r="AK3072" s="6"/>
      <c r="AL3072" s="6"/>
      <c r="AM3072" s="6"/>
    </row>
    <row r="3073">
      <c r="A3073" s="6"/>
      <c r="B3073" s="6"/>
      <c r="C3073" s="6"/>
      <c r="D3073" s="6"/>
      <c r="E3073" s="6"/>
      <c r="F3073" s="6"/>
      <c r="G3073" s="6"/>
      <c r="H3073" s="6"/>
      <c r="I3073" s="6"/>
      <c r="J3073" s="6"/>
      <c r="K3073" s="6"/>
      <c r="L3073" s="6"/>
      <c r="M3073" s="6"/>
      <c r="N3073" s="6"/>
      <c r="O3073" s="6"/>
      <c r="P3073" s="6"/>
      <c r="Q3073" s="6"/>
      <c r="R3073" s="6"/>
      <c r="S3073" s="6"/>
      <c r="T3073" s="6"/>
      <c r="U3073" s="6"/>
      <c r="V3073" s="6"/>
      <c r="W3073" s="6"/>
      <c r="X3073" s="6"/>
      <c r="Y3073" s="6"/>
      <c r="Z3073" s="6"/>
      <c r="AA3073" s="6"/>
      <c r="AB3073" s="6"/>
      <c r="AC3073" s="6"/>
      <c r="AD3073" s="6"/>
      <c r="AE3073" s="6"/>
      <c r="AF3073" s="6"/>
      <c r="AG3073" s="6"/>
      <c r="AH3073" s="6"/>
      <c r="AI3073" s="6"/>
      <c r="AJ3073" s="6"/>
      <c r="AK3073" s="6"/>
      <c r="AL3073" s="6"/>
      <c r="AM3073" s="6"/>
    </row>
    <row r="3074">
      <c r="A3074" s="6"/>
      <c r="B3074" s="6"/>
      <c r="C3074" s="6"/>
      <c r="D3074" s="6"/>
      <c r="E3074" s="6"/>
      <c r="F3074" s="6"/>
      <c r="G3074" s="6"/>
      <c r="H3074" s="6"/>
      <c r="I3074" s="6"/>
      <c r="J3074" s="6"/>
      <c r="K3074" s="6"/>
      <c r="L3074" s="6"/>
      <c r="M3074" s="6"/>
      <c r="N3074" s="6"/>
      <c r="O3074" s="6"/>
      <c r="P3074" s="6"/>
      <c r="Q3074" s="6"/>
      <c r="R3074" s="6"/>
      <c r="S3074" s="6"/>
      <c r="T3074" s="6"/>
      <c r="U3074" s="6"/>
      <c r="V3074" s="6"/>
      <c r="W3074" s="6"/>
      <c r="X3074" s="6"/>
      <c r="Y3074" s="6"/>
      <c r="Z3074" s="6"/>
      <c r="AA3074" s="6"/>
      <c r="AB3074" s="6"/>
      <c r="AC3074" s="6"/>
      <c r="AD3074" s="6"/>
      <c r="AE3074" s="6"/>
      <c r="AF3074" s="6"/>
      <c r="AG3074" s="6"/>
      <c r="AH3074" s="6"/>
      <c r="AI3074" s="6"/>
      <c r="AJ3074" s="6"/>
      <c r="AK3074" s="6"/>
      <c r="AL3074" s="6"/>
      <c r="AM3074" s="6"/>
    </row>
    <row r="3075">
      <c r="A3075" s="6"/>
      <c r="B3075" s="6"/>
      <c r="C3075" s="6"/>
      <c r="D3075" s="6"/>
      <c r="E3075" s="6"/>
      <c r="F3075" s="6"/>
      <c r="G3075" s="6"/>
      <c r="H3075" s="6"/>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c r="AG3075" s="6"/>
      <c r="AH3075" s="6"/>
      <c r="AI3075" s="6"/>
      <c r="AJ3075" s="6"/>
      <c r="AK3075" s="6"/>
      <c r="AL3075" s="6"/>
      <c r="AM3075" s="6"/>
    </row>
    <row r="3076">
      <c r="A3076" s="6"/>
      <c r="B3076" s="6"/>
      <c r="C3076" s="6"/>
      <c r="D3076" s="6"/>
      <c r="E3076" s="6"/>
      <c r="F3076" s="6"/>
      <c r="G3076" s="6"/>
      <c r="H3076" s="6"/>
      <c r="I3076" s="6"/>
      <c r="J3076" s="6"/>
      <c r="K3076" s="6"/>
      <c r="L3076" s="6"/>
      <c r="M3076" s="6"/>
      <c r="N3076" s="6"/>
      <c r="O3076" s="6"/>
      <c r="P3076" s="6"/>
      <c r="Q3076" s="6"/>
      <c r="R3076" s="6"/>
      <c r="S3076" s="6"/>
      <c r="T3076" s="6"/>
      <c r="U3076" s="6"/>
      <c r="V3076" s="6"/>
      <c r="W3076" s="6"/>
      <c r="X3076" s="6"/>
      <c r="Y3076" s="6"/>
      <c r="Z3076" s="6"/>
      <c r="AA3076" s="6"/>
      <c r="AB3076" s="6"/>
      <c r="AC3076" s="6"/>
      <c r="AD3076" s="6"/>
      <c r="AE3076" s="6"/>
      <c r="AF3076" s="6"/>
      <c r="AG3076" s="6"/>
      <c r="AH3076" s="6"/>
      <c r="AI3076" s="6"/>
      <c r="AJ3076" s="6"/>
      <c r="AK3076" s="6"/>
      <c r="AL3076" s="6"/>
      <c r="AM3076" s="6"/>
    </row>
    <row r="3077">
      <c r="A3077" s="6"/>
      <c r="B3077" s="6"/>
      <c r="C3077" s="6"/>
      <c r="D3077" s="6"/>
      <c r="E3077" s="6"/>
      <c r="F3077" s="6"/>
      <c r="G3077" s="6"/>
      <c r="H3077" s="6"/>
      <c r="I3077" s="6"/>
      <c r="J3077" s="6"/>
      <c r="K3077" s="6"/>
      <c r="L3077" s="6"/>
      <c r="M3077" s="6"/>
      <c r="N3077" s="6"/>
      <c r="O3077" s="6"/>
      <c r="P3077" s="6"/>
      <c r="Q3077" s="6"/>
      <c r="R3077" s="6"/>
      <c r="S3077" s="6"/>
      <c r="T3077" s="6"/>
      <c r="U3077" s="6"/>
      <c r="V3077" s="6"/>
      <c r="W3077" s="6"/>
      <c r="X3077" s="6"/>
      <c r="Y3077" s="6"/>
      <c r="Z3077" s="6"/>
      <c r="AA3077" s="6"/>
      <c r="AB3077" s="6"/>
      <c r="AC3077" s="6"/>
      <c r="AD3077" s="6"/>
      <c r="AE3077" s="6"/>
      <c r="AF3077" s="6"/>
      <c r="AG3077" s="6"/>
      <c r="AH3077" s="6"/>
      <c r="AI3077" s="6"/>
      <c r="AJ3077" s="6"/>
      <c r="AK3077" s="6"/>
      <c r="AL3077" s="6"/>
      <c r="AM3077" s="6"/>
    </row>
    <row r="3078">
      <c r="A3078" s="6"/>
      <c r="B3078" s="6"/>
      <c r="C3078" s="6"/>
      <c r="D3078" s="6"/>
      <c r="E3078" s="6"/>
      <c r="F3078" s="6"/>
      <c r="G3078" s="6"/>
      <c r="H3078" s="6"/>
      <c r="I3078" s="6"/>
      <c r="J3078" s="6"/>
      <c r="K3078" s="6"/>
      <c r="L3078" s="6"/>
      <c r="M3078" s="6"/>
      <c r="N3078" s="6"/>
      <c r="O3078" s="6"/>
      <c r="P3078" s="6"/>
      <c r="Q3078" s="6"/>
      <c r="R3078" s="6"/>
      <c r="S3078" s="6"/>
      <c r="T3078" s="6"/>
      <c r="U3078" s="6"/>
      <c r="V3078" s="6"/>
      <c r="W3078" s="6"/>
      <c r="X3078" s="6"/>
      <c r="Y3078" s="6"/>
      <c r="Z3078" s="6"/>
      <c r="AA3078" s="6"/>
      <c r="AB3078" s="6"/>
      <c r="AC3078" s="6"/>
      <c r="AD3078" s="6"/>
      <c r="AE3078" s="6"/>
      <c r="AF3078" s="6"/>
      <c r="AG3078" s="6"/>
      <c r="AH3078" s="6"/>
      <c r="AI3078" s="6"/>
      <c r="AJ3078" s="6"/>
      <c r="AK3078" s="6"/>
      <c r="AL3078" s="6"/>
      <c r="AM3078" s="6"/>
    </row>
    <row r="3079">
      <c r="A3079" s="6"/>
      <c r="B3079" s="6"/>
      <c r="C3079" s="6"/>
      <c r="D3079" s="6"/>
      <c r="E3079" s="6"/>
      <c r="F3079" s="6"/>
      <c r="G3079" s="6"/>
      <c r="H3079" s="6"/>
      <c r="I3079" s="6"/>
      <c r="J3079" s="6"/>
      <c r="K3079" s="6"/>
      <c r="L3079" s="6"/>
      <c r="M3079" s="6"/>
      <c r="N3079" s="6"/>
      <c r="O3079" s="6"/>
      <c r="P3079" s="6"/>
      <c r="Q3079" s="6"/>
      <c r="R3079" s="6"/>
      <c r="S3079" s="6"/>
      <c r="T3079" s="6"/>
      <c r="U3079" s="6"/>
      <c r="V3079" s="6"/>
      <c r="W3079" s="6"/>
      <c r="X3079" s="6"/>
      <c r="Y3079" s="6"/>
      <c r="Z3079" s="6"/>
      <c r="AA3079" s="6"/>
      <c r="AB3079" s="6"/>
      <c r="AC3079" s="6"/>
      <c r="AD3079" s="6"/>
      <c r="AE3079" s="6"/>
      <c r="AF3079" s="6"/>
      <c r="AG3079" s="6"/>
      <c r="AH3079" s="6"/>
      <c r="AI3079" s="6"/>
      <c r="AJ3079" s="6"/>
      <c r="AK3079" s="6"/>
      <c r="AL3079" s="6"/>
      <c r="AM3079" s="6"/>
    </row>
    <row r="3080">
      <c r="A3080" s="6"/>
      <c r="B3080" s="6"/>
      <c r="C3080" s="6"/>
      <c r="D3080" s="6"/>
      <c r="E3080" s="6"/>
      <c r="F3080" s="6"/>
      <c r="G3080" s="6"/>
      <c r="H3080" s="6"/>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c r="AG3080" s="6"/>
      <c r="AH3080" s="6"/>
      <c r="AI3080" s="6"/>
      <c r="AJ3080" s="6"/>
      <c r="AK3080" s="6"/>
      <c r="AL3080" s="6"/>
      <c r="AM3080" s="6"/>
    </row>
    <row r="3081">
      <c r="A3081" s="6"/>
      <c r="B3081" s="6"/>
      <c r="C3081" s="6"/>
      <c r="D3081" s="6"/>
      <c r="E3081" s="6"/>
      <c r="F3081" s="6"/>
      <c r="G3081" s="6"/>
      <c r="H3081" s="6"/>
      <c r="I3081" s="6"/>
      <c r="J3081" s="6"/>
      <c r="K3081" s="6"/>
      <c r="L3081" s="6"/>
      <c r="M3081" s="6"/>
      <c r="N3081" s="6"/>
      <c r="O3081" s="6"/>
      <c r="P3081" s="6"/>
      <c r="Q3081" s="6"/>
      <c r="R3081" s="6"/>
      <c r="S3081" s="6"/>
      <c r="T3081" s="6"/>
      <c r="U3081" s="6"/>
      <c r="V3081" s="6"/>
      <c r="W3081" s="6"/>
      <c r="X3081" s="6"/>
      <c r="Y3081" s="6"/>
      <c r="Z3081" s="6"/>
      <c r="AA3081" s="6"/>
      <c r="AB3081" s="6"/>
      <c r="AC3081" s="6"/>
      <c r="AD3081" s="6"/>
      <c r="AE3081" s="6"/>
      <c r="AF3081" s="6"/>
      <c r="AG3081" s="6"/>
      <c r="AH3081" s="6"/>
      <c r="AI3081" s="6"/>
      <c r="AJ3081" s="6"/>
      <c r="AK3081" s="6"/>
      <c r="AL3081" s="6"/>
      <c r="AM3081" s="6"/>
    </row>
    <row r="3082">
      <c r="A3082" s="6"/>
      <c r="B3082" s="6"/>
      <c r="C3082" s="6"/>
      <c r="D3082" s="6"/>
      <c r="E3082" s="6"/>
      <c r="F3082" s="6"/>
      <c r="G3082" s="6"/>
      <c r="H3082" s="6"/>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c r="AG3082" s="6"/>
      <c r="AH3082" s="6"/>
      <c r="AI3082" s="6"/>
      <c r="AJ3082" s="6"/>
      <c r="AK3082" s="6"/>
      <c r="AL3082" s="6"/>
      <c r="AM3082" s="6"/>
    </row>
    <row r="3083">
      <c r="A3083" s="6"/>
      <c r="B3083" s="6"/>
      <c r="C3083" s="6"/>
      <c r="D3083" s="6"/>
      <c r="E3083" s="6"/>
      <c r="F3083" s="6"/>
      <c r="G3083" s="6"/>
      <c r="H3083" s="6"/>
      <c r="I3083" s="6"/>
      <c r="J3083" s="6"/>
      <c r="K3083" s="6"/>
      <c r="L3083" s="6"/>
      <c r="M3083" s="6"/>
      <c r="N3083" s="6"/>
      <c r="O3083" s="6"/>
      <c r="P3083" s="6"/>
      <c r="Q3083" s="6"/>
      <c r="R3083" s="6"/>
      <c r="S3083" s="6"/>
      <c r="T3083" s="6"/>
      <c r="U3083" s="6"/>
      <c r="V3083" s="6"/>
      <c r="W3083" s="6"/>
      <c r="X3083" s="6"/>
      <c r="Y3083" s="6"/>
      <c r="Z3083" s="6"/>
      <c r="AA3083" s="6"/>
      <c r="AB3083" s="6"/>
      <c r="AC3083" s="6"/>
      <c r="AD3083" s="6"/>
      <c r="AE3083" s="6"/>
      <c r="AF3083" s="6"/>
      <c r="AG3083" s="6"/>
      <c r="AH3083" s="6"/>
      <c r="AI3083" s="6"/>
      <c r="AJ3083" s="6"/>
      <c r="AK3083" s="6"/>
      <c r="AL3083" s="6"/>
      <c r="AM3083" s="6"/>
    </row>
    <row r="3084">
      <c r="A3084" s="6"/>
      <c r="B3084" s="6"/>
      <c r="C3084" s="6"/>
      <c r="D3084" s="6"/>
      <c r="E3084" s="6"/>
      <c r="F3084" s="6"/>
      <c r="G3084" s="6"/>
      <c r="H3084" s="6"/>
      <c r="I3084" s="6"/>
      <c r="J3084" s="6"/>
      <c r="K3084" s="6"/>
      <c r="L3084" s="6"/>
      <c r="M3084" s="6"/>
      <c r="N3084" s="6"/>
      <c r="O3084" s="6"/>
      <c r="P3084" s="6"/>
      <c r="Q3084" s="6"/>
      <c r="R3084" s="6"/>
      <c r="S3084" s="6"/>
      <c r="T3084" s="6"/>
      <c r="U3084" s="6"/>
      <c r="V3084" s="6"/>
      <c r="W3084" s="6"/>
      <c r="X3084" s="6"/>
      <c r="Y3084" s="6"/>
      <c r="Z3084" s="6"/>
      <c r="AA3084" s="6"/>
      <c r="AB3084" s="6"/>
      <c r="AC3084" s="6"/>
      <c r="AD3084" s="6"/>
      <c r="AE3084" s="6"/>
      <c r="AF3084" s="6"/>
      <c r="AG3084" s="6"/>
      <c r="AH3084" s="6"/>
      <c r="AI3084" s="6"/>
      <c r="AJ3084" s="6"/>
      <c r="AK3084" s="6"/>
      <c r="AL3084" s="6"/>
      <c r="AM3084" s="6"/>
    </row>
    <row r="3085">
      <c r="A3085" s="6"/>
      <c r="B3085" s="6"/>
      <c r="C3085" s="6"/>
      <c r="D3085" s="6"/>
      <c r="E3085" s="6"/>
      <c r="F3085" s="6"/>
      <c r="G3085" s="6"/>
      <c r="H3085" s="6"/>
      <c r="I3085" s="6"/>
      <c r="J3085" s="6"/>
      <c r="K3085" s="6"/>
      <c r="L3085" s="6"/>
      <c r="M3085" s="6"/>
      <c r="N3085" s="6"/>
      <c r="O3085" s="6"/>
      <c r="P3085" s="6"/>
      <c r="Q3085" s="6"/>
      <c r="R3085" s="6"/>
      <c r="S3085" s="6"/>
      <c r="T3085" s="6"/>
      <c r="U3085" s="6"/>
      <c r="V3085" s="6"/>
      <c r="W3085" s="6"/>
      <c r="X3085" s="6"/>
      <c r="Y3085" s="6"/>
      <c r="Z3085" s="6"/>
      <c r="AA3085" s="6"/>
      <c r="AB3085" s="6"/>
      <c r="AC3085" s="6"/>
      <c r="AD3085" s="6"/>
      <c r="AE3085" s="6"/>
      <c r="AF3085" s="6"/>
      <c r="AG3085" s="6"/>
      <c r="AH3085" s="6"/>
      <c r="AI3085" s="6"/>
      <c r="AJ3085" s="6"/>
      <c r="AK3085" s="6"/>
      <c r="AL3085" s="6"/>
      <c r="AM3085" s="6"/>
    </row>
    <row r="3086">
      <c r="A3086" s="6"/>
      <c r="B3086" s="6"/>
      <c r="C3086" s="6"/>
      <c r="D3086" s="6"/>
      <c r="E3086" s="6"/>
      <c r="F3086" s="6"/>
      <c r="G3086" s="6"/>
      <c r="H3086" s="6"/>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c r="AG3086" s="6"/>
      <c r="AH3086" s="6"/>
      <c r="AI3086" s="6"/>
      <c r="AJ3086" s="6"/>
      <c r="AK3086" s="6"/>
      <c r="AL3086" s="6"/>
      <c r="AM3086" s="6"/>
    </row>
    <row r="3087">
      <c r="A3087" s="6"/>
      <c r="B3087" s="6"/>
      <c r="C3087" s="6"/>
      <c r="D3087" s="6"/>
      <c r="E3087" s="6"/>
      <c r="F3087" s="6"/>
      <c r="G3087" s="6"/>
      <c r="H3087" s="6"/>
      <c r="I3087" s="6"/>
      <c r="J3087" s="6"/>
      <c r="K3087" s="6"/>
      <c r="L3087" s="6"/>
      <c r="M3087" s="6"/>
      <c r="N3087" s="6"/>
      <c r="O3087" s="6"/>
      <c r="P3087" s="6"/>
      <c r="Q3087" s="6"/>
      <c r="R3087" s="6"/>
      <c r="S3087" s="6"/>
      <c r="T3087" s="6"/>
      <c r="U3087" s="6"/>
      <c r="V3087" s="6"/>
      <c r="W3087" s="6"/>
      <c r="X3087" s="6"/>
      <c r="Y3087" s="6"/>
      <c r="Z3087" s="6"/>
      <c r="AA3087" s="6"/>
      <c r="AB3087" s="6"/>
      <c r="AC3087" s="6"/>
      <c r="AD3087" s="6"/>
      <c r="AE3087" s="6"/>
      <c r="AF3087" s="6"/>
      <c r="AG3087" s="6"/>
      <c r="AH3087" s="6"/>
      <c r="AI3087" s="6"/>
      <c r="AJ3087" s="6"/>
      <c r="AK3087" s="6"/>
      <c r="AL3087" s="6"/>
      <c r="AM3087" s="6"/>
    </row>
    <row r="3088">
      <c r="A3088" s="6"/>
      <c r="B3088" s="6"/>
      <c r="C3088" s="6"/>
      <c r="D3088" s="6"/>
      <c r="E3088" s="6"/>
      <c r="F3088" s="6"/>
      <c r="G3088" s="6"/>
      <c r="H3088" s="6"/>
      <c r="I3088" s="6"/>
      <c r="J3088" s="6"/>
      <c r="K3088" s="6"/>
      <c r="L3088" s="6"/>
      <c r="M3088" s="6"/>
      <c r="N3088" s="6"/>
      <c r="O3088" s="6"/>
      <c r="P3088" s="6"/>
      <c r="Q3088" s="6"/>
      <c r="R3088" s="6"/>
      <c r="S3088" s="6"/>
      <c r="T3088" s="6"/>
      <c r="U3088" s="6"/>
      <c r="V3088" s="6"/>
      <c r="W3088" s="6"/>
      <c r="X3088" s="6"/>
      <c r="Y3088" s="6"/>
      <c r="Z3088" s="6"/>
      <c r="AA3088" s="6"/>
      <c r="AB3088" s="6"/>
      <c r="AC3088" s="6"/>
      <c r="AD3088" s="6"/>
      <c r="AE3088" s="6"/>
      <c r="AF3088" s="6"/>
      <c r="AG3088" s="6"/>
      <c r="AH3088" s="6"/>
      <c r="AI3088" s="6"/>
      <c r="AJ3088" s="6"/>
      <c r="AK3088" s="6"/>
      <c r="AL3088" s="6"/>
      <c r="AM3088" s="6"/>
    </row>
    <row r="3089">
      <c r="A3089" s="6"/>
      <c r="B3089" s="6"/>
      <c r="C3089" s="6"/>
      <c r="D3089" s="6"/>
      <c r="E3089" s="6"/>
      <c r="F3089" s="6"/>
      <c r="G3089" s="6"/>
      <c r="H3089" s="6"/>
      <c r="I3089" s="6"/>
      <c r="J3089" s="6"/>
      <c r="K3089" s="6"/>
      <c r="L3089" s="6"/>
      <c r="M3089" s="6"/>
      <c r="N3089" s="6"/>
      <c r="O3089" s="6"/>
      <c r="P3089" s="6"/>
      <c r="Q3089" s="6"/>
      <c r="R3089" s="6"/>
      <c r="S3089" s="6"/>
      <c r="T3089" s="6"/>
      <c r="U3089" s="6"/>
      <c r="V3089" s="6"/>
      <c r="W3089" s="6"/>
      <c r="X3089" s="6"/>
      <c r="Y3089" s="6"/>
      <c r="Z3089" s="6"/>
      <c r="AA3089" s="6"/>
      <c r="AB3089" s="6"/>
      <c r="AC3089" s="6"/>
      <c r="AD3089" s="6"/>
      <c r="AE3089" s="6"/>
      <c r="AF3089" s="6"/>
      <c r="AG3089" s="6"/>
      <c r="AH3089" s="6"/>
      <c r="AI3089" s="6"/>
      <c r="AJ3089" s="6"/>
      <c r="AK3089" s="6"/>
      <c r="AL3089" s="6"/>
      <c r="AM3089" s="6"/>
    </row>
    <row r="3090">
      <c r="A3090" s="6"/>
      <c r="B3090" s="6"/>
      <c r="C3090" s="6"/>
      <c r="D3090" s="6"/>
      <c r="E3090" s="6"/>
      <c r="F3090" s="6"/>
      <c r="G3090" s="6"/>
      <c r="H3090" s="6"/>
      <c r="I3090" s="6"/>
      <c r="J3090" s="6"/>
      <c r="K3090" s="6"/>
      <c r="L3090" s="6"/>
      <c r="M3090" s="6"/>
      <c r="N3090" s="6"/>
      <c r="O3090" s="6"/>
      <c r="P3090" s="6"/>
      <c r="Q3090" s="6"/>
      <c r="R3090" s="6"/>
      <c r="S3090" s="6"/>
      <c r="T3090" s="6"/>
      <c r="U3090" s="6"/>
      <c r="V3090" s="6"/>
      <c r="W3090" s="6"/>
      <c r="X3090" s="6"/>
      <c r="Y3090" s="6"/>
      <c r="Z3090" s="6"/>
      <c r="AA3090" s="6"/>
      <c r="AB3090" s="6"/>
      <c r="AC3090" s="6"/>
      <c r="AD3090" s="6"/>
      <c r="AE3090" s="6"/>
      <c r="AF3090" s="6"/>
      <c r="AG3090" s="6"/>
      <c r="AH3090" s="6"/>
      <c r="AI3090" s="6"/>
      <c r="AJ3090" s="6"/>
      <c r="AK3090" s="6"/>
      <c r="AL3090" s="6"/>
      <c r="AM3090" s="6"/>
    </row>
    <row r="3091">
      <c r="A3091" s="6"/>
      <c r="B3091" s="6"/>
      <c r="C3091" s="6"/>
      <c r="D3091" s="6"/>
      <c r="E3091" s="6"/>
      <c r="F3091" s="6"/>
      <c r="G3091" s="6"/>
      <c r="H3091" s="6"/>
      <c r="I3091" s="6"/>
      <c r="J3091" s="6"/>
      <c r="K3091" s="6"/>
      <c r="L3091" s="6"/>
      <c r="M3091" s="6"/>
      <c r="N3091" s="6"/>
      <c r="O3091" s="6"/>
      <c r="P3091" s="6"/>
      <c r="Q3091" s="6"/>
      <c r="R3091" s="6"/>
      <c r="S3091" s="6"/>
      <c r="T3091" s="6"/>
      <c r="U3091" s="6"/>
      <c r="V3091" s="6"/>
      <c r="W3091" s="6"/>
      <c r="X3091" s="6"/>
      <c r="Y3091" s="6"/>
      <c r="Z3091" s="6"/>
      <c r="AA3091" s="6"/>
      <c r="AB3091" s="6"/>
      <c r="AC3091" s="6"/>
      <c r="AD3091" s="6"/>
      <c r="AE3091" s="6"/>
      <c r="AF3091" s="6"/>
      <c r="AG3091" s="6"/>
      <c r="AH3091" s="6"/>
      <c r="AI3091" s="6"/>
      <c r="AJ3091" s="6"/>
      <c r="AK3091" s="6"/>
      <c r="AL3091" s="6"/>
      <c r="AM3091" s="6"/>
    </row>
    <row r="3092">
      <c r="A3092" s="6"/>
      <c r="B3092" s="6"/>
      <c r="C3092" s="6"/>
      <c r="D3092" s="6"/>
      <c r="E3092" s="6"/>
      <c r="F3092" s="6"/>
      <c r="G3092" s="6"/>
      <c r="H3092" s="6"/>
      <c r="I3092" s="6"/>
      <c r="J3092" s="6"/>
      <c r="K3092" s="6"/>
      <c r="L3092" s="6"/>
      <c r="M3092" s="6"/>
      <c r="N3092" s="6"/>
      <c r="O3092" s="6"/>
      <c r="P3092" s="6"/>
      <c r="Q3092" s="6"/>
      <c r="R3092" s="6"/>
      <c r="S3092" s="6"/>
      <c r="T3092" s="6"/>
      <c r="U3092" s="6"/>
      <c r="V3092" s="6"/>
      <c r="W3092" s="6"/>
      <c r="X3092" s="6"/>
      <c r="Y3092" s="6"/>
      <c r="Z3092" s="6"/>
      <c r="AA3092" s="6"/>
      <c r="AB3092" s="6"/>
      <c r="AC3092" s="6"/>
      <c r="AD3092" s="6"/>
      <c r="AE3092" s="6"/>
      <c r="AF3092" s="6"/>
      <c r="AG3092" s="6"/>
      <c r="AH3092" s="6"/>
      <c r="AI3092" s="6"/>
      <c r="AJ3092" s="6"/>
      <c r="AK3092" s="6"/>
      <c r="AL3092" s="6"/>
      <c r="AM3092" s="6"/>
    </row>
    <row r="3093">
      <c r="A3093" s="6"/>
      <c r="B3093" s="6"/>
      <c r="C3093" s="6"/>
      <c r="D3093" s="6"/>
      <c r="E3093" s="6"/>
      <c r="F3093" s="6"/>
      <c r="G3093" s="6"/>
      <c r="H3093" s="6"/>
      <c r="I3093" s="6"/>
      <c r="J3093" s="6"/>
      <c r="K3093" s="6"/>
      <c r="L3093" s="6"/>
      <c r="M3093" s="6"/>
      <c r="N3093" s="6"/>
      <c r="O3093" s="6"/>
      <c r="P3093" s="6"/>
      <c r="Q3093" s="6"/>
      <c r="R3093" s="6"/>
      <c r="S3093" s="6"/>
      <c r="T3093" s="6"/>
      <c r="U3093" s="6"/>
      <c r="V3093" s="6"/>
      <c r="W3093" s="6"/>
      <c r="X3093" s="6"/>
      <c r="Y3093" s="6"/>
      <c r="Z3093" s="6"/>
      <c r="AA3093" s="6"/>
      <c r="AB3093" s="6"/>
      <c r="AC3093" s="6"/>
      <c r="AD3093" s="6"/>
      <c r="AE3093" s="6"/>
      <c r="AF3093" s="6"/>
      <c r="AG3093" s="6"/>
      <c r="AH3093" s="6"/>
      <c r="AI3093" s="6"/>
      <c r="AJ3093" s="6"/>
      <c r="AK3093" s="6"/>
      <c r="AL3093" s="6"/>
      <c r="AM3093" s="6"/>
    </row>
    <row r="3094">
      <c r="A3094" s="6"/>
      <c r="B3094" s="6"/>
      <c r="C3094" s="6"/>
      <c r="D3094" s="6"/>
      <c r="E3094" s="6"/>
      <c r="F3094" s="6"/>
      <c r="G3094" s="6"/>
      <c r="H3094" s="6"/>
      <c r="I3094" s="6"/>
      <c r="J3094" s="6"/>
      <c r="K3094" s="6"/>
      <c r="L3094" s="6"/>
      <c r="M3094" s="6"/>
      <c r="N3094" s="6"/>
      <c r="O3094" s="6"/>
      <c r="P3094" s="6"/>
      <c r="Q3094" s="6"/>
      <c r="R3094" s="6"/>
      <c r="S3094" s="6"/>
      <c r="T3094" s="6"/>
      <c r="U3094" s="6"/>
      <c r="V3094" s="6"/>
      <c r="W3094" s="6"/>
      <c r="X3094" s="6"/>
      <c r="Y3094" s="6"/>
      <c r="Z3094" s="6"/>
      <c r="AA3094" s="6"/>
      <c r="AB3094" s="6"/>
      <c r="AC3094" s="6"/>
      <c r="AD3094" s="6"/>
      <c r="AE3094" s="6"/>
      <c r="AF3094" s="6"/>
      <c r="AG3094" s="6"/>
      <c r="AH3094" s="6"/>
      <c r="AI3094" s="6"/>
      <c r="AJ3094" s="6"/>
      <c r="AK3094" s="6"/>
      <c r="AL3094" s="6"/>
      <c r="AM3094" s="6"/>
    </row>
    <row r="3095">
      <c r="A3095" s="6"/>
      <c r="B3095" s="6"/>
      <c r="C3095" s="6"/>
      <c r="D3095" s="6"/>
      <c r="E3095" s="6"/>
      <c r="F3095" s="6"/>
      <c r="G3095" s="6"/>
      <c r="H3095" s="6"/>
      <c r="I3095" s="6"/>
      <c r="J3095" s="6"/>
      <c r="K3095" s="6"/>
      <c r="L3095" s="6"/>
      <c r="M3095" s="6"/>
      <c r="N3095" s="6"/>
      <c r="O3095" s="6"/>
      <c r="P3095" s="6"/>
      <c r="Q3095" s="6"/>
      <c r="R3095" s="6"/>
      <c r="S3095" s="6"/>
      <c r="T3095" s="6"/>
      <c r="U3095" s="6"/>
      <c r="V3095" s="6"/>
      <c r="W3095" s="6"/>
      <c r="X3095" s="6"/>
      <c r="Y3095" s="6"/>
      <c r="Z3095" s="6"/>
      <c r="AA3095" s="6"/>
      <c r="AB3095" s="6"/>
      <c r="AC3095" s="6"/>
      <c r="AD3095" s="6"/>
      <c r="AE3095" s="6"/>
      <c r="AF3095" s="6"/>
      <c r="AG3095" s="6"/>
      <c r="AH3095" s="6"/>
      <c r="AI3095" s="6"/>
      <c r="AJ3095" s="6"/>
      <c r="AK3095" s="6"/>
      <c r="AL3095" s="6"/>
      <c r="AM3095" s="6"/>
    </row>
    <row r="3096">
      <c r="A3096" s="6"/>
      <c r="B3096" s="6"/>
      <c r="C3096" s="6"/>
      <c r="D3096" s="6"/>
      <c r="E3096" s="6"/>
      <c r="F3096" s="6"/>
      <c r="G3096" s="6"/>
      <c r="H3096" s="6"/>
      <c r="I3096" s="6"/>
      <c r="J3096" s="6"/>
      <c r="K3096" s="6"/>
      <c r="L3096" s="6"/>
      <c r="M3096" s="6"/>
      <c r="N3096" s="6"/>
      <c r="O3096" s="6"/>
      <c r="P3096" s="6"/>
      <c r="Q3096" s="6"/>
      <c r="R3096" s="6"/>
      <c r="S3096" s="6"/>
      <c r="T3096" s="6"/>
      <c r="U3096" s="6"/>
      <c r="V3096" s="6"/>
      <c r="W3096" s="6"/>
      <c r="X3096" s="6"/>
      <c r="Y3096" s="6"/>
      <c r="Z3096" s="6"/>
      <c r="AA3096" s="6"/>
      <c r="AB3096" s="6"/>
      <c r="AC3096" s="6"/>
      <c r="AD3096" s="6"/>
      <c r="AE3096" s="6"/>
      <c r="AF3096" s="6"/>
      <c r="AG3096" s="6"/>
      <c r="AH3096" s="6"/>
      <c r="AI3096" s="6"/>
      <c r="AJ3096" s="6"/>
      <c r="AK3096" s="6"/>
      <c r="AL3096" s="6"/>
      <c r="AM3096" s="6"/>
    </row>
    <row r="3097">
      <c r="A3097" s="6"/>
      <c r="B3097" s="6"/>
      <c r="C3097" s="6"/>
      <c r="D3097" s="6"/>
      <c r="E3097" s="6"/>
      <c r="F3097" s="6"/>
      <c r="G3097" s="6"/>
      <c r="H3097" s="6"/>
      <c r="I3097" s="6"/>
      <c r="J3097" s="6"/>
      <c r="K3097" s="6"/>
      <c r="L3097" s="6"/>
      <c r="M3097" s="6"/>
      <c r="N3097" s="6"/>
      <c r="O3097" s="6"/>
      <c r="P3097" s="6"/>
      <c r="Q3097" s="6"/>
      <c r="R3097" s="6"/>
      <c r="S3097" s="6"/>
      <c r="T3097" s="6"/>
      <c r="U3097" s="6"/>
      <c r="V3097" s="6"/>
      <c r="W3097" s="6"/>
      <c r="X3097" s="6"/>
      <c r="Y3097" s="6"/>
      <c r="Z3097" s="6"/>
      <c r="AA3097" s="6"/>
      <c r="AB3097" s="6"/>
      <c r="AC3097" s="6"/>
      <c r="AD3097" s="6"/>
      <c r="AE3097" s="6"/>
      <c r="AF3097" s="6"/>
      <c r="AG3097" s="6"/>
      <c r="AH3097" s="6"/>
      <c r="AI3097" s="6"/>
      <c r="AJ3097" s="6"/>
      <c r="AK3097" s="6"/>
      <c r="AL3097" s="6"/>
      <c r="AM3097" s="6"/>
    </row>
    <row r="3098">
      <c r="A3098" s="6"/>
      <c r="B3098" s="6"/>
      <c r="C3098" s="6"/>
      <c r="D3098" s="6"/>
      <c r="E3098" s="6"/>
      <c r="F3098" s="6"/>
      <c r="G3098" s="6"/>
      <c r="H3098" s="6"/>
      <c r="I3098" s="6"/>
      <c r="J3098" s="6"/>
      <c r="K3098" s="6"/>
      <c r="L3098" s="6"/>
      <c r="M3098" s="6"/>
      <c r="N3098" s="6"/>
      <c r="O3098" s="6"/>
      <c r="P3098" s="6"/>
      <c r="Q3098" s="6"/>
      <c r="R3098" s="6"/>
      <c r="S3098" s="6"/>
      <c r="T3098" s="6"/>
      <c r="U3098" s="6"/>
      <c r="V3098" s="6"/>
      <c r="W3098" s="6"/>
      <c r="X3098" s="6"/>
      <c r="Y3098" s="6"/>
      <c r="Z3098" s="6"/>
      <c r="AA3098" s="6"/>
      <c r="AB3098" s="6"/>
      <c r="AC3098" s="6"/>
      <c r="AD3098" s="6"/>
      <c r="AE3098" s="6"/>
      <c r="AF3098" s="6"/>
      <c r="AG3098" s="6"/>
      <c r="AH3098" s="6"/>
      <c r="AI3098" s="6"/>
      <c r="AJ3098" s="6"/>
      <c r="AK3098" s="6"/>
      <c r="AL3098" s="6"/>
      <c r="AM3098" s="6"/>
    </row>
    <row r="3099">
      <c r="A3099" s="6"/>
      <c r="B3099" s="6"/>
      <c r="C3099" s="6"/>
      <c r="D3099" s="6"/>
      <c r="E3099" s="6"/>
      <c r="F3099" s="6"/>
      <c r="G3099" s="6"/>
      <c r="H3099" s="6"/>
      <c r="I3099" s="6"/>
      <c r="J3099" s="6"/>
      <c r="K3099" s="6"/>
      <c r="L3099" s="6"/>
      <c r="M3099" s="6"/>
      <c r="N3099" s="6"/>
      <c r="O3099" s="6"/>
      <c r="P3099" s="6"/>
      <c r="Q3099" s="6"/>
      <c r="R3099" s="6"/>
      <c r="S3099" s="6"/>
      <c r="T3099" s="6"/>
      <c r="U3099" s="6"/>
      <c r="V3099" s="6"/>
      <c r="W3099" s="6"/>
      <c r="X3099" s="6"/>
      <c r="Y3099" s="6"/>
      <c r="Z3099" s="6"/>
      <c r="AA3099" s="6"/>
      <c r="AB3099" s="6"/>
      <c r="AC3099" s="6"/>
      <c r="AD3099" s="6"/>
      <c r="AE3099" s="6"/>
      <c r="AF3099" s="6"/>
      <c r="AG3099" s="6"/>
      <c r="AH3099" s="6"/>
      <c r="AI3099" s="6"/>
      <c r="AJ3099" s="6"/>
      <c r="AK3099" s="6"/>
      <c r="AL3099" s="6"/>
      <c r="AM3099" s="6"/>
    </row>
    <row r="3100">
      <c r="A3100" s="6"/>
      <c r="B3100" s="6"/>
      <c r="C3100" s="6"/>
      <c r="D3100" s="6"/>
      <c r="E3100" s="6"/>
      <c r="F3100" s="6"/>
      <c r="G3100" s="6"/>
      <c r="H3100" s="6"/>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c r="AG3100" s="6"/>
      <c r="AH3100" s="6"/>
      <c r="AI3100" s="6"/>
      <c r="AJ3100" s="6"/>
      <c r="AK3100" s="6"/>
      <c r="AL3100" s="6"/>
      <c r="AM3100" s="6"/>
    </row>
    <row r="3101">
      <c r="A3101" s="6"/>
      <c r="B3101" s="6"/>
      <c r="C3101" s="6"/>
      <c r="D3101" s="6"/>
      <c r="E3101" s="6"/>
      <c r="F3101" s="6"/>
      <c r="G3101" s="6"/>
      <c r="H3101" s="6"/>
      <c r="I3101" s="6"/>
      <c r="J3101" s="6"/>
      <c r="K3101" s="6"/>
      <c r="L3101" s="6"/>
      <c r="M3101" s="6"/>
      <c r="N3101" s="6"/>
      <c r="O3101" s="6"/>
      <c r="P3101" s="6"/>
      <c r="Q3101" s="6"/>
      <c r="R3101" s="6"/>
      <c r="S3101" s="6"/>
      <c r="T3101" s="6"/>
      <c r="U3101" s="6"/>
      <c r="V3101" s="6"/>
      <c r="W3101" s="6"/>
      <c r="X3101" s="6"/>
      <c r="Y3101" s="6"/>
      <c r="Z3101" s="6"/>
      <c r="AA3101" s="6"/>
      <c r="AB3101" s="6"/>
      <c r="AC3101" s="6"/>
      <c r="AD3101" s="6"/>
      <c r="AE3101" s="6"/>
      <c r="AF3101" s="6"/>
      <c r="AG3101" s="6"/>
      <c r="AH3101" s="6"/>
      <c r="AI3101" s="6"/>
      <c r="AJ3101" s="6"/>
      <c r="AK3101" s="6"/>
      <c r="AL3101" s="6"/>
      <c r="AM3101" s="6"/>
    </row>
    <row r="3102">
      <c r="A3102" s="6"/>
      <c r="B3102" s="6"/>
      <c r="C3102" s="6"/>
      <c r="D3102" s="6"/>
      <c r="E3102" s="6"/>
      <c r="F3102" s="6"/>
      <c r="G3102" s="6"/>
      <c r="H3102" s="6"/>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c r="AG3102" s="6"/>
      <c r="AH3102" s="6"/>
      <c r="AI3102" s="6"/>
      <c r="AJ3102" s="6"/>
      <c r="AK3102" s="6"/>
      <c r="AL3102" s="6"/>
      <c r="AM3102" s="6"/>
    </row>
    <row r="3103">
      <c r="A3103" s="6"/>
      <c r="B3103" s="6"/>
      <c r="C3103" s="6"/>
      <c r="D3103" s="6"/>
      <c r="E3103" s="6"/>
      <c r="F3103" s="6"/>
      <c r="G3103" s="6"/>
      <c r="H3103" s="6"/>
      <c r="I3103" s="6"/>
      <c r="J3103" s="6"/>
      <c r="K3103" s="6"/>
      <c r="L3103" s="6"/>
      <c r="M3103" s="6"/>
      <c r="N3103" s="6"/>
      <c r="O3103" s="6"/>
      <c r="P3103" s="6"/>
      <c r="Q3103" s="6"/>
      <c r="R3103" s="6"/>
      <c r="S3103" s="6"/>
      <c r="T3103" s="6"/>
      <c r="U3103" s="6"/>
      <c r="V3103" s="6"/>
      <c r="W3103" s="6"/>
      <c r="X3103" s="6"/>
      <c r="Y3103" s="6"/>
      <c r="Z3103" s="6"/>
      <c r="AA3103" s="6"/>
      <c r="AB3103" s="6"/>
      <c r="AC3103" s="6"/>
      <c r="AD3103" s="6"/>
      <c r="AE3103" s="6"/>
      <c r="AF3103" s="6"/>
      <c r="AG3103" s="6"/>
      <c r="AH3103" s="6"/>
      <c r="AI3103" s="6"/>
      <c r="AJ3103" s="6"/>
      <c r="AK3103" s="6"/>
      <c r="AL3103" s="6"/>
      <c r="AM3103" s="6"/>
    </row>
    <row r="3104">
      <c r="A3104" s="6"/>
      <c r="B3104" s="6"/>
      <c r="C3104" s="6"/>
      <c r="D3104" s="6"/>
      <c r="E3104" s="6"/>
      <c r="F3104" s="6"/>
      <c r="G3104" s="6"/>
      <c r="H3104" s="6"/>
      <c r="I3104" s="6"/>
      <c r="J3104" s="6"/>
      <c r="K3104" s="6"/>
      <c r="L3104" s="6"/>
      <c r="M3104" s="6"/>
      <c r="N3104" s="6"/>
      <c r="O3104" s="6"/>
      <c r="P3104" s="6"/>
      <c r="Q3104" s="6"/>
      <c r="R3104" s="6"/>
      <c r="S3104" s="6"/>
      <c r="T3104" s="6"/>
      <c r="U3104" s="6"/>
      <c r="V3104" s="6"/>
      <c r="W3104" s="6"/>
      <c r="X3104" s="6"/>
      <c r="Y3104" s="6"/>
      <c r="Z3104" s="6"/>
      <c r="AA3104" s="6"/>
      <c r="AB3104" s="6"/>
      <c r="AC3104" s="6"/>
      <c r="AD3104" s="6"/>
      <c r="AE3104" s="6"/>
      <c r="AF3104" s="6"/>
      <c r="AG3104" s="6"/>
      <c r="AH3104" s="6"/>
      <c r="AI3104" s="6"/>
      <c r="AJ3104" s="6"/>
      <c r="AK3104" s="6"/>
      <c r="AL3104" s="6"/>
      <c r="AM3104" s="6"/>
    </row>
    <row r="3105">
      <c r="A3105" s="6"/>
      <c r="B3105" s="6"/>
      <c r="C3105" s="6"/>
      <c r="D3105" s="6"/>
      <c r="E3105" s="6"/>
      <c r="F3105" s="6"/>
      <c r="G3105" s="6"/>
      <c r="H3105" s="6"/>
      <c r="I3105" s="6"/>
      <c r="J3105" s="6"/>
      <c r="K3105" s="6"/>
      <c r="L3105" s="6"/>
      <c r="M3105" s="6"/>
      <c r="N3105" s="6"/>
      <c r="O3105" s="6"/>
      <c r="P3105" s="6"/>
      <c r="Q3105" s="6"/>
      <c r="R3105" s="6"/>
      <c r="S3105" s="6"/>
      <c r="T3105" s="6"/>
      <c r="U3105" s="6"/>
      <c r="V3105" s="6"/>
      <c r="W3105" s="6"/>
      <c r="X3105" s="6"/>
      <c r="Y3105" s="6"/>
      <c r="Z3105" s="6"/>
      <c r="AA3105" s="6"/>
      <c r="AB3105" s="6"/>
      <c r="AC3105" s="6"/>
      <c r="AD3105" s="6"/>
      <c r="AE3105" s="6"/>
      <c r="AF3105" s="6"/>
      <c r="AG3105" s="6"/>
      <c r="AH3105" s="6"/>
      <c r="AI3105" s="6"/>
      <c r="AJ3105" s="6"/>
      <c r="AK3105" s="6"/>
      <c r="AL3105" s="6"/>
      <c r="AM3105" s="6"/>
    </row>
    <row r="3106">
      <c r="A3106" s="6"/>
      <c r="B3106" s="6"/>
      <c r="C3106" s="6"/>
      <c r="D3106" s="6"/>
      <c r="E3106" s="6"/>
      <c r="F3106" s="6"/>
      <c r="G3106" s="6"/>
      <c r="H3106" s="6"/>
      <c r="I3106" s="6"/>
      <c r="J3106" s="6"/>
      <c r="K3106" s="6"/>
      <c r="L3106" s="6"/>
      <c r="M3106" s="6"/>
      <c r="N3106" s="6"/>
      <c r="O3106" s="6"/>
      <c r="P3106" s="6"/>
      <c r="Q3106" s="6"/>
      <c r="R3106" s="6"/>
      <c r="S3106" s="6"/>
      <c r="T3106" s="6"/>
      <c r="U3106" s="6"/>
      <c r="V3106" s="6"/>
      <c r="W3106" s="6"/>
      <c r="X3106" s="6"/>
      <c r="Y3106" s="6"/>
      <c r="Z3106" s="6"/>
      <c r="AA3106" s="6"/>
      <c r="AB3106" s="6"/>
      <c r="AC3106" s="6"/>
      <c r="AD3106" s="6"/>
      <c r="AE3106" s="6"/>
      <c r="AF3106" s="6"/>
      <c r="AG3106" s="6"/>
      <c r="AH3106" s="6"/>
      <c r="AI3106" s="6"/>
      <c r="AJ3106" s="6"/>
      <c r="AK3106" s="6"/>
      <c r="AL3106" s="6"/>
      <c r="AM3106" s="6"/>
    </row>
    <row r="3107">
      <c r="A3107" s="6"/>
      <c r="B3107" s="6"/>
      <c r="C3107" s="6"/>
      <c r="D3107" s="6"/>
      <c r="E3107" s="6"/>
      <c r="F3107" s="6"/>
      <c r="G3107" s="6"/>
      <c r="H3107" s="6"/>
      <c r="I3107" s="6"/>
      <c r="J3107" s="6"/>
      <c r="K3107" s="6"/>
      <c r="L3107" s="6"/>
      <c r="M3107" s="6"/>
      <c r="N3107" s="6"/>
      <c r="O3107" s="6"/>
      <c r="P3107" s="6"/>
      <c r="Q3107" s="6"/>
      <c r="R3107" s="6"/>
      <c r="S3107" s="6"/>
      <c r="T3107" s="6"/>
      <c r="U3107" s="6"/>
      <c r="V3107" s="6"/>
      <c r="W3107" s="6"/>
      <c r="X3107" s="6"/>
      <c r="Y3107" s="6"/>
      <c r="Z3107" s="6"/>
      <c r="AA3107" s="6"/>
      <c r="AB3107" s="6"/>
      <c r="AC3107" s="6"/>
      <c r="AD3107" s="6"/>
      <c r="AE3107" s="6"/>
      <c r="AF3107" s="6"/>
      <c r="AG3107" s="6"/>
      <c r="AH3107" s="6"/>
      <c r="AI3107" s="6"/>
      <c r="AJ3107" s="6"/>
      <c r="AK3107" s="6"/>
      <c r="AL3107" s="6"/>
      <c r="AM3107" s="6"/>
    </row>
    <row r="3108">
      <c r="A3108" s="6"/>
      <c r="B3108" s="6"/>
      <c r="C3108" s="6"/>
      <c r="D3108" s="6"/>
      <c r="E3108" s="6"/>
      <c r="F3108" s="6"/>
      <c r="G3108" s="6"/>
      <c r="H3108" s="6"/>
      <c r="I3108" s="6"/>
      <c r="J3108" s="6"/>
      <c r="K3108" s="6"/>
      <c r="L3108" s="6"/>
      <c r="M3108" s="6"/>
      <c r="N3108" s="6"/>
      <c r="O3108" s="6"/>
      <c r="P3108" s="6"/>
      <c r="Q3108" s="6"/>
      <c r="R3108" s="6"/>
      <c r="S3108" s="6"/>
      <c r="T3108" s="6"/>
      <c r="U3108" s="6"/>
      <c r="V3108" s="6"/>
      <c r="W3108" s="6"/>
      <c r="X3108" s="6"/>
      <c r="Y3108" s="6"/>
      <c r="Z3108" s="6"/>
      <c r="AA3108" s="6"/>
      <c r="AB3108" s="6"/>
      <c r="AC3108" s="6"/>
      <c r="AD3108" s="6"/>
      <c r="AE3108" s="6"/>
      <c r="AF3108" s="6"/>
      <c r="AG3108" s="6"/>
      <c r="AH3108" s="6"/>
      <c r="AI3108" s="6"/>
      <c r="AJ3108" s="6"/>
      <c r="AK3108" s="6"/>
      <c r="AL3108" s="6"/>
      <c r="AM3108" s="6"/>
    </row>
    <row r="3109">
      <c r="A3109" s="6"/>
      <c r="B3109" s="6"/>
      <c r="C3109" s="6"/>
      <c r="D3109" s="6"/>
      <c r="E3109" s="6"/>
      <c r="F3109" s="6"/>
      <c r="G3109" s="6"/>
      <c r="H3109" s="6"/>
      <c r="I3109" s="6"/>
      <c r="J3109" s="6"/>
      <c r="K3109" s="6"/>
      <c r="L3109" s="6"/>
      <c r="M3109" s="6"/>
      <c r="N3109" s="6"/>
      <c r="O3109" s="6"/>
      <c r="P3109" s="6"/>
      <c r="Q3109" s="6"/>
      <c r="R3109" s="6"/>
      <c r="S3109" s="6"/>
      <c r="T3109" s="6"/>
      <c r="U3109" s="6"/>
      <c r="V3109" s="6"/>
      <c r="W3109" s="6"/>
      <c r="X3109" s="6"/>
      <c r="Y3109" s="6"/>
      <c r="Z3109" s="6"/>
      <c r="AA3109" s="6"/>
      <c r="AB3109" s="6"/>
      <c r="AC3109" s="6"/>
      <c r="AD3109" s="6"/>
      <c r="AE3109" s="6"/>
      <c r="AF3109" s="6"/>
      <c r="AG3109" s="6"/>
      <c r="AH3109" s="6"/>
      <c r="AI3109" s="6"/>
      <c r="AJ3109" s="6"/>
      <c r="AK3109" s="6"/>
      <c r="AL3109" s="6"/>
      <c r="AM3109" s="6"/>
    </row>
    <row r="3110">
      <c r="A3110" s="6"/>
      <c r="B3110" s="6"/>
      <c r="C3110" s="6"/>
      <c r="D3110" s="6"/>
      <c r="E3110" s="6"/>
      <c r="F3110" s="6"/>
      <c r="G3110" s="6"/>
      <c r="H3110" s="6"/>
      <c r="I3110" s="6"/>
      <c r="J3110" s="6"/>
      <c r="K3110" s="6"/>
      <c r="L3110" s="6"/>
      <c r="M3110" s="6"/>
      <c r="N3110" s="6"/>
      <c r="O3110" s="6"/>
      <c r="P3110" s="6"/>
      <c r="Q3110" s="6"/>
      <c r="R3110" s="6"/>
      <c r="S3110" s="6"/>
      <c r="T3110" s="6"/>
      <c r="U3110" s="6"/>
      <c r="V3110" s="6"/>
      <c r="W3110" s="6"/>
      <c r="X3110" s="6"/>
      <c r="Y3110" s="6"/>
      <c r="Z3110" s="6"/>
      <c r="AA3110" s="6"/>
      <c r="AB3110" s="6"/>
      <c r="AC3110" s="6"/>
      <c r="AD3110" s="6"/>
      <c r="AE3110" s="6"/>
      <c r="AF3110" s="6"/>
      <c r="AG3110" s="6"/>
      <c r="AH3110" s="6"/>
      <c r="AI3110" s="6"/>
      <c r="AJ3110" s="6"/>
      <c r="AK3110" s="6"/>
      <c r="AL3110" s="6"/>
      <c r="AM3110" s="6"/>
    </row>
    <row r="3111">
      <c r="A3111" s="6"/>
      <c r="B3111" s="6"/>
      <c r="C3111" s="6"/>
      <c r="D3111" s="6"/>
      <c r="E3111" s="6"/>
      <c r="F3111" s="6"/>
      <c r="G3111" s="6"/>
      <c r="H3111" s="6"/>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c r="AG3111" s="6"/>
      <c r="AH3111" s="6"/>
      <c r="AI3111" s="6"/>
      <c r="AJ3111" s="6"/>
      <c r="AK3111" s="6"/>
      <c r="AL3111" s="6"/>
      <c r="AM3111" s="6"/>
    </row>
    <row r="3112">
      <c r="A3112" s="6"/>
      <c r="B3112" s="6"/>
      <c r="C3112" s="6"/>
      <c r="D3112" s="6"/>
      <c r="E3112" s="6"/>
      <c r="F3112" s="6"/>
      <c r="G3112" s="6"/>
      <c r="H3112" s="6"/>
      <c r="I3112" s="6"/>
      <c r="J3112" s="6"/>
      <c r="K3112" s="6"/>
      <c r="L3112" s="6"/>
      <c r="M3112" s="6"/>
      <c r="N3112" s="6"/>
      <c r="O3112" s="6"/>
      <c r="P3112" s="6"/>
      <c r="Q3112" s="6"/>
      <c r="R3112" s="6"/>
      <c r="S3112" s="6"/>
      <c r="T3112" s="6"/>
      <c r="U3112" s="6"/>
      <c r="V3112" s="6"/>
      <c r="W3112" s="6"/>
      <c r="X3112" s="6"/>
      <c r="Y3112" s="6"/>
      <c r="Z3112" s="6"/>
      <c r="AA3112" s="6"/>
      <c r="AB3112" s="6"/>
      <c r="AC3112" s="6"/>
      <c r="AD3112" s="6"/>
      <c r="AE3112" s="6"/>
      <c r="AF3112" s="6"/>
      <c r="AG3112" s="6"/>
      <c r="AH3112" s="6"/>
      <c r="AI3112" s="6"/>
      <c r="AJ3112" s="6"/>
      <c r="AK3112" s="6"/>
      <c r="AL3112" s="6"/>
      <c r="AM3112" s="6"/>
    </row>
    <row r="3113">
      <c r="A3113" s="6"/>
      <c r="B3113" s="6"/>
      <c r="C3113" s="6"/>
      <c r="D3113" s="6"/>
      <c r="E3113" s="6"/>
      <c r="F3113" s="6"/>
      <c r="G3113" s="6"/>
      <c r="H3113" s="6"/>
      <c r="I3113" s="6"/>
      <c r="J3113" s="6"/>
      <c r="K3113" s="6"/>
      <c r="L3113" s="6"/>
      <c r="M3113" s="6"/>
      <c r="N3113" s="6"/>
      <c r="O3113" s="6"/>
      <c r="P3113" s="6"/>
      <c r="Q3113" s="6"/>
      <c r="R3113" s="6"/>
      <c r="S3113" s="6"/>
      <c r="T3113" s="6"/>
      <c r="U3113" s="6"/>
      <c r="V3113" s="6"/>
      <c r="W3113" s="6"/>
      <c r="X3113" s="6"/>
      <c r="Y3113" s="6"/>
      <c r="Z3113" s="6"/>
      <c r="AA3113" s="6"/>
      <c r="AB3113" s="6"/>
      <c r="AC3113" s="6"/>
      <c r="AD3113" s="6"/>
      <c r="AE3113" s="6"/>
      <c r="AF3113" s="6"/>
      <c r="AG3113" s="6"/>
      <c r="AH3113" s="6"/>
      <c r="AI3113" s="6"/>
      <c r="AJ3113" s="6"/>
      <c r="AK3113" s="6"/>
      <c r="AL3113" s="6"/>
      <c r="AM3113" s="6"/>
    </row>
    <row r="3114">
      <c r="A3114" s="6"/>
      <c r="B3114" s="6"/>
      <c r="C3114" s="6"/>
      <c r="D3114" s="6"/>
      <c r="E3114" s="6"/>
      <c r="F3114" s="6"/>
      <c r="G3114" s="6"/>
      <c r="H3114" s="6"/>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c r="AG3114" s="6"/>
      <c r="AH3114" s="6"/>
      <c r="AI3114" s="6"/>
      <c r="AJ3114" s="6"/>
      <c r="AK3114" s="6"/>
      <c r="AL3114" s="6"/>
      <c r="AM3114" s="6"/>
    </row>
    <row r="3115">
      <c r="A3115" s="6"/>
      <c r="B3115" s="6"/>
      <c r="C3115" s="6"/>
      <c r="D3115" s="6"/>
      <c r="E3115" s="6"/>
      <c r="F3115" s="6"/>
      <c r="G3115" s="6"/>
      <c r="H3115" s="6"/>
      <c r="I3115" s="6"/>
      <c r="J3115" s="6"/>
      <c r="K3115" s="6"/>
      <c r="L3115" s="6"/>
      <c r="M3115" s="6"/>
      <c r="N3115" s="6"/>
      <c r="O3115" s="6"/>
      <c r="P3115" s="6"/>
      <c r="Q3115" s="6"/>
      <c r="R3115" s="6"/>
      <c r="S3115" s="6"/>
      <c r="T3115" s="6"/>
      <c r="U3115" s="6"/>
      <c r="V3115" s="6"/>
      <c r="W3115" s="6"/>
      <c r="X3115" s="6"/>
      <c r="Y3115" s="6"/>
      <c r="Z3115" s="6"/>
      <c r="AA3115" s="6"/>
      <c r="AB3115" s="6"/>
      <c r="AC3115" s="6"/>
      <c r="AD3115" s="6"/>
      <c r="AE3115" s="6"/>
      <c r="AF3115" s="6"/>
      <c r="AG3115" s="6"/>
      <c r="AH3115" s="6"/>
      <c r="AI3115" s="6"/>
      <c r="AJ3115" s="6"/>
      <c r="AK3115" s="6"/>
      <c r="AL3115" s="6"/>
      <c r="AM3115" s="6"/>
    </row>
    <row r="3116">
      <c r="A3116" s="6"/>
      <c r="B3116" s="6"/>
      <c r="C3116" s="6"/>
      <c r="D3116" s="6"/>
      <c r="E3116" s="6"/>
      <c r="F3116" s="6"/>
      <c r="G3116" s="6"/>
      <c r="H3116" s="6"/>
      <c r="I3116" s="6"/>
      <c r="J3116" s="6"/>
      <c r="K3116" s="6"/>
      <c r="L3116" s="6"/>
      <c r="M3116" s="6"/>
      <c r="N3116" s="6"/>
      <c r="O3116" s="6"/>
      <c r="P3116" s="6"/>
      <c r="Q3116" s="6"/>
      <c r="R3116" s="6"/>
      <c r="S3116" s="6"/>
      <c r="T3116" s="6"/>
      <c r="U3116" s="6"/>
      <c r="V3116" s="6"/>
      <c r="W3116" s="6"/>
      <c r="X3116" s="6"/>
      <c r="Y3116" s="6"/>
      <c r="Z3116" s="6"/>
      <c r="AA3116" s="6"/>
      <c r="AB3116" s="6"/>
      <c r="AC3116" s="6"/>
      <c r="AD3116" s="6"/>
      <c r="AE3116" s="6"/>
      <c r="AF3116" s="6"/>
      <c r="AG3116" s="6"/>
      <c r="AH3116" s="6"/>
      <c r="AI3116" s="6"/>
      <c r="AJ3116" s="6"/>
      <c r="AK3116" s="6"/>
      <c r="AL3116" s="6"/>
      <c r="AM3116" s="6"/>
    </row>
    <row r="3117">
      <c r="A3117" s="6"/>
      <c r="B3117" s="6"/>
      <c r="C3117" s="6"/>
      <c r="D3117" s="6"/>
      <c r="E3117" s="6"/>
      <c r="F3117" s="6"/>
      <c r="G3117" s="6"/>
      <c r="H3117" s="6"/>
      <c r="I3117" s="6"/>
      <c r="J3117" s="6"/>
      <c r="K3117" s="6"/>
      <c r="L3117" s="6"/>
      <c r="M3117" s="6"/>
      <c r="N3117" s="6"/>
      <c r="O3117" s="6"/>
      <c r="P3117" s="6"/>
      <c r="Q3117" s="6"/>
      <c r="R3117" s="6"/>
      <c r="S3117" s="6"/>
      <c r="T3117" s="6"/>
      <c r="U3117" s="6"/>
      <c r="V3117" s="6"/>
      <c r="W3117" s="6"/>
      <c r="X3117" s="6"/>
      <c r="Y3117" s="6"/>
      <c r="Z3117" s="6"/>
      <c r="AA3117" s="6"/>
      <c r="AB3117" s="6"/>
      <c r="AC3117" s="6"/>
      <c r="AD3117" s="6"/>
      <c r="AE3117" s="6"/>
      <c r="AF3117" s="6"/>
      <c r="AG3117" s="6"/>
      <c r="AH3117" s="6"/>
      <c r="AI3117" s="6"/>
      <c r="AJ3117" s="6"/>
      <c r="AK3117" s="6"/>
      <c r="AL3117" s="6"/>
      <c r="AM3117" s="6"/>
    </row>
    <row r="3118">
      <c r="A3118" s="6"/>
      <c r="B3118" s="6"/>
      <c r="C3118" s="6"/>
      <c r="D3118" s="6"/>
      <c r="E3118" s="6"/>
      <c r="F3118" s="6"/>
      <c r="G3118" s="6"/>
      <c r="H3118" s="6"/>
      <c r="I3118" s="6"/>
      <c r="J3118" s="6"/>
      <c r="K3118" s="6"/>
      <c r="L3118" s="6"/>
      <c r="M3118" s="6"/>
      <c r="N3118" s="6"/>
      <c r="O3118" s="6"/>
      <c r="P3118" s="6"/>
      <c r="Q3118" s="6"/>
      <c r="R3118" s="6"/>
      <c r="S3118" s="6"/>
      <c r="T3118" s="6"/>
      <c r="U3118" s="6"/>
      <c r="V3118" s="6"/>
      <c r="W3118" s="6"/>
      <c r="X3118" s="6"/>
      <c r="Y3118" s="6"/>
      <c r="Z3118" s="6"/>
      <c r="AA3118" s="6"/>
      <c r="AB3118" s="6"/>
      <c r="AC3118" s="6"/>
      <c r="AD3118" s="6"/>
      <c r="AE3118" s="6"/>
      <c r="AF3118" s="6"/>
      <c r="AG3118" s="6"/>
      <c r="AH3118" s="6"/>
      <c r="AI3118" s="6"/>
      <c r="AJ3118" s="6"/>
      <c r="AK3118" s="6"/>
      <c r="AL3118" s="6"/>
      <c r="AM3118" s="6"/>
    </row>
    <row r="3119">
      <c r="A3119" s="6"/>
      <c r="B3119" s="6"/>
      <c r="C3119" s="6"/>
      <c r="D3119" s="6"/>
      <c r="E3119" s="6"/>
      <c r="F3119" s="6"/>
      <c r="G3119" s="6"/>
      <c r="H3119" s="6"/>
      <c r="I3119" s="6"/>
      <c r="J3119" s="6"/>
      <c r="K3119" s="6"/>
      <c r="L3119" s="6"/>
      <c r="M3119" s="6"/>
      <c r="N3119" s="6"/>
      <c r="O3119" s="6"/>
      <c r="P3119" s="6"/>
      <c r="Q3119" s="6"/>
      <c r="R3119" s="6"/>
      <c r="S3119" s="6"/>
      <c r="T3119" s="6"/>
      <c r="U3119" s="6"/>
      <c r="V3119" s="6"/>
      <c r="W3119" s="6"/>
      <c r="X3119" s="6"/>
      <c r="Y3119" s="6"/>
      <c r="Z3119" s="6"/>
      <c r="AA3119" s="6"/>
      <c r="AB3119" s="6"/>
      <c r="AC3119" s="6"/>
      <c r="AD3119" s="6"/>
      <c r="AE3119" s="6"/>
      <c r="AF3119" s="6"/>
      <c r="AG3119" s="6"/>
      <c r="AH3119" s="6"/>
      <c r="AI3119" s="6"/>
      <c r="AJ3119" s="6"/>
      <c r="AK3119" s="6"/>
      <c r="AL3119" s="6"/>
      <c r="AM3119" s="6"/>
    </row>
    <row r="3120">
      <c r="A3120" s="6"/>
      <c r="B3120" s="6"/>
      <c r="C3120" s="6"/>
      <c r="D3120" s="6"/>
      <c r="E3120" s="6"/>
      <c r="F3120" s="6"/>
      <c r="G3120" s="6"/>
      <c r="H3120" s="6"/>
      <c r="I3120" s="6"/>
      <c r="J3120" s="6"/>
      <c r="K3120" s="6"/>
      <c r="L3120" s="6"/>
      <c r="M3120" s="6"/>
      <c r="N3120" s="6"/>
      <c r="O3120" s="6"/>
      <c r="P3120" s="6"/>
      <c r="Q3120" s="6"/>
      <c r="R3120" s="6"/>
      <c r="S3120" s="6"/>
      <c r="T3120" s="6"/>
      <c r="U3120" s="6"/>
      <c r="V3120" s="6"/>
      <c r="W3120" s="6"/>
      <c r="X3120" s="6"/>
      <c r="Y3120" s="6"/>
      <c r="Z3120" s="6"/>
      <c r="AA3120" s="6"/>
      <c r="AB3120" s="6"/>
      <c r="AC3120" s="6"/>
      <c r="AD3120" s="6"/>
      <c r="AE3120" s="6"/>
      <c r="AF3120" s="6"/>
      <c r="AG3120" s="6"/>
      <c r="AH3120" s="6"/>
      <c r="AI3120" s="6"/>
      <c r="AJ3120" s="6"/>
      <c r="AK3120" s="6"/>
      <c r="AL3120" s="6"/>
      <c r="AM3120" s="6"/>
    </row>
    <row r="3121">
      <c r="A3121" s="6"/>
      <c r="B3121" s="6"/>
      <c r="C3121" s="6"/>
      <c r="D3121" s="6"/>
      <c r="E3121" s="6"/>
      <c r="F3121" s="6"/>
      <c r="G3121" s="6"/>
      <c r="H3121" s="6"/>
      <c r="I3121" s="6"/>
      <c r="J3121" s="6"/>
      <c r="K3121" s="6"/>
      <c r="L3121" s="6"/>
      <c r="M3121" s="6"/>
      <c r="N3121" s="6"/>
      <c r="O3121" s="6"/>
      <c r="P3121" s="6"/>
      <c r="Q3121" s="6"/>
      <c r="R3121" s="6"/>
      <c r="S3121" s="6"/>
      <c r="T3121" s="6"/>
      <c r="U3121" s="6"/>
      <c r="V3121" s="6"/>
      <c r="W3121" s="6"/>
      <c r="X3121" s="6"/>
      <c r="Y3121" s="6"/>
      <c r="Z3121" s="6"/>
      <c r="AA3121" s="6"/>
      <c r="AB3121" s="6"/>
      <c r="AC3121" s="6"/>
      <c r="AD3121" s="6"/>
      <c r="AE3121" s="6"/>
      <c r="AF3121" s="6"/>
      <c r="AG3121" s="6"/>
      <c r="AH3121" s="6"/>
      <c r="AI3121" s="6"/>
      <c r="AJ3121" s="6"/>
      <c r="AK3121" s="6"/>
      <c r="AL3121" s="6"/>
      <c r="AM3121" s="6"/>
    </row>
    <row r="3122">
      <c r="A3122" s="6"/>
      <c r="B3122" s="6"/>
      <c r="C3122" s="6"/>
      <c r="D3122" s="6"/>
      <c r="E3122" s="6"/>
      <c r="F3122" s="6"/>
      <c r="G3122" s="6"/>
      <c r="H3122" s="6"/>
      <c r="I3122" s="6"/>
      <c r="J3122" s="6"/>
      <c r="K3122" s="6"/>
      <c r="L3122" s="6"/>
      <c r="M3122" s="6"/>
      <c r="N3122" s="6"/>
      <c r="O3122" s="6"/>
      <c r="P3122" s="6"/>
      <c r="Q3122" s="6"/>
      <c r="R3122" s="6"/>
      <c r="S3122" s="6"/>
      <c r="T3122" s="6"/>
      <c r="U3122" s="6"/>
      <c r="V3122" s="6"/>
      <c r="W3122" s="6"/>
      <c r="X3122" s="6"/>
      <c r="Y3122" s="6"/>
      <c r="Z3122" s="6"/>
      <c r="AA3122" s="6"/>
      <c r="AB3122" s="6"/>
      <c r="AC3122" s="6"/>
      <c r="AD3122" s="6"/>
      <c r="AE3122" s="6"/>
      <c r="AF3122" s="6"/>
      <c r="AG3122" s="6"/>
      <c r="AH3122" s="6"/>
      <c r="AI3122" s="6"/>
      <c r="AJ3122" s="6"/>
      <c r="AK3122" s="6"/>
      <c r="AL3122" s="6"/>
      <c r="AM3122" s="6"/>
    </row>
    <row r="3123">
      <c r="A3123" s="6"/>
      <c r="B3123" s="6"/>
      <c r="C3123" s="6"/>
      <c r="D3123" s="6"/>
      <c r="E3123" s="6"/>
      <c r="F3123" s="6"/>
      <c r="G3123" s="6"/>
      <c r="H3123" s="6"/>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c r="AG3123" s="6"/>
      <c r="AH3123" s="6"/>
      <c r="AI3123" s="6"/>
      <c r="AJ3123" s="6"/>
      <c r="AK3123" s="6"/>
      <c r="AL3123" s="6"/>
      <c r="AM3123" s="6"/>
    </row>
    <row r="3124">
      <c r="A3124" s="6"/>
      <c r="B3124" s="6"/>
      <c r="C3124" s="6"/>
      <c r="D3124" s="6"/>
      <c r="E3124" s="6"/>
      <c r="F3124" s="6"/>
      <c r="G3124" s="6"/>
      <c r="H3124" s="6"/>
      <c r="I3124" s="6"/>
      <c r="J3124" s="6"/>
      <c r="K3124" s="6"/>
      <c r="L3124" s="6"/>
      <c r="M3124" s="6"/>
      <c r="N3124" s="6"/>
      <c r="O3124" s="6"/>
      <c r="P3124" s="6"/>
      <c r="Q3124" s="6"/>
      <c r="R3124" s="6"/>
      <c r="S3124" s="6"/>
      <c r="T3124" s="6"/>
      <c r="U3124" s="6"/>
      <c r="V3124" s="6"/>
      <c r="W3124" s="6"/>
      <c r="X3124" s="6"/>
      <c r="Y3124" s="6"/>
      <c r="Z3124" s="6"/>
      <c r="AA3124" s="6"/>
      <c r="AB3124" s="6"/>
      <c r="AC3124" s="6"/>
      <c r="AD3124" s="6"/>
      <c r="AE3124" s="6"/>
      <c r="AF3124" s="6"/>
      <c r="AG3124" s="6"/>
      <c r="AH3124" s="6"/>
      <c r="AI3124" s="6"/>
      <c r="AJ3124" s="6"/>
      <c r="AK3124" s="6"/>
      <c r="AL3124" s="6"/>
      <c r="AM3124" s="6"/>
    </row>
    <row r="3125">
      <c r="A3125" s="6"/>
      <c r="B3125" s="6"/>
      <c r="C3125" s="6"/>
      <c r="D3125" s="6"/>
      <c r="E3125" s="6"/>
      <c r="F3125" s="6"/>
      <c r="G3125" s="6"/>
      <c r="H3125" s="6"/>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c r="AG3125" s="6"/>
      <c r="AH3125" s="6"/>
      <c r="AI3125" s="6"/>
      <c r="AJ3125" s="6"/>
      <c r="AK3125" s="6"/>
      <c r="AL3125" s="6"/>
      <c r="AM3125" s="6"/>
    </row>
    <row r="3126">
      <c r="A3126" s="6"/>
      <c r="B3126" s="6"/>
      <c r="C3126" s="6"/>
      <c r="D3126" s="6"/>
      <c r="E3126" s="6"/>
      <c r="F3126" s="6"/>
      <c r="G3126" s="6"/>
      <c r="H3126" s="6"/>
      <c r="I3126" s="6"/>
      <c r="J3126" s="6"/>
      <c r="K3126" s="6"/>
      <c r="L3126" s="6"/>
      <c r="M3126" s="6"/>
      <c r="N3126" s="6"/>
      <c r="O3126" s="6"/>
      <c r="P3126" s="6"/>
      <c r="Q3126" s="6"/>
      <c r="R3126" s="6"/>
      <c r="S3126" s="6"/>
      <c r="T3126" s="6"/>
      <c r="U3126" s="6"/>
      <c r="V3126" s="6"/>
      <c r="W3126" s="6"/>
      <c r="X3126" s="6"/>
      <c r="Y3126" s="6"/>
      <c r="Z3126" s="6"/>
      <c r="AA3126" s="6"/>
      <c r="AB3126" s="6"/>
      <c r="AC3126" s="6"/>
      <c r="AD3126" s="6"/>
      <c r="AE3126" s="6"/>
      <c r="AF3126" s="6"/>
      <c r="AG3126" s="6"/>
      <c r="AH3126" s="6"/>
      <c r="AI3126" s="6"/>
      <c r="AJ3126" s="6"/>
      <c r="AK3126" s="6"/>
      <c r="AL3126" s="6"/>
      <c r="AM3126" s="6"/>
    </row>
    <row r="3127">
      <c r="A3127" s="6"/>
      <c r="B3127" s="6"/>
      <c r="C3127" s="6"/>
      <c r="D3127" s="6"/>
      <c r="E3127" s="6"/>
      <c r="F3127" s="6"/>
      <c r="G3127" s="6"/>
      <c r="H3127" s="6"/>
      <c r="I3127" s="6"/>
      <c r="J3127" s="6"/>
      <c r="K3127" s="6"/>
      <c r="L3127" s="6"/>
      <c r="M3127" s="6"/>
      <c r="N3127" s="6"/>
      <c r="O3127" s="6"/>
      <c r="P3127" s="6"/>
      <c r="Q3127" s="6"/>
      <c r="R3127" s="6"/>
      <c r="S3127" s="6"/>
      <c r="T3127" s="6"/>
      <c r="U3127" s="6"/>
      <c r="V3127" s="6"/>
      <c r="W3127" s="6"/>
      <c r="X3127" s="6"/>
      <c r="Y3127" s="6"/>
      <c r="Z3127" s="6"/>
      <c r="AA3127" s="6"/>
      <c r="AB3127" s="6"/>
      <c r="AC3127" s="6"/>
      <c r="AD3127" s="6"/>
      <c r="AE3127" s="6"/>
      <c r="AF3127" s="6"/>
      <c r="AG3127" s="6"/>
      <c r="AH3127" s="6"/>
      <c r="AI3127" s="6"/>
      <c r="AJ3127" s="6"/>
      <c r="AK3127" s="6"/>
      <c r="AL3127" s="6"/>
      <c r="AM3127" s="6"/>
    </row>
    <row r="3128">
      <c r="A3128" s="6"/>
      <c r="B3128" s="6"/>
      <c r="C3128" s="6"/>
      <c r="D3128" s="6"/>
      <c r="E3128" s="6"/>
      <c r="F3128" s="6"/>
      <c r="G3128" s="6"/>
      <c r="H3128" s="6"/>
      <c r="I3128" s="6"/>
      <c r="J3128" s="6"/>
      <c r="K3128" s="6"/>
      <c r="L3128" s="6"/>
      <c r="M3128" s="6"/>
      <c r="N3128" s="6"/>
      <c r="O3128" s="6"/>
      <c r="P3128" s="6"/>
      <c r="Q3128" s="6"/>
      <c r="R3128" s="6"/>
      <c r="S3128" s="6"/>
      <c r="T3128" s="6"/>
      <c r="U3128" s="6"/>
      <c r="V3128" s="6"/>
      <c r="W3128" s="6"/>
      <c r="X3128" s="6"/>
      <c r="Y3128" s="6"/>
      <c r="Z3128" s="6"/>
      <c r="AA3128" s="6"/>
      <c r="AB3128" s="6"/>
      <c r="AC3128" s="6"/>
      <c r="AD3128" s="6"/>
      <c r="AE3128" s="6"/>
      <c r="AF3128" s="6"/>
      <c r="AG3128" s="6"/>
      <c r="AH3128" s="6"/>
      <c r="AI3128" s="6"/>
      <c r="AJ3128" s="6"/>
      <c r="AK3128" s="6"/>
      <c r="AL3128" s="6"/>
      <c r="AM3128" s="6"/>
    </row>
    <row r="3129">
      <c r="A3129" s="6"/>
      <c r="B3129" s="6"/>
      <c r="C3129" s="6"/>
      <c r="D3129" s="6"/>
      <c r="E3129" s="6"/>
      <c r="F3129" s="6"/>
      <c r="G3129" s="6"/>
      <c r="H3129" s="6"/>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c r="AG3129" s="6"/>
      <c r="AH3129" s="6"/>
      <c r="AI3129" s="6"/>
      <c r="AJ3129" s="6"/>
      <c r="AK3129" s="6"/>
      <c r="AL3129" s="6"/>
      <c r="AM3129" s="6"/>
    </row>
    <row r="3130">
      <c r="A3130" s="6"/>
      <c r="B3130" s="6"/>
      <c r="C3130" s="6"/>
      <c r="D3130" s="6"/>
      <c r="E3130" s="6"/>
      <c r="F3130" s="6"/>
      <c r="G3130" s="6"/>
      <c r="H3130" s="6"/>
      <c r="I3130" s="6"/>
      <c r="J3130" s="6"/>
      <c r="K3130" s="6"/>
      <c r="L3130" s="6"/>
      <c r="M3130" s="6"/>
      <c r="N3130" s="6"/>
      <c r="O3130" s="6"/>
      <c r="P3130" s="6"/>
      <c r="Q3130" s="6"/>
      <c r="R3130" s="6"/>
      <c r="S3130" s="6"/>
      <c r="T3130" s="6"/>
      <c r="U3130" s="6"/>
      <c r="V3130" s="6"/>
      <c r="W3130" s="6"/>
      <c r="X3130" s="6"/>
      <c r="Y3130" s="6"/>
      <c r="Z3130" s="6"/>
      <c r="AA3130" s="6"/>
      <c r="AB3130" s="6"/>
      <c r="AC3130" s="6"/>
      <c r="AD3130" s="6"/>
      <c r="AE3130" s="6"/>
      <c r="AF3130" s="6"/>
      <c r="AG3130" s="6"/>
      <c r="AH3130" s="6"/>
      <c r="AI3130" s="6"/>
      <c r="AJ3130" s="6"/>
      <c r="AK3130" s="6"/>
      <c r="AL3130" s="6"/>
      <c r="AM3130" s="6"/>
    </row>
    <row r="3131">
      <c r="A3131" s="6"/>
      <c r="B3131" s="6"/>
      <c r="C3131" s="6"/>
      <c r="D3131" s="6"/>
      <c r="E3131" s="6"/>
      <c r="F3131" s="6"/>
      <c r="G3131" s="6"/>
      <c r="H3131" s="6"/>
      <c r="I3131" s="6"/>
      <c r="J3131" s="6"/>
      <c r="K3131" s="6"/>
      <c r="L3131" s="6"/>
      <c r="M3131" s="6"/>
      <c r="N3131" s="6"/>
      <c r="O3131" s="6"/>
      <c r="P3131" s="6"/>
      <c r="Q3131" s="6"/>
      <c r="R3131" s="6"/>
      <c r="S3131" s="6"/>
      <c r="T3131" s="6"/>
      <c r="U3131" s="6"/>
      <c r="V3131" s="6"/>
      <c r="W3131" s="6"/>
      <c r="X3131" s="6"/>
      <c r="Y3131" s="6"/>
      <c r="Z3131" s="6"/>
      <c r="AA3131" s="6"/>
      <c r="AB3131" s="6"/>
      <c r="AC3131" s="6"/>
      <c r="AD3131" s="6"/>
      <c r="AE3131" s="6"/>
      <c r="AF3131" s="6"/>
      <c r="AG3131" s="6"/>
      <c r="AH3131" s="6"/>
      <c r="AI3131" s="6"/>
      <c r="AJ3131" s="6"/>
      <c r="AK3131" s="6"/>
      <c r="AL3131" s="6"/>
      <c r="AM3131" s="6"/>
    </row>
    <row r="3132">
      <c r="A3132" s="6"/>
      <c r="B3132" s="6"/>
      <c r="C3132" s="6"/>
      <c r="D3132" s="6"/>
      <c r="E3132" s="6"/>
      <c r="F3132" s="6"/>
      <c r="G3132" s="6"/>
      <c r="H3132" s="6"/>
      <c r="I3132" s="6"/>
      <c r="J3132" s="6"/>
      <c r="K3132" s="6"/>
      <c r="L3132" s="6"/>
      <c r="M3132" s="6"/>
      <c r="N3132" s="6"/>
      <c r="O3132" s="6"/>
      <c r="P3132" s="6"/>
      <c r="Q3132" s="6"/>
      <c r="R3132" s="6"/>
      <c r="S3132" s="6"/>
      <c r="T3132" s="6"/>
      <c r="U3132" s="6"/>
      <c r="V3132" s="6"/>
      <c r="W3132" s="6"/>
      <c r="X3132" s="6"/>
      <c r="Y3132" s="6"/>
      <c r="Z3132" s="6"/>
      <c r="AA3132" s="6"/>
      <c r="AB3132" s="6"/>
      <c r="AC3132" s="6"/>
      <c r="AD3132" s="6"/>
      <c r="AE3132" s="6"/>
      <c r="AF3132" s="6"/>
      <c r="AG3132" s="6"/>
      <c r="AH3132" s="6"/>
      <c r="AI3132" s="6"/>
      <c r="AJ3132" s="6"/>
      <c r="AK3132" s="6"/>
      <c r="AL3132" s="6"/>
      <c r="AM3132" s="6"/>
    </row>
    <row r="3133">
      <c r="A3133" s="6"/>
      <c r="B3133" s="6"/>
      <c r="C3133" s="6"/>
      <c r="D3133" s="6"/>
      <c r="E3133" s="6"/>
      <c r="F3133" s="6"/>
      <c r="G3133" s="6"/>
      <c r="H3133" s="6"/>
      <c r="I3133" s="6"/>
      <c r="J3133" s="6"/>
      <c r="K3133" s="6"/>
      <c r="L3133" s="6"/>
      <c r="M3133" s="6"/>
      <c r="N3133" s="6"/>
      <c r="O3133" s="6"/>
      <c r="P3133" s="6"/>
      <c r="Q3133" s="6"/>
      <c r="R3133" s="6"/>
      <c r="S3133" s="6"/>
      <c r="T3133" s="6"/>
      <c r="U3133" s="6"/>
      <c r="V3133" s="6"/>
      <c r="W3133" s="6"/>
      <c r="X3133" s="6"/>
      <c r="Y3133" s="6"/>
      <c r="Z3133" s="6"/>
      <c r="AA3133" s="6"/>
      <c r="AB3133" s="6"/>
      <c r="AC3133" s="6"/>
      <c r="AD3133" s="6"/>
      <c r="AE3133" s="6"/>
      <c r="AF3133" s="6"/>
      <c r="AG3133" s="6"/>
      <c r="AH3133" s="6"/>
      <c r="AI3133" s="6"/>
      <c r="AJ3133" s="6"/>
      <c r="AK3133" s="6"/>
      <c r="AL3133" s="6"/>
      <c r="AM3133" s="6"/>
    </row>
    <row r="3134">
      <c r="A3134" s="6"/>
      <c r="B3134" s="6"/>
      <c r="C3134" s="6"/>
      <c r="D3134" s="6"/>
      <c r="E3134" s="6"/>
      <c r="F3134" s="6"/>
      <c r="G3134" s="6"/>
      <c r="H3134" s="6"/>
      <c r="I3134" s="6"/>
      <c r="J3134" s="6"/>
      <c r="K3134" s="6"/>
      <c r="L3134" s="6"/>
      <c r="M3134" s="6"/>
      <c r="N3134" s="6"/>
      <c r="O3134" s="6"/>
      <c r="P3134" s="6"/>
      <c r="Q3134" s="6"/>
      <c r="R3134" s="6"/>
      <c r="S3134" s="6"/>
      <c r="T3134" s="6"/>
      <c r="U3134" s="6"/>
      <c r="V3134" s="6"/>
      <c r="W3134" s="6"/>
      <c r="X3134" s="6"/>
      <c r="Y3134" s="6"/>
      <c r="Z3134" s="6"/>
      <c r="AA3134" s="6"/>
      <c r="AB3134" s="6"/>
      <c r="AC3134" s="6"/>
      <c r="AD3134" s="6"/>
      <c r="AE3134" s="6"/>
      <c r="AF3134" s="6"/>
      <c r="AG3134" s="6"/>
      <c r="AH3134" s="6"/>
      <c r="AI3134" s="6"/>
      <c r="AJ3134" s="6"/>
      <c r="AK3134" s="6"/>
      <c r="AL3134" s="6"/>
      <c r="AM3134" s="6"/>
    </row>
    <row r="3135">
      <c r="A3135" s="6"/>
      <c r="B3135" s="6"/>
      <c r="C3135" s="6"/>
      <c r="D3135" s="6"/>
      <c r="E3135" s="6"/>
      <c r="F3135" s="6"/>
      <c r="G3135" s="6"/>
      <c r="H3135" s="6"/>
      <c r="I3135" s="6"/>
      <c r="J3135" s="6"/>
      <c r="K3135" s="6"/>
      <c r="L3135" s="6"/>
      <c r="M3135" s="6"/>
      <c r="N3135" s="6"/>
      <c r="O3135" s="6"/>
      <c r="P3135" s="6"/>
      <c r="Q3135" s="6"/>
      <c r="R3135" s="6"/>
      <c r="S3135" s="6"/>
      <c r="T3135" s="6"/>
      <c r="U3135" s="6"/>
      <c r="V3135" s="6"/>
      <c r="W3135" s="6"/>
      <c r="X3135" s="6"/>
      <c r="Y3135" s="6"/>
      <c r="Z3135" s="6"/>
      <c r="AA3135" s="6"/>
      <c r="AB3135" s="6"/>
      <c r="AC3135" s="6"/>
      <c r="AD3135" s="6"/>
      <c r="AE3135" s="6"/>
      <c r="AF3135" s="6"/>
      <c r="AG3135" s="6"/>
      <c r="AH3135" s="6"/>
      <c r="AI3135" s="6"/>
      <c r="AJ3135" s="6"/>
      <c r="AK3135" s="6"/>
      <c r="AL3135" s="6"/>
      <c r="AM3135" s="6"/>
    </row>
    <row r="3136">
      <c r="A3136" s="6"/>
      <c r="B3136" s="6"/>
      <c r="C3136" s="6"/>
      <c r="D3136" s="6"/>
      <c r="E3136" s="6"/>
      <c r="F3136" s="6"/>
      <c r="G3136" s="6"/>
      <c r="H3136" s="6"/>
      <c r="I3136" s="6"/>
      <c r="J3136" s="6"/>
      <c r="K3136" s="6"/>
      <c r="L3136" s="6"/>
      <c r="M3136" s="6"/>
      <c r="N3136" s="6"/>
      <c r="O3136" s="6"/>
      <c r="P3136" s="6"/>
      <c r="Q3136" s="6"/>
      <c r="R3136" s="6"/>
      <c r="S3136" s="6"/>
      <c r="T3136" s="6"/>
      <c r="U3136" s="6"/>
      <c r="V3136" s="6"/>
      <c r="W3136" s="6"/>
      <c r="X3136" s="6"/>
      <c r="Y3136" s="6"/>
      <c r="Z3136" s="6"/>
      <c r="AA3136" s="6"/>
      <c r="AB3136" s="6"/>
      <c r="AC3136" s="6"/>
      <c r="AD3136" s="6"/>
      <c r="AE3136" s="6"/>
      <c r="AF3136" s="6"/>
      <c r="AG3136" s="6"/>
      <c r="AH3136" s="6"/>
      <c r="AI3136" s="6"/>
      <c r="AJ3136" s="6"/>
      <c r="AK3136" s="6"/>
      <c r="AL3136" s="6"/>
      <c r="AM3136" s="6"/>
    </row>
    <row r="3137">
      <c r="A3137" s="6"/>
      <c r="B3137" s="6"/>
      <c r="C3137" s="6"/>
      <c r="D3137" s="6"/>
      <c r="E3137" s="6"/>
      <c r="F3137" s="6"/>
      <c r="G3137" s="6"/>
      <c r="H3137" s="6"/>
      <c r="I3137" s="6"/>
      <c r="J3137" s="6"/>
      <c r="K3137" s="6"/>
      <c r="L3137" s="6"/>
      <c r="M3137" s="6"/>
      <c r="N3137" s="6"/>
      <c r="O3137" s="6"/>
      <c r="P3137" s="6"/>
      <c r="Q3137" s="6"/>
      <c r="R3137" s="6"/>
      <c r="S3137" s="6"/>
      <c r="T3137" s="6"/>
      <c r="U3137" s="6"/>
      <c r="V3137" s="6"/>
      <c r="W3137" s="6"/>
      <c r="X3137" s="6"/>
      <c r="Y3137" s="6"/>
      <c r="Z3137" s="6"/>
      <c r="AA3137" s="6"/>
      <c r="AB3137" s="6"/>
      <c r="AC3137" s="6"/>
      <c r="AD3137" s="6"/>
      <c r="AE3137" s="6"/>
      <c r="AF3137" s="6"/>
      <c r="AG3137" s="6"/>
      <c r="AH3137" s="6"/>
      <c r="AI3137" s="6"/>
      <c r="AJ3137" s="6"/>
      <c r="AK3137" s="6"/>
      <c r="AL3137" s="6"/>
      <c r="AM3137" s="6"/>
    </row>
    <row r="3138">
      <c r="A3138" s="6"/>
      <c r="B3138" s="6"/>
      <c r="C3138" s="6"/>
      <c r="D3138" s="6"/>
      <c r="E3138" s="6"/>
      <c r="F3138" s="6"/>
      <c r="G3138" s="6"/>
      <c r="H3138" s="6"/>
      <c r="I3138" s="6"/>
      <c r="J3138" s="6"/>
      <c r="K3138" s="6"/>
      <c r="L3138" s="6"/>
      <c r="M3138" s="6"/>
      <c r="N3138" s="6"/>
      <c r="O3138" s="6"/>
      <c r="P3138" s="6"/>
      <c r="Q3138" s="6"/>
      <c r="R3138" s="6"/>
      <c r="S3138" s="6"/>
      <c r="T3138" s="6"/>
      <c r="U3138" s="6"/>
      <c r="V3138" s="6"/>
      <c r="W3138" s="6"/>
      <c r="X3138" s="6"/>
      <c r="Y3138" s="6"/>
      <c r="Z3138" s="6"/>
      <c r="AA3138" s="6"/>
      <c r="AB3138" s="6"/>
      <c r="AC3138" s="6"/>
      <c r="AD3138" s="6"/>
      <c r="AE3138" s="6"/>
      <c r="AF3138" s="6"/>
      <c r="AG3138" s="6"/>
      <c r="AH3138" s="6"/>
      <c r="AI3138" s="6"/>
      <c r="AJ3138" s="6"/>
      <c r="AK3138" s="6"/>
      <c r="AL3138" s="6"/>
      <c r="AM3138" s="6"/>
    </row>
    <row r="3139">
      <c r="A3139" s="6"/>
      <c r="B3139" s="6"/>
      <c r="C3139" s="6"/>
      <c r="D3139" s="6"/>
      <c r="E3139" s="6"/>
      <c r="F3139" s="6"/>
      <c r="G3139" s="6"/>
      <c r="H3139" s="6"/>
      <c r="I3139" s="6"/>
      <c r="J3139" s="6"/>
      <c r="K3139" s="6"/>
      <c r="L3139" s="6"/>
      <c r="M3139" s="6"/>
      <c r="N3139" s="6"/>
      <c r="O3139" s="6"/>
      <c r="P3139" s="6"/>
      <c r="Q3139" s="6"/>
      <c r="R3139" s="6"/>
      <c r="S3139" s="6"/>
      <c r="T3139" s="6"/>
      <c r="U3139" s="6"/>
      <c r="V3139" s="6"/>
      <c r="W3139" s="6"/>
      <c r="X3139" s="6"/>
      <c r="Y3139" s="6"/>
      <c r="Z3139" s="6"/>
      <c r="AA3139" s="6"/>
      <c r="AB3139" s="6"/>
      <c r="AC3139" s="6"/>
      <c r="AD3139" s="6"/>
      <c r="AE3139" s="6"/>
      <c r="AF3139" s="6"/>
      <c r="AG3139" s="6"/>
      <c r="AH3139" s="6"/>
      <c r="AI3139" s="6"/>
      <c r="AJ3139" s="6"/>
      <c r="AK3139" s="6"/>
      <c r="AL3139" s="6"/>
      <c r="AM3139" s="6"/>
    </row>
    <row r="3140">
      <c r="A3140" s="6"/>
      <c r="B3140" s="6"/>
      <c r="C3140" s="6"/>
      <c r="D3140" s="6"/>
      <c r="E3140" s="6"/>
      <c r="F3140" s="6"/>
      <c r="G3140" s="6"/>
      <c r="H3140" s="6"/>
      <c r="I3140" s="6"/>
      <c r="J3140" s="6"/>
      <c r="K3140" s="6"/>
      <c r="L3140" s="6"/>
      <c r="M3140" s="6"/>
      <c r="N3140" s="6"/>
      <c r="O3140" s="6"/>
      <c r="P3140" s="6"/>
      <c r="Q3140" s="6"/>
      <c r="R3140" s="6"/>
      <c r="S3140" s="6"/>
      <c r="T3140" s="6"/>
      <c r="U3140" s="6"/>
      <c r="V3140" s="6"/>
      <c r="W3140" s="6"/>
      <c r="X3140" s="6"/>
      <c r="Y3140" s="6"/>
      <c r="Z3140" s="6"/>
      <c r="AA3140" s="6"/>
      <c r="AB3140" s="6"/>
      <c r="AC3140" s="6"/>
      <c r="AD3140" s="6"/>
      <c r="AE3140" s="6"/>
      <c r="AF3140" s="6"/>
      <c r="AG3140" s="6"/>
      <c r="AH3140" s="6"/>
      <c r="AI3140" s="6"/>
      <c r="AJ3140" s="6"/>
      <c r="AK3140" s="6"/>
      <c r="AL3140" s="6"/>
      <c r="AM3140" s="6"/>
    </row>
    <row r="3141">
      <c r="A3141" s="6"/>
      <c r="B3141" s="6"/>
      <c r="C3141" s="6"/>
      <c r="D3141" s="6"/>
      <c r="E3141" s="6"/>
      <c r="F3141" s="6"/>
      <c r="G3141" s="6"/>
      <c r="H3141" s="6"/>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c r="AG3141" s="6"/>
      <c r="AH3141" s="6"/>
      <c r="AI3141" s="6"/>
      <c r="AJ3141" s="6"/>
      <c r="AK3141" s="6"/>
      <c r="AL3141" s="6"/>
      <c r="AM3141" s="6"/>
    </row>
    <row r="3142">
      <c r="A3142" s="6"/>
      <c r="B3142" s="6"/>
      <c r="C3142" s="6"/>
      <c r="D3142" s="6"/>
      <c r="E3142" s="6"/>
      <c r="F3142" s="6"/>
      <c r="G3142" s="6"/>
      <c r="H3142" s="6"/>
      <c r="I3142" s="6"/>
      <c r="J3142" s="6"/>
      <c r="K3142" s="6"/>
      <c r="L3142" s="6"/>
      <c r="M3142" s="6"/>
      <c r="N3142" s="6"/>
      <c r="O3142" s="6"/>
      <c r="P3142" s="6"/>
      <c r="Q3142" s="6"/>
      <c r="R3142" s="6"/>
      <c r="S3142" s="6"/>
      <c r="T3142" s="6"/>
      <c r="U3142" s="6"/>
      <c r="V3142" s="6"/>
      <c r="W3142" s="6"/>
      <c r="X3142" s="6"/>
      <c r="Y3142" s="6"/>
      <c r="Z3142" s="6"/>
      <c r="AA3142" s="6"/>
      <c r="AB3142" s="6"/>
      <c r="AC3142" s="6"/>
      <c r="AD3142" s="6"/>
      <c r="AE3142" s="6"/>
      <c r="AF3142" s="6"/>
      <c r="AG3142" s="6"/>
      <c r="AH3142" s="6"/>
      <c r="AI3142" s="6"/>
      <c r="AJ3142" s="6"/>
      <c r="AK3142" s="6"/>
      <c r="AL3142" s="6"/>
      <c r="AM3142" s="6"/>
    </row>
    <row r="3143">
      <c r="A3143" s="6"/>
      <c r="B3143" s="6"/>
      <c r="C3143" s="6"/>
      <c r="D3143" s="6"/>
      <c r="E3143" s="6"/>
      <c r="F3143" s="6"/>
      <c r="G3143" s="6"/>
      <c r="H3143" s="6"/>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c r="AG3143" s="6"/>
      <c r="AH3143" s="6"/>
      <c r="AI3143" s="6"/>
      <c r="AJ3143" s="6"/>
      <c r="AK3143" s="6"/>
      <c r="AL3143" s="6"/>
      <c r="AM3143" s="6"/>
    </row>
    <row r="3144">
      <c r="A3144" s="6"/>
      <c r="B3144" s="6"/>
      <c r="C3144" s="6"/>
      <c r="D3144" s="6"/>
      <c r="E3144" s="6"/>
      <c r="F3144" s="6"/>
      <c r="G3144" s="6"/>
      <c r="H3144" s="6"/>
      <c r="I3144" s="6"/>
      <c r="J3144" s="6"/>
      <c r="K3144" s="6"/>
      <c r="L3144" s="6"/>
      <c r="M3144" s="6"/>
      <c r="N3144" s="6"/>
      <c r="O3144" s="6"/>
      <c r="P3144" s="6"/>
      <c r="Q3144" s="6"/>
      <c r="R3144" s="6"/>
      <c r="S3144" s="6"/>
      <c r="T3144" s="6"/>
      <c r="U3144" s="6"/>
      <c r="V3144" s="6"/>
      <c r="W3144" s="6"/>
      <c r="X3144" s="6"/>
      <c r="Y3144" s="6"/>
      <c r="Z3144" s="6"/>
      <c r="AA3144" s="6"/>
      <c r="AB3144" s="6"/>
      <c r="AC3144" s="6"/>
      <c r="AD3144" s="6"/>
      <c r="AE3144" s="6"/>
      <c r="AF3144" s="6"/>
      <c r="AG3144" s="6"/>
      <c r="AH3144" s="6"/>
      <c r="AI3144" s="6"/>
      <c r="AJ3144" s="6"/>
      <c r="AK3144" s="6"/>
      <c r="AL3144" s="6"/>
      <c r="AM3144" s="6"/>
    </row>
    <row r="3145">
      <c r="A3145" s="6"/>
      <c r="B3145" s="6"/>
      <c r="C3145" s="6"/>
      <c r="D3145" s="6"/>
      <c r="E3145" s="6"/>
      <c r="F3145" s="6"/>
      <c r="G3145" s="6"/>
      <c r="H3145" s="6"/>
      <c r="I3145" s="6"/>
      <c r="J3145" s="6"/>
      <c r="K3145" s="6"/>
      <c r="L3145" s="6"/>
      <c r="M3145" s="6"/>
      <c r="N3145" s="6"/>
      <c r="O3145" s="6"/>
      <c r="P3145" s="6"/>
      <c r="Q3145" s="6"/>
      <c r="R3145" s="6"/>
      <c r="S3145" s="6"/>
      <c r="T3145" s="6"/>
      <c r="U3145" s="6"/>
      <c r="V3145" s="6"/>
      <c r="W3145" s="6"/>
      <c r="X3145" s="6"/>
      <c r="Y3145" s="6"/>
      <c r="Z3145" s="6"/>
      <c r="AA3145" s="6"/>
      <c r="AB3145" s="6"/>
      <c r="AC3145" s="6"/>
      <c r="AD3145" s="6"/>
      <c r="AE3145" s="6"/>
      <c r="AF3145" s="6"/>
      <c r="AG3145" s="6"/>
      <c r="AH3145" s="6"/>
      <c r="AI3145" s="6"/>
      <c r="AJ3145" s="6"/>
      <c r="AK3145" s="6"/>
      <c r="AL3145" s="6"/>
      <c r="AM3145" s="6"/>
    </row>
    <row r="3146">
      <c r="A3146" s="6"/>
      <c r="B3146" s="6"/>
      <c r="C3146" s="6"/>
      <c r="D3146" s="6"/>
      <c r="E3146" s="6"/>
      <c r="F3146" s="6"/>
      <c r="G3146" s="6"/>
      <c r="H3146" s="6"/>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6"/>
      <c r="AG3146" s="6"/>
      <c r="AH3146" s="6"/>
      <c r="AI3146" s="6"/>
      <c r="AJ3146" s="6"/>
      <c r="AK3146" s="6"/>
      <c r="AL3146" s="6"/>
      <c r="AM3146" s="6"/>
    </row>
    <row r="3147">
      <c r="A3147" s="6"/>
      <c r="B3147" s="6"/>
      <c r="C3147" s="6"/>
      <c r="D3147" s="6"/>
      <c r="E3147" s="6"/>
      <c r="F3147" s="6"/>
      <c r="G3147" s="6"/>
      <c r="H3147" s="6"/>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c r="AG3147" s="6"/>
      <c r="AH3147" s="6"/>
      <c r="AI3147" s="6"/>
      <c r="AJ3147" s="6"/>
      <c r="AK3147" s="6"/>
      <c r="AL3147" s="6"/>
      <c r="AM3147" s="6"/>
    </row>
    <row r="3148">
      <c r="A3148" s="6"/>
      <c r="B3148" s="6"/>
      <c r="C3148" s="6"/>
      <c r="D3148" s="6"/>
      <c r="E3148" s="6"/>
      <c r="F3148" s="6"/>
      <c r="G3148" s="6"/>
      <c r="H3148" s="6"/>
      <c r="I3148" s="6"/>
      <c r="J3148" s="6"/>
      <c r="K3148" s="6"/>
      <c r="L3148" s="6"/>
      <c r="M3148" s="6"/>
      <c r="N3148" s="6"/>
      <c r="O3148" s="6"/>
      <c r="P3148" s="6"/>
      <c r="Q3148" s="6"/>
      <c r="R3148" s="6"/>
      <c r="S3148" s="6"/>
      <c r="T3148" s="6"/>
      <c r="U3148" s="6"/>
      <c r="V3148" s="6"/>
      <c r="W3148" s="6"/>
      <c r="X3148" s="6"/>
      <c r="Y3148" s="6"/>
      <c r="Z3148" s="6"/>
      <c r="AA3148" s="6"/>
      <c r="AB3148" s="6"/>
      <c r="AC3148" s="6"/>
      <c r="AD3148" s="6"/>
      <c r="AE3148" s="6"/>
      <c r="AF3148" s="6"/>
      <c r="AG3148" s="6"/>
      <c r="AH3148" s="6"/>
      <c r="AI3148" s="6"/>
      <c r="AJ3148" s="6"/>
      <c r="AK3148" s="6"/>
      <c r="AL3148" s="6"/>
      <c r="AM3148" s="6"/>
    </row>
    <row r="3149">
      <c r="A3149" s="6"/>
      <c r="B3149" s="6"/>
      <c r="C3149" s="6"/>
      <c r="D3149" s="6"/>
      <c r="E3149" s="6"/>
      <c r="F3149" s="6"/>
      <c r="G3149" s="6"/>
      <c r="H3149" s="6"/>
      <c r="I3149" s="6"/>
      <c r="J3149" s="6"/>
      <c r="K3149" s="6"/>
      <c r="L3149" s="6"/>
      <c r="M3149" s="6"/>
      <c r="N3149" s="6"/>
      <c r="O3149" s="6"/>
      <c r="P3149" s="6"/>
      <c r="Q3149" s="6"/>
      <c r="R3149" s="6"/>
      <c r="S3149" s="6"/>
      <c r="T3149" s="6"/>
      <c r="U3149" s="6"/>
      <c r="V3149" s="6"/>
      <c r="W3149" s="6"/>
      <c r="X3149" s="6"/>
      <c r="Y3149" s="6"/>
      <c r="Z3149" s="6"/>
      <c r="AA3149" s="6"/>
      <c r="AB3149" s="6"/>
      <c r="AC3149" s="6"/>
      <c r="AD3149" s="6"/>
      <c r="AE3149" s="6"/>
      <c r="AF3149" s="6"/>
      <c r="AG3149" s="6"/>
      <c r="AH3149" s="6"/>
      <c r="AI3149" s="6"/>
      <c r="AJ3149" s="6"/>
      <c r="AK3149" s="6"/>
      <c r="AL3149" s="6"/>
      <c r="AM3149" s="6"/>
    </row>
    <row r="3150">
      <c r="A3150" s="6"/>
      <c r="B3150" s="6"/>
      <c r="C3150" s="6"/>
      <c r="D3150" s="6"/>
      <c r="E3150" s="6"/>
      <c r="F3150" s="6"/>
      <c r="G3150" s="6"/>
      <c r="H3150" s="6"/>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c r="AG3150" s="6"/>
      <c r="AH3150" s="6"/>
      <c r="AI3150" s="6"/>
      <c r="AJ3150" s="6"/>
      <c r="AK3150" s="6"/>
      <c r="AL3150" s="6"/>
      <c r="AM3150" s="6"/>
    </row>
    <row r="3151">
      <c r="A3151" s="6"/>
      <c r="B3151" s="6"/>
      <c r="C3151" s="6"/>
      <c r="D3151" s="6"/>
      <c r="E3151" s="6"/>
      <c r="F3151" s="6"/>
      <c r="G3151" s="6"/>
      <c r="H3151" s="6"/>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c r="AG3151" s="6"/>
      <c r="AH3151" s="6"/>
      <c r="AI3151" s="6"/>
      <c r="AJ3151" s="6"/>
      <c r="AK3151" s="6"/>
      <c r="AL3151" s="6"/>
      <c r="AM3151" s="6"/>
    </row>
    <row r="3152">
      <c r="A3152" s="6"/>
      <c r="B3152" s="6"/>
      <c r="C3152" s="6"/>
      <c r="D3152" s="6"/>
      <c r="E3152" s="6"/>
      <c r="F3152" s="6"/>
      <c r="G3152" s="6"/>
      <c r="H3152" s="6"/>
      <c r="I3152" s="6"/>
      <c r="J3152" s="6"/>
      <c r="K3152" s="6"/>
      <c r="L3152" s="6"/>
      <c r="M3152" s="6"/>
      <c r="N3152" s="6"/>
      <c r="O3152" s="6"/>
      <c r="P3152" s="6"/>
      <c r="Q3152" s="6"/>
      <c r="R3152" s="6"/>
      <c r="S3152" s="6"/>
      <c r="T3152" s="6"/>
      <c r="U3152" s="6"/>
      <c r="V3152" s="6"/>
      <c r="W3152" s="6"/>
      <c r="X3152" s="6"/>
      <c r="Y3152" s="6"/>
      <c r="Z3152" s="6"/>
      <c r="AA3152" s="6"/>
      <c r="AB3152" s="6"/>
      <c r="AC3152" s="6"/>
      <c r="AD3152" s="6"/>
      <c r="AE3152" s="6"/>
      <c r="AF3152" s="6"/>
      <c r="AG3152" s="6"/>
      <c r="AH3152" s="6"/>
      <c r="AI3152" s="6"/>
      <c r="AJ3152" s="6"/>
      <c r="AK3152" s="6"/>
      <c r="AL3152" s="6"/>
      <c r="AM3152" s="6"/>
    </row>
    <row r="3153">
      <c r="A3153" s="6"/>
      <c r="B3153" s="6"/>
      <c r="C3153" s="6"/>
      <c r="D3153" s="6"/>
      <c r="E3153" s="6"/>
      <c r="F3153" s="6"/>
      <c r="G3153" s="6"/>
      <c r="H3153" s="6"/>
      <c r="I3153" s="6"/>
      <c r="J3153" s="6"/>
      <c r="K3153" s="6"/>
      <c r="L3153" s="6"/>
      <c r="M3153" s="6"/>
      <c r="N3153" s="6"/>
      <c r="O3153" s="6"/>
      <c r="P3153" s="6"/>
      <c r="Q3153" s="6"/>
      <c r="R3153" s="6"/>
      <c r="S3153" s="6"/>
      <c r="T3153" s="6"/>
      <c r="U3153" s="6"/>
      <c r="V3153" s="6"/>
      <c r="W3153" s="6"/>
      <c r="X3153" s="6"/>
      <c r="Y3153" s="6"/>
      <c r="Z3153" s="6"/>
      <c r="AA3153" s="6"/>
      <c r="AB3153" s="6"/>
      <c r="AC3153" s="6"/>
      <c r="AD3153" s="6"/>
      <c r="AE3153" s="6"/>
      <c r="AF3153" s="6"/>
      <c r="AG3153" s="6"/>
      <c r="AH3153" s="6"/>
      <c r="AI3153" s="6"/>
      <c r="AJ3153" s="6"/>
      <c r="AK3153" s="6"/>
      <c r="AL3153" s="6"/>
      <c r="AM3153" s="6"/>
    </row>
    <row r="3154">
      <c r="A3154" s="6"/>
      <c r="B3154" s="6"/>
      <c r="C3154" s="6"/>
      <c r="D3154" s="6"/>
      <c r="E3154" s="6"/>
      <c r="F3154" s="6"/>
      <c r="G3154" s="6"/>
      <c r="H3154" s="6"/>
      <c r="I3154" s="6"/>
      <c r="J3154" s="6"/>
      <c r="K3154" s="6"/>
      <c r="L3154" s="6"/>
      <c r="M3154" s="6"/>
      <c r="N3154" s="6"/>
      <c r="O3154" s="6"/>
      <c r="P3154" s="6"/>
      <c r="Q3154" s="6"/>
      <c r="R3154" s="6"/>
      <c r="S3154" s="6"/>
      <c r="T3154" s="6"/>
      <c r="U3154" s="6"/>
      <c r="V3154" s="6"/>
      <c r="W3154" s="6"/>
      <c r="X3154" s="6"/>
      <c r="Y3154" s="6"/>
      <c r="Z3154" s="6"/>
      <c r="AA3154" s="6"/>
      <c r="AB3154" s="6"/>
      <c r="AC3154" s="6"/>
      <c r="AD3154" s="6"/>
      <c r="AE3154" s="6"/>
      <c r="AF3154" s="6"/>
      <c r="AG3154" s="6"/>
      <c r="AH3154" s="6"/>
      <c r="AI3154" s="6"/>
      <c r="AJ3154" s="6"/>
      <c r="AK3154" s="6"/>
      <c r="AL3154" s="6"/>
      <c r="AM3154" s="6"/>
    </row>
    <row r="3155">
      <c r="A3155" s="6"/>
      <c r="B3155" s="6"/>
      <c r="C3155" s="6"/>
      <c r="D3155" s="6"/>
      <c r="E3155" s="6"/>
      <c r="F3155" s="6"/>
      <c r="G3155" s="6"/>
      <c r="H3155" s="6"/>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c r="AG3155" s="6"/>
      <c r="AH3155" s="6"/>
      <c r="AI3155" s="6"/>
      <c r="AJ3155" s="6"/>
      <c r="AK3155" s="6"/>
      <c r="AL3155" s="6"/>
      <c r="AM3155" s="6"/>
    </row>
    <row r="3156">
      <c r="A3156" s="6"/>
      <c r="B3156" s="6"/>
      <c r="C3156" s="6"/>
      <c r="D3156" s="6"/>
      <c r="E3156" s="6"/>
      <c r="F3156" s="6"/>
      <c r="G3156" s="6"/>
      <c r="H3156" s="6"/>
      <c r="I3156" s="6"/>
      <c r="J3156" s="6"/>
      <c r="K3156" s="6"/>
      <c r="L3156" s="6"/>
      <c r="M3156" s="6"/>
      <c r="N3156" s="6"/>
      <c r="O3156" s="6"/>
      <c r="P3156" s="6"/>
      <c r="Q3156" s="6"/>
      <c r="R3156" s="6"/>
      <c r="S3156" s="6"/>
      <c r="T3156" s="6"/>
      <c r="U3156" s="6"/>
      <c r="V3156" s="6"/>
      <c r="W3156" s="6"/>
      <c r="X3156" s="6"/>
      <c r="Y3156" s="6"/>
      <c r="Z3156" s="6"/>
      <c r="AA3156" s="6"/>
      <c r="AB3156" s="6"/>
      <c r="AC3156" s="6"/>
      <c r="AD3156" s="6"/>
      <c r="AE3156" s="6"/>
      <c r="AF3156" s="6"/>
      <c r="AG3156" s="6"/>
      <c r="AH3156" s="6"/>
      <c r="AI3156" s="6"/>
      <c r="AJ3156" s="6"/>
      <c r="AK3156" s="6"/>
      <c r="AL3156" s="6"/>
      <c r="AM3156" s="6"/>
    </row>
    <row r="3157">
      <c r="A3157" s="6"/>
      <c r="B3157" s="6"/>
      <c r="C3157" s="6"/>
      <c r="D3157" s="6"/>
      <c r="E3157" s="6"/>
      <c r="F3157" s="6"/>
      <c r="G3157" s="6"/>
      <c r="H3157" s="6"/>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c r="AG3157" s="6"/>
      <c r="AH3157" s="6"/>
      <c r="AI3157" s="6"/>
      <c r="AJ3157" s="6"/>
      <c r="AK3157" s="6"/>
      <c r="AL3157" s="6"/>
      <c r="AM3157" s="6"/>
    </row>
    <row r="3158">
      <c r="A3158" s="6"/>
      <c r="B3158" s="6"/>
      <c r="C3158" s="6"/>
      <c r="D3158" s="6"/>
      <c r="E3158" s="6"/>
      <c r="F3158" s="6"/>
      <c r="G3158" s="6"/>
      <c r="H3158" s="6"/>
      <c r="I3158" s="6"/>
      <c r="J3158" s="6"/>
      <c r="K3158" s="6"/>
      <c r="L3158" s="6"/>
      <c r="M3158" s="6"/>
      <c r="N3158" s="6"/>
      <c r="O3158" s="6"/>
      <c r="P3158" s="6"/>
      <c r="Q3158" s="6"/>
      <c r="R3158" s="6"/>
      <c r="S3158" s="6"/>
      <c r="T3158" s="6"/>
      <c r="U3158" s="6"/>
      <c r="V3158" s="6"/>
      <c r="W3158" s="6"/>
      <c r="X3158" s="6"/>
      <c r="Y3158" s="6"/>
      <c r="Z3158" s="6"/>
      <c r="AA3158" s="6"/>
      <c r="AB3158" s="6"/>
      <c r="AC3158" s="6"/>
      <c r="AD3158" s="6"/>
      <c r="AE3158" s="6"/>
      <c r="AF3158" s="6"/>
      <c r="AG3158" s="6"/>
      <c r="AH3158" s="6"/>
      <c r="AI3158" s="6"/>
      <c r="AJ3158" s="6"/>
      <c r="AK3158" s="6"/>
      <c r="AL3158" s="6"/>
      <c r="AM3158" s="6"/>
    </row>
    <row r="3159">
      <c r="A3159" s="6"/>
      <c r="B3159" s="6"/>
      <c r="C3159" s="6"/>
      <c r="D3159" s="6"/>
      <c r="E3159" s="6"/>
      <c r="F3159" s="6"/>
      <c r="G3159" s="6"/>
      <c r="H3159" s="6"/>
      <c r="I3159" s="6"/>
      <c r="J3159" s="6"/>
      <c r="K3159" s="6"/>
      <c r="L3159" s="6"/>
      <c r="M3159" s="6"/>
      <c r="N3159" s="6"/>
      <c r="O3159" s="6"/>
      <c r="P3159" s="6"/>
      <c r="Q3159" s="6"/>
      <c r="R3159" s="6"/>
      <c r="S3159" s="6"/>
      <c r="T3159" s="6"/>
      <c r="U3159" s="6"/>
      <c r="V3159" s="6"/>
      <c r="W3159" s="6"/>
      <c r="X3159" s="6"/>
      <c r="Y3159" s="6"/>
      <c r="Z3159" s="6"/>
      <c r="AA3159" s="6"/>
      <c r="AB3159" s="6"/>
      <c r="AC3159" s="6"/>
      <c r="AD3159" s="6"/>
      <c r="AE3159" s="6"/>
      <c r="AF3159" s="6"/>
      <c r="AG3159" s="6"/>
      <c r="AH3159" s="6"/>
      <c r="AI3159" s="6"/>
      <c r="AJ3159" s="6"/>
      <c r="AK3159" s="6"/>
      <c r="AL3159" s="6"/>
      <c r="AM3159" s="6"/>
    </row>
    <row r="3160">
      <c r="A3160" s="6"/>
      <c r="B3160" s="6"/>
      <c r="C3160" s="6"/>
      <c r="D3160" s="6"/>
      <c r="E3160" s="6"/>
      <c r="F3160" s="6"/>
      <c r="G3160" s="6"/>
      <c r="H3160" s="6"/>
      <c r="I3160" s="6"/>
      <c r="J3160" s="6"/>
      <c r="K3160" s="6"/>
      <c r="L3160" s="6"/>
      <c r="M3160" s="6"/>
      <c r="N3160" s="6"/>
      <c r="O3160" s="6"/>
      <c r="P3160" s="6"/>
      <c r="Q3160" s="6"/>
      <c r="R3160" s="6"/>
      <c r="S3160" s="6"/>
      <c r="T3160" s="6"/>
      <c r="U3160" s="6"/>
      <c r="V3160" s="6"/>
      <c r="W3160" s="6"/>
      <c r="X3160" s="6"/>
      <c r="Y3160" s="6"/>
      <c r="Z3160" s="6"/>
      <c r="AA3160" s="6"/>
      <c r="AB3160" s="6"/>
      <c r="AC3160" s="6"/>
      <c r="AD3160" s="6"/>
      <c r="AE3160" s="6"/>
      <c r="AF3160" s="6"/>
      <c r="AG3160" s="6"/>
      <c r="AH3160" s="6"/>
      <c r="AI3160" s="6"/>
      <c r="AJ3160" s="6"/>
      <c r="AK3160" s="6"/>
      <c r="AL3160" s="6"/>
      <c r="AM3160" s="6"/>
    </row>
    <row r="3161">
      <c r="A3161" s="6"/>
      <c r="B3161" s="6"/>
      <c r="C3161" s="6"/>
      <c r="D3161" s="6"/>
      <c r="E3161" s="6"/>
      <c r="F3161" s="6"/>
      <c r="G3161" s="6"/>
      <c r="H3161" s="6"/>
      <c r="I3161" s="6"/>
      <c r="J3161" s="6"/>
      <c r="K3161" s="6"/>
      <c r="L3161" s="6"/>
      <c r="M3161" s="6"/>
      <c r="N3161" s="6"/>
      <c r="O3161" s="6"/>
      <c r="P3161" s="6"/>
      <c r="Q3161" s="6"/>
      <c r="R3161" s="6"/>
      <c r="S3161" s="6"/>
      <c r="T3161" s="6"/>
      <c r="U3161" s="6"/>
      <c r="V3161" s="6"/>
      <c r="W3161" s="6"/>
      <c r="X3161" s="6"/>
      <c r="Y3161" s="6"/>
      <c r="Z3161" s="6"/>
      <c r="AA3161" s="6"/>
      <c r="AB3161" s="6"/>
      <c r="AC3161" s="6"/>
      <c r="AD3161" s="6"/>
      <c r="AE3161" s="6"/>
      <c r="AF3161" s="6"/>
      <c r="AG3161" s="6"/>
      <c r="AH3161" s="6"/>
      <c r="AI3161" s="6"/>
      <c r="AJ3161" s="6"/>
      <c r="AK3161" s="6"/>
      <c r="AL3161" s="6"/>
      <c r="AM3161" s="6"/>
    </row>
    <row r="3162">
      <c r="A3162" s="6"/>
      <c r="B3162" s="6"/>
      <c r="C3162" s="6"/>
      <c r="D3162" s="6"/>
      <c r="E3162" s="6"/>
      <c r="F3162" s="6"/>
      <c r="G3162" s="6"/>
      <c r="H3162" s="6"/>
      <c r="I3162" s="6"/>
      <c r="J3162" s="6"/>
      <c r="K3162" s="6"/>
      <c r="L3162" s="6"/>
      <c r="M3162" s="6"/>
      <c r="N3162" s="6"/>
      <c r="O3162" s="6"/>
      <c r="P3162" s="6"/>
      <c r="Q3162" s="6"/>
      <c r="R3162" s="6"/>
      <c r="S3162" s="6"/>
      <c r="T3162" s="6"/>
      <c r="U3162" s="6"/>
      <c r="V3162" s="6"/>
      <c r="W3162" s="6"/>
      <c r="X3162" s="6"/>
      <c r="Y3162" s="6"/>
      <c r="Z3162" s="6"/>
      <c r="AA3162" s="6"/>
      <c r="AB3162" s="6"/>
      <c r="AC3162" s="6"/>
      <c r="AD3162" s="6"/>
      <c r="AE3162" s="6"/>
      <c r="AF3162" s="6"/>
      <c r="AG3162" s="6"/>
      <c r="AH3162" s="6"/>
      <c r="AI3162" s="6"/>
      <c r="AJ3162" s="6"/>
      <c r="AK3162" s="6"/>
      <c r="AL3162" s="6"/>
      <c r="AM3162" s="6"/>
    </row>
    <row r="3163">
      <c r="A3163" s="6"/>
      <c r="B3163" s="6"/>
      <c r="C3163" s="6"/>
      <c r="D3163" s="6"/>
      <c r="E3163" s="6"/>
      <c r="F3163" s="6"/>
      <c r="G3163" s="6"/>
      <c r="H3163" s="6"/>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c r="AG3163" s="6"/>
      <c r="AH3163" s="6"/>
      <c r="AI3163" s="6"/>
      <c r="AJ3163" s="6"/>
      <c r="AK3163" s="6"/>
      <c r="AL3163" s="6"/>
      <c r="AM3163" s="6"/>
    </row>
    <row r="3164">
      <c r="A3164" s="6"/>
      <c r="B3164" s="6"/>
      <c r="C3164" s="6"/>
      <c r="D3164" s="6"/>
      <c r="E3164" s="6"/>
      <c r="F3164" s="6"/>
      <c r="G3164" s="6"/>
      <c r="H3164" s="6"/>
      <c r="I3164" s="6"/>
      <c r="J3164" s="6"/>
      <c r="K3164" s="6"/>
      <c r="L3164" s="6"/>
      <c r="M3164" s="6"/>
      <c r="N3164" s="6"/>
      <c r="O3164" s="6"/>
      <c r="P3164" s="6"/>
      <c r="Q3164" s="6"/>
      <c r="R3164" s="6"/>
      <c r="S3164" s="6"/>
      <c r="T3164" s="6"/>
      <c r="U3164" s="6"/>
      <c r="V3164" s="6"/>
      <c r="W3164" s="6"/>
      <c r="X3164" s="6"/>
      <c r="Y3164" s="6"/>
      <c r="Z3164" s="6"/>
      <c r="AA3164" s="6"/>
      <c r="AB3164" s="6"/>
      <c r="AC3164" s="6"/>
      <c r="AD3164" s="6"/>
      <c r="AE3164" s="6"/>
      <c r="AF3164" s="6"/>
      <c r="AG3164" s="6"/>
      <c r="AH3164" s="6"/>
      <c r="AI3164" s="6"/>
      <c r="AJ3164" s="6"/>
      <c r="AK3164" s="6"/>
      <c r="AL3164" s="6"/>
      <c r="AM3164" s="6"/>
    </row>
    <row r="3165">
      <c r="A3165" s="6"/>
      <c r="B3165" s="6"/>
      <c r="C3165" s="6"/>
      <c r="D3165" s="6"/>
      <c r="E3165" s="6"/>
      <c r="F3165" s="6"/>
      <c r="G3165" s="6"/>
      <c r="H3165" s="6"/>
      <c r="I3165" s="6"/>
      <c r="J3165" s="6"/>
      <c r="K3165" s="6"/>
      <c r="L3165" s="6"/>
      <c r="M3165" s="6"/>
      <c r="N3165" s="6"/>
      <c r="O3165" s="6"/>
      <c r="P3165" s="6"/>
      <c r="Q3165" s="6"/>
      <c r="R3165" s="6"/>
      <c r="S3165" s="6"/>
      <c r="T3165" s="6"/>
      <c r="U3165" s="6"/>
      <c r="V3165" s="6"/>
      <c r="W3165" s="6"/>
      <c r="X3165" s="6"/>
      <c r="Y3165" s="6"/>
      <c r="Z3165" s="6"/>
      <c r="AA3165" s="6"/>
      <c r="AB3165" s="6"/>
      <c r="AC3165" s="6"/>
      <c r="AD3165" s="6"/>
      <c r="AE3165" s="6"/>
      <c r="AF3165" s="6"/>
      <c r="AG3165" s="6"/>
      <c r="AH3165" s="6"/>
      <c r="AI3165" s="6"/>
      <c r="AJ3165" s="6"/>
      <c r="AK3165" s="6"/>
      <c r="AL3165" s="6"/>
      <c r="AM3165" s="6"/>
    </row>
    <row r="3166">
      <c r="A3166" s="6"/>
      <c r="B3166" s="6"/>
      <c r="C3166" s="6"/>
      <c r="D3166" s="6"/>
      <c r="E3166" s="6"/>
      <c r="F3166" s="6"/>
      <c r="G3166" s="6"/>
      <c r="H3166" s="6"/>
      <c r="I3166" s="6"/>
      <c r="J3166" s="6"/>
      <c r="K3166" s="6"/>
      <c r="L3166" s="6"/>
      <c r="M3166" s="6"/>
      <c r="N3166" s="6"/>
      <c r="O3166" s="6"/>
      <c r="P3166" s="6"/>
      <c r="Q3166" s="6"/>
      <c r="R3166" s="6"/>
      <c r="S3166" s="6"/>
      <c r="T3166" s="6"/>
      <c r="U3166" s="6"/>
      <c r="V3166" s="6"/>
      <c r="W3166" s="6"/>
      <c r="X3166" s="6"/>
      <c r="Y3166" s="6"/>
      <c r="Z3166" s="6"/>
      <c r="AA3166" s="6"/>
      <c r="AB3166" s="6"/>
      <c r="AC3166" s="6"/>
      <c r="AD3166" s="6"/>
      <c r="AE3166" s="6"/>
      <c r="AF3166" s="6"/>
      <c r="AG3166" s="6"/>
      <c r="AH3166" s="6"/>
      <c r="AI3166" s="6"/>
      <c r="AJ3166" s="6"/>
      <c r="AK3166" s="6"/>
      <c r="AL3166" s="6"/>
      <c r="AM3166" s="6"/>
    </row>
    <row r="3167">
      <c r="A3167" s="6"/>
      <c r="B3167" s="6"/>
      <c r="C3167" s="6"/>
      <c r="D3167" s="6"/>
      <c r="E3167" s="6"/>
      <c r="F3167" s="6"/>
      <c r="G3167" s="6"/>
      <c r="H3167" s="6"/>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c r="AG3167" s="6"/>
      <c r="AH3167" s="6"/>
      <c r="AI3167" s="6"/>
      <c r="AJ3167" s="6"/>
      <c r="AK3167" s="6"/>
      <c r="AL3167" s="6"/>
      <c r="AM3167" s="6"/>
    </row>
    <row r="3168">
      <c r="A3168" s="6"/>
      <c r="B3168" s="6"/>
      <c r="C3168" s="6"/>
      <c r="D3168" s="6"/>
      <c r="E3168" s="6"/>
      <c r="F3168" s="6"/>
      <c r="G3168" s="6"/>
      <c r="H3168" s="6"/>
      <c r="I3168" s="6"/>
      <c r="J3168" s="6"/>
      <c r="K3168" s="6"/>
      <c r="L3168" s="6"/>
      <c r="M3168" s="6"/>
      <c r="N3168" s="6"/>
      <c r="O3168" s="6"/>
      <c r="P3168" s="6"/>
      <c r="Q3168" s="6"/>
      <c r="R3168" s="6"/>
      <c r="S3168" s="6"/>
      <c r="T3168" s="6"/>
      <c r="U3168" s="6"/>
      <c r="V3168" s="6"/>
      <c r="W3168" s="6"/>
      <c r="X3168" s="6"/>
      <c r="Y3168" s="6"/>
      <c r="Z3168" s="6"/>
      <c r="AA3168" s="6"/>
      <c r="AB3168" s="6"/>
      <c r="AC3168" s="6"/>
      <c r="AD3168" s="6"/>
      <c r="AE3168" s="6"/>
      <c r="AF3168" s="6"/>
      <c r="AG3168" s="6"/>
      <c r="AH3168" s="6"/>
      <c r="AI3168" s="6"/>
      <c r="AJ3168" s="6"/>
      <c r="AK3168" s="6"/>
      <c r="AL3168" s="6"/>
      <c r="AM3168" s="6"/>
    </row>
    <row r="3169">
      <c r="A3169" s="6"/>
      <c r="B3169" s="6"/>
      <c r="C3169" s="6"/>
      <c r="D3169" s="6"/>
      <c r="E3169" s="6"/>
      <c r="F3169" s="6"/>
      <c r="G3169" s="6"/>
      <c r="H3169" s="6"/>
      <c r="I3169" s="6"/>
      <c r="J3169" s="6"/>
      <c r="K3169" s="6"/>
      <c r="L3169" s="6"/>
      <c r="M3169" s="6"/>
      <c r="N3169" s="6"/>
      <c r="O3169" s="6"/>
      <c r="P3169" s="6"/>
      <c r="Q3169" s="6"/>
      <c r="R3169" s="6"/>
      <c r="S3169" s="6"/>
      <c r="T3169" s="6"/>
      <c r="U3169" s="6"/>
      <c r="V3169" s="6"/>
      <c r="W3169" s="6"/>
      <c r="X3169" s="6"/>
      <c r="Y3169" s="6"/>
      <c r="Z3169" s="6"/>
      <c r="AA3169" s="6"/>
      <c r="AB3169" s="6"/>
      <c r="AC3169" s="6"/>
      <c r="AD3169" s="6"/>
      <c r="AE3169" s="6"/>
      <c r="AF3169" s="6"/>
      <c r="AG3169" s="6"/>
      <c r="AH3169" s="6"/>
      <c r="AI3169" s="6"/>
      <c r="AJ3169" s="6"/>
      <c r="AK3169" s="6"/>
      <c r="AL3169" s="6"/>
      <c r="AM3169" s="6"/>
    </row>
    <row r="3170">
      <c r="A3170" s="6"/>
      <c r="B3170" s="6"/>
      <c r="C3170" s="6"/>
      <c r="D3170" s="6"/>
      <c r="E3170" s="6"/>
      <c r="F3170" s="6"/>
      <c r="G3170" s="6"/>
      <c r="H3170" s="6"/>
      <c r="I3170" s="6"/>
      <c r="J3170" s="6"/>
      <c r="K3170" s="6"/>
      <c r="L3170" s="6"/>
      <c r="M3170" s="6"/>
      <c r="N3170" s="6"/>
      <c r="O3170" s="6"/>
      <c r="P3170" s="6"/>
      <c r="Q3170" s="6"/>
      <c r="R3170" s="6"/>
      <c r="S3170" s="6"/>
      <c r="T3170" s="6"/>
      <c r="U3170" s="6"/>
      <c r="V3170" s="6"/>
      <c r="W3170" s="6"/>
      <c r="X3170" s="6"/>
      <c r="Y3170" s="6"/>
      <c r="Z3170" s="6"/>
      <c r="AA3170" s="6"/>
      <c r="AB3170" s="6"/>
      <c r="AC3170" s="6"/>
      <c r="AD3170" s="6"/>
      <c r="AE3170" s="6"/>
      <c r="AF3170" s="6"/>
      <c r="AG3170" s="6"/>
      <c r="AH3170" s="6"/>
      <c r="AI3170" s="6"/>
      <c r="AJ3170" s="6"/>
      <c r="AK3170" s="6"/>
      <c r="AL3170" s="6"/>
      <c r="AM3170" s="6"/>
    </row>
    <row r="3171">
      <c r="A3171" s="6"/>
      <c r="B3171" s="6"/>
      <c r="C3171" s="6"/>
      <c r="D3171" s="6"/>
      <c r="E3171" s="6"/>
      <c r="F3171" s="6"/>
      <c r="G3171" s="6"/>
      <c r="H3171" s="6"/>
      <c r="I3171" s="6"/>
      <c r="J3171" s="6"/>
      <c r="K3171" s="6"/>
      <c r="L3171" s="6"/>
      <c r="M3171" s="6"/>
      <c r="N3171" s="6"/>
      <c r="O3171" s="6"/>
      <c r="P3171" s="6"/>
      <c r="Q3171" s="6"/>
      <c r="R3171" s="6"/>
      <c r="S3171" s="6"/>
      <c r="T3171" s="6"/>
      <c r="U3171" s="6"/>
      <c r="V3171" s="6"/>
      <c r="W3171" s="6"/>
      <c r="X3171" s="6"/>
      <c r="Y3171" s="6"/>
      <c r="Z3171" s="6"/>
      <c r="AA3171" s="6"/>
      <c r="AB3171" s="6"/>
      <c r="AC3171" s="6"/>
      <c r="AD3171" s="6"/>
      <c r="AE3171" s="6"/>
      <c r="AF3171" s="6"/>
      <c r="AG3171" s="6"/>
      <c r="AH3171" s="6"/>
      <c r="AI3171" s="6"/>
      <c r="AJ3171" s="6"/>
      <c r="AK3171" s="6"/>
      <c r="AL3171" s="6"/>
      <c r="AM3171" s="6"/>
    </row>
    <row r="3172">
      <c r="A3172" s="6"/>
      <c r="B3172" s="6"/>
      <c r="C3172" s="6"/>
      <c r="D3172" s="6"/>
      <c r="E3172" s="6"/>
      <c r="F3172" s="6"/>
      <c r="G3172" s="6"/>
      <c r="H3172" s="6"/>
      <c r="I3172" s="6"/>
      <c r="J3172" s="6"/>
      <c r="K3172" s="6"/>
      <c r="L3172" s="6"/>
      <c r="M3172" s="6"/>
      <c r="N3172" s="6"/>
      <c r="O3172" s="6"/>
      <c r="P3172" s="6"/>
      <c r="Q3172" s="6"/>
      <c r="R3172" s="6"/>
      <c r="S3172" s="6"/>
      <c r="T3172" s="6"/>
      <c r="U3172" s="6"/>
      <c r="V3172" s="6"/>
      <c r="W3172" s="6"/>
      <c r="X3172" s="6"/>
      <c r="Y3172" s="6"/>
      <c r="Z3172" s="6"/>
      <c r="AA3172" s="6"/>
      <c r="AB3172" s="6"/>
      <c r="AC3172" s="6"/>
      <c r="AD3172" s="6"/>
      <c r="AE3172" s="6"/>
      <c r="AF3172" s="6"/>
      <c r="AG3172" s="6"/>
      <c r="AH3172" s="6"/>
      <c r="AI3172" s="6"/>
      <c r="AJ3172" s="6"/>
      <c r="AK3172" s="6"/>
      <c r="AL3172" s="6"/>
      <c r="AM3172" s="6"/>
    </row>
    <row r="3173">
      <c r="A3173" s="6"/>
      <c r="B3173" s="6"/>
      <c r="C3173" s="6"/>
      <c r="D3173" s="6"/>
      <c r="E3173" s="6"/>
      <c r="F3173" s="6"/>
      <c r="G3173" s="6"/>
      <c r="H3173" s="6"/>
      <c r="I3173" s="6"/>
      <c r="J3173" s="6"/>
      <c r="K3173" s="6"/>
      <c r="L3173" s="6"/>
      <c r="M3173" s="6"/>
      <c r="N3173" s="6"/>
      <c r="O3173" s="6"/>
      <c r="P3173" s="6"/>
      <c r="Q3173" s="6"/>
      <c r="R3173" s="6"/>
      <c r="S3173" s="6"/>
      <c r="T3173" s="6"/>
      <c r="U3173" s="6"/>
      <c r="V3173" s="6"/>
      <c r="W3173" s="6"/>
      <c r="X3173" s="6"/>
      <c r="Y3173" s="6"/>
      <c r="Z3173" s="6"/>
      <c r="AA3173" s="6"/>
      <c r="AB3173" s="6"/>
      <c r="AC3173" s="6"/>
      <c r="AD3173" s="6"/>
      <c r="AE3173" s="6"/>
      <c r="AF3173" s="6"/>
      <c r="AG3173" s="6"/>
      <c r="AH3173" s="6"/>
      <c r="AI3173" s="6"/>
      <c r="AJ3173" s="6"/>
      <c r="AK3173" s="6"/>
      <c r="AL3173" s="6"/>
      <c r="AM3173" s="6"/>
    </row>
    <row r="3174">
      <c r="A3174" s="6"/>
      <c r="B3174" s="6"/>
      <c r="C3174" s="6"/>
      <c r="D3174" s="6"/>
      <c r="E3174" s="6"/>
      <c r="F3174" s="6"/>
      <c r="G3174" s="6"/>
      <c r="H3174" s="6"/>
      <c r="I3174" s="6"/>
      <c r="J3174" s="6"/>
      <c r="K3174" s="6"/>
      <c r="L3174" s="6"/>
      <c r="M3174" s="6"/>
      <c r="N3174" s="6"/>
      <c r="O3174" s="6"/>
      <c r="P3174" s="6"/>
      <c r="Q3174" s="6"/>
      <c r="R3174" s="6"/>
      <c r="S3174" s="6"/>
      <c r="T3174" s="6"/>
      <c r="U3174" s="6"/>
      <c r="V3174" s="6"/>
      <c r="W3174" s="6"/>
      <c r="X3174" s="6"/>
      <c r="Y3174" s="6"/>
      <c r="Z3174" s="6"/>
      <c r="AA3174" s="6"/>
      <c r="AB3174" s="6"/>
      <c r="AC3174" s="6"/>
      <c r="AD3174" s="6"/>
      <c r="AE3174" s="6"/>
      <c r="AF3174" s="6"/>
      <c r="AG3174" s="6"/>
      <c r="AH3174" s="6"/>
      <c r="AI3174" s="6"/>
      <c r="AJ3174" s="6"/>
      <c r="AK3174" s="6"/>
      <c r="AL3174" s="6"/>
      <c r="AM3174" s="6"/>
    </row>
    <row r="3175">
      <c r="A3175" s="6"/>
      <c r="B3175" s="6"/>
      <c r="C3175" s="6"/>
      <c r="D3175" s="6"/>
      <c r="E3175" s="6"/>
      <c r="F3175" s="6"/>
      <c r="G3175" s="6"/>
      <c r="H3175" s="6"/>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c r="AG3175" s="6"/>
      <c r="AH3175" s="6"/>
      <c r="AI3175" s="6"/>
      <c r="AJ3175" s="6"/>
      <c r="AK3175" s="6"/>
      <c r="AL3175" s="6"/>
      <c r="AM3175" s="6"/>
    </row>
    <row r="3176">
      <c r="A3176" s="6"/>
      <c r="B3176" s="6"/>
      <c r="C3176" s="6"/>
      <c r="D3176" s="6"/>
      <c r="E3176" s="6"/>
      <c r="F3176" s="6"/>
      <c r="G3176" s="6"/>
      <c r="H3176" s="6"/>
      <c r="I3176" s="6"/>
      <c r="J3176" s="6"/>
      <c r="K3176" s="6"/>
      <c r="L3176" s="6"/>
      <c r="M3176" s="6"/>
      <c r="N3176" s="6"/>
      <c r="O3176" s="6"/>
      <c r="P3176" s="6"/>
      <c r="Q3176" s="6"/>
      <c r="R3176" s="6"/>
      <c r="S3176" s="6"/>
      <c r="T3176" s="6"/>
      <c r="U3176" s="6"/>
      <c r="V3176" s="6"/>
      <c r="W3176" s="6"/>
      <c r="X3176" s="6"/>
      <c r="Y3176" s="6"/>
      <c r="Z3176" s="6"/>
      <c r="AA3176" s="6"/>
      <c r="AB3176" s="6"/>
      <c r="AC3176" s="6"/>
      <c r="AD3176" s="6"/>
      <c r="AE3176" s="6"/>
      <c r="AF3176" s="6"/>
      <c r="AG3176" s="6"/>
      <c r="AH3176" s="6"/>
      <c r="AI3176" s="6"/>
      <c r="AJ3176" s="6"/>
      <c r="AK3176" s="6"/>
      <c r="AL3176" s="6"/>
      <c r="AM3176" s="6"/>
    </row>
    <row r="3177">
      <c r="A3177" s="6"/>
      <c r="B3177" s="6"/>
      <c r="C3177" s="6"/>
      <c r="D3177" s="6"/>
      <c r="E3177" s="6"/>
      <c r="F3177" s="6"/>
      <c r="G3177" s="6"/>
      <c r="H3177" s="6"/>
      <c r="I3177" s="6"/>
      <c r="J3177" s="6"/>
      <c r="K3177" s="6"/>
      <c r="L3177" s="6"/>
      <c r="M3177" s="6"/>
      <c r="N3177" s="6"/>
      <c r="O3177" s="6"/>
      <c r="P3177" s="6"/>
      <c r="Q3177" s="6"/>
      <c r="R3177" s="6"/>
      <c r="S3177" s="6"/>
      <c r="T3177" s="6"/>
      <c r="U3177" s="6"/>
      <c r="V3177" s="6"/>
      <c r="W3177" s="6"/>
      <c r="X3177" s="6"/>
      <c r="Y3177" s="6"/>
      <c r="Z3177" s="6"/>
      <c r="AA3177" s="6"/>
      <c r="AB3177" s="6"/>
      <c r="AC3177" s="6"/>
      <c r="AD3177" s="6"/>
      <c r="AE3177" s="6"/>
      <c r="AF3177" s="6"/>
      <c r="AG3177" s="6"/>
      <c r="AH3177" s="6"/>
      <c r="AI3177" s="6"/>
      <c r="AJ3177" s="6"/>
      <c r="AK3177" s="6"/>
      <c r="AL3177" s="6"/>
      <c r="AM3177" s="6"/>
    </row>
    <row r="3178">
      <c r="A3178" s="6"/>
      <c r="B3178" s="6"/>
      <c r="C3178" s="6"/>
      <c r="D3178" s="6"/>
      <c r="E3178" s="6"/>
      <c r="F3178" s="6"/>
      <c r="G3178" s="6"/>
      <c r="H3178" s="6"/>
      <c r="I3178" s="6"/>
      <c r="J3178" s="6"/>
      <c r="K3178" s="6"/>
      <c r="L3178" s="6"/>
      <c r="M3178" s="6"/>
      <c r="N3178" s="6"/>
      <c r="O3178" s="6"/>
      <c r="P3178" s="6"/>
      <c r="Q3178" s="6"/>
      <c r="R3178" s="6"/>
      <c r="S3178" s="6"/>
      <c r="T3178" s="6"/>
      <c r="U3178" s="6"/>
      <c r="V3178" s="6"/>
      <c r="W3178" s="6"/>
      <c r="X3178" s="6"/>
      <c r="Y3178" s="6"/>
      <c r="Z3178" s="6"/>
      <c r="AA3178" s="6"/>
      <c r="AB3178" s="6"/>
      <c r="AC3178" s="6"/>
      <c r="AD3178" s="6"/>
      <c r="AE3178" s="6"/>
      <c r="AF3178" s="6"/>
      <c r="AG3178" s="6"/>
      <c r="AH3178" s="6"/>
      <c r="AI3178" s="6"/>
      <c r="AJ3178" s="6"/>
      <c r="AK3178" s="6"/>
      <c r="AL3178" s="6"/>
      <c r="AM3178" s="6"/>
    </row>
    <row r="3179">
      <c r="A3179" s="6"/>
      <c r="B3179" s="6"/>
      <c r="C3179" s="6"/>
      <c r="D3179" s="6"/>
      <c r="E3179" s="6"/>
      <c r="F3179" s="6"/>
      <c r="G3179" s="6"/>
      <c r="H3179" s="6"/>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c r="AG3179" s="6"/>
      <c r="AH3179" s="6"/>
      <c r="AI3179" s="6"/>
      <c r="AJ3179" s="6"/>
      <c r="AK3179" s="6"/>
      <c r="AL3179" s="6"/>
      <c r="AM3179" s="6"/>
    </row>
    <row r="3180">
      <c r="A3180" s="6"/>
      <c r="B3180" s="6"/>
      <c r="C3180" s="6"/>
      <c r="D3180" s="6"/>
      <c r="E3180" s="6"/>
      <c r="F3180" s="6"/>
      <c r="G3180" s="6"/>
      <c r="H3180" s="6"/>
      <c r="I3180" s="6"/>
      <c r="J3180" s="6"/>
      <c r="K3180" s="6"/>
      <c r="L3180" s="6"/>
      <c r="M3180" s="6"/>
      <c r="N3180" s="6"/>
      <c r="O3180" s="6"/>
      <c r="P3180" s="6"/>
      <c r="Q3180" s="6"/>
      <c r="R3180" s="6"/>
      <c r="S3180" s="6"/>
      <c r="T3180" s="6"/>
      <c r="U3180" s="6"/>
      <c r="V3180" s="6"/>
      <c r="W3180" s="6"/>
      <c r="X3180" s="6"/>
      <c r="Y3180" s="6"/>
      <c r="Z3180" s="6"/>
      <c r="AA3180" s="6"/>
      <c r="AB3180" s="6"/>
      <c r="AC3180" s="6"/>
      <c r="AD3180" s="6"/>
      <c r="AE3180" s="6"/>
      <c r="AF3180" s="6"/>
      <c r="AG3180" s="6"/>
      <c r="AH3180" s="6"/>
      <c r="AI3180" s="6"/>
      <c r="AJ3180" s="6"/>
      <c r="AK3180" s="6"/>
      <c r="AL3180" s="6"/>
      <c r="AM3180" s="6"/>
    </row>
    <row r="3181">
      <c r="A3181" s="6"/>
      <c r="B3181" s="6"/>
      <c r="C3181" s="6"/>
      <c r="D3181" s="6"/>
      <c r="E3181" s="6"/>
      <c r="F3181" s="6"/>
      <c r="G3181" s="6"/>
      <c r="H3181" s="6"/>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c r="AG3181" s="6"/>
      <c r="AH3181" s="6"/>
      <c r="AI3181" s="6"/>
      <c r="AJ3181" s="6"/>
      <c r="AK3181" s="6"/>
      <c r="AL3181" s="6"/>
      <c r="AM3181" s="6"/>
    </row>
    <row r="3182">
      <c r="A3182" s="6"/>
      <c r="B3182" s="6"/>
      <c r="C3182" s="6"/>
      <c r="D3182" s="6"/>
      <c r="E3182" s="6"/>
      <c r="F3182" s="6"/>
      <c r="G3182" s="6"/>
      <c r="H3182" s="6"/>
      <c r="I3182" s="6"/>
      <c r="J3182" s="6"/>
      <c r="K3182" s="6"/>
      <c r="L3182" s="6"/>
      <c r="M3182" s="6"/>
      <c r="N3182" s="6"/>
      <c r="O3182" s="6"/>
      <c r="P3182" s="6"/>
      <c r="Q3182" s="6"/>
      <c r="R3182" s="6"/>
      <c r="S3182" s="6"/>
      <c r="T3182" s="6"/>
      <c r="U3182" s="6"/>
      <c r="V3182" s="6"/>
      <c r="W3182" s="6"/>
      <c r="X3182" s="6"/>
      <c r="Y3182" s="6"/>
      <c r="Z3182" s="6"/>
      <c r="AA3182" s="6"/>
      <c r="AB3182" s="6"/>
      <c r="AC3182" s="6"/>
      <c r="AD3182" s="6"/>
      <c r="AE3182" s="6"/>
      <c r="AF3182" s="6"/>
      <c r="AG3182" s="6"/>
      <c r="AH3182" s="6"/>
      <c r="AI3182" s="6"/>
      <c r="AJ3182" s="6"/>
      <c r="AK3182" s="6"/>
      <c r="AL3182" s="6"/>
      <c r="AM3182" s="6"/>
    </row>
    <row r="3183">
      <c r="A3183" s="6"/>
      <c r="B3183" s="6"/>
      <c r="C3183" s="6"/>
      <c r="D3183" s="6"/>
      <c r="E3183" s="6"/>
      <c r="F3183" s="6"/>
      <c r="G3183" s="6"/>
      <c r="H3183" s="6"/>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c r="AG3183" s="6"/>
      <c r="AH3183" s="6"/>
      <c r="AI3183" s="6"/>
      <c r="AJ3183" s="6"/>
      <c r="AK3183" s="6"/>
      <c r="AL3183" s="6"/>
      <c r="AM3183" s="6"/>
    </row>
    <row r="3184">
      <c r="A3184" s="6"/>
      <c r="B3184" s="6"/>
      <c r="C3184" s="6"/>
      <c r="D3184" s="6"/>
      <c r="E3184" s="6"/>
      <c r="F3184" s="6"/>
      <c r="G3184" s="6"/>
      <c r="H3184" s="6"/>
      <c r="I3184" s="6"/>
      <c r="J3184" s="6"/>
      <c r="K3184" s="6"/>
      <c r="L3184" s="6"/>
      <c r="M3184" s="6"/>
      <c r="N3184" s="6"/>
      <c r="O3184" s="6"/>
      <c r="P3184" s="6"/>
      <c r="Q3184" s="6"/>
      <c r="R3184" s="6"/>
      <c r="S3184" s="6"/>
      <c r="T3184" s="6"/>
      <c r="U3184" s="6"/>
      <c r="V3184" s="6"/>
      <c r="W3184" s="6"/>
      <c r="X3184" s="6"/>
      <c r="Y3184" s="6"/>
      <c r="Z3184" s="6"/>
      <c r="AA3184" s="6"/>
      <c r="AB3184" s="6"/>
      <c r="AC3184" s="6"/>
      <c r="AD3184" s="6"/>
      <c r="AE3184" s="6"/>
      <c r="AF3184" s="6"/>
      <c r="AG3184" s="6"/>
      <c r="AH3184" s="6"/>
      <c r="AI3184" s="6"/>
      <c r="AJ3184" s="6"/>
      <c r="AK3184" s="6"/>
      <c r="AL3184" s="6"/>
      <c r="AM3184" s="6"/>
    </row>
    <row r="3185">
      <c r="A3185" s="6"/>
      <c r="B3185" s="6"/>
      <c r="C3185" s="6"/>
      <c r="D3185" s="6"/>
      <c r="E3185" s="6"/>
      <c r="F3185" s="6"/>
      <c r="G3185" s="6"/>
      <c r="H3185" s="6"/>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c r="AG3185" s="6"/>
      <c r="AH3185" s="6"/>
      <c r="AI3185" s="6"/>
      <c r="AJ3185" s="6"/>
      <c r="AK3185" s="6"/>
      <c r="AL3185" s="6"/>
      <c r="AM3185" s="6"/>
    </row>
    <row r="3186">
      <c r="A3186" s="6"/>
      <c r="B3186" s="6"/>
      <c r="C3186" s="6"/>
      <c r="D3186" s="6"/>
      <c r="E3186" s="6"/>
      <c r="F3186" s="6"/>
      <c r="G3186" s="6"/>
      <c r="H3186" s="6"/>
      <c r="I3186" s="6"/>
      <c r="J3186" s="6"/>
      <c r="K3186" s="6"/>
      <c r="L3186" s="6"/>
      <c r="M3186" s="6"/>
      <c r="N3186" s="6"/>
      <c r="O3186" s="6"/>
      <c r="P3186" s="6"/>
      <c r="Q3186" s="6"/>
      <c r="R3186" s="6"/>
      <c r="S3186" s="6"/>
      <c r="T3186" s="6"/>
      <c r="U3186" s="6"/>
      <c r="V3186" s="6"/>
      <c r="W3186" s="6"/>
      <c r="X3186" s="6"/>
      <c r="Y3186" s="6"/>
      <c r="Z3186" s="6"/>
      <c r="AA3186" s="6"/>
      <c r="AB3186" s="6"/>
      <c r="AC3186" s="6"/>
      <c r="AD3186" s="6"/>
      <c r="AE3186" s="6"/>
      <c r="AF3186" s="6"/>
      <c r="AG3186" s="6"/>
      <c r="AH3186" s="6"/>
      <c r="AI3186" s="6"/>
      <c r="AJ3186" s="6"/>
      <c r="AK3186" s="6"/>
      <c r="AL3186" s="6"/>
      <c r="AM3186" s="6"/>
    </row>
    <row r="3187">
      <c r="A3187" s="6"/>
      <c r="B3187" s="6"/>
      <c r="C3187" s="6"/>
      <c r="D3187" s="6"/>
      <c r="E3187" s="6"/>
      <c r="F3187" s="6"/>
      <c r="G3187" s="6"/>
      <c r="H3187" s="6"/>
      <c r="I3187" s="6"/>
      <c r="J3187" s="6"/>
      <c r="K3187" s="6"/>
      <c r="L3187" s="6"/>
      <c r="M3187" s="6"/>
      <c r="N3187" s="6"/>
      <c r="O3187" s="6"/>
      <c r="P3187" s="6"/>
      <c r="Q3187" s="6"/>
      <c r="R3187" s="6"/>
      <c r="S3187" s="6"/>
      <c r="T3187" s="6"/>
      <c r="U3187" s="6"/>
      <c r="V3187" s="6"/>
      <c r="W3187" s="6"/>
      <c r="X3187" s="6"/>
      <c r="Y3187" s="6"/>
      <c r="Z3187" s="6"/>
      <c r="AA3187" s="6"/>
      <c r="AB3187" s="6"/>
      <c r="AC3187" s="6"/>
      <c r="AD3187" s="6"/>
      <c r="AE3187" s="6"/>
      <c r="AF3187" s="6"/>
      <c r="AG3187" s="6"/>
      <c r="AH3187" s="6"/>
      <c r="AI3187" s="6"/>
      <c r="AJ3187" s="6"/>
      <c r="AK3187" s="6"/>
      <c r="AL3187" s="6"/>
      <c r="AM3187" s="6"/>
    </row>
    <row r="3188">
      <c r="A3188" s="6"/>
      <c r="B3188" s="6"/>
      <c r="C3188" s="6"/>
      <c r="D3188" s="6"/>
      <c r="E3188" s="6"/>
      <c r="F3188" s="6"/>
      <c r="G3188" s="6"/>
      <c r="H3188" s="6"/>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c r="AG3188" s="6"/>
      <c r="AH3188" s="6"/>
      <c r="AI3188" s="6"/>
      <c r="AJ3188" s="6"/>
      <c r="AK3188" s="6"/>
      <c r="AL3188" s="6"/>
      <c r="AM3188" s="6"/>
    </row>
    <row r="3189">
      <c r="A3189" s="6"/>
      <c r="B3189" s="6"/>
      <c r="C3189" s="6"/>
      <c r="D3189" s="6"/>
      <c r="E3189" s="6"/>
      <c r="F3189" s="6"/>
      <c r="G3189" s="6"/>
      <c r="H3189" s="6"/>
      <c r="I3189" s="6"/>
      <c r="J3189" s="6"/>
      <c r="K3189" s="6"/>
      <c r="L3189" s="6"/>
      <c r="M3189" s="6"/>
      <c r="N3189" s="6"/>
      <c r="O3189" s="6"/>
      <c r="P3189" s="6"/>
      <c r="Q3189" s="6"/>
      <c r="R3189" s="6"/>
      <c r="S3189" s="6"/>
      <c r="T3189" s="6"/>
      <c r="U3189" s="6"/>
      <c r="V3189" s="6"/>
      <c r="W3189" s="6"/>
      <c r="X3189" s="6"/>
      <c r="Y3189" s="6"/>
      <c r="Z3189" s="6"/>
      <c r="AA3189" s="6"/>
      <c r="AB3189" s="6"/>
      <c r="AC3189" s="6"/>
      <c r="AD3189" s="6"/>
      <c r="AE3189" s="6"/>
      <c r="AF3189" s="6"/>
      <c r="AG3189" s="6"/>
      <c r="AH3189" s="6"/>
      <c r="AI3189" s="6"/>
      <c r="AJ3189" s="6"/>
      <c r="AK3189" s="6"/>
      <c r="AL3189" s="6"/>
      <c r="AM3189" s="6"/>
    </row>
    <row r="3190">
      <c r="A3190" s="6"/>
      <c r="B3190" s="6"/>
      <c r="C3190" s="6"/>
      <c r="D3190" s="6"/>
      <c r="E3190" s="6"/>
      <c r="F3190" s="6"/>
      <c r="G3190" s="6"/>
      <c r="H3190" s="6"/>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c r="AG3190" s="6"/>
      <c r="AH3190" s="6"/>
      <c r="AI3190" s="6"/>
      <c r="AJ3190" s="6"/>
      <c r="AK3190" s="6"/>
      <c r="AL3190" s="6"/>
      <c r="AM3190" s="6"/>
    </row>
    <row r="3191">
      <c r="A3191" s="6"/>
      <c r="B3191" s="6"/>
      <c r="C3191" s="6"/>
      <c r="D3191" s="6"/>
      <c r="E3191" s="6"/>
      <c r="F3191" s="6"/>
      <c r="G3191" s="6"/>
      <c r="H3191" s="6"/>
      <c r="I3191" s="6"/>
      <c r="J3191" s="6"/>
      <c r="K3191" s="6"/>
      <c r="L3191" s="6"/>
      <c r="M3191" s="6"/>
      <c r="N3191" s="6"/>
      <c r="O3191" s="6"/>
      <c r="P3191" s="6"/>
      <c r="Q3191" s="6"/>
      <c r="R3191" s="6"/>
      <c r="S3191" s="6"/>
      <c r="T3191" s="6"/>
      <c r="U3191" s="6"/>
      <c r="V3191" s="6"/>
      <c r="W3191" s="6"/>
      <c r="X3191" s="6"/>
      <c r="Y3191" s="6"/>
      <c r="Z3191" s="6"/>
      <c r="AA3191" s="6"/>
      <c r="AB3191" s="6"/>
      <c r="AC3191" s="6"/>
      <c r="AD3191" s="6"/>
      <c r="AE3191" s="6"/>
      <c r="AF3191" s="6"/>
      <c r="AG3191" s="6"/>
      <c r="AH3191" s="6"/>
      <c r="AI3191" s="6"/>
      <c r="AJ3191" s="6"/>
      <c r="AK3191" s="6"/>
      <c r="AL3191" s="6"/>
      <c r="AM3191" s="6"/>
    </row>
    <row r="3192">
      <c r="A3192" s="6"/>
      <c r="B3192" s="6"/>
      <c r="C3192" s="6"/>
      <c r="D3192" s="6"/>
      <c r="E3192" s="6"/>
      <c r="F3192" s="6"/>
      <c r="G3192" s="6"/>
      <c r="H3192" s="6"/>
      <c r="I3192" s="6"/>
      <c r="J3192" s="6"/>
      <c r="K3192" s="6"/>
      <c r="L3192" s="6"/>
      <c r="M3192" s="6"/>
      <c r="N3192" s="6"/>
      <c r="O3192" s="6"/>
      <c r="P3192" s="6"/>
      <c r="Q3192" s="6"/>
      <c r="R3192" s="6"/>
      <c r="S3192" s="6"/>
      <c r="T3192" s="6"/>
      <c r="U3192" s="6"/>
      <c r="V3192" s="6"/>
      <c r="W3192" s="6"/>
      <c r="X3192" s="6"/>
      <c r="Y3192" s="6"/>
      <c r="Z3192" s="6"/>
      <c r="AA3192" s="6"/>
      <c r="AB3192" s="6"/>
      <c r="AC3192" s="6"/>
      <c r="AD3192" s="6"/>
      <c r="AE3192" s="6"/>
      <c r="AF3192" s="6"/>
      <c r="AG3192" s="6"/>
      <c r="AH3192" s="6"/>
      <c r="AI3192" s="6"/>
      <c r="AJ3192" s="6"/>
      <c r="AK3192" s="6"/>
      <c r="AL3192" s="6"/>
      <c r="AM3192" s="6"/>
    </row>
    <row r="3193">
      <c r="A3193" s="6"/>
      <c r="B3193" s="6"/>
      <c r="C3193" s="6"/>
      <c r="D3193" s="6"/>
      <c r="E3193" s="6"/>
      <c r="F3193" s="6"/>
      <c r="G3193" s="6"/>
      <c r="H3193" s="6"/>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c r="AG3193" s="6"/>
      <c r="AH3193" s="6"/>
      <c r="AI3193" s="6"/>
      <c r="AJ3193" s="6"/>
      <c r="AK3193" s="6"/>
      <c r="AL3193" s="6"/>
      <c r="AM3193" s="6"/>
    </row>
    <row r="3194">
      <c r="A3194" s="6"/>
      <c r="B3194" s="6"/>
      <c r="C3194" s="6"/>
      <c r="D3194" s="6"/>
      <c r="E3194" s="6"/>
      <c r="F3194" s="6"/>
      <c r="G3194" s="6"/>
      <c r="H3194" s="6"/>
      <c r="I3194" s="6"/>
      <c r="J3194" s="6"/>
      <c r="K3194" s="6"/>
      <c r="L3194" s="6"/>
      <c r="M3194" s="6"/>
      <c r="N3194" s="6"/>
      <c r="O3194" s="6"/>
      <c r="P3194" s="6"/>
      <c r="Q3194" s="6"/>
      <c r="R3194" s="6"/>
      <c r="S3194" s="6"/>
      <c r="T3194" s="6"/>
      <c r="U3194" s="6"/>
      <c r="V3194" s="6"/>
      <c r="W3194" s="6"/>
      <c r="X3194" s="6"/>
      <c r="Y3194" s="6"/>
      <c r="Z3194" s="6"/>
      <c r="AA3194" s="6"/>
      <c r="AB3194" s="6"/>
      <c r="AC3194" s="6"/>
      <c r="AD3194" s="6"/>
      <c r="AE3194" s="6"/>
      <c r="AF3194" s="6"/>
      <c r="AG3194" s="6"/>
      <c r="AH3194" s="6"/>
      <c r="AI3194" s="6"/>
      <c r="AJ3194" s="6"/>
      <c r="AK3194" s="6"/>
      <c r="AL3194" s="6"/>
      <c r="AM3194" s="6"/>
    </row>
    <row r="3195">
      <c r="A3195" s="6"/>
      <c r="B3195" s="6"/>
      <c r="C3195" s="6"/>
      <c r="D3195" s="6"/>
      <c r="E3195" s="6"/>
      <c r="F3195" s="6"/>
      <c r="G3195" s="6"/>
      <c r="H3195" s="6"/>
      <c r="I3195" s="6"/>
      <c r="J3195" s="6"/>
      <c r="K3195" s="6"/>
      <c r="L3195" s="6"/>
      <c r="M3195" s="6"/>
      <c r="N3195" s="6"/>
      <c r="O3195" s="6"/>
      <c r="P3195" s="6"/>
      <c r="Q3195" s="6"/>
      <c r="R3195" s="6"/>
      <c r="S3195" s="6"/>
      <c r="T3195" s="6"/>
      <c r="U3195" s="6"/>
      <c r="V3195" s="6"/>
      <c r="W3195" s="6"/>
      <c r="X3195" s="6"/>
      <c r="Y3195" s="6"/>
      <c r="Z3195" s="6"/>
      <c r="AA3195" s="6"/>
      <c r="AB3195" s="6"/>
      <c r="AC3195" s="6"/>
      <c r="AD3195" s="6"/>
      <c r="AE3195" s="6"/>
      <c r="AF3195" s="6"/>
      <c r="AG3195" s="6"/>
      <c r="AH3195" s="6"/>
      <c r="AI3195" s="6"/>
      <c r="AJ3195" s="6"/>
      <c r="AK3195" s="6"/>
      <c r="AL3195" s="6"/>
      <c r="AM3195" s="6"/>
    </row>
    <row r="3196">
      <c r="A3196" s="6"/>
      <c r="B3196" s="6"/>
      <c r="C3196" s="6"/>
      <c r="D3196" s="6"/>
      <c r="E3196" s="6"/>
      <c r="F3196" s="6"/>
      <c r="G3196" s="6"/>
      <c r="H3196" s="6"/>
      <c r="I3196" s="6"/>
      <c r="J3196" s="6"/>
      <c r="K3196" s="6"/>
      <c r="L3196" s="6"/>
      <c r="M3196" s="6"/>
      <c r="N3196" s="6"/>
      <c r="O3196" s="6"/>
      <c r="P3196" s="6"/>
      <c r="Q3196" s="6"/>
      <c r="R3196" s="6"/>
      <c r="S3196" s="6"/>
      <c r="T3196" s="6"/>
      <c r="U3196" s="6"/>
      <c r="V3196" s="6"/>
      <c r="W3196" s="6"/>
      <c r="X3196" s="6"/>
      <c r="Y3196" s="6"/>
      <c r="Z3196" s="6"/>
      <c r="AA3196" s="6"/>
      <c r="AB3196" s="6"/>
      <c r="AC3196" s="6"/>
      <c r="AD3196" s="6"/>
      <c r="AE3196" s="6"/>
      <c r="AF3196" s="6"/>
      <c r="AG3196" s="6"/>
      <c r="AH3196" s="6"/>
      <c r="AI3196" s="6"/>
      <c r="AJ3196" s="6"/>
      <c r="AK3196" s="6"/>
      <c r="AL3196" s="6"/>
      <c r="AM3196" s="6"/>
    </row>
    <row r="3197">
      <c r="A3197" s="6"/>
      <c r="B3197" s="6"/>
      <c r="C3197" s="6"/>
      <c r="D3197" s="6"/>
      <c r="E3197" s="6"/>
      <c r="F3197" s="6"/>
      <c r="G3197" s="6"/>
      <c r="H3197" s="6"/>
      <c r="I3197" s="6"/>
      <c r="J3197" s="6"/>
      <c r="K3197" s="6"/>
      <c r="L3197" s="6"/>
      <c r="M3197" s="6"/>
      <c r="N3197" s="6"/>
      <c r="O3197" s="6"/>
      <c r="P3197" s="6"/>
      <c r="Q3197" s="6"/>
      <c r="R3197" s="6"/>
      <c r="S3197" s="6"/>
      <c r="T3197" s="6"/>
      <c r="U3197" s="6"/>
      <c r="V3197" s="6"/>
      <c r="W3197" s="6"/>
      <c r="X3197" s="6"/>
      <c r="Y3197" s="6"/>
      <c r="Z3197" s="6"/>
      <c r="AA3197" s="6"/>
      <c r="AB3197" s="6"/>
      <c r="AC3197" s="6"/>
      <c r="AD3197" s="6"/>
      <c r="AE3197" s="6"/>
      <c r="AF3197" s="6"/>
      <c r="AG3197" s="6"/>
      <c r="AH3197" s="6"/>
      <c r="AI3197" s="6"/>
      <c r="AJ3197" s="6"/>
      <c r="AK3197" s="6"/>
      <c r="AL3197" s="6"/>
      <c r="AM3197" s="6"/>
    </row>
    <row r="3198">
      <c r="A3198" s="6"/>
      <c r="B3198" s="6"/>
      <c r="C3198" s="6"/>
      <c r="D3198" s="6"/>
      <c r="E3198" s="6"/>
      <c r="F3198" s="6"/>
      <c r="G3198" s="6"/>
      <c r="H3198" s="6"/>
      <c r="I3198" s="6"/>
      <c r="J3198" s="6"/>
      <c r="K3198" s="6"/>
      <c r="L3198" s="6"/>
      <c r="M3198" s="6"/>
      <c r="N3198" s="6"/>
      <c r="O3198" s="6"/>
      <c r="P3198" s="6"/>
      <c r="Q3198" s="6"/>
      <c r="R3198" s="6"/>
      <c r="S3198" s="6"/>
      <c r="T3198" s="6"/>
      <c r="U3198" s="6"/>
      <c r="V3198" s="6"/>
      <c r="W3198" s="6"/>
      <c r="X3198" s="6"/>
      <c r="Y3198" s="6"/>
      <c r="Z3198" s="6"/>
      <c r="AA3198" s="6"/>
      <c r="AB3198" s="6"/>
      <c r="AC3198" s="6"/>
      <c r="AD3198" s="6"/>
      <c r="AE3198" s="6"/>
      <c r="AF3198" s="6"/>
      <c r="AG3198" s="6"/>
      <c r="AH3198" s="6"/>
      <c r="AI3198" s="6"/>
      <c r="AJ3198" s="6"/>
      <c r="AK3198" s="6"/>
      <c r="AL3198" s="6"/>
      <c r="AM3198" s="6"/>
    </row>
    <row r="3199">
      <c r="A3199" s="6"/>
      <c r="B3199" s="6"/>
      <c r="C3199" s="6"/>
      <c r="D3199" s="6"/>
      <c r="E3199" s="6"/>
      <c r="F3199" s="6"/>
      <c r="G3199" s="6"/>
      <c r="H3199" s="6"/>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c r="AG3199" s="6"/>
      <c r="AH3199" s="6"/>
      <c r="AI3199" s="6"/>
      <c r="AJ3199" s="6"/>
      <c r="AK3199" s="6"/>
      <c r="AL3199" s="6"/>
      <c r="AM3199" s="6"/>
    </row>
    <row r="3200">
      <c r="A3200" s="6"/>
      <c r="B3200" s="6"/>
      <c r="C3200" s="6"/>
      <c r="D3200" s="6"/>
      <c r="E3200" s="6"/>
      <c r="F3200" s="6"/>
      <c r="G3200" s="6"/>
      <c r="H3200" s="6"/>
      <c r="I3200" s="6"/>
      <c r="J3200" s="6"/>
      <c r="K3200" s="6"/>
      <c r="L3200" s="6"/>
      <c r="M3200" s="6"/>
      <c r="N3200" s="6"/>
      <c r="O3200" s="6"/>
      <c r="P3200" s="6"/>
      <c r="Q3200" s="6"/>
      <c r="R3200" s="6"/>
      <c r="S3200" s="6"/>
      <c r="T3200" s="6"/>
      <c r="U3200" s="6"/>
      <c r="V3200" s="6"/>
      <c r="W3200" s="6"/>
      <c r="X3200" s="6"/>
      <c r="Y3200" s="6"/>
      <c r="Z3200" s="6"/>
      <c r="AA3200" s="6"/>
      <c r="AB3200" s="6"/>
      <c r="AC3200" s="6"/>
      <c r="AD3200" s="6"/>
      <c r="AE3200" s="6"/>
      <c r="AF3200" s="6"/>
      <c r="AG3200" s="6"/>
      <c r="AH3200" s="6"/>
      <c r="AI3200" s="6"/>
      <c r="AJ3200" s="6"/>
      <c r="AK3200" s="6"/>
      <c r="AL3200" s="6"/>
      <c r="AM3200" s="6"/>
    </row>
    <row r="3201">
      <c r="A3201" s="6"/>
      <c r="B3201" s="6"/>
      <c r="C3201" s="6"/>
      <c r="D3201" s="6"/>
      <c r="E3201" s="6"/>
      <c r="F3201" s="6"/>
      <c r="G3201" s="6"/>
      <c r="H3201" s="6"/>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c r="AG3201" s="6"/>
      <c r="AH3201" s="6"/>
      <c r="AI3201" s="6"/>
      <c r="AJ3201" s="6"/>
      <c r="AK3201" s="6"/>
      <c r="AL3201" s="6"/>
      <c r="AM3201" s="6"/>
    </row>
    <row r="3202">
      <c r="A3202" s="6"/>
      <c r="B3202" s="6"/>
      <c r="C3202" s="6"/>
      <c r="D3202" s="6"/>
      <c r="E3202" s="6"/>
      <c r="F3202" s="6"/>
      <c r="G3202" s="6"/>
      <c r="H3202" s="6"/>
      <c r="I3202" s="6"/>
      <c r="J3202" s="6"/>
      <c r="K3202" s="6"/>
      <c r="L3202" s="6"/>
      <c r="M3202" s="6"/>
      <c r="N3202" s="6"/>
      <c r="O3202" s="6"/>
      <c r="P3202" s="6"/>
      <c r="Q3202" s="6"/>
      <c r="R3202" s="6"/>
      <c r="S3202" s="6"/>
      <c r="T3202" s="6"/>
      <c r="U3202" s="6"/>
      <c r="V3202" s="6"/>
      <c r="W3202" s="6"/>
      <c r="X3202" s="6"/>
      <c r="Y3202" s="6"/>
      <c r="Z3202" s="6"/>
      <c r="AA3202" s="6"/>
      <c r="AB3202" s="6"/>
      <c r="AC3202" s="6"/>
      <c r="AD3202" s="6"/>
      <c r="AE3202" s="6"/>
      <c r="AF3202" s="6"/>
      <c r="AG3202" s="6"/>
      <c r="AH3202" s="6"/>
      <c r="AI3202" s="6"/>
      <c r="AJ3202" s="6"/>
      <c r="AK3202" s="6"/>
      <c r="AL3202" s="6"/>
      <c r="AM3202" s="6"/>
    </row>
    <row r="3203">
      <c r="A3203" s="6"/>
      <c r="B3203" s="6"/>
      <c r="C3203" s="6"/>
      <c r="D3203" s="6"/>
      <c r="E3203" s="6"/>
      <c r="F3203" s="6"/>
      <c r="G3203" s="6"/>
      <c r="H3203" s="6"/>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c r="AG3203" s="6"/>
      <c r="AH3203" s="6"/>
      <c r="AI3203" s="6"/>
      <c r="AJ3203" s="6"/>
      <c r="AK3203" s="6"/>
      <c r="AL3203" s="6"/>
      <c r="AM3203" s="6"/>
    </row>
    <row r="3204">
      <c r="A3204" s="6"/>
      <c r="B3204" s="6"/>
      <c r="C3204" s="6"/>
      <c r="D3204" s="6"/>
      <c r="E3204" s="6"/>
      <c r="F3204" s="6"/>
      <c r="G3204" s="6"/>
      <c r="H3204" s="6"/>
      <c r="I3204" s="6"/>
      <c r="J3204" s="6"/>
      <c r="K3204" s="6"/>
      <c r="L3204" s="6"/>
      <c r="M3204" s="6"/>
      <c r="N3204" s="6"/>
      <c r="O3204" s="6"/>
      <c r="P3204" s="6"/>
      <c r="Q3204" s="6"/>
      <c r="R3204" s="6"/>
      <c r="S3204" s="6"/>
      <c r="T3204" s="6"/>
      <c r="U3204" s="6"/>
      <c r="V3204" s="6"/>
      <c r="W3204" s="6"/>
      <c r="X3204" s="6"/>
      <c r="Y3204" s="6"/>
      <c r="Z3204" s="6"/>
      <c r="AA3204" s="6"/>
      <c r="AB3204" s="6"/>
      <c r="AC3204" s="6"/>
      <c r="AD3204" s="6"/>
      <c r="AE3204" s="6"/>
      <c r="AF3204" s="6"/>
      <c r="AG3204" s="6"/>
      <c r="AH3204" s="6"/>
      <c r="AI3204" s="6"/>
      <c r="AJ3204" s="6"/>
      <c r="AK3204" s="6"/>
      <c r="AL3204" s="6"/>
      <c r="AM3204" s="6"/>
    </row>
    <row r="3205">
      <c r="A3205" s="6"/>
      <c r="B3205" s="6"/>
      <c r="C3205" s="6"/>
      <c r="D3205" s="6"/>
      <c r="E3205" s="6"/>
      <c r="F3205" s="6"/>
      <c r="G3205" s="6"/>
      <c r="H3205" s="6"/>
      <c r="I3205" s="6"/>
      <c r="J3205" s="6"/>
      <c r="K3205" s="6"/>
      <c r="L3205" s="6"/>
      <c r="M3205" s="6"/>
      <c r="N3205" s="6"/>
      <c r="O3205" s="6"/>
      <c r="P3205" s="6"/>
      <c r="Q3205" s="6"/>
      <c r="R3205" s="6"/>
      <c r="S3205" s="6"/>
      <c r="T3205" s="6"/>
      <c r="U3205" s="6"/>
      <c r="V3205" s="6"/>
      <c r="W3205" s="6"/>
      <c r="X3205" s="6"/>
      <c r="Y3205" s="6"/>
      <c r="Z3205" s="6"/>
      <c r="AA3205" s="6"/>
      <c r="AB3205" s="6"/>
      <c r="AC3205" s="6"/>
      <c r="AD3205" s="6"/>
      <c r="AE3205" s="6"/>
      <c r="AF3205" s="6"/>
      <c r="AG3205" s="6"/>
      <c r="AH3205" s="6"/>
      <c r="AI3205" s="6"/>
      <c r="AJ3205" s="6"/>
      <c r="AK3205" s="6"/>
      <c r="AL3205" s="6"/>
      <c r="AM3205" s="6"/>
    </row>
    <row r="3206">
      <c r="A3206" s="6"/>
      <c r="B3206" s="6"/>
      <c r="C3206" s="6"/>
      <c r="D3206" s="6"/>
      <c r="E3206" s="6"/>
      <c r="F3206" s="6"/>
      <c r="G3206" s="6"/>
      <c r="H3206" s="6"/>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c r="AG3206" s="6"/>
      <c r="AH3206" s="6"/>
      <c r="AI3206" s="6"/>
      <c r="AJ3206" s="6"/>
      <c r="AK3206" s="6"/>
      <c r="AL3206" s="6"/>
      <c r="AM3206" s="6"/>
    </row>
    <row r="3207">
      <c r="A3207" s="6"/>
      <c r="B3207" s="6"/>
      <c r="C3207" s="6"/>
      <c r="D3207" s="6"/>
      <c r="E3207" s="6"/>
      <c r="F3207" s="6"/>
      <c r="G3207" s="6"/>
      <c r="H3207" s="6"/>
      <c r="I3207" s="6"/>
      <c r="J3207" s="6"/>
      <c r="K3207" s="6"/>
      <c r="L3207" s="6"/>
      <c r="M3207" s="6"/>
      <c r="N3207" s="6"/>
      <c r="O3207" s="6"/>
      <c r="P3207" s="6"/>
      <c r="Q3207" s="6"/>
      <c r="R3207" s="6"/>
      <c r="S3207" s="6"/>
      <c r="T3207" s="6"/>
      <c r="U3207" s="6"/>
      <c r="V3207" s="6"/>
      <c r="W3207" s="6"/>
      <c r="X3207" s="6"/>
      <c r="Y3207" s="6"/>
      <c r="Z3207" s="6"/>
      <c r="AA3207" s="6"/>
      <c r="AB3207" s="6"/>
      <c r="AC3207" s="6"/>
      <c r="AD3207" s="6"/>
      <c r="AE3207" s="6"/>
      <c r="AF3207" s="6"/>
      <c r="AG3207" s="6"/>
      <c r="AH3207" s="6"/>
      <c r="AI3207" s="6"/>
      <c r="AJ3207" s="6"/>
      <c r="AK3207" s="6"/>
      <c r="AL3207" s="6"/>
      <c r="AM3207" s="6"/>
    </row>
    <row r="3208">
      <c r="A3208" s="6"/>
      <c r="B3208" s="6"/>
      <c r="C3208" s="6"/>
      <c r="D3208" s="6"/>
      <c r="E3208" s="6"/>
      <c r="F3208" s="6"/>
      <c r="G3208" s="6"/>
      <c r="H3208" s="6"/>
      <c r="I3208" s="6"/>
      <c r="J3208" s="6"/>
      <c r="K3208" s="6"/>
      <c r="L3208" s="6"/>
      <c r="M3208" s="6"/>
      <c r="N3208" s="6"/>
      <c r="O3208" s="6"/>
      <c r="P3208" s="6"/>
      <c r="Q3208" s="6"/>
      <c r="R3208" s="6"/>
      <c r="S3208" s="6"/>
      <c r="T3208" s="6"/>
      <c r="U3208" s="6"/>
      <c r="V3208" s="6"/>
      <c r="W3208" s="6"/>
      <c r="X3208" s="6"/>
      <c r="Y3208" s="6"/>
      <c r="Z3208" s="6"/>
      <c r="AA3208" s="6"/>
      <c r="AB3208" s="6"/>
      <c r="AC3208" s="6"/>
      <c r="AD3208" s="6"/>
      <c r="AE3208" s="6"/>
      <c r="AF3208" s="6"/>
      <c r="AG3208" s="6"/>
      <c r="AH3208" s="6"/>
      <c r="AI3208" s="6"/>
      <c r="AJ3208" s="6"/>
      <c r="AK3208" s="6"/>
      <c r="AL3208" s="6"/>
      <c r="AM3208" s="6"/>
    </row>
    <row r="3209">
      <c r="A3209" s="6"/>
      <c r="B3209" s="6"/>
      <c r="C3209" s="6"/>
      <c r="D3209" s="6"/>
      <c r="E3209" s="6"/>
      <c r="F3209" s="6"/>
      <c r="G3209" s="6"/>
      <c r="H3209" s="6"/>
      <c r="I3209" s="6"/>
      <c r="J3209" s="6"/>
      <c r="K3209" s="6"/>
      <c r="L3209" s="6"/>
      <c r="M3209" s="6"/>
      <c r="N3209" s="6"/>
      <c r="O3209" s="6"/>
      <c r="P3209" s="6"/>
      <c r="Q3209" s="6"/>
      <c r="R3209" s="6"/>
      <c r="S3209" s="6"/>
      <c r="T3209" s="6"/>
      <c r="U3209" s="6"/>
      <c r="V3209" s="6"/>
      <c r="W3209" s="6"/>
      <c r="X3209" s="6"/>
      <c r="Y3209" s="6"/>
      <c r="Z3209" s="6"/>
      <c r="AA3209" s="6"/>
      <c r="AB3209" s="6"/>
      <c r="AC3209" s="6"/>
      <c r="AD3209" s="6"/>
      <c r="AE3209" s="6"/>
      <c r="AF3209" s="6"/>
      <c r="AG3209" s="6"/>
      <c r="AH3209" s="6"/>
      <c r="AI3209" s="6"/>
      <c r="AJ3209" s="6"/>
      <c r="AK3209" s="6"/>
      <c r="AL3209" s="6"/>
      <c r="AM3209" s="6"/>
    </row>
    <row r="3210">
      <c r="A3210" s="6"/>
      <c r="B3210" s="6"/>
      <c r="C3210" s="6"/>
      <c r="D3210" s="6"/>
      <c r="E3210" s="6"/>
      <c r="F3210" s="6"/>
      <c r="G3210" s="6"/>
      <c r="H3210" s="6"/>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c r="AG3210" s="6"/>
      <c r="AH3210" s="6"/>
      <c r="AI3210" s="6"/>
      <c r="AJ3210" s="6"/>
      <c r="AK3210" s="6"/>
      <c r="AL3210" s="6"/>
      <c r="AM3210" s="6"/>
    </row>
    <row r="3211">
      <c r="A3211" s="6"/>
      <c r="B3211" s="6"/>
      <c r="C3211" s="6"/>
      <c r="D3211" s="6"/>
      <c r="E3211" s="6"/>
      <c r="F3211" s="6"/>
      <c r="G3211" s="6"/>
      <c r="H3211" s="6"/>
      <c r="I3211" s="6"/>
      <c r="J3211" s="6"/>
      <c r="K3211" s="6"/>
      <c r="L3211" s="6"/>
      <c r="M3211" s="6"/>
      <c r="N3211" s="6"/>
      <c r="O3211" s="6"/>
      <c r="P3211" s="6"/>
      <c r="Q3211" s="6"/>
      <c r="R3211" s="6"/>
      <c r="S3211" s="6"/>
      <c r="T3211" s="6"/>
      <c r="U3211" s="6"/>
      <c r="V3211" s="6"/>
      <c r="W3211" s="6"/>
      <c r="X3211" s="6"/>
      <c r="Y3211" s="6"/>
      <c r="Z3211" s="6"/>
      <c r="AA3211" s="6"/>
      <c r="AB3211" s="6"/>
      <c r="AC3211" s="6"/>
      <c r="AD3211" s="6"/>
      <c r="AE3211" s="6"/>
      <c r="AF3211" s="6"/>
      <c r="AG3211" s="6"/>
      <c r="AH3211" s="6"/>
      <c r="AI3211" s="6"/>
      <c r="AJ3211" s="6"/>
      <c r="AK3211" s="6"/>
      <c r="AL3211" s="6"/>
      <c r="AM3211" s="6"/>
    </row>
    <row r="3212">
      <c r="A3212" s="6"/>
      <c r="B3212" s="6"/>
      <c r="C3212" s="6"/>
      <c r="D3212" s="6"/>
      <c r="E3212" s="6"/>
      <c r="F3212" s="6"/>
      <c r="G3212" s="6"/>
      <c r="H3212" s="6"/>
      <c r="I3212" s="6"/>
      <c r="J3212" s="6"/>
      <c r="K3212" s="6"/>
      <c r="L3212" s="6"/>
      <c r="M3212" s="6"/>
      <c r="N3212" s="6"/>
      <c r="O3212" s="6"/>
      <c r="P3212" s="6"/>
      <c r="Q3212" s="6"/>
      <c r="R3212" s="6"/>
      <c r="S3212" s="6"/>
      <c r="T3212" s="6"/>
      <c r="U3212" s="6"/>
      <c r="V3212" s="6"/>
      <c r="W3212" s="6"/>
      <c r="X3212" s="6"/>
      <c r="Y3212" s="6"/>
      <c r="Z3212" s="6"/>
      <c r="AA3212" s="6"/>
      <c r="AB3212" s="6"/>
      <c r="AC3212" s="6"/>
      <c r="AD3212" s="6"/>
      <c r="AE3212" s="6"/>
      <c r="AF3212" s="6"/>
      <c r="AG3212" s="6"/>
      <c r="AH3212" s="6"/>
      <c r="AI3212" s="6"/>
      <c r="AJ3212" s="6"/>
      <c r="AK3212" s="6"/>
      <c r="AL3212" s="6"/>
      <c r="AM3212" s="6"/>
    </row>
    <row r="3213">
      <c r="A3213" s="6"/>
      <c r="B3213" s="6"/>
      <c r="C3213" s="6"/>
      <c r="D3213" s="6"/>
      <c r="E3213" s="6"/>
      <c r="F3213" s="6"/>
      <c r="G3213" s="6"/>
      <c r="H3213" s="6"/>
      <c r="I3213" s="6"/>
      <c r="J3213" s="6"/>
      <c r="K3213" s="6"/>
      <c r="L3213" s="6"/>
      <c r="M3213" s="6"/>
      <c r="N3213" s="6"/>
      <c r="O3213" s="6"/>
      <c r="P3213" s="6"/>
      <c r="Q3213" s="6"/>
      <c r="R3213" s="6"/>
      <c r="S3213" s="6"/>
      <c r="T3213" s="6"/>
      <c r="U3213" s="6"/>
      <c r="V3213" s="6"/>
      <c r="W3213" s="6"/>
      <c r="X3213" s="6"/>
      <c r="Y3213" s="6"/>
      <c r="Z3213" s="6"/>
      <c r="AA3213" s="6"/>
      <c r="AB3213" s="6"/>
      <c r="AC3213" s="6"/>
      <c r="AD3213" s="6"/>
      <c r="AE3213" s="6"/>
      <c r="AF3213" s="6"/>
      <c r="AG3213" s="6"/>
      <c r="AH3213" s="6"/>
      <c r="AI3213" s="6"/>
      <c r="AJ3213" s="6"/>
      <c r="AK3213" s="6"/>
      <c r="AL3213" s="6"/>
      <c r="AM3213" s="6"/>
    </row>
    <row r="3214">
      <c r="A3214" s="6"/>
      <c r="B3214" s="6"/>
      <c r="C3214" s="6"/>
      <c r="D3214" s="6"/>
      <c r="E3214" s="6"/>
      <c r="F3214" s="6"/>
      <c r="G3214" s="6"/>
      <c r="H3214" s="6"/>
      <c r="I3214" s="6"/>
      <c r="J3214" s="6"/>
      <c r="K3214" s="6"/>
      <c r="L3214" s="6"/>
      <c r="M3214" s="6"/>
      <c r="N3214" s="6"/>
      <c r="O3214" s="6"/>
      <c r="P3214" s="6"/>
      <c r="Q3214" s="6"/>
      <c r="R3214" s="6"/>
      <c r="S3214" s="6"/>
      <c r="T3214" s="6"/>
      <c r="U3214" s="6"/>
      <c r="V3214" s="6"/>
      <c r="W3214" s="6"/>
      <c r="X3214" s="6"/>
      <c r="Y3214" s="6"/>
      <c r="Z3214" s="6"/>
      <c r="AA3214" s="6"/>
      <c r="AB3214" s="6"/>
      <c r="AC3214" s="6"/>
      <c r="AD3214" s="6"/>
      <c r="AE3214" s="6"/>
      <c r="AF3214" s="6"/>
      <c r="AG3214" s="6"/>
      <c r="AH3214" s="6"/>
      <c r="AI3214" s="6"/>
      <c r="AJ3214" s="6"/>
      <c r="AK3214" s="6"/>
      <c r="AL3214" s="6"/>
      <c r="AM3214" s="6"/>
    </row>
    <row r="3215">
      <c r="A3215" s="6"/>
      <c r="B3215" s="6"/>
      <c r="C3215" s="6"/>
      <c r="D3215" s="6"/>
      <c r="E3215" s="6"/>
      <c r="F3215" s="6"/>
      <c r="G3215" s="6"/>
      <c r="H3215" s="6"/>
      <c r="I3215" s="6"/>
      <c r="J3215" s="6"/>
      <c r="K3215" s="6"/>
      <c r="L3215" s="6"/>
      <c r="M3215" s="6"/>
      <c r="N3215" s="6"/>
      <c r="O3215" s="6"/>
      <c r="P3215" s="6"/>
      <c r="Q3215" s="6"/>
      <c r="R3215" s="6"/>
      <c r="S3215" s="6"/>
      <c r="T3215" s="6"/>
      <c r="U3215" s="6"/>
      <c r="V3215" s="6"/>
      <c r="W3215" s="6"/>
      <c r="X3215" s="6"/>
      <c r="Y3215" s="6"/>
      <c r="Z3215" s="6"/>
      <c r="AA3215" s="6"/>
      <c r="AB3215" s="6"/>
      <c r="AC3215" s="6"/>
      <c r="AD3215" s="6"/>
      <c r="AE3215" s="6"/>
      <c r="AF3215" s="6"/>
      <c r="AG3215" s="6"/>
      <c r="AH3215" s="6"/>
      <c r="AI3215" s="6"/>
      <c r="AJ3215" s="6"/>
      <c r="AK3215" s="6"/>
      <c r="AL3215" s="6"/>
      <c r="AM3215" s="6"/>
    </row>
    <row r="3216">
      <c r="A3216" s="6"/>
      <c r="B3216" s="6"/>
      <c r="C3216" s="6"/>
      <c r="D3216" s="6"/>
      <c r="E3216" s="6"/>
      <c r="F3216" s="6"/>
      <c r="G3216" s="6"/>
      <c r="H3216" s="6"/>
      <c r="I3216" s="6"/>
      <c r="J3216" s="6"/>
      <c r="K3216" s="6"/>
      <c r="L3216" s="6"/>
      <c r="M3216" s="6"/>
      <c r="N3216" s="6"/>
      <c r="O3216" s="6"/>
      <c r="P3216" s="6"/>
      <c r="Q3216" s="6"/>
      <c r="R3216" s="6"/>
      <c r="S3216" s="6"/>
      <c r="T3216" s="6"/>
      <c r="U3216" s="6"/>
      <c r="V3216" s="6"/>
      <c r="W3216" s="6"/>
      <c r="X3216" s="6"/>
      <c r="Y3216" s="6"/>
      <c r="Z3216" s="6"/>
      <c r="AA3216" s="6"/>
      <c r="AB3216" s="6"/>
      <c r="AC3216" s="6"/>
      <c r="AD3216" s="6"/>
      <c r="AE3216" s="6"/>
      <c r="AF3216" s="6"/>
      <c r="AG3216" s="6"/>
      <c r="AH3216" s="6"/>
      <c r="AI3216" s="6"/>
      <c r="AJ3216" s="6"/>
      <c r="AK3216" s="6"/>
      <c r="AL3216" s="6"/>
      <c r="AM3216" s="6"/>
    </row>
    <row r="3217">
      <c r="A3217" s="6"/>
      <c r="B3217" s="6"/>
      <c r="C3217" s="6"/>
      <c r="D3217" s="6"/>
      <c r="E3217" s="6"/>
      <c r="F3217" s="6"/>
      <c r="G3217" s="6"/>
      <c r="H3217" s="6"/>
      <c r="I3217" s="6"/>
      <c r="J3217" s="6"/>
      <c r="K3217" s="6"/>
      <c r="L3217" s="6"/>
      <c r="M3217" s="6"/>
      <c r="N3217" s="6"/>
      <c r="O3217" s="6"/>
      <c r="P3217" s="6"/>
      <c r="Q3217" s="6"/>
      <c r="R3217" s="6"/>
      <c r="S3217" s="6"/>
      <c r="T3217" s="6"/>
      <c r="U3217" s="6"/>
      <c r="V3217" s="6"/>
      <c r="W3217" s="6"/>
      <c r="X3217" s="6"/>
      <c r="Y3217" s="6"/>
      <c r="Z3217" s="6"/>
      <c r="AA3217" s="6"/>
      <c r="AB3217" s="6"/>
      <c r="AC3217" s="6"/>
      <c r="AD3217" s="6"/>
      <c r="AE3217" s="6"/>
      <c r="AF3217" s="6"/>
      <c r="AG3217" s="6"/>
      <c r="AH3217" s="6"/>
      <c r="AI3217" s="6"/>
      <c r="AJ3217" s="6"/>
      <c r="AK3217" s="6"/>
      <c r="AL3217" s="6"/>
      <c r="AM3217" s="6"/>
    </row>
    <row r="3218">
      <c r="A3218" s="6"/>
      <c r="B3218" s="6"/>
      <c r="C3218" s="6"/>
      <c r="D3218" s="6"/>
      <c r="E3218" s="6"/>
      <c r="F3218" s="6"/>
      <c r="G3218" s="6"/>
      <c r="H3218" s="6"/>
      <c r="I3218" s="6"/>
      <c r="J3218" s="6"/>
      <c r="K3218" s="6"/>
      <c r="L3218" s="6"/>
      <c r="M3218" s="6"/>
      <c r="N3218" s="6"/>
      <c r="O3218" s="6"/>
      <c r="P3218" s="6"/>
      <c r="Q3218" s="6"/>
      <c r="R3218" s="6"/>
      <c r="S3218" s="6"/>
      <c r="T3218" s="6"/>
      <c r="U3218" s="6"/>
      <c r="V3218" s="6"/>
      <c r="W3218" s="6"/>
      <c r="X3218" s="6"/>
      <c r="Y3218" s="6"/>
      <c r="Z3218" s="6"/>
      <c r="AA3218" s="6"/>
      <c r="AB3218" s="6"/>
      <c r="AC3218" s="6"/>
      <c r="AD3218" s="6"/>
      <c r="AE3218" s="6"/>
      <c r="AF3218" s="6"/>
      <c r="AG3218" s="6"/>
      <c r="AH3218" s="6"/>
      <c r="AI3218" s="6"/>
      <c r="AJ3218" s="6"/>
      <c r="AK3218" s="6"/>
      <c r="AL3218" s="6"/>
      <c r="AM3218" s="6"/>
    </row>
    <row r="3219">
      <c r="A3219" s="6"/>
      <c r="B3219" s="6"/>
      <c r="C3219" s="6"/>
      <c r="D3219" s="6"/>
      <c r="E3219" s="6"/>
      <c r="F3219" s="6"/>
      <c r="G3219" s="6"/>
      <c r="H3219" s="6"/>
      <c r="I3219" s="6"/>
      <c r="J3219" s="6"/>
      <c r="K3219" s="6"/>
      <c r="L3219" s="6"/>
      <c r="M3219" s="6"/>
      <c r="N3219" s="6"/>
      <c r="O3219" s="6"/>
      <c r="P3219" s="6"/>
      <c r="Q3219" s="6"/>
      <c r="R3219" s="6"/>
      <c r="S3219" s="6"/>
      <c r="T3219" s="6"/>
      <c r="U3219" s="6"/>
      <c r="V3219" s="6"/>
      <c r="W3219" s="6"/>
      <c r="X3219" s="6"/>
      <c r="Y3219" s="6"/>
      <c r="Z3219" s="6"/>
      <c r="AA3219" s="6"/>
      <c r="AB3219" s="6"/>
      <c r="AC3219" s="6"/>
      <c r="AD3219" s="6"/>
      <c r="AE3219" s="6"/>
      <c r="AF3219" s="6"/>
      <c r="AG3219" s="6"/>
      <c r="AH3219" s="6"/>
      <c r="AI3219" s="6"/>
      <c r="AJ3219" s="6"/>
      <c r="AK3219" s="6"/>
      <c r="AL3219" s="6"/>
      <c r="AM3219" s="6"/>
    </row>
    <row r="3220">
      <c r="A3220" s="6"/>
      <c r="B3220" s="6"/>
      <c r="C3220" s="6"/>
      <c r="D3220" s="6"/>
      <c r="E3220" s="6"/>
      <c r="F3220" s="6"/>
      <c r="G3220" s="6"/>
      <c r="H3220" s="6"/>
      <c r="I3220" s="6"/>
      <c r="J3220" s="6"/>
      <c r="K3220" s="6"/>
      <c r="L3220" s="6"/>
      <c r="M3220" s="6"/>
      <c r="N3220" s="6"/>
      <c r="O3220" s="6"/>
      <c r="P3220" s="6"/>
      <c r="Q3220" s="6"/>
      <c r="R3220" s="6"/>
      <c r="S3220" s="6"/>
      <c r="T3220" s="6"/>
      <c r="U3220" s="6"/>
      <c r="V3220" s="6"/>
      <c r="W3220" s="6"/>
      <c r="X3220" s="6"/>
      <c r="Y3220" s="6"/>
      <c r="Z3220" s="6"/>
      <c r="AA3220" s="6"/>
      <c r="AB3220" s="6"/>
      <c r="AC3220" s="6"/>
      <c r="AD3220" s="6"/>
      <c r="AE3220" s="6"/>
      <c r="AF3220" s="6"/>
      <c r="AG3220" s="6"/>
      <c r="AH3220" s="6"/>
      <c r="AI3220" s="6"/>
      <c r="AJ3220" s="6"/>
      <c r="AK3220" s="6"/>
      <c r="AL3220" s="6"/>
      <c r="AM3220" s="6"/>
    </row>
    <row r="3221">
      <c r="A3221" s="6"/>
      <c r="B3221" s="6"/>
      <c r="C3221" s="6"/>
      <c r="D3221" s="6"/>
      <c r="E3221" s="6"/>
      <c r="F3221" s="6"/>
      <c r="G3221" s="6"/>
      <c r="H3221" s="6"/>
      <c r="I3221" s="6"/>
      <c r="J3221" s="6"/>
      <c r="K3221" s="6"/>
      <c r="L3221" s="6"/>
      <c r="M3221" s="6"/>
      <c r="N3221" s="6"/>
      <c r="O3221" s="6"/>
      <c r="P3221" s="6"/>
      <c r="Q3221" s="6"/>
      <c r="R3221" s="6"/>
      <c r="S3221" s="6"/>
      <c r="T3221" s="6"/>
      <c r="U3221" s="6"/>
      <c r="V3221" s="6"/>
      <c r="W3221" s="6"/>
      <c r="X3221" s="6"/>
      <c r="Y3221" s="6"/>
      <c r="Z3221" s="6"/>
      <c r="AA3221" s="6"/>
      <c r="AB3221" s="6"/>
      <c r="AC3221" s="6"/>
      <c r="AD3221" s="6"/>
      <c r="AE3221" s="6"/>
      <c r="AF3221" s="6"/>
      <c r="AG3221" s="6"/>
      <c r="AH3221" s="6"/>
      <c r="AI3221" s="6"/>
      <c r="AJ3221" s="6"/>
      <c r="AK3221" s="6"/>
      <c r="AL3221" s="6"/>
      <c r="AM3221" s="6"/>
    </row>
    <row r="3222">
      <c r="A3222" s="6"/>
      <c r="B3222" s="6"/>
      <c r="C3222" s="6"/>
      <c r="D3222" s="6"/>
      <c r="E3222" s="6"/>
      <c r="F3222" s="6"/>
      <c r="G3222" s="6"/>
      <c r="H3222" s="6"/>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c r="AG3222" s="6"/>
      <c r="AH3222" s="6"/>
      <c r="AI3222" s="6"/>
      <c r="AJ3222" s="6"/>
      <c r="AK3222" s="6"/>
      <c r="AL3222" s="6"/>
      <c r="AM3222" s="6"/>
    </row>
    <row r="3223">
      <c r="A3223" s="6"/>
      <c r="B3223" s="6"/>
      <c r="C3223" s="6"/>
      <c r="D3223" s="6"/>
      <c r="E3223" s="6"/>
      <c r="F3223" s="6"/>
      <c r="G3223" s="6"/>
      <c r="H3223" s="6"/>
      <c r="I3223" s="6"/>
      <c r="J3223" s="6"/>
      <c r="K3223" s="6"/>
      <c r="L3223" s="6"/>
      <c r="M3223" s="6"/>
      <c r="N3223" s="6"/>
      <c r="O3223" s="6"/>
      <c r="P3223" s="6"/>
      <c r="Q3223" s="6"/>
      <c r="R3223" s="6"/>
      <c r="S3223" s="6"/>
      <c r="T3223" s="6"/>
      <c r="U3223" s="6"/>
      <c r="V3223" s="6"/>
      <c r="W3223" s="6"/>
      <c r="X3223" s="6"/>
      <c r="Y3223" s="6"/>
      <c r="Z3223" s="6"/>
      <c r="AA3223" s="6"/>
      <c r="AB3223" s="6"/>
      <c r="AC3223" s="6"/>
      <c r="AD3223" s="6"/>
      <c r="AE3223" s="6"/>
      <c r="AF3223" s="6"/>
      <c r="AG3223" s="6"/>
      <c r="AH3223" s="6"/>
      <c r="AI3223" s="6"/>
      <c r="AJ3223" s="6"/>
      <c r="AK3223" s="6"/>
      <c r="AL3223" s="6"/>
      <c r="AM3223" s="6"/>
    </row>
    <row r="3224">
      <c r="A3224" s="6"/>
      <c r="B3224" s="6"/>
      <c r="C3224" s="6"/>
      <c r="D3224" s="6"/>
      <c r="E3224" s="6"/>
      <c r="F3224" s="6"/>
      <c r="G3224" s="6"/>
      <c r="H3224" s="6"/>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c r="AG3224" s="6"/>
      <c r="AH3224" s="6"/>
      <c r="AI3224" s="6"/>
      <c r="AJ3224" s="6"/>
      <c r="AK3224" s="6"/>
      <c r="AL3224" s="6"/>
      <c r="AM3224" s="6"/>
    </row>
    <row r="3225">
      <c r="A3225" s="6"/>
      <c r="B3225" s="6"/>
      <c r="C3225" s="6"/>
      <c r="D3225" s="6"/>
      <c r="E3225" s="6"/>
      <c r="F3225" s="6"/>
      <c r="G3225" s="6"/>
      <c r="H3225" s="6"/>
      <c r="I3225" s="6"/>
      <c r="J3225" s="6"/>
      <c r="K3225" s="6"/>
      <c r="L3225" s="6"/>
      <c r="M3225" s="6"/>
      <c r="N3225" s="6"/>
      <c r="O3225" s="6"/>
      <c r="P3225" s="6"/>
      <c r="Q3225" s="6"/>
      <c r="R3225" s="6"/>
      <c r="S3225" s="6"/>
      <c r="T3225" s="6"/>
      <c r="U3225" s="6"/>
      <c r="V3225" s="6"/>
      <c r="W3225" s="6"/>
      <c r="X3225" s="6"/>
      <c r="Y3225" s="6"/>
      <c r="Z3225" s="6"/>
      <c r="AA3225" s="6"/>
      <c r="AB3225" s="6"/>
      <c r="AC3225" s="6"/>
      <c r="AD3225" s="6"/>
      <c r="AE3225" s="6"/>
      <c r="AF3225" s="6"/>
      <c r="AG3225" s="6"/>
      <c r="AH3225" s="6"/>
      <c r="AI3225" s="6"/>
      <c r="AJ3225" s="6"/>
      <c r="AK3225" s="6"/>
      <c r="AL3225" s="6"/>
      <c r="AM3225" s="6"/>
    </row>
    <row r="3226">
      <c r="A3226" s="6"/>
      <c r="B3226" s="6"/>
      <c r="C3226" s="6"/>
      <c r="D3226" s="6"/>
      <c r="E3226" s="6"/>
      <c r="F3226" s="6"/>
      <c r="G3226" s="6"/>
      <c r="H3226" s="6"/>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c r="AG3226" s="6"/>
      <c r="AH3226" s="6"/>
      <c r="AI3226" s="6"/>
      <c r="AJ3226" s="6"/>
      <c r="AK3226" s="6"/>
      <c r="AL3226" s="6"/>
      <c r="AM3226" s="6"/>
    </row>
    <row r="3227">
      <c r="A3227" s="6"/>
      <c r="B3227" s="6"/>
      <c r="C3227" s="6"/>
      <c r="D3227" s="6"/>
      <c r="E3227" s="6"/>
      <c r="F3227" s="6"/>
      <c r="G3227" s="6"/>
      <c r="H3227" s="6"/>
      <c r="I3227" s="6"/>
      <c r="J3227" s="6"/>
      <c r="K3227" s="6"/>
      <c r="L3227" s="6"/>
      <c r="M3227" s="6"/>
      <c r="N3227" s="6"/>
      <c r="O3227" s="6"/>
      <c r="P3227" s="6"/>
      <c r="Q3227" s="6"/>
      <c r="R3227" s="6"/>
      <c r="S3227" s="6"/>
      <c r="T3227" s="6"/>
      <c r="U3227" s="6"/>
      <c r="V3227" s="6"/>
      <c r="W3227" s="6"/>
      <c r="X3227" s="6"/>
      <c r="Y3227" s="6"/>
      <c r="Z3227" s="6"/>
      <c r="AA3227" s="6"/>
      <c r="AB3227" s="6"/>
      <c r="AC3227" s="6"/>
      <c r="AD3227" s="6"/>
      <c r="AE3227" s="6"/>
      <c r="AF3227" s="6"/>
      <c r="AG3227" s="6"/>
      <c r="AH3227" s="6"/>
      <c r="AI3227" s="6"/>
      <c r="AJ3227" s="6"/>
      <c r="AK3227" s="6"/>
      <c r="AL3227" s="6"/>
      <c r="AM3227" s="6"/>
    </row>
    <row r="3228">
      <c r="A3228" s="6"/>
      <c r="B3228" s="6"/>
      <c r="C3228" s="6"/>
      <c r="D3228" s="6"/>
      <c r="E3228" s="6"/>
      <c r="F3228" s="6"/>
      <c r="G3228" s="6"/>
      <c r="H3228" s="6"/>
      <c r="I3228" s="6"/>
      <c r="J3228" s="6"/>
      <c r="K3228" s="6"/>
      <c r="L3228" s="6"/>
      <c r="M3228" s="6"/>
      <c r="N3228" s="6"/>
      <c r="O3228" s="6"/>
      <c r="P3228" s="6"/>
      <c r="Q3228" s="6"/>
      <c r="R3228" s="6"/>
      <c r="S3228" s="6"/>
      <c r="T3228" s="6"/>
      <c r="U3228" s="6"/>
      <c r="V3228" s="6"/>
      <c r="W3228" s="6"/>
      <c r="X3228" s="6"/>
      <c r="Y3228" s="6"/>
      <c r="Z3228" s="6"/>
      <c r="AA3228" s="6"/>
      <c r="AB3228" s="6"/>
      <c r="AC3228" s="6"/>
      <c r="AD3228" s="6"/>
      <c r="AE3228" s="6"/>
      <c r="AF3228" s="6"/>
      <c r="AG3228" s="6"/>
      <c r="AH3228" s="6"/>
      <c r="AI3228" s="6"/>
      <c r="AJ3228" s="6"/>
      <c r="AK3228" s="6"/>
      <c r="AL3228" s="6"/>
      <c r="AM3228" s="6"/>
    </row>
    <row r="3229">
      <c r="A3229" s="6"/>
      <c r="B3229" s="6"/>
      <c r="C3229" s="6"/>
      <c r="D3229" s="6"/>
      <c r="E3229" s="6"/>
      <c r="F3229" s="6"/>
      <c r="G3229" s="6"/>
      <c r="H3229" s="6"/>
      <c r="I3229" s="6"/>
      <c r="J3229" s="6"/>
      <c r="K3229" s="6"/>
      <c r="L3229" s="6"/>
      <c r="M3229" s="6"/>
      <c r="N3229" s="6"/>
      <c r="O3229" s="6"/>
      <c r="P3229" s="6"/>
      <c r="Q3229" s="6"/>
      <c r="R3229" s="6"/>
      <c r="S3229" s="6"/>
      <c r="T3229" s="6"/>
      <c r="U3229" s="6"/>
      <c r="V3229" s="6"/>
      <c r="W3229" s="6"/>
      <c r="X3229" s="6"/>
      <c r="Y3229" s="6"/>
      <c r="Z3229" s="6"/>
      <c r="AA3229" s="6"/>
      <c r="AB3229" s="6"/>
      <c r="AC3229" s="6"/>
      <c r="AD3229" s="6"/>
      <c r="AE3229" s="6"/>
      <c r="AF3229" s="6"/>
      <c r="AG3229" s="6"/>
      <c r="AH3229" s="6"/>
      <c r="AI3229" s="6"/>
      <c r="AJ3229" s="6"/>
      <c r="AK3229" s="6"/>
      <c r="AL3229" s="6"/>
      <c r="AM3229" s="6"/>
    </row>
    <row r="3230">
      <c r="A3230" s="6"/>
      <c r="B3230" s="6"/>
      <c r="C3230" s="6"/>
      <c r="D3230" s="6"/>
      <c r="E3230" s="6"/>
      <c r="F3230" s="6"/>
      <c r="G3230" s="6"/>
      <c r="H3230" s="6"/>
      <c r="I3230" s="6"/>
      <c r="J3230" s="6"/>
      <c r="K3230" s="6"/>
      <c r="L3230" s="6"/>
      <c r="M3230" s="6"/>
      <c r="N3230" s="6"/>
      <c r="O3230" s="6"/>
      <c r="P3230" s="6"/>
      <c r="Q3230" s="6"/>
      <c r="R3230" s="6"/>
      <c r="S3230" s="6"/>
      <c r="T3230" s="6"/>
      <c r="U3230" s="6"/>
      <c r="V3230" s="6"/>
      <c r="W3230" s="6"/>
      <c r="X3230" s="6"/>
      <c r="Y3230" s="6"/>
      <c r="Z3230" s="6"/>
      <c r="AA3230" s="6"/>
      <c r="AB3230" s="6"/>
      <c r="AC3230" s="6"/>
      <c r="AD3230" s="6"/>
      <c r="AE3230" s="6"/>
      <c r="AF3230" s="6"/>
      <c r="AG3230" s="6"/>
      <c r="AH3230" s="6"/>
      <c r="AI3230" s="6"/>
      <c r="AJ3230" s="6"/>
      <c r="AK3230" s="6"/>
      <c r="AL3230" s="6"/>
      <c r="AM3230" s="6"/>
    </row>
    <row r="3231">
      <c r="A3231" s="6"/>
      <c r="B3231" s="6"/>
      <c r="C3231" s="6"/>
      <c r="D3231" s="6"/>
      <c r="E3231" s="6"/>
      <c r="F3231" s="6"/>
      <c r="G3231" s="6"/>
      <c r="H3231" s="6"/>
      <c r="I3231" s="6"/>
      <c r="J3231" s="6"/>
      <c r="K3231" s="6"/>
      <c r="L3231" s="6"/>
      <c r="M3231" s="6"/>
      <c r="N3231" s="6"/>
      <c r="O3231" s="6"/>
      <c r="P3231" s="6"/>
      <c r="Q3231" s="6"/>
      <c r="R3231" s="6"/>
      <c r="S3231" s="6"/>
      <c r="T3231" s="6"/>
      <c r="U3231" s="6"/>
      <c r="V3231" s="6"/>
      <c r="W3231" s="6"/>
      <c r="X3231" s="6"/>
      <c r="Y3231" s="6"/>
      <c r="Z3231" s="6"/>
      <c r="AA3231" s="6"/>
      <c r="AB3231" s="6"/>
      <c r="AC3231" s="6"/>
      <c r="AD3231" s="6"/>
      <c r="AE3231" s="6"/>
      <c r="AF3231" s="6"/>
      <c r="AG3231" s="6"/>
      <c r="AH3231" s="6"/>
      <c r="AI3231" s="6"/>
      <c r="AJ3231" s="6"/>
      <c r="AK3231" s="6"/>
      <c r="AL3231" s="6"/>
      <c r="AM3231" s="6"/>
    </row>
    <row r="3232">
      <c r="A3232" s="6"/>
      <c r="B3232" s="6"/>
      <c r="C3232" s="6"/>
      <c r="D3232" s="6"/>
      <c r="E3232" s="6"/>
      <c r="F3232" s="6"/>
      <c r="G3232" s="6"/>
      <c r="H3232" s="6"/>
      <c r="I3232" s="6"/>
      <c r="J3232" s="6"/>
      <c r="K3232" s="6"/>
      <c r="L3232" s="6"/>
      <c r="M3232" s="6"/>
      <c r="N3232" s="6"/>
      <c r="O3232" s="6"/>
      <c r="P3232" s="6"/>
      <c r="Q3232" s="6"/>
      <c r="R3232" s="6"/>
      <c r="S3232" s="6"/>
      <c r="T3232" s="6"/>
      <c r="U3232" s="6"/>
      <c r="V3232" s="6"/>
      <c r="W3232" s="6"/>
      <c r="X3232" s="6"/>
      <c r="Y3232" s="6"/>
      <c r="Z3232" s="6"/>
      <c r="AA3232" s="6"/>
      <c r="AB3232" s="6"/>
      <c r="AC3232" s="6"/>
      <c r="AD3232" s="6"/>
      <c r="AE3232" s="6"/>
      <c r="AF3232" s="6"/>
      <c r="AG3232" s="6"/>
      <c r="AH3232" s="6"/>
      <c r="AI3232" s="6"/>
      <c r="AJ3232" s="6"/>
      <c r="AK3232" s="6"/>
      <c r="AL3232" s="6"/>
      <c r="AM3232" s="6"/>
    </row>
    <row r="3233">
      <c r="A3233" s="6"/>
      <c r="B3233" s="6"/>
      <c r="C3233" s="6"/>
      <c r="D3233" s="6"/>
      <c r="E3233" s="6"/>
      <c r="F3233" s="6"/>
      <c r="G3233" s="6"/>
      <c r="H3233" s="6"/>
      <c r="I3233" s="6"/>
      <c r="J3233" s="6"/>
      <c r="K3233" s="6"/>
      <c r="L3233" s="6"/>
      <c r="M3233" s="6"/>
      <c r="N3233" s="6"/>
      <c r="O3233" s="6"/>
      <c r="P3233" s="6"/>
      <c r="Q3233" s="6"/>
      <c r="R3233" s="6"/>
      <c r="S3233" s="6"/>
      <c r="T3233" s="6"/>
      <c r="U3233" s="6"/>
      <c r="V3233" s="6"/>
      <c r="W3233" s="6"/>
      <c r="X3233" s="6"/>
      <c r="Y3233" s="6"/>
      <c r="Z3233" s="6"/>
      <c r="AA3233" s="6"/>
      <c r="AB3233" s="6"/>
      <c r="AC3233" s="6"/>
      <c r="AD3233" s="6"/>
      <c r="AE3233" s="6"/>
      <c r="AF3233" s="6"/>
      <c r="AG3233" s="6"/>
      <c r="AH3233" s="6"/>
      <c r="AI3233" s="6"/>
      <c r="AJ3233" s="6"/>
      <c r="AK3233" s="6"/>
      <c r="AL3233" s="6"/>
      <c r="AM3233" s="6"/>
    </row>
    <row r="3234">
      <c r="A3234" s="6"/>
      <c r="B3234" s="6"/>
      <c r="C3234" s="6"/>
      <c r="D3234" s="6"/>
      <c r="E3234" s="6"/>
      <c r="F3234" s="6"/>
      <c r="G3234" s="6"/>
      <c r="H3234" s="6"/>
      <c r="I3234" s="6"/>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c r="AG3234" s="6"/>
      <c r="AH3234" s="6"/>
      <c r="AI3234" s="6"/>
      <c r="AJ3234" s="6"/>
      <c r="AK3234" s="6"/>
      <c r="AL3234" s="6"/>
      <c r="AM3234" s="6"/>
    </row>
    <row r="3235">
      <c r="A3235" s="6"/>
      <c r="B3235" s="6"/>
      <c r="C3235" s="6"/>
      <c r="D3235" s="6"/>
      <c r="E3235" s="6"/>
      <c r="F3235" s="6"/>
      <c r="G3235" s="6"/>
      <c r="H3235" s="6"/>
      <c r="I3235" s="6"/>
      <c r="J3235" s="6"/>
      <c r="K3235" s="6"/>
      <c r="L3235" s="6"/>
      <c r="M3235" s="6"/>
      <c r="N3235" s="6"/>
      <c r="O3235" s="6"/>
      <c r="P3235" s="6"/>
      <c r="Q3235" s="6"/>
      <c r="R3235" s="6"/>
      <c r="S3235" s="6"/>
      <c r="T3235" s="6"/>
      <c r="U3235" s="6"/>
      <c r="V3235" s="6"/>
      <c r="W3235" s="6"/>
      <c r="X3235" s="6"/>
      <c r="Y3235" s="6"/>
      <c r="Z3235" s="6"/>
      <c r="AA3235" s="6"/>
      <c r="AB3235" s="6"/>
      <c r="AC3235" s="6"/>
      <c r="AD3235" s="6"/>
      <c r="AE3235" s="6"/>
      <c r="AF3235" s="6"/>
      <c r="AG3235" s="6"/>
      <c r="AH3235" s="6"/>
      <c r="AI3235" s="6"/>
      <c r="AJ3235" s="6"/>
      <c r="AK3235" s="6"/>
      <c r="AL3235" s="6"/>
      <c r="AM3235" s="6"/>
    </row>
    <row r="3236">
      <c r="A3236" s="6"/>
      <c r="B3236" s="6"/>
      <c r="C3236" s="6"/>
      <c r="D3236" s="6"/>
      <c r="E3236" s="6"/>
      <c r="F3236" s="6"/>
      <c r="G3236" s="6"/>
      <c r="H3236" s="6"/>
      <c r="I3236" s="6"/>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c r="AG3236" s="6"/>
      <c r="AH3236" s="6"/>
      <c r="AI3236" s="6"/>
      <c r="AJ3236" s="6"/>
      <c r="AK3236" s="6"/>
      <c r="AL3236" s="6"/>
      <c r="AM3236" s="6"/>
    </row>
    <row r="3237">
      <c r="A3237" s="6"/>
      <c r="B3237" s="6"/>
      <c r="C3237" s="6"/>
      <c r="D3237" s="6"/>
      <c r="E3237" s="6"/>
      <c r="F3237" s="6"/>
      <c r="G3237" s="6"/>
      <c r="H3237" s="6"/>
      <c r="I3237" s="6"/>
      <c r="J3237" s="6"/>
      <c r="K3237" s="6"/>
      <c r="L3237" s="6"/>
      <c r="M3237" s="6"/>
      <c r="N3237" s="6"/>
      <c r="O3237" s="6"/>
      <c r="P3237" s="6"/>
      <c r="Q3237" s="6"/>
      <c r="R3237" s="6"/>
      <c r="S3237" s="6"/>
      <c r="T3237" s="6"/>
      <c r="U3237" s="6"/>
      <c r="V3237" s="6"/>
      <c r="W3237" s="6"/>
      <c r="X3237" s="6"/>
      <c r="Y3237" s="6"/>
      <c r="Z3237" s="6"/>
      <c r="AA3237" s="6"/>
      <c r="AB3237" s="6"/>
      <c r="AC3237" s="6"/>
      <c r="AD3237" s="6"/>
      <c r="AE3237" s="6"/>
      <c r="AF3237" s="6"/>
      <c r="AG3237" s="6"/>
      <c r="AH3237" s="6"/>
      <c r="AI3237" s="6"/>
      <c r="AJ3237" s="6"/>
      <c r="AK3237" s="6"/>
      <c r="AL3237" s="6"/>
      <c r="AM3237" s="6"/>
    </row>
    <row r="3238">
      <c r="A3238" s="6"/>
      <c r="B3238" s="6"/>
      <c r="C3238" s="6"/>
      <c r="D3238" s="6"/>
      <c r="E3238" s="6"/>
      <c r="F3238" s="6"/>
      <c r="G3238" s="6"/>
      <c r="H3238" s="6"/>
      <c r="I3238" s="6"/>
      <c r="J3238" s="6"/>
      <c r="K3238" s="6"/>
      <c r="L3238" s="6"/>
      <c r="M3238" s="6"/>
      <c r="N3238" s="6"/>
      <c r="O3238" s="6"/>
      <c r="P3238" s="6"/>
      <c r="Q3238" s="6"/>
      <c r="R3238" s="6"/>
      <c r="S3238" s="6"/>
      <c r="T3238" s="6"/>
      <c r="U3238" s="6"/>
      <c r="V3238" s="6"/>
      <c r="W3238" s="6"/>
      <c r="X3238" s="6"/>
      <c r="Y3238" s="6"/>
      <c r="Z3238" s="6"/>
      <c r="AA3238" s="6"/>
      <c r="AB3238" s="6"/>
      <c r="AC3238" s="6"/>
      <c r="AD3238" s="6"/>
      <c r="AE3238" s="6"/>
      <c r="AF3238" s="6"/>
      <c r="AG3238" s="6"/>
      <c r="AH3238" s="6"/>
      <c r="AI3238" s="6"/>
      <c r="AJ3238" s="6"/>
      <c r="AK3238" s="6"/>
      <c r="AL3238" s="6"/>
      <c r="AM3238" s="6"/>
    </row>
    <row r="3239">
      <c r="A3239" s="6"/>
      <c r="B3239" s="6"/>
      <c r="C3239" s="6"/>
      <c r="D3239" s="6"/>
      <c r="E3239" s="6"/>
      <c r="F3239" s="6"/>
      <c r="G3239" s="6"/>
      <c r="H3239" s="6"/>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c r="AG3239" s="6"/>
      <c r="AH3239" s="6"/>
      <c r="AI3239" s="6"/>
      <c r="AJ3239" s="6"/>
      <c r="AK3239" s="6"/>
      <c r="AL3239" s="6"/>
      <c r="AM3239" s="6"/>
    </row>
    <row r="3240">
      <c r="A3240" s="6"/>
      <c r="B3240" s="6"/>
      <c r="C3240" s="6"/>
      <c r="D3240" s="6"/>
      <c r="E3240" s="6"/>
      <c r="F3240" s="6"/>
      <c r="G3240" s="6"/>
      <c r="H3240" s="6"/>
      <c r="I3240" s="6"/>
      <c r="J3240" s="6"/>
      <c r="K3240" s="6"/>
      <c r="L3240" s="6"/>
      <c r="M3240" s="6"/>
      <c r="N3240" s="6"/>
      <c r="O3240" s="6"/>
      <c r="P3240" s="6"/>
      <c r="Q3240" s="6"/>
      <c r="R3240" s="6"/>
      <c r="S3240" s="6"/>
      <c r="T3240" s="6"/>
      <c r="U3240" s="6"/>
      <c r="V3240" s="6"/>
      <c r="W3240" s="6"/>
      <c r="X3240" s="6"/>
      <c r="Y3240" s="6"/>
      <c r="Z3240" s="6"/>
      <c r="AA3240" s="6"/>
      <c r="AB3240" s="6"/>
      <c r="AC3240" s="6"/>
      <c r="AD3240" s="6"/>
      <c r="AE3240" s="6"/>
      <c r="AF3240" s="6"/>
      <c r="AG3240" s="6"/>
      <c r="AH3240" s="6"/>
      <c r="AI3240" s="6"/>
      <c r="AJ3240" s="6"/>
      <c r="AK3240" s="6"/>
      <c r="AL3240" s="6"/>
      <c r="AM3240" s="6"/>
    </row>
    <row r="3241">
      <c r="A3241" s="6"/>
      <c r="B3241" s="6"/>
      <c r="C3241" s="6"/>
      <c r="D3241" s="6"/>
      <c r="E3241" s="6"/>
      <c r="F3241" s="6"/>
      <c r="G3241" s="6"/>
      <c r="H3241" s="6"/>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c r="AG3241" s="6"/>
      <c r="AH3241" s="6"/>
      <c r="AI3241" s="6"/>
      <c r="AJ3241" s="6"/>
      <c r="AK3241" s="6"/>
      <c r="AL3241" s="6"/>
      <c r="AM3241" s="6"/>
    </row>
    <row r="3242">
      <c r="A3242" s="6"/>
      <c r="B3242" s="6"/>
      <c r="C3242" s="6"/>
      <c r="D3242" s="6"/>
      <c r="E3242" s="6"/>
      <c r="F3242" s="6"/>
      <c r="G3242" s="6"/>
      <c r="H3242" s="6"/>
      <c r="I3242" s="6"/>
      <c r="J3242" s="6"/>
      <c r="K3242" s="6"/>
      <c r="L3242" s="6"/>
      <c r="M3242" s="6"/>
      <c r="N3242" s="6"/>
      <c r="O3242" s="6"/>
      <c r="P3242" s="6"/>
      <c r="Q3242" s="6"/>
      <c r="R3242" s="6"/>
      <c r="S3242" s="6"/>
      <c r="T3242" s="6"/>
      <c r="U3242" s="6"/>
      <c r="V3242" s="6"/>
      <c r="W3242" s="6"/>
      <c r="X3242" s="6"/>
      <c r="Y3242" s="6"/>
      <c r="Z3242" s="6"/>
      <c r="AA3242" s="6"/>
      <c r="AB3242" s="6"/>
      <c r="AC3242" s="6"/>
      <c r="AD3242" s="6"/>
      <c r="AE3242" s="6"/>
      <c r="AF3242" s="6"/>
      <c r="AG3242" s="6"/>
      <c r="AH3242" s="6"/>
      <c r="AI3242" s="6"/>
      <c r="AJ3242" s="6"/>
      <c r="AK3242" s="6"/>
      <c r="AL3242" s="6"/>
      <c r="AM3242" s="6"/>
    </row>
    <row r="3243">
      <c r="A3243" s="6"/>
      <c r="B3243" s="6"/>
      <c r="C3243" s="6"/>
      <c r="D3243" s="6"/>
      <c r="E3243" s="6"/>
      <c r="F3243" s="6"/>
      <c r="G3243" s="6"/>
      <c r="H3243" s="6"/>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c r="AG3243" s="6"/>
      <c r="AH3243" s="6"/>
      <c r="AI3243" s="6"/>
      <c r="AJ3243" s="6"/>
      <c r="AK3243" s="6"/>
      <c r="AL3243" s="6"/>
      <c r="AM3243" s="6"/>
    </row>
    <row r="3244">
      <c r="A3244" s="6"/>
      <c r="B3244" s="6"/>
      <c r="C3244" s="6"/>
      <c r="D3244" s="6"/>
      <c r="E3244" s="6"/>
      <c r="F3244" s="6"/>
      <c r="G3244" s="6"/>
      <c r="H3244" s="6"/>
      <c r="I3244" s="6"/>
      <c r="J3244" s="6"/>
      <c r="K3244" s="6"/>
      <c r="L3244" s="6"/>
      <c r="M3244" s="6"/>
      <c r="N3244" s="6"/>
      <c r="O3244" s="6"/>
      <c r="P3244" s="6"/>
      <c r="Q3244" s="6"/>
      <c r="R3244" s="6"/>
      <c r="S3244" s="6"/>
      <c r="T3244" s="6"/>
      <c r="U3244" s="6"/>
      <c r="V3244" s="6"/>
      <c r="W3244" s="6"/>
      <c r="X3244" s="6"/>
      <c r="Y3244" s="6"/>
      <c r="Z3244" s="6"/>
      <c r="AA3244" s="6"/>
      <c r="AB3244" s="6"/>
      <c r="AC3244" s="6"/>
      <c r="AD3244" s="6"/>
      <c r="AE3244" s="6"/>
      <c r="AF3244" s="6"/>
      <c r="AG3244" s="6"/>
      <c r="AH3244" s="6"/>
      <c r="AI3244" s="6"/>
      <c r="AJ3244" s="6"/>
      <c r="AK3244" s="6"/>
      <c r="AL3244" s="6"/>
      <c r="AM3244" s="6"/>
    </row>
    <row r="3245">
      <c r="A3245" s="6"/>
      <c r="B3245" s="6"/>
      <c r="C3245" s="6"/>
      <c r="D3245" s="6"/>
      <c r="E3245" s="6"/>
      <c r="F3245" s="6"/>
      <c r="G3245" s="6"/>
      <c r="H3245" s="6"/>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c r="AG3245" s="6"/>
      <c r="AH3245" s="6"/>
      <c r="AI3245" s="6"/>
      <c r="AJ3245" s="6"/>
      <c r="AK3245" s="6"/>
      <c r="AL3245" s="6"/>
      <c r="AM3245" s="6"/>
    </row>
    <row r="3246">
      <c r="A3246" s="6"/>
      <c r="B3246" s="6"/>
      <c r="C3246" s="6"/>
      <c r="D3246" s="6"/>
      <c r="E3246" s="6"/>
      <c r="F3246" s="6"/>
      <c r="G3246" s="6"/>
      <c r="H3246" s="6"/>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c r="AG3246" s="6"/>
      <c r="AH3246" s="6"/>
      <c r="AI3246" s="6"/>
      <c r="AJ3246" s="6"/>
      <c r="AK3246" s="6"/>
      <c r="AL3246" s="6"/>
      <c r="AM3246" s="6"/>
    </row>
    <row r="3247">
      <c r="A3247" s="6"/>
      <c r="B3247" s="6"/>
      <c r="C3247" s="6"/>
      <c r="D3247" s="6"/>
      <c r="E3247" s="6"/>
      <c r="F3247" s="6"/>
      <c r="G3247" s="6"/>
      <c r="H3247" s="6"/>
      <c r="I3247" s="6"/>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c r="AG3247" s="6"/>
      <c r="AH3247" s="6"/>
      <c r="AI3247" s="6"/>
      <c r="AJ3247" s="6"/>
      <c r="AK3247" s="6"/>
      <c r="AL3247" s="6"/>
      <c r="AM3247" s="6"/>
    </row>
    <row r="3248">
      <c r="A3248" s="6"/>
      <c r="B3248" s="6"/>
      <c r="C3248" s="6"/>
      <c r="D3248" s="6"/>
      <c r="E3248" s="6"/>
      <c r="F3248" s="6"/>
      <c r="G3248" s="6"/>
      <c r="H3248" s="6"/>
      <c r="I3248" s="6"/>
      <c r="J3248" s="6"/>
      <c r="K3248" s="6"/>
      <c r="L3248" s="6"/>
      <c r="M3248" s="6"/>
      <c r="N3248" s="6"/>
      <c r="O3248" s="6"/>
      <c r="P3248" s="6"/>
      <c r="Q3248" s="6"/>
      <c r="R3248" s="6"/>
      <c r="S3248" s="6"/>
      <c r="T3248" s="6"/>
      <c r="U3248" s="6"/>
      <c r="V3248" s="6"/>
      <c r="W3248" s="6"/>
      <c r="X3248" s="6"/>
      <c r="Y3248" s="6"/>
      <c r="Z3248" s="6"/>
      <c r="AA3248" s="6"/>
      <c r="AB3248" s="6"/>
      <c r="AC3248" s="6"/>
      <c r="AD3248" s="6"/>
      <c r="AE3248" s="6"/>
      <c r="AF3248" s="6"/>
      <c r="AG3248" s="6"/>
      <c r="AH3248" s="6"/>
      <c r="AI3248" s="6"/>
      <c r="AJ3248" s="6"/>
      <c r="AK3248" s="6"/>
      <c r="AL3248" s="6"/>
      <c r="AM3248" s="6"/>
    </row>
    <row r="3249">
      <c r="A3249" s="6"/>
      <c r="B3249" s="6"/>
      <c r="C3249" s="6"/>
      <c r="D3249" s="6"/>
      <c r="E3249" s="6"/>
      <c r="F3249" s="6"/>
      <c r="G3249" s="6"/>
      <c r="H3249" s="6"/>
      <c r="I3249" s="6"/>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c r="AG3249" s="6"/>
      <c r="AH3249" s="6"/>
      <c r="AI3249" s="6"/>
      <c r="AJ3249" s="6"/>
      <c r="AK3249" s="6"/>
      <c r="AL3249" s="6"/>
      <c r="AM3249" s="6"/>
    </row>
    <row r="3250">
      <c r="A3250" s="6"/>
      <c r="B3250" s="6"/>
      <c r="C3250" s="6"/>
      <c r="D3250" s="6"/>
      <c r="E3250" s="6"/>
      <c r="F3250" s="6"/>
      <c r="G3250" s="6"/>
      <c r="H3250" s="6"/>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c r="AG3250" s="6"/>
      <c r="AH3250" s="6"/>
      <c r="AI3250" s="6"/>
      <c r="AJ3250" s="6"/>
      <c r="AK3250" s="6"/>
      <c r="AL3250" s="6"/>
      <c r="AM3250" s="6"/>
    </row>
    <row r="3251">
      <c r="A3251" s="6"/>
      <c r="B3251" s="6"/>
      <c r="C3251" s="6"/>
      <c r="D3251" s="6"/>
      <c r="E3251" s="6"/>
      <c r="F3251" s="6"/>
      <c r="G3251" s="6"/>
      <c r="H3251" s="6"/>
      <c r="I3251" s="6"/>
      <c r="J3251" s="6"/>
      <c r="K3251" s="6"/>
      <c r="L3251" s="6"/>
      <c r="M3251" s="6"/>
      <c r="N3251" s="6"/>
      <c r="O3251" s="6"/>
      <c r="P3251" s="6"/>
      <c r="Q3251" s="6"/>
      <c r="R3251" s="6"/>
      <c r="S3251" s="6"/>
      <c r="T3251" s="6"/>
      <c r="U3251" s="6"/>
      <c r="V3251" s="6"/>
      <c r="W3251" s="6"/>
      <c r="X3251" s="6"/>
      <c r="Y3251" s="6"/>
      <c r="Z3251" s="6"/>
      <c r="AA3251" s="6"/>
      <c r="AB3251" s="6"/>
      <c r="AC3251" s="6"/>
      <c r="AD3251" s="6"/>
      <c r="AE3251" s="6"/>
      <c r="AF3251" s="6"/>
      <c r="AG3251" s="6"/>
      <c r="AH3251" s="6"/>
      <c r="AI3251" s="6"/>
      <c r="AJ3251" s="6"/>
      <c r="AK3251" s="6"/>
      <c r="AL3251" s="6"/>
      <c r="AM3251" s="6"/>
    </row>
    <row r="3252">
      <c r="A3252" s="6"/>
      <c r="B3252" s="6"/>
      <c r="C3252" s="6"/>
      <c r="D3252" s="6"/>
      <c r="E3252" s="6"/>
      <c r="F3252" s="6"/>
      <c r="G3252" s="6"/>
      <c r="H3252" s="6"/>
      <c r="I3252" s="6"/>
      <c r="J3252" s="6"/>
      <c r="K3252" s="6"/>
      <c r="L3252" s="6"/>
      <c r="M3252" s="6"/>
      <c r="N3252" s="6"/>
      <c r="O3252" s="6"/>
      <c r="P3252" s="6"/>
      <c r="Q3252" s="6"/>
      <c r="R3252" s="6"/>
      <c r="S3252" s="6"/>
      <c r="T3252" s="6"/>
      <c r="U3252" s="6"/>
      <c r="V3252" s="6"/>
      <c r="W3252" s="6"/>
      <c r="X3252" s="6"/>
      <c r="Y3252" s="6"/>
      <c r="Z3252" s="6"/>
      <c r="AA3252" s="6"/>
      <c r="AB3252" s="6"/>
      <c r="AC3252" s="6"/>
      <c r="AD3252" s="6"/>
      <c r="AE3252" s="6"/>
      <c r="AF3252" s="6"/>
      <c r="AG3252" s="6"/>
      <c r="AH3252" s="6"/>
      <c r="AI3252" s="6"/>
      <c r="AJ3252" s="6"/>
      <c r="AK3252" s="6"/>
      <c r="AL3252" s="6"/>
      <c r="AM3252" s="6"/>
    </row>
    <row r="3253">
      <c r="A3253" s="6"/>
      <c r="B3253" s="6"/>
      <c r="C3253" s="6"/>
      <c r="D3253" s="6"/>
      <c r="E3253" s="6"/>
      <c r="F3253" s="6"/>
      <c r="G3253" s="6"/>
      <c r="H3253" s="6"/>
      <c r="I3253" s="6"/>
      <c r="J3253" s="6"/>
      <c r="K3253" s="6"/>
      <c r="L3253" s="6"/>
      <c r="M3253" s="6"/>
      <c r="N3253" s="6"/>
      <c r="O3253" s="6"/>
      <c r="P3253" s="6"/>
      <c r="Q3253" s="6"/>
      <c r="R3253" s="6"/>
      <c r="S3253" s="6"/>
      <c r="T3253" s="6"/>
      <c r="U3253" s="6"/>
      <c r="V3253" s="6"/>
      <c r="W3253" s="6"/>
      <c r="X3253" s="6"/>
      <c r="Y3253" s="6"/>
      <c r="Z3253" s="6"/>
      <c r="AA3253" s="6"/>
      <c r="AB3253" s="6"/>
      <c r="AC3253" s="6"/>
      <c r="AD3253" s="6"/>
      <c r="AE3253" s="6"/>
      <c r="AF3253" s="6"/>
      <c r="AG3253" s="6"/>
      <c r="AH3253" s="6"/>
      <c r="AI3253" s="6"/>
      <c r="AJ3253" s="6"/>
      <c r="AK3253" s="6"/>
      <c r="AL3253" s="6"/>
      <c r="AM3253" s="6"/>
    </row>
    <row r="3254">
      <c r="A3254" s="6"/>
      <c r="B3254" s="6"/>
      <c r="C3254" s="6"/>
      <c r="D3254" s="6"/>
      <c r="E3254" s="6"/>
      <c r="F3254" s="6"/>
      <c r="G3254" s="6"/>
      <c r="H3254" s="6"/>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c r="AG3254" s="6"/>
      <c r="AH3254" s="6"/>
      <c r="AI3254" s="6"/>
      <c r="AJ3254" s="6"/>
      <c r="AK3254" s="6"/>
      <c r="AL3254" s="6"/>
      <c r="AM3254" s="6"/>
    </row>
    <row r="3255">
      <c r="A3255" s="6"/>
      <c r="B3255" s="6"/>
      <c r="C3255" s="6"/>
      <c r="D3255" s="6"/>
      <c r="E3255" s="6"/>
      <c r="F3255" s="6"/>
      <c r="G3255" s="6"/>
      <c r="H3255" s="6"/>
      <c r="I3255" s="6"/>
      <c r="J3255" s="6"/>
      <c r="K3255" s="6"/>
      <c r="L3255" s="6"/>
      <c r="M3255" s="6"/>
      <c r="N3255" s="6"/>
      <c r="O3255" s="6"/>
      <c r="P3255" s="6"/>
      <c r="Q3255" s="6"/>
      <c r="R3255" s="6"/>
      <c r="S3255" s="6"/>
      <c r="T3255" s="6"/>
      <c r="U3255" s="6"/>
      <c r="V3255" s="6"/>
      <c r="W3255" s="6"/>
      <c r="X3255" s="6"/>
      <c r="Y3255" s="6"/>
      <c r="Z3255" s="6"/>
      <c r="AA3255" s="6"/>
      <c r="AB3255" s="6"/>
      <c r="AC3255" s="6"/>
      <c r="AD3255" s="6"/>
      <c r="AE3255" s="6"/>
      <c r="AF3255" s="6"/>
      <c r="AG3255" s="6"/>
      <c r="AH3255" s="6"/>
      <c r="AI3255" s="6"/>
      <c r="AJ3255" s="6"/>
      <c r="AK3255" s="6"/>
      <c r="AL3255" s="6"/>
      <c r="AM3255" s="6"/>
    </row>
    <row r="3256">
      <c r="A3256" s="6"/>
      <c r="B3256" s="6"/>
      <c r="C3256" s="6"/>
      <c r="D3256" s="6"/>
      <c r="E3256" s="6"/>
      <c r="F3256" s="6"/>
      <c r="G3256" s="6"/>
      <c r="H3256" s="6"/>
      <c r="I3256" s="6"/>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c r="AG3256" s="6"/>
      <c r="AH3256" s="6"/>
      <c r="AI3256" s="6"/>
      <c r="AJ3256" s="6"/>
      <c r="AK3256" s="6"/>
      <c r="AL3256" s="6"/>
      <c r="AM3256" s="6"/>
    </row>
    <row r="3257">
      <c r="A3257" s="6"/>
      <c r="B3257" s="6"/>
      <c r="C3257" s="6"/>
      <c r="D3257" s="6"/>
      <c r="E3257" s="6"/>
      <c r="F3257" s="6"/>
      <c r="G3257" s="6"/>
      <c r="H3257" s="6"/>
      <c r="I3257" s="6"/>
      <c r="J3257" s="6"/>
      <c r="K3257" s="6"/>
      <c r="L3257" s="6"/>
      <c r="M3257" s="6"/>
      <c r="N3257" s="6"/>
      <c r="O3257" s="6"/>
      <c r="P3257" s="6"/>
      <c r="Q3257" s="6"/>
      <c r="R3257" s="6"/>
      <c r="S3257" s="6"/>
      <c r="T3257" s="6"/>
      <c r="U3257" s="6"/>
      <c r="V3257" s="6"/>
      <c r="W3257" s="6"/>
      <c r="X3257" s="6"/>
      <c r="Y3257" s="6"/>
      <c r="Z3257" s="6"/>
      <c r="AA3257" s="6"/>
      <c r="AB3257" s="6"/>
      <c r="AC3257" s="6"/>
      <c r="AD3257" s="6"/>
      <c r="AE3257" s="6"/>
      <c r="AF3257" s="6"/>
      <c r="AG3257" s="6"/>
      <c r="AH3257" s="6"/>
      <c r="AI3257" s="6"/>
      <c r="AJ3257" s="6"/>
      <c r="AK3257" s="6"/>
      <c r="AL3257" s="6"/>
      <c r="AM3257" s="6"/>
    </row>
    <row r="3258">
      <c r="A3258" s="6"/>
      <c r="B3258" s="6"/>
      <c r="C3258" s="6"/>
      <c r="D3258" s="6"/>
      <c r="E3258" s="6"/>
      <c r="F3258" s="6"/>
      <c r="G3258" s="6"/>
      <c r="H3258" s="6"/>
      <c r="I3258" s="6"/>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c r="AG3258" s="6"/>
      <c r="AH3258" s="6"/>
      <c r="AI3258" s="6"/>
      <c r="AJ3258" s="6"/>
      <c r="AK3258" s="6"/>
      <c r="AL3258" s="6"/>
      <c r="AM3258" s="6"/>
    </row>
    <row r="3259">
      <c r="A3259" s="6"/>
      <c r="B3259" s="6"/>
      <c r="C3259" s="6"/>
      <c r="D3259" s="6"/>
      <c r="E3259" s="6"/>
      <c r="F3259" s="6"/>
      <c r="G3259" s="6"/>
      <c r="H3259" s="6"/>
      <c r="I3259" s="6"/>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c r="AG3259" s="6"/>
      <c r="AH3259" s="6"/>
      <c r="AI3259" s="6"/>
      <c r="AJ3259" s="6"/>
      <c r="AK3259" s="6"/>
      <c r="AL3259" s="6"/>
      <c r="AM3259" s="6"/>
    </row>
    <row r="3260">
      <c r="A3260" s="6"/>
      <c r="B3260" s="6"/>
      <c r="C3260" s="6"/>
      <c r="D3260" s="6"/>
      <c r="E3260" s="6"/>
      <c r="F3260" s="6"/>
      <c r="G3260" s="6"/>
      <c r="H3260" s="6"/>
      <c r="I3260" s="6"/>
      <c r="J3260" s="6"/>
      <c r="K3260" s="6"/>
      <c r="L3260" s="6"/>
      <c r="M3260" s="6"/>
      <c r="N3260" s="6"/>
      <c r="O3260" s="6"/>
      <c r="P3260" s="6"/>
      <c r="Q3260" s="6"/>
      <c r="R3260" s="6"/>
      <c r="S3260" s="6"/>
      <c r="T3260" s="6"/>
      <c r="U3260" s="6"/>
      <c r="V3260" s="6"/>
      <c r="W3260" s="6"/>
      <c r="X3260" s="6"/>
      <c r="Y3260" s="6"/>
      <c r="Z3260" s="6"/>
      <c r="AA3260" s="6"/>
      <c r="AB3260" s="6"/>
      <c r="AC3260" s="6"/>
      <c r="AD3260" s="6"/>
      <c r="AE3260" s="6"/>
      <c r="AF3260" s="6"/>
      <c r="AG3260" s="6"/>
      <c r="AH3260" s="6"/>
      <c r="AI3260" s="6"/>
      <c r="AJ3260" s="6"/>
      <c r="AK3260" s="6"/>
      <c r="AL3260" s="6"/>
      <c r="AM3260" s="6"/>
    </row>
    <row r="3261">
      <c r="A3261" s="6"/>
      <c r="B3261" s="6"/>
      <c r="C3261" s="6"/>
      <c r="D3261" s="6"/>
      <c r="E3261" s="6"/>
      <c r="F3261" s="6"/>
      <c r="G3261" s="6"/>
      <c r="H3261" s="6"/>
      <c r="I3261" s="6"/>
      <c r="J3261" s="6"/>
      <c r="K3261" s="6"/>
      <c r="L3261" s="6"/>
      <c r="M3261" s="6"/>
      <c r="N3261" s="6"/>
      <c r="O3261" s="6"/>
      <c r="P3261" s="6"/>
      <c r="Q3261" s="6"/>
      <c r="R3261" s="6"/>
      <c r="S3261" s="6"/>
      <c r="T3261" s="6"/>
      <c r="U3261" s="6"/>
      <c r="V3261" s="6"/>
      <c r="W3261" s="6"/>
      <c r="X3261" s="6"/>
      <c r="Y3261" s="6"/>
      <c r="Z3261" s="6"/>
      <c r="AA3261" s="6"/>
      <c r="AB3261" s="6"/>
      <c r="AC3261" s="6"/>
      <c r="AD3261" s="6"/>
      <c r="AE3261" s="6"/>
      <c r="AF3261" s="6"/>
      <c r="AG3261" s="6"/>
      <c r="AH3261" s="6"/>
      <c r="AI3261" s="6"/>
      <c r="AJ3261" s="6"/>
      <c r="AK3261" s="6"/>
      <c r="AL3261" s="6"/>
      <c r="AM3261" s="6"/>
    </row>
    <row r="3262">
      <c r="A3262" s="6"/>
      <c r="B3262" s="6"/>
      <c r="C3262" s="6"/>
      <c r="D3262" s="6"/>
      <c r="E3262" s="6"/>
      <c r="F3262" s="6"/>
      <c r="G3262" s="6"/>
      <c r="H3262" s="6"/>
      <c r="I3262" s="6"/>
      <c r="J3262" s="6"/>
      <c r="K3262" s="6"/>
      <c r="L3262" s="6"/>
      <c r="M3262" s="6"/>
      <c r="N3262" s="6"/>
      <c r="O3262" s="6"/>
      <c r="P3262" s="6"/>
      <c r="Q3262" s="6"/>
      <c r="R3262" s="6"/>
      <c r="S3262" s="6"/>
      <c r="T3262" s="6"/>
      <c r="U3262" s="6"/>
      <c r="V3262" s="6"/>
      <c r="W3262" s="6"/>
      <c r="X3262" s="6"/>
      <c r="Y3262" s="6"/>
      <c r="Z3262" s="6"/>
      <c r="AA3262" s="6"/>
      <c r="AB3262" s="6"/>
      <c r="AC3262" s="6"/>
      <c r="AD3262" s="6"/>
      <c r="AE3262" s="6"/>
      <c r="AF3262" s="6"/>
      <c r="AG3262" s="6"/>
      <c r="AH3262" s="6"/>
      <c r="AI3262" s="6"/>
      <c r="AJ3262" s="6"/>
      <c r="AK3262" s="6"/>
      <c r="AL3262" s="6"/>
      <c r="AM3262" s="6"/>
    </row>
    <row r="3263">
      <c r="A3263" s="6"/>
      <c r="B3263" s="6"/>
      <c r="C3263" s="6"/>
      <c r="D3263" s="6"/>
      <c r="E3263" s="6"/>
      <c r="F3263" s="6"/>
      <c r="G3263" s="6"/>
      <c r="H3263" s="6"/>
      <c r="I3263" s="6"/>
      <c r="J3263" s="6"/>
      <c r="K3263" s="6"/>
      <c r="L3263" s="6"/>
      <c r="M3263" s="6"/>
      <c r="N3263" s="6"/>
      <c r="O3263" s="6"/>
      <c r="P3263" s="6"/>
      <c r="Q3263" s="6"/>
      <c r="R3263" s="6"/>
      <c r="S3263" s="6"/>
      <c r="T3263" s="6"/>
      <c r="U3263" s="6"/>
      <c r="V3263" s="6"/>
      <c r="W3263" s="6"/>
      <c r="X3263" s="6"/>
      <c r="Y3263" s="6"/>
      <c r="Z3263" s="6"/>
      <c r="AA3263" s="6"/>
      <c r="AB3263" s="6"/>
      <c r="AC3263" s="6"/>
      <c r="AD3263" s="6"/>
      <c r="AE3263" s="6"/>
      <c r="AF3263" s="6"/>
      <c r="AG3263" s="6"/>
      <c r="AH3263" s="6"/>
      <c r="AI3263" s="6"/>
      <c r="AJ3263" s="6"/>
      <c r="AK3263" s="6"/>
      <c r="AL3263" s="6"/>
      <c r="AM3263" s="6"/>
    </row>
    <row r="3264">
      <c r="A3264" s="6"/>
      <c r="B3264" s="6"/>
      <c r="C3264" s="6"/>
      <c r="D3264" s="6"/>
      <c r="E3264" s="6"/>
      <c r="F3264" s="6"/>
      <c r="G3264" s="6"/>
      <c r="H3264" s="6"/>
      <c r="I3264" s="6"/>
      <c r="J3264" s="6"/>
      <c r="K3264" s="6"/>
      <c r="L3264" s="6"/>
      <c r="M3264" s="6"/>
      <c r="N3264" s="6"/>
      <c r="O3264" s="6"/>
      <c r="P3264" s="6"/>
      <c r="Q3264" s="6"/>
      <c r="R3264" s="6"/>
      <c r="S3264" s="6"/>
      <c r="T3264" s="6"/>
      <c r="U3264" s="6"/>
      <c r="V3264" s="6"/>
      <c r="W3264" s="6"/>
      <c r="X3264" s="6"/>
      <c r="Y3264" s="6"/>
      <c r="Z3264" s="6"/>
      <c r="AA3264" s="6"/>
      <c r="AB3264" s="6"/>
      <c r="AC3264" s="6"/>
      <c r="AD3264" s="6"/>
      <c r="AE3264" s="6"/>
      <c r="AF3264" s="6"/>
      <c r="AG3264" s="6"/>
      <c r="AH3264" s="6"/>
      <c r="AI3264" s="6"/>
      <c r="AJ3264" s="6"/>
      <c r="AK3264" s="6"/>
      <c r="AL3264" s="6"/>
      <c r="AM3264" s="6"/>
    </row>
    <row r="3265">
      <c r="A3265" s="6"/>
      <c r="B3265" s="6"/>
      <c r="C3265" s="6"/>
      <c r="D3265" s="6"/>
      <c r="E3265" s="6"/>
      <c r="F3265" s="6"/>
      <c r="G3265" s="6"/>
      <c r="H3265" s="6"/>
      <c r="I3265" s="6"/>
      <c r="J3265" s="6"/>
      <c r="K3265" s="6"/>
      <c r="L3265" s="6"/>
      <c r="M3265" s="6"/>
      <c r="N3265" s="6"/>
      <c r="O3265" s="6"/>
      <c r="P3265" s="6"/>
      <c r="Q3265" s="6"/>
      <c r="R3265" s="6"/>
      <c r="S3265" s="6"/>
      <c r="T3265" s="6"/>
      <c r="U3265" s="6"/>
      <c r="V3265" s="6"/>
      <c r="W3265" s="6"/>
      <c r="X3265" s="6"/>
      <c r="Y3265" s="6"/>
      <c r="Z3265" s="6"/>
      <c r="AA3265" s="6"/>
      <c r="AB3265" s="6"/>
      <c r="AC3265" s="6"/>
      <c r="AD3265" s="6"/>
      <c r="AE3265" s="6"/>
      <c r="AF3265" s="6"/>
      <c r="AG3265" s="6"/>
      <c r="AH3265" s="6"/>
      <c r="AI3265" s="6"/>
      <c r="AJ3265" s="6"/>
      <c r="AK3265" s="6"/>
      <c r="AL3265" s="6"/>
      <c r="AM3265" s="6"/>
    </row>
    <row r="3266">
      <c r="A3266" s="6"/>
      <c r="B3266" s="6"/>
      <c r="C3266" s="6"/>
      <c r="D3266" s="6"/>
      <c r="E3266" s="6"/>
      <c r="F3266" s="6"/>
      <c r="G3266" s="6"/>
      <c r="H3266" s="6"/>
      <c r="I3266" s="6"/>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c r="AG3266" s="6"/>
      <c r="AH3266" s="6"/>
      <c r="AI3266" s="6"/>
      <c r="AJ3266" s="6"/>
      <c r="AK3266" s="6"/>
      <c r="AL3266" s="6"/>
      <c r="AM3266" s="6"/>
    </row>
    <row r="3267">
      <c r="A3267" s="6"/>
      <c r="B3267" s="6"/>
      <c r="C3267" s="6"/>
      <c r="D3267" s="6"/>
      <c r="E3267" s="6"/>
      <c r="F3267" s="6"/>
      <c r="G3267" s="6"/>
      <c r="H3267" s="6"/>
      <c r="I3267" s="6"/>
      <c r="J3267" s="6"/>
      <c r="K3267" s="6"/>
      <c r="L3267" s="6"/>
      <c r="M3267" s="6"/>
      <c r="N3267" s="6"/>
      <c r="O3267" s="6"/>
      <c r="P3267" s="6"/>
      <c r="Q3267" s="6"/>
      <c r="R3267" s="6"/>
      <c r="S3267" s="6"/>
      <c r="T3267" s="6"/>
      <c r="U3267" s="6"/>
      <c r="V3267" s="6"/>
      <c r="W3267" s="6"/>
      <c r="X3267" s="6"/>
      <c r="Y3267" s="6"/>
      <c r="Z3267" s="6"/>
      <c r="AA3267" s="6"/>
      <c r="AB3267" s="6"/>
      <c r="AC3267" s="6"/>
      <c r="AD3267" s="6"/>
      <c r="AE3267" s="6"/>
      <c r="AF3267" s="6"/>
      <c r="AG3267" s="6"/>
      <c r="AH3267" s="6"/>
      <c r="AI3267" s="6"/>
      <c r="AJ3267" s="6"/>
      <c r="AK3267" s="6"/>
      <c r="AL3267" s="6"/>
      <c r="AM3267" s="6"/>
    </row>
    <row r="3268">
      <c r="A3268" s="6"/>
      <c r="B3268" s="6"/>
      <c r="C3268" s="6"/>
      <c r="D3268" s="6"/>
      <c r="E3268" s="6"/>
      <c r="F3268" s="6"/>
      <c r="G3268" s="6"/>
      <c r="H3268" s="6"/>
      <c r="I3268" s="6"/>
      <c r="J3268" s="6"/>
      <c r="K3268" s="6"/>
      <c r="L3268" s="6"/>
      <c r="M3268" s="6"/>
      <c r="N3268" s="6"/>
      <c r="O3268" s="6"/>
      <c r="P3268" s="6"/>
      <c r="Q3268" s="6"/>
      <c r="R3268" s="6"/>
      <c r="S3268" s="6"/>
      <c r="T3268" s="6"/>
      <c r="U3268" s="6"/>
      <c r="V3268" s="6"/>
      <c r="W3268" s="6"/>
      <c r="X3268" s="6"/>
      <c r="Y3268" s="6"/>
      <c r="Z3268" s="6"/>
      <c r="AA3268" s="6"/>
      <c r="AB3268" s="6"/>
      <c r="AC3268" s="6"/>
      <c r="AD3268" s="6"/>
      <c r="AE3268" s="6"/>
      <c r="AF3268" s="6"/>
      <c r="AG3268" s="6"/>
      <c r="AH3268" s="6"/>
      <c r="AI3268" s="6"/>
      <c r="AJ3268" s="6"/>
      <c r="AK3268" s="6"/>
      <c r="AL3268" s="6"/>
      <c r="AM3268" s="6"/>
    </row>
    <row r="3269">
      <c r="A3269" s="6"/>
      <c r="B3269" s="6"/>
      <c r="C3269" s="6"/>
      <c r="D3269" s="6"/>
      <c r="E3269" s="6"/>
      <c r="F3269" s="6"/>
      <c r="G3269" s="6"/>
      <c r="H3269" s="6"/>
      <c r="I3269" s="6"/>
      <c r="J3269" s="6"/>
      <c r="K3269" s="6"/>
      <c r="L3269" s="6"/>
      <c r="M3269" s="6"/>
      <c r="N3269" s="6"/>
      <c r="O3269" s="6"/>
      <c r="P3269" s="6"/>
      <c r="Q3269" s="6"/>
      <c r="R3269" s="6"/>
      <c r="S3269" s="6"/>
      <c r="T3269" s="6"/>
      <c r="U3269" s="6"/>
      <c r="V3269" s="6"/>
      <c r="W3269" s="6"/>
      <c r="X3269" s="6"/>
      <c r="Y3269" s="6"/>
      <c r="Z3269" s="6"/>
      <c r="AA3269" s="6"/>
      <c r="AB3269" s="6"/>
      <c r="AC3269" s="6"/>
      <c r="AD3269" s="6"/>
      <c r="AE3269" s="6"/>
      <c r="AF3269" s="6"/>
      <c r="AG3269" s="6"/>
      <c r="AH3269" s="6"/>
      <c r="AI3269" s="6"/>
      <c r="AJ3269" s="6"/>
      <c r="AK3269" s="6"/>
      <c r="AL3269" s="6"/>
      <c r="AM3269" s="6"/>
    </row>
    <row r="3270">
      <c r="A3270" s="6"/>
      <c r="B3270" s="6"/>
      <c r="C3270" s="6"/>
      <c r="D3270" s="6"/>
      <c r="E3270" s="6"/>
      <c r="F3270" s="6"/>
      <c r="G3270" s="6"/>
      <c r="H3270" s="6"/>
      <c r="I3270" s="6"/>
      <c r="J3270" s="6"/>
      <c r="K3270" s="6"/>
      <c r="L3270" s="6"/>
      <c r="M3270" s="6"/>
      <c r="N3270" s="6"/>
      <c r="O3270" s="6"/>
      <c r="P3270" s="6"/>
      <c r="Q3270" s="6"/>
      <c r="R3270" s="6"/>
      <c r="S3270" s="6"/>
      <c r="T3270" s="6"/>
      <c r="U3270" s="6"/>
      <c r="V3270" s="6"/>
      <c r="W3270" s="6"/>
      <c r="X3270" s="6"/>
      <c r="Y3270" s="6"/>
      <c r="Z3270" s="6"/>
      <c r="AA3270" s="6"/>
      <c r="AB3270" s="6"/>
      <c r="AC3270" s="6"/>
      <c r="AD3270" s="6"/>
      <c r="AE3270" s="6"/>
      <c r="AF3270" s="6"/>
      <c r="AG3270" s="6"/>
      <c r="AH3270" s="6"/>
      <c r="AI3270" s="6"/>
      <c r="AJ3270" s="6"/>
      <c r="AK3270" s="6"/>
      <c r="AL3270" s="6"/>
      <c r="AM3270" s="6"/>
    </row>
    <row r="3271">
      <c r="A3271" s="6"/>
      <c r="B3271" s="6"/>
      <c r="C3271" s="6"/>
      <c r="D3271" s="6"/>
      <c r="E3271" s="6"/>
      <c r="F3271" s="6"/>
      <c r="G3271" s="6"/>
      <c r="H3271" s="6"/>
      <c r="I3271" s="6"/>
      <c r="J3271" s="6"/>
      <c r="K3271" s="6"/>
      <c r="L3271" s="6"/>
      <c r="M3271" s="6"/>
      <c r="N3271" s="6"/>
      <c r="O3271" s="6"/>
      <c r="P3271" s="6"/>
      <c r="Q3271" s="6"/>
      <c r="R3271" s="6"/>
      <c r="S3271" s="6"/>
      <c r="T3271" s="6"/>
      <c r="U3271" s="6"/>
      <c r="V3271" s="6"/>
      <c r="W3271" s="6"/>
      <c r="X3271" s="6"/>
      <c r="Y3271" s="6"/>
      <c r="Z3271" s="6"/>
      <c r="AA3271" s="6"/>
      <c r="AB3271" s="6"/>
      <c r="AC3271" s="6"/>
      <c r="AD3271" s="6"/>
      <c r="AE3271" s="6"/>
      <c r="AF3271" s="6"/>
      <c r="AG3271" s="6"/>
      <c r="AH3271" s="6"/>
      <c r="AI3271" s="6"/>
      <c r="AJ3271" s="6"/>
      <c r="AK3271" s="6"/>
      <c r="AL3271" s="6"/>
      <c r="AM3271" s="6"/>
    </row>
    <row r="3272">
      <c r="A3272" s="6"/>
      <c r="B3272" s="6"/>
      <c r="C3272" s="6"/>
      <c r="D3272" s="6"/>
      <c r="E3272" s="6"/>
      <c r="F3272" s="6"/>
      <c r="G3272" s="6"/>
      <c r="H3272" s="6"/>
      <c r="I3272" s="6"/>
      <c r="J3272" s="6"/>
      <c r="K3272" s="6"/>
      <c r="L3272" s="6"/>
      <c r="M3272" s="6"/>
      <c r="N3272" s="6"/>
      <c r="O3272" s="6"/>
      <c r="P3272" s="6"/>
      <c r="Q3272" s="6"/>
      <c r="R3272" s="6"/>
      <c r="S3272" s="6"/>
      <c r="T3272" s="6"/>
      <c r="U3272" s="6"/>
      <c r="V3272" s="6"/>
      <c r="W3272" s="6"/>
      <c r="X3272" s="6"/>
      <c r="Y3272" s="6"/>
      <c r="Z3272" s="6"/>
      <c r="AA3272" s="6"/>
      <c r="AB3272" s="6"/>
      <c r="AC3272" s="6"/>
      <c r="AD3272" s="6"/>
      <c r="AE3272" s="6"/>
      <c r="AF3272" s="6"/>
      <c r="AG3272" s="6"/>
      <c r="AH3272" s="6"/>
      <c r="AI3272" s="6"/>
      <c r="AJ3272" s="6"/>
      <c r="AK3272" s="6"/>
      <c r="AL3272" s="6"/>
      <c r="AM3272" s="6"/>
    </row>
    <row r="3273">
      <c r="A3273" s="6"/>
      <c r="B3273" s="6"/>
      <c r="C3273" s="6"/>
      <c r="D3273" s="6"/>
      <c r="E3273" s="6"/>
      <c r="F3273" s="6"/>
      <c r="G3273" s="6"/>
      <c r="H3273" s="6"/>
      <c r="I3273" s="6"/>
      <c r="J3273" s="6"/>
      <c r="K3273" s="6"/>
      <c r="L3273" s="6"/>
      <c r="M3273" s="6"/>
      <c r="N3273" s="6"/>
      <c r="O3273" s="6"/>
      <c r="P3273" s="6"/>
      <c r="Q3273" s="6"/>
      <c r="R3273" s="6"/>
      <c r="S3273" s="6"/>
      <c r="T3273" s="6"/>
      <c r="U3273" s="6"/>
      <c r="V3273" s="6"/>
      <c r="W3273" s="6"/>
      <c r="X3273" s="6"/>
      <c r="Y3273" s="6"/>
      <c r="Z3273" s="6"/>
      <c r="AA3273" s="6"/>
      <c r="AB3273" s="6"/>
      <c r="AC3273" s="6"/>
      <c r="AD3273" s="6"/>
      <c r="AE3273" s="6"/>
      <c r="AF3273" s="6"/>
      <c r="AG3273" s="6"/>
      <c r="AH3273" s="6"/>
      <c r="AI3273" s="6"/>
      <c r="AJ3273" s="6"/>
      <c r="AK3273" s="6"/>
      <c r="AL3273" s="6"/>
      <c r="AM3273" s="6"/>
    </row>
    <row r="3274">
      <c r="A3274" s="6"/>
      <c r="B3274" s="6"/>
      <c r="C3274" s="6"/>
      <c r="D3274" s="6"/>
      <c r="E3274" s="6"/>
      <c r="F3274" s="6"/>
      <c r="G3274" s="6"/>
      <c r="H3274" s="6"/>
      <c r="I3274" s="6"/>
      <c r="J3274" s="6"/>
      <c r="K3274" s="6"/>
      <c r="L3274" s="6"/>
      <c r="M3274" s="6"/>
      <c r="N3274" s="6"/>
      <c r="O3274" s="6"/>
      <c r="P3274" s="6"/>
      <c r="Q3274" s="6"/>
      <c r="R3274" s="6"/>
      <c r="S3274" s="6"/>
      <c r="T3274" s="6"/>
      <c r="U3274" s="6"/>
      <c r="V3274" s="6"/>
      <c r="W3274" s="6"/>
      <c r="X3274" s="6"/>
      <c r="Y3274" s="6"/>
      <c r="Z3274" s="6"/>
      <c r="AA3274" s="6"/>
      <c r="AB3274" s="6"/>
      <c r="AC3274" s="6"/>
      <c r="AD3274" s="6"/>
      <c r="AE3274" s="6"/>
      <c r="AF3274" s="6"/>
      <c r="AG3274" s="6"/>
      <c r="AH3274" s="6"/>
      <c r="AI3274" s="6"/>
      <c r="AJ3274" s="6"/>
      <c r="AK3274" s="6"/>
      <c r="AL3274" s="6"/>
      <c r="AM3274" s="6"/>
    </row>
    <row r="3275">
      <c r="A3275" s="6"/>
      <c r="B3275" s="6"/>
      <c r="C3275" s="6"/>
      <c r="D3275" s="6"/>
      <c r="E3275" s="6"/>
      <c r="F3275" s="6"/>
      <c r="G3275" s="6"/>
      <c r="H3275" s="6"/>
      <c r="I3275" s="6"/>
      <c r="J3275" s="6"/>
      <c r="K3275" s="6"/>
      <c r="L3275" s="6"/>
      <c r="M3275" s="6"/>
      <c r="N3275" s="6"/>
      <c r="O3275" s="6"/>
      <c r="P3275" s="6"/>
      <c r="Q3275" s="6"/>
      <c r="R3275" s="6"/>
      <c r="S3275" s="6"/>
      <c r="T3275" s="6"/>
      <c r="U3275" s="6"/>
      <c r="V3275" s="6"/>
      <c r="W3275" s="6"/>
      <c r="X3275" s="6"/>
      <c r="Y3275" s="6"/>
      <c r="Z3275" s="6"/>
      <c r="AA3275" s="6"/>
      <c r="AB3275" s="6"/>
      <c r="AC3275" s="6"/>
      <c r="AD3275" s="6"/>
      <c r="AE3275" s="6"/>
      <c r="AF3275" s="6"/>
      <c r="AG3275" s="6"/>
      <c r="AH3275" s="6"/>
      <c r="AI3275" s="6"/>
      <c r="AJ3275" s="6"/>
      <c r="AK3275" s="6"/>
      <c r="AL3275" s="6"/>
      <c r="AM3275" s="6"/>
    </row>
    <row r="3276">
      <c r="A3276" s="6"/>
      <c r="B3276" s="6"/>
      <c r="C3276" s="6"/>
      <c r="D3276" s="6"/>
      <c r="E3276" s="6"/>
      <c r="F3276" s="6"/>
      <c r="G3276" s="6"/>
      <c r="H3276" s="6"/>
      <c r="I3276" s="6"/>
      <c r="J3276" s="6"/>
      <c r="K3276" s="6"/>
      <c r="L3276" s="6"/>
      <c r="M3276" s="6"/>
      <c r="N3276" s="6"/>
      <c r="O3276" s="6"/>
      <c r="P3276" s="6"/>
      <c r="Q3276" s="6"/>
      <c r="R3276" s="6"/>
      <c r="S3276" s="6"/>
      <c r="T3276" s="6"/>
      <c r="U3276" s="6"/>
      <c r="V3276" s="6"/>
      <c r="W3276" s="6"/>
      <c r="X3276" s="6"/>
      <c r="Y3276" s="6"/>
      <c r="Z3276" s="6"/>
      <c r="AA3276" s="6"/>
      <c r="AB3276" s="6"/>
      <c r="AC3276" s="6"/>
      <c r="AD3276" s="6"/>
      <c r="AE3276" s="6"/>
      <c r="AF3276" s="6"/>
      <c r="AG3276" s="6"/>
      <c r="AH3276" s="6"/>
      <c r="AI3276" s="6"/>
      <c r="AJ3276" s="6"/>
      <c r="AK3276" s="6"/>
      <c r="AL3276" s="6"/>
      <c r="AM3276" s="6"/>
    </row>
    <row r="3277">
      <c r="A3277" s="6"/>
      <c r="B3277" s="6"/>
      <c r="C3277" s="6"/>
      <c r="D3277" s="6"/>
      <c r="E3277" s="6"/>
      <c r="F3277" s="6"/>
      <c r="G3277" s="6"/>
      <c r="H3277" s="6"/>
      <c r="I3277" s="6"/>
      <c r="J3277" s="6"/>
      <c r="K3277" s="6"/>
      <c r="L3277" s="6"/>
      <c r="M3277" s="6"/>
      <c r="N3277" s="6"/>
      <c r="O3277" s="6"/>
      <c r="P3277" s="6"/>
      <c r="Q3277" s="6"/>
      <c r="R3277" s="6"/>
      <c r="S3277" s="6"/>
      <c r="T3277" s="6"/>
      <c r="U3277" s="6"/>
      <c r="V3277" s="6"/>
      <c r="W3277" s="6"/>
      <c r="X3277" s="6"/>
      <c r="Y3277" s="6"/>
      <c r="Z3277" s="6"/>
      <c r="AA3277" s="6"/>
      <c r="AB3277" s="6"/>
      <c r="AC3277" s="6"/>
      <c r="AD3277" s="6"/>
      <c r="AE3277" s="6"/>
      <c r="AF3277" s="6"/>
      <c r="AG3277" s="6"/>
      <c r="AH3277" s="6"/>
      <c r="AI3277" s="6"/>
      <c r="AJ3277" s="6"/>
      <c r="AK3277" s="6"/>
      <c r="AL3277" s="6"/>
      <c r="AM3277" s="6"/>
    </row>
    <row r="3278">
      <c r="A3278" s="6"/>
      <c r="B3278" s="6"/>
      <c r="C3278" s="6"/>
      <c r="D3278" s="6"/>
      <c r="E3278" s="6"/>
      <c r="F3278" s="6"/>
      <c r="G3278" s="6"/>
      <c r="H3278" s="6"/>
      <c r="I3278" s="6"/>
      <c r="J3278" s="6"/>
      <c r="K3278" s="6"/>
      <c r="L3278" s="6"/>
      <c r="M3278" s="6"/>
      <c r="N3278" s="6"/>
      <c r="O3278" s="6"/>
      <c r="P3278" s="6"/>
      <c r="Q3278" s="6"/>
      <c r="R3278" s="6"/>
      <c r="S3278" s="6"/>
      <c r="T3278" s="6"/>
      <c r="U3278" s="6"/>
      <c r="V3278" s="6"/>
      <c r="W3278" s="6"/>
      <c r="X3278" s="6"/>
      <c r="Y3278" s="6"/>
      <c r="Z3278" s="6"/>
      <c r="AA3278" s="6"/>
      <c r="AB3278" s="6"/>
      <c r="AC3278" s="6"/>
      <c r="AD3278" s="6"/>
      <c r="AE3278" s="6"/>
      <c r="AF3278" s="6"/>
      <c r="AG3278" s="6"/>
      <c r="AH3278" s="6"/>
      <c r="AI3278" s="6"/>
      <c r="AJ3278" s="6"/>
      <c r="AK3278" s="6"/>
      <c r="AL3278" s="6"/>
      <c r="AM3278" s="6"/>
    </row>
    <row r="3279">
      <c r="A3279" s="6"/>
      <c r="B3279" s="6"/>
      <c r="C3279" s="6"/>
      <c r="D3279" s="6"/>
      <c r="E3279" s="6"/>
      <c r="F3279" s="6"/>
      <c r="G3279" s="6"/>
      <c r="H3279" s="6"/>
      <c r="I3279" s="6"/>
      <c r="J3279" s="6"/>
      <c r="K3279" s="6"/>
      <c r="L3279" s="6"/>
      <c r="M3279" s="6"/>
      <c r="N3279" s="6"/>
      <c r="O3279" s="6"/>
      <c r="P3279" s="6"/>
      <c r="Q3279" s="6"/>
      <c r="R3279" s="6"/>
      <c r="S3279" s="6"/>
      <c r="T3279" s="6"/>
      <c r="U3279" s="6"/>
      <c r="V3279" s="6"/>
      <c r="W3279" s="6"/>
      <c r="X3279" s="6"/>
      <c r="Y3279" s="6"/>
      <c r="Z3279" s="6"/>
      <c r="AA3279" s="6"/>
      <c r="AB3279" s="6"/>
      <c r="AC3279" s="6"/>
      <c r="AD3279" s="6"/>
      <c r="AE3279" s="6"/>
      <c r="AF3279" s="6"/>
      <c r="AG3279" s="6"/>
      <c r="AH3279" s="6"/>
      <c r="AI3279" s="6"/>
      <c r="AJ3279" s="6"/>
      <c r="AK3279" s="6"/>
      <c r="AL3279" s="6"/>
      <c r="AM3279" s="6"/>
    </row>
    <row r="3280">
      <c r="A3280" s="6"/>
      <c r="B3280" s="6"/>
      <c r="C3280" s="6"/>
      <c r="D3280" s="6"/>
      <c r="E3280" s="6"/>
      <c r="F3280" s="6"/>
      <c r="G3280" s="6"/>
      <c r="H3280" s="6"/>
      <c r="I3280" s="6"/>
      <c r="J3280" s="6"/>
      <c r="K3280" s="6"/>
      <c r="L3280" s="6"/>
      <c r="M3280" s="6"/>
      <c r="N3280" s="6"/>
      <c r="O3280" s="6"/>
      <c r="P3280" s="6"/>
      <c r="Q3280" s="6"/>
      <c r="R3280" s="6"/>
      <c r="S3280" s="6"/>
      <c r="T3280" s="6"/>
      <c r="U3280" s="6"/>
      <c r="V3280" s="6"/>
      <c r="W3280" s="6"/>
      <c r="X3280" s="6"/>
      <c r="Y3280" s="6"/>
      <c r="Z3280" s="6"/>
      <c r="AA3280" s="6"/>
      <c r="AB3280" s="6"/>
      <c r="AC3280" s="6"/>
      <c r="AD3280" s="6"/>
      <c r="AE3280" s="6"/>
      <c r="AF3280" s="6"/>
      <c r="AG3280" s="6"/>
      <c r="AH3280" s="6"/>
      <c r="AI3280" s="6"/>
      <c r="AJ3280" s="6"/>
      <c r="AK3280" s="6"/>
      <c r="AL3280" s="6"/>
      <c r="AM3280" s="6"/>
    </row>
    <row r="3281">
      <c r="A3281" s="6"/>
      <c r="B3281" s="6"/>
      <c r="C3281" s="6"/>
      <c r="D3281" s="6"/>
      <c r="E3281" s="6"/>
      <c r="F3281" s="6"/>
      <c r="G3281" s="6"/>
      <c r="H3281" s="6"/>
      <c r="I3281" s="6"/>
      <c r="J3281" s="6"/>
      <c r="K3281" s="6"/>
      <c r="L3281" s="6"/>
      <c r="M3281" s="6"/>
      <c r="N3281" s="6"/>
      <c r="O3281" s="6"/>
      <c r="P3281" s="6"/>
      <c r="Q3281" s="6"/>
      <c r="R3281" s="6"/>
      <c r="S3281" s="6"/>
      <c r="T3281" s="6"/>
      <c r="U3281" s="6"/>
      <c r="V3281" s="6"/>
      <c r="W3281" s="6"/>
      <c r="X3281" s="6"/>
      <c r="Y3281" s="6"/>
      <c r="Z3281" s="6"/>
      <c r="AA3281" s="6"/>
      <c r="AB3281" s="6"/>
      <c r="AC3281" s="6"/>
      <c r="AD3281" s="6"/>
      <c r="AE3281" s="6"/>
      <c r="AF3281" s="6"/>
      <c r="AG3281" s="6"/>
      <c r="AH3281" s="6"/>
      <c r="AI3281" s="6"/>
      <c r="AJ3281" s="6"/>
      <c r="AK3281" s="6"/>
      <c r="AL3281" s="6"/>
      <c r="AM3281" s="6"/>
    </row>
    <row r="3282">
      <c r="A3282" s="6"/>
      <c r="B3282" s="6"/>
      <c r="C3282" s="6"/>
      <c r="D3282" s="6"/>
      <c r="E3282" s="6"/>
      <c r="F3282" s="6"/>
      <c r="G3282" s="6"/>
      <c r="H3282" s="6"/>
      <c r="I3282" s="6"/>
      <c r="J3282" s="6"/>
      <c r="K3282" s="6"/>
      <c r="L3282" s="6"/>
      <c r="M3282" s="6"/>
      <c r="N3282" s="6"/>
      <c r="O3282" s="6"/>
      <c r="P3282" s="6"/>
      <c r="Q3282" s="6"/>
      <c r="R3282" s="6"/>
      <c r="S3282" s="6"/>
      <c r="T3282" s="6"/>
      <c r="U3282" s="6"/>
      <c r="V3282" s="6"/>
      <c r="W3282" s="6"/>
      <c r="X3282" s="6"/>
      <c r="Y3282" s="6"/>
      <c r="Z3282" s="6"/>
      <c r="AA3282" s="6"/>
      <c r="AB3282" s="6"/>
      <c r="AC3282" s="6"/>
      <c r="AD3282" s="6"/>
      <c r="AE3282" s="6"/>
      <c r="AF3282" s="6"/>
      <c r="AG3282" s="6"/>
      <c r="AH3282" s="6"/>
      <c r="AI3282" s="6"/>
      <c r="AJ3282" s="6"/>
      <c r="AK3282" s="6"/>
      <c r="AL3282" s="6"/>
      <c r="AM3282" s="6"/>
    </row>
    <row r="3283">
      <c r="A3283" s="6"/>
      <c r="B3283" s="6"/>
      <c r="C3283" s="6"/>
      <c r="D3283" s="6"/>
      <c r="E3283" s="6"/>
      <c r="F3283" s="6"/>
      <c r="G3283" s="6"/>
      <c r="H3283" s="6"/>
      <c r="I3283" s="6"/>
      <c r="J3283" s="6"/>
      <c r="K3283" s="6"/>
      <c r="L3283" s="6"/>
      <c r="M3283" s="6"/>
      <c r="N3283" s="6"/>
      <c r="O3283" s="6"/>
      <c r="P3283" s="6"/>
      <c r="Q3283" s="6"/>
      <c r="R3283" s="6"/>
      <c r="S3283" s="6"/>
      <c r="T3283" s="6"/>
      <c r="U3283" s="6"/>
      <c r="V3283" s="6"/>
      <c r="W3283" s="6"/>
      <c r="X3283" s="6"/>
      <c r="Y3283" s="6"/>
      <c r="Z3283" s="6"/>
      <c r="AA3283" s="6"/>
      <c r="AB3283" s="6"/>
      <c r="AC3283" s="6"/>
      <c r="AD3283" s="6"/>
      <c r="AE3283" s="6"/>
      <c r="AF3283" s="6"/>
      <c r="AG3283" s="6"/>
      <c r="AH3283" s="6"/>
      <c r="AI3283" s="6"/>
      <c r="AJ3283" s="6"/>
      <c r="AK3283" s="6"/>
      <c r="AL3283" s="6"/>
      <c r="AM3283" s="6"/>
    </row>
    <row r="3284">
      <c r="A3284" s="6"/>
      <c r="B3284" s="6"/>
      <c r="C3284" s="6"/>
      <c r="D3284" s="6"/>
      <c r="E3284" s="6"/>
      <c r="F3284" s="6"/>
      <c r="G3284" s="6"/>
      <c r="H3284" s="6"/>
      <c r="I3284" s="6"/>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c r="AG3284" s="6"/>
      <c r="AH3284" s="6"/>
      <c r="AI3284" s="6"/>
      <c r="AJ3284" s="6"/>
      <c r="AK3284" s="6"/>
      <c r="AL3284" s="6"/>
      <c r="AM3284" s="6"/>
    </row>
    <row r="3285">
      <c r="A3285" s="6"/>
      <c r="B3285" s="6"/>
      <c r="C3285" s="6"/>
      <c r="D3285" s="6"/>
      <c r="E3285" s="6"/>
      <c r="F3285" s="6"/>
      <c r="G3285" s="6"/>
      <c r="H3285" s="6"/>
      <c r="I3285" s="6"/>
      <c r="J3285" s="6"/>
      <c r="K3285" s="6"/>
      <c r="L3285" s="6"/>
      <c r="M3285" s="6"/>
      <c r="N3285" s="6"/>
      <c r="O3285" s="6"/>
      <c r="P3285" s="6"/>
      <c r="Q3285" s="6"/>
      <c r="R3285" s="6"/>
      <c r="S3285" s="6"/>
      <c r="T3285" s="6"/>
      <c r="U3285" s="6"/>
      <c r="V3285" s="6"/>
      <c r="W3285" s="6"/>
      <c r="X3285" s="6"/>
      <c r="Y3285" s="6"/>
      <c r="Z3285" s="6"/>
      <c r="AA3285" s="6"/>
      <c r="AB3285" s="6"/>
      <c r="AC3285" s="6"/>
      <c r="AD3285" s="6"/>
      <c r="AE3285" s="6"/>
      <c r="AF3285" s="6"/>
      <c r="AG3285" s="6"/>
      <c r="AH3285" s="6"/>
      <c r="AI3285" s="6"/>
      <c r="AJ3285" s="6"/>
      <c r="AK3285" s="6"/>
      <c r="AL3285" s="6"/>
      <c r="AM3285" s="6"/>
    </row>
    <row r="3286">
      <c r="A3286" s="6"/>
      <c r="B3286" s="6"/>
      <c r="C3286" s="6"/>
      <c r="D3286" s="6"/>
      <c r="E3286" s="6"/>
      <c r="F3286" s="6"/>
      <c r="G3286" s="6"/>
      <c r="H3286" s="6"/>
      <c r="I3286" s="6"/>
      <c r="J3286" s="6"/>
      <c r="K3286" s="6"/>
      <c r="L3286" s="6"/>
      <c r="M3286" s="6"/>
      <c r="N3286" s="6"/>
      <c r="O3286" s="6"/>
      <c r="P3286" s="6"/>
      <c r="Q3286" s="6"/>
      <c r="R3286" s="6"/>
      <c r="S3286" s="6"/>
      <c r="T3286" s="6"/>
      <c r="U3286" s="6"/>
      <c r="V3286" s="6"/>
      <c r="W3286" s="6"/>
      <c r="X3286" s="6"/>
      <c r="Y3286" s="6"/>
      <c r="Z3286" s="6"/>
      <c r="AA3286" s="6"/>
      <c r="AB3286" s="6"/>
      <c r="AC3286" s="6"/>
      <c r="AD3286" s="6"/>
      <c r="AE3286" s="6"/>
      <c r="AF3286" s="6"/>
      <c r="AG3286" s="6"/>
      <c r="AH3286" s="6"/>
      <c r="AI3286" s="6"/>
      <c r="AJ3286" s="6"/>
      <c r="AK3286" s="6"/>
      <c r="AL3286" s="6"/>
      <c r="AM3286" s="6"/>
    </row>
    <row r="3287">
      <c r="A3287" s="6"/>
      <c r="B3287" s="6"/>
      <c r="C3287" s="6"/>
      <c r="D3287" s="6"/>
      <c r="E3287" s="6"/>
      <c r="F3287" s="6"/>
      <c r="G3287" s="6"/>
      <c r="H3287" s="6"/>
      <c r="I3287" s="6"/>
      <c r="J3287" s="6"/>
      <c r="K3287" s="6"/>
      <c r="L3287" s="6"/>
      <c r="M3287" s="6"/>
      <c r="N3287" s="6"/>
      <c r="O3287" s="6"/>
      <c r="P3287" s="6"/>
      <c r="Q3287" s="6"/>
      <c r="R3287" s="6"/>
      <c r="S3287" s="6"/>
      <c r="T3287" s="6"/>
      <c r="U3287" s="6"/>
      <c r="V3287" s="6"/>
      <c r="W3287" s="6"/>
      <c r="X3287" s="6"/>
      <c r="Y3287" s="6"/>
      <c r="Z3287" s="6"/>
      <c r="AA3287" s="6"/>
      <c r="AB3287" s="6"/>
      <c r="AC3287" s="6"/>
      <c r="AD3287" s="6"/>
      <c r="AE3287" s="6"/>
      <c r="AF3287" s="6"/>
      <c r="AG3287" s="6"/>
      <c r="AH3287" s="6"/>
      <c r="AI3287" s="6"/>
      <c r="AJ3287" s="6"/>
      <c r="AK3287" s="6"/>
      <c r="AL3287" s="6"/>
      <c r="AM3287" s="6"/>
    </row>
    <row r="3288">
      <c r="A3288" s="6"/>
      <c r="B3288" s="6"/>
      <c r="C3288" s="6"/>
      <c r="D3288" s="6"/>
      <c r="E3288" s="6"/>
      <c r="F3288" s="6"/>
      <c r="G3288" s="6"/>
      <c r="H3288" s="6"/>
      <c r="I3288" s="6"/>
      <c r="J3288" s="6"/>
      <c r="K3288" s="6"/>
      <c r="L3288" s="6"/>
      <c r="M3288" s="6"/>
      <c r="N3288" s="6"/>
      <c r="O3288" s="6"/>
      <c r="P3288" s="6"/>
      <c r="Q3288" s="6"/>
      <c r="R3288" s="6"/>
      <c r="S3288" s="6"/>
      <c r="T3288" s="6"/>
      <c r="U3288" s="6"/>
      <c r="V3288" s="6"/>
      <c r="W3288" s="6"/>
      <c r="X3288" s="6"/>
      <c r="Y3288" s="6"/>
      <c r="Z3288" s="6"/>
      <c r="AA3288" s="6"/>
      <c r="AB3288" s="6"/>
      <c r="AC3288" s="6"/>
      <c r="AD3288" s="6"/>
      <c r="AE3288" s="6"/>
      <c r="AF3288" s="6"/>
      <c r="AG3288" s="6"/>
      <c r="AH3288" s="6"/>
      <c r="AI3288" s="6"/>
      <c r="AJ3288" s="6"/>
      <c r="AK3288" s="6"/>
      <c r="AL3288" s="6"/>
      <c r="AM3288" s="6"/>
    </row>
    <row r="3289">
      <c r="A3289" s="6"/>
      <c r="B3289" s="6"/>
      <c r="C3289" s="6"/>
      <c r="D3289" s="6"/>
      <c r="E3289" s="6"/>
      <c r="F3289" s="6"/>
      <c r="G3289" s="6"/>
      <c r="H3289" s="6"/>
      <c r="I3289" s="6"/>
      <c r="J3289" s="6"/>
      <c r="K3289" s="6"/>
      <c r="L3289" s="6"/>
      <c r="M3289" s="6"/>
      <c r="N3289" s="6"/>
      <c r="O3289" s="6"/>
      <c r="P3289" s="6"/>
      <c r="Q3289" s="6"/>
      <c r="R3289" s="6"/>
      <c r="S3289" s="6"/>
      <c r="T3289" s="6"/>
      <c r="U3289" s="6"/>
      <c r="V3289" s="6"/>
      <c r="W3289" s="6"/>
      <c r="X3289" s="6"/>
      <c r="Y3289" s="6"/>
      <c r="Z3289" s="6"/>
      <c r="AA3289" s="6"/>
      <c r="AB3289" s="6"/>
      <c r="AC3289" s="6"/>
      <c r="AD3289" s="6"/>
      <c r="AE3289" s="6"/>
      <c r="AF3289" s="6"/>
      <c r="AG3289" s="6"/>
      <c r="AH3289" s="6"/>
      <c r="AI3289" s="6"/>
      <c r="AJ3289" s="6"/>
      <c r="AK3289" s="6"/>
      <c r="AL3289" s="6"/>
      <c r="AM3289" s="6"/>
    </row>
    <row r="3290">
      <c r="A3290" s="6"/>
      <c r="B3290" s="6"/>
      <c r="C3290" s="6"/>
      <c r="D3290" s="6"/>
      <c r="E3290" s="6"/>
      <c r="F3290" s="6"/>
      <c r="G3290" s="6"/>
      <c r="H3290" s="6"/>
      <c r="I3290" s="6"/>
      <c r="J3290" s="6"/>
      <c r="K3290" s="6"/>
      <c r="L3290" s="6"/>
      <c r="M3290" s="6"/>
      <c r="N3290" s="6"/>
      <c r="O3290" s="6"/>
      <c r="P3290" s="6"/>
      <c r="Q3290" s="6"/>
      <c r="R3290" s="6"/>
      <c r="S3290" s="6"/>
      <c r="T3290" s="6"/>
      <c r="U3290" s="6"/>
      <c r="V3290" s="6"/>
      <c r="W3290" s="6"/>
      <c r="X3290" s="6"/>
      <c r="Y3290" s="6"/>
      <c r="Z3290" s="6"/>
      <c r="AA3290" s="6"/>
      <c r="AB3290" s="6"/>
      <c r="AC3290" s="6"/>
      <c r="AD3290" s="6"/>
      <c r="AE3290" s="6"/>
      <c r="AF3290" s="6"/>
      <c r="AG3290" s="6"/>
      <c r="AH3290" s="6"/>
      <c r="AI3290" s="6"/>
      <c r="AJ3290" s="6"/>
      <c r="AK3290" s="6"/>
      <c r="AL3290" s="6"/>
      <c r="AM3290" s="6"/>
    </row>
    <row r="3291">
      <c r="A3291" s="6"/>
      <c r="B3291" s="6"/>
      <c r="C3291" s="6"/>
      <c r="D3291" s="6"/>
      <c r="E3291" s="6"/>
      <c r="F3291" s="6"/>
      <c r="G3291" s="6"/>
      <c r="H3291" s="6"/>
      <c r="I3291" s="6"/>
      <c r="J3291" s="6"/>
      <c r="K3291" s="6"/>
      <c r="L3291" s="6"/>
      <c r="M3291" s="6"/>
      <c r="N3291" s="6"/>
      <c r="O3291" s="6"/>
      <c r="P3291" s="6"/>
      <c r="Q3291" s="6"/>
      <c r="R3291" s="6"/>
      <c r="S3291" s="6"/>
      <c r="T3291" s="6"/>
      <c r="U3291" s="6"/>
      <c r="V3291" s="6"/>
      <c r="W3291" s="6"/>
      <c r="X3291" s="6"/>
      <c r="Y3291" s="6"/>
      <c r="Z3291" s="6"/>
      <c r="AA3291" s="6"/>
      <c r="AB3291" s="6"/>
      <c r="AC3291" s="6"/>
      <c r="AD3291" s="6"/>
      <c r="AE3291" s="6"/>
      <c r="AF3291" s="6"/>
      <c r="AG3291" s="6"/>
      <c r="AH3291" s="6"/>
      <c r="AI3291" s="6"/>
      <c r="AJ3291" s="6"/>
      <c r="AK3291" s="6"/>
      <c r="AL3291" s="6"/>
      <c r="AM3291" s="6"/>
    </row>
    <row r="3292">
      <c r="A3292" s="6"/>
      <c r="B3292" s="6"/>
      <c r="C3292" s="6"/>
      <c r="D3292" s="6"/>
      <c r="E3292" s="6"/>
      <c r="F3292" s="6"/>
      <c r="G3292" s="6"/>
      <c r="H3292" s="6"/>
      <c r="I3292" s="6"/>
      <c r="J3292" s="6"/>
      <c r="K3292" s="6"/>
      <c r="L3292" s="6"/>
      <c r="M3292" s="6"/>
      <c r="N3292" s="6"/>
      <c r="O3292" s="6"/>
      <c r="P3292" s="6"/>
      <c r="Q3292" s="6"/>
      <c r="R3292" s="6"/>
      <c r="S3292" s="6"/>
      <c r="T3292" s="6"/>
      <c r="U3292" s="6"/>
      <c r="V3292" s="6"/>
      <c r="W3292" s="6"/>
      <c r="X3292" s="6"/>
      <c r="Y3292" s="6"/>
      <c r="Z3292" s="6"/>
      <c r="AA3292" s="6"/>
      <c r="AB3292" s="6"/>
      <c r="AC3292" s="6"/>
      <c r="AD3292" s="6"/>
      <c r="AE3292" s="6"/>
      <c r="AF3292" s="6"/>
      <c r="AG3292" s="6"/>
      <c r="AH3292" s="6"/>
      <c r="AI3292" s="6"/>
      <c r="AJ3292" s="6"/>
      <c r="AK3292" s="6"/>
      <c r="AL3292" s="6"/>
      <c r="AM3292" s="6"/>
    </row>
    <row r="3293">
      <c r="A3293" s="6"/>
      <c r="B3293" s="6"/>
      <c r="C3293" s="6"/>
      <c r="D3293" s="6"/>
      <c r="E3293" s="6"/>
      <c r="F3293" s="6"/>
      <c r="G3293" s="6"/>
      <c r="H3293" s="6"/>
      <c r="I3293" s="6"/>
      <c r="J3293" s="6"/>
      <c r="K3293" s="6"/>
      <c r="L3293" s="6"/>
      <c r="M3293" s="6"/>
      <c r="N3293" s="6"/>
      <c r="O3293" s="6"/>
      <c r="P3293" s="6"/>
      <c r="Q3293" s="6"/>
      <c r="R3293" s="6"/>
      <c r="S3293" s="6"/>
      <c r="T3293" s="6"/>
      <c r="U3293" s="6"/>
      <c r="V3293" s="6"/>
      <c r="W3293" s="6"/>
      <c r="X3293" s="6"/>
      <c r="Y3293" s="6"/>
      <c r="Z3293" s="6"/>
      <c r="AA3293" s="6"/>
      <c r="AB3293" s="6"/>
      <c r="AC3293" s="6"/>
      <c r="AD3293" s="6"/>
      <c r="AE3293" s="6"/>
      <c r="AF3293" s="6"/>
      <c r="AG3293" s="6"/>
      <c r="AH3293" s="6"/>
      <c r="AI3293" s="6"/>
      <c r="AJ3293" s="6"/>
      <c r="AK3293" s="6"/>
      <c r="AL3293" s="6"/>
      <c r="AM3293" s="6"/>
    </row>
    <row r="3294">
      <c r="A3294" s="6"/>
      <c r="B3294" s="6"/>
      <c r="C3294" s="6"/>
      <c r="D3294" s="6"/>
      <c r="E3294" s="6"/>
      <c r="F3294" s="6"/>
      <c r="G3294" s="6"/>
      <c r="H3294" s="6"/>
      <c r="I3294" s="6"/>
      <c r="J3294" s="6"/>
      <c r="K3294" s="6"/>
      <c r="L3294" s="6"/>
      <c r="M3294" s="6"/>
      <c r="N3294" s="6"/>
      <c r="O3294" s="6"/>
      <c r="P3294" s="6"/>
      <c r="Q3294" s="6"/>
      <c r="R3294" s="6"/>
      <c r="S3294" s="6"/>
      <c r="T3294" s="6"/>
      <c r="U3294" s="6"/>
      <c r="V3294" s="6"/>
      <c r="W3294" s="6"/>
      <c r="X3294" s="6"/>
      <c r="Y3294" s="6"/>
      <c r="Z3294" s="6"/>
      <c r="AA3294" s="6"/>
      <c r="AB3294" s="6"/>
      <c r="AC3294" s="6"/>
      <c r="AD3294" s="6"/>
      <c r="AE3294" s="6"/>
      <c r="AF3294" s="6"/>
      <c r="AG3294" s="6"/>
      <c r="AH3294" s="6"/>
      <c r="AI3294" s="6"/>
      <c r="AJ3294" s="6"/>
      <c r="AK3294" s="6"/>
      <c r="AL3294" s="6"/>
      <c r="AM3294" s="6"/>
    </row>
    <row r="3295">
      <c r="A3295" s="6"/>
      <c r="B3295" s="6"/>
      <c r="C3295" s="6"/>
      <c r="D3295" s="6"/>
      <c r="E3295" s="6"/>
      <c r="F3295" s="6"/>
      <c r="G3295" s="6"/>
      <c r="H3295" s="6"/>
      <c r="I3295" s="6"/>
      <c r="J3295" s="6"/>
      <c r="K3295" s="6"/>
      <c r="L3295" s="6"/>
      <c r="M3295" s="6"/>
      <c r="N3295" s="6"/>
      <c r="O3295" s="6"/>
      <c r="P3295" s="6"/>
      <c r="Q3295" s="6"/>
      <c r="R3295" s="6"/>
      <c r="S3295" s="6"/>
      <c r="T3295" s="6"/>
      <c r="U3295" s="6"/>
      <c r="V3295" s="6"/>
      <c r="W3295" s="6"/>
      <c r="X3295" s="6"/>
      <c r="Y3295" s="6"/>
      <c r="Z3295" s="6"/>
      <c r="AA3295" s="6"/>
      <c r="AB3295" s="6"/>
      <c r="AC3295" s="6"/>
      <c r="AD3295" s="6"/>
      <c r="AE3295" s="6"/>
      <c r="AF3295" s="6"/>
      <c r="AG3295" s="6"/>
      <c r="AH3295" s="6"/>
      <c r="AI3295" s="6"/>
      <c r="AJ3295" s="6"/>
      <c r="AK3295" s="6"/>
      <c r="AL3295" s="6"/>
      <c r="AM3295" s="6"/>
    </row>
    <row r="3296">
      <c r="A3296" s="6"/>
      <c r="B3296" s="6"/>
      <c r="C3296" s="6"/>
      <c r="D3296" s="6"/>
      <c r="E3296" s="6"/>
      <c r="F3296" s="6"/>
      <c r="G3296" s="6"/>
      <c r="H3296" s="6"/>
      <c r="I3296" s="6"/>
      <c r="J3296" s="6"/>
      <c r="K3296" s="6"/>
      <c r="L3296" s="6"/>
      <c r="M3296" s="6"/>
      <c r="N3296" s="6"/>
      <c r="O3296" s="6"/>
      <c r="P3296" s="6"/>
      <c r="Q3296" s="6"/>
      <c r="R3296" s="6"/>
      <c r="S3296" s="6"/>
      <c r="T3296" s="6"/>
      <c r="U3296" s="6"/>
      <c r="V3296" s="6"/>
      <c r="W3296" s="6"/>
      <c r="X3296" s="6"/>
      <c r="Y3296" s="6"/>
      <c r="Z3296" s="6"/>
      <c r="AA3296" s="6"/>
      <c r="AB3296" s="6"/>
      <c r="AC3296" s="6"/>
      <c r="AD3296" s="6"/>
      <c r="AE3296" s="6"/>
      <c r="AF3296" s="6"/>
      <c r="AG3296" s="6"/>
      <c r="AH3296" s="6"/>
      <c r="AI3296" s="6"/>
      <c r="AJ3296" s="6"/>
      <c r="AK3296" s="6"/>
      <c r="AL3296" s="6"/>
      <c r="AM3296" s="6"/>
    </row>
    <row r="3297">
      <c r="A3297" s="6"/>
      <c r="B3297" s="6"/>
      <c r="C3297" s="6"/>
      <c r="D3297" s="6"/>
      <c r="E3297" s="6"/>
      <c r="F3297" s="6"/>
      <c r="G3297" s="6"/>
      <c r="H3297" s="6"/>
      <c r="I3297" s="6"/>
      <c r="J3297" s="6"/>
      <c r="K3297" s="6"/>
      <c r="L3297" s="6"/>
      <c r="M3297" s="6"/>
      <c r="N3297" s="6"/>
      <c r="O3297" s="6"/>
      <c r="P3297" s="6"/>
      <c r="Q3297" s="6"/>
      <c r="R3297" s="6"/>
      <c r="S3297" s="6"/>
      <c r="T3297" s="6"/>
      <c r="U3297" s="6"/>
      <c r="V3297" s="6"/>
      <c r="W3297" s="6"/>
      <c r="X3297" s="6"/>
      <c r="Y3297" s="6"/>
      <c r="Z3297" s="6"/>
      <c r="AA3297" s="6"/>
      <c r="AB3297" s="6"/>
      <c r="AC3297" s="6"/>
      <c r="AD3297" s="6"/>
      <c r="AE3297" s="6"/>
      <c r="AF3297" s="6"/>
      <c r="AG3297" s="6"/>
      <c r="AH3297" s="6"/>
      <c r="AI3297" s="6"/>
      <c r="AJ3297" s="6"/>
      <c r="AK3297" s="6"/>
      <c r="AL3297" s="6"/>
      <c r="AM3297" s="6"/>
    </row>
    <row r="3298">
      <c r="A3298" s="6"/>
      <c r="B3298" s="6"/>
      <c r="C3298" s="6"/>
      <c r="D3298" s="6"/>
      <c r="E3298" s="6"/>
      <c r="F3298" s="6"/>
      <c r="G3298" s="6"/>
      <c r="H3298" s="6"/>
      <c r="I3298" s="6"/>
      <c r="J3298" s="6"/>
      <c r="K3298" s="6"/>
      <c r="L3298" s="6"/>
      <c r="M3298" s="6"/>
      <c r="N3298" s="6"/>
      <c r="O3298" s="6"/>
      <c r="P3298" s="6"/>
      <c r="Q3298" s="6"/>
      <c r="R3298" s="6"/>
      <c r="S3298" s="6"/>
      <c r="T3298" s="6"/>
      <c r="U3298" s="6"/>
      <c r="V3298" s="6"/>
      <c r="W3298" s="6"/>
      <c r="X3298" s="6"/>
      <c r="Y3298" s="6"/>
      <c r="Z3298" s="6"/>
      <c r="AA3298" s="6"/>
      <c r="AB3298" s="6"/>
      <c r="AC3298" s="6"/>
      <c r="AD3298" s="6"/>
      <c r="AE3298" s="6"/>
      <c r="AF3298" s="6"/>
      <c r="AG3298" s="6"/>
      <c r="AH3298" s="6"/>
      <c r="AI3298" s="6"/>
      <c r="AJ3298" s="6"/>
      <c r="AK3298" s="6"/>
      <c r="AL3298" s="6"/>
      <c r="AM3298" s="6"/>
    </row>
    <row r="3299">
      <c r="A3299" s="6"/>
      <c r="B3299" s="6"/>
      <c r="C3299" s="6"/>
      <c r="D3299" s="6"/>
      <c r="E3299" s="6"/>
      <c r="F3299" s="6"/>
      <c r="G3299" s="6"/>
      <c r="H3299" s="6"/>
      <c r="I3299" s="6"/>
      <c r="J3299" s="6"/>
      <c r="K3299" s="6"/>
      <c r="L3299" s="6"/>
      <c r="M3299" s="6"/>
      <c r="N3299" s="6"/>
      <c r="O3299" s="6"/>
      <c r="P3299" s="6"/>
      <c r="Q3299" s="6"/>
      <c r="R3299" s="6"/>
      <c r="S3299" s="6"/>
      <c r="T3299" s="6"/>
      <c r="U3299" s="6"/>
      <c r="V3299" s="6"/>
      <c r="W3299" s="6"/>
      <c r="X3299" s="6"/>
      <c r="Y3299" s="6"/>
      <c r="Z3299" s="6"/>
      <c r="AA3299" s="6"/>
      <c r="AB3299" s="6"/>
      <c r="AC3299" s="6"/>
      <c r="AD3299" s="6"/>
      <c r="AE3299" s="6"/>
      <c r="AF3299" s="6"/>
      <c r="AG3299" s="6"/>
      <c r="AH3299" s="6"/>
      <c r="AI3299" s="6"/>
      <c r="AJ3299" s="6"/>
      <c r="AK3299" s="6"/>
      <c r="AL3299" s="6"/>
      <c r="AM3299" s="6"/>
    </row>
    <row r="3300">
      <c r="A3300" s="6"/>
      <c r="B3300" s="6"/>
      <c r="C3300" s="6"/>
      <c r="D3300" s="6"/>
      <c r="E3300" s="6"/>
      <c r="F3300" s="6"/>
      <c r="G3300" s="6"/>
      <c r="H3300" s="6"/>
      <c r="I3300" s="6"/>
      <c r="J3300" s="6"/>
      <c r="K3300" s="6"/>
      <c r="L3300" s="6"/>
      <c r="M3300" s="6"/>
      <c r="N3300" s="6"/>
      <c r="O3300" s="6"/>
      <c r="P3300" s="6"/>
      <c r="Q3300" s="6"/>
      <c r="R3300" s="6"/>
      <c r="S3300" s="6"/>
      <c r="T3300" s="6"/>
      <c r="U3300" s="6"/>
      <c r="V3300" s="6"/>
      <c r="W3300" s="6"/>
      <c r="X3300" s="6"/>
      <c r="Y3300" s="6"/>
      <c r="Z3300" s="6"/>
      <c r="AA3300" s="6"/>
      <c r="AB3300" s="6"/>
      <c r="AC3300" s="6"/>
      <c r="AD3300" s="6"/>
      <c r="AE3300" s="6"/>
      <c r="AF3300" s="6"/>
      <c r="AG3300" s="6"/>
      <c r="AH3300" s="6"/>
      <c r="AI3300" s="6"/>
      <c r="AJ3300" s="6"/>
      <c r="AK3300" s="6"/>
      <c r="AL3300" s="6"/>
      <c r="AM3300" s="6"/>
    </row>
    <row r="3301">
      <c r="A3301" s="6"/>
      <c r="B3301" s="6"/>
      <c r="C3301" s="6"/>
      <c r="D3301" s="6"/>
      <c r="E3301" s="6"/>
      <c r="F3301" s="6"/>
      <c r="G3301" s="6"/>
      <c r="H3301" s="6"/>
      <c r="I3301" s="6"/>
      <c r="J3301" s="6"/>
      <c r="K3301" s="6"/>
      <c r="L3301" s="6"/>
      <c r="M3301" s="6"/>
      <c r="N3301" s="6"/>
      <c r="O3301" s="6"/>
      <c r="P3301" s="6"/>
      <c r="Q3301" s="6"/>
      <c r="R3301" s="6"/>
      <c r="S3301" s="6"/>
      <c r="T3301" s="6"/>
      <c r="U3301" s="6"/>
      <c r="V3301" s="6"/>
      <c r="W3301" s="6"/>
      <c r="X3301" s="6"/>
      <c r="Y3301" s="6"/>
      <c r="Z3301" s="6"/>
      <c r="AA3301" s="6"/>
      <c r="AB3301" s="6"/>
      <c r="AC3301" s="6"/>
      <c r="AD3301" s="6"/>
      <c r="AE3301" s="6"/>
      <c r="AF3301" s="6"/>
      <c r="AG3301" s="6"/>
      <c r="AH3301" s="6"/>
      <c r="AI3301" s="6"/>
      <c r="AJ3301" s="6"/>
      <c r="AK3301" s="6"/>
      <c r="AL3301" s="6"/>
      <c r="AM3301" s="6"/>
    </row>
    <row r="3302">
      <c r="A3302" s="6"/>
      <c r="B3302" s="6"/>
      <c r="C3302" s="6"/>
      <c r="D3302" s="6"/>
      <c r="E3302" s="6"/>
      <c r="F3302" s="6"/>
      <c r="G3302" s="6"/>
      <c r="H3302" s="6"/>
      <c r="I3302" s="6"/>
      <c r="J3302" s="6"/>
      <c r="K3302" s="6"/>
      <c r="L3302" s="6"/>
      <c r="M3302" s="6"/>
      <c r="N3302" s="6"/>
      <c r="O3302" s="6"/>
      <c r="P3302" s="6"/>
      <c r="Q3302" s="6"/>
      <c r="R3302" s="6"/>
      <c r="S3302" s="6"/>
      <c r="T3302" s="6"/>
      <c r="U3302" s="6"/>
      <c r="V3302" s="6"/>
      <c r="W3302" s="6"/>
      <c r="X3302" s="6"/>
      <c r="Y3302" s="6"/>
      <c r="Z3302" s="6"/>
      <c r="AA3302" s="6"/>
      <c r="AB3302" s="6"/>
      <c r="AC3302" s="6"/>
      <c r="AD3302" s="6"/>
      <c r="AE3302" s="6"/>
      <c r="AF3302" s="6"/>
      <c r="AG3302" s="6"/>
      <c r="AH3302" s="6"/>
      <c r="AI3302" s="6"/>
      <c r="AJ3302" s="6"/>
      <c r="AK3302" s="6"/>
      <c r="AL3302" s="6"/>
      <c r="AM3302" s="6"/>
    </row>
    <row r="3303">
      <c r="A3303" s="6"/>
      <c r="B3303" s="6"/>
      <c r="C3303" s="6"/>
      <c r="D3303" s="6"/>
      <c r="E3303" s="6"/>
      <c r="F3303" s="6"/>
      <c r="G3303" s="6"/>
      <c r="H3303" s="6"/>
      <c r="I3303" s="6"/>
      <c r="J3303" s="6"/>
      <c r="K3303" s="6"/>
      <c r="L3303" s="6"/>
      <c r="M3303" s="6"/>
      <c r="N3303" s="6"/>
      <c r="O3303" s="6"/>
      <c r="P3303" s="6"/>
      <c r="Q3303" s="6"/>
      <c r="R3303" s="6"/>
      <c r="S3303" s="6"/>
      <c r="T3303" s="6"/>
      <c r="U3303" s="6"/>
      <c r="V3303" s="6"/>
      <c r="W3303" s="6"/>
      <c r="X3303" s="6"/>
      <c r="Y3303" s="6"/>
      <c r="Z3303" s="6"/>
      <c r="AA3303" s="6"/>
      <c r="AB3303" s="6"/>
      <c r="AC3303" s="6"/>
      <c r="AD3303" s="6"/>
      <c r="AE3303" s="6"/>
      <c r="AF3303" s="6"/>
      <c r="AG3303" s="6"/>
      <c r="AH3303" s="6"/>
      <c r="AI3303" s="6"/>
      <c r="AJ3303" s="6"/>
      <c r="AK3303" s="6"/>
      <c r="AL3303" s="6"/>
      <c r="AM3303" s="6"/>
    </row>
    <row r="3304">
      <c r="A3304" s="6"/>
      <c r="B3304" s="6"/>
      <c r="C3304" s="6"/>
      <c r="D3304" s="6"/>
      <c r="E3304" s="6"/>
      <c r="F3304" s="6"/>
      <c r="G3304" s="6"/>
      <c r="H3304" s="6"/>
      <c r="I3304" s="6"/>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c r="AG3304" s="6"/>
      <c r="AH3304" s="6"/>
      <c r="AI3304" s="6"/>
      <c r="AJ3304" s="6"/>
      <c r="AK3304" s="6"/>
      <c r="AL3304" s="6"/>
      <c r="AM3304" s="6"/>
    </row>
    <row r="3305">
      <c r="A3305" s="6"/>
      <c r="B3305" s="6"/>
      <c r="C3305" s="6"/>
      <c r="D3305" s="6"/>
      <c r="E3305" s="6"/>
      <c r="F3305" s="6"/>
      <c r="G3305" s="6"/>
      <c r="H3305" s="6"/>
      <c r="I3305" s="6"/>
      <c r="J3305" s="6"/>
      <c r="K3305" s="6"/>
      <c r="L3305" s="6"/>
      <c r="M3305" s="6"/>
      <c r="N3305" s="6"/>
      <c r="O3305" s="6"/>
      <c r="P3305" s="6"/>
      <c r="Q3305" s="6"/>
      <c r="R3305" s="6"/>
      <c r="S3305" s="6"/>
      <c r="T3305" s="6"/>
      <c r="U3305" s="6"/>
      <c r="V3305" s="6"/>
      <c r="W3305" s="6"/>
      <c r="X3305" s="6"/>
      <c r="Y3305" s="6"/>
      <c r="Z3305" s="6"/>
      <c r="AA3305" s="6"/>
      <c r="AB3305" s="6"/>
      <c r="AC3305" s="6"/>
      <c r="AD3305" s="6"/>
      <c r="AE3305" s="6"/>
      <c r="AF3305" s="6"/>
      <c r="AG3305" s="6"/>
      <c r="AH3305" s="6"/>
      <c r="AI3305" s="6"/>
      <c r="AJ3305" s="6"/>
      <c r="AK3305" s="6"/>
      <c r="AL3305" s="6"/>
      <c r="AM3305" s="6"/>
    </row>
    <row r="3306">
      <c r="A3306" s="6"/>
      <c r="B3306" s="6"/>
      <c r="C3306" s="6"/>
      <c r="D3306" s="6"/>
      <c r="E3306" s="6"/>
      <c r="F3306" s="6"/>
      <c r="G3306" s="6"/>
      <c r="H3306" s="6"/>
      <c r="I3306" s="6"/>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c r="AG3306" s="6"/>
      <c r="AH3306" s="6"/>
      <c r="AI3306" s="6"/>
      <c r="AJ3306" s="6"/>
      <c r="AK3306" s="6"/>
      <c r="AL3306" s="6"/>
      <c r="AM3306" s="6"/>
    </row>
    <row r="3307">
      <c r="A3307" s="6"/>
      <c r="B3307" s="6"/>
      <c r="C3307" s="6"/>
      <c r="D3307" s="6"/>
      <c r="E3307" s="6"/>
      <c r="F3307" s="6"/>
      <c r="G3307" s="6"/>
      <c r="H3307" s="6"/>
      <c r="I3307" s="6"/>
      <c r="J3307" s="6"/>
      <c r="K3307" s="6"/>
      <c r="L3307" s="6"/>
      <c r="M3307" s="6"/>
      <c r="N3307" s="6"/>
      <c r="O3307" s="6"/>
      <c r="P3307" s="6"/>
      <c r="Q3307" s="6"/>
      <c r="R3307" s="6"/>
      <c r="S3307" s="6"/>
      <c r="T3307" s="6"/>
      <c r="U3307" s="6"/>
      <c r="V3307" s="6"/>
      <c r="W3307" s="6"/>
      <c r="X3307" s="6"/>
      <c r="Y3307" s="6"/>
      <c r="Z3307" s="6"/>
      <c r="AA3307" s="6"/>
      <c r="AB3307" s="6"/>
      <c r="AC3307" s="6"/>
      <c r="AD3307" s="6"/>
      <c r="AE3307" s="6"/>
      <c r="AF3307" s="6"/>
      <c r="AG3307" s="6"/>
      <c r="AH3307" s="6"/>
      <c r="AI3307" s="6"/>
      <c r="AJ3307" s="6"/>
      <c r="AK3307" s="6"/>
      <c r="AL3307" s="6"/>
      <c r="AM3307" s="6"/>
    </row>
    <row r="3308">
      <c r="A3308" s="6"/>
      <c r="B3308" s="6"/>
      <c r="C3308" s="6"/>
      <c r="D3308" s="6"/>
      <c r="E3308" s="6"/>
      <c r="F3308" s="6"/>
      <c r="G3308" s="6"/>
      <c r="H3308" s="6"/>
      <c r="I3308" s="6"/>
      <c r="J3308" s="6"/>
      <c r="K3308" s="6"/>
      <c r="L3308" s="6"/>
      <c r="M3308" s="6"/>
      <c r="N3308" s="6"/>
      <c r="O3308" s="6"/>
      <c r="P3308" s="6"/>
      <c r="Q3308" s="6"/>
      <c r="R3308" s="6"/>
      <c r="S3308" s="6"/>
      <c r="T3308" s="6"/>
      <c r="U3308" s="6"/>
      <c r="V3308" s="6"/>
      <c r="W3308" s="6"/>
      <c r="X3308" s="6"/>
      <c r="Y3308" s="6"/>
      <c r="Z3308" s="6"/>
      <c r="AA3308" s="6"/>
      <c r="AB3308" s="6"/>
      <c r="AC3308" s="6"/>
      <c r="AD3308" s="6"/>
      <c r="AE3308" s="6"/>
      <c r="AF3308" s="6"/>
      <c r="AG3308" s="6"/>
      <c r="AH3308" s="6"/>
      <c r="AI3308" s="6"/>
      <c r="AJ3308" s="6"/>
      <c r="AK3308" s="6"/>
      <c r="AL3308" s="6"/>
      <c r="AM3308" s="6"/>
    </row>
    <row r="3309">
      <c r="A3309" s="6"/>
      <c r="B3309" s="6"/>
      <c r="C3309" s="6"/>
      <c r="D3309" s="6"/>
      <c r="E3309" s="6"/>
      <c r="F3309" s="6"/>
      <c r="G3309" s="6"/>
      <c r="H3309" s="6"/>
      <c r="I3309" s="6"/>
      <c r="J3309" s="6"/>
      <c r="K3309" s="6"/>
      <c r="L3309" s="6"/>
      <c r="M3309" s="6"/>
      <c r="N3309" s="6"/>
      <c r="O3309" s="6"/>
      <c r="P3309" s="6"/>
      <c r="Q3309" s="6"/>
      <c r="R3309" s="6"/>
      <c r="S3309" s="6"/>
      <c r="T3309" s="6"/>
      <c r="U3309" s="6"/>
      <c r="V3309" s="6"/>
      <c r="W3309" s="6"/>
      <c r="X3309" s="6"/>
      <c r="Y3309" s="6"/>
      <c r="Z3309" s="6"/>
      <c r="AA3309" s="6"/>
      <c r="AB3309" s="6"/>
      <c r="AC3309" s="6"/>
      <c r="AD3309" s="6"/>
      <c r="AE3309" s="6"/>
      <c r="AF3309" s="6"/>
      <c r="AG3309" s="6"/>
      <c r="AH3309" s="6"/>
      <c r="AI3309" s="6"/>
      <c r="AJ3309" s="6"/>
      <c r="AK3309" s="6"/>
      <c r="AL3309" s="6"/>
      <c r="AM3309" s="6"/>
    </row>
    <row r="3310">
      <c r="A3310" s="6"/>
      <c r="B3310" s="6"/>
      <c r="C3310" s="6"/>
      <c r="D3310" s="6"/>
      <c r="E3310" s="6"/>
      <c r="F3310" s="6"/>
      <c r="G3310" s="6"/>
      <c r="H3310" s="6"/>
      <c r="I3310" s="6"/>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c r="AG3310" s="6"/>
      <c r="AH3310" s="6"/>
      <c r="AI3310" s="6"/>
      <c r="AJ3310" s="6"/>
      <c r="AK3310" s="6"/>
      <c r="AL3310" s="6"/>
      <c r="AM3310" s="6"/>
    </row>
    <row r="3311">
      <c r="A3311" s="6"/>
      <c r="B3311" s="6"/>
      <c r="C3311" s="6"/>
      <c r="D3311" s="6"/>
      <c r="E3311" s="6"/>
      <c r="F3311" s="6"/>
      <c r="G3311" s="6"/>
      <c r="H3311" s="6"/>
      <c r="I3311" s="6"/>
      <c r="J3311" s="6"/>
      <c r="K3311" s="6"/>
      <c r="L3311" s="6"/>
      <c r="M3311" s="6"/>
      <c r="N3311" s="6"/>
      <c r="O3311" s="6"/>
      <c r="P3311" s="6"/>
      <c r="Q3311" s="6"/>
      <c r="R3311" s="6"/>
      <c r="S3311" s="6"/>
      <c r="T3311" s="6"/>
      <c r="U3311" s="6"/>
      <c r="V3311" s="6"/>
      <c r="W3311" s="6"/>
      <c r="X3311" s="6"/>
      <c r="Y3311" s="6"/>
      <c r="Z3311" s="6"/>
      <c r="AA3311" s="6"/>
      <c r="AB3311" s="6"/>
      <c r="AC3311" s="6"/>
      <c r="AD3311" s="6"/>
      <c r="AE3311" s="6"/>
      <c r="AF3311" s="6"/>
      <c r="AG3311" s="6"/>
      <c r="AH3311" s="6"/>
      <c r="AI3311" s="6"/>
      <c r="AJ3311" s="6"/>
      <c r="AK3311" s="6"/>
      <c r="AL3311" s="6"/>
      <c r="AM3311" s="6"/>
    </row>
    <row r="3312">
      <c r="A3312" s="6"/>
      <c r="B3312" s="6"/>
      <c r="C3312" s="6"/>
      <c r="D3312" s="6"/>
      <c r="E3312" s="6"/>
      <c r="F3312" s="6"/>
      <c r="G3312" s="6"/>
      <c r="H3312" s="6"/>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c r="AG3312" s="6"/>
      <c r="AH3312" s="6"/>
      <c r="AI3312" s="6"/>
      <c r="AJ3312" s="6"/>
      <c r="AK3312" s="6"/>
      <c r="AL3312" s="6"/>
      <c r="AM3312" s="6"/>
    </row>
    <row r="3313">
      <c r="A3313" s="6"/>
      <c r="B3313" s="6"/>
      <c r="C3313" s="6"/>
      <c r="D3313" s="6"/>
      <c r="E3313" s="6"/>
      <c r="F3313" s="6"/>
      <c r="G3313" s="6"/>
      <c r="H3313" s="6"/>
      <c r="I3313" s="6"/>
      <c r="J3313" s="6"/>
      <c r="K3313" s="6"/>
      <c r="L3313" s="6"/>
      <c r="M3313" s="6"/>
      <c r="N3313" s="6"/>
      <c r="O3313" s="6"/>
      <c r="P3313" s="6"/>
      <c r="Q3313" s="6"/>
      <c r="R3313" s="6"/>
      <c r="S3313" s="6"/>
      <c r="T3313" s="6"/>
      <c r="U3313" s="6"/>
      <c r="V3313" s="6"/>
      <c r="W3313" s="6"/>
      <c r="X3313" s="6"/>
      <c r="Y3313" s="6"/>
      <c r="Z3313" s="6"/>
      <c r="AA3313" s="6"/>
      <c r="AB3313" s="6"/>
      <c r="AC3313" s="6"/>
      <c r="AD3313" s="6"/>
      <c r="AE3313" s="6"/>
      <c r="AF3313" s="6"/>
      <c r="AG3313" s="6"/>
      <c r="AH3313" s="6"/>
      <c r="AI3313" s="6"/>
      <c r="AJ3313" s="6"/>
      <c r="AK3313" s="6"/>
      <c r="AL3313" s="6"/>
      <c r="AM3313" s="6"/>
    </row>
    <row r="3314">
      <c r="A3314" s="6"/>
      <c r="B3314" s="6"/>
      <c r="C3314" s="6"/>
      <c r="D3314" s="6"/>
      <c r="E3314" s="6"/>
      <c r="F3314" s="6"/>
      <c r="G3314" s="6"/>
      <c r="H3314" s="6"/>
      <c r="I3314" s="6"/>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c r="AG3314" s="6"/>
      <c r="AH3314" s="6"/>
      <c r="AI3314" s="6"/>
      <c r="AJ3314" s="6"/>
      <c r="AK3314" s="6"/>
      <c r="AL3314" s="6"/>
      <c r="AM3314" s="6"/>
    </row>
    <row r="3315">
      <c r="A3315" s="6"/>
      <c r="B3315" s="6"/>
      <c r="C3315" s="6"/>
      <c r="D3315" s="6"/>
      <c r="E3315" s="6"/>
      <c r="F3315" s="6"/>
      <c r="G3315" s="6"/>
      <c r="H3315" s="6"/>
      <c r="I3315" s="6"/>
      <c r="J3315" s="6"/>
      <c r="K3315" s="6"/>
      <c r="L3315" s="6"/>
      <c r="M3315" s="6"/>
      <c r="N3315" s="6"/>
      <c r="O3315" s="6"/>
      <c r="P3315" s="6"/>
      <c r="Q3315" s="6"/>
      <c r="R3315" s="6"/>
      <c r="S3315" s="6"/>
      <c r="T3315" s="6"/>
      <c r="U3315" s="6"/>
      <c r="V3315" s="6"/>
      <c r="W3315" s="6"/>
      <c r="X3315" s="6"/>
      <c r="Y3315" s="6"/>
      <c r="Z3315" s="6"/>
      <c r="AA3315" s="6"/>
      <c r="AB3315" s="6"/>
      <c r="AC3315" s="6"/>
      <c r="AD3315" s="6"/>
      <c r="AE3315" s="6"/>
      <c r="AF3315" s="6"/>
      <c r="AG3315" s="6"/>
      <c r="AH3315" s="6"/>
      <c r="AI3315" s="6"/>
      <c r="AJ3315" s="6"/>
      <c r="AK3315" s="6"/>
      <c r="AL3315" s="6"/>
      <c r="AM3315" s="6"/>
    </row>
    <row r="3316">
      <c r="A3316" s="6"/>
      <c r="B3316" s="6"/>
      <c r="C3316" s="6"/>
      <c r="D3316" s="6"/>
      <c r="E3316" s="6"/>
      <c r="F3316" s="6"/>
      <c r="G3316" s="6"/>
      <c r="H3316" s="6"/>
      <c r="I3316" s="6"/>
      <c r="J3316" s="6"/>
      <c r="K3316" s="6"/>
      <c r="L3316" s="6"/>
      <c r="M3316" s="6"/>
      <c r="N3316" s="6"/>
      <c r="O3316" s="6"/>
      <c r="P3316" s="6"/>
      <c r="Q3316" s="6"/>
      <c r="R3316" s="6"/>
      <c r="S3316" s="6"/>
      <c r="T3316" s="6"/>
      <c r="U3316" s="6"/>
      <c r="V3316" s="6"/>
      <c r="W3316" s="6"/>
      <c r="X3316" s="6"/>
      <c r="Y3316" s="6"/>
      <c r="Z3316" s="6"/>
      <c r="AA3316" s="6"/>
      <c r="AB3316" s="6"/>
      <c r="AC3316" s="6"/>
      <c r="AD3316" s="6"/>
      <c r="AE3316" s="6"/>
      <c r="AF3316" s="6"/>
      <c r="AG3316" s="6"/>
      <c r="AH3316" s="6"/>
      <c r="AI3316" s="6"/>
      <c r="AJ3316" s="6"/>
      <c r="AK3316" s="6"/>
      <c r="AL3316" s="6"/>
      <c r="AM3316" s="6"/>
    </row>
    <row r="3317">
      <c r="A3317" s="6"/>
      <c r="B3317" s="6"/>
      <c r="C3317" s="6"/>
      <c r="D3317" s="6"/>
      <c r="E3317" s="6"/>
      <c r="F3317" s="6"/>
      <c r="G3317" s="6"/>
      <c r="H3317" s="6"/>
      <c r="I3317" s="6"/>
      <c r="J3317" s="6"/>
      <c r="K3317" s="6"/>
      <c r="L3317" s="6"/>
      <c r="M3317" s="6"/>
      <c r="N3317" s="6"/>
      <c r="O3317" s="6"/>
      <c r="P3317" s="6"/>
      <c r="Q3317" s="6"/>
      <c r="R3317" s="6"/>
      <c r="S3317" s="6"/>
      <c r="T3317" s="6"/>
      <c r="U3317" s="6"/>
      <c r="V3317" s="6"/>
      <c r="W3317" s="6"/>
      <c r="X3317" s="6"/>
      <c r="Y3317" s="6"/>
      <c r="Z3317" s="6"/>
      <c r="AA3317" s="6"/>
      <c r="AB3317" s="6"/>
      <c r="AC3317" s="6"/>
      <c r="AD3317" s="6"/>
      <c r="AE3317" s="6"/>
      <c r="AF3317" s="6"/>
      <c r="AG3317" s="6"/>
      <c r="AH3317" s="6"/>
      <c r="AI3317" s="6"/>
      <c r="AJ3317" s="6"/>
      <c r="AK3317" s="6"/>
      <c r="AL3317" s="6"/>
      <c r="AM3317" s="6"/>
    </row>
    <row r="3318">
      <c r="A3318" s="6"/>
      <c r="B3318" s="6"/>
      <c r="C3318" s="6"/>
      <c r="D3318" s="6"/>
      <c r="E3318" s="6"/>
      <c r="F3318" s="6"/>
      <c r="G3318" s="6"/>
      <c r="H3318" s="6"/>
      <c r="I3318" s="6"/>
      <c r="J3318" s="6"/>
      <c r="K3318" s="6"/>
      <c r="L3318" s="6"/>
      <c r="M3318" s="6"/>
      <c r="N3318" s="6"/>
      <c r="O3318" s="6"/>
      <c r="P3318" s="6"/>
      <c r="Q3318" s="6"/>
      <c r="R3318" s="6"/>
      <c r="S3318" s="6"/>
      <c r="T3318" s="6"/>
      <c r="U3318" s="6"/>
      <c r="V3318" s="6"/>
      <c r="W3318" s="6"/>
      <c r="X3318" s="6"/>
      <c r="Y3318" s="6"/>
      <c r="Z3318" s="6"/>
      <c r="AA3318" s="6"/>
      <c r="AB3318" s="6"/>
      <c r="AC3318" s="6"/>
      <c r="AD3318" s="6"/>
      <c r="AE3318" s="6"/>
      <c r="AF3318" s="6"/>
      <c r="AG3318" s="6"/>
      <c r="AH3318" s="6"/>
      <c r="AI3318" s="6"/>
      <c r="AJ3318" s="6"/>
      <c r="AK3318" s="6"/>
      <c r="AL3318" s="6"/>
      <c r="AM3318" s="6"/>
    </row>
    <row r="3319">
      <c r="A3319" s="6"/>
      <c r="B3319" s="6"/>
      <c r="C3319" s="6"/>
      <c r="D3319" s="6"/>
      <c r="E3319" s="6"/>
      <c r="F3319" s="6"/>
      <c r="G3319" s="6"/>
      <c r="H3319" s="6"/>
      <c r="I3319" s="6"/>
      <c r="J3319" s="6"/>
      <c r="K3319" s="6"/>
      <c r="L3319" s="6"/>
      <c r="M3319" s="6"/>
      <c r="N3319" s="6"/>
      <c r="O3319" s="6"/>
      <c r="P3319" s="6"/>
      <c r="Q3319" s="6"/>
      <c r="R3319" s="6"/>
      <c r="S3319" s="6"/>
      <c r="T3319" s="6"/>
      <c r="U3319" s="6"/>
      <c r="V3319" s="6"/>
      <c r="W3319" s="6"/>
      <c r="X3319" s="6"/>
      <c r="Y3319" s="6"/>
      <c r="Z3319" s="6"/>
      <c r="AA3319" s="6"/>
      <c r="AB3319" s="6"/>
      <c r="AC3319" s="6"/>
      <c r="AD3319" s="6"/>
      <c r="AE3319" s="6"/>
      <c r="AF3319" s="6"/>
      <c r="AG3319" s="6"/>
      <c r="AH3319" s="6"/>
      <c r="AI3319" s="6"/>
      <c r="AJ3319" s="6"/>
      <c r="AK3319" s="6"/>
      <c r="AL3319" s="6"/>
      <c r="AM3319" s="6"/>
    </row>
    <row r="3320">
      <c r="A3320" s="6"/>
      <c r="B3320" s="6"/>
      <c r="C3320" s="6"/>
      <c r="D3320" s="6"/>
      <c r="E3320" s="6"/>
      <c r="F3320" s="6"/>
      <c r="G3320" s="6"/>
      <c r="H3320" s="6"/>
      <c r="I3320" s="6"/>
      <c r="J3320" s="6"/>
      <c r="K3320" s="6"/>
      <c r="L3320" s="6"/>
      <c r="M3320" s="6"/>
      <c r="N3320" s="6"/>
      <c r="O3320" s="6"/>
      <c r="P3320" s="6"/>
      <c r="Q3320" s="6"/>
      <c r="R3320" s="6"/>
      <c r="S3320" s="6"/>
      <c r="T3320" s="6"/>
      <c r="U3320" s="6"/>
      <c r="V3320" s="6"/>
      <c r="W3320" s="6"/>
      <c r="X3320" s="6"/>
      <c r="Y3320" s="6"/>
      <c r="Z3320" s="6"/>
      <c r="AA3320" s="6"/>
      <c r="AB3320" s="6"/>
      <c r="AC3320" s="6"/>
      <c r="AD3320" s="6"/>
      <c r="AE3320" s="6"/>
      <c r="AF3320" s="6"/>
      <c r="AG3320" s="6"/>
      <c r="AH3320" s="6"/>
      <c r="AI3320" s="6"/>
      <c r="AJ3320" s="6"/>
      <c r="AK3320" s="6"/>
      <c r="AL3320" s="6"/>
      <c r="AM3320" s="6"/>
    </row>
    <row r="3321">
      <c r="A3321" s="6"/>
      <c r="B3321" s="6"/>
      <c r="C3321" s="6"/>
      <c r="D3321" s="6"/>
      <c r="E3321" s="6"/>
      <c r="F3321" s="6"/>
      <c r="G3321" s="6"/>
      <c r="H3321" s="6"/>
      <c r="I3321" s="6"/>
      <c r="J3321" s="6"/>
      <c r="K3321" s="6"/>
      <c r="L3321" s="6"/>
      <c r="M3321" s="6"/>
      <c r="N3321" s="6"/>
      <c r="O3321" s="6"/>
      <c r="P3321" s="6"/>
      <c r="Q3321" s="6"/>
      <c r="R3321" s="6"/>
      <c r="S3321" s="6"/>
      <c r="T3321" s="6"/>
      <c r="U3321" s="6"/>
      <c r="V3321" s="6"/>
      <c r="W3321" s="6"/>
      <c r="X3321" s="6"/>
      <c r="Y3321" s="6"/>
      <c r="Z3321" s="6"/>
      <c r="AA3321" s="6"/>
      <c r="AB3321" s="6"/>
      <c r="AC3321" s="6"/>
      <c r="AD3321" s="6"/>
      <c r="AE3321" s="6"/>
      <c r="AF3321" s="6"/>
      <c r="AG3321" s="6"/>
      <c r="AH3321" s="6"/>
      <c r="AI3321" s="6"/>
      <c r="AJ3321" s="6"/>
      <c r="AK3321" s="6"/>
      <c r="AL3321" s="6"/>
      <c r="AM3321" s="6"/>
    </row>
    <row r="3322">
      <c r="A3322" s="6"/>
      <c r="B3322" s="6"/>
      <c r="C3322" s="6"/>
      <c r="D3322" s="6"/>
      <c r="E3322" s="6"/>
      <c r="F3322" s="6"/>
      <c r="G3322" s="6"/>
      <c r="H3322" s="6"/>
      <c r="I3322" s="6"/>
      <c r="J3322" s="6"/>
      <c r="K3322" s="6"/>
      <c r="L3322" s="6"/>
      <c r="M3322" s="6"/>
      <c r="N3322" s="6"/>
      <c r="O3322" s="6"/>
      <c r="P3322" s="6"/>
      <c r="Q3322" s="6"/>
      <c r="R3322" s="6"/>
      <c r="S3322" s="6"/>
      <c r="T3322" s="6"/>
      <c r="U3322" s="6"/>
      <c r="V3322" s="6"/>
      <c r="W3322" s="6"/>
      <c r="X3322" s="6"/>
      <c r="Y3322" s="6"/>
      <c r="Z3322" s="6"/>
      <c r="AA3322" s="6"/>
      <c r="AB3322" s="6"/>
      <c r="AC3322" s="6"/>
      <c r="AD3322" s="6"/>
      <c r="AE3322" s="6"/>
      <c r="AF3322" s="6"/>
      <c r="AG3322" s="6"/>
      <c r="AH3322" s="6"/>
      <c r="AI3322" s="6"/>
      <c r="AJ3322" s="6"/>
      <c r="AK3322" s="6"/>
      <c r="AL3322" s="6"/>
      <c r="AM3322" s="6"/>
    </row>
    <row r="3323">
      <c r="A3323" s="6"/>
      <c r="B3323" s="6"/>
      <c r="C3323" s="6"/>
      <c r="D3323" s="6"/>
      <c r="E3323" s="6"/>
      <c r="F3323" s="6"/>
      <c r="G3323" s="6"/>
      <c r="H3323" s="6"/>
      <c r="I3323" s="6"/>
      <c r="J3323" s="6"/>
      <c r="K3323" s="6"/>
      <c r="L3323" s="6"/>
      <c r="M3323" s="6"/>
      <c r="N3323" s="6"/>
      <c r="O3323" s="6"/>
      <c r="P3323" s="6"/>
      <c r="Q3323" s="6"/>
      <c r="R3323" s="6"/>
      <c r="S3323" s="6"/>
      <c r="T3323" s="6"/>
      <c r="U3323" s="6"/>
      <c r="V3323" s="6"/>
      <c r="W3323" s="6"/>
      <c r="X3323" s="6"/>
      <c r="Y3323" s="6"/>
      <c r="Z3323" s="6"/>
      <c r="AA3323" s="6"/>
      <c r="AB3323" s="6"/>
      <c r="AC3323" s="6"/>
      <c r="AD3323" s="6"/>
      <c r="AE3323" s="6"/>
      <c r="AF3323" s="6"/>
      <c r="AG3323" s="6"/>
      <c r="AH3323" s="6"/>
      <c r="AI3323" s="6"/>
      <c r="AJ3323" s="6"/>
      <c r="AK3323" s="6"/>
      <c r="AL3323" s="6"/>
      <c r="AM3323" s="6"/>
    </row>
    <row r="3324">
      <c r="A3324" s="6"/>
      <c r="B3324" s="6"/>
      <c r="C3324" s="6"/>
      <c r="D3324" s="6"/>
      <c r="E3324" s="6"/>
      <c r="F3324" s="6"/>
      <c r="G3324" s="6"/>
      <c r="H3324" s="6"/>
      <c r="I3324" s="6"/>
      <c r="J3324" s="6"/>
      <c r="K3324" s="6"/>
      <c r="L3324" s="6"/>
      <c r="M3324" s="6"/>
      <c r="N3324" s="6"/>
      <c r="O3324" s="6"/>
      <c r="P3324" s="6"/>
      <c r="Q3324" s="6"/>
      <c r="R3324" s="6"/>
      <c r="S3324" s="6"/>
      <c r="T3324" s="6"/>
      <c r="U3324" s="6"/>
      <c r="V3324" s="6"/>
      <c r="W3324" s="6"/>
      <c r="X3324" s="6"/>
      <c r="Y3324" s="6"/>
      <c r="Z3324" s="6"/>
      <c r="AA3324" s="6"/>
      <c r="AB3324" s="6"/>
      <c r="AC3324" s="6"/>
      <c r="AD3324" s="6"/>
      <c r="AE3324" s="6"/>
      <c r="AF3324" s="6"/>
      <c r="AG3324" s="6"/>
      <c r="AH3324" s="6"/>
      <c r="AI3324" s="6"/>
      <c r="AJ3324" s="6"/>
      <c r="AK3324" s="6"/>
      <c r="AL3324" s="6"/>
      <c r="AM3324" s="6"/>
    </row>
    <row r="3325">
      <c r="A3325" s="6"/>
      <c r="B3325" s="6"/>
      <c r="C3325" s="6"/>
      <c r="D3325" s="6"/>
      <c r="E3325" s="6"/>
      <c r="F3325" s="6"/>
      <c r="G3325" s="6"/>
      <c r="H3325" s="6"/>
      <c r="I3325" s="6"/>
      <c r="J3325" s="6"/>
      <c r="K3325" s="6"/>
      <c r="L3325" s="6"/>
      <c r="M3325" s="6"/>
      <c r="N3325" s="6"/>
      <c r="O3325" s="6"/>
      <c r="P3325" s="6"/>
      <c r="Q3325" s="6"/>
      <c r="R3325" s="6"/>
      <c r="S3325" s="6"/>
      <c r="T3325" s="6"/>
      <c r="U3325" s="6"/>
      <c r="V3325" s="6"/>
      <c r="W3325" s="6"/>
      <c r="X3325" s="6"/>
      <c r="Y3325" s="6"/>
      <c r="Z3325" s="6"/>
      <c r="AA3325" s="6"/>
      <c r="AB3325" s="6"/>
      <c r="AC3325" s="6"/>
      <c r="AD3325" s="6"/>
      <c r="AE3325" s="6"/>
      <c r="AF3325" s="6"/>
      <c r="AG3325" s="6"/>
      <c r="AH3325" s="6"/>
      <c r="AI3325" s="6"/>
      <c r="AJ3325" s="6"/>
      <c r="AK3325" s="6"/>
      <c r="AL3325" s="6"/>
      <c r="AM3325" s="6"/>
    </row>
    <row r="3326">
      <c r="A3326" s="6"/>
      <c r="B3326" s="6"/>
      <c r="C3326" s="6"/>
      <c r="D3326" s="6"/>
      <c r="E3326" s="6"/>
      <c r="F3326" s="6"/>
      <c r="G3326" s="6"/>
      <c r="H3326" s="6"/>
      <c r="I3326" s="6"/>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c r="AG3326" s="6"/>
      <c r="AH3326" s="6"/>
      <c r="AI3326" s="6"/>
      <c r="AJ3326" s="6"/>
      <c r="AK3326" s="6"/>
      <c r="AL3326" s="6"/>
      <c r="AM3326" s="6"/>
    </row>
    <row r="3327">
      <c r="A3327" s="6"/>
      <c r="B3327" s="6"/>
      <c r="C3327" s="6"/>
      <c r="D3327" s="6"/>
      <c r="E3327" s="6"/>
      <c r="F3327" s="6"/>
      <c r="G3327" s="6"/>
      <c r="H3327" s="6"/>
      <c r="I3327" s="6"/>
      <c r="J3327" s="6"/>
      <c r="K3327" s="6"/>
      <c r="L3327" s="6"/>
      <c r="M3327" s="6"/>
      <c r="N3327" s="6"/>
      <c r="O3327" s="6"/>
      <c r="P3327" s="6"/>
      <c r="Q3327" s="6"/>
      <c r="R3327" s="6"/>
      <c r="S3327" s="6"/>
      <c r="T3327" s="6"/>
      <c r="U3327" s="6"/>
      <c r="V3327" s="6"/>
      <c r="W3327" s="6"/>
      <c r="X3327" s="6"/>
      <c r="Y3327" s="6"/>
      <c r="Z3327" s="6"/>
      <c r="AA3327" s="6"/>
      <c r="AB3327" s="6"/>
      <c r="AC3327" s="6"/>
      <c r="AD3327" s="6"/>
      <c r="AE3327" s="6"/>
      <c r="AF3327" s="6"/>
      <c r="AG3327" s="6"/>
      <c r="AH3327" s="6"/>
      <c r="AI3327" s="6"/>
      <c r="AJ3327" s="6"/>
      <c r="AK3327" s="6"/>
      <c r="AL3327" s="6"/>
      <c r="AM3327" s="6"/>
    </row>
    <row r="3328">
      <c r="A3328" s="6"/>
      <c r="B3328" s="6"/>
      <c r="C3328" s="6"/>
      <c r="D3328" s="6"/>
      <c r="E3328" s="6"/>
      <c r="F3328" s="6"/>
      <c r="G3328" s="6"/>
      <c r="H3328" s="6"/>
      <c r="I3328" s="6"/>
      <c r="J3328" s="6"/>
      <c r="K3328" s="6"/>
      <c r="L3328" s="6"/>
      <c r="M3328" s="6"/>
      <c r="N3328" s="6"/>
      <c r="O3328" s="6"/>
      <c r="P3328" s="6"/>
      <c r="Q3328" s="6"/>
      <c r="R3328" s="6"/>
      <c r="S3328" s="6"/>
      <c r="T3328" s="6"/>
      <c r="U3328" s="6"/>
      <c r="V3328" s="6"/>
      <c r="W3328" s="6"/>
      <c r="X3328" s="6"/>
      <c r="Y3328" s="6"/>
      <c r="Z3328" s="6"/>
      <c r="AA3328" s="6"/>
      <c r="AB3328" s="6"/>
      <c r="AC3328" s="6"/>
      <c r="AD3328" s="6"/>
      <c r="AE3328" s="6"/>
      <c r="AF3328" s="6"/>
      <c r="AG3328" s="6"/>
      <c r="AH3328" s="6"/>
      <c r="AI3328" s="6"/>
      <c r="AJ3328" s="6"/>
      <c r="AK3328" s="6"/>
      <c r="AL3328" s="6"/>
      <c r="AM3328" s="6"/>
    </row>
    <row r="3329">
      <c r="A3329" s="6"/>
      <c r="B3329" s="6"/>
      <c r="C3329" s="6"/>
      <c r="D3329" s="6"/>
      <c r="E3329" s="6"/>
      <c r="F3329" s="6"/>
      <c r="G3329" s="6"/>
      <c r="H3329" s="6"/>
      <c r="I3329" s="6"/>
      <c r="J3329" s="6"/>
      <c r="K3329" s="6"/>
      <c r="L3329" s="6"/>
      <c r="M3329" s="6"/>
      <c r="N3329" s="6"/>
      <c r="O3329" s="6"/>
      <c r="P3329" s="6"/>
      <c r="Q3329" s="6"/>
      <c r="R3329" s="6"/>
      <c r="S3329" s="6"/>
      <c r="T3329" s="6"/>
      <c r="U3329" s="6"/>
      <c r="V3329" s="6"/>
      <c r="W3329" s="6"/>
      <c r="X3329" s="6"/>
      <c r="Y3329" s="6"/>
      <c r="Z3329" s="6"/>
      <c r="AA3329" s="6"/>
      <c r="AB3329" s="6"/>
      <c r="AC3329" s="6"/>
      <c r="AD3329" s="6"/>
      <c r="AE3329" s="6"/>
      <c r="AF3329" s="6"/>
      <c r="AG3329" s="6"/>
      <c r="AH3329" s="6"/>
      <c r="AI3329" s="6"/>
      <c r="AJ3329" s="6"/>
      <c r="AK3329" s="6"/>
      <c r="AL3329" s="6"/>
      <c r="AM3329" s="6"/>
    </row>
    <row r="3330">
      <c r="A3330" s="6"/>
      <c r="B3330" s="6"/>
      <c r="C3330" s="6"/>
      <c r="D3330" s="6"/>
      <c r="E3330" s="6"/>
      <c r="F3330" s="6"/>
      <c r="G3330" s="6"/>
      <c r="H3330" s="6"/>
      <c r="I3330" s="6"/>
      <c r="J3330" s="6"/>
      <c r="K3330" s="6"/>
      <c r="L3330" s="6"/>
      <c r="M3330" s="6"/>
      <c r="N3330" s="6"/>
      <c r="O3330" s="6"/>
      <c r="P3330" s="6"/>
      <c r="Q3330" s="6"/>
      <c r="R3330" s="6"/>
      <c r="S3330" s="6"/>
      <c r="T3330" s="6"/>
      <c r="U3330" s="6"/>
      <c r="V3330" s="6"/>
      <c r="W3330" s="6"/>
      <c r="X3330" s="6"/>
      <c r="Y3330" s="6"/>
      <c r="Z3330" s="6"/>
      <c r="AA3330" s="6"/>
      <c r="AB3330" s="6"/>
      <c r="AC3330" s="6"/>
      <c r="AD3330" s="6"/>
      <c r="AE3330" s="6"/>
      <c r="AF3330" s="6"/>
      <c r="AG3330" s="6"/>
      <c r="AH3330" s="6"/>
      <c r="AI3330" s="6"/>
      <c r="AJ3330" s="6"/>
      <c r="AK3330" s="6"/>
      <c r="AL3330" s="6"/>
      <c r="AM3330" s="6"/>
    </row>
    <row r="3331">
      <c r="A3331" s="6"/>
      <c r="B3331" s="6"/>
      <c r="C3331" s="6"/>
      <c r="D3331" s="6"/>
      <c r="E3331" s="6"/>
      <c r="F3331" s="6"/>
      <c r="G3331" s="6"/>
      <c r="H3331" s="6"/>
      <c r="I3331" s="6"/>
      <c r="J3331" s="6"/>
      <c r="K3331" s="6"/>
      <c r="L3331" s="6"/>
      <c r="M3331" s="6"/>
      <c r="N3331" s="6"/>
      <c r="O3331" s="6"/>
      <c r="P3331" s="6"/>
      <c r="Q3331" s="6"/>
      <c r="R3331" s="6"/>
      <c r="S3331" s="6"/>
      <c r="T3331" s="6"/>
      <c r="U3331" s="6"/>
      <c r="V3331" s="6"/>
      <c r="W3331" s="6"/>
      <c r="X3331" s="6"/>
      <c r="Y3331" s="6"/>
      <c r="Z3331" s="6"/>
      <c r="AA3331" s="6"/>
      <c r="AB3331" s="6"/>
      <c r="AC3331" s="6"/>
      <c r="AD3331" s="6"/>
      <c r="AE3331" s="6"/>
      <c r="AF3331" s="6"/>
      <c r="AG3331" s="6"/>
      <c r="AH3331" s="6"/>
      <c r="AI3331" s="6"/>
      <c r="AJ3331" s="6"/>
      <c r="AK3331" s="6"/>
      <c r="AL3331" s="6"/>
      <c r="AM3331" s="6"/>
    </row>
    <row r="3332">
      <c r="A3332" s="6"/>
      <c r="B3332" s="6"/>
      <c r="C3332" s="6"/>
      <c r="D3332" s="6"/>
      <c r="E3332" s="6"/>
      <c r="F3332" s="6"/>
      <c r="G3332" s="6"/>
      <c r="H3332" s="6"/>
      <c r="I3332" s="6"/>
      <c r="J3332" s="6"/>
      <c r="K3332" s="6"/>
      <c r="L3332" s="6"/>
      <c r="M3332" s="6"/>
      <c r="N3332" s="6"/>
      <c r="O3332" s="6"/>
      <c r="P3332" s="6"/>
      <c r="Q3332" s="6"/>
      <c r="R3332" s="6"/>
      <c r="S3332" s="6"/>
      <c r="T3332" s="6"/>
      <c r="U3332" s="6"/>
      <c r="V3332" s="6"/>
      <c r="W3332" s="6"/>
      <c r="X3332" s="6"/>
      <c r="Y3332" s="6"/>
      <c r="Z3332" s="6"/>
      <c r="AA3332" s="6"/>
      <c r="AB3332" s="6"/>
      <c r="AC3332" s="6"/>
      <c r="AD3332" s="6"/>
      <c r="AE3332" s="6"/>
      <c r="AF3332" s="6"/>
      <c r="AG3332" s="6"/>
      <c r="AH3332" s="6"/>
      <c r="AI3332" s="6"/>
      <c r="AJ3332" s="6"/>
      <c r="AK3332" s="6"/>
      <c r="AL3332" s="6"/>
      <c r="AM3332" s="6"/>
    </row>
    <row r="3333">
      <c r="A3333" s="6"/>
      <c r="B3333" s="6"/>
      <c r="C3333" s="6"/>
      <c r="D3333" s="6"/>
      <c r="E3333" s="6"/>
      <c r="F3333" s="6"/>
      <c r="G3333" s="6"/>
      <c r="H3333" s="6"/>
      <c r="I3333" s="6"/>
      <c r="J3333" s="6"/>
      <c r="K3333" s="6"/>
      <c r="L3333" s="6"/>
      <c r="M3333" s="6"/>
      <c r="N3333" s="6"/>
      <c r="O3333" s="6"/>
      <c r="P3333" s="6"/>
      <c r="Q3333" s="6"/>
      <c r="R3333" s="6"/>
      <c r="S3333" s="6"/>
      <c r="T3333" s="6"/>
      <c r="U3333" s="6"/>
      <c r="V3333" s="6"/>
      <c r="W3333" s="6"/>
      <c r="X3333" s="6"/>
      <c r="Y3333" s="6"/>
      <c r="Z3333" s="6"/>
      <c r="AA3333" s="6"/>
      <c r="AB3333" s="6"/>
      <c r="AC3333" s="6"/>
      <c r="AD3333" s="6"/>
      <c r="AE3333" s="6"/>
      <c r="AF3333" s="6"/>
      <c r="AG3333" s="6"/>
      <c r="AH3333" s="6"/>
      <c r="AI3333" s="6"/>
      <c r="AJ3333" s="6"/>
      <c r="AK3333" s="6"/>
      <c r="AL3333" s="6"/>
      <c r="AM3333" s="6"/>
    </row>
    <row r="3334">
      <c r="A3334" s="6"/>
      <c r="B3334" s="6"/>
      <c r="C3334" s="6"/>
      <c r="D3334" s="6"/>
      <c r="E3334" s="6"/>
      <c r="F3334" s="6"/>
      <c r="G3334" s="6"/>
      <c r="H3334" s="6"/>
      <c r="I3334" s="6"/>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c r="AG3334" s="6"/>
      <c r="AH3334" s="6"/>
      <c r="AI3334" s="6"/>
      <c r="AJ3334" s="6"/>
      <c r="AK3334" s="6"/>
      <c r="AL3334" s="6"/>
      <c r="AM3334" s="6"/>
    </row>
    <row r="3335">
      <c r="A3335" s="6"/>
      <c r="B3335" s="6"/>
      <c r="C3335" s="6"/>
      <c r="D3335" s="6"/>
      <c r="E3335" s="6"/>
      <c r="F3335" s="6"/>
      <c r="G3335" s="6"/>
      <c r="H3335" s="6"/>
      <c r="I3335" s="6"/>
      <c r="J3335" s="6"/>
      <c r="K3335" s="6"/>
      <c r="L3335" s="6"/>
      <c r="M3335" s="6"/>
      <c r="N3335" s="6"/>
      <c r="O3335" s="6"/>
      <c r="P3335" s="6"/>
      <c r="Q3335" s="6"/>
      <c r="R3335" s="6"/>
      <c r="S3335" s="6"/>
      <c r="T3335" s="6"/>
      <c r="U3335" s="6"/>
      <c r="V3335" s="6"/>
      <c r="W3335" s="6"/>
      <c r="X3335" s="6"/>
      <c r="Y3335" s="6"/>
      <c r="Z3335" s="6"/>
      <c r="AA3335" s="6"/>
      <c r="AB3335" s="6"/>
      <c r="AC3335" s="6"/>
      <c r="AD3335" s="6"/>
      <c r="AE3335" s="6"/>
      <c r="AF3335" s="6"/>
      <c r="AG3335" s="6"/>
      <c r="AH3335" s="6"/>
      <c r="AI3335" s="6"/>
      <c r="AJ3335" s="6"/>
      <c r="AK3335" s="6"/>
      <c r="AL3335" s="6"/>
      <c r="AM3335" s="6"/>
    </row>
    <row r="3336">
      <c r="A3336" s="6"/>
      <c r="B3336" s="6"/>
      <c r="C3336" s="6"/>
      <c r="D3336" s="6"/>
      <c r="E3336" s="6"/>
      <c r="F3336" s="6"/>
      <c r="G3336" s="6"/>
      <c r="H3336" s="6"/>
      <c r="I3336" s="6"/>
      <c r="J3336" s="6"/>
      <c r="K3336" s="6"/>
      <c r="L3336" s="6"/>
      <c r="M3336" s="6"/>
      <c r="N3336" s="6"/>
      <c r="O3336" s="6"/>
      <c r="P3336" s="6"/>
      <c r="Q3336" s="6"/>
      <c r="R3336" s="6"/>
      <c r="S3336" s="6"/>
      <c r="T3336" s="6"/>
      <c r="U3336" s="6"/>
      <c r="V3336" s="6"/>
      <c r="W3336" s="6"/>
      <c r="X3336" s="6"/>
      <c r="Y3336" s="6"/>
      <c r="Z3336" s="6"/>
      <c r="AA3336" s="6"/>
      <c r="AB3336" s="6"/>
      <c r="AC3336" s="6"/>
      <c r="AD3336" s="6"/>
      <c r="AE3336" s="6"/>
      <c r="AF3336" s="6"/>
      <c r="AG3336" s="6"/>
      <c r="AH3336" s="6"/>
      <c r="AI3336" s="6"/>
      <c r="AJ3336" s="6"/>
      <c r="AK3336" s="6"/>
      <c r="AL3336" s="6"/>
      <c r="AM3336" s="6"/>
    </row>
    <row r="3337">
      <c r="A3337" s="6"/>
      <c r="B3337" s="6"/>
      <c r="C3337" s="6"/>
      <c r="D3337" s="6"/>
      <c r="E3337" s="6"/>
      <c r="F3337" s="6"/>
      <c r="G3337" s="6"/>
      <c r="H3337" s="6"/>
      <c r="I3337" s="6"/>
      <c r="J3337" s="6"/>
      <c r="K3337" s="6"/>
      <c r="L3337" s="6"/>
      <c r="M3337" s="6"/>
      <c r="N3337" s="6"/>
      <c r="O3337" s="6"/>
      <c r="P3337" s="6"/>
      <c r="Q3337" s="6"/>
      <c r="R3337" s="6"/>
      <c r="S3337" s="6"/>
      <c r="T3337" s="6"/>
      <c r="U3337" s="6"/>
      <c r="V3337" s="6"/>
      <c r="W3337" s="6"/>
      <c r="X3337" s="6"/>
      <c r="Y3337" s="6"/>
      <c r="Z3337" s="6"/>
      <c r="AA3337" s="6"/>
      <c r="AB3337" s="6"/>
      <c r="AC3337" s="6"/>
      <c r="AD3337" s="6"/>
      <c r="AE3337" s="6"/>
      <c r="AF3337" s="6"/>
      <c r="AG3337" s="6"/>
      <c r="AH3337" s="6"/>
      <c r="AI3337" s="6"/>
      <c r="AJ3337" s="6"/>
      <c r="AK3337" s="6"/>
      <c r="AL3337" s="6"/>
      <c r="AM3337" s="6"/>
    </row>
    <row r="3338">
      <c r="A3338" s="6"/>
      <c r="B3338" s="6"/>
      <c r="C3338" s="6"/>
      <c r="D3338" s="6"/>
      <c r="E3338" s="6"/>
      <c r="F3338" s="6"/>
      <c r="G3338" s="6"/>
      <c r="H3338" s="6"/>
      <c r="I3338" s="6"/>
      <c r="J3338" s="6"/>
      <c r="K3338" s="6"/>
      <c r="L3338" s="6"/>
      <c r="M3338" s="6"/>
      <c r="N3338" s="6"/>
      <c r="O3338" s="6"/>
      <c r="P3338" s="6"/>
      <c r="Q3338" s="6"/>
      <c r="R3338" s="6"/>
      <c r="S3338" s="6"/>
      <c r="T3338" s="6"/>
      <c r="U3338" s="6"/>
      <c r="V3338" s="6"/>
      <c r="W3338" s="6"/>
      <c r="X3338" s="6"/>
      <c r="Y3338" s="6"/>
      <c r="Z3338" s="6"/>
      <c r="AA3338" s="6"/>
      <c r="AB3338" s="6"/>
      <c r="AC3338" s="6"/>
      <c r="AD3338" s="6"/>
      <c r="AE3338" s="6"/>
      <c r="AF3338" s="6"/>
      <c r="AG3338" s="6"/>
      <c r="AH3338" s="6"/>
      <c r="AI3338" s="6"/>
      <c r="AJ3338" s="6"/>
      <c r="AK3338" s="6"/>
      <c r="AL3338" s="6"/>
      <c r="AM3338" s="6"/>
    </row>
    <row r="3339">
      <c r="A3339" s="6"/>
      <c r="B3339" s="6"/>
      <c r="C3339" s="6"/>
      <c r="D3339" s="6"/>
      <c r="E3339" s="6"/>
      <c r="F3339" s="6"/>
      <c r="G3339" s="6"/>
      <c r="H3339" s="6"/>
      <c r="I3339" s="6"/>
      <c r="J3339" s="6"/>
      <c r="K3339" s="6"/>
      <c r="L3339" s="6"/>
      <c r="M3339" s="6"/>
      <c r="N3339" s="6"/>
      <c r="O3339" s="6"/>
      <c r="P3339" s="6"/>
      <c r="Q3339" s="6"/>
      <c r="R3339" s="6"/>
      <c r="S3339" s="6"/>
      <c r="T3339" s="6"/>
      <c r="U3339" s="6"/>
      <c r="V3339" s="6"/>
      <c r="W3339" s="6"/>
      <c r="X3339" s="6"/>
      <c r="Y3339" s="6"/>
      <c r="Z3339" s="6"/>
      <c r="AA3339" s="6"/>
      <c r="AB3339" s="6"/>
      <c r="AC3339" s="6"/>
      <c r="AD3339" s="6"/>
      <c r="AE3339" s="6"/>
      <c r="AF3339" s="6"/>
      <c r="AG3339" s="6"/>
      <c r="AH3339" s="6"/>
      <c r="AI3339" s="6"/>
      <c r="AJ3339" s="6"/>
      <c r="AK3339" s="6"/>
      <c r="AL3339" s="6"/>
      <c r="AM3339" s="6"/>
    </row>
    <row r="3340">
      <c r="A3340" s="6"/>
      <c r="B3340" s="6"/>
      <c r="C3340" s="6"/>
      <c r="D3340" s="6"/>
      <c r="E3340" s="6"/>
      <c r="F3340" s="6"/>
      <c r="G3340" s="6"/>
      <c r="H3340" s="6"/>
      <c r="I3340" s="6"/>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c r="AG3340" s="6"/>
      <c r="AH3340" s="6"/>
      <c r="AI3340" s="6"/>
      <c r="AJ3340" s="6"/>
      <c r="AK3340" s="6"/>
      <c r="AL3340" s="6"/>
      <c r="AM3340" s="6"/>
    </row>
    <row r="3341">
      <c r="A3341" s="6"/>
      <c r="B3341" s="6"/>
      <c r="C3341" s="6"/>
      <c r="D3341" s="6"/>
      <c r="E3341" s="6"/>
      <c r="F3341" s="6"/>
      <c r="G3341" s="6"/>
      <c r="H3341" s="6"/>
      <c r="I3341" s="6"/>
      <c r="J3341" s="6"/>
      <c r="K3341" s="6"/>
      <c r="L3341" s="6"/>
      <c r="M3341" s="6"/>
      <c r="N3341" s="6"/>
      <c r="O3341" s="6"/>
      <c r="P3341" s="6"/>
      <c r="Q3341" s="6"/>
      <c r="R3341" s="6"/>
      <c r="S3341" s="6"/>
      <c r="T3341" s="6"/>
      <c r="U3341" s="6"/>
      <c r="V3341" s="6"/>
      <c r="W3341" s="6"/>
      <c r="X3341" s="6"/>
      <c r="Y3341" s="6"/>
      <c r="Z3341" s="6"/>
      <c r="AA3341" s="6"/>
      <c r="AB3341" s="6"/>
      <c r="AC3341" s="6"/>
      <c r="AD3341" s="6"/>
      <c r="AE3341" s="6"/>
      <c r="AF3341" s="6"/>
      <c r="AG3341" s="6"/>
      <c r="AH3341" s="6"/>
      <c r="AI3341" s="6"/>
      <c r="AJ3341" s="6"/>
      <c r="AK3341" s="6"/>
      <c r="AL3341" s="6"/>
      <c r="AM3341" s="6"/>
    </row>
    <row r="3342">
      <c r="A3342" s="6"/>
      <c r="B3342" s="6"/>
      <c r="C3342" s="6"/>
      <c r="D3342" s="6"/>
      <c r="E3342" s="6"/>
      <c r="F3342" s="6"/>
      <c r="G3342" s="6"/>
      <c r="H3342" s="6"/>
      <c r="I3342" s="6"/>
      <c r="J3342" s="6"/>
      <c r="K3342" s="6"/>
      <c r="L3342" s="6"/>
      <c r="M3342" s="6"/>
      <c r="N3342" s="6"/>
      <c r="O3342" s="6"/>
      <c r="P3342" s="6"/>
      <c r="Q3342" s="6"/>
      <c r="R3342" s="6"/>
      <c r="S3342" s="6"/>
      <c r="T3342" s="6"/>
      <c r="U3342" s="6"/>
      <c r="V3342" s="6"/>
      <c r="W3342" s="6"/>
      <c r="X3342" s="6"/>
      <c r="Y3342" s="6"/>
      <c r="Z3342" s="6"/>
      <c r="AA3342" s="6"/>
      <c r="AB3342" s="6"/>
      <c r="AC3342" s="6"/>
      <c r="AD3342" s="6"/>
      <c r="AE3342" s="6"/>
      <c r="AF3342" s="6"/>
      <c r="AG3342" s="6"/>
      <c r="AH3342" s="6"/>
      <c r="AI3342" s="6"/>
      <c r="AJ3342" s="6"/>
      <c r="AK3342" s="6"/>
      <c r="AL3342" s="6"/>
      <c r="AM3342" s="6"/>
    </row>
    <row r="3343">
      <c r="A3343" s="6"/>
      <c r="B3343" s="6"/>
      <c r="C3343" s="6"/>
      <c r="D3343" s="6"/>
      <c r="E3343" s="6"/>
      <c r="F3343" s="6"/>
      <c r="G3343" s="6"/>
      <c r="H3343" s="6"/>
      <c r="I3343" s="6"/>
      <c r="J3343" s="6"/>
      <c r="K3343" s="6"/>
      <c r="L3343" s="6"/>
      <c r="M3343" s="6"/>
      <c r="N3343" s="6"/>
      <c r="O3343" s="6"/>
      <c r="P3343" s="6"/>
      <c r="Q3343" s="6"/>
      <c r="R3343" s="6"/>
      <c r="S3343" s="6"/>
      <c r="T3343" s="6"/>
      <c r="U3343" s="6"/>
      <c r="V3343" s="6"/>
      <c r="W3343" s="6"/>
      <c r="X3343" s="6"/>
      <c r="Y3343" s="6"/>
      <c r="Z3343" s="6"/>
      <c r="AA3343" s="6"/>
      <c r="AB3343" s="6"/>
      <c r="AC3343" s="6"/>
      <c r="AD3343" s="6"/>
      <c r="AE3343" s="6"/>
      <c r="AF3343" s="6"/>
      <c r="AG3343" s="6"/>
      <c r="AH3343" s="6"/>
      <c r="AI3343" s="6"/>
      <c r="AJ3343" s="6"/>
      <c r="AK3343" s="6"/>
      <c r="AL3343" s="6"/>
      <c r="AM3343" s="6"/>
    </row>
    <row r="3344">
      <c r="A3344" s="6"/>
      <c r="B3344" s="6"/>
      <c r="C3344" s="6"/>
      <c r="D3344" s="6"/>
      <c r="E3344" s="6"/>
      <c r="F3344" s="6"/>
      <c r="G3344" s="6"/>
      <c r="H3344" s="6"/>
      <c r="I3344" s="6"/>
      <c r="J3344" s="6"/>
      <c r="K3344" s="6"/>
      <c r="L3344" s="6"/>
      <c r="M3344" s="6"/>
      <c r="N3344" s="6"/>
      <c r="O3344" s="6"/>
      <c r="P3344" s="6"/>
      <c r="Q3344" s="6"/>
      <c r="R3344" s="6"/>
      <c r="S3344" s="6"/>
      <c r="T3344" s="6"/>
      <c r="U3344" s="6"/>
      <c r="V3344" s="6"/>
      <c r="W3344" s="6"/>
      <c r="X3344" s="6"/>
      <c r="Y3344" s="6"/>
      <c r="Z3344" s="6"/>
      <c r="AA3344" s="6"/>
      <c r="AB3344" s="6"/>
      <c r="AC3344" s="6"/>
      <c r="AD3344" s="6"/>
      <c r="AE3344" s="6"/>
      <c r="AF3344" s="6"/>
      <c r="AG3344" s="6"/>
      <c r="AH3344" s="6"/>
      <c r="AI3344" s="6"/>
      <c r="AJ3344" s="6"/>
      <c r="AK3344" s="6"/>
      <c r="AL3344" s="6"/>
      <c r="AM3344" s="6"/>
    </row>
    <row r="3345">
      <c r="A3345" s="6"/>
      <c r="B3345" s="6"/>
      <c r="C3345" s="6"/>
      <c r="D3345" s="6"/>
      <c r="E3345" s="6"/>
      <c r="F3345" s="6"/>
      <c r="G3345" s="6"/>
      <c r="H3345" s="6"/>
      <c r="I3345" s="6"/>
      <c r="J3345" s="6"/>
      <c r="K3345" s="6"/>
      <c r="L3345" s="6"/>
      <c r="M3345" s="6"/>
      <c r="N3345" s="6"/>
      <c r="O3345" s="6"/>
      <c r="P3345" s="6"/>
      <c r="Q3345" s="6"/>
      <c r="R3345" s="6"/>
      <c r="S3345" s="6"/>
      <c r="T3345" s="6"/>
      <c r="U3345" s="6"/>
      <c r="V3345" s="6"/>
      <c r="W3345" s="6"/>
      <c r="X3345" s="6"/>
      <c r="Y3345" s="6"/>
      <c r="Z3345" s="6"/>
      <c r="AA3345" s="6"/>
      <c r="AB3345" s="6"/>
      <c r="AC3345" s="6"/>
      <c r="AD3345" s="6"/>
      <c r="AE3345" s="6"/>
      <c r="AF3345" s="6"/>
      <c r="AG3345" s="6"/>
      <c r="AH3345" s="6"/>
      <c r="AI3345" s="6"/>
      <c r="AJ3345" s="6"/>
      <c r="AK3345" s="6"/>
      <c r="AL3345" s="6"/>
      <c r="AM3345" s="6"/>
    </row>
    <row r="3346">
      <c r="A3346" s="6"/>
      <c r="B3346" s="6"/>
      <c r="C3346" s="6"/>
      <c r="D3346" s="6"/>
      <c r="E3346" s="6"/>
      <c r="F3346" s="6"/>
      <c r="G3346" s="6"/>
      <c r="H3346" s="6"/>
      <c r="I3346" s="6"/>
      <c r="J3346" s="6"/>
      <c r="K3346" s="6"/>
      <c r="L3346" s="6"/>
      <c r="M3346" s="6"/>
      <c r="N3346" s="6"/>
      <c r="O3346" s="6"/>
      <c r="P3346" s="6"/>
      <c r="Q3346" s="6"/>
      <c r="R3346" s="6"/>
      <c r="S3346" s="6"/>
      <c r="T3346" s="6"/>
      <c r="U3346" s="6"/>
      <c r="V3346" s="6"/>
      <c r="W3346" s="6"/>
      <c r="X3346" s="6"/>
      <c r="Y3346" s="6"/>
      <c r="Z3346" s="6"/>
      <c r="AA3346" s="6"/>
      <c r="AB3346" s="6"/>
      <c r="AC3346" s="6"/>
      <c r="AD3346" s="6"/>
      <c r="AE3346" s="6"/>
      <c r="AF3346" s="6"/>
      <c r="AG3346" s="6"/>
      <c r="AH3346" s="6"/>
      <c r="AI3346" s="6"/>
      <c r="AJ3346" s="6"/>
      <c r="AK3346" s="6"/>
      <c r="AL3346" s="6"/>
      <c r="AM3346" s="6"/>
    </row>
    <row r="3347">
      <c r="A3347" s="6"/>
      <c r="B3347" s="6"/>
      <c r="C3347" s="6"/>
      <c r="D3347" s="6"/>
      <c r="E3347" s="6"/>
      <c r="F3347" s="6"/>
      <c r="G3347" s="6"/>
      <c r="H3347" s="6"/>
      <c r="I3347" s="6"/>
      <c r="J3347" s="6"/>
      <c r="K3347" s="6"/>
      <c r="L3347" s="6"/>
      <c r="M3347" s="6"/>
      <c r="N3347" s="6"/>
      <c r="O3347" s="6"/>
      <c r="P3347" s="6"/>
      <c r="Q3347" s="6"/>
      <c r="R3347" s="6"/>
      <c r="S3347" s="6"/>
      <c r="T3347" s="6"/>
      <c r="U3347" s="6"/>
      <c r="V3347" s="6"/>
      <c r="W3347" s="6"/>
      <c r="X3347" s="6"/>
      <c r="Y3347" s="6"/>
      <c r="Z3347" s="6"/>
      <c r="AA3347" s="6"/>
      <c r="AB3347" s="6"/>
      <c r="AC3347" s="6"/>
      <c r="AD3347" s="6"/>
      <c r="AE3347" s="6"/>
      <c r="AF3347" s="6"/>
      <c r="AG3347" s="6"/>
      <c r="AH3347" s="6"/>
      <c r="AI3347" s="6"/>
      <c r="AJ3347" s="6"/>
      <c r="AK3347" s="6"/>
      <c r="AL3347" s="6"/>
      <c r="AM3347" s="6"/>
    </row>
    <row r="3348">
      <c r="A3348" s="6"/>
      <c r="B3348" s="6"/>
      <c r="C3348" s="6"/>
      <c r="D3348" s="6"/>
      <c r="E3348" s="6"/>
      <c r="F3348" s="6"/>
      <c r="G3348" s="6"/>
      <c r="H3348" s="6"/>
      <c r="I3348" s="6"/>
      <c r="J3348" s="6"/>
      <c r="K3348" s="6"/>
      <c r="L3348" s="6"/>
      <c r="M3348" s="6"/>
      <c r="N3348" s="6"/>
      <c r="O3348" s="6"/>
      <c r="P3348" s="6"/>
      <c r="Q3348" s="6"/>
      <c r="R3348" s="6"/>
      <c r="S3348" s="6"/>
      <c r="T3348" s="6"/>
      <c r="U3348" s="6"/>
      <c r="V3348" s="6"/>
      <c r="W3348" s="6"/>
      <c r="X3348" s="6"/>
      <c r="Y3348" s="6"/>
      <c r="Z3348" s="6"/>
      <c r="AA3348" s="6"/>
      <c r="AB3348" s="6"/>
      <c r="AC3348" s="6"/>
      <c r="AD3348" s="6"/>
      <c r="AE3348" s="6"/>
      <c r="AF3348" s="6"/>
      <c r="AG3348" s="6"/>
      <c r="AH3348" s="6"/>
      <c r="AI3348" s="6"/>
      <c r="AJ3348" s="6"/>
      <c r="AK3348" s="6"/>
      <c r="AL3348" s="6"/>
      <c r="AM3348" s="6"/>
    </row>
    <row r="3349">
      <c r="A3349" s="6"/>
      <c r="B3349" s="6"/>
      <c r="C3349" s="6"/>
      <c r="D3349" s="6"/>
      <c r="E3349" s="6"/>
      <c r="F3349" s="6"/>
      <c r="G3349" s="6"/>
      <c r="H3349" s="6"/>
      <c r="I3349" s="6"/>
      <c r="J3349" s="6"/>
      <c r="K3349" s="6"/>
      <c r="L3349" s="6"/>
      <c r="M3349" s="6"/>
      <c r="N3349" s="6"/>
      <c r="O3349" s="6"/>
      <c r="P3349" s="6"/>
      <c r="Q3349" s="6"/>
      <c r="R3349" s="6"/>
      <c r="S3349" s="6"/>
      <c r="T3349" s="6"/>
      <c r="U3349" s="6"/>
      <c r="V3349" s="6"/>
      <c r="W3349" s="6"/>
      <c r="X3349" s="6"/>
      <c r="Y3349" s="6"/>
      <c r="Z3349" s="6"/>
      <c r="AA3349" s="6"/>
      <c r="AB3349" s="6"/>
      <c r="AC3349" s="6"/>
      <c r="AD3349" s="6"/>
      <c r="AE3349" s="6"/>
      <c r="AF3349" s="6"/>
      <c r="AG3349" s="6"/>
      <c r="AH3349" s="6"/>
      <c r="AI3349" s="6"/>
      <c r="AJ3349" s="6"/>
      <c r="AK3349" s="6"/>
      <c r="AL3349" s="6"/>
      <c r="AM3349" s="6"/>
    </row>
    <row r="3350">
      <c r="A3350" s="6"/>
      <c r="B3350" s="6"/>
      <c r="C3350" s="6"/>
      <c r="D3350" s="6"/>
      <c r="E3350" s="6"/>
      <c r="F3350" s="6"/>
      <c r="G3350" s="6"/>
      <c r="H3350" s="6"/>
      <c r="I3350" s="6"/>
      <c r="J3350" s="6"/>
      <c r="K3350" s="6"/>
      <c r="L3350" s="6"/>
      <c r="M3350" s="6"/>
      <c r="N3350" s="6"/>
      <c r="O3350" s="6"/>
      <c r="P3350" s="6"/>
      <c r="Q3350" s="6"/>
      <c r="R3350" s="6"/>
      <c r="S3350" s="6"/>
      <c r="T3350" s="6"/>
      <c r="U3350" s="6"/>
      <c r="V3350" s="6"/>
      <c r="W3350" s="6"/>
      <c r="X3350" s="6"/>
      <c r="Y3350" s="6"/>
      <c r="Z3350" s="6"/>
      <c r="AA3350" s="6"/>
      <c r="AB3350" s="6"/>
      <c r="AC3350" s="6"/>
      <c r="AD3350" s="6"/>
      <c r="AE3350" s="6"/>
      <c r="AF3350" s="6"/>
      <c r="AG3350" s="6"/>
      <c r="AH3350" s="6"/>
      <c r="AI3350" s="6"/>
      <c r="AJ3350" s="6"/>
      <c r="AK3350" s="6"/>
      <c r="AL3350" s="6"/>
      <c r="AM3350" s="6"/>
    </row>
    <row r="3351">
      <c r="A3351" s="6"/>
      <c r="B3351" s="6"/>
      <c r="C3351" s="6"/>
      <c r="D3351" s="6"/>
      <c r="E3351" s="6"/>
      <c r="F3351" s="6"/>
      <c r="G3351" s="6"/>
      <c r="H3351" s="6"/>
      <c r="I3351" s="6"/>
      <c r="J3351" s="6"/>
      <c r="K3351" s="6"/>
      <c r="L3351" s="6"/>
      <c r="M3351" s="6"/>
      <c r="N3351" s="6"/>
      <c r="O3351" s="6"/>
      <c r="P3351" s="6"/>
      <c r="Q3351" s="6"/>
      <c r="R3351" s="6"/>
      <c r="S3351" s="6"/>
      <c r="T3351" s="6"/>
      <c r="U3351" s="6"/>
      <c r="V3351" s="6"/>
      <c r="W3351" s="6"/>
      <c r="X3351" s="6"/>
      <c r="Y3351" s="6"/>
      <c r="Z3351" s="6"/>
      <c r="AA3351" s="6"/>
      <c r="AB3351" s="6"/>
      <c r="AC3351" s="6"/>
      <c r="AD3351" s="6"/>
      <c r="AE3351" s="6"/>
      <c r="AF3351" s="6"/>
      <c r="AG3351" s="6"/>
      <c r="AH3351" s="6"/>
      <c r="AI3351" s="6"/>
      <c r="AJ3351" s="6"/>
      <c r="AK3351" s="6"/>
      <c r="AL3351" s="6"/>
      <c r="AM3351" s="6"/>
    </row>
    <row r="3352">
      <c r="A3352" s="6"/>
      <c r="B3352" s="6"/>
      <c r="C3352" s="6"/>
      <c r="D3352" s="6"/>
      <c r="E3352" s="6"/>
      <c r="F3352" s="6"/>
      <c r="G3352" s="6"/>
      <c r="H3352" s="6"/>
      <c r="I3352" s="6"/>
      <c r="J3352" s="6"/>
      <c r="K3352" s="6"/>
      <c r="L3352" s="6"/>
      <c r="M3352" s="6"/>
      <c r="N3352" s="6"/>
      <c r="O3352" s="6"/>
      <c r="P3352" s="6"/>
      <c r="Q3352" s="6"/>
      <c r="R3352" s="6"/>
      <c r="S3352" s="6"/>
      <c r="T3352" s="6"/>
      <c r="U3352" s="6"/>
      <c r="V3352" s="6"/>
      <c r="W3352" s="6"/>
      <c r="X3352" s="6"/>
      <c r="Y3352" s="6"/>
      <c r="Z3352" s="6"/>
      <c r="AA3352" s="6"/>
      <c r="AB3352" s="6"/>
      <c r="AC3352" s="6"/>
      <c r="AD3352" s="6"/>
      <c r="AE3352" s="6"/>
      <c r="AF3352" s="6"/>
      <c r="AG3352" s="6"/>
      <c r="AH3352" s="6"/>
      <c r="AI3352" s="6"/>
      <c r="AJ3352" s="6"/>
      <c r="AK3352" s="6"/>
      <c r="AL3352" s="6"/>
      <c r="AM3352" s="6"/>
    </row>
    <row r="3353">
      <c r="A3353" s="6"/>
      <c r="B3353" s="6"/>
      <c r="C3353" s="6"/>
      <c r="D3353" s="6"/>
      <c r="E3353" s="6"/>
      <c r="F3353" s="6"/>
      <c r="G3353" s="6"/>
      <c r="H3353" s="6"/>
      <c r="I3353" s="6"/>
      <c r="J3353" s="6"/>
      <c r="K3353" s="6"/>
      <c r="L3353" s="6"/>
      <c r="M3353" s="6"/>
      <c r="N3353" s="6"/>
      <c r="O3353" s="6"/>
      <c r="P3353" s="6"/>
      <c r="Q3353" s="6"/>
      <c r="R3353" s="6"/>
      <c r="S3353" s="6"/>
      <c r="T3353" s="6"/>
      <c r="U3353" s="6"/>
      <c r="V3353" s="6"/>
      <c r="W3353" s="6"/>
      <c r="X3353" s="6"/>
      <c r="Y3353" s="6"/>
      <c r="Z3353" s="6"/>
      <c r="AA3353" s="6"/>
      <c r="AB3353" s="6"/>
      <c r="AC3353" s="6"/>
      <c r="AD3353" s="6"/>
      <c r="AE3353" s="6"/>
      <c r="AF3353" s="6"/>
      <c r="AG3353" s="6"/>
      <c r="AH3353" s="6"/>
      <c r="AI3353" s="6"/>
      <c r="AJ3353" s="6"/>
      <c r="AK3353" s="6"/>
      <c r="AL3353" s="6"/>
      <c r="AM3353" s="6"/>
    </row>
    <row r="3354">
      <c r="A3354" s="6"/>
      <c r="B3354" s="6"/>
      <c r="C3354" s="6"/>
      <c r="D3354" s="6"/>
      <c r="E3354" s="6"/>
      <c r="F3354" s="6"/>
      <c r="G3354" s="6"/>
      <c r="H3354" s="6"/>
      <c r="I3354" s="6"/>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c r="AG3354" s="6"/>
      <c r="AH3354" s="6"/>
      <c r="AI3354" s="6"/>
      <c r="AJ3354" s="6"/>
      <c r="AK3354" s="6"/>
      <c r="AL3354" s="6"/>
      <c r="AM3354" s="6"/>
    </row>
    <row r="3355">
      <c r="A3355" s="6"/>
      <c r="B3355" s="6"/>
      <c r="C3355" s="6"/>
      <c r="D3355" s="6"/>
      <c r="E3355" s="6"/>
      <c r="F3355" s="6"/>
      <c r="G3355" s="6"/>
      <c r="H3355" s="6"/>
      <c r="I3355" s="6"/>
      <c r="J3355" s="6"/>
      <c r="K3355" s="6"/>
      <c r="L3355" s="6"/>
      <c r="M3355" s="6"/>
      <c r="N3355" s="6"/>
      <c r="O3355" s="6"/>
      <c r="P3355" s="6"/>
      <c r="Q3355" s="6"/>
      <c r="R3355" s="6"/>
      <c r="S3355" s="6"/>
      <c r="T3355" s="6"/>
      <c r="U3355" s="6"/>
      <c r="V3355" s="6"/>
      <c r="W3355" s="6"/>
      <c r="X3355" s="6"/>
      <c r="Y3355" s="6"/>
      <c r="Z3355" s="6"/>
      <c r="AA3355" s="6"/>
      <c r="AB3355" s="6"/>
      <c r="AC3355" s="6"/>
      <c r="AD3355" s="6"/>
      <c r="AE3355" s="6"/>
      <c r="AF3355" s="6"/>
      <c r="AG3355" s="6"/>
      <c r="AH3355" s="6"/>
      <c r="AI3355" s="6"/>
      <c r="AJ3355" s="6"/>
      <c r="AK3355" s="6"/>
      <c r="AL3355" s="6"/>
      <c r="AM3355" s="6"/>
    </row>
    <row r="3356">
      <c r="A3356" s="6"/>
      <c r="B3356" s="6"/>
      <c r="C3356" s="6"/>
      <c r="D3356" s="6"/>
      <c r="E3356" s="6"/>
      <c r="F3356" s="6"/>
      <c r="G3356" s="6"/>
      <c r="H3356" s="6"/>
      <c r="I3356" s="6"/>
      <c r="J3356" s="6"/>
      <c r="K3356" s="6"/>
      <c r="L3356" s="6"/>
      <c r="M3356" s="6"/>
      <c r="N3356" s="6"/>
      <c r="O3356" s="6"/>
      <c r="P3356" s="6"/>
      <c r="Q3356" s="6"/>
      <c r="R3356" s="6"/>
      <c r="S3356" s="6"/>
      <c r="T3356" s="6"/>
      <c r="U3356" s="6"/>
      <c r="V3356" s="6"/>
      <c r="W3356" s="6"/>
      <c r="X3356" s="6"/>
      <c r="Y3356" s="6"/>
      <c r="Z3356" s="6"/>
      <c r="AA3356" s="6"/>
      <c r="AB3356" s="6"/>
      <c r="AC3356" s="6"/>
      <c r="AD3356" s="6"/>
      <c r="AE3356" s="6"/>
      <c r="AF3356" s="6"/>
      <c r="AG3356" s="6"/>
      <c r="AH3356" s="6"/>
      <c r="AI3356" s="6"/>
      <c r="AJ3356" s="6"/>
      <c r="AK3356" s="6"/>
      <c r="AL3356" s="6"/>
      <c r="AM3356" s="6"/>
    </row>
    <row r="3357">
      <c r="A3357" s="6"/>
      <c r="B3357" s="6"/>
      <c r="C3357" s="6"/>
      <c r="D3357" s="6"/>
      <c r="E3357" s="6"/>
      <c r="F3357" s="6"/>
      <c r="G3357" s="6"/>
      <c r="H3357" s="6"/>
      <c r="I3357" s="6"/>
      <c r="J3357" s="6"/>
      <c r="K3357" s="6"/>
      <c r="L3357" s="6"/>
      <c r="M3357" s="6"/>
      <c r="N3357" s="6"/>
      <c r="O3357" s="6"/>
      <c r="P3357" s="6"/>
      <c r="Q3357" s="6"/>
      <c r="R3357" s="6"/>
      <c r="S3357" s="6"/>
      <c r="T3357" s="6"/>
      <c r="U3357" s="6"/>
      <c r="V3357" s="6"/>
      <c r="W3357" s="6"/>
      <c r="X3357" s="6"/>
      <c r="Y3357" s="6"/>
      <c r="Z3357" s="6"/>
      <c r="AA3357" s="6"/>
      <c r="AB3357" s="6"/>
      <c r="AC3357" s="6"/>
      <c r="AD3357" s="6"/>
      <c r="AE3357" s="6"/>
      <c r="AF3357" s="6"/>
      <c r="AG3357" s="6"/>
      <c r="AH3357" s="6"/>
      <c r="AI3357" s="6"/>
      <c r="AJ3357" s="6"/>
      <c r="AK3357" s="6"/>
      <c r="AL3357" s="6"/>
      <c r="AM3357" s="6"/>
    </row>
    <row r="3358">
      <c r="A3358" s="6"/>
      <c r="B3358" s="6"/>
      <c r="C3358" s="6"/>
      <c r="D3358" s="6"/>
      <c r="E3358" s="6"/>
      <c r="F3358" s="6"/>
      <c r="G3358" s="6"/>
      <c r="H3358" s="6"/>
      <c r="I3358" s="6"/>
      <c r="J3358" s="6"/>
      <c r="K3358" s="6"/>
      <c r="L3358" s="6"/>
      <c r="M3358" s="6"/>
      <c r="N3358" s="6"/>
      <c r="O3358" s="6"/>
      <c r="P3358" s="6"/>
      <c r="Q3358" s="6"/>
      <c r="R3358" s="6"/>
      <c r="S3358" s="6"/>
      <c r="T3358" s="6"/>
      <c r="U3358" s="6"/>
      <c r="V3358" s="6"/>
      <c r="W3358" s="6"/>
      <c r="X3358" s="6"/>
      <c r="Y3358" s="6"/>
      <c r="Z3358" s="6"/>
      <c r="AA3358" s="6"/>
      <c r="AB3358" s="6"/>
      <c r="AC3358" s="6"/>
      <c r="AD3358" s="6"/>
      <c r="AE3358" s="6"/>
      <c r="AF3358" s="6"/>
      <c r="AG3358" s="6"/>
      <c r="AH3358" s="6"/>
      <c r="AI3358" s="6"/>
      <c r="AJ3358" s="6"/>
      <c r="AK3358" s="6"/>
      <c r="AL3358" s="6"/>
      <c r="AM3358" s="6"/>
    </row>
    <row r="3359">
      <c r="A3359" s="6"/>
      <c r="B3359" s="6"/>
      <c r="C3359" s="6"/>
      <c r="D3359" s="6"/>
      <c r="E3359" s="6"/>
      <c r="F3359" s="6"/>
      <c r="G3359" s="6"/>
      <c r="H3359" s="6"/>
      <c r="I3359" s="6"/>
      <c r="J3359" s="6"/>
      <c r="K3359" s="6"/>
      <c r="L3359" s="6"/>
      <c r="M3359" s="6"/>
      <c r="N3359" s="6"/>
      <c r="O3359" s="6"/>
      <c r="P3359" s="6"/>
      <c r="Q3359" s="6"/>
      <c r="R3359" s="6"/>
      <c r="S3359" s="6"/>
      <c r="T3359" s="6"/>
      <c r="U3359" s="6"/>
      <c r="V3359" s="6"/>
      <c r="W3359" s="6"/>
      <c r="X3359" s="6"/>
      <c r="Y3359" s="6"/>
      <c r="Z3359" s="6"/>
      <c r="AA3359" s="6"/>
      <c r="AB3359" s="6"/>
      <c r="AC3359" s="6"/>
      <c r="AD3359" s="6"/>
      <c r="AE3359" s="6"/>
      <c r="AF3359" s="6"/>
      <c r="AG3359" s="6"/>
      <c r="AH3359" s="6"/>
      <c r="AI3359" s="6"/>
      <c r="AJ3359" s="6"/>
      <c r="AK3359" s="6"/>
      <c r="AL3359" s="6"/>
      <c r="AM3359" s="6"/>
    </row>
    <row r="3360">
      <c r="A3360" s="6"/>
      <c r="B3360" s="6"/>
      <c r="C3360" s="6"/>
      <c r="D3360" s="6"/>
      <c r="E3360" s="6"/>
      <c r="F3360" s="6"/>
      <c r="G3360" s="6"/>
      <c r="H3360" s="6"/>
      <c r="I3360" s="6"/>
      <c r="J3360" s="6"/>
      <c r="K3360" s="6"/>
      <c r="L3360" s="6"/>
      <c r="M3360" s="6"/>
      <c r="N3360" s="6"/>
      <c r="O3360" s="6"/>
      <c r="P3360" s="6"/>
      <c r="Q3360" s="6"/>
      <c r="R3360" s="6"/>
      <c r="S3360" s="6"/>
      <c r="T3360" s="6"/>
      <c r="U3360" s="6"/>
      <c r="V3360" s="6"/>
      <c r="W3360" s="6"/>
      <c r="X3360" s="6"/>
      <c r="Y3360" s="6"/>
      <c r="Z3360" s="6"/>
      <c r="AA3360" s="6"/>
      <c r="AB3360" s="6"/>
      <c r="AC3360" s="6"/>
      <c r="AD3360" s="6"/>
      <c r="AE3360" s="6"/>
      <c r="AF3360" s="6"/>
      <c r="AG3360" s="6"/>
      <c r="AH3360" s="6"/>
      <c r="AI3360" s="6"/>
      <c r="AJ3360" s="6"/>
      <c r="AK3360" s="6"/>
      <c r="AL3360" s="6"/>
      <c r="AM3360" s="6"/>
    </row>
    <row r="3361">
      <c r="A3361" s="6"/>
      <c r="B3361" s="6"/>
      <c r="C3361" s="6"/>
      <c r="D3361" s="6"/>
      <c r="E3361" s="6"/>
      <c r="F3361" s="6"/>
      <c r="G3361" s="6"/>
      <c r="H3361" s="6"/>
      <c r="I3361" s="6"/>
      <c r="J3361" s="6"/>
      <c r="K3361" s="6"/>
      <c r="L3361" s="6"/>
      <c r="M3361" s="6"/>
      <c r="N3361" s="6"/>
      <c r="O3361" s="6"/>
      <c r="P3361" s="6"/>
      <c r="Q3361" s="6"/>
      <c r="R3361" s="6"/>
      <c r="S3361" s="6"/>
      <c r="T3361" s="6"/>
      <c r="U3361" s="6"/>
      <c r="V3361" s="6"/>
      <c r="W3361" s="6"/>
      <c r="X3361" s="6"/>
      <c r="Y3361" s="6"/>
      <c r="Z3361" s="6"/>
      <c r="AA3361" s="6"/>
      <c r="AB3361" s="6"/>
      <c r="AC3361" s="6"/>
      <c r="AD3361" s="6"/>
      <c r="AE3361" s="6"/>
      <c r="AF3361" s="6"/>
      <c r="AG3361" s="6"/>
      <c r="AH3361" s="6"/>
      <c r="AI3361" s="6"/>
      <c r="AJ3361" s="6"/>
      <c r="AK3361" s="6"/>
      <c r="AL3361" s="6"/>
      <c r="AM3361" s="6"/>
    </row>
    <row r="3362">
      <c r="A3362" s="6"/>
      <c r="B3362" s="6"/>
      <c r="C3362" s="6"/>
      <c r="D3362" s="6"/>
      <c r="E3362" s="6"/>
      <c r="F3362" s="6"/>
      <c r="G3362" s="6"/>
      <c r="H3362" s="6"/>
      <c r="I3362" s="6"/>
      <c r="J3362" s="6"/>
      <c r="K3362" s="6"/>
      <c r="L3362" s="6"/>
      <c r="M3362" s="6"/>
      <c r="N3362" s="6"/>
      <c r="O3362" s="6"/>
      <c r="P3362" s="6"/>
      <c r="Q3362" s="6"/>
      <c r="R3362" s="6"/>
      <c r="S3362" s="6"/>
      <c r="T3362" s="6"/>
      <c r="U3362" s="6"/>
      <c r="V3362" s="6"/>
      <c r="W3362" s="6"/>
      <c r="X3362" s="6"/>
      <c r="Y3362" s="6"/>
      <c r="Z3362" s="6"/>
      <c r="AA3362" s="6"/>
      <c r="AB3362" s="6"/>
      <c r="AC3362" s="6"/>
      <c r="AD3362" s="6"/>
      <c r="AE3362" s="6"/>
      <c r="AF3362" s="6"/>
      <c r="AG3362" s="6"/>
      <c r="AH3362" s="6"/>
      <c r="AI3362" s="6"/>
      <c r="AJ3362" s="6"/>
      <c r="AK3362" s="6"/>
      <c r="AL3362" s="6"/>
      <c r="AM3362" s="6"/>
    </row>
    <row r="3363">
      <c r="A3363" s="6"/>
      <c r="B3363" s="6"/>
      <c r="C3363" s="6"/>
      <c r="D3363" s="6"/>
      <c r="E3363" s="6"/>
      <c r="F3363" s="6"/>
      <c r="G3363" s="6"/>
      <c r="H3363" s="6"/>
      <c r="I3363" s="6"/>
      <c r="J3363" s="6"/>
      <c r="K3363" s="6"/>
      <c r="L3363" s="6"/>
      <c r="M3363" s="6"/>
      <c r="N3363" s="6"/>
      <c r="O3363" s="6"/>
      <c r="P3363" s="6"/>
      <c r="Q3363" s="6"/>
      <c r="R3363" s="6"/>
      <c r="S3363" s="6"/>
      <c r="T3363" s="6"/>
      <c r="U3363" s="6"/>
      <c r="V3363" s="6"/>
      <c r="W3363" s="6"/>
      <c r="X3363" s="6"/>
      <c r="Y3363" s="6"/>
      <c r="Z3363" s="6"/>
      <c r="AA3363" s="6"/>
      <c r="AB3363" s="6"/>
      <c r="AC3363" s="6"/>
      <c r="AD3363" s="6"/>
      <c r="AE3363" s="6"/>
      <c r="AF3363" s="6"/>
      <c r="AG3363" s="6"/>
      <c r="AH3363" s="6"/>
      <c r="AI3363" s="6"/>
      <c r="AJ3363" s="6"/>
      <c r="AK3363" s="6"/>
      <c r="AL3363" s="6"/>
      <c r="AM3363" s="6"/>
    </row>
    <row r="3364">
      <c r="A3364" s="6"/>
      <c r="B3364" s="6"/>
      <c r="C3364" s="6"/>
      <c r="D3364" s="6"/>
      <c r="E3364" s="6"/>
      <c r="F3364" s="6"/>
      <c r="G3364" s="6"/>
      <c r="H3364" s="6"/>
      <c r="I3364" s="6"/>
      <c r="J3364" s="6"/>
      <c r="K3364" s="6"/>
      <c r="L3364" s="6"/>
      <c r="M3364" s="6"/>
      <c r="N3364" s="6"/>
      <c r="O3364" s="6"/>
      <c r="P3364" s="6"/>
      <c r="Q3364" s="6"/>
      <c r="R3364" s="6"/>
      <c r="S3364" s="6"/>
      <c r="T3364" s="6"/>
      <c r="U3364" s="6"/>
      <c r="V3364" s="6"/>
      <c r="W3364" s="6"/>
      <c r="X3364" s="6"/>
      <c r="Y3364" s="6"/>
      <c r="Z3364" s="6"/>
      <c r="AA3364" s="6"/>
      <c r="AB3364" s="6"/>
      <c r="AC3364" s="6"/>
      <c r="AD3364" s="6"/>
      <c r="AE3364" s="6"/>
      <c r="AF3364" s="6"/>
      <c r="AG3364" s="6"/>
      <c r="AH3364" s="6"/>
      <c r="AI3364" s="6"/>
      <c r="AJ3364" s="6"/>
      <c r="AK3364" s="6"/>
      <c r="AL3364" s="6"/>
      <c r="AM3364" s="6"/>
    </row>
    <row r="3365">
      <c r="A3365" s="6"/>
      <c r="B3365" s="6"/>
      <c r="C3365" s="6"/>
      <c r="D3365" s="6"/>
      <c r="E3365" s="6"/>
      <c r="F3365" s="6"/>
      <c r="G3365" s="6"/>
      <c r="H3365" s="6"/>
      <c r="I3365" s="6"/>
      <c r="J3365" s="6"/>
      <c r="K3365" s="6"/>
      <c r="L3365" s="6"/>
      <c r="M3365" s="6"/>
      <c r="N3365" s="6"/>
      <c r="O3365" s="6"/>
      <c r="P3365" s="6"/>
      <c r="Q3365" s="6"/>
      <c r="R3365" s="6"/>
      <c r="S3365" s="6"/>
      <c r="T3365" s="6"/>
      <c r="U3365" s="6"/>
      <c r="V3365" s="6"/>
      <c r="W3365" s="6"/>
      <c r="X3365" s="6"/>
      <c r="Y3365" s="6"/>
      <c r="Z3365" s="6"/>
      <c r="AA3365" s="6"/>
      <c r="AB3365" s="6"/>
      <c r="AC3365" s="6"/>
      <c r="AD3365" s="6"/>
      <c r="AE3365" s="6"/>
      <c r="AF3365" s="6"/>
      <c r="AG3365" s="6"/>
      <c r="AH3365" s="6"/>
      <c r="AI3365" s="6"/>
      <c r="AJ3365" s="6"/>
      <c r="AK3365" s="6"/>
      <c r="AL3365" s="6"/>
      <c r="AM3365" s="6"/>
    </row>
    <row r="3366">
      <c r="A3366" s="6"/>
      <c r="B3366" s="6"/>
      <c r="C3366" s="6"/>
      <c r="D3366" s="6"/>
      <c r="E3366" s="6"/>
      <c r="F3366" s="6"/>
      <c r="G3366" s="6"/>
      <c r="H3366" s="6"/>
      <c r="I3366" s="6"/>
      <c r="J3366" s="6"/>
      <c r="K3366" s="6"/>
      <c r="L3366" s="6"/>
      <c r="M3366" s="6"/>
      <c r="N3366" s="6"/>
      <c r="O3366" s="6"/>
      <c r="P3366" s="6"/>
      <c r="Q3366" s="6"/>
      <c r="R3366" s="6"/>
      <c r="S3366" s="6"/>
      <c r="T3366" s="6"/>
      <c r="U3366" s="6"/>
      <c r="V3366" s="6"/>
      <c r="W3366" s="6"/>
      <c r="X3366" s="6"/>
      <c r="Y3366" s="6"/>
      <c r="Z3366" s="6"/>
      <c r="AA3366" s="6"/>
      <c r="AB3366" s="6"/>
      <c r="AC3366" s="6"/>
      <c r="AD3366" s="6"/>
      <c r="AE3366" s="6"/>
      <c r="AF3366" s="6"/>
      <c r="AG3366" s="6"/>
      <c r="AH3366" s="6"/>
      <c r="AI3366" s="6"/>
      <c r="AJ3366" s="6"/>
      <c r="AK3366" s="6"/>
      <c r="AL3366" s="6"/>
      <c r="AM3366" s="6"/>
    </row>
    <row r="3367">
      <c r="A3367" s="6"/>
      <c r="B3367" s="6"/>
      <c r="C3367" s="6"/>
      <c r="D3367" s="6"/>
      <c r="E3367" s="6"/>
      <c r="F3367" s="6"/>
      <c r="G3367" s="6"/>
      <c r="H3367" s="6"/>
      <c r="I3367" s="6"/>
      <c r="J3367" s="6"/>
      <c r="K3367" s="6"/>
      <c r="L3367" s="6"/>
      <c r="M3367" s="6"/>
      <c r="N3367" s="6"/>
      <c r="O3367" s="6"/>
      <c r="P3367" s="6"/>
      <c r="Q3367" s="6"/>
      <c r="R3367" s="6"/>
      <c r="S3367" s="6"/>
      <c r="T3367" s="6"/>
      <c r="U3367" s="6"/>
      <c r="V3367" s="6"/>
      <c r="W3367" s="6"/>
      <c r="X3367" s="6"/>
      <c r="Y3367" s="6"/>
      <c r="Z3367" s="6"/>
      <c r="AA3367" s="6"/>
      <c r="AB3367" s="6"/>
      <c r="AC3367" s="6"/>
      <c r="AD3367" s="6"/>
      <c r="AE3367" s="6"/>
      <c r="AF3367" s="6"/>
      <c r="AG3367" s="6"/>
      <c r="AH3367" s="6"/>
      <c r="AI3367" s="6"/>
      <c r="AJ3367" s="6"/>
      <c r="AK3367" s="6"/>
      <c r="AL3367" s="6"/>
      <c r="AM3367" s="6"/>
    </row>
    <row r="3368">
      <c r="A3368" s="6"/>
      <c r="B3368" s="6"/>
      <c r="C3368" s="6"/>
      <c r="D3368" s="6"/>
      <c r="E3368" s="6"/>
      <c r="F3368" s="6"/>
      <c r="G3368" s="6"/>
      <c r="H3368" s="6"/>
      <c r="I3368" s="6"/>
      <c r="J3368" s="6"/>
      <c r="K3368" s="6"/>
      <c r="L3368" s="6"/>
      <c r="M3368" s="6"/>
      <c r="N3368" s="6"/>
      <c r="O3368" s="6"/>
      <c r="P3368" s="6"/>
      <c r="Q3368" s="6"/>
      <c r="R3368" s="6"/>
      <c r="S3368" s="6"/>
      <c r="T3368" s="6"/>
      <c r="U3368" s="6"/>
      <c r="V3368" s="6"/>
      <c r="W3368" s="6"/>
      <c r="X3368" s="6"/>
      <c r="Y3368" s="6"/>
      <c r="Z3368" s="6"/>
      <c r="AA3368" s="6"/>
      <c r="AB3368" s="6"/>
      <c r="AC3368" s="6"/>
      <c r="AD3368" s="6"/>
      <c r="AE3368" s="6"/>
      <c r="AF3368" s="6"/>
      <c r="AG3368" s="6"/>
      <c r="AH3368" s="6"/>
      <c r="AI3368" s="6"/>
      <c r="AJ3368" s="6"/>
      <c r="AK3368" s="6"/>
      <c r="AL3368" s="6"/>
      <c r="AM3368" s="6"/>
    </row>
    <row r="3369">
      <c r="A3369" s="6"/>
      <c r="B3369" s="6"/>
      <c r="C3369" s="6"/>
      <c r="D3369" s="6"/>
      <c r="E3369" s="6"/>
      <c r="F3369" s="6"/>
      <c r="G3369" s="6"/>
      <c r="H3369" s="6"/>
      <c r="I3369" s="6"/>
      <c r="J3369" s="6"/>
      <c r="K3369" s="6"/>
      <c r="L3369" s="6"/>
      <c r="M3369" s="6"/>
      <c r="N3369" s="6"/>
      <c r="O3369" s="6"/>
      <c r="P3369" s="6"/>
      <c r="Q3369" s="6"/>
      <c r="R3369" s="6"/>
      <c r="S3369" s="6"/>
      <c r="T3369" s="6"/>
      <c r="U3369" s="6"/>
      <c r="V3369" s="6"/>
      <c r="W3369" s="6"/>
      <c r="X3369" s="6"/>
      <c r="Y3369" s="6"/>
      <c r="Z3369" s="6"/>
      <c r="AA3369" s="6"/>
      <c r="AB3369" s="6"/>
      <c r="AC3369" s="6"/>
      <c r="AD3369" s="6"/>
      <c r="AE3369" s="6"/>
      <c r="AF3369" s="6"/>
      <c r="AG3369" s="6"/>
      <c r="AH3369" s="6"/>
      <c r="AI3369" s="6"/>
      <c r="AJ3369" s="6"/>
      <c r="AK3369" s="6"/>
      <c r="AL3369" s="6"/>
      <c r="AM3369" s="6"/>
    </row>
    <row r="3370">
      <c r="A3370" s="6"/>
      <c r="B3370" s="6"/>
      <c r="C3370" s="6"/>
      <c r="D3370" s="6"/>
      <c r="E3370" s="6"/>
      <c r="F3370" s="6"/>
      <c r="G3370" s="6"/>
      <c r="H3370" s="6"/>
      <c r="I3370" s="6"/>
      <c r="J3370" s="6"/>
      <c r="K3370" s="6"/>
      <c r="L3370" s="6"/>
      <c r="M3370" s="6"/>
      <c r="N3370" s="6"/>
      <c r="O3370" s="6"/>
      <c r="P3370" s="6"/>
      <c r="Q3370" s="6"/>
      <c r="R3370" s="6"/>
      <c r="S3370" s="6"/>
      <c r="T3370" s="6"/>
      <c r="U3370" s="6"/>
      <c r="V3370" s="6"/>
      <c r="W3370" s="6"/>
      <c r="X3370" s="6"/>
      <c r="Y3370" s="6"/>
      <c r="Z3370" s="6"/>
      <c r="AA3370" s="6"/>
      <c r="AB3370" s="6"/>
      <c r="AC3370" s="6"/>
      <c r="AD3370" s="6"/>
      <c r="AE3370" s="6"/>
      <c r="AF3370" s="6"/>
      <c r="AG3370" s="6"/>
      <c r="AH3370" s="6"/>
      <c r="AI3370" s="6"/>
      <c r="AJ3370" s="6"/>
      <c r="AK3370" s="6"/>
      <c r="AL3370" s="6"/>
      <c r="AM3370" s="6"/>
    </row>
    <row r="3371">
      <c r="A3371" s="6"/>
      <c r="B3371" s="6"/>
      <c r="C3371" s="6"/>
      <c r="D3371" s="6"/>
      <c r="E3371" s="6"/>
      <c r="F3371" s="6"/>
      <c r="G3371" s="6"/>
      <c r="H3371" s="6"/>
      <c r="I3371" s="6"/>
      <c r="J3371" s="6"/>
      <c r="K3371" s="6"/>
      <c r="L3371" s="6"/>
      <c r="M3371" s="6"/>
      <c r="N3371" s="6"/>
      <c r="O3371" s="6"/>
      <c r="P3371" s="6"/>
      <c r="Q3371" s="6"/>
      <c r="R3371" s="6"/>
      <c r="S3371" s="6"/>
      <c r="T3371" s="6"/>
      <c r="U3371" s="6"/>
      <c r="V3371" s="6"/>
      <c r="W3371" s="6"/>
      <c r="X3371" s="6"/>
      <c r="Y3371" s="6"/>
      <c r="Z3371" s="6"/>
      <c r="AA3371" s="6"/>
      <c r="AB3371" s="6"/>
      <c r="AC3371" s="6"/>
      <c r="AD3371" s="6"/>
      <c r="AE3371" s="6"/>
      <c r="AF3371" s="6"/>
      <c r="AG3371" s="6"/>
      <c r="AH3371" s="6"/>
      <c r="AI3371" s="6"/>
      <c r="AJ3371" s="6"/>
      <c r="AK3371" s="6"/>
      <c r="AL3371" s="6"/>
      <c r="AM3371" s="6"/>
    </row>
    <row r="3372">
      <c r="A3372" s="6"/>
      <c r="B3372" s="6"/>
      <c r="C3372" s="6"/>
      <c r="D3372" s="6"/>
      <c r="E3372" s="6"/>
      <c r="F3372" s="6"/>
      <c r="G3372" s="6"/>
      <c r="H3372" s="6"/>
      <c r="I3372" s="6"/>
      <c r="J3372" s="6"/>
      <c r="K3372" s="6"/>
      <c r="L3372" s="6"/>
      <c r="M3372" s="6"/>
      <c r="N3372" s="6"/>
      <c r="O3372" s="6"/>
      <c r="P3372" s="6"/>
      <c r="Q3372" s="6"/>
      <c r="R3372" s="6"/>
      <c r="S3372" s="6"/>
      <c r="T3372" s="6"/>
      <c r="U3372" s="6"/>
      <c r="V3372" s="6"/>
      <c r="W3372" s="6"/>
      <c r="X3372" s="6"/>
      <c r="Y3372" s="6"/>
      <c r="Z3372" s="6"/>
      <c r="AA3372" s="6"/>
      <c r="AB3372" s="6"/>
      <c r="AC3372" s="6"/>
      <c r="AD3372" s="6"/>
      <c r="AE3372" s="6"/>
      <c r="AF3372" s="6"/>
      <c r="AG3372" s="6"/>
      <c r="AH3372" s="6"/>
      <c r="AI3372" s="6"/>
      <c r="AJ3372" s="6"/>
      <c r="AK3372" s="6"/>
      <c r="AL3372" s="6"/>
      <c r="AM3372" s="6"/>
    </row>
    <row r="3373">
      <c r="A3373" s="6"/>
      <c r="B3373" s="6"/>
      <c r="C3373" s="6"/>
      <c r="D3373" s="6"/>
      <c r="E3373" s="6"/>
      <c r="F3373" s="6"/>
      <c r="G3373" s="6"/>
      <c r="H3373" s="6"/>
      <c r="I3373" s="6"/>
      <c r="J3373" s="6"/>
      <c r="K3373" s="6"/>
      <c r="L3373" s="6"/>
      <c r="M3373" s="6"/>
      <c r="N3373" s="6"/>
      <c r="O3373" s="6"/>
      <c r="P3373" s="6"/>
      <c r="Q3373" s="6"/>
      <c r="R3373" s="6"/>
      <c r="S3373" s="6"/>
      <c r="T3373" s="6"/>
      <c r="U3373" s="6"/>
      <c r="V3373" s="6"/>
      <c r="W3373" s="6"/>
      <c r="X3373" s="6"/>
      <c r="Y3373" s="6"/>
      <c r="Z3373" s="6"/>
      <c r="AA3373" s="6"/>
      <c r="AB3373" s="6"/>
      <c r="AC3373" s="6"/>
      <c r="AD3373" s="6"/>
      <c r="AE3373" s="6"/>
      <c r="AF3373" s="6"/>
      <c r="AG3373" s="6"/>
      <c r="AH3373" s="6"/>
      <c r="AI3373" s="6"/>
      <c r="AJ3373" s="6"/>
      <c r="AK3373" s="6"/>
      <c r="AL3373" s="6"/>
      <c r="AM3373" s="6"/>
    </row>
    <row r="3374">
      <c r="A3374" s="6"/>
      <c r="B3374" s="6"/>
      <c r="C3374" s="6"/>
      <c r="D3374" s="6"/>
      <c r="E3374" s="6"/>
      <c r="F3374" s="6"/>
      <c r="G3374" s="6"/>
      <c r="H3374" s="6"/>
      <c r="I3374" s="6"/>
      <c r="J3374" s="6"/>
      <c r="K3374" s="6"/>
      <c r="L3374" s="6"/>
      <c r="M3374" s="6"/>
      <c r="N3374" s="6"/>
      <c r="O3374" s="6"/>
      <c r="P3374" s="6"/>
      <c r="Q3374" s="6"/>
      <c r="R3374" s="6"/>
      <c r="S3374" s="6"/>
      <c r="T3374" s="6"/>
      <c r="U3374" s="6"/>
      <c r="V3374" s="6"/>
      <c r="W3374" s="6"/>
      <c r="X3374" s="6"/>
      <c r="Y3374" s="6"/>
      <c r="Z3374" s="6"/>
      <c r="AA3374" s="6"/>
      <c r="AB3374" s="6"/>
      <c r="AC3374" s="6"/>
      <c r="AD3374" s="6"/>
      <c r="AE3374" s="6"/>
      <c r="AF3374" s="6"/>
      <c r="AG3374" s="6"/>
      <c r="AH3374" s="6"/>
      <c r="AI3374" s="6"/>
      <c r="AJ3374" s="6"/>
      <c r="AK3374" s="6"/>
      <c r="AL3374" s="6"/>
      <c r="AM3374" s="6"/>
    </row>
    <row r="3375">
      <c r="A3375" s="6"/>
      <c r="B3375" s="6"/>
      <c r="C3375" s="6"/>
      <c r="D3375" s="6"/>
      <c r="E3375" s="6"/>
      <c r="F3375" s="6"/>
      <c r="G3375" s="6"/>
      <c r="H3375" s="6"/>
      <c r="I3375" s="6"/>
      <c r="J3375" s="6"/>
      <c r="K3375" s="6"/>
      <c r="L3375" s="6"/>
      <c r="M3375" s="6"/>
      <c r="N3375" s="6"/>
      <c r="O3375" s="6"/>
      <c r="P3375" s="6"/>
      <c r="Q3375" s="6"/>
      <c r="R3375" s="6"/>
      <c r="S3375" s="6"/>
      <c r="T3375" s="6"/>
      <c r="U3375" s="6"/>
      <c r="V3375" s="6"/>
      <c r="W3375" s="6"/>
      <c r="X3375" s="6"/>
      <c r="Y3375" s="6"/>
      <c r="Z3375" s="6"/>
      <c r="AA3375" s="6"/>
      <c r="AB3375" s="6"/>
      <c r="AC3375" s="6"/>
      <c r="AD3375" s="6"/>
      <c r="AE3375" s="6"/>
      <c r="AF3375" s="6"/>
      <c r="AG3375" s="6"/>
      <c r="AH3375" s="6"/>
      <c r="AI3375" s="6"/>
      <c r="AJ3375" s="6"/>
      <c r="AK3375" s="6"/>
      <c r="AL3375" s="6"/>
      <c r="AM3375" s="6"/>
    </row>
    <row r="3376">
      <c r="A3376" s="6"/>
      <c r="B3376" s="6"/>
      <c r="C3376" s="6"/>
      <c r="D3376" s="6"/>
      <c r="E3376" s="6"/>
      <c r="F3376" s="6"/>
      <c r="G3376" s="6"/>
      <c r="H3376" s="6"/>
      <c r="I3376" s="6"/>
      <c r="J3376" s="6"/>
      <c r="K3376" s="6"/>
      <c r="L3376" s="6"/>
      <c r="M3376" s="6"/>
      <c r="N3376" s="6"/>
      <c r="O3376" s="6"/>
      <c r="P3376" s="6"/>
      <c r="Q3376" s="6"/>
      <c r="R3376" s="6"/>
      <c r="S3376" s="6"/>
      <c r="T3376" s="6"/>
      <c r="U3376" s="6"/>
      <c r="V3376" s="6"/>
      <c r="W3376" s="6"/>
      <c r="X3376" s="6"/>
      <c r="Y3376" s="6"/>
      <c r="Z3376" s="6"/>
      <c r="AA3376" s="6"/>
      <c r="AB3376" s="6"/>
      <c r="AC3376" s="6"/>
      <c r="AD3376" s="6"/>
      <c r="AE3376" s="6"/>
      <c r="AF3376" s="6"/>
      <c r="AG3376" s="6"/>
      <c r="AH3376" s="6"/>
      <c r="AI3376" s="6"/>
      <c r="AJ3376" s="6"/>
      <c r="AK3376" s="6"/>
      <c r="AL3376" s="6"/>
      <c r="AM3376" s="6"/>
    </row>
    <row r="3377">
      <c r="A3377" s="6"/>
      <c r="B3377" s="6"/>
      <c r="C3377" s="6"/>
      <c r="D3377" s="6"/>
      <c r="E3377" s="6"/>
      <c r="F3377" s="6"/>
      <c r="G3377" s="6"/>
      <c r="H3377" s="6"/>
      <c r="I3377" s="6"/>
      <c r="J3377" s="6"/>
      <c r="K3377" s="6"/>
      <c r="L3377" s="6"/>
      <c r="M3377" s="6"/>
      <c r="N3377" s="6"/>
      <c r="O3377" s="6"/>
      <c r="P3377" s="6"/>
      <c r="Q3377" s="6"/>
      <c r="R3377" s="6"/>
      <c r="S3377" s="6"/>
      <c r="T3377" s="6"/>
      <c r="U3377" s="6"/>
      <c r="V3377" s="6"/>
      <c r="W3377" s="6"/>
      <c r="X3377" s="6"/>
      <c r="Y3377" s="6"/>
      <c r="Z3377" s="6"/>
      <c r="AA3377" s="6"/>
      <c r="AB3377" s="6"/>
      <c r="AC3377" s="6"/>
      <c r="AD3377" s="6"/>
      <c r="AE3377" s="6"/>
      <c r="AF3377" s="6"/>
      <c r="AG3377" s="6"/>
      <c r="AH3377" s="6"/>
      <c r="AI3377" s="6"/>
      <c r="AJ3377" s="6"/>
      <c r="AK3377" s="6"/>
      <c r="AL3377" s="6"/>
      <c r="AM3377" s="6"/>
    </row>
    <row r="3378">
      <c r="A3378" s="6"/>
      <c r="B3378" s="6"/>
      <c r="C3378" s="6"/>
      <c r="D3378" s="6"/>
      <c r="E3378" s="6"/>
      <c r="F3378" s="6"/>
      <c r="G3378" s="6"/>
      <c r="H3378" s="6"/>
      <c r="I3378" s="6"/>
      <c r="J3378" s="6"/>
      <c r="K3378" s="6"/>
      <c r="L3378" s="6"/>
      <c r="M3378" s="6"/>
      <c r="N3378" s="6"/>
      <c r="O3378" s="6"/>
      <c r="P3378" s="6"/>
      <c r="Q3378" s="6"/>
      <c r="R3378" s="6"/>
      <c r="S3378" s="6"/>
      <c r="T3378" s="6"/>
      <c r="U3378" s="6"/>
      <c r="V3378" s="6"/>
      <c r="W3378" s="6"/>
      <c r="X3378" s="6"/>
      <c r="Y3378" s="6"/>
      <c r="Z3378" s="6"/>
      <c r="AA3378" s="6"/>
      <c r="AB3378" s="6"/>
      <c r="AC3378" s="6"/>
      <c r="AD3378" s="6"/>
      <c r="AE3378" s="6"/>
      <c r="AF3378" s="6"/>
      <c r="AG3378" s="6"/>
      <c r="AH3378" s="6"/>
      <c r="AI3378" s="6"/>
      <c r="AJ3378" s="6"/>
      <c r="AK3378" s="6"/>
      <c r="AL3378" s="6"/>
      <c r="AM3378" s="6"/>
    </row>
    <row r="3379">
      <c r="A3379" s="6"/>
      <c r="B3379" s="6"/>
      <c r="C3379" s="6"/>
      <c r="D3379" s="6"/>
      <c r="E3379" s="6"/>
      <c r="F3379" s="6"/>
      <c r="G3379" s="6"/>
      <c r="H3379" s="6"/>
      <c r="I3379" s="6"/>
      <c r="J3379" s="6"/>
      <c r="K3379" s="6"/>
      <c r="L3379" s="6"/>
      <c r="M3379" s="6"/>
      <c r="N3379" s="6"/>
      <c r="O3379" s="6"/>
      <c r="P3379" s="6"/>
      <c r="Q3379" s="6"/>
      <c r="R3379" s="6"/>
      <c r="S3379" s="6"/>
      <c r="T3379" s="6"/>
      <c r="U3379" s="6"/>
      <c r="V3379" s="6"/>
      <c r="W3379" s="6"/>
      <c r="X3379" s="6"/>
      <c r="Y3379" s="6"/>
      <c r="Z3379" s="6"/>
      <c r="AA3379" s="6"/>
      <c r="AB3379" s="6"/>
      <c r="AC3379" s="6"/>
      <c r="AD3379" s="6"/>
      <c r="AE3379" s="6"/>
      <c r="AF3379" s="6"/>
      <c r="AG3379" s="6"/>
      <c r="AH3379" s="6"/>
      <c r="AI3379" s="6"/>
      <c r="AJ3379" s="6"/>
      <c r="AK3379" s="6"/>
      <c r="AL3379" s="6"/>
      <c r="AM3379" s="6"/>
    </row>
    <row r="3380">
      <c r="A3380" s="6"/>
      <c r="B3380" s="6"/>
      <c r="C3380" s="6"/>
      <c r="D3380" s="6"/>
      <c r="E3380" s="6"/>
      <c r="F3380" s="6"/>
      <c r="G3380" s="6"/>
      <c r="H3380" s="6"/>
      <c r="I3380" s="6"/>
      <c r="J3380" s="6"/>
      <c r="K3380" s="6"/>
      <c r="L3380" s="6"/>
      <c r="M3380" s="6"/>
      <c r="N3380" s="6"/>
      <c r="O3380" s="6"/>
      <c r="P3380" s="6"/>
      <c r="Q3380" s="6"/>
      <c r="R3380" s="6"/>
      <c r="S3380" s="6"/>
      <c r="T3380" s="6"/>
      <c r="U3380" s="6"/>
      <c r="V3380" s="6"/>
      <c r="W3380" s="6"/>
      <c r="X3380" s="6"/>
      <c r="Y3380" s="6"/>
      <c r="Z3380" s="6"/>
      <c r="AA3380" s="6"/>
      <c r="AB3380" s="6"/>
      <c r="AC3380" s="6"/>
      <c r="AD3380" s="6"/>
      <c r="AE3380" s="6"/>
      <c r="AF3380" s="6"/>
      <c r="AG3380" s="6"/>
      <c r="AH3380" s="6"/>
      <c r="AI3380" s="6"/>
      <c r="AJ3380" s="6"/>
      <c r="AK3380" s="6"/>
      <c r="AL3380" s="6"/>
      <c r="AM3380" s="6"/>
    </row>
    <row r="3381">
      <c r="A3381" s="6"/>
      <c r="B3381" s="6"/>
      <c r="C3381" s="6"/>
      <c r="D3381" s="6"/>
      <c r="E3381" s="6"/>
      <c r="F3381" s="6"/>
      <c r="G3381" s="6"/>
      <c r="H3381" s="6"/>
      <c r="I3381" s="6"/>
      <c r="J3381" s="6"/>
      <c r="K3381" s="6"/>
      <c r="L3381" s="6"/>
      <c r="M3381" s="6"/>
      <c r="N3381" s="6"/>
      <c r="O3381" s="6"/>
      <c r="P3381" s="6"/>
      <c r="Q3381" s="6"/>
      <c r="R3381" s="6"/>
      <c r="S3381" s="6"/>
      <c r="T3381" s="6"/>
      <c r="U3381" s="6"/>
      <c r="V3381" s="6"/>
      <c r="W3381" s="6"/>
      <c r="X3381" s="6"/>
      <c r="Y3381" s="6"/>
      <c r="Z3381" s="6"/>
      <c r="AA3381" s="6"/>
      <c r="AB3381" s="6"/>
      <c r="AC3381" s="6"/>
      <c r="AD3381" s="6"/>
      <c r="AE3381" s="6"/>
      <c r="AF3381" s="6"/>
      <c r="AG3381" s="6"/>
      <c r="AH3381" s="6"/>
      <c r="AI3381" s="6"/>
      <c r="AJ3381" s="6"/>
      <c r="AK3381" s="6"/>
      <c r="AL3381" s="6"/>
      <c r="AM3381" s="6"/>
    </row>
    <row r="3382">
      <c r="A3382" s="6"/>
      <c r="B3382" s="6"/>
      <c r="C3382" s="6"/>
      <c r="D3382" s="6"/>
      <c r="E3382" s="6"/>
      <c r="F3382" s="6"/>
      <c r="G3382" s="6"/>
      <c r="H3382" s="6"/>
      <c r="I3382" s="6"/>
      <c r="J3382" s="6"/>
      <c r="K3382" s="6"/>
      <c r="L3382" s="6"/>
      <c r="M3382" s="6"/>
      <c r="N3382" s="6"/>
      <c r="O3382" s="6"/>
      <c r="P3382" s="6"/>
      <c r="Q3382" s="6"/>
      <c r="R3382" s="6"/>
      <c r="S3382" s="6"/>
      <c r="T3382" s="6"/>
      <c r="U3382" s="6"/>
      <c r="V3382" s="6"/>
      <c r="W3382" s="6"/>
      <c r="X3382" s="6"/>
      <c r="Y3382" s="6"/>
      <c r="Z3382" s="6"/>
      <c r="AA3382" s="6"/>
      <c r="AB3382" s="6"/>
      <c r="AC3382" s="6"/>
      <c r="AD3382" s="6"/>
      <c r="AE3382" s="6"/>
      <c r="AF3382" s="6"/>
      <c r="AG3382" s="6"/>
      <c r="AH3382" s="6"/>
      <c r="AI3382" s="6"/>
      <c r="AJ3382" s="6"/>
      <c r="AK3382" s="6"/>
      <c r="AL3382" s="6"/>
      <c r="AM3382" s="6"/>
    </row>
    <row r="3383">
      <c r="A3383" s="6"/>
      <c r="B3383" s="6"/>
      <c r="C3383" s="6"/>
      <c r="D3383" s="6"/>
      <c r="E3383" s="6"/>
      <c r="F3383" s="6"/>
      <c r="G3383" s="6"/>
      <c r="H3383" s="6"/>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c r="AG3383" s="6"/>
      <c r="AH3383" s="6"/>
      <c r="AI3383" s="6"/>
      <c r="AJ3383" s="6"/>
      <c r="AK3383" s="6"/>
      <c r="AL3383" s="6"/>
      <c r="AM3383" s="6"/>
    </row>
    <row r="3384">
      <c r="A3384" s="6"/>
      <c r="B3384" s="6"/>
      <c r="C3384" s="6"/>
      <c r="D3384" s="6"/>
      <c r="E3384" s="6"/>
      <c r="F3384" s="6"/>
      <c r="G3384" s="6"/>
      <c r="H3384" s="6"/>
      <c r="I3384" s="6"/>
      <c r="J3384" s="6"/>
      <c r="K3384" s="6"/>
      <c r="L3384" s="6"/>
      <c r="M3384" s="6"/>
      <c r="N3384" s="6"/>
      <c r="O3384" s="6"/>
      <c r="P3384" s="6"/>
      <c r="Q3384" s="6"/>
      <c r="R3384" s="6"/>
      <c r="S3384" s="6"/>
      <c r="T3384" s="6"/>
      <c r="U3384" s="6"/>
      <c r="V3384" s="6"/>
      <c r="W3384" s="6"/>
      <c r="X3384" s="6"/>
      <c r="Y3384" s="6"/>
      <c r="Z3384" s="6"/>
      <c r="AA3384" s="6"/>
      <c r="AB3384" s="6"/>
      <c r="AC3384" s="6"/>
      <c r="AD3384" s="6"/>
      <c r="AE3384" s="6"/>
      <c r="AF3384" s="6"/>
      <c r="AG3384" s="6"/>
      <c r="AH3384" s="6"/>
      <c r="AI3384" s="6"/>
      <c r="AJ3384" s="6"/>
      <c r="AK3384" s="6"/>
      <c r="AL3384" s="6"/>
      <c r="AM3384" s="6"/>
    </row>
    <row r="3385">
      <c r="A3385" s="6"/>
      <c r="B3385" s="6"/>
      <c r="C3385" s="6"/>
      <c r="D3385" s="6"/>
      <c r="E3385" s="6"/>
      <c r="F3385" s="6"/>
      <c r="G3385" s="6"/>
      <c r="H3385" s="6"/>
      <c r="I3385" s="6"/>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c r="AG3385" s="6"/>
      <c r="AH3385" s="6"/>
      <c r="AI3385" s="6"/>
      <c r="AJ3385" s="6"/>
      <c r="AK3385" s="6"/>
      <c r="AL3385" s="6"/>
      <c r="AM3385" s="6"/>
    </row>
    <row r="3386">
      <c r="A3386" s="6"/>
      <c r="B3386" s="6"/>
      <c r="C3386" s="6"/>
      <c r="D3386" s="6"/>
      <c r="E3386" s="6"/>
      <c r="F3386" s="6"/>
      <c r="G3386" s="6"/>
      <c r="H3386" s="6"/>
      <c r="I3386" s="6"/>
      <c r="J3386" s="6"/>
      <c r="K3386" s="6"/>
      <c r="L3386" s="6"/>
      <c r="M3386" s="6"/>
      <c r="N3386" s="6"/>
      <c r="O3386" s="6"/>
      <c r="P3386" s="6"/>
      <c r="Q3386" s="6"/>
      <c r="R3386" s="6"/>
      <c r="S3386" s="6"/>
      <c r="T3386" s="6"/>
      <c r="U3386" s="6"/>
      <c r="V3386" s="6"/>
      <c r="W3386" s="6"/>
      <c r="X3386" s="6"/>
      <c r="Y3386" s="6"/>
      <c r="Z3386" s="6"/>
      <c r="AA3386" s="6"/>
      <c r="AB3386" s="6"/>
      <c r="AC3386" s="6"/>
      <c r="AD3386" s="6"/>
      <c r="AE3386" s="6"/>
      <c r="AF3386" s="6"/>
      <c r="AG3386" s="6"/>
      <c r="AH3386" s="6"/>
      <c r="AI3386" s="6"/>
      <c r="AJ3386" s="6"/>
      <c r="AK3386" s="6"/>
      <c r="AL3386" s="6"/>
      <c r="AM3386" s="6"/>
    </row>
    <row r="3387">
      <c r="A3387" s="6"/>
      <c r="B3387" s="6"/>
      <c r="C3387" s="6"/>
      <c r="D3387" s="6"/>
      <c r="E3387" s="6"/>
      <c r="F3387" s="6"/>
      <c r="G3387" s="6"/>
      <c r="H3387" s="6"/>
      <c r="I3387" s="6"/>
      <c r="J3387" s="6"/>
      <c r="K3387" s="6"/>
      <c r="L3387" s="6"/>
      <c r="M3387" s="6"/>
      <c r="N3387" s="6"/>
      <c r="O3387" s="6"/>
      <c r="P3387" s="6"/>
      <c r="Q3387" s="6"/>
      <c r="R3387" s="6"/>
      <c r="S3387" s="6"/>
      <c r="T3387" s="6"/>
      <c r="U3387" s="6"/>
      <c r="V3387" s="6"/>
      <c r="W3387" s="6"/>
      <c r="X3387" s="6"/>
      <c r="Y3387" s="6"/>
      <c r="Z3387" s="6"/>
      <c r="AA3387" s="6"/>
      <c r="AB3387" s="6"/>
      <c r="AC3387" s="6"/>
      <c r="AD3387" s="6"/>
      <c r="AE3387" s="6"/>
      <c r="AF3387" s="6"/>
      <c r="AG3387" s="6"/>
      <c r="AH3387" s="6"/>
      <c r="AI3387" s="6"/>
      <c r="AJ3387" s="6"/>
      <c r="AK3387" s="6"/>
      <c r="AL3387" s="6"/>
      <c r="AM3387" s="6"/>
    </row>
    <row r="3388">
      <c r="A3388" s="6"/>
      <c r="B3388" s="6"/>
      <c r="C3388" s="6"/>
      <c r="D3388" s="6"/>
      <c r="E3388" s="6"/>
      <c r="F3388" s="6"/>
      <c r="G3388" s="6"/>
      <c r="H3388" s="6"/>
      <c r="I3388" s="6"/>
      <c r="J3388" s="6"/>
      <c r="K3388" s="6"/>
      <c r="L3388" s="6"/>
      <c r="M3388" s="6"/>
      <c r="N3388" s="6"/>
      <c r="O3388" s="6"/>
      <c r="P3388" s="6"/>
      <c r="Q3388" s="6"/>
      <c r="R3388" s="6"/>
      <c r="S3388" s="6"/>
      <c r="T3388" s="6"/>
      <c r="U3388" s="6"/>
      <c r="V3388" s="6"/>
      <c r="W3388" s="6"/>
      <c r="X3388" s="6"/>
      <c r="Y3388" s="6"/>
      <c r="Z3388" s="6"/>
      <c r="AA3388" s="6"/>
      <c r="AB3388" s="6"/>
      <c r="AC3388" s="6"/>
      <c r="AD3388" s="6"/>
      <c r="AE3388" s="6"/>
      <c r="AF3388" s="6"/>
      <c r="AG3388" s="6"/>
      <c r="AH3388" s="6"/>
      <c r="AI3388" s="6"/>
      <c r="AJ3388" s="6"/>
      <c r="AK3388" s="6"/>
      <c r="AL3388" s="6"/>
      <c r="AM3388" s="6"/>
    </row>
    <row r="3389">
      <c r="A3389" s="6"/>
      <c r="B3389" s="6"/>
      <c r="C3389" s="6"/>
      <c r="D3389" s="6"/>
      <c r="E3389" s="6"/>
      <c r="F3389" s="6"/>
      <c r="G3389" s="6"/>
      <c r="H3389" s="6"/>
      <c r="I3389" s="6"/>
      <c r="J3389" s="6"/>
      <c r="K3389" s="6"/>
      <c r="L3389" s="6"/>
      <c r="M3389" s="6"/>
      <c r="N3389" s="6"/>
      <c r="O3389" s="6"/>
      <c r="P3389" s="6"/>
      <c r="Q3389" s="6"/>
      <c r="R3389" s="6"/>
      <c r="S3389" s="6"/>
      <c r="T3389" s="6"/>
      <c r="U3389" s="6"/>
      <c r="V3389" s="6"/>
      <c r="W3389" s="6"/>
      <c r="X3389" s="6"/>
      <c r="Y3389" s="6"/>
      <c r="Z3389" s="6"/>
      <c r="AA3389" s="6"/>
      <c r="AB3389" s="6"/>
      <c r="AC3389" s="6"/>
      <c r="AD3389" s="6"/>
      <c r="AE3389" s="6"/>
      <c r="AF3389" s="6"/>
      <c r="AG3389" s="6"/>
      <c r="AH3389" s="6"/>
      <c r="AI3389" s="6"/>
      <c r="AJ3389" s="6"/>
      <c r="AK3389" s="6"/>
      <c r="AL3389" s="6"/>
      <c r="AM3389" s="6"/>
    </row>
    <row r="3390">
      <c r="A3390" s="6"/>
      <c r="B3390" s="6"/>
      <c r="C3390" s="6"/>
      <c r="D3390" s="6"/>
      <c r="E3390" s="6"/>
      <c r="F3390" s="6"/>
      <c r="G3390" s="6"/>
      <c r="H3390" s="6"/>
      <c r="I3390" s="6"/>
      <c r="J3390" s="6"/>
      <c r="K3390" s="6"/>
      <c r="L3390" s="6"/>
      <c r="M3390" s="6"/>
      <c r="N3390" s="6"/>
      <c r="O3390" s="6"/>
      <c r="P3390" s="6"/>
      <c r="Q3390" s="6"/>
      <c r="R3390" s="6"/>
      <c r="S3390" s="6"/>
      <c r="T3390" s="6"/>
      <c r="U3390" s="6"/>
      <c r="V3390" s="6"/>
      <c r="W3390" s="6"/>
      <c r="X3390" s="6"/>
      <c r="Y3390" s="6"/>
      <c r="Z3390" s="6"/>
      <c r="AA3390" s="6"/>
      <c r="AB3390" s="6"/>
      <c r="AC3390" s="6"/>
      <c r="AD3390" s="6"/>
      <c r="AE3390" s="6"/>
      <c r="AF3390" s="6"/>
      <c r="AG3390" s="6"/>
      <c r="AH3390" s="6"/>
      <c r="AI3390" s="6"/>
      <c r="AJ3390" s="6"/>
      <c r="AK3390" s="6"/>
      <c r="AL3390" s="6"/>
      <c r="AM3390" s="6"/>
    </row>
    <row r="3391">
      <c r="A3391" s="6"/>
      <c r="B3391" s="6"/>
      <c r="C3391" s="6"/>
      <c r="D3391" s="6"/>
      <c r="E3391" s="6"/>
      <c r="F3391" s="6"/>
      <c r="G3391" s="6"/>
      <c r="H3391" s="6"/>
      <c r="I3391" s="6"/>
      <c r="J3391" s="6"/>
      <c r="K3391" s="6"/>
      <c r="L3391" s="6"/>
      <c r="M3391" s="6"/>
      <c r="N3391" s="6"/>
      <c r="O3391" s="6"/>
      <c r="P3391" s="6"/>
      <c r="Q3391" s="6"/>
      <c r="R3391" s="6"/>
      <c r="S3391" s="6"/>
      <c r="T3391" s="6"/>
      <c r="U3391" s="6"/>
      <c r="V3391" s="6"/>
      <c r="W3391" s="6"/>
      <c r="X3391" s="6"/>
      <c r="Y3391" s="6"/>
      <c r="Z3391" s="6"/>
      <c r="AA3391" s="6"/>
      <c r="AB3391" s="6"/>
      <c r="AC3391" s="6"/>
      <c r="AD3391" s="6"/>
      <c r="AE3391" s="6"/>
      <c r="AF3391" s="6"/>
      <c r="AG3391" s="6"/>
      <c r="AH3391" s="6"/>
      <c r="AI3391" s="6"/>
      <c r="AJ3391" s="6"/>
      <c r="AK3391" s="6"/>
      <c r="AL3391" s="6"/>
      <c r="AM3391" s="6"/>
    </row>
    <row r="3392">
      <c r="A3392" s="6"/>
      <c r="B3392" s="6"/>
      <c r="C3392" s="6"/>
      <c r="D3392" s="6"/>
      <c r="E3392" s="6"/>
      <c r="F3392" s="6"/>
      <c r="G3392" s="6"/>
      <c r="H3392" s="6"/>
      <c r="I3392" s="6"/>
      <c r="J3392" s="6"/>
      <c r="K3392" s="6"/>
      <c r="L3392" s="6"/>
      <c r="M3392" s="6"/>
      <c r="N3392" s="6"/>
      <c r="O3392" s="6"/>
      <c r="P3392" s="6"/>
      <c r="Q3392" s="6"/>
      <c r="R3392" s="6"/>
      <c r="S3392" s="6"/>
      <c r="T3392" s="6"/>
      <c r="U3392" s="6"/>
      <c r="V3392" s="6"/>
      <c r="W3392" s="6"/>
      <c r="X3392" s="6"/>
      <c r="Y3392" s="6"/>
      <c r="Z3392" s="6"/>
      <c r="AA3392" s="6"/>
      <c r="AB3392" s="6"/>
      <c r="AC3392" s="6"/>
      <c r="AD3392" s="6"/>
      <c r="AE3392" s="6"/>
      <c r="AF3392" s="6"/>
      <c r="AG3392" s="6"/>
      <c r="AH3392" s="6"/>
      <c r="AI3392" s="6"/>
      <c r="AJ3392" s="6"/>
      <c r="AK3392" s="6"/>
      <c r="AL3392" s="6"/>
      <c r="AM3392" s="6"/>
    </row>
    <row r="3393">
      <c r="A3393" s="6"/>
      <c r="B3393" s="6"/>
      <c r="C3393" s="6"/>
      <c r="D3393" s="6"/>
      <c r="E3393" s="6"/>
      <c r="F3393" s="6"/>
      <c r="G3393" s="6"/>
      <c r="H3393" s="6"/>
      <c r="I3393" s="6"/>
      <c r="J3393" s="6"/>
      <c r="K3393" s="6"/>
      <c r="L3393" s="6"/>
      <c r="M3393" s="6"/>
      <c r="N3393" s="6"/>
      <c r="O3393" s="6"/>
      <c r="P3393" s="6"/>
      <c r="Q3393" s="6"/>
      <c r="R3393" s="6"/>
      <c r="S3393" s="6"/>
      <c r="T3393" s="6"/>
      <c r="U3393" s="6"/>
      <c r="V3393" s="6"/>
      <c r="W3393" s="6"/>
      <c r="X3393" s="6"/>
      <c r="Y3393" s="6"/>
      <c r="Z3393" s="6"/>
      <c r="AA3393" s="6"/>
      <c r="AB3393" s="6"/>
      <c r="AC3393" s="6"/>
      <c r="AD3393" s="6"/>
      <c r="AE3393" s="6"/>
      <c r="AF3393" s="6"/>
      <c r="AG3393" s="6"/>
      <c r="AH3393" s="6"/>
      <c r="AI3393" s="6"/>
      <c r="AJ3393" s="6"/>
      <c r="AK3393" s="6"/>
      <c r="AL3393" s="6"/>
      <c r="AM3393" s="6"/>
    </row>
    <row r="3394">
      <c r="A3394" s="6"/>
      <c r="B3394" s="6"/>
      <c r="C3394" s="6"/>
      <c r="D3394" s="6"/>
      <c r="E3394" s="6"/>
      <c r="F3394" s="6"/>
      <c r="G3394" s="6"/>
      <c r="H3394" s="6"/>
      <c r="I3394" s="6"/>
      <c r="J3394" s="6"/>
      <c r="K3394" s="6"/>
      <c r="L3394" s="6"/>
      <c r="M3394" s="6"/>
      <c r="N3394" s="6"/>
      <c r="O3394" s="6"/>
      <c r="P3394" s="6"/>
      <c r="Q3394" s="6"/>
      <c r="R3394" s="6"/>
      <c r="S3394" s="6"/>
      <c r="T3394" s="6"/>
      <c r="U3394" s="6"/>
      <c r="V3394" s="6"/>
      <c r="W3394" s="6"/>
      <c r="X3394" s="6"/>
      <c r="Y3394" s="6"/>
      <c r="Z3394" s="6"/>
      <c r="AA3394" s="6"/>
      <c r="AB3394" s="6"/>
      <c r="AC3394" s="6"/>
      <c r="AD3394" s="6"/>
      <c r="AE3394" s="6"/>
      <c r="AF3394" s="6"/>
      <c r="AG3394" s="6"/>
      <c r="AH3394" s="6"/>
      <c r="AI3394" s="6"/>
      <c r="AJ3394" s="6"/>
      <c r="AK3394" s="6"/>
      <c r="AL3394" s="6"/>
      <c r="AM3394" s="6"/>
    </row>
    <row r="3395">
      <c r="A3395" s="6"/>
      <c r="B3395" s="6"/>
      <c r="C3395" s="6"/>
      <c r="D3395" s="6"/>
      <c r="E3395" s="6"/>
      <c r="F3395" s="6"/>
      <c r="G3395" s="6"/>
      <c r="H3395" s="6"/>
      <c r="I3395" s="6"/>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c r="AG3395" s="6"/>
      <c r="AH3395" s="6"/>
      <c r="AI3395" s="6"/>
      <c r="AJ3395" s="6"/>
      <c r="AK3395" s="6"/>
      <c r="AL3395" s="6"/>
      <c r="AM3395" s="6"/>
    </row>
    <row r="3396">
      <c r="A3396" s="6"/>
      <c r="B3396" s="6"/>
      <c r="C3396" s="6"/>
      <c r="D3396" s="6"/>
      <c r="E3396" s="6"/>
      <c r="F3396" s="6"/>
      <c r="G3396" s="6"/>
      <c r="H3396" s="6"/>
      <c r="I3396" s="6"/>
      <c r="J3396" s="6"/>
      <c r="K3396" s="6"/>
      <c r="L3396" s="6"/>
      <c r="M3396" s="6"/>
      <c r="N3396" s="6"/>
      <c r="O3396" s="6"/>
      <c r="P3396" s="6"/>
      <c r="Q3396" s="6"/>
      <c r="R3396" s="6"/>
      <c r="S3396" s="6"/>
      <c r="T3396" s="6"/>
      <c r="U3396" s="6"/>
      <c r="V3396" s="6"/>
      <c r="W3396" s="6"/>
      <c r="X3396" s="6"/>
      <c r="Y3396" s="6"/>
      <c r="Z3396" s="6"/>
      <c r="AA3396" s="6"/>
      <c r="AB3396" s="6"/>
      <c r="AC3396" s="6"/>
      <c r="AD3396" s="6"/>
      <c r="AE3396" s="6"/>
      <c r="AF3396" s="6"/>
      <c r="AG3396" s="6"/>
      <c r="AH3396" s="6"/>
      <c r="AI3396" s="6"/>
      <c r="AJ3396" s="6"/>
      <c r="AK3396" s="6"/>
      <c r="AL3396" s="6"/>
      <c r="AM3396" s="6"/>
    </row>
    <row r="3397">
      <c r="A3397" s="6"/>
      <c r="B3397" s="6"/>
      <c r="C3397" s="6"/>
      <c r="D3397" s="6"/>
      <c r="E3397" s="6"/>
      <c r="F3397" s="6"/>
      <c r="G3397" s="6"/>
      <c r="H3397" s="6"/>
      <c r="I3397" s="6"/>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c r="AG3397" s="6"/>
      <c r="AH3397" s="6"/>
      <c r="AI3397" s="6"/>
      <c r="AJ3397" s="6"/>
      <c r="AK3397" s="6"/>
      <c r="AL3397" s="6"/>
      <c r="AM3397" s="6"/>
    </row>
    <row r="3398">
      <c r="A3398" s="6"/>
      <c r="B3398" s="6"/>
      <c r="C3398" s="6"/>
      <c r="D3398" s="6"/>
      <c r="E3398" s="6"/>
      <c r="F3398" s="6"/>
      <c r="G3398" s="6"/>
      <c r="H3398" s="6"/>
      <c r="I3398" s="6"/>
      <c r="J3398" s="6"/>
      <c r="K3398" s="6"/>
      <c r="L3398" s="6"/>
      <c r="M3398" s="6"/>
      <c r="N3398" s="6"/>
      <c r="O3398" s="6"/>
      <c r="P3398" s="6"/>
      <c r="Q3398" s="6"/>
      <c r="R3398" s="6"/>
      <c r="S3398" s="6"/>
      <c r="T3398" s="6"/>
      <c r="U3398" s="6"/>
      <c r="V3398" s="6"/>
      <c r="W3398" s="6"/>
      <c r="X3398" s="6"/>
      <c r="Y3398" s="6"/>
      <c r="Z3398" s="6"/>
      <c r="AA3398" s="6"/>
      <c r="AB3398" s="6"/>
      <c r="AC3398" s="6"/>
      <c r="AD3398" s="6"/>
      <c r="AE3398" s="6"/>
      <c r="AF3398" s="6"/>
      <c r="AG3398" s="6"/>
      <c r="AH3398" s="6"/>
      <c r="AI3398" s="6"/>
      <c r="AJ3398" s="6"/>
      <c r="AK3398" s="6"/>
      <c r="AL3398" s="6"/>
      <c r="AM3398" s="6"/>
    </row>
    <row r="3399">
      <c r="A3399" s="6"/>
      <c r="B3399" s="6"/>
      <c r="C3399" s="6"/>
      <c r="D3399" s="6"/>
      <c r="E3399" s="6"/>
      <c r="F3399" s="6"/>
      <c r="G3399" s="6"/>
      <c r="H3399" s="6"/>
      <c r="I3399" s="6"/>
      <c r="J3399" s="6"/>
      <c r="K3399" s="6"/>
      <c r="L3399" s="6"/>
      <c r="M3399" s="6"/>
      <c r="N3399" s="6"/>
      <c r="O3399" s="6"/>
      <c r="P3399" s="6"/>
      <c r="Q3399" s="6"/>
      <c r="R3399" s="6"/>
      <c r="S3399" s="6"/>
      <c r="T3399" s="6"/>
      <c r="U3399" s="6"/>
      <c r="V3399" s="6"/>
      <c r="W3399" s="6"/>
      <c r="X3399" s="6"/>
      <c r="Y3399" s="6"/>
      <c r="Z3399" s="6"/>
      <c r="AA3399" s="6"/>
      <c r="AB3399" s="6"/>
      <c r="AC3399" s="6"/>
      <c r="AD3399" s="6"/>
      <c r="AE3399" s="6"/>
      <c r="AF3399" s="6"/>
      <c r="AG3399" s="6"/>
      <c r="AH3399" s="6"/>
      <c r="AI3399" s="6"/>
      <c r="AJ3399" s="6"/>
      <c r="AK3399" s="6"/>
      <c r="AL3399" s="6"/>
      <c r="AM3399" s="6"/>
    </row>
    <row r="3400">
      <c r="A3400" s="6"/>
      <c r="B3400" s="6"/>
      <c r="C3400" s="6"/>
      <c r="D3400" s="6"/>
      <c r="E3400" s="6"/>
      <c r="F3400" s="6"/>
      <c r="G3400" s="6"/>
      <c r="H3400" s="6"/>
      <c r="I3400" s="6"/>
      <c r="J3400" s="6"/>
      <c r="K3400" s="6"/>
      <c r="L3400" s="6"/>
      <c r="M3400" s="6"/>
      <c r="N3400" s="6"/>
      <c r="O3400" s="6"/>
      <c r="P3400" s="6"/>
      <c r="Q3400" s="6"/>
      <c r="R3400" s="6"/>
      <c r="S3400" s="6"/>
      <c r="T3400" s="6"/>
      <c r="U3400" s="6"/>
      <c r="V3400" s="6"/>
      <c r="W3400" s="6"/>
      <c r="X3400" s="6"/>
      <c r="Y3400" s="6"/>
      <c r="Z3400" s="6"/>
      <c r="AA3400" s="6"/>
      <c r="AB3400" s="6"/>
      <c r="AC3400" s="6"/>
      <c r="AD3400" s="6"/>
      <c r="AE3400" s="6"/>
      <c r="AF3400" s="6"/>
      <c r="AG3400" s="6"/>
      <c r="AH3400" s="6"/>
      <c r="AI3400" s="6"/>
      <c r="AJ3400" s="6"/>
      <c r="AK3400" s="6"/>
      <c r="AL3400" s="6"/>
      <c r="AM3400" s="6"/>
    </row>
    <row r="3401">
      <c r="A3401" s="6"/>
      <c r="B3401" s="6"/>
      <c r="C3401" s="6"/>
      <c r="D3401" s="6"/>
      <c r="E3401" s="6"/>
      <c r="F3401" s="6"/>
      <c r="G3401" s="6"/>
      <c r="H3401" s="6"/>
      <c r="I3401" s="6"/>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c r="AG3401" s="6"/>
      <c r="AH3401" s="6"/>
      <c r="AI3401" s="6"/>
      <c r="AJ3401" s="6"/>
      <c r="AK3401" s="6"/>
      <c r="AL3401" s="6"/>
      <c r="AM3401" s="6"/>
    </row>
    <row r="3402">
      <c r="A3402" s="6"/>
      <c r="B3402" s="6"/>
      <c r="C3402" s="6"/>
      <c r="D3402" s="6"/>
      <c r="E3402" s="6"/>
      <c r="F3402" s="6"/>
      <c r="G3402" s="6"/>
      <c r="H3402" s="6"/>
      <c r="I3402" s="6"/>
      <c r="J3402" s="6"/>
      <c r="K3402" s="6"/>
      <c r="L3402" s="6"/>
      <c r="M3402" s="6"/>
      <c r="N3402" s="6"/>
      <c r="O3402" s="6"/>
      <c r="P3402" s="6"/>
      <c r="Q3402" s="6"/>
      <c r="R3402" s="6"/>
      <c r="S3402" s="6"/>
      <c r="T3402" s="6"/>
      <c r="U3402" s="6"/>
      <c r="V3402" s="6"/>
      <c r="W3402" s="6"/>
      <c r="X3402" s="6"/>
      <c r="Y3402" s="6"/>
      <c r="Z3402" s="6"/>
      <c r="AA3402" s="6"/>
      <c r="AB3402" s="6"/>
      <c r="AC3402" s="6"/>
      <c r="AD3402" s="6"/>
      <c r="AE3402" s="6"/>
      <c r="AF3402" s="6"/>
      <c r="AG3402" s="6"/>
      <c r="AH3402" s="6"/>
      <c r="AI3402" s="6"/>
      <c r="AJ3402" s="6"/>
      <c r="AK3402" s="6"/>
      <c r="AL3402" s="6"/>
      <c r="AM3402" s="6"/>
    </row>
    <row r="3403">
      <c r="A3403" s="6"/>
      <c r="B3403" s="6"/>
      <c r="C3403" s="6"/>
      <c r="D3403" s="6"/>
      <c r="E3403" s="6"/>
      <c r="F3403" s="6"/>
      <c r="G3403" s="6"/>
      <c r="H3403" s="6"/>
      <c r="I3403" s="6"/>
      <c r="J3403" s="6"/>
      <c r="K3403" s="6"/>
      <c r="L3403" s="6"/>
      <c r="M3403" s="6"/>
      <c r="N3403" s="6"/>
      <c r="O3403" s="6"/>
      <c r="P3403" s="6"/>
      <c r="Q3403" s="6"/>
      <c r="R3403" s="6"/>
      <c r="S3403" s="6"/>
      <c r="T3403" s="6"/>
      <c r="U3403" s="6"/>
      <c r="V3403" s="6"/>
      <c r="W3403" s="6"/>
      <c r="X3403" s="6"/>
      <c r="Y3403" s="6"/>
      <c r="Z3403" s="6"/>
      <c r="AA3403" s="6"/>
      <c r="AB3403" s="6"/>
      <c r="AC3403" s="6"/>
      <c r="AD3403" s="6"/>
      <c r="AE3403" s="6"/>
      <c r="AF3403" s="6"/>
      <c r="AG3403" s="6"/>
      <c r="AH3403" s="6"/>
      <c r="AI3403" s="6"/>
      <c r="AJ3403" s="6"/>
      <c r="AK3403" s="6"/>
      <c r="AL3403" s="6"/>
      <c r="AM3403" s="6"/>
    </row>
    <row r="3404">
      <c r="A3404" s="6"/>
      <c r="B3404" s="6"/>
      <c r="C3404" s="6"/>
      <c r="D3404" s="6"/>
      <c r="E3404" s="6"/>
      <c r="F3404" s="6"/>
      <c r="G3404" s="6"/>
      <c r="H3404" s="6"/>
      <c r="I3404" s="6"/>
      <c r="J3404" s="6"/>
      <c r="K3404" s="6"/>
      <c r="L3404" s="6"/>
      <c r="M3404" s="6"/>
      <c r="N3404" s="6"/>
      <c r="O3404" s="6"/>
      <c r="P3404" s="6"/>
      <c r="Q3404" s="6"/>
      <c r="R3404" s="6"/>
      <c r="S3404" s="6"/>
      <c r="T3404" s="6"/>
      <c r="U3404" s="6"/>
      <c r="V3404" s="6"/>
      <c r="W3404" s="6"/>
      <c r="X3404" s="6"/>
      <c r="Y3404" s="6"/>
      <c r="Z3404" s="6"/>
      <c r="AA3404" s="6"/>
      <c r="AB3404" s="6"/>
      <c r="AC3404" s="6"/>
      <c r="AD3404" s="6"/>
      <c r="AE3404" s="6"/>
      <c r="AF3404" s="6"/>
      <c r="AG3404" s="6"/>
      <c r="AH3404" s="6"/>
      <c r="AI3404" s="6"/>
      <c r="AJ3404" s="6"/>
      <c r="AK3404" s="6"/>
      <c r="AL3404" s="6"/>
      <c r="AM3404" s="6"/>
    </row>
    <row r="3405">
      <c r="A3405" s="6"/>
      <c r="B3405" s="6"/>
      <c r="C3405" s="6"/>
      <c r="D3405" s="6"/>
      <c r="E3405" s="6"/>
      <c r="F3405" s="6"/>
      <c r="G3405" s="6"/>
      <c r="H3405" s="6"/>
      <c r="I3405" s="6"/>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c r="AG3405" s="6"/>
      <c r="AH3405" s="6"/>
      <c r="AI3405" s="6"/>
      <c r="AJ3405" s="6"/>
      <c r="AK3405" s="6"/>
      <c r="AL3405" s="6"/>
      <c r="AM3405" s="6"/>
    </row>
    <row r="3406">
      <c r="A3406" s="6"/>
      <c r="B3406" s="6"/>
      <c r="C3406" s="6"/>
      <c r="D3406" s="6"/>
      <c r="E3406" s="6"/>
      <c r="F3406" s="6"/>
      <c r="G3406" s="6"/>
      <c r="H3406" s="6"/>
      <c r="I3406" s="6"/>
      <c r="J3406" s="6"/>
      <c r="K3406" s="6"/>
      <c r="L3406" s="6"/>
      <c r="M3406" s="6"/>
      <c r="N3406" s="6"/>
      <c r="O3406" s="6"/>
      <c r="P3406" s="6"/>
      <c r="Q3406" s="6"/>
      <c r="R3406" s="6"/>
      <c r="S3406" s="6"/>
      <c r="T3406" s="6"/>
      <c r="U3406" s="6"/>
      <c r="V3406" s="6"/>
      <c r="W3406" s="6"/>
      <c r="X3406" s="6"/>
      <c r="Y3406" s="6"/>
      <c r="Z3406" s="6"/>
      <c r="AA3406" s="6"/>
      <c r="AB3406" s="6"/>
      <c r="AC3406" s="6"/>
      <c r="AD3406" s="6"/>
      <c r="AE3406" s="6"/>
      <c r="AF3406" s="6"/>
      <c r="AG3406" s="6"/>
      <c r="AH3406" s="6"/>
      <c r="AI3406" s="6"/>
      <c r="AJ3406" s="6"/>
      <c r="AK3406" s="6"/>
      <c r="AL3406" s="6"/>
      <c r="AM3406" s="6"/>
    </row>
    <row r="3407">
      <c r="A3407" s="6"/>
      <c r="B3407" s="6"/>
      <c r="C3407" s="6"/>
      <c r="D3407" s="6"/>
      <c r="E3407" s="6"/>
      <c r="F3407" s="6"/>
      <c r="G3407" s="6"/>
      <c r="H3407" s="6"/>
      <c r="I3407" s="6"/>
      <c r="J3407" s="6"/>
      <c r="K3407" s="6"/>
      <c r="L3407" s="6"/>
      <c r="M3407" s="6"/>
      <c r="N3407" s="6"/>
      <c r="O3407" s="6"/>
      <c r="P3407" s="6"/>
      <c r="Q3407" s="6"/>
      <c r="R3407" s="6"/>
      <c r="S3407" s="6"/>
      <c r="T3407" s="6"/>
      <c r="U3407" s="6"/>
      <c r="V3407" s="6"/>
      <c r="W3407" s="6"/>
      <c r="X3407" s="6"/>
      <c r="Y3407" s="6"/>
      <c r="Z3407" s="6"/>
      <c r="AA3407" s="6"/>
      <c r="AB3407" s="6"/>
      <c r="AC3407" s="6"/>
      <c r="AD3407" s="6"/>
      <c r="AE3407" s="6"/>
      <c r="AF3407" s="6"/>
      <c r="AG3407" s="6"/>
      <c r="AH3407" s="6"/>
      <c r="AI3407" s="6"/>
      <c r="AJ3407" s="6"/>
      <c r="AK3407" s="6"/>
      <c r="AL3407" s="6"/>
      <c r="AM3407" s="6"/>
    </row>
    <row r="3408">
      <c r="A3408" s="6"/>
      <c r="B3408" s="6"/>
      <c r="C3408" s="6"/>
      <c r="D3408" s="6"/>
      <c r="E3408" s="6"/>
      <c r="F3408" s="6"/>
      <c r="G3408" s="6"/>
      <c r="H3408" s="6"/>
      <c r="I3408" s="6"/>
      <c r="J3408" s="6"/>
      <c r="K3408" s="6"/>
      <c r="L3408" s="6"/>
      <c r="M3408" s="6"/>
      <c r="N3408" s="6"/>
      <c r="O3408" s="6"/>
      <c r="P3408" s="6"/>
      <c r="Q3408" s="6"/>
      <c r="R3408" s="6"/>
      <c r="S3408" s="6"/>
      <c r="T3408" s="6"/>
      <c r="U3408" s="6"/>
      <c r="V3408" s="6"/>
      <c r="W3408" s="6"/>
      <c r="X3408" s="6"/>
      <c r="Y3408" s="6"/>
      <c r="Z3408" s="6"/>
      <c r="AA3408" s="6"/>
      <c r="AB3408" s="6"/>
      <c r="AC3408" s="6"/>
      <c r="AD3408" s="6"/>
      <c r="AE3408" s="6"/>
      <c r="AF3408" s="6"/>
      <c r="AG3408" s="6"/>
      <c r="AH3408" s="6"/>
      <c r="AI3408" s="6"/>
      <c r="AJ3408" s="6"/>
      <c r="AK3408" s="6"/>
      <c r="AL3408" s="6"/>
      <c r="AM3408" s="6"/>
    </row>
    <row r="3409">
      <c r="A3409" s="6"/>
      <c r="B3409" s="6"/>
      <c r="C3409" s="6"/>
      <c r="D3409" s="6"/>
      <c r="E3409" s="6"/>
      <c r="F3409" s="6"/>
      <c r="G3409" s="6"/>
      <c r="H3409" s="6"/>
      <c r="I3409" s="6"/>
      <c r="J3409" s="6"/>
      <c r="K3409" s="6"/>
      <c r="L3409" s="6"/>
      <c r="M3409" s="6"/>
      <c r="N3409" s="6"/>
      <c r="O3409" s="6"/>
      <c r="P3409" s="6"/>
      <c r="Q3409" s="6"/>
      <c r="R3409" s="6"/>
      <c r="S3409" s="6"/>
      <c r="T3409" s="6"/>
      <c r="U3409" s="6"/>
      <c r="V3409" s="6"/>
      <c r="W3409" s="6"/>
      <c r="X3409" s="6"/>
      <c r="Y3409" s="6"/>
      <c r="Z3409" s="6"/>
      <c r="AA3409" s="6"/>
      <c r="AB3409" s="6"/>
      <c r="AC3409" s="6"/>
      <c r="AD3409" s="6"/>
      <c r="AE3409" s="6"/>
      <c r="AF3409" s="6"/>
      <c r="AG3409" s="6"/>
      <c r="AH3409" s="6"/>
      <c r="AI3409" s="6"/>
      <c r="AJ3409" s="6"/>
      <c r="AK3409" s="6"/>
      <c r="AL3409" s="6"/>
      <c r="AM3409" s="6"/>
    </row>
    <row r="3410">
      <c r="A3410" s="6"/>
      <c r="B3410" s="6"/>
      <c r="C3410" s="6"/>
      <c r="D3410" s="6"/>
      <c r="E3410" s="6"/>
      <c r="F3410" s="6"/>
      <c r="G3410" s="6"/>
      <c r="H3410" s="6"/>
      <c r="I3410" s="6"/>
      <c r="J3410" s="6"/>
      <c r="K3410" s="6"/>
      <c r="L3410" s="6"/>
      <c r="M3410" s="6"/>
      <c r="N3410" s="6"/>
      <c r="O3410" s="6"/>
      <c r="P3410" s="6"/>
      <c r="Q3410" s="6"/>
      <c r="R3410" s="6"/>
      <c r="S3410" s="6"/>
      <c r="T3410" s="6"/>
      <c r="U3410" s="6"/>
      <c r="V3410" s="6"/>
      <c r="W3410" s="6"/>
      <c r="X3410" s="6"/>
      <c r="Y3410" s="6"/>
      <c r="Z3410" s="6"/>
      <c r="AA3410" s="6"/>
      <c r="AB3410" s="6"/>
      <c r="AC3410" s="6"/>
      <c r="AD3410" s="6"/>
      <c r="AE3410" s="6"/>
      <c r="AF3410" s="6"/>
      <c r="AG3410" s="6"/>
      <c r="AH3410" s="6"/>
      <c r="AI3410" s="6"/>
      <c r="AJ3410" s="6"/>
      <c r="AK3410" s="6"/>
      <c r="AL3410" s="6"/>
      <c r="AM3410" s="6"/>
    </row>
    <row r="3411">
      <c r="A3411" s="6"/>
      <c r="B3411" s="6"/>
      <c r="C3411" s="6"/>
      <c r="D3411" s="6"/>
      <c r="E3411" s="6"/>
      <c r="F3411" s="6"/>
      <c r="G3411" s="6"/>
      <c r="H3411" s="6"/>
      <c r="I3411" s="6"/>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c r="AG3411" s="6"/>
      <c r="AH3411" s="6"/>
      <c r="AI3411" s="6"/>
      <c r="AJ3411" s="6"/>
      <c r="AK3411" s="6"/>
      <c r="AL3411" s="6"/>
      <c r="AM3411" s="6"/>
    </row>
    <row r="3412">
      <c r="A3412" s="6"/>
      <c r="B3412" s="6"/>
      <c r="C3412" s="6"/>
      <c r="D3412" s="6"/>
      <c r="E3412" s="6"/>
      <c r="F3412" s="6"/>
      <c r="G3412" s="6"/>
      <c r="H3412" s="6"/>
      <c r="I3412" s="6"/>
      <c r="J3412" s="6"/>
      <c r="K3412" s="6"/>
      <c r="L3412" s="6"/>
      <c r="M3412" s="6"/>
      <c r="N3412" s="6"/>
      <c r="O3412" s="6"/>
      <c r="P3412" s="6"/>
      <c r="Q3412" s="6"/>
      <c r="R3412" s="6"/>
      <c r="S3412" s="6"/>
      <c r="T3412" s="6"/>
      <c r="U3412" s="6"/>
      <c r="V3412" s="6"/>
      <c r="W3412" s="6"/>
      <c r="X3412" s="6"/>
      <c r="Y3412" s="6"/>
      <c r="Z3412" s="6"/>
      <c r="AA3412" s="6"/>
      <c r="AB3412" s="6"/>
      <c r="AC3412" s="6"/>
      <c r="AD3412" s="6"/>
      <c r="AE3412" s="6"/>
      <c r="AF3412" s="6"/>
      <c r="AG3412" s="6"/>
      <c r="AH3412" s="6"/>
      <c r="AI3412" s="6"/>
      <c r="AJ3412" s="6"/>
      <c r="AK3412" s="6"/>
      <c r="AL3412" s="6"/>
      <c r="AM3412" s="6"/>
    </row>
    <row r="3413">
      <c r="A3413" s="6"/>
      <c r="B3413" s="6"/>
      <c r="C3413" s="6"/>
      <c r="D3413" s="6"/>
      <c r="E3413" s="6"/>
      <c r="F3413" s="6"/>
      <c r="G3413" s="6"/>
      <c r="H3413" s="6"/>
      <c r="I3413" s="6"/>
      <c r="J3413" s="6"/>
      <c r="K3413" s="6"/>
      <c r="L3413" s="6"/>
      <c r="M3413" s="6"/>
      <c r="N3413" s="6"/>
      <c r="O3413" s="6"/>
      <c r="P3413" s="6"/>
      <c r="Q3413" s="6"/>
      <c r="R3413" s="6"/>
      <c r="S3413" s="6"/>
      <c r="T3413" s="6"/>
      <c r="U3413" s="6"/>
      <c r="V3413" s="6"/>
      <c r="W3413" s="6"/>
      <c r="X3413" s="6"/>
      <c r="Y3413" s="6"/>
      <c r="Z3413" s="6"/>
      <c r="AA3413" s="6"/>
      <c r="AB3413" s="6"/>
      <c r="AC3413" s="6"/>
      <c r="AD3413" s="6"/>
      <c r="AE3413" s="6"/>
      <c r="AF3413" s="6"/>
      <c r="AG3413" s="6"/>
      <c r="AH3413" s="6"/>
      <c r="AI3413" s="6"/>
      <c r="AJ3413" s="6"/>
      <c r="AK3413" s="6"/>
      <c r="AL3413" s="6"/>
      <c r="AM3413" s="6"/>
    </row>
    <row r="3414">
      <c r="A3414" s="6"/>
      <c r="B3414" s="6"/>
      <c r="C3414" s="6"/>
      <c r="D3414" s="6"/>
      <c r="E3414" s="6"/>
      <c r="F3414" s="6"/>
      <c r="G3414" s="6"/>
      <c r="H3414" s="6"/>
      <c r="I3414" s="6"/>
      <c r="J3414" s="6"/>
      <c r="K3414" s="6"/>
      <c r="L3414" s="6"/>
      <c r="M3414" s="6"/>
      <c r="N3414" s="6"/>
      <c r="O3414" s="6"/>
      <c r="P3414" s="6"/>
      <c r="Q3414" s="6"/>
      <c r="R3414" s="6"/>
      <c r="S3414" s="6"/>
      <c r="T3414" s="6"/>
      <c r="U3414" s="6"/>
      <c r="V3414" s="6"/>
      <c r="W3414" s="6"/>
      <c r="X3414" s="6"/>
      <c r="Y3414" s="6"/>
      <c r="Z3414" s="6"/>
      <c r="AA3414" s="6"/>
      <c r="AB3414" s="6"/>
      <c r="AC3414" s="6"/>
      <c r="AD3414" s="6"/>
      <c r="AE3414" s="6"/>
      <c r="AF3414" s="6"/>
      <c r="AG3414" s="6"/>
      <c r="AH3414" s="6"/>
      <c r="AI3414" s="6"/>
      <c r="AJ3414" s="6"/>
      <c r="AK3414" s="6"/>
      <c r="AL3414" s="6"/>
      <c r="AM3414" s="6"/>
    </row>
    <row r="3415">
      <c r="A3415" s="6"/>
      <c r="B3415" s="6"/>
      <c r="C3415" s="6"/>
      <c r="D3415" s="6"/>
      <c r="E3415" s="6"/>
      <c r="F3415" s="6"/>
      <c r="G3415" s="6"/>
      <c r="H3415" s="6"/>
      <c r="I3415" s="6"/>
      <c r="J3415" s="6"/>
      <c r="K3415" s="6"/>
      <c r="L3415" s="6"/>
      <c r="M3415" s="6"/>
      <c r="N3415" s="6"/>
      <c r="O3415" s="6"/>
      <c r="P3415" s="6"/>
      <c r="Q3415" s="6"/>
      <c r="R3415" s="6"/>
      <c r="S3415" s="6"/>
      <c r="T3415" s="6"/>
      <c r="U3415" s="6"/>
      <c r="V3415" s="6"/>
      <c r="W3415" s="6"/>
      <c r="X3415" s="6"/>
      <c r="Y3415" s="6"/>
      <c r="Z3415" s="6"/>
      <c r="AA3415" s="6"/>
      <c r="AB3415" s="6"/>
      <c r="AC3415" s="6"/>
      <c r="AD3415" s="6"/>
      <c r="AE3415" s="6"/>
      <c r="AF3415" s="6"/>
      <c r="AG3415" s="6"/>
      <c r="AH3415" s="6"/>
      <c r="AI3415" s="6"/>
      <c r="AJ3415" s="6"/>
      <c r="AK3415" s="6"/>
      <c r="AL3415" s="6"/>
      <c r="AM3415" s="6"/>
    </row>
    <row r="3416">
      <c r="A3416" s="6"/>
      <c r="B3416" s="6"/>
      <c r="C3416" s="6"/>
      <c r="D3416" s="6"/>
      <c r="E3416" s="6"/>
      <c r="F3416" s="6"/>
      <c r="G3416" s="6"/>
      <c r="H3416" s="6"/>
      <c r="I3416" s="6"/>
      <c r="J3416" s="6"/>
      <c r="K3416" s="6"/>
      <c r="L3416" s="6"/>
      <c r="M3416" s="6"/>
      <c r="N3416" s="6"/>
      <c r="O3416" s="6"/>
      <c r="P3416" s="6"/>
      <c r="Q3416" s="6"/>
      <c r="R3416" s="6"/>
      <c r="S3416" s="6"/>
      <c r="T3416" s="6"/>
      <c r="U3416" s="6"/>
      <c r="V3416" s="6"/>
      <c r="W3416" s="6"/>
      <c r="X3416" s="6"/>
      <c r="Y3416" s="6"/>
      <c r="Z3416" s="6"/>
      <c r="AA3416" s="6"/>
      <c r="AB3416" s="6"/>
      <c r="AC3416" s="6"/>
      <c r="AD3416" s="6"/>
      <c r="AE3416" s="6"/>
      <c r="AF3416" s="6"/>
      <c r="AG3416" s="6"/>
      <c r="AH3416" s="6"/>
      <c r="AI3416" s="6"/>
      <c r="AJ3416" s="6"/>
      <c r="AK3416" s="6"/>
      <c r="AL3416" s="6"/>
      <c r="AM3416" s="6"/>
    </row>
    <row r="3417">
      <c r="A3417" s="6"/>
      <c r="B3417" s="6"/>
      <c r="C3417" s="6"/>
      <c r="D3417" s="6"/>
      <c r="E3417" s="6"/>
      <c r="F3417" s="6"/>
      <c r="G3417" s="6"/>
      <c r="H3417" s="6"/>
      <c r="I3417" s="6"/>
      <c r="J3417" s="6"/>
      <c r="K3417" s="6"/>
      <c r="L3417" s="6"/>
      <c r="M3417" s="6"/>
      <c r="N3417" s="6"/>
      <c r="O3417" s="6"/>
      <c r="P3417" s="6"/>
      <c r="Q3417" s="6"/>
      <c r="R3417" s="6"/>
      <c r="S3417" s="6"/>
      <c r="T3417" s="6"/>
      <c r="U3417" s="6"/>
      <c r="V3417" s="6"/>
      <c r="W3417" s="6"/>
      <c r="X3417" s="6"/>
      <c r="Y3417" s="6"/>
      <c r="Z3417" s="6"/>
      <c r="AA3417" s="6"/>
      <c r="AB3417" s="6"/>
      <c r="AC3417" s="6"/>
      <c r="AD3417" s="6"/>
      <c r="AE3417" s="6"/>
      <c r="AF3417" s="6"/>
      <c r="AG3417" s="6"/>
      <c r="AH3417" s="6"/>
      <c r="AI3417" s="6"/>
      <c r="AJ3417" s="6"/>
      <c r="AK3417" s="6"/>
      <c r="AL3417" s="6"/>
      <c r="AM3417" s="6"/>
    </row>
    <row r="3418">
      <c r="A3418" s="6"/>
      <c r="B3418" s="6"/>
      <c r="C3418" s="6"/>
      <c r="D3418" s="6"/>
      <c r="E3418" s="6"/>
      <c r="F3418" s="6"/>
      <c r="G3418" s="6"/>
      <c r="H3418" s="6"/>
      <c r="I3418" s="6"/>
      <c r="J3418" s="6"/>
      <c r="K3418" s="6"/>
      <c r="L3418" s="6"/>
      <c r="M3418" s="6"/>
      <c r="N3418" s="6"/>
      <c r="O3418" s="6"/>
      <c r="P3418" s="6"/>
      <c r="Q3418" s="6"/>
      <c r="R3418" s="6"/>
      <c r="S3418" s="6"/>
      <c r="T3418" s="6"/>
      <c r="U3418" s="6"/>
      <c r="V3418" s="6"/>
      <c r="W3418" s="6"/>
      <c r="X3418" s="6"/>
      <c r="Y3418" s="6"/>
      <c r="Z3418" s="6"/>
      <c r="AA3418" s="6"/>
      <c r="AB3418" s="6"/>
      <c r="AC3418" s="6"/>
      <c r="AD3418" s="6"/>
      <c r="AE3418" s="6"/>
      <c r="AF3418" s="6"/>
      <c r="AG3418" s="6"/>
      <c r="AH3418" s="6"/>
      <c r="AI3418" s="6"/>
      <c r="AJ3418" s="6"/>
      <c r="AK3418" s="6"/>
      <c r="AL3418" s="6"/>
      <c r="AM3418" s="6"/>
    </row>
    <row r="3419">
      <c r="A3419" s="6"/>
      <c r="B3419" s="6"/>
      <c r="C3419" s="6"/>
      <c r="D3419" s="6"/>
      <c r="E3419" s="6"/>
      <c r="F3419" s="6"/>
      <c r="G3419" s="6"/>
      <c r="H3419" s="6"/>
      <c r="I3419" s="6"/>
      <c r="J3419" s="6"/>
      <c r="K3419" s="6"/>
      <c r="L3419" s="6"/>
      <c r="M3419" s="6"/>
      <c r="N3419" s="6"/>
      <c r="O3419" s="6"/>
      <c r="P3419" s="6"/>
      <c r="Q3419" s="6"/>
      <c r="R3419" s="6"/>
      <c r="S3419" s="6"/>
      <c r="T3419" s="6"/>
      <c r="U3419" s="6"/>
      <c r="V3419" s="6"/>
      <c r="W3419" s="6"/>
      <c r="X3419" s="6"/>
      <c r="Y3419" s="6"/>
      <c r="Z3419" s="6"/>
      <c r="AA3419" s="6"/>
      <c r="AB3419" s="6"/>
      <c r="AC3419" s="6"/>
      <c r="AD3419" s="6"/>
      <c r="AE3419" s="6"/>
      <c r="AF3419" s="6"/>
      <c r="AG3419" s="6"/>
      <c r="AH3419" s="6"/>
      <c r="AI3419" s="6"/>
      <c r="AJ3419" s="6"/>
      <c r="AK3419" s="6"/>
      <c r="AL3419" s="6"/>
      <c r="AM3419" s="6"/>
    </row>
    <row r="3420">
      <c r="A3420" s="6"/>
      <c r="B3420" s="6"/>
      <c r="C3420" s="6"/>
      <c r="D3420" s="6"/>
      <c r="E3420" s="6"/>
      <c r="F3420" s="6"/>
      <c r="G3420" s="6"/>
      <c r="H3420" s="6"/>
      <c r="I3420" s="6"/>
      <c r="J3420" s="6"/>
      <c r="K3420" s="6"/>
      <c r="L3420" s="6"/>
      <c r="M3420" s="6"/>
      <c r="N3420" s="6"/>
      <c r="O3420" s="6"/>
      <c r="P3420" s="6"/>
      <c r="Q3420" s="6"/>
      <c r="R3420" s="6"/>
      <c r="S3420" s="6"/>
      <c r="T3420" s="6"/>
      <c r="U3420" s="6"/>
      <c r="V3420" s="6"/>
      <c r="W3420" s="6"/>
      <c r="X3420" s="6"/>
      <c r="Y3420" s="6"/>
      <c r="Z3420" s="6"/>
      <c r="AA3420" s="6"/>
      <c r="AB3420" s="6"/>
      <c r="AC3420" s="6"/>
      <c r="AD3420" s="6"/>
      <c r="AE3420" s="6"/>
      <c r="AF3420" s="6"/>
      <c r="AG3420" s="6"/>
      <c r="AH3420" s="6"/>
      <c r="AI3420" s="6"/>
      <c r="AJ3420" s="6"/>
      <c r="AK3420" s="6"/>
      <c r="AL3420" s="6"/>
      <c r="AM3420" s="6"/>
    </row>
    <row r="3421">
      <c r="A3421" s="6"/>
      <c r="B3421" s="6"/>
      <c r="C3421" s="6"/>
      <c r="D3421" s="6"/>
      <c r="E3421" s="6"/>
      <c r="F3421" s="6"/>
      <c r="G3421" s="6"/>
      <c r="H3421" s="6"/>
      <c r="I3421" s="6"/>
      <c r="J3421" s="6"/>
      <c r="K3421" s="6"/>
      <c r="L3421" s="6"/>
      <c r="M3421" s="6"/>
      <c r="N3421" s="6"/>
      <c r="O3421" s="6"/>
      <c r="P3421" s="6"/>
      <c r="Q3421" s="6"/>
      <c r="R3421" s="6"/>
      <c r="S3421" s="6"/>
      <c r="T3421" s="6"/>
      <c r="U3421" s="6"/>
      <c r="V3421" s="6"/>
      <c r="W3421" s="6"/>
      <c r="X3421" s="6"/>
      <c r="Y3421" s="6"/>
      <c r="Z3421" s="6"/>
      <c r="AA3421" s="6"/>
      <c r="AB3421" s="6"/>
      <c r="AC3421" s="6"/>
      <c r="AD3421" s="6"/>
      <c r="AE3421" s="6"/>
      <c r="AF3421" s="6"/>
      <c r="AG3421" s="6"/>
      <c r="AH3421" s="6"/>
      <c r="AI3421" s="6"/>
      <c r="AJ3421" s="6"/>
      <c r="AK3421" s="6"/>
      <c r="AL3421" s="6"/>
      <c r="AM3421" s="6"/>
    </row>
    <row r="3422">
      <c r="A3422" s="6"/>
      <c r="B3422" s="6"/>
      <c r="C3422" s="6"/>
      <c r="D3422" s="6"/>
      <c r="E3422" s="6"/>
      <c r="F3422" s="6"/>
      <c r="G3422" s="6"/>
      <c r="H3422" s="6"/>
      <c r="I3422" s="6"/>
      <c r="J3422" s="6"/>
      <c r="K3422" s="6"/>
      <c r="L3422" s="6"/>
      <c r="M3422" s="6"/>
      <c r="N3422" s="6"/>
      <c r="O3422" s="6"/>
      <c r="P3422" s="6"/>
      <c r="Q3422" s="6"/>
      <c r="R3422" s="6"/>
      <c r="S3422" s="6"/>
      <c r="T3422" s="6"/>
      <c r="U3422" s="6"/>
      <c r="V3422" s="6"/>
      <c r="W3422" s="6"/>
      <c r="X3422" s="6"/>
      <c r="Y3422" s="6"/>
      <c r="Z3422" s="6"/>
      <c r="AA3422" s="6"/>
      <c r="AB3422" s="6"/>
      <c r="AC3422" s="6"/>
      <c r="AD3422" s="6"/>
      <c r="AE3422" s="6"/>
      <c r="AF3422" s="6"/>
      <c r="AG3422" s="6"/>
      <c r="AH3422" s="6"/>
      <c r="AI3422" s="6"/>
      <c r="AJ3422" s="6"/>
      <c r="AK3422" s="6"/>
      <c r="AL3422" s="6"/>
      <c r="AM3422" s="6"/>
    </row>
    <row r="3423">
      <c r="A3423" s="6"/>
      <c r="B3423" s="6"/>
      <c r="C3423" s="6"/>
      <c r="D3423" s="6"/>
      <c r="E3423" s="6"/>
      <c r="F3423" s="6"/>
      <c r="G3423" s="6"/>
      <c r="H3423" s="6"/>
      <c r="I3423" s="6"/>
      <c r="J3423" s="6"/>
      <c r="K3423" s="6"/>
      <c r="L3423" s="6"/>
      <c r="M3423" s="6"/>
      <c r="N3423" s="6"/>
      <c r="O3423" s="6"/>
      <c r="P3423" s="6"/>
      <c r="Q3423" s="6"/>
      <c r="R3423" s="6"/>
      <c r="S3423" s="6"/>
      <c r="T3423" s="6"/>
      <c r="U3423" s="6"/>
      <c r="V3423" s="6"/>
      <c r="W3423" s="6"/>
      <c r="X3423" s="6"/>
      <c r="Y3423" s="6"/>
      <c r="Z3423" s="6"/>
      <c r="AA3423" s="6"/>
      <c r="AB3423" s="6"/>
      <c r="AC3423" s="6"/>
      <c r="AD3423" s="6"/>
      <c r="AE3423" s="6"/>
      <c r="AF3423" s="6"/>
      <c r="AG3423" s="6"/>
      <c r="AH3423" s="6"/>
      <c r="AI3423" s="6"/>
      <c r="AJ3423" s="6"/>
      <c r="AK3423" s="6"/>
      <c r="AL3423" s="6"/>
      <c r="AM3423" s="6"/>
    </row>
    <row r="3424">
      <c r="A3424" s="6"/>
      <c r="B3424" s="6"/>
      <c r="C3424" s="6"/>
      <c r="D3424" s="6"/>
      <c r="E3424" s="6"/>
      <c r="F3424" s="6"/>
      <c r="G3424" s="6"/>
      <c r="H3424" s="6"/>
      <c r="I3424" s="6"/>
      <c r="J3424" s="6"/>
      <c r="K3424" s="6"/>
      <c r="L3424" s="6"/>
      <c r="M3424" s="6"/>
      <c r="N3424" s="6"/>
      <c r="O3424" s="6"/>
      <c r="P3424" s="6"/>
      <c r="Q3424" s="6"/>
      <c r="R3424" s="6"/>
      <c r="S3424" s="6"/>
      <c r="T3424" s="6"/>
      <c r="U3424" s="6"/>
      <c r="V3424" s="6"/>
      <c r="W3424" s="6"/>
      <c r="X3424" s="6"/>
      <c r="Y3424" s="6"/>
      <c r="Z3424" s="6"/>
      <c r="AA3424" s="6"/>
      <c r="AB3424" s="6"/>
      <c r="AC3424" s="6"/>
      <c r="AD3424" s="6"/>
      <c r="AE3424" s="6"/>
      <c r="AF3424" s="6"/>
      <c r="AG3424" s="6"/>
      <c r="AH3424" s="6"/>
      <c r="AI3424" s="6"/>
      <c r="AJ3424" s="6"/>
      <c r="AK3424" s="6"/>
      <c r="AL3424" s="6"/>
      <c r="AM3424" s="6"/>
    </row>
    <row r="3425">
      <c r="A3425" s="6"/>
      <c r="B3425" s="6"/>
      <c r="C3425" s="6"/>
      <c r="D3425" s="6"/>
      <c r="E3425" s="6"/>
      <c r="F3425" s="6"/>
      <c r="G3425" s="6"/>
      <c r="H3425" s="6"/>
      <c r="I3425" s="6"/>
      <c r="J3425" s="6"/>
      <c r="K3425" s="6"/>
      <c r="L3425" s="6"/>
      <c r="M3425" s="6"/>
      <c r="N3425" s="6"/>
      <c r="O3425" s="6"/>
      <c r="P3425" s="6"/>
      <c r="Q3425" s="6"/>
      <c r="R3425" s="6"/>
      <c r="S3425" s="6"/>
      <c r="T3425" s="6"/>
      <c r="U3425" s="6"/>
      <c r="V3425" s="6"/>
      <c r="W3425" s="6"/>
      <c r="X3425" s="6"/>
      <c r="Y3425" s="6"/>
      <c r="Z3425" s="6"/>
      <c r="AA3425" s="6"/>
      <c r="AB3425" s="6"/>
      <c r="AC3425" s="6"/>
      <c r="AD3425" s="6"/>
      <c r="AE3425" s="6"/>
      <c r="AF3425" s="6"/>
      <c r="AG3425" s="6"/>
      <c r="AH3425" s="6"/>
      <c r="AI3425" s="6"/>
      <c r="AJ3425" s="6"/>
      <c r="AK3425" s="6"/>
      <c r="AL3425" s="6"/>
      <c r="AM3425" s="6"/>
    </row>
    <row r="3426">
      <c r="A3426" s="6"/>
      <c r="B3426" s="6"/>
      <c r="C3426" s="6"/>
      <c r="D3426" s="6"/>
      <c r="E3426" s="6"/>
      <c r="F3426" s="6"/>
      <c r="G3426" s="6"/>
      <c r="H3426" s="6"/>
      <c r="I3426" s="6"/>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c r="AG3426" s="6"/>
      <c r="AH3426" s="6"/>
      <c r="AI3426" s="6"/>
      <c r="AJ3426" s="6"/>
      <c r="AK3426" s="6"/>
      <c r="AL3426" s="6"/>
      <c r="AM3426" s="6"/>
    </row>
    <row r="3427">
      <c r="A3427" s="6"/>
      <c r="B3427" s="6"/>
      <c r="C3427" s="6"/>
      <c r="D3427" s="6"/>
      <c r="E3427" s="6"/>
      <c r="F3427" s="6"/>
      <c r="G3427" s="6"/>
      <c r="H3427" s="6"/>
      <c r="I3427" s="6"/>
      <c r="J3427" s="6"/>
      <c r="K3427" s="6"/>
      <c r="L3427" s="6"/>
      <c r="M3427" s="6"/>
      <c r="N3427" s="6"/>
      <c r="O3427" s="6"/>
      <c r="P3427" s="6"/>
      <c r="Q3427" s="6"/>
      <c r="R3427" s="6"/>
      <c r="S3427" s="6"/>
      <c r="T3427" s="6"/>
      <c r="U3427" s="6"/>
      <c r="V3427" s="6"/>
      <c r="W3427" s="6"/>
      <c r="X3427" s="6"/>
      <c r="Y3427" s="6"/>
      <c r="Z3427" s="6"/>
      <c r="AA3427" s="6"/>
      <c r="AB3427" s="6"/>
      <c r="AC3427" s="6"/>
      <c r="AD3427" s="6"/>
      <c r="AE3427" s="6"/>
      <c r="AF3427" s="6"/>
      <c r="AG3427" s="6"/>
      <c r="AH3427" s="6"/>
      <c r="AI3427" s="6"/>
      <c r="AJ3427" s="6"/>
      <c r="AK3427" s="6"/>
      <c r="AL3427" s="6"/>
      <c r="AM3427" s="6"/>
    </row>
    <row r="3428">
      <c r="A3428" s="6"/>
      <c r="B3428" s="6"/>
      <c r="C3428" s="6"/>
      <c r="D3428" s="6"/>
      <c r="E3428" s="6"/>
      <c r="F3428" s="6"/>
      <c r="G3428" s="6"/>
      <c r="H3428" s="6"/>
      <c r="I3428" s="6"/>
      <c r="J3428" s="6"/>
      <c r="K3428" s="6"/>
      <c r="L3428" s="6"/>
      <c r="M3428" s="6"/>
      <c r="N3428" s="6"/>
      <c r="O3428" s="6"/>
      <c r="P3428" s="6"/>
      <c r="Q3428" s="6"/>
      <c r="R3428" s="6"/>
      <c r="S3428" s="6"/>
      <c r="T3428" s="6"/>
      <c r="U3428" s="6"/>
      <c r="V3428" s="6"/>
      <c r="W3428" s="6"/>
      <c r="X3428" s="6"/>
      <c r="Y3428" s="6"/>
      <c r="Z3428" s="6"/>
      <c r="AA3428" s="6"/>
      <c r="AB3428" s="6"/>
      <c r="AC3428" s="6"/>
      <c r="AD3428" s="6"/>
      <c r="AE3428" s="6"/>
      <c r="AF3428" s="6"/>
      <c r="AG3428" s="6"/>
      <c r="AH3428" s="6"/>
      <c r="AI3428" s="6"/>
      <c r="AJ3428" s="6"/>
      <c r="AK3428" s="6"/>
      <c r="AL3428" s="6"/>
      <c r="AM3428" s="6"/>
    </row>
    <row r="3429">
      <c r="A3429" s="6"/>
      <c r="B3429" s="6"/>
      <c r="C3429" s="6"/>
      <c r="D3429" s="6"/>
      <c r="E3429" s="6"/>
      <c r="F3429" s="6"/>
      <c r="G3429" s="6"/>
      <c r="H3429" s="6"/>
      <c r="I3429" s="6"/>
      <c r="J3429" s="6"/>
      <c r="K3429" s="6"/>
      <c r="L3429" s="6"/>
      <c r="M3429" s="6"/>
      <c r="N3429" s="6"/>
      <c r="O3429" s="6"/>
      <c r="P3429" s="6"/>
      <c r="Q3429" s="6"/>
      <c r="R3429" s="6"/>
      <c r="S3429" s="6"/>
      <c r="T3429" s="6"/>
      <c r="U3429" s="6"/>
      <c r="V3429" s="6"/>
      <c r="W3429" s="6"/>
      <c r="X3429" s="6"/>
      <c r="Y3429" s="6"/>
      <c r="Z3429" s="6"/>
      <c r="AA3429" s="6"/>
      <c r="AB3429" s="6"/>
      <c r="AC3429" s="6"/>
      <c r="AD3429" s="6"/>
      <c r="AE3429" s="6"/>
      <c r="AF3429" s="6"/>
      <c r="AG3429" s="6"/>
      <c r="AH3429" s="6"/>
      <c r="AI3429" s="6"/>
      <c r="AJ3429" s="6"/>
      <c r="AK3429" s="6"/>
      <c r="AL3429" s="6"/>
      <c r="AM3429" s="6"/>
    </row>
    <row r="3430">
      <c r="A3430" s="6"/>
      <c r="B3430" s="6"/>
      <c r="C3430" s="6"/>
      <c r="D3430" s="6"/>
      <c r="E3430" s="6"/>
      <c r="F3430" s="6"/>
      <c r="G3430" s="6"/>
      <c r="H3430" s="6"/>
      <c r="I3430" s="6"/>
      <c r="J3430" s="6"/>
      <c r="K3430" s="6"/>
      <c r="L3430" s="6"/>
      <c r="M3430" s="6"/>
      <c r="N3430" s="6"/>
      <c r="O3430" s="6"/>
      <c r="P3430" s="6"/>
      <c r="Q3430" s="6"/>
      <c r="R3430" s="6"/>
      <c r="S3430" s="6"/>
      <c r="T3430" s="6"/>
      <c r="U3430" s="6"/>
      <c r="V3430" s="6"/>
      <c r="W3430" s="6"/>
      <c r="X3430" s="6"/>
      <c r="Y3430" s="6"/>
      <c r="Z3430" s="6"/>
      <c r="AA3430" s="6"/>
      <c r="AB3430" s="6"/>
      <c r="AC3430" s="6"/>
      <c r="AD3430" s="6"/>
      <c r="AE3430" s="6"/>
      <c r="AF3430" s="6"/>
      <c r="AG3430" s="6"/>
      <c r="AH3430" s="6"/>
      <c r="AI3430" s="6"/>
      <c r="AJ3430" s="6"/>
      <c r="AK3430" s="6"/>
      <c r="AL3430" s="6"/>
      <c r="AM3430" s="6"/>
    </row>
    <row r="3431">
      <c r="A3431" s="6"/>
      <c r="B3431" s="6"/>
      <c r="C3431" s="6"/>
      <c r="D3431" s="6"/>
      <c r="E3431" s="6"/>
      <c r="F3431" s="6"/>
      <c r="G3431" s="6"/>
      <c r="H3431" s="6"/>
      <c r="I3431" s="6"/>
      <c r="J3431" s="6"/>
      <c r="K3431" s="6"/>
      <c r="L3431" s="6"/>
      <c r="M3431" s="6"/>
      <c r="N3431" s="6"/>
      <c r="O3431" s="6"/>
      <c r="P3431" s="6"/>
      <c r="Q3431" s="6"/>
      <c r="R3431" s="6"/>
      <c r="S3431" s="6"/>
      <c r="T3431" s="6"/>
      <c r="U3431" s="6"/>
      <c r="V3431" s="6"/>
      <c r="W3431" s="6"/>
      <c r="X3431" s="6"/>
      <c r="Y3431" s="6"/>
      <c r="Z3431" s="6"/>
      <c r="AA3431" s="6"/>
      <c r="AB3431" s="6"/>
      <c r="AC3431" s="6"/>
      <c r="AD3431" s="6"/>
      <c r="AE3431" s="6"/>
      <c r="AF3431" s="6"/>
      <c r="AG3431" s="6"/>
      <c r="AH3431" s="6"/>
      <c r="AI3431" s="6"/>
      <c r="AJ3431" s="6"/>
      <c r="AK3431" s="6"/>
      <c r="AL3431" s="6"/>
      <c r="AM3431" s="6"/>
    </row>
    <row r="3432">
      <c r="A3432" s="6"/>
      <c r="B3432" s="6"/>
      <c r="C3432" s="6"/>
      <c r="D3432" s="6"/>
      <c r="E3432" s="6"/>
      <c r="F3432" s="6"/>
      <c r="G3432" s="6"/>
      <c r="H3432" s="6"/>
      <c r="I3432" s="6"/>
      <c r="J3432" s="6"/>
      <c r="K3432" s="6"/>
      <c r="L3432" s="6"/>
      <c r="M3432" s="6"/>
      <c r="N3432" s="6"/>
      <c r="O3432" s="6"/>
      <c r="P3432" s="6"/>
      <c r="Q3432" s="6"/>
      <c r="R3432" s="6"/>
      <c r="S3432" s="6"/>
      <c r="T3432" s="6"/>
      <c r="U3432" s="6"/>
      <c r="V3432" s="6"/>
      <c r="W3432" s="6"/>
      <c r="X3432" s="6"/>
      <c r="Y3432" s="6"/>
      <c r="Z3432" s="6"/>
      <c r="AA3432" s="6"/>
      <c r="AB3432" s="6"/>
      <c r="AC3432" s="6"/>
      <c r="AD3432" s="6"/>
      <c r="AE3432" s="6"/>
      <c r="AF3432" s="6"/>
      <c r="AG3432" s="6"/>
      <c r="AH3432" s="6"/>
      <c r="AI3432" s="6"/>
      <c r="AJ3432" s="6"/>
      <c r="AK3432" s="6"/>
      <c r="AL3432" s="6"/>
      <c r="AM3432" s="6"/>
    </row>
    <row r="3433">
      <c r="A3433" s="6"/>
      <c r="B3433" s="6"/>
      <c r="C3433" s="6"/>
      <c r="D3433" s="6"/>
      <c r="E3433" s="6"/>
      <c r="F3433" s="6"/>
      <c r="G3433" s="6"/>
      <c r="H3433" s="6"/>
      <c r="I3433" s="6"/>
      <c r="J3433" s="6"/>
      <c r="K3433" s="6"/>
      <c r="L3433" s="6"/>
      <c r="M3433" s="6"/>
      <c r="N3433" s="6"/>
      <c r="O3433" s="6"/>
      <c r="P3433" s="6"/>
      <c r="Q3433" s="6"/>
      <c r="R3433" s="6"/>
      <c r="S3433" s="6"/>
      <c r="T3433" s="6"/>
      <c r="U3433" s="6"/>
      <c r="V3433" s="6"/>
      <c r="W3433" s="6"/>
      <c r="X3433" s="6"/>
      <c r="Y3433" s="6"/>
      <c r="Z3433" s="6"/>
      <c r="AA3433" s="6"/>
      <c r="AB3433" s="6"/>
      <c r="AC3433" s="6"/>
      <c r="AD3433" s="6"/>
      <c r="AE3433" s="6"/>
      <c r="AF3433" s="6"/>
      <c r="AG3433" s="6"/>
      <c r="AH3433" s="6"/>
      <c r="AI3433" s="6"/>
      <c r="AJ3433" s="6"/>
      <c r="AK3433" s="6"/>
      <c r="AL3433" s="6"/>
      <c r="AM3433" s="6"/>
    </row>
    <row r="3434">
      <c r="A3434" s="6"/>
      <c r="B3434" s="6"/>
      <c r="C3434" s="6"/>
      <c r="D3434" s="6"/>
      <c r="E3434" s="6"/>
      <c r="F3434" s="6"/>
      <c r="G3434" s="6"/>
      <c r="H3434" s="6"/>
      <c r="I3434" s="6"/>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c r="AG3434" s="6"/>
      <c r="AH3434" s="6"/>
      <c r="AI3434" s="6"/>
      <c r="AJ3434" s="6"/>
      <c r="AK3434" s="6"/>
      <c r="AL3434" s="6"/>
      <c r="AM3434" s="6"/>
    </row>
    <row r="3435">
      <c r="A3435" s="6"/>
      <c r="B3435" s="6"/>
      <c r="C3435" s="6"/>
      <c r="D3435" s="6"/>
      <c r="E3435" s="6"/>
      <c r="F3435" s="6"/>
      <c r="G3435" s="6"/>
      <c r="H3435" s="6"/>
      <c r="I3435" s="6"/>
      <c r="J3435" s="6"/>
      <c r="K3435" s="6"/>
      <c r="L3435" s="6"/>
      <c r="M3435" s="6"/>
      <c r="N3435" s="6"/>
      <c r="O3435" s="6"/>
      <c r="P3435" s="6"/>
      <c r="Q3435" s="6"/>
      <c r="R3435" s="6"/>
      <c r="S3435" s="6"/>
      <c r="T3435" s="6"/>
      <c r="U3435" s="6"/>
      <c r="V3435" s="6"/>
      <c r="W3435" s="6"/>
      <c r="X3435" s="6"/>
      <c r="Y3435" s="6"/>
      <c r="Z3435" s="6"/>
      <c r="AA3435" s="6"/>
      <c r="AB3435" s="6"/>
      <c r="AC3435" s="6"/>
      <c r="AD3435" s="6"/>
      <c r="AE3435" s="6"/>
      <c r="AF3435" s="6"/>
      <c r="AG3435" s="6"/>
      <c r="AH3435" s="6"/>
      <c r="AI3435" s="6"/>
      <c r="AJ3435" s="6"/>
      <c r="AK3435" s="6"/>
      <c r="AL3435" s="6"/>
      <c r="AM3435" s="6"/>
    </row>
    <row r="3436">
      <c r="A3436" s="6"/>
      <c r="B3436" s="6"/>
      <c r="C3436" s="6"/>
      <c r="D3436" s="6"/>
      <c r="E3436" s="6"/>
      <c r="F3436" s="6"/>
      <c r="G3436" s="6"/>
      <c r="H3436" s="6"/>
      <c r="I3436" s="6"/>
      <c r="J3436" s="6"/>
      <c r="K3436" s="6"/>
      <c r="L3436" s="6"/>
      <c r="M3436" s="6"/>
      <c r="N3436" s="6"/>
      <c r="O3436" s="6"/>
      <c r="P3436" s="6"/>
      <c r="Q3436" s="6"/>
      <c r="R3436" s="6"/>
      <c r="S3436" s="6"/>
      <c r="T3436" s="6"/>
      <c r="U3436" s="6"/>
      <c r="V3436" s="6"/>
      <c r="W3436" s="6"/>
      <c r="X3436" s="6"/>
      <c r="Y3436" s="6"/>
      <c r="Z3436" s="6"/>
      <c r="AA3436" s="6"/>
      <c r="AB3436" s="6"/>
      <c r="AC3436" s="6"/>
      <c r="AD3436" s="6"/>
      <c r="AE3436" s="6"/>
      <c r="AF3436" s="6"/>
      <c r="AG3436" s="6"/>
      <c r="AH3436" s="6"/>
      <c r="AI3436" s="6"/>
      <c r="AJ3436" s="6"/>
      <c r="AK3436" s="6"/>
      <c r="AL3436" s="6"/>
      <c r="AM3436" s="6"/>
    </row>
    <row r="3437">
      <c r="A3437" s="6"/>
      <c r="B3437" s="6"/>
      <c r="C3437" s="6"/>
      <c r="D3437" s="6"/>
      <c r="E3437" s="6"/>
      <c r="F3437" s="6"/>
      <c r="G3437" s="6"/>
      <c r="H3437" s="6"/>
      <c r="I3437" s="6"/>
      <c r="J3437" s="6"/>
      <c r="K3437" s="6"/>
      <c r="L3437" s="6"/>
      <c r="M3437" s="6"/>
      <c r="N3437" s="6"/>
      <c r="O3437" s="6"/>
      <c r="P3437" s="6"/>
      <c r="Q3437" s="6"/>
      <c r="R3437" s="6"/>
      <c r="S3437" s="6"/>
      <c r="T3437" s="6"/>
      <c r="U3437" s="6"/>
      <c r="V3437" s="6"/>
      <c r="W3437" s="6"/>
      <c r="X3437" s="6"/>
      <c r="Y3437" s="6"/>
      <c r="Z3437" s="6"/>
      <c r="AA3437" s="6"/>
      <c r="AB3437" s="6"/>
      <c r="AC3437" s="6"/>
      <c r="AD3437" s="6"/>
      <c r="AE3437" s="6"/>
      <c r="AF3437" s="6"/>
      <c r="AG3437" s="6"/>
      <c r="AH3437" s="6"/>
      <c r="AI3437" s="6"/>
      <c r="AJ3437" s="6"/>
      <c r="AK3437" s="6"/>
      <c r="AL3437" s="6"/>
      <c r="AM3437" s="6"/>
    </row>
    <row r="3438">
      <c r="A3438" s="6"/>
      <c r="B3438" s="6"/>
      <c r="C3438" s="6"/>
      <c r="D3438" s="6"/>
      <c r="E3438" s="6"/>
      <c r="F3438" s="6"/>
      <c r="G3438" s="6"/>
      <c r="H3438" s="6"/>
      <c r="I3438" s="6"/>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c r="AG3438" s="6"/>
      <c r="AH3438" s="6"/>
      <c r="AI3438" s="6"/>
      <c r="AJ3438" s="6"/>
      <c r="AK3438" s="6"/>
      <c r="AL3438" s="6"/>
      <c r="AM3438" s="6"/>
    </row>
    <row r="3439">
      <c r="A3439" s="6"/>
      <c r="B3439" s="6"/>
      <c r="C3439" s="6"/>
      <c r="D3439" s="6"/>
      <c r="E3439" s="6"/>
      <c r="F3439" s="6"/>
      <c r="G3439" s="6"/>
      <c r="H3439" s="6"/>
      <c r="I3439" s="6"/>
      <c r="J3439" s="6"/>
      <c r="K3439" s="6"/>
      <c r="L3439" s="6"/>
      <c r="M3439" s="6"/>
      <c r="N3439" s="6"/>
      <c r="O3439" s="6"/>
      <c r="P3439" s="6"/>
      <c r="Q3439" s="6"/>
      <c r="R3439" s="6"/>
      <c r="S3439" s="6"/>
      <c r="T3439" s="6"/>
      <c r="U3439" s="6"/>
      <c r="V3439" s="6"/>
      <c r="W3439" s="6"/>
      <c r="X3439" s="6"/>
      <c r="Y3439" s="6"/>
      <c r="Z3439" s="6"/>
      <c r="AA3439" s="6"/>
      <c r="AB3439" s="6"/>
      <c r="AC3439" s="6"/>
      <c r="AD3439" s="6"/>
      <c r="AE3439" s="6"/>
      <c r="AF3439" s="6"/>
      <c r="AG3439" s="6"/>
      <c r="AH3439" s="6"/>
      <c r="AI3439" s="6"/>
      <c r="AJ3439" s="6"/>
      <c r="AK3439" s="6"/>
      <c r="AL3439" s="6"/>
      <c r="AM3439" s="6"/>
    </row>
    <row r="3440">
      <c r="A3440" s="6"/>
      <c r="B3440" s="6"/>
      <c r="C3440" s="6"/>
      <c r="D3440" s="6"/>
      <c r="E3440" s="6"/>
      <c r="F3440" s="6"/>
      <c r="G3440" s="6"/>
      <c r="H3440" s="6"/>
      <c r="I3440" s="6"/>
      <c r="J3440" s="6"/>
      <c r="K3440" s="6"/>
      <c r="L3440" s="6"/>
      <c r="M3440" s="6"/>
      <c r="N3440" s="6"/>
      <c r="O3440" s="6"/>
      <c r="P3440" s="6"/>
      <c r="Q3440" s="6"/>
      <c r="R3440" s="6"/>
      <c r="S3440" s="6"/>
      <c r="T3440" s="6"/>
      <c r="U3440" s="6"/>
      <c r="V3440" s="6"/>
      <c r="W3440" s="6"/>
      <c r="X3440" s="6"/>
      <c r="Y3440" s="6"/>
      <c r="Z3440" s="6"/>
      <c r="AA3440" s="6"/>
      <c r="AB3440" s="6"/>
      <c r="AC3440" s="6"/>
      <c r="AD3440" s="6"/>
      <c r="AE3440" s="6"/>
      <c r="AF3440" s="6"/>
      <c r="AG3440" s="6"/>
      <c r="AH3440" s="6"/>
      <c r="AI3440" s="6"/>
      <c r="AJ3440" s="6"/>
      <c r="AK3440" s="6"/>
      <c r="AL3440" s="6"/>
      <c r="AM3440" s="6"/>
    </row>
    <row r="3441">
      <c r="A3441" s="6"/>
      <c r="B3441" s="6"/>
      <c r="C3441" s="6"/>
      <c r="D3441" s="6"/>
      <c r="E3441" s="6"/>
      <c r="F3441" s="6"/>
      <c r="G3441" s="6"/>
      <c r="H3441" s="6"/>
      <c r="I3441" s="6"/>
      <c r="J3441" s="6"/>
      <c r="K3441" s="6"/>
      <c r="L3441" s="6"/>
      <c r="M3441" s="6"/>
      <c r="N3441" s="6"/>
      <c r="O3441" s="6"/>
      <c r="P3441" s="6"/>
      <c r="Q3441" s="6"/>
      <c r="R3441" s="6"/>
      <c r="S3441" s="6"/>
      <c r="T3441" s="6"/>
      <c r="U3441" s="6"/>
      <c r="V3441" s="6"/>
      <c r="W3441" s="6"/>
      <c r="X3441" s="6"/>
      <c r="Y3441" s="6"/>
      <c r="Z3441" s="6"/>
      <c r="AA3441" s="6"/>
      <c r="AB3441" s="6"/>
      <c r="AC3441" s="6"/>
      <c r="AD3441" s="6"/>
      <c r="AE3441" s="6"/>
      <c r="AF3441" s="6"/>
      <c r="AG3441" s="6"/>
      <c r="AH3441" s="6"/>
      <c r="AI3441" s="6"/>
      <c r="AJ3441" s="6"/>
      <c r="AK3441" s="6"/>
      <c r="AL3441" s="6"/>
      <c r="AM3441" s="6"/>
    </row>
    <row r="3442">
      <c r="A3442" s="6"/>
      <c r="B3442" s="6"/>
      <c r="C3442" s="6"/>
      <c r="D3442" s="6"/>
      <c r="E3442" s="6"/>
      <c r="F3442" s="6"/>
      <c r="G3442" s="6"/>
      <c r="H3442" s="6"/>
      <c r="I3442" s="6"/>
      <c r="J3442" s="6"/>
      <c r="K3442" s="6"/>
      <c r="L3442" s="6"/>
      <c r="M3442" s="6"/>
      <c r="N3442" s="6"/>
      <c r="O3442" s="6"/>
      <c r="P3442" s="6"/>
      <c r="Q3442" s="6"/>
      <c r="R3442" s="6"/>
      <c r="S3442" s="6"/>
      <c r="T3442" s="6"/>
      <c r="U3442" s="6"/>
      <c r="V3442" s="6"/>
      <c r="W3442" s="6"/>
      <c r="X3442" s="6"/>
      <c r="Y3442" s="6"/>
      <c r="Z3442" s="6"/>
      <c r="AA3442" s="6"/>
      <c r="AB3442" s="6"/>
      <c r="AC3442" s="6"/>
      <c r="AD3442" s="6"/>
      <c r="AE3442" s="6"/>
      <c r="AF3442" s="6"/>
      <c r="AG3442" s="6"/>
      <c r="AH3442" s="6"/>
      <c r="AI3442" s="6"/>
      <c r="AJ3442" s="6"/>
      <c r="AK3442" s="6"/>
      <c r="AL3442" s="6"/>
      <c r="AM3442" s="6"/>
    </row>
    <row r="3443">
      <c r="A3443" s="6"/>
      <c r="B3443" s="6"/>
      <c r="C3443" s="6"/>
      <c r="D3443" s="6"/>
      <c r="E3443" s="6"/>
      <c r="F3443" s="6"/>
      <c r="G3443" s="6"/>
      <c r="H3443" s="6"/>
      <c r="I3443" s="6"/>
      <c r="J3443" s="6"/>
      <c r="K3443" s="6"/>
      <c r="L3443" s="6"/>
      <c r="M3443" s="6"/>
      <c r="N3443" s="6"/>
      <c r="O3443" s="6"/>
      <c r="P3443" s="6"/>
      <c r="Q3443" s="6"/>
      <c r="R3443" s="6"/>
      <c r="S3443" s="6"/>
      <c r="T3443" s="6"/>
      <c r="U3443" s="6"/>
      <c r="V3443" s="6"/>
      <c r="W3443" s="6"/>
      <c r="X3443" s="6"/>
      <c r="Y3443" s="6"/>
      <c r="Z3443" s="6"/>
      <c r="AA3443" s="6"/>
      <c r="AB3443" s="6"/>
      <c r="AC3443" s="6"/>
      <c r="AD3443" s="6"/>
      <c r="AE3443" s="6"/>
      <c r="AF3443" s="6"/>
      <c r="AG3443" s="6"/>
      <c r="AH3443" s="6"/>
      <c r="AI3443" s="6"/>
      <c r="AJ3443" s="6"/>
      <c r="AK3443" s="6"/>
      <c r="AL3443" s="6"/>
      <c r="AM3443" s="6"/>
    </row>
    <row r="3444">
      <c r="A3444" s="6"/>
      <c r="B3444" s="6"/>
      <c r="C3444" s="6"/>
      <c r="D3444" s="6"/>
      <c r="E3444" s="6"/>
      <c r="F3444" s="6"/>
      <c r="G3444" s="6"/>
      <c r="H3444" s="6"/>
      <c r="I3444" s="6"/>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c r="AG3444" s="6"/>
      <c r="AH3444" s="6"/>
      <c r="AI3444" s="6"/>
      <c r="AJ3444" s="6"/>
      <c r="AK3444" s="6"/>
      <c r="AL3444" s="6"/>
      <c r="AM3444" s="6"/>
    </row>
    <row r="3445">
      <c r="A3445" s="6"/>
      <c r="B3445" s="6"/>
      <c r="C3445" s="6"/>
      <c r="D3445" s="6"/>
      <c r="E3445" s="6"/>
      <c r="F3445" s="6"/>
      <c r="G3445" s="6"/>
      <c r="H3445" s="6"/>
      <c r="I3445" s="6"/>
      <c r="J3445" s="6"/>
      <c r="K3445" s="6"/>
      <c r="L3445" s="6"/>
      <c r="M3445" s="6"/>
      <c r="N3445" s="6"/>
      <c r="O3445" s="6"/>
      <c r="P3445" s="6"/>
      <c r="Q3445" s="6"/>
      <c r="R3445" s="6"/>
      <c r="S3445" s="6"/>
      <c r="T3445" s="6"/>
      <c r="U3445" s="6"/>
      <c r="V3445" s="6"/>
      <c r="W3445" s="6"/>
      <c r="X3445" s="6"/>
      <c r="Y3445" s="6"/>
      <c r="Z3445" s="6"/>
      <c r="AA3445" s="6"/>
      <c r="AB3445" s="6"/>
      <c r="AC3445" s="6"/>
      <c r="AD3445" s="6"/>
      <c r="AE3445" s="6"/>
      <c r="AF3445" s="6"/>
      <c r="AG3445" s="6"/>
      <c r="AH3445" s="6"/>
      <c r="AI3445" s="6"/>
      <c r="AJ3445" s="6"/>
      <c r="AK3445" s="6"/>
      <c r="AL3445" s="6"/>
      <c r="AM3445" s="6"/>
    </row>
    <row r="3446">
      <c r="A3446" s="6"/>
      <c r="B3446" s="6"/>
      <c r="C3446" s="6"/>
      <c r="D3446" s="6"/>
      <c r="E3446" s="6"/>
      <c r="F3446" s="6"/>
      <c r="G3446" s="6"/>
      <c r="H3446" s="6"/>
      <c r="I3446" s="6"/>
      <c r="J3446" s="6"/>
      <c r="K3446" s="6"/>
      <c r="L3446" s="6"/>
      <c r="M3446" s="6"/>
      <c r="N3446" s="6"/>
      <c r="O3446" s="6"/>
      <c r="P3446" s="6"/>
      <c r="Q3446" s="6"/>
      <c r="R3446" s="6"/>
      <c r="S3446" s="6"/>
      <c r="T3446" s="6"/>
      <c r="U3446" s="6"/>
      <c r="V3446" s="6"/>
      <c r="W3446" s="6"/>
      <c r="X3446" s="6"/>
      <c r="Y3446" s="6"/>
      <c r="Z3446" s="6"/>
      <c r="AA3446" s="6"/>
      <c r="AB3446" s="6"/>
      <c r="AC3446" s="6"/>
      <c r="AD3446" s="6"/>
      <c r="AE3446" s="6"/>
      <c r="AF3446" s="6"/>
      <c r="AG3446" s="6"/>
      <c r="AH3446" s="6"/>
      <c r="AI3446" s="6"/>
      <c r="AJ3446" s="6"/>
      <c r="AK3446" s="6"/>
      <c r="AL3446" s="6"/>
      <c r="AM3446" s="6"/>
    </row>
    <row r="3447">
      <c r="A3447" s="6"/>
      <c r="B3447" s="6"/>
      <c r="C3447" s="6"/>
      <c r="D3447" s="6"/>
      <c r="E3447" s="6"/>
      <c r="F3447" s="6"/>
      <c r="G3447" s="6"/>
      <c r="H3447" s="6"/>
      <c r="I3447" s="6"/>
      <c r="J3447" s="6"/>
      <c r="K3447" s="6"/>
      <c r="L3447" s="6"/>
      <c r="M3447" s="6"/>
      <c r="N3447" s="6"/>
      <c r="O3447" s="6"/>
      <c r="P3447" s="6"/>
      <c r="Q3447" s="6"/>
      <c r="R3447" s="6"/>
      <c r="S3447" s="6"/>
      <c r="T3447" s="6"/>
      <c r="U3447" s="6"/>
      <c r="V3447" s="6"/>
      <c r="W3447" s="6"/>
      <c r="X3447" s="6"/>
      <c r="Y3447" s="6"/>
      <c r="Z3447" s="6"/>
      <c r="AA3447" s="6"/>
      <c r="AB3447" s="6"/>
      <c r="AC3447" s="6"/>
      <c r="AD3447" s="6"/>
      <c r="AE3447" s="6"/>
      <c r="AF3447" s="6"/>
      <c r="AG3447" s="6"/>
      <c r="AH3447" s="6"/>
      <c r="AI3447" s="6"/>
      <c r="AJ3447" s="6"/>
      <c r="AK3447" s="6"/>
      <c r="AL3447" s="6"/>
      <c r="AM3447" s="6"/>
    </row>
    <row r="3448">
      <c r="A3448" s="6"/>
      <c r="B3448" s="6"/>
      <c r="C3448" s="6"/>
      <c r="D3448" s="6"/>
      <c r="E3448" s="6"/>
      <c r="F3448" s="6"/>
      <c r="G3448" s="6"/>
      <c r="H3448" s="6"/>
      <c r="I3448" s="6"/>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c r="AG3448" s="6"/>
      <c r="AH3448" s="6"/>
      <c r="AI3448" s="6"/>
      <c r="AJ3448" s="6"/>
      <c r="AK3448" s="6"/>
      <c r="AL3448" s="6"/>
      <c r="AM3448" s="6"/>
    </row>
    <row r="3449">
      <c r="A3449" s="6"/>
      <c r="B3449" s="6"/>
      <c r="C3449" s="6"/>
      <c r="D3449" s="6"/>
      <c r="E3449" s="6"/>
      <c r="F3449" s="6"/>
      <c r="G3449" s="6"/>
      <c r="H3449" s="6"/>
      <c r="I3449" s="6"/>
      <c r="J3449" s="6"/>
      <c r="K3449" s="6"/>
      <c r="L3449" s="6"/>
      <c r="M3449" s="6"/>
      <c r="N3449" s="6"/>
      <c r="O3449" s="6"/>
      <c r="P3449" s="6"/>
      <c r="Q3449" s="6"/>
      <c r="R3449" s="6"/>
      <c r="S3449" s="6"/>
      <c r="T3449" s="6"/>
      <c r="U3449" s="6"/>
      <c r="V3449" s="6"/>
      <c r="W3449" s="6"/>
      <c r="X3449" s="6"/>
      <c r="Y3449" s="6"/>
      <c r="Z3449" s="6"/>
      <c r="AA3449" s="6"/>
      <c r="AB3449" s="6"/>
      <c r="AC3449" s="6"/>
      <c r="AD3449" s="6"/>
      <c r="AE3449" s="6"/>
      <c r="AF3449" s="6"/>
      <c r="AG3449" s="6"/>
      <c r="AH3449" s="6"/>
      <c r="AI3449" s="6"/>
      <c r="AJ3449" s="6"/>
      <c r="AK3449" s="6"/>
      <c r="AL3449" s="6"/>
      <c r="AM3449" s="6"/>
    </row>
    <row r="3450">
      <c r="A3450" s="6"/>
      <c r="B3450" s="6"/>
      <c r="C3450" s="6"/>
      <c r="D3450" s="6"/>
      <c r="E3450" s="6"/>
      <c r="F3450" s="6"/>
      <c r="G3450" s="6"/>
      <c r="H3450" s="6"/>
      <c r="I3450" s="6"/>
      <c r="J3450" s="6"/>
      <c r="K3450" s="6"/>
      <c r="L3450" s="6"/>
      <c r="M3450" s="6"/>
      <c r="N3450" s="6"/>
      <c r="O3450" s="6"/>
      <c r="P3450" s="6"/>
      <c r="Q3450" s="6"/>
      <c r="R3450" s="6"/>
      <c r="S3450" s="6"/>
      <c r="T3450" s="6"/>
      <c r="U3450" s="6"/>
      <c r="V3450" s="6"/>
      <c r="W3450" s="6"/>
      <c r="X3450" s="6"/>
      <c r="Y3450" s="6"/>
      <c r="Z3450" s="6"/>
      <c r="AA3450" s="6"/>
      <c r="AB3450" s="6"/>
      <c r="AC3450" s="6"/>
      <c r="AD3450" s="6"/>
      <c r="AE3450" s="6"/>
      <c r="AF3450" s="6"/>
      <c r="AG3450" s="6"/>
      <c r="AH3450" s="6"/>
      <c r="AI3450" s="6"/>
      <c r="AJ3450" s="6"/>
      <c r="AK3450" s="6"/>
      <c r="AL3450" s="6"/>
      <c r="AM3450" s="6"/>
    </row>
    <row r="3451">
      <c r="A3451" s="6"/>
      <c r="B3451" s="6"/>
      <c r="C3451" s="6"/>
      <c r="D3451" s="6"/>
      <c r="E3451" s="6"/>
      <c r="F3451" s="6"/>
      <c r="G3451" s="6"/>
      <c r="H3451" s="6"/>
      <c r="I3451" s="6"/>
      <c r="J3451" s="6"/>
      <c r="K3451" s="6"/>
      <c r="L3451" s="6"/>
      <c r="M3451" s="6"/>
      <c r="N3451" s="6"/>
      <c r="O3451" s="6"/>
      <c r="P3451" s="6"/>
      <c r="Q3451" s="6"/>
      <c r="R3451" s="6"/>
      <c r="S3451" s="6"/>
      <c r="T3451" s="6"/>
      <c r="U3451" s="6"/>
      <c r="V3451" s="6"/>
      <c r="W3451" s="6"/>
      <c r="X3451" s="6"/>
      <c r="Y3451" s="6"/>
      <c r="Z3451" s="6"/>
      <c r="AA3451" s="6"/>
      <c r="AB3451" s="6"/>
      <c r="AC3451" s="6"/>
      <c r="AD3451" s="6"/>
      <c r="AE3451" s="6"/>
      <c r="AF3451" s="6"/>
      <c r="AG3451" s="6"/>
      <c r="AH3451" s="6"/>
      <c r="AI3451" s="6"/>
      <c r="AJ3451" s="6"/>
      <c r="AK3451" s="6"/>
      <c r="AL3451" s="6"/>
      <c r="AM3451" s="6"/>
    </row>
    <row r="3452">
      <c r="A3452" s="6"/>
      <c r="B3452" s="6"/>
      <c r="C3452" s="6"/>
      <c r="D3452" s="6"/>
      <c r="E3452" s="6"/>
      <c r="F3452" s="6"/>
      <c r="G3452" s="6"/>
      <c r="H3452" s="6"/>
      <c r="I3452" s="6"/>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c r="AG3452" s="6"/>
      <c r="AH3452" s="6"/>
      <c r="AI3452" s="6"/>
      <c r="AJ3452" s="6"/>
      <c r="AK3452" s="6"/>
      <c r="AL3452" s="6"/>
      <c r="AM3452" s="6"/>
    </row>
    <row r="3453">
      <c r="A3453" s="6"/>
      <c r="B3453" s="6"/>
      <c r="C3453" s="6"/>
      <c r="D3453" s="6"/>
      <c r="E3453" s="6"/>
      <c r="F3453" s="6"/>
      <c r="G3453" s="6"/>
      <c r="H3453" s="6"/>
      <c r="I3453" s="6"/>
      <c r="J3453" s="6"/>
      <c r="K3453" s="6"/>
      <c r="L3453" s="6"/>
      <c r="M3453" s="6"/>
      <c r="N3453" s="6"/>
      <c r="O3453" s="6"/>
      <c r="P3453" s="6"/>
      <c r="Q3453" s="6"/>
      <c r="R3453" s="6"/>
      <c r="S3453" s="6"/>
      <c r="T3453" s="6"/>
      <c r="U3453" s="6"/>
      <c r="V3453" s="6"/>
      <c r="W3453" s="6"/>
      <c r="X3453" s="6"/>
      <c r="Y3453" s="6"/>
      <c r="Z3453" s="6"/>
      <c r="AA3453" s="6"/>
      <c r="AB3453" s="6"/>
      <c r="AC3453" s="6"/>
      <c r="AD3453" s="6"/>
      <c r="AE3453" s="6"/>
      <c r="AF3453" s="6"/>
      <c r="AG3453" s="6"/>
      <c r="AH3453" s="6"/>
      <c r="AI3453" s="6"/>
      <c r="AJ3453" s="6"/>
      <c r="AK3453" s="6"/>
      <c r="AL3453" s="6"/>
      <c r="AM3453" s="6"/>
    </row>
    <row r="3454">
      <c r="A3454" s="6"/>
      <c r="B3454" s="6"/>
      <c r="C3454" s="6"/>
      <c r="D3454" s="6"/>
      <c r="E3454" s="6"/>
      <c r="F3454" s="6"/>
      <c r="G3454" s="6"/>
      <c r="H3454" s="6"/>
      <c r="I3454" s="6"/>
      <c r="J3454" s="6"/>
      <c r="K3454" s="6"/>
      <c r="L3454" s="6"/>
      <c r="M3454" s="6"/>
      <c r="N3454" s="6"/>
      <c r="O3454" s="6"/>
      <c r="P3454" s="6"/>
      <c r="Q3454" s="6"/>
      <c r="R3454" s="6"/>
      <c r="S3454" s="6"/>
      <c r="T3454" s="6"/>
      <c r="U3454" s="6"/>
      <c r="V3454" s="6"/>
      <c r="W3454" s="6"/>
      <c r="X3454" s="6"/>
      <c r="Y3454" s="6"/>
      <c r="Z3454" s="6"/>
      <c r="AA3454" s="6"/>
      <c r="AB3454" s="6"/>
      <c r="AC3454" s="6"/>
      <c r="AD3454" s="6"/>
      <c r="AE3454" s="6"/>
      <c r="AF3454" s="6"/>
      <c r="AG3454" s="6"/>
      <c r="AH3454" s="6"/>
      <c r="AI3454" s="6"/>
      <c r="AJ3454" s="6"/>
      <c r="AK3454" s="6"/>
      <c r="AL3454" s="6"/>
      <c r="AM3454" s="6"/>
    </row>
    <row r="3455">
      <c r="A3455" s="6"/>
      <c r="B3455" s="6"/>
      <c r="C3455" s="6"/>
      <c r="D3455" s="6"/>
      <c r="E3455" s="6"/>
      <c r="F3455" s="6"/>
      <c r="G3455" s="6"/>
      <c r="H3455" s="6"/>
      <c r="I3455" s="6"/>
      <c r="J3455" s="6"/>
      <c r="K3455" s="6"/>
      <c r="L3455" s="6"/>
      <c r="M3455" s="6"/>
      <c r="N3455" s="6"/>
      <c r="O3455" s="6"/>
      <c r="P3455" s="6"/>
      <c r="Q3455" s="6"/>
      <c r="R3455" s="6"/>
      <c r="S3455" s="6"/>
      <c r="T3455" s="6"/>
      <c r="U3455" s="6"/>
      <c r="V3455" s="6"/>
      <c r="W3455" s="6"/>
      <c r="X3455" s="6"/>
      <c r="Y3455" s="6"/>
      <c r="Z3455" s="6"/>
      <c r="AA3455" s="6"/>
      <c r="AB3455" s="6"/>
      <c r="AC3455" s="6"/>
      <c r="AD3455" s="6"/>
      <c r="AE3455" s="6"/>
      <c r="AF3455" s="6"/>
      <c r="AG3455" s="6"/>
      <c r="AH3455" s="6"/>
      <c r="AI3455" s="6"/>
      <c r="AJ3455" s="6"/>
      <c r="AK3455" s="6"/>
      <c r="AL3455" s="6"/>
      <c r="AM3455" s="6"/>
    </row>
    <row r="3456">
      <c r="A3456" s="6"/>
      <c r="B3456" s="6"/>
      <c r="C3456" s="6"/>
      <c r="D3456" s="6"/>
      <c r="E3456" s="6"/>
      <c r="F3456" s="6"/>
      <c r="G3456" s="6"/>
      <c r="H3456" s="6"/>
      <c r="I3456" s="6"/>
      <c r="J3456" s="6"/>
      <c r="K3456" s="6"/>
      <c r="L3456" s="6"/>
      <c r="M3456" s="6"/>
      <c r="N3456" s="6"/>
      <c r="O3456" s="6"/>
      <c r="P3456" s="6"/>
      <c r="Q3456" s="6"/>
      <c r="R3456" s="6"/>
      <c r="S3456" s="6"/>
      <c r="T3456" s="6"/>
      <c r="U3456" s="6"/>
      <c r="V3456" s="6"/>
      <c r="W3456" s="6"/>
      <c r="X3456" s="6"/>
      <c r="Y3456" s="6"/>
      <c r="Z3456" s="6"/>
      <c r="AA3456" s="6"/>
      <c r="AB3456" s="6"/>
      <c r="AC3456" s="6"/>
      <c r="AD3456" s="6"/>
      <c r="AE3456" s="6"/>
      <c r="AF3456" s="6"/>
      <c r="AG3456" s="6"/>
      <c r="AH3456" s="6"/>
      <c r="AI3456" s="6"/>
      <c r="AJ3456" s="6"/>
      <c r="AK3456" s="6"/>
      <c r="AL3456" s="6"/>
      <c r="AM3456" s="6"/>
    </row>
    <row r="3457">
      <c r="A3457" s="6"/>
      <c r="B3457" s="6"/>
      <c r="C3457" s="6"/>
      <c r="D3457" s="6"/>
      <c r="E3457" s="6"/>
      <c r="F3457" s="6"/>
      <c r="G3457" s="6"/>
      <c r="H3457" s="6"/>
      <c r="I3457" s="6"/>
      <c r="J3457" s="6"/>
      <c r="K3457" s="6"/>
      <c r="L3457" s="6"/>
      <c r="M3457" s="6"/>
      <c r="N3457" s="6"/>
      <c r="O3457" s="6"/>
      <c r="P3457" s="6"/>
      <c r="Q3457" s="6"/>
      <c r="R3457" s="6"/>
      <c r="S3457" s="6"/>
      <c r="T3457" s="6"/>
      <c r="U3457" s="6"/>
      <c r="V3457" s="6"/>
      <c r="W3457" s="6"/>
      <c r="X3457" s="6"/>
      <c r="Y3457" s="6"/>
      <c r="Z3457" s="6"/>
      <c r="AA3457" s="6"/>
      <c r="AB3457" s="6"/>
      <c r="AC3457" s="6"/>
      <c r="AD3457" s="6"/>
      <c r="AE3457" s="6"/>
      <c r="AF3457" s="6"/>
      <c r="AG3457" s="6"/>
      <c r="AH3457" s="6"/>
      <c r="AI3457" s="6"/>
      <c r="AJ3457" s="6"/>
      <c r="AK3457" s="6"/>
      <c r="AL3457" s="6"/>
      <c r="AM3457" s="6"/>
    </row>
    <row r="3458">
      <c r="A3458" s="6"/>
      <c r="B3458" s="6"/>
      <c r="C3458" s="6"/>
      <c r="D3458" s="6"/>
      <c r="E3458" s="6"/>
      <c r="F3458" s="6"/>
      <c r="G3458" s="6"/>
      <c r="H3458" s="6"/>
      <c r="I3458" s="6"/>
      <c r="J3458" s="6"/>
      <c r="K3458" s="6"/>
      <c r="L3458" s="6"/>
      <c r="M3458" s="6"/>
      <c r="N3458" s="6"/>
      <c r="O3458" s="6"/>
      <c r="P3458" s="6"/>
      <c r="Q3458" s="6"/>
      <c r="R3458" s="6"/>
      <c r="S3458" s="6"/>
      <c r="T3458" s="6"/>
      <c r="U3458" s="6"/>
      <c r="V3458" s="6"/>
      <c r="W3458" s="6"/>
      <c r="X3458" s="6"/>
      <c r="Y3458" s="6"/>
      <c r="Z3458" s="6"/>
      <c r="AA3458" s="6"/>
      <c r="AB3458" s="6"/>
      <c r="AC3458" s="6"/>
      <c r="AD3458" s="6"/>
      <c r="AE3458" s="6"/>
      <c r="AF3458" s="6"/>
      <c r="AG3458" s="6"/>
      <c r="AH3458" s="6"/>
      <c r="AI3458" s="6"/>
      <c r="AJ3458" s="6"/>
      <c r="AK3458" s="6"/>
      <c r="AL3458" s="6"/>
      <c r="AM3458" s="6"/>
    </row>
    <row r="3459">
      <c r="A3459" s="6"/>
      <c r="B3459" s="6"/>
      <c r="C3459" s="6"/>
      <c r="D3459" s="6"/>
      <c r="E3459" s="6"/>
      <c r="F3459" s="6"/>
      <c r="G3459" s="6"/>
      <c r="H3459" s="6"/>
      <c r="I3459" s="6"/>
      <c r="J3459" s="6"/>
      <c r="K3459" s="6"/>
      <c r="L3459" s="6"/>
      <c r="M3459" s="6"/>
      <c r="N3459" s="6"/>
      <c r="O3459" s="6"/>
      <c r="P3459" s="6"/>
      <c r="Q3459" s="6"/>
      <c r="R3459" s="6"/>
      <c r="S3459" s="6"/>
      <c r="T3459" s="6"/>
      <c r="U3459" s="6"/>
      <c r="V3459" s="6"/>
      <c r="W3459" s="6"/>
      <c r="X3459" s="6"/>
      <c r="Y3459" s="6"/>
      <c r="Z3459" s="6"/>
      <c r="AA3459" s="6"/>
      <c r="AB3459" s="6"/>
      <c r="AC3459" s="6"/>
      <c r="AD3459" s="6"/>
      <c r="AE3459" s="6"/>
      <c r="AF3459" s="6"/>
      <c r="AG3459" s="6"/>
      <c r="AH3459" s="6"/>
      <c r="AI3459" s="6"/>
      <c r="AJ3459" s="6"/>
      <c r="AK3459" s="6"/>
      <c r="AL3459" s="6"/>
      <c r="AM3459" s="6"/>
    </row>
    <row r="3460">
      <c r="A3460" s="6"/>
      <c r="B3460" s="6"/>
      <c r="C3460" s="6"/>
      <c r="D3460" s="6"/>
      <c r="E3460" s="6"/>
      <c r="F3460" s="6"/>
      <c r="G3460" s="6"/>
      <c r="H3460" s="6"/>
      <c r="I3460" s="6"/>
      <c r="J3460" s="6"/>
      <c r="K3460" s="6"/>
      <c r="L3460" s="6"/>
      <c r="M3460" s="6"/>
      <c r="N3460" s="6"/>
      <c r="O3460" s="6"/>
      <c r="P3460" s="6"/>
      <c r="Q3460" s="6"/>
      <c r="R3460" s="6"/>
      <c r="S3460" s="6"/>
      <c r="T3460" s="6"/>
      <c r="U3460" s="6"/>
      <c r="V3460" s="6"/>
      <c r="W3460" s="6"/>
      <c r="X3460" s="6"/>
      <c r="Y3460" s="6"/>
      <c r="Z3460" s="6"/>
      <c r="AA3460" s="6"/>
      <c r="AB3460" s="6"/>
      <c r="AC3460" s="6"/>
      <c r="AD3460" s="6"/>
      <c r="AE3460" s="6"/>
      <c r="AF3460" s="6"/>
      <c r="AG3460" s="6"/>
      <c r="AH3460" s="6"/>
      <c r="AI3460" s="6"/>
      <c r="AJ3460" s="6"/>
      <c r="AK3460" s="6"/>
      <c r="AL3460" s="6"/>
      <c r="AM3460" s="6"/>
    </row>
    <row r="3461">
      <c r="A3461" s="6"/>
      <c r="B3461" s="6"/>
      <c r="C3461" s="6"/>
      <c r="D3461" s="6"/>
      <c r="E3461" s="6"/>
      <c r="F3461" s="6"/>
      <c r="G3461" s="6"/>
      <c r="H3461" s="6"/>
      <c r="I3461" s="6"/>
      <c r="J3461" s="6"/>
      <c r="K3461" s="6"/>
      <c r="L3461" s="6"/>
      <c r="M3461" s="6"/>
      <c r="N3461" s="6"/>
      <c r="O3461" s="6"/>
      <c r="P3461" s="6"/>
      <c r="Q3461" s="6"/>
      <c r="R3461" s="6"/>
      <c r="S3461" s="6"/>
      <c r="T3461" s="6"/>
      <c r="U3461" s="6"/>
      <c r="V3461" s="6"/>
      <c r="W3461" s="6"/>
      <c r="X3461" s="6"/>
      <c r="Y3461" s="6"/>
      <c r="Z3461" s="6"/>
      <c r="AA3461" s="6"/>
      <c r="AB3461" s="6"/>
      <c r="AC3461" s="6"/>
      <c r="AD3461" s="6"/>
      <c r="AE3461" s="6"/>
      <c r="AF3461" s="6"/>
      <c r="AG3461" s="6"/>
      <c r="AH3461" s="6"/>
      <c r="AI3461" s="6"/>
      <c r="AJ3461" s="6"/>
      <c r="AK3461" s="6"/>
      <c r="AL3461" s="6"/>
      <c r="AM3461" s="6"/>
    </row>
    <row r="3462">
      <c r="A3462" s="6"/>
      <c r="B3462" s="6"/>
      <c r="C3462" s="6"/>
      <c r="D3462" s="6"/>
      <c r="E3462" s="6"/>
      <c r="F3462" s="6"/>
      <c r="G3462" s="6"/>
      <c r="H3462" s="6"/>
      <c r="I3462" s="6"/>
      <c r="J3462" s="6"/>
      <c r="K3462" s="6"/>
      <c r="L3462" s="6"/>
      <c r="M3462" s="6"/>
      <c r="N3462" s="6"/>
      <c r="O3462" s="6"/>
      <c r="P3462" s="6"/>
      <c r="Q3462" s="6"/>
      <c r="R3462" s="6"/>
      <c r="S3462" s="6"/>
      <c r="T3462" s="6"/>
      <c r="U3462" s="6"/>
      <c r="V3462" s="6"/>
      <c r="W3462" s="6"/>
      <c r="X3462" s="6"/>
      <c r="Y3462" s="6"/>
      <c r="Z3462" s="6"/>
      <c r="AA3462" s="6"/>
      <c r="AB3462" s="6"/>
      <c r="AC3462" s="6"/>
      <c r="AD3462" s="6"/>
      <c r="AE3462" s="6"/>
      <c r="AF3462" s="6"/>
      <c r="AG3462" s="6"/>
      <c r="AH3462" s="6"/>
      <c r="AI3462" s="6"/>
      <c r="AJ3462" s="6"/>
      <c r="AK3462" s="6"/>
      <c r="AL3462" s="6"/>
      <c r="AM3462" s="6"/>
    </row>
    <row r="3463">
      <c r="A3463" s="6"/>
      <c r="B3463" s="6"/>
      <c r="C3463" s="6"/>
      <c r="D3463" s="6"/>
      <c r="E3463" s="6"/>
      <c r="F3463" s="6"/>
      <c r="G3463" s="6"/>
      <c r="H3463" s="6"/>
      <c r="I3463" s="6"/>
      <c r="J3463" s="6"/>
      <c r="K3463" s="6"/>
      <c r="L3463" s="6"/>
      <c r="M3463" s="6"/>
      <c r="N3463" s="6"/>
      <c r="O3463" s="6"/>
      <c r="P3463" s="6"/>
      <c r="Q3463" s="6"/>
      <c r="R3463" s="6"/>
      <c r="S3463" s="6"/>
      <c r="T3463" s="6"/>
      <c r="U3463" s="6"/>
      <c r="V3463" s="6"/>
      <c r="W3463" s="6"/>
      <c r="X3463" s="6"/>
      <c r="Y3463" s="6"/>
      <c r="Z3463" s="6"/>
      <c r="AA3463" s="6"/>
      <c r="AB3463" s="6"/>
      <c r="AC3463" s="6"/>
      <c r="AD3463" s="6"/>
      <c r="AE3463" s="6"/>
      <c r="AF3463" s="6"/>
      <c r="AG3463" s="6"/>
      <c r="AH3463" s="6"/>
      <c r="AI3463" s="6"/>
      <c r="AJ3463" s="6"/>
      <c r="AK3463" s="6"/>
      <c r="AL3463" s="6"/>
      <c r="AM3463" s="6"/>
    </row>
    <row r="3464">
      <c r="A3464" s="6"/>
      <c r="B3464" s="6"/>
      <c r="C3464" s="6"/>
      <c r="D3464" s="6"/>
      <c r="E3464" s="6"/>
      <c r="F3464" s="6"/>
      <c r="G3464" s="6"/>
      <c r="H3464" s="6"/>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c r="AG3464" s="6"/>
      <c r="AH3464" s="6"/>
      <c r="AI3464" s="6"/>
      <c r="AJ3464" s="6"/>
      <c r="AK3464" s="6"/>
      <c r="AL3464" s="6"/>
      <c r="AM3464" s="6"/>
    </row>
    <row r="3465">
      <c r="A3465" s="6"/>
      <c r="B3465" s="6"/>
      <c r="C3465" s="6"/>
      <c r="D3465" s="6"/>
      <c r="E3465" s="6"/>
      <c r="F3465" s="6"/>
      <c r="G3465" s="6"/>
      <c r="H3465" s="6"/>
      <c r="I3465" s="6"/>
      <c r="J3465" s="6"/>
      <c r="K3465" s="6"/>
      <c r="L3465" s="6"/>
      <c r="M3465" s="6"/>
      <c r="N3465" s="6"/>
      <c r="O3465" s="6"/>
      <c r="P3465" s="6"/>
      <c r="Q3465" s="6"/>
      <c r="R3465" s="6"/>
      <c r="S3465" s="6"/>
      <c r="T3465" s="6"/>
      <c r="U3465" s="6"/>
      <c r="V3465" s="6"/>
      <c r="W3465" s="6"/>
      <c r="X3465" s="6"/>
      <c r="Y3465" s="6"/>
      <c r="Z3465" s="6"/>
      <c r="AA3465" s="6"/>
      <c r="AB3465" s="6"/>
      <c r="AC3465" s="6"/>
      <c r="AD3465" s="6"/>
      <c r="AE3465" s="6"/>
      <c r="AF3465" s="6"/>
      <c r="AG3465" s="6"/>
      <c r="AH3465" s="6"/>
      <c r="AI3465" s="6"/>
      <c r="AJ3465" s="6"/>
      <c r="AK3465" s="6"/>
      <c r="AL3465" s="6"/>
      <c r="AM3465" s="6"/>
    </row>
    <row r="3466">
      <c r="A3466" s="6"/>
      <c r="B3466" s="6"/>
      <c r="C3466" s="6"/>
      <c r="D3466" s="6"/>
      <c r="E3466" s="6"/>
      <c r="F3466" s="6"/>
      <c r="G3466" s="6"/>
      <c r="H3466" s="6"/>
      <c r="I3466" s="6"/>
      <c r="J3466" s="6"/>
      <c r="K3466" s="6"/>
      <c r="L3466" s="6"/>
      <c r="M3466" s="6"/>
      <c r="N3466" s="6"/>
      <c r="O3466" s="6"/>
      <c r="P3466" s="6"/>
      <c r="Q3466" s="6"/>
      <c r="R3466" s="6"/>
      <c r="S3466" s="6"/>
      <c r="T3466" s="6"/>
      <c r="U3466" s="6"/>
      <c r="V3466" s="6"/>
      <c r="W3466" s="6"/>
      <c r="X3466" s="6"/>
      <c r="Y3466" s="6"/>
      <c r="Z3466" s="6"/>
      <c r="AA3466" s="6"/>
      <c r="AB3466" s="6"/>
      <c r="AC3466" s="6"/>
      <c r="AD3466" s="6"/>
      <c r="AE3466" s="6"/>
      <c r="AF3466" s="6"/>
      <c r="AG3466" s="6"/>
      <c r="AH3466" s="6"/>
      <c r="AI3466" s="6"/>
      <c r="AJ3466" s="6"/>
      <c r="AK3466" s="6"/>
      <c r="AL3466" s="6"/>
      <c r="AM3466" s="6"/>
    </row>
    <row r="3467">
      <c r="A3467" s="6"/>
      <c r="B3467" s="6"/>
      <c r="C3467" s="6"/>
      <c r="D3467" s="6"/>
      <c r="E3467" s="6"/>
      <c r="F3467" s="6"/>
      <c r="G3467" s="6"/>
      <c r="H3467" s="6"/>
      <c r="I3467" s="6"/>
      <c r="J3467" s="6"/>
      <c r="K3467" s="6"/>
      <c r="L3467" s="6"/>
      <c r="M3467" s="6"/>
      <c r="N3467" s="6"/>
      <c r="O3467" s="6"/>
      <c r="P3467" s="6"/>
      <c r="Q3467" s="6"/>
      <c r="R3467" s="6"/>
      <c r="S3467" s="6"/>
      <c r="T3467" s="6"/>
      <c r="U3467" s="6"/>
      <c r="V3467" s="6"/>
      <c r="W3467" s="6"/>
      <c r="X3467" s="6"/>
      <c r="Y3467" s="6"/>
      <c r="Z3467" s="6"/>
      <c r="AA3467" s="6"/>
      <c r="AB3467" s="6"/>
      <c r="AC3467" s="6"/>
      <c r="AD3467" s="6"/>
      <c r="AE3467" s="6"/>
      <c r="AF3467" s="6"/>
      <c r="AG3467" s="6"/>
      <c r="AH3467" s="6"/>
      <c r="AI3467" s="6"/>
      <c r="AJ3467" s="6"/>
      <c r="AK3467" s="6"/>
      <c r="AL3467" s="6"/>
      <c r="AM3467" s="6"/>
    </row>
    <row r="3468">
      <c r="A3468" s="6"/>
      <c r="B3468" s="6"/>
      <c r="C3468" s="6"/>
      <c r="D3468" s="6"/>
      <c r="E3468" s="6"/>
      <c r="F3468" s="6"/>
      <c r="G3468" s="6"/>
      <c r="H3468" s="6"/>
      <c r="I3468" s="6"/>
      <c r="J3468" s="6"/>
      <c r="K3468" s="6"/>
      <c r="L3468" s="6"/>
      <c r="M3468" s="6"/>
      <c r="N3468" s="6"/>
      <c r="O3468" s="6"/>
      <c r="P3468" s="6"/>
      <c r="Q3468" s="6"/>
      <c r="R3468" s="6"/>
      <c r="S3468" s="6"/>
      <c r="T3468" s="6"/>
      <c r="U3468" s="6"/>
      <c r="V3468" s="6"/>
      <c r="W3468" s="6"/>
      <c r="X3468" s="6"/>
      <c r="Y3468" s="6"/>
      <c r="Z3468" s="6"/>
      <c r="AA3468" s="6"/>
      <c r="AB3468" s="6"/>
      <c r="AC3468" s="6"/>
      <c r="AD3468" s="6"/>
      <c r="AE3468" s="6"/>
      <c r="AF3468" s="6"/>
      <c r="AG3468" s="6"/>
      <c r="AH3468" s="6"/>
      <c r="AI3468" s="6"/>
      <c r="AJ3468" s="6"/>
      <c r="AK3468" s="6"/>
      <c r="AL3468" s="6"/>
      <c r="AM3468" s="6"/>
    </row>
    <row r="3469">
      <c r="A3469" s="6"/>
      <c r="B3469" s="6"/>
      <c r="C3469" s="6"/>
      <c r="D3469" s="6"/>
      <c r="E3469" s="6"/>
      <c r="F3469" s="6"/>
      <c r="G3469" s="6"/>
      <c r="H3469" s="6"/>
      <c r="I3469" s="6"/>
      <c r="J3469" s="6"/>
      <c r="K3469" s="6"/>
      <c r="L3469" s="6"/>
      <c r="M3469" s="6"/>
      <c r="N3469" s="6"/>
      <c r="O3469" s="6"/>
      <c r="P3469" s="6"/>
      <c r="Q3469" s="6"/>
      <c r="R3469" s="6"/>
      <c r="S3469" s="6"/>
      <c r="T3469" s="6"/>
      <c r="U3469" s="6"/>
      <c r="V3469" s="6"/>
      <c r="W3469" s="6"/>
      <c r="X3469" s="6"/>
      <c r="Y3469" s="6"/>
      <c r="Z3469" s="6"/>
      <c r="AA3469" s="6"/>
      <c r="AB3469" s="6"/>
      <c r="AC3469" s="6"/>
      <c r="AD3469" s="6"/>
      <c r="AE3469" s="6"/>
      <c r="AF3469" s="6"/>
      <c r="AG3469" s="6"/>
      <c r="AH3469" s="6"/>
      <c r="AI3469" s="6"/>
      <c r="AJ3469" s="6"/>
      <c r="AK3469" s="6"/>
      <c r="AL3469" s="6"/>
      <c r="AM3469" s="6"/>
    </row>
    <row r="3470">
      <c r="A3470" s="6"/>
      <c r="B3470" s="6"/>
      <c r="C3470" s="6"/>
      <c r="D3470" s="6"/>
      <c r="E3470" s="6"/>
      <c r="F3470" s="6"/>
      <c r="G3470" s="6"/>
      <c r="H3470" s="6"/>
      <c r="I3470" s="6"/>
      <c r="J3470" s="6"/>
      <c r="K3470" s="6"/>
      <c r="L3470" s="6"/>
      <c r="M3470" s="6"/>
      <c r="N3470" s="6"/>
      <c r="O3470" s="6"/>
      <c r="P3470" s="6"/>
      <c r="Q3470" s="6"/>
      <c r="R3470" s="6"/>
      <c r="S3470" s="6"/>
      <c r="T3470" s="6"/>
      <c r="U3470" s="6"/>
      <c r="V3470" s="6"/>
      <c r="W3470" s="6"/>
      <c r="X3470" s="6"/>
      <c r="Y3470" s="6"/>
      <c r="Z3470" s="6"/>
      <c r="AA3470" s="6"/>
      <c r="AB3470" s="6"/>
      <c r="AC3470" s="6"/>
      <c r="AD3470" s="6"/>
      <c r="AE3470" s="6"/>
      <c r="AF3470" s="6"/>
      <c r="AG3470" s="6"/>
      <c r="AH3470" s="6"/>
      <c r="AI3470" s="6"/>
      <c r="AJ3470" s="6"/>
      <c r="AK3470" s="6"/>
      <c r="AL3470" s="6"/>
      <c r="AM3470" s="6"/>
    </row>
    <row r="3471">
      <c r="A3471" s="6"/>
      <c r="B3471" s="6"/>
      <c r="C3471" s="6"/>
      <c r="D3471" s="6"/>
      <c r="E3471" s="6"/>
      <c r="F3471" s="6"/>
      <c r="G3471" s="6"/>
      <c r="H3471" s="6"/>
      <c r="I3471" s="6"/>
      <c r="J3471" s="6"/>
      <c r="K3471" s="6"/>
      <c r="L3471" s="6"/>
      <c r="M3471" s="6"/>
      <c r="N3471" s="6"/>
      <c r="O3471" s="6"/>
      <c r="P3471" s="6"/>
      <c r="Q3471" s="6"/>
      <c r="R3471" s="6"/>
      <c r="S3471" s="6"/>
      <c r="T3471" s="6"/>
      <c r="U3471" s="6"/>
      <c r="V3471" s="6"/>
      <c r="W3471" s="6"/>
      <c r="X3471" s="6"/>
      <c r="Y3471" s="6"/>
      <c r="Z3471" s="6"/>
      <c r="AA3471" s="6"/>
      <c r="AB3471" s="6"/>
      <c r="AC3471" s="6"/>
      <c r="AD3471" s="6"/>
      <c r="AE3471" s="6"/>
      <c r="AF3471" s="6"/>
      <c r="AG3471" s="6"/>
      <c r="AH3471" s="6"/>
      <c r="AI3471" s="6"/>
      <c r="AJ3471" s="6"/>
      <c r="AK3471" s="6"/>
      <c r="AL3471" s="6"/>
      <c r="AM3471" s="6"/>
    </row>
    <row r="3472">
      <c r="A3472" s="6"/>
      <c r="B3472" s="6"/>
      <c r="C3472" s="6"/>
      <c r="D3472" s="6"/>
      <c r="E3472" s="6"/>
      <c r="F3472" s="6"/>
      <c r="G3472" s="6"/>
      <c r="H3472" s="6"/>
      <c r="I3472" s="6"/>
      <c r="J3472" s="6"/>
      <c r="K3472" s="6"/>
      <c r="L3472" s="6"/>
      <c r="M3472" s="6"/>
      <c r="N3472" s="6"/>
      <c r="O3472" s="6"/>
      <c r="P3472" s="6"/>
      <c r="Q3472" s="6"/>
      <c r="R3472" s="6"/>
      <c r="S3472" s="6"/>
      <c r="T3472" s="6"/>
      <c r="U3472" s="6"/>
      <c r="V3472" s="6"/>
      <c r="W3472" s="6"/>
      <c r="X3472" s="6"/>
      <c r="Y3472" s="6"/>
      <c r="Z3472" s="6"/>
      <c r="AA3472" s="6"/>
      <c r="AB3472" s="6"/>
      <c r="AC3472" s="6"/>
      <c r="AD3472" s="6"/>
      <c r="AE3472" s="6"/>
      <c r="AF3472" s="6"/>
      <c r="AG3472" s="6"/>
      <c r="AH3472" s="6"/>
      <c r="AI3472" s="6"/>
      <c r="AJ3472" s="6"/>
      <c r="AK3472" s="6"/>
      <c r="AL3472" s="6"/>
      <c r="AM3472" s="6"/>
    </row>
    <row r="3473">
      <c r="A3473" s="6"/>
      <c r="B3473" s="6"/>
      <c r="C3473" s="6"/>
      <c r="D3473" s="6"/>
      <c r="E3473" s="6"/>
      <c r="F3473" s="6"/>
      <c r="G3473" s="6"/>
      <c r="H3473" s="6"/>
      <c r="I3473" s="6"/>
      <c r="J3473" s="6"/>
      <c r="K3473" s="6"/>
      <c r="L3473" s="6"/>
      <c r="M3473" s="6"/>
      <c r="N3473" s="6"/>
      <c r="O3473" s="6"/>
      <c r="P3473" s="6"/>
      <c r="Q3473" s="6"/>
      <c r="R3473" s="6"/>
      <c r="S3473" s="6"/>
      <c r="T3473" s="6"/>
      <c r="U3473" s="6"/>
      <c r="V3473" s="6"/>
      <c r="W3473" s="6"/>
      <c r="X3473" s="6"/>
      <c r="Y3473" s="6"/>
      <c r="Z3473" s="6"/>
      <c r="AA3473" s="6"/>
      <c r="AB3473" s="6"/>
      <c r="AC3473" s="6"/>
      <c r="AD3473" s="6"/>
      <c r="AE3473" s="6"/>
      <c r="AF3473" s="6"/>
      <c r="AG3473" s="6"/>
      <c r="AH3473" s="6"/>
      <c r="AI3473" s="6"/>
      <c r="AJ3473" s="6"/>
      <c r="AK3473" s="6"/>
      <c r="AL3473" s="6"/>
      <c r="AM3473" s="6"/>
    </row>
    <row r="3474">
      <c r="A3474" s="6"/>
      <c r="B3474" s="6"/>
      <c r="C3474" s="6"/>
      <c r="D3474" s="6"/>
      <c r="E3474" s="6"/>
      <c r="F3474" s="6"/>
      <c r="G3474" s="6"/>
      <c r="H3474" s="6"/>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c r="AG3474" s="6"/>
      <c r="AH3474" s="6"/>
      <c r="AI3474" s="6"/>
      <c r="AJ3474" s="6"/>
      <c r="AK3474" s="6"/>
      <c r="AL3474" s="6"/>
      <c r="AM3474" s="6"/>
    </row>
    <row r="3475">
      <c r="A3475" s="6"/>
      <c r="B3475" s="6"/>
      <c r="C3475" s="6"/>
      <c r="D3475" s="6"/>
      <c r="E3475" s="6"/>
      <c r="F3475" s="6"/>
      <c r="G3475" s="6"/>
      <c r="H3475" s="6"/>
      <c r="I3475" s="6"/>
      <c r="J3475" s="6"/>
      <c r="K3475" s="6"/>
      <c r="L3475" s="6"/>
      <c r="M3475" s="6"/>
      <c r="N3475" s="6"/>
      <c r="O3475" s="6"/>
      <c r="P3475" s="6"/>
      <c r="Q3475" s="6"/>
      <c r="R3475" s="6"/>
      <c r="S3475" s="6"/>
      <c r="T3475" s="6"/>
      <c r="U3475" s="6"/>
      <c r="V3475" s="6"/>
      <c r="W3475" s="6"/>
      <c r="X3475" s="6"/>
      <c r="Y3475" s="6"/>
      <c r="Z3475" s="6"/>
      <c r="AA3475" s="6"/>
      <c r="AB3475" s="6"/>
      <c r="AC3475" s="6"/>
      <c r="AD3475" s="6"/>
      <c r="AE3475" s="6"/>
      <c r="AF3475" s="6"/>
      <c r="AG3475" s="6"/>
      <c r="AH3475" s="6"/>
      <c r="AI3475" s="6"/>
      <c r="AJ3475" s="6"/>
      <c r="AK3475" s="6"/>
      <c r="AL3475" s="6"/>
      <c r="AM3475" s="6"/>
    </row>
    <row r="3476">
      <c r="A3476" s="6"/>
      <c r="B3476" s="6"/>
      <c r="C3476" s="6"/>
      <c r="D3476" s="6"/>
      <c r="E3476" s="6"/>
      <c r="F3476" s="6"/>
      <c r="G3476" s="6"/>
      <c r="H3476" s="6"/>
      <c r="I3476" s="6"/>
      <c r="J3476" s="6"/>
      <c r="K3476" s="6"/>
      <c r="L3476" s="6"/>
      <c r="M3476" s="6"/>
      <c r="N3476" s="6"/>
      <c r="O3476" s="6"/>
      <c r="P3476" s="6"/>
      <c r="Q3476" s="6"/>
      <c r="R3476" s="6"/>
      <c r="S3476" s="6"/>
      <c r="T3476" s="6"/>
      <c r="U3476" s="6"/>
      <c r="V3476" s="6"/>
      <c r="W3476" s="6"/>
      <c r="X3476" s="6"/>
      <c r="Y3476" s="6"/>
      <c r="Z3476" s="6"/>
      <c r="AA3476" s="6"/>
      <c r="AB3476" s="6"/>
      <c r="AC3476" s="6"/>
      <c r="AD3476" s="6"/>
      <c r="AE3476" s="6"/>
      <c r="AF3476" s="6"/>
      <c r="AG3476" s="6"/>
      <c r="AH3476" s="6"/>
      <c r="AI3476" s="6"/>
      <c r="AJ3476" s="6"/>
      <c r="AK3476" s="6"/>
      <c r="AL3476" s="6"/>
      <c r="AM3476" s="6"/>
    </row>
    <row r="3477">
      <c r="A3477" s="6"/>
      <c r="B3477" s="6"/>
      <c r="C3477" s="6"/>
      <c r="D3477" s="6"/>
      <c r="E3477" s="6"/>
      <c r="F3477" s="6"/>
      <c r="G3477" s="6"/>
      <c r="H3477" s="6"/>
      <c r="I3477" s="6"/>
      <c r="J3477" s="6"/>
      <c r="K3477" s="6"/>
      <c r="L3477" s="6"/>
      <c r="M3477" s="6"/>
      <c r="N3477" s="6"/>
      <c r="O3477" s="6"/>
      <c r="P3477" s="6"/>
      <c r="Q3477" s="6"/>
      <c r="R3477" s="6"/>
      <c r="S3477" s="6"/>
      <c r="T3477" s="6"/>
      <c r="U3477" s="6"/>
      <c r="V3477" s="6"/>
      <c r="W3477" s="6"/>
      <c r="X3477" s="6"/>
      <c r="Y3477" s="6"/>
      <c r="Z3477" s="6"/>
      <c r="AA3477" s="6"/>
      <c r="AB3477" s="6"/>
      <c r="AC3477" s="6"/>
      <c r="AD3477" s="6"/>
      <c r="AE3477" s="6"/>
      <c r="AF3477" s="6"/>
      <c r="AG3477" s="6"/>
      <c r="AH3477" s="6"/>
      <c r="AI3477" s="6"/>
      <c r="AJ3477" s="6"/>
      <c r="AK3477" s="6"/>
      <c r="AL3477" s="6"/>
      <c r="AM3477" s="6"/>
    </row>
    <row r="3478">
      <c r="A3478" s="6"/>
      <c r="B3478" s="6"/>
      <c r="C3478" s="6"/>
      <c r="D3478" s="6"/>
      <c r="E3478" s="6"/>
      <c r="F3478" s="6"/>
      <c r="G3478" s="6"/>
      <c r="H3478" s="6"/>
      <c r="I3478" s="6"/>
      <c r="J3478" s="6"/>
      <c r="K3478" s="6"/>
      <c r="L3478" s="6"/>
      <c r="M3478" s="6"/>
      <c r="N3478" s="6"/>
      <c r="O3478" s="6"/>
      <c r="P3478" s="6"/>
      <c r="Q3478" s="6"/>
      <c r="R3478" s="6"/>
      <c r="S3478" s="6"/>
      <c r="T3478" s="6"/>
      <c r="U3478" s="6"/>
      <c r="V3478" s="6"/>
      <c r="W3478" s="6"/>
      <c r="X3478" s="6"/>
      <c r="Y3478" s="6"/>
      <c r="Z3478" s="6"/>
      <c r="AA3478" s="6"/>
      <c r="AB3478" s="6"/>
      <c r="AC3478" s="6"/>
      <c r="AD3478" s="6"/>
      <c r="AE3478" s="6"/>
      <c r="AF3478" s="6"/>
      <c r="AG3478" s="6"/>
      <c r="AH3478" s="6"/>
      <c r="AI3478" s="6"/>
      <c r="AJ3478" s="6"/>
      <c r="AK3478" s="6"/>
      <c r="AL3478" s="6"/>
      <c r="AM3478" s="6"/>
    </row>
    <row r="3479">
      <c r="A3479" s="6"/>
      <c r="B3479" s="6"/>
      <c r="C3479" s="6"/>
      <c r="D3479" s="6"/>
      <c r="E3479" s="6"/>
      <c r="F3479" s="6"/>
      <c r="G3479" s="6"/>
      <c r="H3479" s="6"/>
      <c r="I3479" s="6"/>
      <c r="J3479" s="6"/>
      <c r="K3479" s="6"/>
      <c r="L3479" s="6"/>
      <c r="M3479" s="6"/>
      <c r="N3479" s="6"/>
      <c r="O3479" s="6"/>
      <c r="P3479" s="6"/>
      <c r="Q3479" s="6"/>
      <c r="R3479" s="6"/>
      <c r="S3479" s="6"/>
      <c r="T3479" s="6"/>
      <c r="U3479" s="6"/>
      <c r="V3479" s="6"/>
      <c r="W3479" s="6"/>
      <c r="X3479" s="6"/>
      <c r="Y3479" s="6"/>
      <c r="Z3479" s="6"/>
      <c r="AA3479" s="6"/>
      <c r="AB3479" s="6"/>
      <c r="AC3479" s="6"/>
      <c r="AD3479" s="6"/>
      <c r="AE3479" s="6"/>
      <c r="AF3479" s="6"/>
      <c r="AG3479" s="6"/>
      <c r="AH3479" s="6"/>
      <c r="AI3479" s="6"/>
      <c r="AJ3479" s="6"/>
      <c r="AK3479" s="6"/>
      <c r="AL3479" s="6"/>
      <c r="AM3479" s="6"/>
    </row>
    <row r="3480">
      <c r="A3480" s="6"/>
      <c r="B3480" s="6"/>
      <c r="C3480" s="6"/>
      <c r="D3480" s="6"/>
      <c r="E3480" s="6"/>
      <c r="F3480" s="6"/>
      <c r="G3480" s="6"/>
      <c r="H3480" s="6"/>
      <c r="I3480" s="6"/>
      <c r="J3480" s="6"/>
      <c r="K3480" s="6"/>
      <c r="L3480" s="6"/>
      <c r="M3480" s="6"/>
      <c r="N3480" s="6"/>
      <c r="O3480" s="6"/>
      <c r="P3480" s="6"/>
      <c r="Q3480" s="6"/>
      <c r="R3480" s="6"/>
      <c r="S3480" s="6"/>
      <c r="T3480" s="6"/>
      <c r="U3480" s="6"/>
      <c r="V3480" s="6"/>
      <c r="W3480" s="6"/>
      <c r="X3480" s="6"/>
      <c r="Y3480" s="6"/>
      <c r="Z3480" s="6"/>
      <c r="AA3480" s="6"/>
      <c r="AB3480" s="6"/>
      <c r="AC3480" s="6"/>
      <c r="AD3480" s="6"/>
      <c r="AE3480" s="6"/>
      <c r="AF3480" s="6"/>
      <c r="AG3480" s="6"/>
      <c r="AH3480" s="6"/>
      <c r="AI3480" s="6"/>
      <c r="AJ3480" s="6"/>
      <c r="AK3480" s="6"/>
      <c r="AL3480" s="6"/>
      <c r="AM3480" s="6"/>
    </row>
    <row r="3481">
      <c r="A3481" s="6"/>
      <c r="B3481" s="6"/>
      <c r="C3481" s="6"/>
      <c r="D3481" s="6"/>
      <c r="E3481" s="6"/>
      <c r="F3481" s="6"/>
      <c r="G3481" s="6"/>
      <c r="H3481" s="6"/>
      <c r="I3481" s="6"/>
      <c r="J3481" s="6"/>
      <c r="K3481" s="6"/>
      <c r="L3481" s="6"/>
      <c r="M3481" s="6"/>
      <c r="N3481" s="6"/>
      <c r="O3481" s="6"/>
      <c r="P3481" s="6"/>
      <c r="Q3481" s="6"/>
      <c r="R3481" s="6"/>
      <c r="S3481" s="6"/>
      <c r="T3481" s="6"/>
      <c r="U3481" s="6"/>
      <c r="V3481" s="6"/>
      <c r="W3481" s="6"/>
      <c r="X3481" s="6"/>
      <c r="Y3481" s="6"/>
      <c r="Z3481" s="6"/>
      <c r="AA3481" s="6"/>
      <c r="AB3481" s="6"/>
      <c r="AC3481" s="6"/>
      <c r="AD3481" s="6"/>
      <c r="AE3481" s="6"/>
      <c r="AF3481" s="6"/>
      <c r="AG3481" s="6"/>
      <c r="AH3481" s="6"/>
      <c r="AI3481" s="6"/>
      <c r="AJ3481" s="6"/>
      <c r="AK3481" s="6"/>
      <c r="AL3481" s="6"/>
      <c r="AM3481" s="6"/>
    </row>
    <row r="3482">
      <c r="A3482" s="6"/>
      <c r="B3482" s="6"/>
      <c r="C3482" s="6"/>
      <c r="D3482" s="6"/>
      <c r="E3482" s="6"/>
      <c r="F3482" s="6"/>
      <c r="G3482" s="6"/>
      <c r="H3482" s="6"/>
      <c r="I3482" s="6"/>
      <c r="J3482" s="6"/>
      <c r="K3482" s="6"/>
      <c r="L3482" s="6"/>
      <c r="M3482" s="6"/>
      <c r="N3482" s="6"/>
      <c r="O3482" s="6"/>
      <c r="P3482" s="6"/>
      <c r="Q3482" s="6"/>
      <c r="R3482" s="6"/>
      <c r="S3482" s="6"/>
      <c r="T3482" s="6"/>
      <c r="U3482" s="6"/>
      <c r="V3482" s="6"/>
      <c r="W3482" s="6"/>
      <c r="X3482" s="6"/>
      <c r="Y3482" s="6"/>
      <c r="Z3482" s="6"/>
      <c r="AA3482" s="6"/>
      <c r="AB3482" s="6"/>
      <c r="AC3482" s="6"/>
      <c r="AD3482" s="6"/>
      <c r="AE3482" s="6"/>
      <c r="AF3482" s="6"/>
      <c r="AG3482" s="6"/>
      <c r="AH3482" s="6"/>
      <c r="AI3482" s="6"/>
      <c r="AJ3482" s="6"/>
      <c r="AK3482" s="6"/>
      <c r="AL3482" s="6"/>
      <c r="AM3482" s="6"/>
    </row>
    <row r="3483">
      <c r="A3483" s="6"/>
      <c r="B3483" s="6"/>
      <c r="C3483" s="6"/>
      <c r="D3483" s="6"/>
      <c r="E3483" s="6"/>
      <c r="F3483" s="6"/>
      <c r="G3483" s="6"/>
      <c r="H3483" s="6"/>
      <c r="I3483" s="6"/>
      <c r="J3483" s="6"/>
      <c r="K3483" s="6"/>
      <c r="L3483" s="6"/>
      <c r="M3483" s="6"/>
      <c r="N3483" s="6"/>
      <c r="O3483" s="6"/>
      <c r="P3483" s="6"/>
      <c r="Q3483" s="6"/>
      <c r="R3483" s="6"/>
      <c r="S3483" s="6"/>
      <c r="T3483" s="6"/>
      <c r="U3483" s="6"/>
      <c r="V3483" s="6"/>
      <c r="W3483" s="6"/>
      <c r="X3483" s="6"/>
      <c r="Y3483" s="6"/>
      <c r="Z3483" s="6"/>
      <c r="AA3483" s="6"/>
      <c r="AB3483" s="6"/>
      <c r="AC3483" s="6"/>
      <c r="AD3483" s="6"/>
      <c r="AE3483" s="6"/>
      <c r="AF3483" s="6"/>
      <c r="AG3483" s="6"/>
      <c r="AH3483" s="6"/>
      <c r="AI3483" s="6"/>
      <c r="AJ3483" s="6"/>
      <c r="AK3483" s="6"/>
      <c r="AL3483" s="6"/>
      <c r="AM3483" s="6"/>
    </row>
    <row r="3484">
      <c r="A3484" s="6"/>
      <c r="B3484" s="6"/>
      <c r="C3484" s="6"/>
      <c r="D3484" s="6"/>
      <c r="E3484" s="6"/>
      <c r="F3484" s="6"/>
      <c r="G3484" s="6"/>
      <c r="H3484" s="6"/>
      <c r="I3484" s="6"/>
      <c r="J3484" s="6"/>
      <c r="K3484" s="6"/>
      <c r="L3484" s="6"/>
      <c r="M3484" s="6"/>
      <c r="N3484" s="6"/>
      <c r="O3484" s="6"/>
      <c r="P3484" s="6"/>
      <c r="Q3484" s="6"/>
      <c r="R3484" s="6"/>
      <c r="S3484" s="6"/>
      <c r="T3484" s="6"/>
      <c r="U3484" s="6"/>
      <c r="V3484" s="6"/>
      <c r="W3484" s="6"/>
      <c r="X3484" s="6"/>
      <c r="Y3484" s="6"/>
      <c r="Z3484" s="6"/>
      <c r="AA3484" s="6"/>
      <c r="AB3484" s="6"/>
      <c r="AC3484" s="6"/>
      <c r="AD3484" s="6"/>
      <c r="AE3484" s="6"/>
      <c r="AF3484" s="6"/>
      <c r="AG3484" s="6"/>
      <c r="AH3484" s="6"/>
      <c r="AI3484" s="6"/>
      <c r="AJ3484" s="6"/>
      <c r="AK3484" s="6"/>
      <c r="AL3484" s="6"/>
      <c r="AM3484" s="6"/>
    </row>
    <row r="3485">
      <c r="A3485" s="6"/>
      <c r="B3485" s="6"/>
      <c r="C3485" s="6"/>
      <c r="D3485" s="6"/>
      <c r="E3485" s="6"/>
      <c r="F3485" s="6"/>
      <c r="G3485" s="6"/>
      <c r="H3485" s="6"/>
      <c r="I3485" s="6"/>
      <c r="J3485" s="6"/>
      <c r="K3485" s="6"/>
      <c r="L3485" s="6"/>
      <c r="M3485" s="6"/>
      <c r="N3485" s="6"/>
      <c r="O3485" s="6"/>
      <c r="P3485" s="6"/>
      <c r="Q3485" s="6"/>
      <c r="R3485" s="6"/>
      <c r="S3485" s="6"/>
      <c r="T3485" s="6"/>
      <c r="U3485" s="6"/>
      <c r="V3485" s="6"/>
      <c r="W3485" s="6"/>
      <c r="X3485" s="6"/>
      <c r="Y3485" s="6"/>
      <c r="Z3485" s="6"/>
      <c r="AA3485" s="6"/>
      <c r="AB3485" s="6"/>
      <c r="AC3485" s="6"/>
      <c r="AD3485" s="6"/>
      <c r="AE3485" s="6"/>
      <c r="AF3485" s="6"/>
      <c r="AG3485" s="6"/>
      <c r="AH3485" s="6"/>
      <c r="AI3485" s="6"/>
      <c r="AJ3485" s="6"/>
      <c r="AK3485" s="6"/>
      <c r="AL3485" s="6"/>
      <c r="AM3485" s="6"/>
    </row>
    <row r="3486">
      <c r="A3486" s="6"/>
      <c r="B3486" s="6"/>
      <c r="C3486" s="6"/>
      <c r="D3486" s="6"/>
      <c r="E3486" s="6"/>
      <c r="F3486" s="6"/>
      <c r="G3486" s="6"/>
      <c r="H3486" s="6"/>
      <c r="I3486" s="6"/>
      <c r="J3486" s="6"/>
      <c r="K3486" s="6"/>
      <c r="L3486" s="6"/>
      <c r="M3486" s="6"/>
      <c r="N3486" s="6"/>
      <c r="O3486" s="6"/>
      <c r="P3486" s="6"/>
      <c r="Q3486" s="6"/>
      <c r="R3486" s="6"/>
      <c r="S3486" s="6"/>
      <c r="T3486" s="6"/>
      <c r="U3486" s="6"/>
      <c r="V3486" s="6"/>
      <c r="W3486" s="6"/>
      <c r="X3486" s="6"/>
      <c r="Y3486" s="6"/>
      <c r="Z3486" s="6"/>
      <c r="AA3486" s="6"/>
      <c r="AB3486" s="6"/>
      <c r="AC3486" s="6"/>
      <c r="AD3486" s="6"/>
      <c r="AE3486" s="6"/>
      <c r="AF3486" s="6"/>
      <c r="AG3486" s="6"/>
      <c r="AH3486" s="6"/>
      <c r="AI3486" s="6"/>
      <c r="AJ3486" s="6"/>
      <c r="AK3486" s="6"/>
      <c r="AL3486" s="6"/>
      <c r="AM3486" s="6"/>
    </row>
    <row r="3487">
      <c r="A3487" s="6"/>
      <c r="B3487" s="6"/>
      <c r="C3487" s="6"/>
      <c r="D3487" s="6"/>
      <c r="E3487" s="6"/>
      <c r="F3487" s="6"/>
      <c r="G3487" s="6"/>
      <c r="H3487" s="6"/>
      <c r="I3487" s="6"/>
      <c r="J3487" s="6"/>
      <c r="K3487" s="6"/>
      <c r="L3487" s="6"/>
      <c r="M3487" s="6"/>
      <c r="N3487" s="6"/>
      <c r="O3487" s="6"/>
      <c r="P3487" s="6"/>
      <c r="Q3487" s="6"/>
      <c r="R3487" s="6"/>
      <c r="S3487" s="6"/>
      <c r="T3487" s="6"/>
      <c r="U3487" s="6"/>
      <c r="V3487" s="6"/>
      <c r="W3487" s="6"/>
      <c r="X3487" s="6"/>
      <c r="Y3487" s="6"/>
      <c r="Z3487" s="6"/>
      <c r="AA3487" s="6"/>
      <c r="AB3487" s="6"/>
      <c r="AC3487" s="6"/>
      <c r="AD3487" s="6"/>
      <c r="AE3487" s="6"/>
      <c r="AF3487" s="6"/>
      <c r="AG3487" s="6"/>
      <c r="AH3487" s="6"/>
      <c r="AI3487" s="6"/>
      <c r="AJ3487" s="6"/>
      <c r="AK3487" s="6"/>
      <c r="AL3487" s="6"/>
      <c r="AM3487" s="6"/>
    </row>
    <row r="3488">
      <c r="A3488" s="6"/>
      <c r="B3488" s="6"/>
      <c r="C3488" s="6"/>
      <c r="D3488" s="6"/>
      <c r="E3488" s="6"/>
      <c r="F3488" s="6"/>
      <c r="G3488" s="6"/>
      <c r="H3488" s="6"/>
      <c r="I3488" s="6"/>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c r="AG3488" s="6"/>
      <c r="AH3488" s="6"/>
      <c r="AI3488" s="6"/>
      <c r="AJ3488" s="6"/>
      <c r="AK3488" s="6"/>
      <c r="AL3488" s="6"/>
      <c r="AM3488" s="6"/>
    </row>
    <row r="3489">
      <c r="A3489" s="6"/>
      <c r="B3489" s="6"/>
      <c r="C3489" s="6"/>
      <c r="D3489" s="6"/>
      <c r="E3489" s="6"/>
      <c r="F3489" s="6"/>
      <c r="G3489" s="6"/>
      <c r="H3489" s="6"/>
      <c r="I3489" s="6"/>
      <c r="J3489" s="6"/>
      <c r="K3489" s="6"/>
      <c r="L3489" s="6"/>
      <c r="M3489" s="6"/>
      <c r="N3489" s="6"/>
      <c r="O3489" s="6"/>
      <c r="P3489" s="6"/>
      <c r="Q3489" s="6"/>
      <c r="R3489" s="6"/>
      <c r="S3489" s="6"/>
      <c r="T3489" s="6"/>
      <c r="U3489" s="6"/>
      <c r="V3489" s="6"/>
      <c r="W3489" s="6"/>
      <c r="X3489" s="6"/>
      <c r="Y3489" s="6"/>
      <c r="Z3489" s="6"/>
      <c r="AA3489" s="6"/>
      <c r="AB3489" s="6"/>
      <c r="AC3489" s="6"/>
      <c r="AD3489" s="6"/>
      <c r="AE3489" s="6"/>
      <c r="AF3489" s="6"/>
      <c r="AG3489" s="6"/>
      <c r="AH3489" s="6"/>
      <c r="AI3489" s="6"/>
      <c r="AJ3489" s="6"/>
      <c r="AK3489" s="6"/>
      <c r="AL3489" s="6"/>
      <c r="AM3489" s="6"/>
    </row>
    <row r="3490">
      <c r="A3490" s="6"/>
      <c r="B3490" s="6"/>
      <c r="C3490" s="6"/>
      <c r="D3490" s="6"/>
      <c r="E3490" s="6"/>
      <c r="F3490" s="6"/>
      <c r="G3490" s="6"/>
      <c r="H3490" s="6"/>
      <c r="I3490" s="6"/>
      <c r="J3490" s="6"/>
      <c r="K3490" s="6"/>
      <c r="L3490" s="6"/>
      <c r="M3490" s="6"/>
      <c r="N3490" s="6"/>
      <c r="O3490" s="6"/>
      <c r="P3490" s="6"/>
      <c r="Q3490" s="6"/>
      <c r="R3490" s="6"/>
      <c r="S3490" s="6"/>
      <c r="T3490" s="6"/>
      <c r="U3490" s="6"/>
      <c r="V3490" s="6"/>
      <c r="W3490" s="6"/>
      <c r="X3490" s="6"/>
      <c r="Y3490" s="6"/>
      <c r="Z3490" s="6"/>
      <c r="AA3490" s="6"/>
      <c r="AB3490" s="6"/>
      <c r="AC3490" s="6"/>
      <c r="AD3490" s="6"/>
      <c r="AE3490" s="6"/>
      <c r="AF3490" s="6"/>
      <c r="AG3490" s="6"/>
      <c r="AH3490" s="6"/>
      <c r="AI3490" s="6"/>
      <c r="AJ3490" s="6"/>
      <c r="AK3490" s="6"/>
      <c r="AL3490" s="6"/>
      <c r="AM3490" s="6"/>
    </row>
    <row r="3491">
      <c r="A3491" s="6"/>
      <c r="B3491" s="6"/>
      <c r="C3491" s="6"/>
      <c r="D3491" s="6"/>
      <c r="E3491" s="6"/>
      <c r="F3491" s="6"/>
      <c r="G3491" s="6"/>
      <c r="H3491" s="6"/>
      <c r="I3491" s="6"/>
      <c r="J3491" s="6"/>
      <c r="K3491" s="6"/>
      <c r="L3491" s="6"/>
      <c r="M3491" s="6"/>
      <c r="N3491" s="6"/>
      <c r="O3491" s="6"/>
      <c r="P3491" s="6"/>
      <c r="Q3491" s="6"/>
      <c r="R3491" s="6"/>
      <c r="S3491" s="6"/>
      <c r="T3491" s="6"/>
      <c r="U3491" s="6"/>
      <c r="V3491" s="6"/>
      <c r="W3491" s="6"/>
      <c r="X3491" s="6"/>
      <c r="Y3491" s="6"/>
      <c r="Z3491" s="6"/>
      <c r="AA3491" s="6"/>
      <c r="AB3491" s="6"/>
      <c r="AC3491" s="6"/>
      <c r="AD3491" s="6"/>
      <c r="AE3491" s="6"/>
      <c r="AF3491" s="6"/>
      <c r="AG3491" s="6"/>
      <c r="AH3491" s="6"/>
      <c r="AI3491" s="6"/>
      <c r="AJ3491" s="6"/>
      <c r="AK3491" s="6"/>
      <c r="AL3491" s="6"/>
      <c r="AM3491" s="6"/>
    </row>
    <row r="3492">
      <c r="A3492" s="6"/>
      <c r="B3492" s="6"/>
      <c r="C3492" s="6"/>
      <c r="D3492" s="6"/>
      <c r="E3492" s="6"/>
      <c r="F3492" s="6"/>
      <c r="G3492" s="6"/>
      <c r="H3492" s="6"/>
      <c r="I3492" s="6"/>
      <c r="J3492" s="6"/>
      <c r="K3492" s="6"/>
      <c r="L3492" s="6"/>
      <c r="M3492" s="6"/>
      <c r="N3492" s="6"/>
      <c r="O3492" s="6"/>
      <c r="P3492" s="6"/>
      <c r="Q3492" s="6"/>
      <c r="R3492" s="6"/>
      <c r="S3492" s="6"/>
      <c r="T3492" s="6"/>
      <c r="U3492" s="6"/>
      <c r="V3492" s="6"/>
      <c r="W3492" s="6"/>
      <c r="X3492" s="6"/>
      <c r="Y3492" s="6"/>
      <c r="Z3492" s="6"/>
      <c r="AA3492" s="6"/>
      <c r="AB3492" s="6"/>
      <c r="AC3492" s="6"/>
      <c r="AD3492" s="6"/>
      <c r="AE3492" s="6"/>
      <c r="AF3492" s="6"/>
      <c r="AG3492" s="6"/>
      <c r="AH3492" s="6"/>
      <c r="AI3492" s="6"/>
      <c r="AJ3492" s="6"/>
      <c r="AK3492" s="6"/>
      <c r="AL3492" s="6"/>
      <c r="AM3492" s="6"/>
    </row>
    <row r="3493">
      <c r="A3493" s="6"/>
      <c r="B3493" s="6"/>
      <c r="C3493" s="6"/>
      <c r="D3493" s="6"/>
      <c r="E3493" s="6"/>
      <c r="F3493" s="6"/>
      <c r="G3493" s="6"/>
      <c r="H3493" s="6"/>
      <c r="I3493" s="6"/>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c r="AG3493" s="6"/>
      <c r="AH3493" s="6"/>
      <c r="AI3493" s="6"/>
      <c r="AJ3493" s="6"/>
      <c r="AK3493" s="6"/>
      <c r="AL3493" s="6"/>
      <c r="AM3493" s="6"/>
    </row>
    <row r="3494">
      <c r="A3494" s="6"/>
      <c r="B3494" s="6"/>
      <c r="C3494" s="6"/>
      <c r="D3494" s="6"/>
      <c r="E3494" s="6"/>
      <c r="F3494" s="6"/>
      <c r="G3494" s="6"/>
      <c r="H3494" s="6"/>
      <c r="I3494" s="6"/>
      <c r="J3494" s="6"/>
      <c r="K3494" s="6"/>
      <c r="L3494" s="6"/>
      <c r="M3494" s="6"/>
      <c r="N3494" s="6"/>
      <c r="O3494" s="6"/>
      <c r="P3494" s="6"/>
      <c r="Q3494" s="6"/>
      <c r="R3494" s="6"/>
      <c r="S3494" s="6"/>
      <c r="T3494" s="6"/>
      <c r="U3494" s="6"/>
      <c r="V3494" s="6"/>
      <c r="W3494" s="6"/>
      <c r="X3494" s="6"/>
      <c r="Y3494" s="6"/>
      <c r="Z3494" s="6"/>
      <c r="AA3494" s="6"/>
      <c r="AB3494" s="6"/>
      <c r="AC3494" s="6"/>
      <c r="AD3494" s="6"/>
      <c r="AE3494" s="6"/>
      <c r="AF3494" s="6"/>
      <c r="AG3494" s="6"/>
      <c r="AH3494" s="6"/>
      <c r="AI3494" s="6"/>
      <c r="AJ3494" s="6"/>
      <c r="AK3494" s="6"/>
      <c r="AL3494" s="6"/>
      <c r="AM3494" s="6"/>
    </row>
    <row r="3495">
      <c r="A3495" s="6"/>
      <c r="B3495" s="6"/>
      <c r="C3495" s="6"/>
      <c r="D3495" s="6"/>
      <c r="E3495" s="6"/>
      <c r="F3495" s="6"/>
      <c r="G3495" s="6"/>
      <c r="H3495" s="6"/>
      <c r="I3495" s="6"/>
      <c r="J3495" s="6"/>
      <c r="K3495" s="6"/>
      <c r="L3495" s="6"/>
      <c r="M3495" s="6"/>
      <c r="N3495" s="6"/>
      <c r="O3495" s="6"/>
      <c r="P3495" s="6"/>
      <c r="Q3495" s="6"/>
      <c r="R3495" s="6"/>
      <c r="S3495" s="6"/>
      <c r="T3495" s="6"/>
      <c r="U3495" s="6"/>
      <c r="V3495" s="6"/>
      <c r="W3495" s="6"/>
      <c r="X3495" s="6"/>
      <c r="Y3495" s="6"/>
      <c r="Z3495" s="6"/>
      <c r="AA3495" s="6"/>
      <c r="AB3495" s="6"/>
      <c r="AC3495" s="6"/>
      <c r="AD3495" s="6"/>
      <c r="AE3495" s="6"/>
      <c r="AF3495" s="6"/>
      <c r="AG3495" s="6"/>
      <c r="AH3495" s="6"/>
      <c r="AI3495" s="6"/>
      <c r="AJ3495" s="6"/>
      <c r="AK3495" s="6"/>
      <c r="AL3495" s="6"/>
      <c r="AM3495" s="6"/>
    </row>
    <row r="3496">
      <c r="A3496" s="6"/>
      <c r="B3496" s="6"/>
      <c r="C3496" s="6"/>
      <c r="D3496" s="6"/>
      <c r="E3496" s="6"/>
      <c r="F3496" s="6"/>
      <c r="G3496" s="6"/>
      <c r="H3496" s="6"/>
      <c r="I3496" s="6"/>
      <c r="J3496" s="6"/>
      <c r="K3496" s="6"/>
      <c r="L3496" s="6"/>
      <c r="M3496" s="6"/>
      <c r="N3496" s="6"/>
      <c r="O3496" s="6"/>
      <c r="P3496" s="6"/>
      <c r="Q3496" s="6"/>
      <c r="R3496" s="6"/>
      <c r="S3496" s="6"/>
      <c r="T3496" s="6"/>
      <c r="U3496" s="6"/>
      <c r="V3496" s="6"/>
      <c r="W3496" s="6"/>
      <c r="X3496" s="6"/>
      <c r="Y3496" s="6"/>
      <c r="Z3496" s="6"/>
      <c r="AA3496" s="6"/>
      <c r="AB3496" s="6"/>
      <c r="AC3496" s="6"/>
      <c r="AD3496" s="6"/>
      <c r="AE3496" s="6"/>
      <c r="AF3496" s="6"/>
      <c r="AG3496" s="6"/>
      <c r="AH3496" s="6"/>
      <c r="AI3496" s="6"/>
      <c r="AJ3496" s="6"/>
      <c r="AK3496" s="6"/>
      <c r="AL3496" s="6"/>
      <c r="AM3496" s="6"/>
    </row>
    <row r="3497">
      <c r="A3497" s="6"/>
      <c r="B3497" s="6"/>
      <c r="C3497" s="6"/>
      <c r="D3497" s="6"/>
      <c r="E3497" s="6"/>
      <c r="F3497" s="6"/>
      <c r="G3497" s="6"/>
      <c r="H3497" s="6"/>
      <c r="I3497" s="6"/>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c r="AG3497" s="6"/>
      <c r="AH3497" s="6"/>
      <c r="AI3497" s="6"/>
      <c r="AJ3497" s="6"/>
      <c r="AK3497" s="6"/>
      <c r="AL3497" s="6"/>
      <c r="AM3497" s="6"/>
    </row>
    <row r="3498">
      <c r="A3498" s="6"/>
      <c r="B3498" s="6"/>
      <c r="C3498" s="6"/>
      <c r="D3498" s="6"/>
      <c r="E3498" s="6"/>
      <c r="F3498" s="6"/>
      <c r="G3498" s="6"/>
      <c r="H3498" s="6"/>
      <c r="I3498" s="6"/>
      <c r="J3498" s="6"/>
      <c r="K3498" s="6"/>
      <c r="L3498" s="6"/>
      <c r="M3498" s="6"/>
      <c r="N3498" s="6"/>
      <c r="O3498" s="6"/>
      <c r="P3498" s="6"/>
      <c r="Q3498" s="6"/>
      <c r="R3498" s="6"/>
      <c r="S3498" s="6"/>
      <c r="T3498" s="6"/>
      <c r="U3498" s="6"/>
      <c r="V3498" s="6"/>
      <c r="W3498" s="6"/>
      <c r="X3498" s="6"/>
      <c r="Y3498" s="6"/>
      <c r="Z3498" s="6"/>
      <c r="AA3498" s="6"/>
      <c r="AB3498" s="6"/>
      <c r="AC3498" s="6"/>
      <c r="AD3498" s="6"/>
      <c r="AE3498" s="6"/>
      <c r="AF3498" s="6"/>
      <c r="AG3498" s="6"/>
      <c r="AH3498" s="6"/>
      <c r="AI3498" s="6"/>
      <c r="AJ3498" s="6"/>
      <c r="AK3498" s="6"/>
      <c r="AL3498" s="6"/>
      <c r="AM3498" s="6"/>
    </row>
    <row r="3499">
      <c r="A3499" s="6"/>
      <c r="B3499" s="6"/>
      <c r="C3499" s="6"/>
      <c r="D3499" s="6"/>
      <c r="E3499" s="6"/>
      <c r="F3499" s="6"/>
      <c r="G3499" s="6"/>
      <c r="H3499" s="6"/>
      <c r="I3499" s="6"/>
      <c r="J3499" s="6"/>
      <c r="K3499" s="6"/>
      <c r="L3499" s="6"/>
      <c r="M3499" s="6"/>
      <c r="N3499" s="6"/>
      <c r="O3499" s="6"/>
      <c r="P3499" s="6"/>
      <c r="Q3499" s="6"/>
      <c r="R3499" s="6"/>
      <c r="S3499" s="6"/>
      <c r="T3499" s="6"/>
      <c r="U3499" s="6"/>
      <c r="V3499" s="6"/>
      <c r="W3499" s="6"/>
      <c r="X3499" s="6"/>
      <c r="Y3499" s="6"/>
      <c r="Z3499" s="6"/>
      <c r="AA3499" s="6"/>
      <c r="AB3499" s="6"/>
      <c r="AC3499" s="6"/>
      <c r="AD3499" s="6"/>
      <c r="AE3499" s="6"/>
      <c r="AF3499" s="6"/>
      <c r="AG3499" s="6"/>
      <c r="AH3499" s="6"/>
      <c r="AI3499" s="6"/>
      <c r="AJ3499" s="6"/>
      <c r="AK3499" s="6"/>
      <c r="AL3499" s="6"/>
      <c r="AM3499" s="6"/>
    </row>
    <row r="3500">
      <c r="A3500" s="6"/>
      <c r="B3500" s="6"/>
      <c r="C3500" s="6"/>
      <c r="D3500" s="6"/>
      <c r="E3500" s="6"/>
      <c r="F3500" s="6"/>
      <c r="G3500" s="6"/>
      <c r="H3500" s="6"/>
      <c r="I3500" s="6"/>
      <c r="J3500" s="6"/>
      <c r="K3500" s="6"/>
      <c r="L3500" s="6"/>
      <c r="M3500" s="6"/>
      <c r="N3500" s="6"/>
      <c r="O3500" s="6"/>
      <c r="P3500" s="6"/>
      <c r="Q3500" s="6"/>
      <c r="R3500" s="6"/>
      <c r="S3500" s="6"/>
      <c r="T3500" s="6"/>
      <c r="U3500" s="6"/>
      <c r="V3500" s="6"/>
      <c r="W3500" s="6"/>
      <c r="X3500" s="6"/>
      <c r="Y3500" s="6"/>
      <c r="Z3500" s="6"/>
      <c r="AA3500" s="6"/>
      <c r="AB3500" s="6"/>
      <c r="AC3500" s="6"/>
      <c r="AD3500" s="6"/>
      <c r="AE3500" s="6"/>
      <c r="AF3500" s="6"/>
      <c r="AG3500" s="6"/>
      <c r="AH3500" s="6"/>
      <c r="AI3500" s="6"/>
      <c r="AJ3500" s="6"/>
      <c r="AK3500" s="6"/>
      <c r="AL3500" s="6"/>
      <c r="AM3500" s="6"/>
    </row>
    <row r="3501">
      <c r="A3501" s="6"/>
      <c r="B3501" s="6"/>
      <c r="C3501" s="6"/>
      <c r="D3501" s="6"/>
      <c r="E3501" s="6"/>
      <c r="F3501" s="6"/>
      <c r="G3501" s="6"/>
      <c r="H3501" s="6"/>
      <c r="I3501" s="6"/>
      <c r="J3501" s="6"/>
      <c r="K3501" s="6"/>
      <c r="L3501" s="6"/>
      <c r="M3501" s="6"/>
      <c r="N3501" s="6"/>
      <c r="O3501" s="6"/>
      <c r="P3501" s="6"/>
      <c r="Q3501" s="6"/>
      <c r="R3501" s="6"/>
      <c r="S3501" s="6"/>
      <c r="T3501" s="6"/>
      <c r="U3501" s="6"/>
      <c r="V3501" s="6"/>
      <c r="W3501" s="6"/>
      <c r="X3501" s="6"/>
      <c r="Y3501" s="6"/>
      <c r="Z3501" s="6"/>
      <c r="AA3501" s="6"/>
      <c r="AB3501" s="6"/>
      <c r="AC3501" s="6"/>
      <c r="AD3501" s="6"/>
      <c r="AE3501" s="6"/>
      <c r="AF3501" s="6"/>
      <c r="AG3501" s="6"/>
      <c r="AH3501" s="6"/>
      <c r="AI3501" s="6"/>
      <c r="AJ3501" s="6"/>
      <c r="AK3501" s="6"/>
      <c r="AL3501" s="6"/>
      <c r="AM3501" s="6"/>
    </row>
    <row r="3502">
      <c r="A3502" s="6"/>
      <c r="B3502" s="6"/>
      <c r="C3502" s="6"/>
      <c r="D3502" s="6"/>
      <c r="E3502" s="6"/>
      <c r="F3502" s="6"/>
      <c r="G3502" s="6"/>
      <c r="H3502" s="6"/>
      <c r="I3502" s="6"/>
      <c r="J3502" s="6"/>
      <c r="K3502" s="6"/>
      <c r="L3502" s="6"/>
      <c r="M3502" s="6"/>
      <c r="N3502" s="6"/>
      <c r="O3502" s="6"/>
      <c r="P3502" s="6"/>
      <c r="Q3502" s="6"/>
      <c r="R3502" s="6"/>
      <c r="S3502" s="6"/>
      <c r="T3502" s="6"/>
      <c r="U3502" s="6"/>
      <c r="V3502" s="6"/>
      <c r="W3502" s="6"/>
      <c r="X3502" s="6"/>
      <c r="Y3502" s="6"/>
      <c r="Z3502" s="6"/>
      <c r="AA3502" s="6"/>
      <c r="AB3502" s="6"/>
      <c r="AC3502" s="6"/>
      <c r="AD3502" s="6"/>
      <c r="AE3502" s="6"/>
      <c r="AF3502" s="6"/>
      <c r="AG3502" s="6"/>
      <c r="AH3502" s="6"/>
      <c r="AI3502" s="6"/>
      <c r="AJ3502" s="6"/>
      <c r="AK3502" s="6"/>
      <c r="AL3502" s="6"/>
      <c r="AM3502" s="6"/>
    </row>
    <row r="3503">
      <c r="A3503" s="6"/>
      <c r="B3503" s="6"/>
      <c r="C3503" s="6"/>
      <c r="D3503" s="6"/>
      <c r="E3503" s="6"/>
      <c r="F3503" s="6"/>
      <c r="G3503" s="6"/>
      <c r="H3503" s="6"/>
      <c r="I3503" s="6"/>
      <c r="J3503" s="6"/>
      <c r="K3503" s="6"/>
      <c r="L3503" s="6"/>
      <c r="M3503" s="6"/>
      <c r="N3503" s="6"/>
      <c r="O3503" s="6"/>
      <c r="P3503" s="6"/>
      <c r="Q3503" s="6"/>
      <c r="R3503" s="6"/>
      <c r="S3503" s="6"/>
      <c r="T3503" s="6"/>
      <c r="U3503" s="6"/>
      <c r="V3503" s="6"/>
      <c r="W3503" s="6"/>
      <c r="X3503" s="6"/>
      <c r="Y3503" s="6"/>
      <c r="Z3503" s="6"/>
      <c r="AA3503" s="6"/>
      <c r="AB3503" s="6"/>
      <c r="AC3503" s="6"/>
      <c r="AD3503" s="6"/>
      <c r="AE3503" s="6"/>
      <c r="AF3503" s="6"/>
      <c r="AG3503" s="6"/>
      <c r="AH3503" s="6"/>
      <c r="AI3503" s="6"/>
      <c r="AJ3503" s="6"/>
      <c r="AK3503" s="6"/>
      <c r="AL3503" s="6"/>
      <c r="AM3503" s="6"/>
    </row>
    <row r="3504">
      <c r="A3504" s="6"/>
      <c r="B3504" s="6"/>
      <c r="C3504" s="6"/>
      <c r="D3504" s="6"/>
      <c r="E3504" s="6"/>
      <c r="F3504" s="6"/>
      <c r="G3504" s="6"/>
      <c r="H3504" s="6"/>
      <c r="I3504" s="6"/>
      <c r="J3504" s="6"/>
      <c r="K3504" s="6"/>
      <c r="L3504" s="6"/>
      <c r="M3504" s="6"/>
      <c r="N3504" s="6"/>
      <c r="O3504" s="6"/>
      <c r="P3504" s="6"/>
      <c r="Q3504" s="6"/>
      <c r="R3504" s="6"/>
      <c r="S3504" s="6"/>
      <c r="T3504" s="6"/>
      <c r="U3504" s="6"/>
      <c r="V3504" s="6"/>
      <c r="W3504" s="6"/>
      <c r="X3504" s="6"/>
      <c r="Y3504" s="6"/>
      <c r="Z3504" s="6"/>
      <c r="AA3504" s="6"/>
      <c r="AB3504" s="6"/>
      <c r="AC3504" s="6"/>
      <c r="AD3504" s="6"/>
      <c r="AE3504" s="6"/>
      <c r="AF3504" s="6"/>
      <c r="AG3504" s="6"/>
      <c r="AH3504" s="6"/>
      <c r="AI3504" s="6"/>
      <c r="AJ3504" s="6"/>
      <c r="AK3504" s="6"/>
      <c r="AL3504" s="6"/>
      <c r="AM3504" s="6"/>
    </row>
    <row r="3505">
      <c r="A3505" s="6"/>
      <c r="B3505" s="6"/>
      <c r="C3505" s="6"/>
      <c r="D3505" s="6"/>
      <c r="E3505" s="6"/>
      <c r="F3505" s="6"/>
      <c r="G3505" s="6"/>
      <c r="H3505" s="6"/>
      <c r="I3505" s="6"/>
      <c r="J3505" s="6"/>
      <c r="K3505" s="6"/>
      <c r="L3505" s="6"/>
      <c r="M3505" s="6"/>
      <c r="N3505" s="6"/>
      <c r="O3505" s="6"/>
      <c r="P3505" s="6"/>
      <c r="Q3505" s="6"/>
      <c r="R3505" s="6"/>
      <c r="S3505" s="6"/>
      <c r="T3505" s="6"/>
      <c r="U3505" s="6"/>
      <c r="V3505" s="6"/>
      <c r="W3505" s="6"/>
      <c r="X3505" s="6"/>
      <c r="Y3505" s="6"/>
      <c r="Z3505" s="6"/>
      <c r="AA3505" s="6"/>
      <c r="AB3505" s="6"/>
      <c r="AC3505" s="6"/>
      <c r="AD3505" s="6"/>
      <c r="AE3505" s="6"/>
      <c r="AF3505" s="6"/>
      <c r="AG3505" s="6"/>
      <c r="AH3505" s="6"/>
      <c r="AI3505" s="6"/>
      <c r="AJ3505" s="6"/>
      <c r="AK3505" s="6"/>
      <c r="AL3505" s="6"/>
      <c r="AM3505" s="6"/>
    </row>
    <row r="3506">
      <c r="A3506" s="6"/>
      <c r="B3506" s="6"/>
      <c r="C3506" s="6"/>
      <c r="D3506" s="6"/>
      <c r="E3506" s="6"/>
      <c r="F3506" s="6"/>
      <c r="G3506" s="6"/>
      <c r="H3506" s="6"/>
      <c r="I3506" s="6"/>
      <c r="J3506" s="6"/>
      <c r="K3506" s="6"/>
      <c r="L3506" s="6"/>
      <c r="M3506" s="6"/>
      <c r="N3506" s="6"/>
      <c r="O3506" s="6"/>
      <c r="P3506" s="6"/>
      <c r="Q3506" s="6"/>
      <c r="R3506" s="6"/>
      <c r="S3506" s="6"/>
      <c r="T3506" s="6"/>
      <c r="U3506" s="6"/>
      <c r="V3506" s="6"/>
      <c r="W3506" s="6"/>
      <c r="X3506" s="6"/>
      <c r="Y3506" s="6"/>
      <c r="Z3506" s="6"/>
      <c r="AA3506" s="6"/>
      <c r="AB3506" s="6"/>
      <c r="AC3506" s="6"/>
      <c r="AD3506" s="6"/>
      <c r="AE3506" s="6"/>
      <c r="AF3506" s="6"/>
      <c r="AG3506" s="6"/>
      <c r="AH3506" s="6"/>
      <c r="AI3506" s="6"/>
      <c r="AJ3506" s="6"/>
      <c r="AK3506" s="6"/>
      <c r="AL3506" s="6"/>
      <c r="AM3506" s="6"/>
    </row>
    <row r="3507">
      <c r="A3507" s="6"/>
      <c r="B3507" s="6"/>
      <c r="C3507" s="6"/>
      <c r="D3507" s="6"/>
      <c r="E3507" s="6"/>
      <c r="F3507" s="6"/>
      <c r="G3507" s="6"/>
      <c r="H3507" s="6"/>
      <c r="I3507" s="6"/>
      <c r="J3507" s="6"/>
      <c r="K3507" s="6"/>
      <c r="L3507" s="6"/>
      <c r="M3507" s="6"/>
      <c r="N3507" s="6"/>
      <c r="O3507" s="6"/>
      <c r="P3507" s="6"/>
      <c r="Q3507" s="6"/>
      <c r="R3507" s="6"/>
      <c r="S3507" s="6"/>
      <c r="T3507" s="6"/>
      <c r="U3507" s="6"/>
      <c r="V3507" s="6"/>
      <c r="W3507" s="6"/>
      <c r="X3507" s="6"/>
      <c r="Y3507" s="6"/>
      <c r="Z3507" s="6"/>
      <c r="AA3507" s="6"/>
      <c r="AB3507" s="6"/>
      <c r="AC3507" s="6"/>
      <c r="AD3507" s="6"/>
      <c r="AE3507" s="6"/>
      <c r="AF3507" s="6"/>
      <c r="AG3507" s="6"/>
      <c r="AH3507" s="6"/>
      <c r="AI3507" s="6"/>
      <c r="AJ3507" s="6"/>
      <c r="AK3507" s="6"/>
      <c r="AL3507" s="6"/>
      <c r="AM3507" s="6"/>
    </row>
    <row r="3508">
      <c r="A3508" s="6"/>
      <c r="B3508" s="6"/>
      <c r="C3508" s="6"/>
      <c r="D3508" s="6"/>
      <c r="E3508" s="6"/>
      <c r="F3508" s="6"/>
      <c r="G3508" s="6"/>
      <c r="H3508" s="6"/>
      <c r="I3508" s="6"/>
      <c r="J3508" s="6"/>
      <c r="K3508" s="6"/>
      <c r="L3508" s="6"/>
      <c r="M3508" s="6"/>
      <c r="N3508" s="6"/>
      <c r="O3508" s="6"/>
      <c r="P3508" s="6"/>
      <c r="Q3508" s="6"/>
      <c r="R3508" s="6"/>
      <c r="S3508" s="6"/>
      <c r="T3508" s="6"/>
      <c r="U3508" s="6"/>
      <c r="V3508" s="6"/>
      <c r="W3508" s="6"/>
      <c r="X3508" s="6"/>
      <c r="Y3508" s="6"/>
      <c r="Z3508" s="6"/>
      <c r="AA3508" s="6"/>
      <c r="AB3508" s="6"/>
      <c r="AC3508" s="6"/>
      <c r="AD3508" s="6"/>
      <c r="AE3508" s="6"/>
      <c r="AF3508" s="6"/>
      <c r="AG3508" s="6"/>
      <c r="AH3508" s="6"/>
      <c r="AI3508" s="6"/>
      <c r="AJ3508" s="6"/>
      <c r="AK3508" s="6"/>
      <c r="AL3508" s="6"/>
      <c r="AM3508" s="6"/>
    </row>
    <row r="3509">
      <c r="A3509" s="6"/>
      <c r="B3509" s="6"/>
      <c r="C3509" s="6"/>
      <c r="D3509" s="6"/>
      <c r="E3509" s="6"/>
      <c r="F3509" s="6"/>
      <c r="G3509" s="6"/>
      <c r="H3509" s="6"/>
      <c r="I3509" s="6"/>
      <c r="J3509" s="6"/>
      <c r="K3509" s="6"/>
      <c r="L3509" s="6"/>
      <c r="M3509" s="6"/>
      <c r="N3509" s="6"/>
      <c r="O3509" s="6"/>
      <c r="P3509" s="6"/>
      <c r="Q3509" s="6"/>
      <c r="R3509" s="6"/>
      <c r="S3509" s="6"/>
      <c r="T3509" s="6"/>
      <c r="U3509" s="6"/>
      <c r="V3509" s="6"/>
      <c r="W3509" s="6"/>
      <c r="X3509" s="6"/>
      <c r="Y3509" s="6"/>
      <c r="Z3509" s="6"/>
      <c r="AA3509" s="6"/>
      <c r="AB3509" s="6"/>
      <c r="AC3509" s="6"/>
      <c r="AD3509" s="6"/>
      <c r="AE3509" s="6"/>
      <c r="AF3509" s="6"/>
      <c r="AG3509" s="6"/>
      <c r="AH3509" s="6"/>
      <c r="AI3509" s="6"/>
      <c r="AJ3509" s="6"/>
      <c r="AK3509" s="6"/>
      <c r="AL3509" s="6"/>
      <c r="AM3509" s="6"/>
    </row>
    <row r="3510">
      <c r="A3510" s="6"/>
      <c r="B3510" s="6"/>
      <c r="C3510" s="6"/>
      <c r="D3510" s="6"/>
      <c r="E3510" s="6"/>
      <c r="F3510" s="6"/>
      <c r="G3510" s="6"/>
      <c r="H3510" s="6"/>
      <c r="I3510" s="6"/>
      <c r="J3510" s="6"/>
      <c r="K3510" s="6"/>
      <c r="L3510" s="6"/>
      <c r="M3510" s="6"/>
      <c r="N3510" s="6"/>
      <c r="O3510" s="6"/>
      <c r="P3510" s="6"/>
      <c r="Q3510" s="6"/>
      <c r="R3510" s="6"/>
      <c r="S3510" s="6"/>
      <c r="T3510" s="6"/>
      <c r="U3510" s="6"/>
      <c r="V3510" s="6"/>
      <c r="W3510" s="6"/>
      <c r="X3510" s="6"/>
      <c r="Y3510" s="6"/>
      <c r="Z3510" s="6"/>
      <c r="AA3510" s="6"/>
      <c r="AB3510" s="6"/>
      <c r="AC3510" s="6"/>
      <c r="AD3510" s="6"/>
      <c r="AE3510" s="6"/>
      <c r="AF3510" s="6"/>
      <c r="AG3510" s="6"/>
      <c r="AH3510" s="6"/>
      <c r="AI3510" s="6"/>
      <c r="AJ3510" s="6"/>
      <c r="AK3510" s="6"/>
      <c r="AL3510" s="6"/>
      <c r="AM3510" s="6"/>
    </row>
    <row r="3511">
      <c r="A3511" s="6"/>
      <c r="B3511" s="6"/>
      <c r="C3511" s="6"/>
      <c r="D3511" s="6"/>
      <c r="E3511" s="6"/>
      <c r="F3511" s="6"/>
      <c r="G3511" s="6"/>
      <c r="H3511" s="6"/>
      <c r="I3511" s="6"/>
      <c r="J3511" s="6"/>
      <c r="K3511" s="6"/>
      <c r="L3511" s="6"/>
      <c r="M3511" s="6"/>
      <c r="N3511" s="6"/>
      <c r="O3511" s="6"/>
      <c r="P3511" s="6"/>
      <c r="Q3511" s="6"/>
      <c r="R3511" s="6"/>
      <c r="S3511" s="6"/>
      <c r="T3511" s="6"/>
      <c r="U3511" s="6"/>
      <c r="V3511" s="6"/>
      <c r="W3511" s="6"/>
      <c r="X3511" s="6"/>
      <c r="Y3511" s="6"/>
      <c r="Z3511" s="6"/>
      <c r="AA3511" s="6"/>
      <c r="AB3511" s="6"/>
      <c r="AC3511" s="6"/>
      <c r="AD3511" s="6"/>
      <c r="AE3511" s="6"/>
      <c r="AF3511" s="6"/>
      <c r="AG3511" s="6"/>
      <c r="AH3511" s="6"/>
      <c r="AI3511" s="6"/>
      <c r="AJ3511" s="6"/>
      <c r="AK3511" s="6"/>
      <c r="AL3511" s="6"/>
      <c r="AM3511" s="6"/>
    </row>
    <row r="3512">
      <c r="A3512" s="6"/>
      <c r="B3512" s="6"/>
      <c r="C3512" s="6"/>
      <c r="D3512" s="6"/>
      <c r="E3512" s="6"/>
      <c r="F3512" s="6"/>
      <c r="G3512" s="6"/>
      <c r="H3512" s="6"/>
      <c r="I3512" s="6"/>
      <c r="J3512" s="6"/>
      <c r="K3512" s="6"/>
      <c r="L3512" s="6"/>
      <c r="M3512" s="6"/>
      <c r="N3512" s="6"/>
      <c r="O3512" s="6"/>
      <c r="P3512" s="6"/>
      <c r="Q3512" s="6"/>
      <c r="R3512" s="6"/>
      <c r="S3512" s="6"/>
      <c r="T3512" s="6"/>
      <c r="U3512" s="6"/>
      <c r="V3512" s="6"/>
      <c r="W3512" s="6"/>
      <c r="X3512" s="6"/>
      <c r="Y3512" s="6"/>
      <c r="Z3512" s="6"/>
      <c r="AA3512" s="6"/>
      <c r="AB3512" s="6"/>
      <c r="AC3512" s="6"/>
      <c r="AD3512" s="6"/>
      <c r="AE3512" s="6"/>
      <c r="AF3512" s="6"/>
      <c r="AG3512" s="6"/>
      <c r="AH3512" s="6"/>
      <c r="AI3512" s="6"/>
      <c r="AJ3512" s="6"/>
      <c r="AK3512" s="6"/>
      <c r="AL3512" s="6"/>
      <c r="AM3512" s="6"/>
    </row>
    <row r="3513">
      <c r="A3513" s="6"/>
      <c r="B3513" s="6"/>
      <c r="C3513" s="6"/>
      <c r="D3513" s="6"/>
      <c r="E3513" s="6"/>
      <c r="F3513" s="6"/>
      <c r="G3513" s="6"/>
      <c r="H3513" s="6"/>
      <c r="I3513" s="6"/>
      <c r="J3513" s="6"/>
      <c r="K3513" s="6"/>
      <c r="L3513" s="6"/>
      <c r="M3513" s="6"/>
      <c r="N3513" s="6"/>
      <c r="O3513" s="6"/>
      <c r="P3513" s="6"/>
      <c r="Q3513" s="6"/>
      <c r="R3513" s="6"/>
      <c r="S3513" s="6"/>
      <c r="T3513" s="6"/>
      <c r="U3513" s="6"/>
      <c r="V3513" s="6"/>
      <c r="W3513" s="6"/>
      <c r="X3513" s="6"/>
      <c r="Y3513" s="6"/>
      <c r="Z3513" s="6"/>
      <c r="AA3513" s="6"/>
      <c r="AB3513" s="6"/>
      <c r="AC3513" s="6"/>
      <c r="AD3513" s="6"/>
      <c r="AE3513" s="6"/>
      <c r="AF3513" s="6"/>
      <c r="AG3513" s="6"/>
      <c r="AH3513" s="6"/>
      <c r="AI3513" s="6"/>
      <c r="AJ3513" s="6"/>
      <c r="AK3513" s="6"/>
      <c r="AL3513" s="6"/>
      <c r="AM3513" s="6"/>
    </row>
    <row r="3514">
      <c r="A3514" s="6"/>
      <c r="B3514" s="6"/>
      <c r="C3514" s="6"/>
      <c r="D3514" s="6"/>
      <c r="E3514" s="6"/>
      <c r="F3514" s="6"/>
      <c r="G3514" s="6"/>
      <c r="H3514" s="6"/>
      <c r="I3514" s="6"/>
      <c r="J3514" s="6"/>
      <c r="K3514" s="6"/>
      <c r="L3514" s="6"/>
      <c r="M3514" s="6"/>
      <c r="N3514" s="6"/>
      <c r="O3514" s="6"/>
      <c r="P3514" s="6"/>
      <c r="Q3514" s="6"/>
      <c r="R3514" s="6"/>
      <c r="S3514" s="6"/>
      <c r="T3514" s="6"/>
      <c r="U3514" s="6"/>
      <c r="V3514" s="6"/>
      <c r="W3514" s="6"/>
      <c r="X3514" s="6"/>
      <c r="Y3514" s="6"/>
      <c r="Z3514" s="6"/>
      <c r="AA3514" s="6"/>
      <c r="AB3514" s="6"/>
      <c r="AC3514" s="6"/>
      <c r="AD3514" s="6"/>
      <c r="AE3514" s="6"/>
      <c r="AF3514" s="6"/>
      <c r="AG3514" s="6"/>
      <c r="AH3514" s="6"/>
      <c r="AI3514" s="6"/>
      <c r="AJ3514" s="6"/>
      <c r="AK3514" s="6"/>
      <c r="AL3514" s="6"/>
      <c r="AM3514" s="6"/>
    </row>
    <row r="3515">
      <c r="A3515" s="6"/>
      <c r="B3515" s="6"/>
      <c r="C3515" s="6"/>
      <c r="D3515" s="6"/>
      <c r="E3515" s="6"/>
      <c r="F3515" s="6"/>
      <c r="G3515" s="6"/>
      <c r="H3515" s="6"/>
      <c r="I3515" s="6"/>
      <c r="J3515" s="6"/>
      <c r="K3515" s="6"/>
      <c r="L3515" s="6"/>
      <c r="M3515" s="6"/>
      <c r="N3515" s="6"/>
      <c r="O3515" s="6"/>
      <c r="P3515" s="6"/>
      <c r="Q3515" s="6"/>
      <c r="R3515" s="6"/>
      <c r="S3515" s="6"/>
      <c r="T3515" s="6"/>
      <c r="U3515" s="6"/>
      <c r="V3515" s="6"/>
      <c r="W3515" s="6"/>
      <c r="X3515" s="6"/>
      <c r="Y3515" s="6"/>
      <c r="Z3515" s="6"/>
      <c r="AA3515" s="6"/>
      <c r="AB3515" s="6"/>
      <c r="AC3515" s="6"/>
      <c r="AD3515" s="6"/>
      <c r="AE3515" s="6"/>
      <c r="AF3515" s="6"/>
      <c r="AG3515" s="6"/>
      <c r="AH3515" s="6"/>
      <c r="AI3515" s="6"/>
      <c r="AJ3515" s="6"/>
      <c r="AK3515" s="6"/>
      <c r="AL3515" s="6"/>
      <c r="AM3515" s="6"/>
    </row>
    <row r="3516">
      <c r="A3516" s="6"/>
      <c r="B3516" s="6"/>
      <c r="C3516" s="6"/>
      <c r="D3516" s="6"/>
      <c r="E3516" s="6"/>
      <c r="F3516" s="6"/>
      <c r="G3516" s="6"/>
      <c r="H3516" s="6"/>
      <c r="I3516" s="6"/>
      <c r="J3516" s="6"/>
      <c r="K3516" s="6"/>
      <c r="L3516" s="6"/>
      <c r="M3516" s="6"/>
      <c r="N3516" s="6"/>
      <c r="O3516" s="6"/>
      <c r="P3516" s="6"/>
      <c r="Q3516" s="6"/>
      <c r="R3516" s="6"/>
      <c r="S3516" s="6"/>
      <c r="T3516" s="6"/>
      <c r="U3516" s="6"/>
      <c r="V3516" s="6"/>
      <c r="W3516" s="6"/>
      <c r="X3516" s="6"/>
      <c r="Y3516" s="6"/>
      <c r="Z3516" s="6"/>
      <c r="AA3516" s="6"/>
      <c r="AB3516" s="6"/>
      <c r="AC3516" s="6"/>
      <c r="AD3516" s="6"/>
      <c r="AE3516" s="6"/>
      <c r="AF3516" s="6"/>
      <c r="AG3516" s="6"/>
      <c r="AH3516" s="6"/>
      <c r="AI3516" s="6"/>
      <c r="AJ3516" s="6"/>
      <c r="AK3516" s="6"/>
      <c r="AL3516" s="6"/>
      <c r="AM3516" s="6"/>
    </row>
    <row r="3517">
      <c r="A3517" s="6"/>
      <c r="B3517" s="6"/>
      <c r="C3517" s="6"/>
      <c r="D3517" s="6"/>
      <c r="E3517" s="6"/>
      <c r="F3517" s="6"/>
      <c r="G3517" s="6"/>
      <c r="H3517" s="6"/>
      <c r="I3517" s="6"/>
      <c r="J3517" s="6"/>
      <c r="K3517" s="6"/>
      <c r="L3517" s="6"/>
      <c r="M3517" s="6"/>
      <c r="N3517" s="6"/>
      <c r="O3517" s="6"/>
      <c r="P3517" s="6"/>
      <c r="Q3517" s="6"/>
      <c r="R3517" s="6"/>
      <c r="S3517" s="6"/>
      <c r="T3517" s="6"/>
      <c r="U3517" s="6"/>
      <c r="V3517" s="6"/>
      <c r="W3517" s="6"/>
      <c r="X3517" s="6"/>
      <c r="Y3517" s="6"/>
      <c r="Z3517" s="6"/>
      <c r="AA3517" s="6"/>
      <c r="AB3517" s="6"/>
      <c r="AC3517" s="6"/>
      <c r="AD3517" s="6"/>
      <c r="AE3517" s="6"/>
      <c r="AF3517" s="6"/>
      <c r="AG3517" s="6"/>
      <c r="AH3517" s="6"/>
      <c r="AI3517" s="6"/>
      <c r="AJ3517" s="6"/>
      <c r="AK3517" s="6"/>
      <c r="AL3517" s="6"/>
      <c r="AM3517" s="6"/>
    </row>
    <row r="3518">
      <c r="A3518" s="6"/>
      <c r="B3518" s="6"/>
      <c r="C3518" s="6"/>
      <c r="D3518" s="6"/>
      <c r="E3518" s="6"/>
      <c r="F3518" s="6"/>
      <c r="G3518" s="6"/>
      <c r="H3518" s="6"/>
      <c r="I3518" s="6"/>
      <c r="J3518" s="6"/>
      <c r="K3518" s="6"/>
      <c r="L3518" s="6"/>
      <c r="M3518" s="6"/>
      <c r="N3518" s="6"/>
      <c r="O3518" s="6"/>
      <c r="P3518" s="6"/>
      <c r="Q3518" s="6"/>
      <c r="R3518" s="6"/>
      <c r="S3518" s="6"/>
      <c r="T3518" s="6"/>
      <c r="U3518" s="6"/>
      <c r="V3518" s="6"/>
      <c r="W3518" s="6"/>
      <c r="X3518" s="6"/>
      <c r="Y3518" s="6"/>
      <c r="Z3518" s="6"/>
      <c r="AA3518" s="6"/>
      <c r="AB3518" s="6"/>
      <c r="AC3518" s="6"/>
      <c r="AD3518" s="6"/>
      <c r="AE3518" s="6"/>
      <c r="AF3518" s="6"/>
      <c r="AG3518" s="6"/>
      <c r="AH3518" s="6"/>
      <c r="AI3518" s="6"/>
      <c r="AJ3518" s="6"/>
      <c r="AK3518" s="6"/>
      <c r="AL3518" s="6"/>
      <c r="AM3518" s="6"/>
    </row>
    <row r="3519">
      <c r="A3519" s="6"/>
      <c r="B3519" s="6"/>
      <c r="C3519" s="6"/>
      <c r="D3519" s="6"/>
      <c r="E3519" s="6"/>
      <c r="F3519" s="6"/>
      <c r="G3519" s="6"/>
      <c r="H3519" s="6"/>
      <c r="I3519" s="6"/>
      <c r="J3519" s="6"/>
      <c r="K3519" s="6"/>
      <c r="L3519" s="6"/>
      <c r="M3519" s="6"/>
      <c r="N3519" s="6"/>
      <c r="O3519" s="6"/>
      <c r="P3519" s="6"/>
      <c r="Q3519" s="6"/>
      <c r="R3519" s="6"/>
      <c r="S3519" s="6"/>
      <c r="T3519" s="6"/>
      <c r="U3519" s="6"/>
      <c r="V3519" s="6"/>
      <c r="W3519" s="6"/>
      <c r="X3519" s="6"/>
      <c r="Y3519" s="6"/>
      <c r="Z3519" s="6"/>
      <c r="AA3519" s="6"/>
      <c r="AB3519" s="6"/>
      <c r="AC3519" s="6"/>
      <c r="AD3519" s="6"/>
      <c r="AE3519" s="6"/>
      <c r="AF3519" s="6"/>
      <c r="AG3519" s="6"/>
      <c r="AH3519" s="6"/>
      <c r="AI3519" s="6"/>
      <c r="AJ3519" s="6"/>
      <c r="AK3519" s="6"/>
      <c r="AL3519" s="6"/>
      <c r="AM3519" s="6"/>
    </row>
    <row r="3520">
      <c r="A3520" s="6"/>
      <c r="B3520" s="6"/>
      <c r="C3520" s="6"/>
      <c r="D3520" s="6"/>
      <c r="E3520" s="6"/>
      <c r="F3520" s="6"/>
      <c r="G3520" s="6"/>
      <c r="H3520" s="6"/>
      <c r="I3520" s="6"/>
      <c r="J3520" s="6"/>
      <c r="K3520" s="6"/>
      <c r="L3520" s="6"/>
      <c r="M3520" s="6"/>
      <c r="N3520" s="6"/>
      <c r="O3520" s="6"/>
      <c r="P3520" s="6"/>
      <c r="Q3520" s="6"/>
      <c r="R3520" s="6"/>
      <c r="S3520" s="6"/>
      <c r="T3520" s="6"/>
      <c r="U3520" s="6"/>
      <c r="V3520" s="6"/>
      <c r="W3520" s="6"/>
      <c r="X3520" s="6"/>
      <c r="Y3520" s="6"/>
      <c r="Z3520" s="6"/>
      <c r="AA3520" s="6"/>
      <c r="AB3520" s="6"/>
      <c r="AC3520" s="6"/>
      <c r="AD3520" s="6"/>
      <c r="AE3520" s="6"/>
      <c r="AF3520" s="6"/>
      <c r="AG3520" s="6"/>
      <c r="AH3520" s="6"/>
      <c r="AI3520" s="6"/>
      <c r="AJ3520" s="6"/>
      <c r="AK3520" s="6"/>
      <c r="AL3520" s="6"/>
      <c r="AM3520" s="6"/>
    </row>
    <row r="3521">
      <c r="A3521" s="6"/>
      <c r="B3521" s="6"/>
      <c r="C3521" s="6"/>
      <c r="D3521" s="6"/>
      <c r="E3521" s="6"/>
      <c r="F3521" s="6"/>
      <c r="G3521" s="6"/>
      <c r="H3521" s="6"/>
      <c r="I3521" s="6"/>
      <c r="J3521" s="6"/>
      <c r="K3521" s="6"/>
      <c r="L3521" s="6"/>
      <c r="M3521" s="6"/>
      <c r="N3521" s="6"/>
      <c r="O3521" s="6"/>
      <c r="P3521" s="6"/>
      <c r="Q3521" s="6"/>
      <c r="R3521" s="6"/>
      <c r="S3521" s="6"/>
      <c r="T3521" s="6"/>
      <c r="U3521" s="6"/>
      <c r="V3521" s="6"/>
      <c r="W3521" s="6"/>
      <c r="X3521" s="6"/>
      <c r="Y3521" s="6"/>
      <c r="Z3521" s="6"/>
      <c r="AA3521" s="6"/>
      <c r="AB3521" s="6"/>
      <c r="AC3521" s="6"/>
      <c r="AD3521" s="6"/>
      <c r="AE3521" s="6"/>
      <c r="AF3521" s="6"/>
      <c r="AG3521" s="6"/>
      <c r="AH3521" s="6"/>
      <c r="AI3521" s="6"/>
      <c r="AJ3521" s="6"/>
      <c r="AK3521" s="6"/>
      <c r="AL3521" s="6"/>
      <c r="AM3521" s="6"/>
    </row>
    <row r="3522">
      <c r="A3522" s="6"/>
      <c r="B3522" s="6"/>
      <c r="C3522" s="6"/>
      <c r="D3522" s="6"/>
      <c r="E3522" s="6"/>
      <c r="F3522" s="6"/>
      <c r="G3522" s="6"/>
      <c r="H3522" s="6"/>
      <c r="I3522" s="6"/>
      <c r="J3522" s="6"/>
      <c r="K3522" s="6"/>
      <c r="L3522" s="6"/>
      <c r="M3522" s="6"/>
      <c r="N3522" s="6"/>
      <c r="O3522" s="6"/>
      <c r="P3522" s="6"/>
      <c r="Q3522" s="6"/>
      <c r="R3522" s="6"/>
      <c r="S3522" s="6"/>
      <c r="T3522" s="6"/>
      <c r="U3522" s="6"/>
      <c r="V3522" s="6"/>
      <c r="W3522" s="6"/>
      <c r="X3522" s="6"/>
      <c r="Y3522" s="6"/>
      <c r="Z3522" s="6"/>
      <c r="AA3522" s="6"/>
      <c r="AB3522" s="6"/>
      <c r="AC3522" s="6"/>
      <c r="AD3522" s="6"/>
      <c r="AE3522" s="6"/>
      <c r="AF3522" s="6"/>
      <c r="AG3522" s="6"/>
      <c r="AH3522" s="6"/>
      <c r="AI3522" s="6"/>
      <c r="AJ3522" s="6"/>
      <c r="AK3522" s="6"/>
      <c r="AL3522" s="6"/>
      <c r="AM3522" s="6"/>
    </row>
    <row r="3523">
      <c r="A3523" s="6"/>
      <c r="B3523" s="6"/>
      <c r="C3523" s="6"/>
      <c r="D3523" s="6"/>
      <c r="E3523" s="6"/>
      <c r="F3523" s="6"/>
      <c r="G3523" s="6"/>
      <c r="H3523" s="6"/>
      <c r="I3523" s="6"/>
      <c r="J3523" s="6"/>
      <c r="K3523" s="6"/>
      <c r="L3523" s="6"/>
      <c r="M3523" s="6"/>
      <c r="N3523" s="6"/>
      <c r="O3523" s="6"/>
      <c r="P3523" s="6"/>
      <c r="Q3523" s="6"/>
      <c r="R3523" s="6"/>
      <c r="S3523" s="6"/>
      <c r="T3523" s="6"/>
      <c r="U3523" s="6"/>
      <c r="V3523" s="6"/>
      <c r="W3523" s="6"/>
      <c r="X3523" s="6"/>
      <c r="Y3523" s="6"/>
      <c r="Z3523" s="6"/>
      <c r="AA3523" s="6"/>
      <c r="AB3523" s="6"/>
      <c r="AC3523" s="6"/>
      <c r="AD3523" s="6"/>
      <c r="AE3523" s="6"/>
      <c r="AF3523" s="6"/>
      <c r="AG3523" s="6"/>
      <c r="AH3523" s="6"/>
      <c r="AI3523" s="6"/>
      <c r="AJ3523" s="6"/>
      <c r="AK3523" s="6"/>
      <c r="AL3523" s="6"/>
      <c r="AM3523" s="6"/>
    </row>
    <row r="3524">
      <c r="A3524" s="6"/>
      <c r="B3524" s="6"/>
      <c r="C3524" s="6"/>
      <c r="D3524" s="6"/>
      <c r="E3524" s="6"/>
      <c r="F3524" s="6"/>
      <c r="G3524" s="6"/>
      <c r="H3524" s="6"/>
      <c r="I3524" s="6"/>
      <c r="J3524" s="6"/>
      <c r="K3524" s="6"/>
      <c r="L3524" s="6"/>
      <c r="M3524" s="6"/>
      <c r="N3524" s="6"/>
      <c r="O3524" s="6"/>
      <c r="P3524" s="6"/>
      <c r="Q3524" s="6"/>
      <c r="R3524" s="6"/>
      <c r="S3524" s="6"/>
      <c r="T3524" s="6"/>
      <c r="U3524" s="6"/>
      <c r="V3524" s="6"/>
      <c r="W3524" s="6"/>
      <c r="X3524" s="6"/>
      <c r="Y3524" s="6"/>
      <c r="Z3524" s="6"/>
      <c r="AA3524" s="6"/>
      <c r="AB3524" s="6"/>
      <c r="AC3524" s="6"/>
      <c r="AD3524" s="6"/>
      <c r="AE3524" s="6"/>
      <c r="AF3524" s="6"/>
      <c r="AG3524" s="6"/>
      <c r="AH3524" s="6"/>
      <c r="AI3524" s="6"/>
      <c r="AJ3524" s="6"/>
      <c r="AK3524" s="6"/>
      <c r="AL3524" s="6"/>
      <c r="AM3524" s="6"/>
    </row>
    <row r="3525">
      <c r="A3525" s="6"/>
      <c r="B3525" s="6"/>
      <c r="C3525" s="6"/>
      <c r="D3525" s="6"/>
      <c r="E3525" s="6"/>
      <c r="F3525" s="6"/>
      <c r="G3525" s="6"/>
      <c r="H3525" s="6"/>
      <c r="I3525" s="6"/>
      <c r="J3525" s="6"/>
      <c r="K3525" s="6"/>
      <c r="L3525" s="6"/>
      <c r="M3525" s="6"/>
      <c r="N3525" s="6"/>
      <c r="O3525" s="6"/>
      <c r="P3525" s="6"/>
      <c r="Q3525" s="6"/>
      <c r="R3525" s="6"/>
      <c r="S3525" s="6"/>
      <c r="T3525" s="6"/>
      <c r="U3525" s="6"/>
      <c r="V3525" s="6"/>
      <c r="W3525" s="6"/>
      <c r="X3525" s="6"/>
      <c r="Y3525" s="6"/>
      <c r="Z3525" s="6"/>
      <c r="AA3525" s="6"/>
      <c r="AB3525" s="6"/>
      <c r="AC3525" s="6"/>
      <c r="AD3525" s="6"/>
      <c r="AE3525" s="6"/>
      <c r="AF3525" s="6"/>
      <c r="AG3525" s="6"/>
      <c r="AH3525" s="6"/>
      <c r="AI3525" s="6"/>
      <c r="AJ3525" s="6"/>
      <c r="AK3525" s="6"/>
      <c r="AL3525" s="6"/>
      <c r="AM3525" s="6"/>
    </row>
    <row r="3526">
      <c r="A3526" s="6"/>
      <c r="B3526" s="6"/>
      <c r="C3526" s="6"/>
      <c r="D3526" s="6"/>
      <c r="E3526" s="6"/>
      <c r="F3526" s="6"/>
      <c r="G3526" s="6"/>
      <c r="H3526" s="6"/>
      <c r="I3526" s="6"/>
      <c r="J3526" s="6"/>
      <c r="K3526" s="6"/>
      <c r="L3526" s="6"/>
      <c r="M3526" s="6"/>
      <c r="N3526" s="6"/>
      <c r="O3526" s="6"/>
      <c r="P3526" s="6"/>
      <c r="Q3526" s="6"/>
      <c r="R3526" s="6"/>
      <c r="S3526" s="6"/>
      <c r="T3526" s="6"/>
      <c r="U3526" s="6"/>
      <c r="V3526" s="6"/>
      <c r="W3526" s="6"/>
      <c r="X3526" s="6"/>
      <c r="Y3526" s="6"/>
      <c r="Z3526" s="6"/>
      <c r="AA3526" s="6"/>
      <c r="AB3526" s="6"/>
      <c r="AC3526" s="6"/>
      <c r="AD3526" s="6"/>
      <c r="AE3526" s="6"/>
      <c r="AF3526" s="6"/>
      <c r="AG3526" s="6"/>
      <c r="AH3526" s="6"/>
      <c r="AI3526" s="6"/>
      <c r="AJ3526" s="6"/>
      <c r="AK3526" s="6"/>
      <c r="AL3526" s="6"/>
      <c r="AM3526" s="6"/>
    </row>
    <row r="3527">
      <c r="A3527" s="6"/>
      <c r="B3527" s="6"/>
      <c r="C3527" s="6"/>
      <c r="D3527" s="6"/>
      <c r="E3527" s="6"/>
      <c r="F3527" s="6"/>
      <c r="G3527" s="6"/>
      <c r="H3527" s="6"/>
      <c r="I3527" s="6"/>
      <c r="J3527" s="6"/>
      <c r="K3527" s="6"/>
      <c r="L3527" s="6"/>
      <c r="M3527" s="6"/>
      <c r="N3527" s="6"/>
      <c r="O3527" s="6"/>
      <c r="P3527" s="6"/>
      <c r="Q3527" s="6"/>
      <c r="R3527" s="6"/>
      <c r="S3527" s="6"/>
      <c r="T3527" s="6"/>
      <c r="U3527" s="6"/>
      <c r="V3527" s="6"/>
      <c r="W3527" s="6"/>
      <c r="X3527" s="6"/>
      <c r="Y3527" s="6"/>
      <c r="Z3527" s="6"/>
      <c r="AA3527" s="6"/>
      <c r="AB3527" s="6"/>
      <c r="AC3527" s="6"/>
      <c r="AD3527" s="6"/>
      <c r="AE3527" s="6"/>
      <c r="AF3527" s="6"/>
      <c r="AG3527" s="6"/>
      <c r="AH3527" s="6"/>
      <c r="AI3527" s="6"/>
      <c r="AJ3527" s="6"/>
      <c r="AK3527" s="6"/>
      <c r="AL3527" s="6"/>
      <c r="AM3527" s="6"/>
    </row>
    <row r="3528">
      <c r="A3528" s="6"/>
      <c r="B3528" s="6"/>
      <c r="C3528" s="6"/>
      <c r="D3528" s="6"/>
      <c r="E3528" s="6"/>
      <c r="F3528" s="6"/>
      <c r="G3528" s="6"/>
      <c r="H3528" s="6"/>
      <c r="I3528" s="6"/>
      <c r="J3528" s="6"/>
      <c r="K3528" s="6"/>
      <c r="L3528" s="6"/>
      <c r="M3528" s="6"/>
      <c r="N3528" s="6"/>
      <c r="O3528" s="6"/>
      <c r="P3528" s="6"/>
      <c r="Q3528" s="6"/>
      <c r="R3528" s="6"/>
      <c r="S3528" s="6"/>
      <c r="T3528" s="6"/>
      <c r="U3528" s="6"/>
      <c r="V3528" s="6"/>
      <c r="W3528" s="6"/>
      <c r="X3528" s="6"/>
      <c r="Y3528" s="6"/>
      <c r="Z3528" s="6"/>
      <c r="AA3528" s="6"/>
      <c r="AB3528" s="6"/>
      <c r="AC3528" s="6"/>
      <c r="AD3528" s="6"/>
      <c r="AE3528" s="6"/>
      <c r="AF3528" s="6"/>
      <c r="AG3528" s="6"/>
      <c r="AH3528" s="6"/>
      <c r="AI3528" s="6"/>
      <c r="AJ3528" s="6"/>
      <c r="AK3528" s="6"/>
      <c r="AL3528" s="6"/>
      <c r="AM3528" s="6"/>
    </row>
    <row r="3529">
      <c r="A3529" s="6"/>
      <c r="B3529" s="6"/>
      <c r="C3529" s="6"/>
      <c r="D3529" s="6"/>
      <c r="E3529" s="6"/>
      <c r="F3529" s="6"/>
      <c r="G3529" s="6"/>
      <c r="H3529" s="6"/>
      <c r="I3529" s="6"/>
      <c r="J3529" s="6"/>
      <c r="K3529" s="6"/>
      <c r="L3529" s="6"/>
      <c r="M3529" s="6"/>
      <c r="N3529" s="6"/>
      <c r="O3529" s="6"/>
      <c r="P3529" s="6"/>
      <c r="Q3529" s="6"/>
      <c r="R3529" s="6"/>
      <c r="S3529" s="6"/>
      <c r="T3529" s="6"/>
      <c r="U3529" s="6"/>
      <c r="V3529" s="6"/>
      <c r="W3529" s="6"/>
      <c r="X3529" s="6"/>
      <c r="Y3529" s="6"/>
      <c r="Z3529" s="6"/>
      <c r="AA3529" s="6"/>
      <c r="AB3529" s="6"/>
      <c r="AC3529" s="6"/>
      <c r="AD3529" s="6"/>
      <c r="AE3529" s="6"/>
      <c r="AF3529" s="6"/>
      <c r="AG3529" s="6"/>
      <c r="AH3529" s="6"/>
      <c r="AI3529" s="6"/>
      <c r="AJ3529" s="6"/>
      <c r="AK3529" s="6"/>
      <c r="AL3529" s="6"/>
      <c r="AM3529" s="6"/>
    </row>
    <row r="3530">
      <c r="A3530" s="6"/>
      <c r="B3530" s="6"/>
      <c r="C3530" s="6"/>
      <c r="D3530" s="6"/>
      <c r="E3530" s="6"/>
      <c r="F3530" s="6"/>
      <c r="G3530" s="6"/>
      <c r="H3530" s="6"/>
      <c r="I3530" s="6"/>
      <c r="J3530" s="6"/>
      <c r="K3530" s="6"/>
      <c r="L3530" s="6"/>
      <c r="M3530" s="6"/>
      <c r="N3530" s="6"/>
      <c r="O3530" s="6"/>
      <c r="P3530" s="6"/>
      <c r="Q3530" s="6"/>
      <c r="R3530" s="6"/>
      <c r="S3530" s="6"/>
      <c r="T3530" s="6"/>
      <c r="U3530" s="6"/>
      <c r="V3530" s="6"/>
      <c r="W3530" s="6"/>
      <c r="X3530" s="6"/>
      <c r="Y3530" s="6"/>
      <c r="Z3530" s="6"/>
      <c r="AA3530" s="6"/>
      <c r="AB3530" s="6"/>
      <c r="AC3530" s="6"/>
      <c r="AD3530" s="6"/>
      <c r="AE3530" s="6"/>
      <c r="AF3530" s="6"/>
      <c r="AG3530" s="6"/>
      <c r="AH3530" s="6"/>
      <c r="AI3530" s="6"/>
      <c r="AJ3530" s="6"/>
      <c r="AK3530" s="6"/>
      <c r="AL3530" s="6"/>
      <c r="AM3530" s="6"/>
    </row>
    <row r="3531">
      <c r="A3531" s="6"/>
      <c r="B3531" s="6"/>
      <c r="C3531" s="6"/>
      <c r="D3531" s="6"/>
      <c r="E3531" s="6"/>
      <c r="F3531" s="6"/>
      <c r="G3531" s="6"/>
      <c r="H3531" s="6"/>
      <c r="I3531" s="6"/>
      <c r="J3531" s="6"/>
      <c r="K3531" s="6"/>
      <c r="L3531" s="6"/>
      <c r="M3531" s="6"/>
      <c r="N3531" s="6"/>
      <c r="O3531" s="6"/>
      <c r="P3531" s="6"/>
      <c r="Q3531" s="6"/>
      <c r="R3531" s="6"/>
      <c r="S3531" s="6"/>
      <c r="T3531" s="6"/>
      <c r="U3531" s="6"/>
      <c r="V3531" s="6"/>
      <c r="W3531" s="6"/>
      <c r="X3531" s="6"/>
      <c r="Y3531" s="6"/>
      <c r="Z3531" s="6"/>
      <c r="AA3531" s="6"/>
      <c r="AB3531" s="6"/>
      <c r="AC3531" s="6"/>
      <c r="AD3531" s="6"/>
      <c r="AE3531" s="6"/>
      <c r="AF3531" s="6"/>
      <c r="AG3531" s="6"/>
      <c r="AH3531" s="6"/>
      <c r="AI3531" s="6"/>
      <c r="AJ3531" s="6"/>
      <c r="AK3531" s="6"/>
      <c r="AL3531" s="6"/>
      <c r="AM3531" s="6"/>
    </row>
    <row r="3532">
      <c r="A3532" s="6"/>
      <c r="B3532" s="6"/>
      <c r="C3532" s="6"/>
      <c r="D3532" s="6"/>
      <c r="E3532" s="6"/>
      <c r="F3532" s="6"/>
      <c r="G3532" s="6"/>
      <c r="H3532" s="6"/>
      <c r="I3532" s="6"/>
      <c r="J3532" s="6"/>
      <c r="K3532" s="6"/>
      <c r="L3532" s="6"/>
      <c r="M3532" s="6"/>
      <c r="N3532" s="6"/>
      <c r="O3532" s="6"/>
      <c r="P3532" s="6"/>
      <c r="Q3532" s="6"/>
      <c r="R3532" s="6"/>
      <c r="S3532" s="6"/>
      <c r="T3532" s="6"/>
      <c r="U3532" s="6"/>
      <c r="V3532" s="6"/>
      <c r="W3532" s="6"/>
      <c r="X3532" s="6"/>
      <c r="Y3532" s="6"/>
      <c r="Z3532" s="6"/>
      <c r="AA3532" s="6"/>
      <c r="AB3532" s="6"/>
      <c r="AC3532" s="6"/>
      <c r="AD3532" s="6"/>
      <c r="AE3532" s="6"/>
      <c r="AF3532" s="6"/>
      <c r="AG3532" s="6"/>
      <c r="AH3532" s="6"/>
      <c r="AI3532" s="6"/>
      <c r="AJ3532" s="6"/>
      <c r="AK3532" s="6"/>
      <c r="AL3532" s="6"/>
      <c r="AM3532" s="6"/>
    </row>
    <row r="3533">
      <c r="A3533" s="6"/>
      <c r="B3533" s="6"/>
      <c r="C3533" s="6"/>
      <c r="D3533" s="6"/>
      <c r="E3533" s="6"/>
      <c r="F3533" s="6"/>
      <c r="G3533" s="6"/>
      <c r="H3533" s="6"/>
      <c r="I3533" s="6"/>
      <c r="J3533" s="6"/>
      <c r="K3533" s="6"/>
      <c r="L3533" s="6"/>
      <c r="M3533" s="6"/>
      <c r="N3533" s="6"/>
      <c r="O3533" s="6"/>
      <c r="P3533" s="6"/>
      <c r="Q3533" s="6"/>
      <c r="R3533" s="6"/>
      <c r="S3533" s="6"/>
      <c r="T3533" s="6"/>
      <c r="U3533" s="6"/>
      <c r="V3533" s="6"/>
      <c r="W3533" s="6"/>
      <c r="X3533" s="6"/>
      <c r="Y3533" s="6"/>
      <c r="Z3533" s="6"/>
      <c r="AA3533" s="6"/>
      <c r="AB3533" s="6"/>
      <c r="AC3533" s="6"/>
      <c r="AD3533" s="6"/>
      <c r="AE3533" s="6"/>
      <c r="AF3533" s="6"/>
      <c r="AG3533" s="6"/>
      <c r="AH3533" s="6"/>
      <c r="AI3533" s="6"/>
      <c r="AJ3533" s="6"/>
      <c r="AK3533" s="6"/>
      <c r="AL3533" s="6"/>
      <c r="AM3533" s="6"/>
    </row>
    <row r="3534">
      <c r="A3534" s="6"/>
      <c r="B3534" s="6"/>
      <c r="C3534" s="6"/>
      <c r="D3534" s="6"/>
      <c r="E3534" s="6"/>
      <c r="F3534" s="6"/>
      <c r="G3534" s="6"/>
      <c r="H3534" s="6"/>
      <c r="I3534" s="6"/>
      <c r="J3534" s="6"/>
      <c r="K3534" s="6"/>
      <c r="L3534" s="6"/>
      <c r="M3534" s="6"/>
      <c r="N3534" s="6"/>
      <c r="O3534" s="6"/>
      <c r="P3534" s="6"/>
      <c r="Q3534" s="6"/>
      <c r="R3534" s="6"/>
      <c r="S3534" s="6"/>
      <c r="T3534" s="6"/>
      <c r="U3534" s="6"/>
      <c r="V3534" s="6"/>
      <c r="W3534" s="6"/>
      <c r="X3534" s="6"/>
      <c r="Y3534" s="6"/>
      <c r="Z3534" s="6"/>
      <c r="AA3534" s="6"/>
      <c r="AB3534" s="6"/>
      <c r="AC3534" s="6"/>
      <c r="AD3534" s="6"/>
      <c r="AE3534" s="6"/>
      <c r="AF3534" s="6"/>
      <c r="AG3534" s="6"/>
      <c r="AH3534" s="6"/>
      <c r="AI3534" s="6"/>
      <c r="AJ3534" s="6"/>
      <c r="AK3534" s="6"/>
      <c r="AL3534" s="6"/>
      <c r="AM3534" s="6"/>
    </row>
    <row r="3535">
      <c r="A3535" s="6"/>
      <c r="B3535" s="6"/>
      <c r="C3535" s="6"/>
      <c r="D3535" s="6"/>
      <c r="E3535" s="6"/>
      <c r="F3535" s="6"/>
      <c r="G3535" s="6"/>
      <c r="H3535" s="6"/>
      <c r="I3535" s="6"/>
      <c r="J3535" s="6"/>
      <c r="K3535" s="6"/>
      <c r="L3535" s="6"/>
      <c r="M3535" s="6"/>
      <c r="N3535" s="6"/>
      <c r="O3535" s="6"/>
      <c r="P3535" s="6"/>
      <c r="Q3535" s="6"/>
      <c r="R3535" s="6"/>
      <c r="S3535" s="6"/>
      <c r="T3535" s="6"/>
      <c r="U3535" s="6"/>
      <c r="V3535" s="6"/>
      <c r="W3535" s="6"/>
      <c r="X3535" s="6"/>
      <c r="Y3535" s="6"/>
      <c r="Z3535" s="6"/>
      <c r="AA3535" s="6"/>
      <c r="AB3535" s="6"/>
      <c r="AC3535" s="6"/>
      <c r="AD3535" s="6"/>
      <c r="AE3535" s="6"/>
      <c r="AF3535" s="6"/>
      <c r="AG3535" s="6"/>
      <c r="AH3535" s="6"/>
      <c r="AI3535" s="6"/>
      <c r="AJ3535" s="6"/>
      <c r="AK3535" s="6"/>
      <c r="AL3535" s="6"/>
      <c r="AM3535" s="6"/>
    </row>
    <row r="3536">
      <c r="A3536" s="6"/>
      <c r="B3536" s="6"/>
      <c r="C3536" s="6"/>
      <c r="D3536" s="6"/>
      <c r="E3536" s="6"/>
      <c r="F3536" s="6"/>
      <c r="G3536" s="6"/>
      <c r="H3536" s="6"/>
      <c r="I3536" s="6"/>
      <c r="J3536" s="6"/>
      <c r="K3536" s="6"/>
      <c r="L3536" s="6"/>
      <c r="M3536" s="6"/>
      <c r="N3536" s="6"/>
      <c r="O3536" s="6"/>
      <c r="P3536" s="6"/>
      <c r="Q3536" s="6"/>
      <c r="R3536" s="6"/>
      <c r="S3536" s="6"/>
      <c r="T3536" s="6"/>
      <c r="U3536" s="6"/>
      <c r="V3536" s="6"/>
      <c r="W3536" s="6"/>
      <c r="X3536" s="6"/>
      <c r="Y3536" s="6"/>
      <c r="Z3536" s="6"/>
      <c r="AA3536" s="6"/>
      <c r="AB3536" s="6"/>
      <c r="AC3536" s="6"/>
      <c r="AD3536" s="6"/>
      <c r="AE3536" s="6"/>
      <c r="AF3536" s="6"/>
      <c r="AG3536" s="6"/>
      <c r="AH3536" s="6"/>
      <c r="AI3536" s="6"/>
      <c r="AJ3536" s="6"/>
      <c r="AK3536" s="6"/>
      <c r="AL3536" s="6"/>
      <c r="AM3536" s="6"/>
    </row>
    <row r="3537">
      <c r="A3537" s="6"/>
      <c r="B3537" s="6"/>
      <c r="C3537" s="6"/>
      <c r="D3537" s="6"/>
      <c r="E3537" s="6"/>
      <c r="F3537" s="6"/>
      <c r="G3537" s="6"/>
      <c r="H3537" s="6"/>
      <c r="I3537" s="6"/>
      <c r="J3537" s="6"/>
      <c r="K3537" s="6"/>
      <c r="L3537" s="6"/>
      <c r="M3537" s="6"/>
      <c r="N3537" s="6"/>
      <c r="O3537" s="6"/>
      <c r="P3537" s="6"/>
      <c r="Q3537" s="6"/>
      <c r="R3537" s="6"/>
      <c r="S3537" s="6"/>
      <c r="T3537" s="6"/>
      <c r="U3537" s="6"/>
      <c r="V3537" s="6"/>
      <c r="W3537" s="6"/>
      <c r="X3537" s="6"/>
      <c r="Y3537" s="6"/>
      <c r="Z3537" s="6"/>
      <c r="AA3537" s="6"/>
      <c r="AB3537" s="6"/>
      <c r="AC3537" s="6"/>
      <c r="AD3537" s="6"/>
      <c r="AE3537" s="6"/>
      <c r="AF3537" s="6"/>
      <c r="AG3537" s="6"/>
      <c r="AH3537" s="6"/>
      <c r="AI3537" s="6"/>
      <c r="AJ3537" s="6"/>
      <c r="AK3537" s="6"/>
      <c r="AL3537" s="6"/>
      <c r="AM3537" s="6"/>
    </row>
    <row r="3538">
      <c r="A3538" s="6"/>
      <c r="B3538" s="6"/>
      <c r="C3538" s="6"/>
      <c r="D3538" s="6"/>
      <c r="E3538" s="6"/>
      <c r="F3538" s="6"/>
      <c r="G3538" s="6"/>
      <c r="H3538" s="6"/>
      <c r="I3538" s="6"/>
      <c r="J3538" s="6"/>
      <c r="K3538" s="6"/>
      <c r="L3538" s="6"/>
      <c r="M3538" s="6"/>
      <c r="N3538" s="6"/>
      <c r="O3538" s="6"/>
      <c r="P3538" s="6"/>
      <c r="Q3538" s="6"/>
      <c r="R3538" s="6"/>
      <c r="S3538" s="6"/>
      <c r="T3538" s="6"/>
      <c r="U3538" s="6"/>
      <c r="V3538" s="6"/>
      <c r="W3538" s="6"/>
      <c r="X3538" s="6"/>
      <c r="Y3538" s="6"/>
      <c r="Z3538" s="6"/>
      <c r="AA3538" s="6"/>
      <c r="AB3538" s="6"/>
      <c r="AC3538" s="6"/>
      <c r="AD3538" s="6"/>
      <c r="AE3538" s="6"/>
      <c r="AF3538" s="6"/>
      <c r="AG3538" s="6"/>
      <c r="AH3538" s="6"/>
      <c r="AI3538" s="6"/>
      <c r="AJ3538" s="6"/>
      <c r="AK3538" s="6"/>
      <c r="AL3538" s="6"/>
      <c r="AM3538" s="6"/>
    </row>
    <row r="3539">
      <c r="A3539" s="6"/>
      <c r="B3539" s="6"/>
      <c r="C3539" s="6"/>
      <c r="D3539" s="6"/>
      <c r="E3539" s="6"/>
      <c r="F3539" s="6"/>
      <c r="G3539" s="6"/>
      <c r="H3539" s="6"/>
      <c r="I3539" s="6"/>
      <c r="J3539" s="6"/>
      <c r="K3539" s="6"/>
      <c r="L3539" s="6"/>
      <c r="M3539" s="6"/>
      <c r="N3539" s="6"/>
      <c r="O3539" s="6"/>
      <c r="P3539" s="6"/>
      <c r="Q3539" s="6"/>
      <c r="R3539" s="6"/>
      <c r="S3539" s="6"/>
      <c r="T3539" s="6"/>
      <c r="U3539" s="6"/>
      <c r="V3539" s="6"/>
      <c r="W3539" s="6"/>
      <c r="X3539" s="6"/>
      <c r="Y3539" s="6"/>
      <c r="Z3539" s="6"/>
      <c r="AA3539" s="6"/>
      <c r="AB3539" s="6"/>
      <c r="AC3539" s="6"/>
      <c r="AD3539" s="6"/>
      <c r="AE3539" s="6"/>
      <c r="AF3539" s="6"/>
      <c r="AG3539" s="6"/>
      <c r="AH3539" s="6"/>
      <c r="AI3539" s="6"/>
      <c r="AJ3539" s="6"/>
      <c r="AK3539" s="6"/>
      <c r="AL3539" s="6"/>
      <c r="AM3539" s="6"/>
    </row>
    <row r="3540">
      <c r="A3540" s="6"/>
      <c r="B3540" s="6"/>
      <c r="C3540" s="6"/>
      <c r="D3540" s="6"/>
      <c r="E3540" s="6"/>
      <c r="F3540" s="6"/>
      <c r="G3540" s="6"/>
      <c r="H3540" s="6"/>
      <c r="I3540" s="6"/>
      <c r="J3540" s="6"/>
      <c r="K3540" s="6"/>
      <c r="L3540" s="6"/>
      <c r="M3540" s="6"/>
      <c r="N3540" s="6"/>
      <c r="O3540" s="6"/>
      <c r="P3540" s="6"/>
      <c r="Q3540" s="6"/>
      <c r="R3540" s="6"/>
      <c r="S3540" s="6"/>
      <c r="T3540" s="6"/>
      <c r="U3540" s="6"/>
      <c r="V3540" s="6"/>
      <c r="W3540" s="6"/>
      <c r="X3540" s="6"/>
      <c r="Y3540" s="6"/>
      <c r="Z3540" s="6"/>
      <c r="AA3540" s="6"/>
      <c r="AB3540" s="6"/>
      <c r="AC3540" s="6"/>
      <c r="AD3540" s="6"/>
      <c r="AE3540" s="6"/>
      <c r="AF3540" s="6"/>
      <c r="AG3540" s="6"/>
      <c r="AH3540" s="6"/>
      <c r="AI3540" s="6"/>
      <c r="AJ3540" s="6"/>
      <c r="AK3540" s="6"/>
      <c r="AL3540" s="6"/>
      <c r="AM3540" s="6"/>
    </row>
    <row r="3541">
      <c r="A3541" s="6"/>
      <c r="B3541" s="6"/>
      <c r="C3541" s="6"/>
      <c r="D3541" s="6"/>
      <c r="E3541" s="6"/>
      <c r="F3541" s="6"/>
      <c r="G3541" s="6"/>
      <c r="H3541" s="6"/>
      <c r="I3541" s="6"/>
      <c r="J3541" s="6"/>
      <c r="K3541" s="6"/>
      <c r="L3541" s="6"/>
      <c r="M3541" s="6"/>
      <c r="N3541" s="6"/>
      <c r="O3541" s="6"/>
      <c r="P3541" s="6"/>
      <c r="Q3541" s="6"/>
      <c r="R3541" s="6"/>
      <c r="S3541" s="6"/>
      <c r="T3541" s="6"/>
      <c r="U3541" s="6"/>
      <c r="V3541" s="6"/>
      <c r="W3541" s="6"/>
      <c r="X3541" s="6"/>
      <c r="Y3541" s="6"/>
      <c r="Z3541" s="6"/>
      <c r="AA3541" s="6"/>
      <c r="AB3541" s="6"/>
      <c r="AC3541" s="6"/>
      <c r="AD3541" s="6"/>
      <c r="AE3541" s="6"/>
      <c r="AF3541" s="6"/>
      <c r="AG3541" s="6"/>
      <c r="AH3541" s="6"/>
      <c r="AI3541" s="6"/>
      <c r="AJ3541" s="6"/>
      <c r="AK3541" s="6"/>
      <c r="AL3541" s="6"/>
      <c r="AM3541" s="6"/>
    </row>
    <row r="3542">
      <c r="A3542" s="6"/>
      <c r="B3542" s="6"/>
      <c r="C3542" s="6"/>
      <c r="D3542" s="6"/>
      <c r="E3542" s="6"/>
      <c r="F3542" s="6"/>
      <c r="G3542" s="6"/>
      <c r="H3542" s="6"/>
      <c r="I3542" s="6"/>
      <c r="J3542" s="6"/>
      <c r="K3542" s="6"/>
      <c r="L3542" s="6"/>
      <c r="M3542" s="6"/>
      <c r="N3542" s="6"/>
      <c r="O3542" s="6"/>
      <c r="P3542" s="6"/>
      <c r="Q3542" s="6"/>
      <c r="R3542" s="6"/>
      <c r="S3542" s="6"/>
      <c r="T3542" s="6"/>
      <c r="U3542" s="6"/>
      <c r="V3542" s="6"/>
      <c r="W3542" s="6"/>
      <c r="X3542" s="6"/>
      <c r="Y3542" s="6"/>
      <c r="Z3542" s="6"/>
      <c r="AA3542" s="6"/>
      <c r="AB3542" s="6"/>
      <c r="AC3542" s="6"/>
      <c r="AD3542" s="6"/>
      <c r="AE3542" s="6"/>
      <c r="AF3542" s="6"/>
      <c r="AG3542" s="6"/>
      <c r="AH3542" s="6"/>
      <c r="AI3542" s="6"/>
      <c r="AJ3542" s="6"/>
      <c r="AK3542" s="6"/>
      <c r="AL3542" s="6"/>
      <c r="AM3542" s="6"/>
    </row>
    <row r="3543">
      <c r="A3543" s="6"/>
      <c r="B3543" s="6"/>
      <c r="C3543" s="6"/>
      <c r="D3543" s="6"/>
      <c r="E3543" s="6"/>
      <c r="F3543" s="6"/>
      <c r="G3543" s="6"/>
      <c r="H3543" s="6"/>
      <c r="I3543" s="6"/>
      <c r="J3543" s="6"/>
      <c r="K3543" s="6"/>
      <c r="L3543" s="6"/>
      <c r="M3543" s="6"/>
      <c r="N3543" s="6"/>
      <c r="O3543" s="6"/>
      <c r="P3543" s="6"/>
      <c r="Q3543" s="6"/>
      <c r="R3543" s="6"/>
      <c r="S3543" s="6"/>
      <c r="T3543" s="6"/>
      <c r="U3543" s="6"/>
      <c r="V3543" s="6"/>
      <c r="W3543" s="6"/>
      <c r="X3543" s="6"/>
      <c r="Y3543" s="6"/>
      <c r="Z3543" s="6"/>
      <c r="AA3543" s="6"/>
      <c r="AB3543" s="6"/>
      <c r="AC3543" s="6"/>
      <c r="AD3543" s="6"/>
      <c r="AE3543" s="6"/>
      <c r="AF3543" s="6"/>
      <c r="AG3543" s="6"/>
      <c r="AH3543" s="6"/>
      <c r="AI3543" s="6"/>
      <c r="AJ3543" s="6"/>
      <c r="AK3543" s="6"/>
      <c r="AL3543" s="6"/>
      <c r="AM3543" s="6"/>
    </row>
    <row r="3544">
      <c r="A3544" s="6"/>
      <c r="B3544" s="6"/>
      <c r="C3544" s="6"/>
      <c r="D3544" s="6"/>
      <c r="E3544" s="6"/>
      <c r="F3544" s="6"/>
      <c r="G3544" s="6"/>
      <c r="H3544" s="6"/>
      <c r="I3544" s="6"/>
      <c r="J3544" s="6"/>
      <c r="K3544" s="6"/>
      <c r="L3544" s="6"/>
      <c r="M3544" s="6"/>
      <c r="N3544" s="6"/>
      <c r="O3544" s="6"/>
      <c r="P3544" s="6"/>
      <c r="Q3544" s="6"/>
      <c r="R3544" s="6"/>
      <c r="S3544" s="6"/>
      <c r="T3544" s="6"/>
      <c r="U3544" s="6"/>
      <c r="V3544" s="6"/>
      <c r="W3544" s="6"/>
      <c r="X3544" s="6"/>
      <c r="Y3544" s="6"/>
      <c r="Z3544" s="6"/>
      <c r="AA3544" s="6"/>
      <c r="AB3544" s="6"/>
      <c r="AC3544" s="6"/>
      <c r="AD3544" s="6"/>
      <c r="AE3544" s="6"/>
      <c r="AF3544" s="6"/>
      <c r="AG3544" s="6"/>
      <c r="AH3544" s="6"/>
      <c r="AI3544" s="6"/>
      <c r="AJ3544" s="6"/>
      <c r="AK3544" s="6"/>
      <c r="AL3544" s="6"/>
      <c r="AM3544" s="6"/>
    </row>
    <row r="3545">
      <c r="A3545" s="6"/>
      <c r="B3545" s="6"/>
      <c r="C3545" s="6"/>
      <c r="D3545" s="6"/>
      <c r="E3545" s="6"/>
      <c r="F3545" s="6"/>
      <c r="G3545" s="6"/>
      <c r="H3545" s="6"/>
      <c r="I3545" s="6"/>
      <c r="J3545" s="6"/>
      <c r="K3545" s="6"/>
      <c r="L3545" s="6"/>
      <c r="M3545" s="6"/>
      <c r="N3545" s="6"/>
      <c r="O3545" s="6"/>
      <c r="P3545" s="6"/>
      <c r="Q3545" s="6"/>
      <c r="R3545" s="6"/>
      <c r="S3545" s="6"/>
      <c r="T3545" s="6"/>
      <c r="U3545" s="6"/>
      <c r="V3545" s="6"/>
      <c r="W3545" s="6"/>
      <c r="X3545" s="6"/>
      <c r="Y3545" s="6"/>
      <c r="Z3545" s="6"/>
      <c r="AA3545" s="6"/>
      <c r="AB3545" s="6"/>
      <c r="AC3545" s="6"/>
      <c r="AD3545" s="6"/>
      <c r="AE3545" s="6"/>
      <c r="AF3545" s="6"/>
      <c r="AG3545" s="6"/>
      <c r="AH3545" s="6"/>
      <c r="AI3545" s="6"/>
      <c r="AJ3545" s="6"/>
      <c r="AK3545" s="6"/>
      <c r="AL3545" s="6"/>
      <c r="AM3545" s="6"/>
    </row>
    <row r="3546">
      <c r="A3546" s="6"/>
      <c r="B3546" s="6"/>
      <c r="C3546" s="6"/>
      <c r="D3546" s="6"/>
      <c r="E3546" s="6"/>
      <c r="F3546" s="6"/>
      <c r="G3546" s="6"/>
      <c r="H3546" s="6"/>
      <c r="I3546" s="6"/>
      <c r="J3546" s="6"/>
      <c r="K3546" s="6"/>
      <c r="L3546" s="6"/>
      <c r="M3546" s="6"/>
      <c r="N3546" s="6"/>
      <c r="O3546" s="6"/>
      <c r="P3546" s="6"/>
      <c r="Q3546" s="6"/>
      <c r="R3546" s="6"/>
      <c r="S3546" s="6"/>
      <c r="T3546" s="6"/>
      <c r="U3546" s="6"/>
      <c r="V3546" s="6"/>
      <c r="W3546" s="6"/>
      <c r="X3546" s="6"/>
      <c r="Y3546" s="6"/>
      <c r="Z3546" s="6"/>
      <c r="AA3546" s="6"/>
      <c r="AB3546" s="6"/>
      <c r="AC3546" s="6"/>
      <c r="AD3546" s="6"/>
      <c r="AE3546" s="6"/>
      <c r="AF3546" s="6"/>
      <c r="AG3546" s="6"/>
      <c r="AH3546" s="6"/>
      <c r="AI3546" s="6"/>
      <c r="AJ3546" s="6"/>
      <c r="AK3546" s="6"/>
      <c r="AL3546" s="6"/>
      <c r="AM3546" s="6"/>
    </row>
    <row r="3547">
      <c r="A3547" s="6"/>
      <c r="B3547" s="6"/>
      <c r="C3547" s="6"/>
      <c r="D3547" s="6"/>
      <c r="E3547" s="6"/>
      <c r="F3547" s="6"/>
      <c r="G3547" s="6"/>
      <c r="H3547" s="6"/>
      <c r="I3547" s="6"/>
      <c r="J3547" s="6"/>
      <c r="K3547" s="6"/>
      <c r="L3547" s="6"/>
      <c r="M3547" s="6"/>
      <c r="N3547" s="6"/>
      <c r="O3547" s="6"/>
      <c r="P3547" s="6"/>
      <c r="Q3547" s="6"/>
      <c r="R3547" s="6"/>
      <c r="S3547" s="6"/>
      <c r="T3547" s="6"/>
      <c r="U3547" s="6"/>
      <c r="V3547" s="6"/>
      <c r="W3547" s="6"/>
      <c r="X3547" s="6"/>
      <c r="Y3547" s="6"/>
      <c r="Z3547" s="6"/>
      <c r="AA3547" s="6"/>
      <c r="AB3547" s="6"/>
      <c r="AC3547" s="6"/>
      <c r="AD3547" s="6"/>
      <c r="AE3547" s="6"/>
      <c r="AF3547" s="6"/>
      <c r="AG3547" s="6"/>
      <c r="AH3547" s="6"/>
      <c r="AI3547" s="6"/>
      <c r="AJ3547" s="6"/>
      <c r="AK3547" s="6"/>
      <c r="AL3547" s="6"/>
      <c r="AM3547" s="6"/>
    </row>
    <row r="3548">
      <c r="A3548" s="6"/>
      <c r="B3548" s="6"/>
      <c r="C3548" s="6"/>
      <c r="D3548" s="6"/>
      <c r="E3548" s="6"/>
      <c r="F3548" s="6"/>
      <c r="G3548" s="6"/>
      <c r="H3548" s="6"/>
      <c r="I3548" s="6"/>
      <c r="J3548" s="6"/>
      <c r="K3548" s="6"/>
      <c r="L3548" s="6"/>
      <c r="M3548" s="6"/>
      <c r="N3548" s="6"/>
      <c r="O3548" s="6"/>
      <c r="P3548" s="6"/>
      <c r="Q3548" s="6"/>
      <c r="R3548" s="6"/>
      <c r="S3548" s="6"/>
      <c r="T3548" s="6"/>
      <c r="U3548" s="6"/>
      <c r="V3548" s="6"/>
      <c r="W3548" s="6"/>
      <c r="X3548" s="6"/>
      <c r="Y3548" s="6"/>
      <c r="Z3548" s="6"/>
      <c r="AA3548" s="6"/>
      <c r="AB3548" s="6"/>
      <c r="AC3548" s="6"/>
      <c r="AD3548" s="6"/>
      <c r="AE3548" s="6"/>
      <c r="AF3548" s="6"/>
      <c r="AG3548" s="6"/>
      <c r="AH3548" s="6"/>
      <c r="AI3548" s="6"/>
      <c r="AJ3548" s="6"/>
      <c r="AK3548" s="6"/>
      <c r="AL3548" s="6"/>
      <c r="AM3548" s="6"/>
    </row>
    <row r="3549">
      <c r="A3549" s="6"/>
      <c r="B3549" s="6"/>
      <c r="C3549" s="6"/>
      <c r="D3549" s="6"/>
      <c r="E3549" s="6"/>
      <c r="F3549" s="6"/>
      <c r="G3549" s="6"/>
      <c r="H3549" s="6"/>
      <c r="I3549" s="6"/>
      <c r="J3549" s="6"/>
      <c r="K3549" s="6"/>
      <c r="L3549" s="6"/>
      <c r="M3549" s="6"/>
      <c r="N3549" s="6"/>
      <c r="O3549" s="6"/>
      <c r="P3549" s="6"/>
      <c r="Q3549" s="6"/>
      <c r="R3549" s="6"/>
      <c r="S3549" s="6"/>
      <c r="T3549" s="6"/>
      <c r="U3549" s="6"/>
      <c r="V3549" s="6"/>
      <c r="W3549" s="6"/>
      <c r="X3549" s="6"/>
      <c r="Y3549" s="6"/>
      <c r="Z3549" s="6"/>
      <c r="AA3549" s="6"/>
      <c r="AB3549" s="6"/>
      <c r="AC3549" s="6"/>
      <c r="AD3549" s="6"/>
      <c r="AE3549" s="6"/>
      <c r="AF3549" s="6"/>
      <c r="AG3549" s="6"/>
      <c r="AH3549" s="6"/>
      <c r="AI3549" s="6"/>
      <c r="AJ3549" s="6"/>
      <c r="AK3549" s="6"/>
      <c r="AL3549" s="6"/>
      <c r="AM3549" s="6"/>
    </row>
    <row r="3550">
      <c r="A3550" s="6"/>
      <c r="B3550" s="6"/>
      <c r="C3550" s="6"/>
      <c r="D3550" s="6"/>
      <c r="E3550" s="6"/>
      <c r="F3550" s="6"/>
      <c r="G3550" s="6"/>
      <c r="H3550" s="6"/>
      <c r="I3550" s="6"/>
      <c r="J3550" s="6"/>
      <c r="K3550" s="6"/>
      <c r="L3550" s="6"/>
      <c r="M3550" s="6"/>
      <c r="N3550" s="6"/>
      <c r="O3550" s="6"/>
      <c r="P3550" s="6"/>
      <c r="Q3550" s="6"/>
      <c r="R3550" s="6"/>
      <c r="S3550" s="6"/>
      <c r="T3550" s="6"/>
      <c r="U3550" s="6"/>
      <c r="V3550" s="6"/>
      <c r="W3550" s="6"/>
      <c r="X3550" s="6"/>
      <c r="Y3550" s="6"/>
      <c r="Z3550" s="6"/>
      <c r="AA3550" s="6"/>
      <c r="AB3550" s="6"/>
      <c r="AC3550" s="6"/>
      <c r="AD3550" s="6"/>
      <c r="AE3550" s="6"/>
      <c r="AF3550" s="6"/>
      <c r="AG3550" s="6"/>
      <c r="AH3550" s="6"/>
      <c r="AI3550" s="6"/>
      <c r="AJ3550" s="6"/>
      <c r="AK3550" s="6"/>
      <c r="AL3550" s="6"/>
      <c r="AM3550" s="6"/>
    </row>
    <row r="3551">
      <c r="A3551" s="6"/>
      <c r="B3551" s="6"/>
      <c r="C3551" s="6"/>
      <c r="D3551" s="6"/>
      <c r="E3551" s="6"/>
      <c r="F3551" s="6"/>
      <c r="G3551" s="6"/>
      <c r="H3551" s="6"/>
      <c r="I3551" s="6"/>
      <c r="J3551" s="6"/>
      <c r="K3551" s="6"/>
      <c r="L3551" s="6"/>
      <c r="M3551" s="6"/>
      <c r="N3551" s="6"/>
      <c r="O3551" s="6"/>
      <c r="P3551" s="6"/>
      <c r="Q3551" s="6"/>
      <c r="R3551" s="6"/>
      <c r="S3551" s="6"/>
      <c r="T3551" s="6"/>
      <c r="U3551" s="6"/>
      <c r="V3551" s="6"/>
      <c r="W3551" s="6"/>
      <c r="X3551" s="6"/>
      <c r="Y3551" s="6"/>
      <c r="Z3551" s="6"/>
      <c r="AA3551" s="6"/>
      <c r="AB3551" s="6"/>
      <c r="AC3551" s="6"/>
      <c r="AD3551" s="6"/>
      <c r="AE3551" s="6"/>
      <c r="AF3551" s="6"/>
      <c r="AG3551" s="6"/>
      <c r="AH3551" s="6"/>
      <c r="AI3551" s="6"/>
      <c r="AJ3551" s="6"/>
      <c r="AK3551" s="6"/>
      <c r="AL3551" s="6"/>
      <c r="AM3551" s="6"/>
    </row>
    <row r="3552">
      <c r="A3552" s="6"/>
      <c r="B3552" s="6"/>
      <c r="C3552" s="6"/>
      <c r="D3552" s="6"/>
      <c r="E3552" s="6"/>
      <c r="F3552" s="6"/>
      <c r="G3552" s="6"/>
      <c r="H3552" s="6"/>
      <c r="I3552" s="6"/>
      <c r="J3552" s="6"/>
      <c r="K3552" s="6"/>
      <c r="L3552" s="6"/>
      <c r="M3552" s="6"/>
      <c r="N3552" s="6"/>
      <c r="O3552" s="6"/>
      <c r="P3552" s="6"/>
      <c r="Q3552" s="6"/>
      <c r="R3552" s="6"/>
      <c r="S3552" s="6"/>
      <c r="T3552" s="6"/>
      <c r="U3552" s="6"/>
      <c r="V3552" s="6"/>
      <c r="W3552" s="6"/>
      <c r="X3552" s="6"/>
      <c r="Y3552" s="6"/>
      <c r="Z3552" s="6"/>
      <c r="AA3552" s="6"/>
      <c r="AB3552" s="6"/>
      <c r="AC3552" s="6"/>
      <c r="AD3552" s="6"/>
      <c r="AE3552" s="6"/>
      <c r="AF3552" s="6"/>
      <c r="AG3552" s="6"/>
      <c r="AH3552" s="6"/>
      <c r="AI3552" s="6"/>
      <c r="AJ3552" s="6"/>
      <c r="AK3552" s="6"/>
      <c r="AL3552" s="6"/>
      <c r="AM3552" s="6"/>
    </row>
    <row r="3553">
      <c r="A3553" s="6"/>
      <c r="B3553" s="6"/>
      <c r="C3553" s="6"/>
      <c r="D3553" s="6"/>
      <c r="E3553" s="6"/>
      <c r="F3553" s="6"/>
      <c r="G3553" s="6"/>
      <c r="H3553" s="6"/>
      <c r="I3553" s="6"/>
      <c r="J3553" s="6"/>
      <c r="K3553" s="6"/>
      <c r="L3553" s="6"/>
      <c r="M3553" s="6"/>
      <c r="N3553" s="6"/>
      <c r="O3553" s="6"/>
      <c r="P3553" s="6"/>
      <c r="Q3553" s="6"/>
      <c r="R3553" s="6"/>
      <c r="S3553" s="6"/>
      <c r="T3553" s="6"/>
      <c r="U3553" s="6"/>
      <c r="V3553" s="6"/>
      <c r="W3553" s="6"/>
      <c r="X3553" s="6"/>
      <c r="Y3553" s="6"/>
      <c r="Z3553" s="6"/>
      <c r="AA3553" s="6"/>
      <c r="AB3553" s="6"/>
      <c r="AC3553" s="6"/>
      <c r="AD3553" s="6"/>
      <c r="AE3553" s="6"/>
      <c r="AF3553" s="6"/>
      <c r="AG3553" s="6"/>
      <c r="AH3553" s="6"/>
      <c r="AI3553" s="6"/>
      <c r="AJ3553" s="6"/>
      <c r="AK3553" s="6"/>
      <c r="AL3553" s="6"/>
      <c r="AM3553" s="6"/>
    </row>
    <row r="3554">
      <c r="A3554" s="6"/>
      <c r="B3554" s="6"/>
      <c r="C3554" s="6"/>
      <c r="D3554" s="6"/>
      <c r="E3554" s="6"/>
      <c r="F3554" s="6"/>
      <c r="G3554" s="6"/>
      <c r="H3554" s="6"/>
      <c r="I3554" s="6"/>
      <c r="J3554" s="6"/>
      <c r="K3554" s="6"/>
      <c r="L3554" s="6"/>
      <c r="M3554" s="6"/>
      <c r="N3554" s="6"/>
      <c r="O3554" s="6"/>
      <c r="P3554" s="6"/>
      <c r="Q3554" s="6"/>
      <c r="R3554" s="6"/>
      <c r="S3554" s="6"/>
      <c r="T3554" s="6"/>
      <c r="U3554" s="6"/>
      <c r="V3554" s="6"/>
      <c r="W3554" s="6"/>
      <c r="X3554" s="6"/>
      <c r="Y3554" s="6"/>
      <c r="Z3554" s="6"/>
      <c r="AA3554" s="6"/>
      <c r="AB3554" s="6"/>
      <c r="AC3554" s="6"/>
      <c r="AD3554" s="6"/>
      <c r="AE3554" s="6"/>
      <c r="AF3554" s="6"/>
      <c r="AG3554" s="6"/>
      <c r="AH3554" s="6"/>
      <c r="AI3554" s="6"/>
      <c r="AJ3554" s="6"/>
      <c r="AK3554" s="6"/>
      <c r="AL3554" s="6"/>
      <c r="AM3554" s="6"/>
    </row>
    <row r="3555">
      <c r="A3555" s="6"/>
      <c r="B3555" s="6"/>
      <c r="C3555" s="6"/>
      <c r="D3555" s="6"/>
      <c r="E3555" s="6"/>
      <c r="F3555" s="6"/>
      <c r="G3555" s="6"/>
      <c r="H3555" s="6"/>
      <c r="I3555" s="6"/>
      <c r="J3555" s="6"/>
      <c r="K3555" s="6"/>
      <c r="L3555" s="6"/>
      <c r="M3555" s="6"/>
      <c r="N3555" s="6"/>
      <c r="O3555" s="6"/>
      <c r="P3555" s="6"/>
      <c r="Q3555" s="6"/>
      <c r="R3555" s="6"/>
      <c r="S3555" s="6"/>
      <c r="T3555" s="6"/>
      <c r="U3555" s="6"/>
      <c r="V3555" s="6"/>
      <c r="W3555" s="6"/>
      <c r="X3555" s="6"/>
      <c r="Y3555" s="6"/>
      <c r="Z3555" s="6"/>
      <c r="AA3555" s="6"/>
      <c r="AB3555" s="6"/>
      <c r="AC3555" s="6"/>
      <c r="AD3555" s="6"/>
      <c r="AE3555" s="6"/>
      <c r="AF3555" s="6"/>
      <c r="AG3555" s="6"/>
      <c r="AH3555" s="6"/>
      <c r="AI3555" s="6"/>
      <c r="AJ3555" s="6"/>
      <c r="AK3555" s="6"/>
      <c r="AL3555" s="6"/>
      <c r="AM3555" s="6"/>
    </row>
    <row r="3556">
      <c r="A3556" s="6"/>
      <c r="B3556" s="6"/>
      <c r="C3556" s="6"/>
      <c r="D3556" s="6"/>
      <c r="E3556" s="6"/>
      <c r="F3556" s="6"/>
      <c r="G3556" s="6"/>
      <c r="H3556" s="6"/>
      <c r="I3556" s="6"/>
      <c r="J3556" s="6"/>
      <c r="K3556" s="6"/>
      <c r="L3556" s="6"/>
      <c r="M3556" s="6"/>
      <c r="N3556" s="6"/>
      <c r="O3556" s="6"/>
      <c r="P3556" s="6"/>
      <c r="Q3556" s="6"/>
      <c r="R3556" s="6"/>
      <c r="S3556" s="6"/>
      <c r="T3556" s="6"/>
      <c r="U3556" s="6"/>
      <c r="V3556" s="6"/>
      <c r="W3556" s="6"/>
      <c r="X3556" s="6"/>
      <c r="Y3556" s="6"/>
      <c r="Z3556" s="6"/>
      <c r="AA3556" s="6"/>
      <c r="AB3556" s="6"/>
      <c r="AC3556" s="6"/>
      <c r="AD3556" s="6"/>
      <c r="AE3556" s="6"/>
      <c r="AF3556" s="6"/>
      <c r="AG3556" s="6"/>
      <c r="AH3556" s="6"/>
      <c r="AI3556" s="6"/>
      <c r="AJ3556" s="6"/>
      <c r="AK3556" s="6"/>
      <c r="AL3556" s="6"/>
      <c r="AM3556" s="6"/>
    </row>
    <row r="3557">
      <c r="A3557" s="6"/>
      <c r="B3557" s="6"/>
      <c r="C3557" s="6"/>
      <c r="D3557" s="6"/>
      <c r="E3557" s="6"/>
      <c r="F3557" s="6"/>
      <c r="G3557" s="6"/>
      <c r="H3557" s="6"/>
      <c r="I3557" s="6"/>
      <c r="J3557" s="6"/>
      <c r="K3557" s="6"/>
      <c r="L3557" s="6"/>
      <c r="M3557" s="6"/>
      <c r="N3557" s="6"/>
      <c r="O3557" s="6"/>
      <c r="P3557" s="6"/>
      <c r="Q3557" s="6"/>
      <c r="R3557" s="6"/>
      <c r="S3557" s="6"/>
      <c r="T3557" s="6"/>
      <c r="U3557" s="6"/>
      <c r="V3557" s="6"/>
      <c r="W3557" s="6"/>
      <c r="X3557" s="6"/>
      <c r="Y3557" s="6"/>
      <c r="Z3557" s="6"/>
      <c r="AA3557" s="6"/>
      <c r="AB3557" s="6"/>
      <c r="AC3557" s="6"/>
      <c r="AD3557" s="6"/>
      <c r="AE3557" s="6"/>
      <c r="AF3557" s="6"/>
      <c r="AG3557" s="6"/>
      <c r="AH3557" s="6"/>
      <c r="AI3557" s="6"/>
      <c r="AJ3557" s="6"/>
      <c r="AK3557" s="6"/>
      <c r="AL3557" s="6"/>
      <c r="AM3557" s="6"/>
    </row>
    <row r="3558">
      <c r="A3558" s="6"/>
      <c r="B3558" s="6"/>
      <c r="C3558" s="6"/>
      <c r="D3558" s="6"/>
      <c r="E3558" s="6"/>
      <c r="F3558" s="6"/>
      <c r="G3558" s="6"/>
      <c r="H3558" s="6"/>
      <c r="I3558" s="6"/>
      <c r="J3558" s="6"/>
      <c r="K3558" s="6"/>
      <c r="L3558" s="6"/>
      <c r="M3558" s="6"/>
      <c r="N3558" s="6"/>
      <c r="O3558" s="6"/>
      <c r="P3558" s="6"/>
      <c r="Q3558" s="6"/>
      <c r="R3558" s="6"/>
      <c r="S3558" s="6"/>
      <c r="T3558" s="6"/>
      <c r="U3558" s="6"/>
      <c r="V3558" s="6"/>
      <c r="W3558" s="6"/>
      <c r="X3558" s="6"/>
      <c r="Y3558" s="6"/>
      <c r="Z3558" s="6"/>
      <c r="AA3558" s="6"/>
      <c r="AB3558" s="6"/>
      <c r="AC3558" s="6"/>
      <c r="AD3558" s="6"/>
      <c r="AE3558" s="6"/>
      <c r="AF3558" s="6"/>
      <c r="AG3558" s="6"/>
      <c r="AH3558" s="6"/>
      <c r="AI3558" s="6"/>
      <c r="AJ3558" s="6"/>
      <c r="AK3558" s="6"/>
      <c r="AL3558" s="6"/>
      <c r="AM3558" s="6"/>
    </row>
    <row r="3559">
      <c r="A3559" s="6"/>
      <c r="B3559" s="6"/>
      <c r="C3559" s="6"/>
      <c r="D3559" s="6"/>
      <c r="E3559" s="6"/>
      <c r="F3559" s="6"/>
      <c r="G3559" s="6"/>
      <c r="H3559" s="6"/>
      <c r="I3559" s="6"/>
      <c r="J3559" s="6"/>
      <c r="K3559" s="6"/>
      <c r="L3559" s="6"/>
      <c r="M3559" s="6"/>
      <c r="N3559" s="6"/>
      <c r="O3559" s="6"/>
      <c r="P3559" s="6"/>
      <c r="Q3559" s="6"/>
      <c r="R3559" s="6"/>
      <c r="S3559" s="6"/>
      <c r="T3559" s="6"/>
      <c r="U3559" s="6"/>
      <c r="V3559" s="6"/>
      <c r="W3559" s="6"/>
      <c r="X3559" s="6"/>
      <c r="Y3559" s="6"/>
      <c r="Z3559" s="6"/>
      <c r="AA3559" s="6"/>
      <c r="AB3559" s="6"/>
      <c r="AC3559" s="6"/>
      <c r="AD3559" s="6"/>
      <c r="AE3559" s="6"/>
      <c r="AF3559" s="6"/>
      <c r="AG3559" s="6"/>
      <c r="AH3559" s="6"/>
      <c r="AI3559" s="6"/>
      <c r="AJ3559" s="6"/>
      <c r="AK3559" s="6"/>
      <c r="AL3559" s="6"/>
      <c r="AM3559" s="6"/>
    </row>
    <row r="3560">
      <c r="A3560" s="6"/>
      <c r="B3560" s="6"/>
      <c r="C3560" s="6"/>
      <c r="D3560" s="6"/>
      <c r="E3560" s="6"/>
      <c r="F3560" s="6"/>
      <c r="G3560" s="6"/>
      <c r="H3560" s="6"/>
      <c r="I3560" s="6"/>
      <c r="J3560" s="6"/>
      <c r="K3560" s="6"/>
      <c r="L3560" s="6"/>
      <c r="M3560" s="6"/>
      <c r="N3560" s="6"/>
      <c r="O3560" s="6"/>
      <c r="P3560" s="6"/>
      <c r="Q3560" s="6"/>
      <c r="R3560" s="6"/>
      <c r="S3560" s="6"/>
      <c r="T3560" s="6"/>
      <c r="U3560" s="6"/>
      <c r="V3560" s="6"/>
      <c r="W3560" s="6"/>
      <c r="X3560" s="6"/>
      <c r="Y3560" s="6"/>
      <c r="Z3560" s="6"/>
      <c r="AA3560" s="6"/>
      <c r="AB3560" s="6"/>
      <c r="AC3560" s="6"/>
      <c r="AD3560" s="6"/>
      <c r="AE3560" s="6"/>
      <c r="AF3560" s="6"/>
      <c r="AG3560" s="6"/>
      <c r="AH3560" s="6"/>
      <c r="AI3560" s="6"/>
      <c r="AJ3560" s="6"/>
      <c r="AK3560" s="6"/>
      <c r="AL3560" s="6"/>
      <c r="AM3560" s="6"/>
    </row>
    <row r="3561">
      <c r="A3561" s="6"/>
      <c r="B3561" s="6"/>
      <c r="C3561" s="6"/>
      <c r="D3561" s="6"/>
      <c r="E3561" s="6"/>
      <c r="F3561" s="6"/>
      <c r="G3561" s="6"/>
      <c r="H3561" s="6"/>
      <c r="I3561" s="6"/>
      <c r="J3561" s="6"/>
      <c r="K3561" s="6"/>
      <c r="L3561" s="6"/>
      <c r="M3561" s="6"/>
      <c r="N3561" s="6"/>
      <c r="O3561" s="6"/>
      <c r="P3561" s="6"/>
      <c r="Q3561" s="6"/>
      <c r="R3561" s="6"/>
      <c r="S3561" s="6"/>
      <c r="T3561" s="6"/>
      <c r="U3561" s="6"/>
      <c r="V3561" s="6"/>
      <c r="W3561" s="6"/>
      <c r="X3561" s="6"/>
      <c r="Y3561" s="6"/>
      <c r="Z3561" s="6"/>
      <c r="AA3561" s="6"/>
      <c r="AB3561" s="6"/>
      <c r="AC3561" s="6"/>
      <c r="AD3561" s="6"/>
      <c r="AE3561" s="6"/>
      <c r="AF3561" s="6"/>
      <c r="AG3561" s="6"/>
      <c r="AH3561" s="6"/>
      <c r="AI3561" s="6"/>
      <c r="AJ3561" s="6"/>
      <c r="AK3561" s="6"/>
      <c r="AL3561" s="6"/>
      <c r="AM3561" s="6"/>
    </row>
    <row r="3562">
      <c r="A3562" s="6"/>
      <c r="B3562" s="6"/>
      <c r="C3562" s="6"/>
      <c r="D3562" s="6"/>
      <c r="E3562" s="6"/>
      <c r="F3562" s="6"/>
      <c r="G3562" s="6"/>
      <c r="H3562" s="6"/>
      <c r="I3562" s="6"/>
      <c r="J3562" s="6"/>
      <c r="K3562" s="6"/>
      <c r="L3562" s="6"/>
      <c r="M3562" s="6"/>
      <c r="N3562" s="6"/>
      <c r="O3562" s="6"/>
      <c r="P3562" s="6"/>
      <c r="Q3562" s="6"/>
      <c r="R3562" s="6"/>
      <c r="S3562" s="6"/>
      <c r="T3562" s="6"/>
      <c r="U3562" s="6"/>
      <c r="V3562" s="6"/>
      <c r="W3562" s="6"/>
      <c r="X3562" s="6"/>
      <c r="Y3562" s="6"/>
      <c r="Z3562" s="6"/>
      <c r="AA3562" s="6"/>
      <c r="AB3562" s="6"/>
      <c r="AC3562" s="6"/>
      <c r="AD3562" s="6"/>
      <c r="AE3562" s="6"/>
      <c r="AF3562" s="6"/>
      <c r="AG3562" s="6"/>
      <c r="AH3562" s="6"/>
      <c r="AI3562" s="6"/>
      <c r="AJ3562" s="6"/>
      <c r="AK3562" s="6"/>
      <c r="AL3562" s="6"/>
      <c r="AM3562" s="6"/>
    </row>
    <row r="3563">
      <c r="A3563" s="6"/>
      <c r="B3563" s="6"/>
      <c r="C3563" s="6"/>
      <c r="D3563" s="6"/>
      <c r="E3563" s="6"/>
      <c r="F3563" s="6"/>
      <c r="G3563" s="6"/>
      <c r="H3563" s="6"/>
      <c r="I3563" s="6"/>
      <c r="J3563" s="6"/>
      <c r="K3563" s="6"/>
      <c r="L3563" s="6"/>
      <c r="M3563" s="6"/>
      <c r="N3563" s="6"/>
      <c r="O3563" s="6"/>
      <c r="P3563" s="6"/>
      <c r="Q3563" s="6"/>
      <c r="R3563" s="6"/>
      <c r="S3563" s="6"/>
      <c r="T3563" s="6"/>
      <c r="U3563" s="6"/>
      <c r="V3563" s="6"/>
      <c r="W3563" s="6"/>
      <c r="X3563" s="6"/>
      <c r="Y3563" s="6"/>
      <c r="Z3563" s="6"/>
      <c r="AA3563" s="6"/>
      <c r="AB3563" s="6"/>
      <c r="AC3563" s="6"/>
      <c r="AD3563" s="6"/>
      <c r="AE3563" s="6"/>
      <c r="AF3563" s="6"/>
      <c r="AG3563" s="6"/>
      <c r="AH3563" s="6"/>
      <c r="AI3563" s="6"/>
      <c r="AJ3563" s="6"/>
      <c r="AK3563" s="6"/>
      <c r="AL3563" s="6"/>
      <c r="AM3563" s="6"/>
    </row>
    <row r="3564">
      <c r="A3564" s="6"/>
      <c r="B3564" s="6"/>
      <c r="C3564" s="6"/>
      <c r="D3564" s="6"/>
      <c r="E3564" s="6"/>
      <c r="F3564" s="6"/>
      <c r="G3564" s="6"/>
      <c r="H3564" s="6"/>
      <c r="I3564" s="6"/>
      <c r="J3564" s="6"/>
      <c r="K3564" s="6"/>
      <c r="L3564" s="6"/>
      <c r="M3564" s="6"/>
      <c r="N3564" s="6"/>
      <c r="O3564" s="6"/>
      <c r="P3564" s="6"/>
      <c r="Q3564" s="6"/>
      <c r="R3564" s="6"/>
      <c r="S3564" s="6"/>
      <c r="T3564" s="6"/>
      <c r="U3564" s="6"/>
      <c r="V3564" s="6"/>
      <c r="W3564" s="6"/>
      <c r="X3564" s="6"/>
      <c r="Y3564" s="6"/>
      <c r="Z3564" s="6"/>
      <c r="AA3564" s="6"/>
      <c r="AB3564" s="6"/>
      <c r="AC3564" s="6"/>
      <c r="AD3564" s="6"/>
      <c r="AE3564" s="6"/>
      <c r="AF3564" s="6"/>
      <c r="AG3564" s="6"/>
      <c r="AH3564" s="6"/>
      <c r="AI3564" s="6"/>
      <c r="AJ3564" s="6"/>
      <c r="AK3564" s="6"/>
      <c r="AL3564" s="6"/>
      <c r="AM3564" s="6"/>
    </row>
    <row r="3565">
      <c r="A3565" s="6"/>
      <c r="B3565" s="6"/>
      <c r="C3565" s="6"/>
      <c r="D3565" s="6"/>
      <c r="E3565" s="6"/>
      <c r="F3565" s="6"/>
      <c r="G3565" s="6"/>
      <c r="H3565" s="6"/>
      <c r="I3565" s="6"/>
      <c r="J3565" s="6"/>
      <c r="K3565" s="6"/>
      <c r="L3565" s="6"/>
      <c r="M3565" s="6"/>
      <c r="N3565" s="6"/>
      <c r="O3565" s="6"/>
      <c r="P3565" s="6"/>
      <c r="Q3565" s="6"/>
      <c r="R3565" s="6"/>
      <c r="S3565" s="6"/>
      <c r="T3565" s="6"/>
      <c r="U3565" s="6"/>
      <c r="V3565" s="6"/>
      <c r="W3565" s="6"/>
      <c r="X3565" s="6"/>
      <c r="Y3565" s="6"/>
      <c r="Z3565" s="6"/>
      <c r="AA3565" s="6"/>
      <c r="AB3565" s="6"/>
      <c r="AC3565" s="6"/>
      <c r="AD3565" s="6"/>
      <c r="AE3565" s="6"/>
      <c r="AF3565" s="6"/>
      <c r="AG3565" s="6"/>
      <c r="AH3565" s="6"/>
      <c r="AI3565" s="6"/>
      <c r="AJ3565" s="6"/>
      <c r="AK3565" s="6"/>
      <c r="AL3565" s="6"/>
      <c r="AM3565" s="6"/>
    </row>
    <row r="3566">
      <c r="A3566" s="6"/>
      <c r="B3566" s="6"/>
      <c r="C3566" s="6"/>
      <c r="D3566" s="6"/>
      <c r="E3566" s="6"/>
      <c r="F3566" s="6"/>
      <c r="G3566" s="6"/>
      <c r="H3566" s="6"/>
      <c r="I3566" s="6"/>
      <c r="J3566" s="6"/>
      <c r="K3566" s="6"/>
      <c r="L3566" s="6"/>
      <c r="M3566" s="6"/>
      <c r="N3566" s="6"/>
      <c r="O3566" s="6"/>
      <c r="P3566" s="6"/>
      <c r="Q3566" s="6"/>
      <c r="R3566" s="6"/>
      <c r="S3566" s="6"/>
      <c r="T3566" s="6"/>
      <c r="U3566" s="6"/>
      <c r="V3566" s="6"/>
      <c r="W3566" s="6"/>
      <c r="X3566" s="6"/>
      <c r="Y3566" s="6"/>
      <c r="Z3566" s="6"/>
      <c r="AA3566" s="6"/>
      <c r="AB3566" s="6"/>
      <c r="AC3566" s="6"/>
      <c r="AD3566" s="6"/>
      <c r="AE3566" s="6"/>
      <c r="AF3566" s="6"/>
      <c r="AG3566" s="6"/>
      <c r="AH3566" s="6"/>
      <c r="AI3566" s="6"/>
      <c r="AJ3566" s="6"/>
      <c r="AK3566" s="6"/>
      <c r="AL3566" s="6"/>
      <c r="AM3566" s="6"/>
    </row>
    <row r="3567">
      <c r="A3567" s="6"/>
      <c r="B3567" s="6"/>
      <c r="C3567" s="6"/>
      <c r="D3567" s="6"/>
      <c r="E3567" s="6"/>
      <c r="F3567" s="6"/>
      <c r="G3567" s="6"/>
      <c r="H3567" s="6"/>
      <c r="I3567" s="6"/>
      <c r="J3567" s="6"/>
      <c r="K3567" s="6"/>
      <c r="L3567" s="6"/>
      <c r="M3567" s="6"/>
      <c r="N3567" s="6"/>
      <c r="O3567" s="6"/>
      <c r="P3567" s="6"/>
      <c r="Q3567" s="6"/>
      <c r="R3567" s="6"/>
      <c r="S3567" s="6"/>
      <c r="T3567" s="6"/>
      <c r="U3567" s="6"/>
      <c r="V3567" s="6"/>
      <c r="W3567" s="6"/>
      <c r="X3567" s="6"/>
      <c r="Y3567" s="6"/>
      <c r="Z3567" s="6"/>
      <c r="AA3567" s="6"/>
      <c r="AB3567" s="6"/>
      <c r="AC3567" s="6"/>
      <c r="AD3567" s="6"/>
      <c r="AE3567" s="6"/>
      <c r="AF3567" s="6"/>
      <c r="AG3567" s="6"/>
      <c r="AH3567" s="6"/>
      <c r="AI3567" s="6"/>
      <c r="AJ3567" s="6"/>
      <c r="AK3567" s="6"/>
      <c r="AL3567" s="6"/>
      <c r="AM3567" s="6"/>
    </row>
    <row r="3568">
      <c r="A3568" s="6"/>
      <c r="B3568" s="6"/>
      <c r="C3568" s="6"/>
      <c r="D3568" s="6"/>
      <c r="E3568" s="6"/>
      <c r="F3568" s="6"/>
      <c r="G3568" s="6"/>
      <c r="H3568" s="6"/>
      <c r="I3568" s="6"/>
      <c r="J3568" s="6"/>
      <c r="K3568" s="6"/>
      <c r="L3568" s="6"/>
      <c r="M3568" s="6"/>
      <c r="N3568" s="6"/>
      <c r="O3568" s="6"/>
      <c r="P3568" s="6"/>
      <c r="Q3568" s="6"/>
      <c r="R3568" s="6"/>
      <c r="S3568" s="6"/>
      <c r="T3568" s="6"/>
      <c r="U3568" s="6"/>
      <c r="V3568" s="6"/>
      <c r="W3568" s="6"/>
      <c r="X3568" s="6"/>
      <c r="Y3568" s="6"/>
      <c r="Z3568" s="6"/>
      <c r="AA3568" s="6"/>
      <c r="AB3568" s="6"/>
      <c r="AC3568" s="6"/>
      <c r="AD3568" s="6"/>
      <c r="AE3568" s="6"/>
      <c r="AF3568" s="6"/>
      <c r="AG3568" s="6"/>
      <c r="AH3568" s="6"/>
      <c r="AI3568" s="6"/>
      <c r="AJ3568" s="6"/>
      <c r="AK3568" s="6"/>
      <c r="AL3568" s="6"/>
      <c r="AM3568" s="6"/>
    </row>
    <row r="3569">
      <c r="A3569" s="6"/>
      <c r="B3569" s="6"/>
      <c r="C3569" s="6"/>
      <c r="D3569" s="6"/>
      <c r="E3569" s="6"/>
      <c r="F3569" s="6"/>
      <c r="G3569" s="6"/>
      <c r="H3569" s="6"/>
      <c r="I3569" s="6"/>
      <c r="J3569" s="6"/>
      <c r="K3569" s="6"/>
      <c r="L3569" s="6"/>
      <c r="M3569" s="6"/>
      <c r="N3569" s="6"/>
      <c r="O3569" s="6"/>
      <c r="P3569" s="6"/>
      <c r="Q3569" s="6"/>
      <c r="R3569" s="6"/>
      <c r="S3569" s="6"/>
      <c r="T3569" s="6"/>
      <c r="U3569" s="6"/>
      <c r="V3569" s="6"/>
      <c r="W3569" s="6"/>
      <c r="X3569" s="6"/>
      <c r="Y3569" s="6"/>
      <c r="Z3569" s="6"/>
      <c r="AA3569" s="6"/>
      <c r="AB3569" s="6"/>
      <c r="AC3569" s="6"/>
      <c r="AD3569" s="6"/>
      <c r="AE3569" s="6"/>
      <c r="AF3569" s="6"/>
      <c r="AG3569" s="6"/>
      <c r="AH3569" s="6"/>
      <c r="AI3569" s="6"/>
      <c r="AJ3569" s="6"/>
      <c r="AK3569" s="6"/>
      <c r="AL3569" s="6"/>
      <c r="AM3569" s="6"/>
    </row>
    <row r="3570">
      <c r="A3570" s="6"/>
      <c r="B3570" s="6"/>
      <c r="C3570" s="6"/>
      <c r="D3570" s="6"/>
      <c r="E3570" s="6"/>
      <c r="F3570" s="6"/>
      <c r="G3570" s="6"/>
      <c r="H3570" s="6"/>
      <c r="I3570" s="6"/>
      <c r="J3570" s="6"/>
      <c r="K3570" s="6"/>
      <c r="L3570" s="6"/>
      <c r="M3570" s="6"/>
      <c r="N3570" s="6"/>
      <c r="O3570" s="6"/>
      <c r="P3570" s="6"/>
      <c r="Q3570" s="6"/>
      <c r="R3570" s="6"/>
      <c r="S3570" s="6"/>
      <c r="T3570" s="6"/>
      <c r="U3570" s="6"/>
      <c r="V3570" s="6"/>
      <c r="W3570" s="6"/>
      <c r="X3570" s="6"/>
      <c r="Y3570" s="6"/>
      <c r="Z3570" s="6"/>
      <c r="AA3570" s="6"/>
      <c r="AB3570" s="6"/>
      <c r="AC3570" s="6"/>
      <c r="AD3570" s="6"/>
      <c r="AE3570" s="6"/>
      <c r="AF3570" s="6"/>
      <c r="AG3570" s="6"/>
      <c r="AH3570" s="6"/>
      <c r="AI3570" s="6"/>
      <c r="AJ3570" s="6"/>
      <c r="AK3570" s="6"/>
      <c r="AL3570" s="6"/>
      <c r="AM3570" s="6"/>
    </row>
    <row r="3571">
      <c r="A3571" s="6"/>
      <c r="B3571" s="6"/>
      <c r="C3571" s="6"/>
      <c r="D3571" s="6"/>
      <c r="E3571" s="6"/>
      <c r="F3571" s="6"/>
      <c r="G3571" s="6"/>
      <c r="H3571" s="6"/>
      <c r="I3571" s="6"/>
      <c r="J3571" s="6"/>
      <c r="K3571" s="6"/>
      <c r="L3571" s="6"/>
      <c r="M3571" s="6"/>
      <c r="N3571" s="6"/>
      <c r="O3571" s="6"/>
      <c r="P3571" s="6"/>
      <c r="Q3571" s="6"/>
      <c r="R3571" s="6"/>
      <c r="S3571" s="6"/>
      <c r="T3571" s="6"/>
      <c r="U3571" s="6"/>
      <c r="V3571" s="6"/>
      <c r="W3571" s="6"/>
      <c r="X3571" s="6"/>
      <c r="Y3571" s="6"/>
      <c r="Z3571" s="6"/>
      <c r="AA3571" s="6"/>
      <c r="AB3571" s="6"/>
      <c r="AC3571" s="6"/>
      <c r="AD3571" s="6"/>
      <c r="AE3571" s="6"/>
      <c r="AF3571" s="6"/>
      <c r="AG3571" s="6"/>
      <c r="AH3571" s="6"/>
      <c r="AI3571" s="6"/>
      <c r="AJ3571" s="6"/>
      <c r="AK3571" s="6"/>
      <c r="AL3571" s="6"/>
      <c r="AM3571" s="6"/>
    </row>
    <row r="3572">
      <c r="A3572" s="6"/>
      <c r="B3572" s="6"/>
      <c r="C3572" s="6"/>
      <c r="D3572" s="6"/>
      <c r="E3572" s="6"/>
      <c r="F3572" s="6"/>
      <c r="G3572" s="6"/>
      <c r="H3572" s="6"/>
      <c r="I3572" s="6"/>
      <c r="J3572" s="6"/>
      <c r="K3572" s="6"/>
      <c r="L3572" s="6"/>
      <c r="M3572" s="6"/>
      <c r="N3572" s="6"/>
      <c r="O3572" s="6"/>
      <c r="P3572" s="6"/>
      <c r="Q3572" s="6"/>
      <c r="R3572" s="6"/>
      <c r="S3572" s="6"/>
      <c r="T3572" s="6"/>
      <c r="U3572" s="6"/>
      <c r="V3572" s="6"/>
      <c r="W3572" s="6"/>
      <c r="X3572" s="6"/>
      <c r="Y3572" s="6"/>
      <c r="Z3572" s="6"/>
      <c r="AA3572" s="6"/>
      <c r="AB3572" s="6"/>
      <c r="AC3572" s="6"/>
      <c r="AD3572" s="6"/>
      <c r="AE3572" s="6"/>
      <c r="AF3572" s="6"/>
      <c r="AG3572" s="6"/>
      <c r="AH3572" s="6"/>
      <c r="AI3572" s="6"/>
      <c r="AJ3572" s="6"/>
      <c r="AK3572" s="6"/>
      <c r="AL3572" s="6"/>
      <c r="AM3572" s="6"/>
    </row>
    <row r="3573">
      <c r="A3573" s="6"/>
      <c r="B3573" s="6"/>
      <c r="C3573" s="6"/>
      <c r="D3573" s="6"/>
      <c r="E3573" s="6"/>
      <c r="F3573" s="6"/>
      <c r="G3573" s="6"/>
      <c r="H3573" s="6"/>
      <c r="I3573" s="6"/>
      <c r="J3573" s="6"/>
      <c r="K3573" s="6"/>
      <c r="L3573" s="6"/>
      <c r="M3573" s="6"/>
      <c r="N3573" s="6"/>
      <c r="O3573" s="6"/>
      <c r="P3573" s="6"/>
      <c r="Q3573" s="6"/>
      <c r="R3573" s="6"/>
      <c r="S3573" s="6"/>
      <c r="T3573" s="6"/>
      <c r="U3573" s="6"/>
      <c r="V3573" s="6"/>
      <c r="W3573" s="6"/>
      <c r="X3573" s="6"/>
      <c r="Y3573" s="6"/>
      <c r="Z3573" s="6"/>
      <c r="AA3573" s="6"/>
      <c r="AB3573" s="6"/>
      <c r="AC3573" s="6"/>
      <c r="AD3573" s="6"/>
      <c r="AE3573" s="6"/>
      <c r="AF3573" s="6"/>
      <c r="AG3573" s="6"/>
      <c r="AH3573" s="6"/>
      <c r="AI3573" s="6"/>
      <c r="AJ3573" s="6"/>
      <c r="AK3573" s="6"/>
      <c r="AL3573" s="6"/>
      <c r="AM3573" s="6"/>
    </row>
    <row r="3574">
      <c r="A3574" s="6"/>
      <c r="B3574" s="6"/>
      <c r="C3574" s="6"/>
      <c r="D3574" s="6"/>
      <c r="E3574" s="6"/>
      <c r="F3574" s="6"/>
      <c r="G3574" s="6"/>
      <c r="H3574" s="6"/>
      <c r="I3574" s="6"/>
      <c r="J3574" s="6"/>
      <c r="K3574" s="6"/>
      <c r="L3574" s="6"/>
      <c r="M3574" s="6"/>
      <c r="N3574" s="6"/>
      <c r="O3574" s="6"/>
      <c r="P3574" s="6"/>
      <c r="Q3574" s="6"/>
      <c r="R3574" s="6"/>
      <c r="S3574" s="6"/>
      <c r="T3574" s="6"/>
      <c r="U3574" s="6"/>
      <c r="V3574" s="6"/>
      <c r="W3574" s="6"/>
      <c r="X3574" s="6"/>
      <c r="Y3574" s="6"/>
      <c r="Z3574" s="6"/>
      <c r="AA3574" s="6"/>
      <c r="AB3574" s="6"/>
      <c r="AC3574" s="6"/>
      <c r="AD3574" s="6"/>
      <c r="AE3574" s="6"/>
      <c r="AF3574" s="6"/>
      <c r="AG3574" s="6"/>
      <c r="AH3574" s="6"/>
      <c r="AI3574" s="6"/>
      <c r="AJ3574" s="6"/>
      <c r="AK3574" s="6"/>
      <c r="AL3574" s="6"/>
      <c r="AM3574" s="6"/>
    </row>
    <row r="3575">
      <c r="A3575" s="6"/>
      <c r="B3575" s="6"/>
      <c r="C3575" s="6"/>
      <c r="D3575" s="6"/>
      <c r="E3575" s="6"/>
      <c r="F3575" s="6"/>
      <c r="G3575" s="6"/>
      <c r="H3575" s="6"/>
      <c r="I3575" s="6"/>
      <c r="J3575" s="6"/>
      <c r="K3575" s="6"/>
      <c r="L3575" s="6"/>
      <c r="M3575" s="6"/>
      <c r="N3575" s="6"/>
      <c r="O3575" s="6"/>
      <c r="P3575" s="6"/>
      <c r="Q3575" s="6"/>
      <c r="R3575" s="6"/>
      <c r="S3575" s="6"/>
      <c r="T3575" s="6"/>
      <c r="U3575" s="6"/>
      <c r="V3575" s="6"/>
      <c r="W3575" s="6"/>
      <c r="X3575" s="6"/>
      <c r="Y3575" s="6"/>
      <c r="Z3575" s="6"/>
      <c r="AA3575" s="6"/>
      <c r="AB3575" s="6"/>
      <c r="AC3575" s="6"/>
      <c r="AD3575" s="6"/>
      <c r="AE3575" s="6"/>
      <c r="AF3575" s="6"/>
      <c r="AG3575" s="6"/>
      <c r="AH3575" s="6"/>
      <c r="AI3575" s="6"/>
      <c r="AJ3575" s="6"/>
      <c r="AK3575" s="6"/>
      <c r="AL3575" s="6"/>
      <c r="AM3575" s="6"/>
    </row>
    <row r="3576">
      <c r="A3576" s="6"/>
      <c r="B3576" s="6"/>
      <c r="C3576" s="6"/>
      <c r="D3576" s="6"/>
      <c r="E3576" s="6"/>
      <c r="F3576" s="6"/>
      <c r="G3576" s="6"/>
      <c r="H3576" s="6"/>
      <c r="I3576" s="6"/>
      <c r="J3576" s="6"/>
      <c r="K3576" s="6"/>
      <c r="L3576" s="6"/>
      <c r="M3576" s="6"/>
      <c r="N3576" s="6"/>
      <c r="O3576" s="6"/>
      <c r="P3576" s="6"/>
      <c r="Q3576" s="6"/>
      <c r="R3576" s="6"/>
      <c r="S3576" s="6"/>
      <c r="T3576" s="6"/>
      <c r="U3576" s="6"/>
      <c r="V3576" s="6"/>
      <c r="W3576" s="6"/>
      <c r="X3576" s="6"/>
      <c r="Y3576" s="6"/>
      <c r="Z3576" s="6"/>
      <c r="AA3576" s="6"/>
      <c r="AB3576" s="6"/>
      <c r="AC3576" s="6"/>
      <c r="AD3576" s="6"/>
      <c r="AE3576" s="6"/>
      <c r="AF3576" s="6"/>
      <c r="AG3576" s="6"/>
      <c r="AH3576" s="6"/>
      <c r="AI3576" s="6"/>
      <c r="AJ3576" s="6"/>
      <c r="AK3576" s="6"/>
      <c r="AL3576" s="6"/>
      <c r="AM3576" s="6"/>
    </row>
    <row r="3577">
      <c r="A3577" s="6"/>
      <c r="B3577" s="6"/>
      <c r="C3577" s="6"/>
      <c r="D3577" s="6"/>
      <c r="E3577" s="6"/>
      <c r="F3577" s="6"/>
      <c r="G3577" s="6"/>
      <c r="H3577" s="6"/>
      <c r="I3577" s="6"/>
      <c r="J3577" s="6"/>
      <c r="K3577" s="6"/>
      <c r="L3577" s="6"/>
      <c r="M3577" s="6"/>
      <c r="N3577" s="6"/>
      <c r="O3577" s="6"/>
      <c r="P3577" s="6"/>
      <c r="Q3577" s="6"/>
      <c r="R3577" s="6"/>
      <c r="S3577" s="6"/>
      <c r="T3577" s="6"/>
      <c r="U3577" s="6"/>
      <c r="V3577" s="6"/>
      <c r="W3577" s="6"/>
      <c r="X3577" s="6"/>
      <c r="Y3577" s="6"/>
      <c r="Z3577" s="6"/>
      <c r="AA3577" s="6"/>
      <c r="AB3577" s="6"/>
      <c r="AC3577" s="6"/>
      <c r="AD3577" s="6"/>
      <c r="AE3577" s="6"/>
      <c r="AF3577" s="6"/>
      <c r="AG3577" s="6"/>
      <c r="AH3577" s="6"/>
      <c r="AI3577" s="6"/>
      <c r="AJ3577" s="6"/>
      <c r="AK3577" s="6"/>
      <c r="AL3577" s="6"/>
      <c r="AM3577" s="6"/>
    </row>
    <row r="3578">
      <c r="A3578" s="6"/>
      <c r="B3578" s="6"/>
      <c r="C3578" s="6"/>
      <c r="D3578" s="6"/>
      <c r="E3578" s="6"/>
      <c r="F3578" s="6"/>
      <c r="G3578" s="6"/>
      <c r="H3578" s="6"/>
      <c r="I3578" s="6"/>
      <c r="J3578" s="6"/>
      <c r="K3578" s="6"/>
      <c r="L3578" s="6"/>
      <c r="M3578" s="6"/>
      <c r="N3578" s="6"/>
      <c r="O3578" s="6"/>
      <c r="P3578" s="6"/>
      <c r="Q3578" s="6"/>
      <c r="R3578" s="6"/>
      <c r="S3578" s="6"/>
      <c r="T3578" s="6"/>
      <c r="U3578" s="6"/>
      <c r="V3578" s="6"/>
      <c r="W3578" s="6"/>
      <c r="X3578" s="6"/>
      <c r="Y3578" s="6"/>
      <c r="Z3578" s="6"/>
      <c r="AA3578" s="6"/>
      <c r="AB3578" s="6"/>
      <c r="AC3578" s="6"/>
      <c r="AD3578" s="6"/>
      <c r="AE3578" s="6"/>
      <c r="AF3578" s="6"/>
      <c r="AG3578" s="6"/>
      <c r="AH3578" s="6"/>
      <c r="AI3578" s="6"/>
      <c r="AJ3578" s="6"/>
      <c r="AK3578" s="6"/>
      <c r="AL3578" s="6"/>
      <c r="AM3578" s="6"/>
    </row>
    <row r="3579">
      <c r="A3579" s="6"/>
      <c r="B3579" s="6"/>
      <c r="C3579" s="6"/>
      <c r="D3579" s="6"/>
      <c r="E3579" s="6"/>
      <c r="F3579" s="6"/>
      <c r="G3579" s="6"/>
      <c r="H3579" s="6"/>
      <c r="I3579" s="6"/>
      <c r="J3579" s="6"/>
      <c r="K3579" s="6"/>
      <c r="L3579" s="6"/>
      <c r="M3579" s="6"/>
      <c r="N3579" s="6"/>
      <c r="O3579" s="6"/>
      <c r="P3579" s="6"/>
      <c r="Q3579" s="6"/>
      <c r="R3579" s="6"/>
      <c r="S3579" s="6"/>
      <c r="T3579" s="6"/>
      <c r="U3579" s="6"/>
      <c r="V3579" s="6"/>
      <c r="W3579" s="6"/>
      <c r="X3579" s="6"/>
      <c r="Y3579" s="6"/>
      <c r="Z3579" s="6"/>
      <c r="AA3579" s="6"/>
      <c r="AB3579" s="6"/>
      <c r="AC3579" s="6"/>
      <c r="AD3579" s="6"/>
      <c r="AE3579" s="6"/>
      <c r="AF3579" s="6"/>
      <c r="AG3579" s="6"/>
      <c r="AH3579" s="6"/>
      <c r="AI3579" s="6"/>
      <c r="AJ3579" s="6"/>
      <c r="AK3579" s="6"/>
      <c r="AL3579" s="6"/>
      <c r="AM3579" s="6"/>
    </row>
    <row r="3580">
      <c r="A3580" s="6"/>
      <c r="B3580" s="6"/>
      <c r="C3580" s="6"/>
      <c r="D3580" s="6"/>
      <c r="E3580" s="6"/>
      <c r="F3580" s="6"/>
      <c r="G3580" s="6"/>
      <c r="H3580" s="6"/>
      <c r="I3580" s="6"/>
      <c r="J3580" s="6"/>
      <c r="K3580" s="6"/>
      <c r="L3580" s="6"/>
      <c r="M3580" s="6"/>
      <c r="N3580" s="6"/>
      <c r="O3580" s="6"/>
      <c r="P3580" s="6"/>
      <c r="Q3580" s="6"/>
      <c r="R3580" s="6"/>
      <c r="S3580" s="6"/>
      <c r="T3580" s="6"/>
      <c r="U3580" s="6"/>
      <c r="V3580" s="6"/>
      <c r="W3580" s="6"/>
      <c r="X3580" s="6"/>
      <c r="Y3580" s="6"/>
      <c r="Z3580" s="6"/>
      <c r="AA3580" s="6"/>
      <c r="AB3580" s="6"/>
      <c r="AC3580" s="6"/>
      <c r="AD3580" s="6"/>
      <c r="AE3580" s="6"/>
      <c r="AF3580" s="6"/>
      <c r="AG3580" s="6"/>
      <c r="AH3580" s="6"/>
      <c r="AI3580" s="6"/>
      <c r="AJ3580" s="6"/>
      <c r="AK3580" s="6"/>
      <c r="AL3580" s="6"/>
      <c r="AM3580" s="6"/>
    </row>
    <row r="3581">
      <c r="A3581" s="6"/>
      <c r="B3581" s="6"/>
      <c r="C3581" s="6"/>
      <c r="D3581" s="6"/>
      <c r="E3581" s="6"/>
      <c r="F3581" s="6"/>
      <c r="G3581" s="6"/>
      <c r="H3581" s="6"/>
      <c r="I3581" s="6"/>
      <c r="J3581" s="6"/>
      <c r="K3581" s="6"/>
      <c r="L3581" s="6"/>
      <c r="M3581" s="6"/>
      <c r="N3581" s="6"/>
      <c r="O3581" s="6"/>
      <c r="P3581" s="6"/>
      <c r="Q3581" s="6"/>
      <c r="R3581" s="6"/>
      <c r="S3581" s="6"/>
      <c r="T3581" s="6"/>
      <c r="U3581" s="6"/>
      <c r="V3581" s="6"/>
      <c r="W3581" s="6"/>
      <c r="X3581" s="6"/>
      <c r="Y3581" s="6"/>
      <c r="Z3581" s="6"/>
      <c r="AA3581" s="6"/>
      <c r="AB3581" s="6"/>
      <c r="AC3581" s="6"/>
      <c r="AD3581" s="6"/>
      <c r="AE3581" s="6"/>
      <c r="AF3581" s="6"/>
      <c r="AG3581" s="6"/>
      <c r="AH3581" s="6"/>
      <c r="AI3581" s="6"/>
      <c r="AJ3581" s="6"/>
      <c r="AK3581" s="6"/>
      <c r="AL3581" s="6"/>
      <c r="AM3581" s="6"/>
    </row>
    <row r="3582">
      <c r="A3582" s="6"/>
      <c r="B3582" s="6"/>
      <c r="C3582" s="6"/>
      <c r="D3582" s="6"/>
      <c r="E3582" s="6"/>
      <c r="F3582" s="6"/>
      <c r="G3582" s="6"/>
      <c r="H3582" s="6"/>
      <c r="I3582" s="6"/>
      <c r="J3582" s="6"/>
      <c r="K3582" s="6"/>
      <c r="L3582" s="6"/>
      <c r="M3582" s="6"/>
      <c r="N3582" s="6"/>
      <c r="O3582" s="6"/>
      <c r="P3582" s="6"/>
      <c r="Q3582" s="6"/>
      <c r="R3582" s="6"/>
      <c r="S3582" s="6"/>
      <c r="T3582" s="6"/>
      <c r="U3582" s="6"/>
      <c r="V3582" s="6"/>
      <c r="W3582" s="6"/>
      <c r="X3582" s="6"/>
      <c r="Y3582" s="6"/>
      <c r="Z3582" s="6"/>
      <c r="AA3582" s="6"/>
      <c r="AB3582" s="6"/>
      <c r="AC3582" s="6"/>
      <c r="AD3582" s="6"/>
      <c r="AE3582" s="6"/>
      <c r="AF3582" s="6"/>
      <c r="AG3582" s="6"/>
      <c r="AH3582" s="6"/>
      <c r="AI3582" s="6"/>
      <c r="AJ3582" s="6"/>
      <c r="AK3582" s="6"/>
      <c r="AL3582" s="6"/>
      <c r="AM3582" s="6"/>
    </row>
    <row r="3583">
      <c r="A3583" s="6"/>
      <c r="B3583" s="6"/>
      <c r="C3583" s="6"/>
      <c r="D3583" s="6"/>
      <c r="E3583" s="6"/>
      <c r="F3583" s="6"/>
      <c r="G3583" s="6"/>
      <c r="H3583" s="6"/>
      <c r="I3583" s="6"/>
      <c r="J3583" s="6"/>
      <c r="K3583" s="6"/>
      <c r="L3583" s="6"/>
      <c r="M3583" s="6"/>
      <c r="N3583" s="6"/>
      <c r="O3583" s="6"/>
      <c r="P3583" s="6"/>
      <c r="Q3583" s="6"/>
      <c r="R3583" s="6"/>
      <c r="S3583" s="6"/>
      <c r="T3583" s="6"/>
      <c r="U3583" s="6"/>
      <c r="V3583" s="6"/>
      <c r="W3583" s="6"/>
      <c r="X3583" s="6"/>
      <c r="Y3583" s="6"/>
      <c r="Z3583" s="6"/>
      <c r="AA3583" s="6"/>
      <c r="AB3583" s="6"/>
      <c r="AC3583" s="6"/>
      <c r="AD3583" s="6"/>
      <c r="AE3583" s="6"/>
      <c r="AF3583" s="6"/>
      <c r="AG3583" s="6"/>
      <c r="AH3583" s="6"/>
      <c r="AI3583" s="6"/>
      <c r="AJ3583" s="6"/>
      <c r="AK3583" s="6"/>
      <c r="AL3583" s="6"/>
      <c r="AM3583" s="6"/>
    </row>
    <row r="3584">
      <c r="A3584" s="6"/>
      <c r="B3584" s="6"/>
      <c r="C3584" s="6"/>
      <c r="D3584" s="6"/>
      <c r="E3584" s="6"/>
      <c r="F3584" s="6"/>
      <c r="G3584" s="6"/>
      <c r="H3584" s="6"/>
      <c r="I3584" s="6"/>
      <c r="J3584" s="6"/>
      <c r="K3584" s="6"/>
      <c r="L3584" s="6"/>
      <c r="M3584" s="6"/>
      <c r="N3584" s="6"/>
      <c r="O3584" s="6"/>
      <c r="P3584" s="6"/>
      <c r="Q3584" s="6"/>
      <c r="R3584" s="6"/>
      <c r="S3584" s="6"/>
      <c r="T3584" s="6"/>
      <c r="U3584" s="6"/>
      <c r="V3584" s="6"/>
      <c r="W3584" s="6"/>
      <c r="X3584" s="6"/>
      <c r="Y3584" s="6"/>
      <c r="Z3584" s="6"/>
      <c r="AA3584" s="6"/>
      <c r="AB3584" s="6"/>
      <c r="AC3584" s="6"/>
      <c r="AD3584" s="6"/>
      <c r="AE3584" s="6"/>
      <c r="AF3584" s="6"/>
      <c r="AG3584" s="6"/>
      <c r="AH3584" s="6"/>
      <c r="AI3584" s="6"/>
      <c r="AJ3584" s="6"/>
      <c r="AK3584" s="6"/>
      <c r="AL3584" s="6"/>
      <c r="AM3584" s="6"/>
    </row>
    <row r="3585">
      <c r="A3585" s="6"/>
      <c r="B3585" s="6"/>
      <c r="C3585" s="6"/>
      <c r="D3585" s="6"/>
      <c r="E3585" s="6"/>
      <c r="F3585" s="6"/>
      <c r="G3585" s="6"/>
      <c r="H3585" s="6"/>
      <c r="I3585" s="6"/>
      <c r="J3585" s="6"/>
      <c r="K3585" s="6"/>
      <c r="L3585" s="6"/>
      <c r="M3585" s="6"/>
      <c r="N3585" s="6"/>
      <c r="O3585" s="6"/>
      <c r="P3585" s="6"/>
      <c r="Q3585" s="6"/>
      <c r="R3585" s="6"/>
      <c r="S3585" s="6"/>
      <c r="T3585" s="6"/>
      <c r="U3585" s="6"/>
      <c r="V3585" s="6"/>
      <c r="W3585" s="6"/>
      <c r="X3585" s="6"/>
      <c r="Y3585" s="6"/>
      <c r="Z3585" s="6"/>
      <c r="AA3585" s="6"/>
      <c r="AB3585" s="6"/>
      <c r="AC3585" s="6"/>
      <c r="AD3585" s="6"/>
      <c r="AE3585" s="6"/>
      <c r="AF3585" s="6"/>
      <c r="AG3585" s="6"/>
      <c r="AH3585" s="6"/>
      <c r="AI3585" s="6"/>
      <c r="AJ3585" s="6"/>
      <c r="AK3585" s="6"/>
      <c r="AL3585" s="6"/>
      <c r="AM3585" s="6"/>
    </row>
    <row r="3586">
      <c r="A3586" s="6"/>
      <c r="B3586" s="6"/>
      <c r="C3586" s="6"/>
      <c r="D3586" s="6"/>
      <c r="E3586" s="6"/>
      <c r="F3586" s="6"/>
      <c r="G3586" s="6"/>
      <c r="H3586" s="6"/>
      <c r="I3586" s="6"/>
      <c r="J3586" s="6"/>
      <c r="K3586" s="6"/>
      <c r="L3586" s="6"/>
      <c r="M3586" s="6"/>
      <c r="N3586" s="6"/>
      <c r="O3586" s="6"/>
      <c r="P3586" s="6"/>
      <c r="Q3586" s="6"/>
      <c r="R3586" s="6"/>
      <c r="S3586" s="6"/>
      <c r="T3586" s="6"/>
      <c r="U3586" s="6"/>
      <c r="V3586" s="6"/>
      <c r="W3586" s="6"/>
      <c r="X3586" s="6"/>
      <c r="Y3586" s="6"/>
      <c r="Z3586" s="6"/>
      <c r="AA3586" s="6"/>
      <c r="AB3586" s="6"/>
      <c r="AC3586" s="6"/>
      <c r="AD3586" s="6"/>
      <c r="AE3586" s="6"/>
      <c r="AF3586" s="6"/>
      <c r="AG3586" s="6"/>
      <c r="AH3586" s="6"/>
      <c r="AI3586" s="6"/>
      <c r="AJ3586" s="6"/>
      <c r="AK3586" s="6"/>
      <c r="AL3586" s="6"/>
      <c r="AM3586" s="6"/>
    </row>
    <row r="3587">
      <c r="A3587" s="6"/>
      <c r="B3587" s="6"/>
      <c r="C3587" s="6"/>
      <c r="D3587" s="6"/>
      <c r="E3587" s="6"/>
      <c r="F3587" s="6"/>
      <c r="G3587" s="6"/>
      <c r="H3587" s="6"/>
      <c r="I3587" s="6"/>
      <c r="J3587" s="6"/>
      <c r="K3587" s="6"/>
      <c r="L3587" s="6"/>
      <c r="M3587" s="6"/>
      <c r="N3587" s="6"/>
      <c r="O3587" s="6"/>
      <c r="P3587" s="6"/>
      <c r="Q3587" s="6"/>
      <c r="R3587" s="6"/>
      <c r="S3587" s="6"/>
      <c r="T3587" s="6"/>
      <c r="U3587" s="6"/>
      <c r="V3587" s="6"/>
      <c r="W3587" s="6"/>
      <c r="X3587" s="6"/>
      <c r="Y3587" s="6"/>
      <c r="Z3587" s="6"/>
      <c r="AA3587" s="6"/>
      <c r="AB3587" s="6"/>
      <c r="AC3587" s="6"/>
      <c r="AD3587" s="6"/>
      <c r="AE3587" s="6"/>
      <c r="AF3587" s="6"/>
      <c r="AG3587" s="6"/>
      <c r="AH3587" s="6"/>
      <c r="AI3587" s="6"/>
      <c r="AJ3587" s="6"/>
      <c r="AK3587" s="6"/>
      <c r="AL3587" s="6"/>
      <c r="AM3587" s="6"/>
    </row>
    <row r="3588">
      <c r="A3588" s="6"/>
      <c r="B3588" s="6"/>
      <c r="C3588" s="6"/>
      <c r="D3588" s="6"/>
      <c r="E3588" s="6"/>
      <c r="F3588" s="6"/>
      <c r="G3588" s="6"/>
      <c r="H3588" s="6"/>
      <c r="I3588" s="6"/>
      <c r="J3588" s="6"/>
      <c r="K3588" s="6"/>
      <c r="L3588" s="6"/>
      <c r="M3588" s="6"/>
      <c r="N3588" s="6"/>
      <c r="O3588" s="6"/>
      <c r="P3588" s="6"/>
      <c r="Q3588" s="6"/>
      <c r="R3588" s="6"/>
      <c r="S3588" s="6"/>
      <c r="T3588" s="6"/>
      <c r="U3588" s="6"/>
      <c r="V3588" s="6"/>
      <c r="W3588" s="6"/>
      <c r="X3588" s="6"/>
      <c r="Y3588" s="6"/>
      <c r="Z3588" s="6"/>
      <c r="AA3588" s="6"/>
      <c r="AB3588" s="6"/>
      <c r="AC3588" s="6"/>
      <c r="AD3588" s="6"/>
      <c r="AE3588" s="6"/>
      <c r="AF3588" s="6"/>
      <c r="AG3588" s="6"/>
      <c r="AH3588" s="6"/>
      <c r="AI3588" s="6"/>
      <c r="AJ3588" s="6"/>
      <c r="AK3588" s="6"/>
      <c r="AL3588" s="6"/>
      <c r="AM3588" s="6"/>
    </row>
    <row r="3589">
      <c r="A3589" s="6"/>
      <c r="B3589" s="6"/>
      <c r="C3589" s="6"/>
      <c r="D3589" s="6"/>
      <c r="E3589" s="6"/>
      <c r="F3589" s="6"/>
      <c r="G3589" s="6"/>
      <c r="H3589" s="6"/>
      <c r="I3589" s="6"/>
      <c r="J3589" s="6"/>
      <c r="K3589" s="6"/>
      <c r="L3589" s="6"/>
      <c r="M3589" s="6"/>
      <c r="N3589" s="6"/>
      <c r="O3589" s="6"/>
      <c r="P3589" s="6"/>
      <c r="Q3589" s="6"/>
      <c r="R3589" s="6"/>
      <c r="S3589" s="6"/>
      <c r="T3589" s="6"/>
      <c r="U3589" s="6"/>
      <c r="V3589" s="6"/>
      <c r="W3589" s="6"/>
      <c r="X3589" s="6"/>
      <c r="Y3589" s="6"/>
      <c r="Z3589" s="6"/>
      <c r="AA3589" s="6"/>
      <c r="AB3589" s="6"/>
      <c r="AC3589" s="6"/>
      <c r="AD3589" s="6"/>
      <c r="AE3589" s="6"/>
      <c r="AF3589" s="6"/>
      <c r="AG3589" s="6"/>
      <c r="AH3589" s="6"/>
      <c r="AI3589" s="6"/>
      <c r="AJ3589" s="6"/>
      <c r="AK3589" s="6"/>
      <c r="AL3589" s="6"/>
      <c r="AM3589" s="6"/>
    </row>
    <row r="3590">
      <c r="A3590" s="6"/>
      <c r="B3590" s="6"/>
      <c r="C3590" s="6"/>
      <c r="D3590" s="6"/>
      <c r="E3590" s="6"/>
      <c r="F3590" s="6"/>
      <c r="G3590" s="6"/>
      <c r="H3590" s="6"/>
      <c r="I3590" s="6"/>
      <c r="J3590" s="6"/>
      <c r="K3590" s="6"/>
      <c r="L3590" s="6"/>
      <c r="M3590" s="6"/>
      <c r="N3590" s="6"/>
      <c r="O3590" s="6"/>
      <c r="P3590" s="6"/>
      <c r="Q3590" s="6"/>
      <c r="R3590" s="6"/>
      <c r="S3590" s="6"/>
      <c r="T3590" s="6"/>
      <c r="U3590" s="6"/>
      <c r="V3590" s="6"/>
      <c r="W3590" s="6"/>
      <c r="X3590" s="6"/>
      <c r="Y3590" s="6"/>
      <c r="Z3590" s="6"/>
      <c r="AA3590" s="6"/>
      <c r="AB3590" s="6"/>
      <c r="AC3590" s="6"/>
      <c r="AD3590" s="6"/>
      <c r="AE3590" s="6"/>
      <c r="AF3590" s="6"/>
      <c r="AG3590" s="6"/>
      <c r="AH3590" s="6"/>
      <c r="AI3590" s="6"/>
      <c r="AJ3590" s="6"/>
      <c r="AK3590" s="6"/>
      <c r="AL3590" s="6"/>
      <c r="AM3590" s="6"/>
    </row>
    <row r="3591">
      <c r="A3591" s="6"/>
      <c r="B3591" s="6"/>
      <c r="C3591" s="6"/>
      <c r="D3591" s="6"/>
      <c r="E3591" s="6"/>
      <c r="F3591" s="6"/>
      <c r="G3591" s="6"/>
      <c r="H3591" s="6"/>
      <c r="I3591" s="6"/>
      <c r="J3591" s="6"/>
      <c r="K3591" s="6"/>
      <c r="L3591" s="6"/>
      <c r="M3591" s="6"/>
      <c r="N3591" s="6"/>
      <c r="O3591" s="6"/>
      <c r="P3591" s="6"/>
      <c r="Q3591" s="6"/>
      <c r="R3591" s="6"/>
      <c r="S3591" s="6"/>
      <c r="T3591" s="6"/>
      <c r="U3591" s="6"/>
      <c r="V3591" s="6"/>
      <c r="W3591" s="6"/>
      <c r="X3591" s="6"/>
      <c r="Y3591" s="6"/>
      <c r="Z3591" s="6"/>
      <c r="AA3591" s="6"/>
      <c r="AB3591" s="6"/>
      <c r="AC3591" s="6"/>
      <c r="AD3591" s="6"/>
      <c r="AE3591" s="6"/>
      <c r="AF3591" s="6"/>
      <c r="AG3591" s="6"/>
      <c r="AH3591" s="6"/>
      <c r="AI3591" s="6"/>
      <c r="AJ3591" s="6"/>
      <c r="AK3591" s="6"/>
      <c r="AL3591" s="6"/>
      <c r="AM3591" s="6"/>
    </row>
    <row r="3592">
      <c r="A3592" s="6"/>
      <c r="B3592" s="6"/>
      <c r="C3592" s="6"/>
      <c r="D3592" s="6"/>
      <c r="E3592" s="6"/>
      <c r="F3592" s="6"/>
      <c r="G3592" s="6"/>
      <c r="H3592" s="6"/>
      <c r="I3592" s="6"/>
      <c r="J3592" s="6"/>
      <c r="K3592" s="6"/>
      <c r="L3592" s="6"/>
      <c r="M3592" s="6"/>
      <c r="N3592" s="6"/>
      <c r="O3592" s="6"/>
      <c r="P3592" s="6"/>
      <c r="Q3592" s="6"/>
      <c r="R3592" s="6"/>
      <c r="S3592" s="6"/>
      <c r="T3592" s="6"/>
      <c r="U3592" s="6"/>
      <c r="V3592" s="6"/>
      <c r="W3592" s="6"/>
      <c r="X3592" s="6"/>
      <c r="Y3592" s="6"/>
      <c r="Z3592" s="6"/>
      <c r="AA3592" s="6"/>
      <c r="AB3592" s="6"/>
      <c r="AC3592" s="6"/>
      <c r="AD3592" s="6"/>
      <c r="AE3592" s="6"/>
      <c r="AF3592" s="6"/>
      <c r="AG3592" s="6"/>
      <c r="AH3592" s="6"/>
      <c r="AI3592" s="6"/>
      <c r="AJ3592" s="6"/>
      <c r="AK3592" s="6"/>
      <c r="AL3592" s="6"/>
      <c r="AM3592" s="6"/>
    </row>
    <row r="3593">
      <c r="A3593" s="6"/>
      <c r="B3593" s="6"/>
      <c r="C3593" s="6"/>
      <c r="D3593" s="6"/>
      <c r="E3593" s="6"/>
      <c r="F3593" s="6"/>
      <c r="G3593" s="6"/>
      <c r="H3593" s="6"/>
      <c r="I3593" s="6"/>
      <c r="J3593" s="6"/>
      <c r="K3593" s="6"/>
      <c r="L3593" s="6"/>
      <c r="M3593" s="6"/>
      <c r="N3593" s="6"/>
      <c r="O3593" s="6"/>
      <c r="P3593" s="6"/>
      <c r="Q3593" s="6"/>
      <c r="R3593" s="6"/>
      <c r="S3593" s="6"/>
      <c r="T3593" s="6"/>
      <c r="U3593" s="6"/>
      <c r="V3593" s="6"/>
      <c r="W3593" s="6"/>
      <c r="X3593" s="6"/>
      <c r="Y3593" s="6"/>
      <c r="Z3593" s="6"/>
      <c r="AA3593" s="6"/>
      <c r="AB3593" s="6"/>
      <c r="AC3593" s="6"/>
      <c r="AD3593" s="6"/>
      <c r="AE3593" s="6"/>
      <c r="AF3593" s="6"/>
      <c r="AG3593" s="6"/>
      <c r="AH3593" s="6"/>
      <c r="AI3593" s="6"/>
      <c r="AJ3593" s="6"/>
      <c r="AK3593" s="6"/>
      <c r="AL3593" s="6"/>
      <c r="AM3593" s="6"/>
    </row>
    <row r="3594">
      <c r="A3594" s="6"/>
      <c r="B3594" s="6"/>
      <c r="C3594" s="6"/>
      <c r="D3594" s="6"/>
      <c r="E3594" s="6"/>
      <c r="F3594" s="6"/>
      <c r="G3594" s="6"/>
      <c r="H3594" s="6"/>
      <c r="I3594" s="6"/>
      <c r="J3594" s="6"/>
      <c r="K3594" s="6"/>
      <c r="L3594" s="6"/>
      <c r="M3594" s="6"/>
      <c r="N3594" s="6"/>
      <c r="O3594" s="6"/>
      <c r="P3594" s="6"/>
      <c r="Q3594" s="6"/>
      <c r="R3594" s="6"/>
      <c r="S3594" s="6"/>
      <c r="T3594" s="6"/>
      <c r="U3594" s="6"/>
      <c r="V3594" s="6"/>
      <c r="W3594" s="6"/>
      <c r="X3594" s="6"/>
      <c r="Y3594" s="6"/>
      <c r="Z3594" s="6"/>
      <c r="AA3594" s="6"/>
      <c r="AB3594" s="6"/>
      <c r="AC3594" s="6"/>
      <c r="AD3594" s="6"/>
      <c r="AE3594" s="6"/>
      <c r="AF3594" s="6"/>
      <c r="AG3594" s="6"/>
      <c r="AH3594" s="6"/>
      <c r="AI3594" s="6"/>
      <c r="AJ3594" s="6"/>
      <c r="AK3594" s="6"/>
      <c r="AL3594" s="6"/>
      <c r="AM3594" s="6"/>
    </row>
    <row r="3595">
      <c r="A3595" s="6"/>
      <c r="B3595" s="6"/>
      <c r="C3595" s="6"/>
      <c r="D3595" s="6"/>
      <c r="E3595" s="6"/>
      <c r="F3595" s="6"/>
      <c r="G3595" s="6"/>
      <c r="H3595" s="6"/>
      <c r="I3595" s="6"/>
      <c r="J3595" s="6"/>
      <c r="K3595" s="6"/>
      <c r="L3595" s="6"/>
      <c r="M3595" s="6"/>
      <c r="N3595" s="6"/>
      <c r="O3595" s="6"/>
      <c r="P3595" s="6"/>
      <c r="Q3595" s="6"/>
      <c r="R3595" s="6"/>
      <c r="S3595" s="6"/>
      <c r="T3595" s="6"/>
      <c r="U3595" s="6"/>
      <c r="V3595" s="6"/>
      <c r="W3595" s="6"/>
      <c r="X3595" s="6"/>
      <c r="Y3595" s="6"/>
      <c r="Z3595" s="6"/>
      <c r="AA3595" s="6"/>
      <c r="AB3595" s="6"/>
      <c r="AC3595" s="6"/>
      <c r="AD3595" s="6"/>
      <c r="AE3595" s="6"/>
      <c r="AF3595" s="6"/>
      <c r="AG3595" s="6"/>
      <c r="AH3595" s="6"/>
      <c r="AI3595" s="6"/>
      <c r="AJ3595" s="6"/>
      <c r="AK3595" s="6"/>
      <c r="AL3595" s="6"/>
      <c r="AM3595" s="6"/>
    </row>
    <row r="3596">
      <c r="A3596" s="6"/>
      <c r="B3596" s="6"/>
      <c r="C3596" s="6"/>
      <c r="D3596" s="6"/>
      <c r="E3596" s="6"/>
      <c r="F3596" s="6"/>
      <c r="G3596" s="6"/>
      <c r="H3596" s="6"/>
      <c r="I3596" s="6"/>
      <c r="J3596" s="6"/>
      <c r="K3596" s="6"/>
      <c r="L3596" s="6"/>
      <c r="M3596" s="6"/>
      <c r="N3596" s="6"/>
      <c r="O3596" s="6"/>
      <c r="P3596" s="6"/>
      <c r="Q3596" s="6"/>
      <c r="R3596" s="6"/>
      <c r="S3596" s="6"/>
      <c r="T3596" s="6"/>
      <c r="U3596" s="6"/>
      <c r="V3596" s="6"/>
      <c r="W3596" s="6"/>
      <c r="X3596" s="6"/>
      <c r="Y3596" s="6"/>
      <c r="Z3596" s="6"/>
      <c r="AA3596" s="6"/>
      <c r="AB3596" s="6"/>
      <c r="AC3596" s="6"/>
      <c r="AD3596" s="6"/>
      <c r="AE3596" s="6"/>
      <c r="AF3596" s="6"/>
      <c r="AG3596" s="6"/>
      <c r="AH3596" s="6"/>
      <c r="AI3596" s="6"/>
      <c r="AJ3596" s="6"/>
      <c r="AK3596" s="6"/>
      <c r="AL3596" s="6"/>
      <c r="AM3596" s="6"/>
    </row>
    <row r="3597">
      <c r="A3597" s="6"/>
      <c r="B3597" s="6"/>
      <c r="C3597" s="6"/>
      <c r="D3597" s="6"/>
      <c r="E3597" s="6"/>
      <c r="F3597" s="6"/>
      <c r="G3597" s="6"/>
      <c r="H3597" s="6"/>
      <c r="I3597" s="6"/>
      <c r="J3597" s="6"/>
      <c r="K3597" s="6"/>
      <c r="L3597" s="6"/>
      <c r="M3597" s="6"/>
      <c r="N3597" s="6"/>
      <c r="O3597" s="6"/>
      <c r="P3597" s="6"/>
      <c r="Q3597" s="6"/>
      <c r="R3597" s="6"/>
      <c r="S3597" s="6"/>
      <c r="T3597" s="6"/>
      <c r="U3597" s="6"/>
      <c r="V3597" s="6"/>
      <c r="W3597" s="6"/>
      <c r="X3597" s="6"/>
      <c r="Y3597" s="6"/>
      <c r="Z3597" s="6"/>
      <c r="AA3597" s="6"/>
      <c r="AB3597" s="6"/>
      <c r="AC3597" s="6"/>
      <c r="AD3597" s="6"/>
      <c r="AE3597" s="6"/>
      <c r="AF3597" s="6"/>
      <c r="AG3597" s="6"/>
      <c r="AH3597" s="6"/>
      <c r="AI3597" s="6"/>
      <c r="AJ3597" s="6"/>
      <c r="AK3597" s="6"/>
      <c r="AL3597" s="6"/>
      <c r="AM3597" s="6"/>
    </row>
    <row r="3598">
      <c r="A3598" s="6"/>
      <c r="B3598" s="6"/>
      <c r="C3598" s="6"/>
      <c r="D3598" s="6"/>
      <c r="E3598" s="6"/>
      <c r="F3598" s="6"/>
      <c r="G3598" s="6"/>
      <c r="H3598" s="6"/>
      <c r="I3598" s="6"/>
      <c r="J3598" s="6"/>
      <c r="K3598" s="6"/>
      <c r="L3598" s="6"/>
      <c r="M3598" s="6"/>
      <c r="N3598" s="6"/>
      <c r="O3598" s="6"/>
      <c r="P3598" s="6"/>
      <c r="Q3598" s="6"/>
      <c r="R3598" s="6"/>
      <c r="S3598" s="6"/>
      <c r="T3598" s="6"/>
      <c r="U3598" s="6"/>
      <c r="V3598" s="6"/>
      <c r="W3598" s="6"/>
      <c r="X3598" s="6"/>
      <c r="Y3598" s="6"/>
      <c r="Z3598" s="6"/>
      <c r="AA3598" s="6"/>
      <c r="AB3598" s="6"/>
      <c r="AC3598" s="6"/>
      <c r="AD3598" s="6"/>
      <c r="AE3598" s="6"/>
      <c r="AF3598" s="6"/>
      <c r="AG3598" s="6"/>
      <c r="AH3598" s="6"/>
      <c r="AI3598" s="6"/>
      <c r="AJ3598" s="6"/>
      <c r="AK3598" s="6"/>
      <c r="AL3598" s="6"/>
      <c r="AM3598" s="6"/>
    </row>
    <row r="3599">
      <c r="A3599" s="6"/>
      <c r="B3599" s="6"/>
      <c r="C3599" s="6"/>
      <c r="D3599" s="6"/>
      <c r="E3599" s="6"/>
      <c r="F3599" s="6"/>
      <c r="G3599" s="6"/>
      <c r="H3599" s="6"/>
      <c r="I3599" s="6"/>
      <c r="J3599" s="6"/>
      <c r="K3599" s="6"/>
      <c r="L3599" s="6"/>
      <c r="M3599" s="6"/>
      <c r="N3599" s="6"/>
      <c r="O3599" s="6"/>
      <c r="P3599" s="6"/>
      <c r="Q3599" s="6"/>
      <c r="R3599" s="6"/>
      <c r="S3599" s="6"/>
      <c r="T3599" s="6"/>
      <c r="U3599" s="6"/>
      <c r="V3599" s="6"/>
      <c r="W3599" s="6"/>
      <c r="X3599" s="6"/>
      <c r="Y3599" s="6"/>
      <c r="Z3599" s="6"/>
      <c r="AA3599" s="6"/>
      <c r="AB3599" s="6"/>
      <c r="AC3599" s="6"/>
      <c r="AD3599" s="6"/>
      <c r="AE3599" s="6"/>
      <c r="AF3599" s="6"/>
      <c r="AG3599" s="6"/>
      <c r="AH3599" s="6"/>
      <c r="AI3599" s="6"/>
      <c r="AJ3599" s="6"/>
      <c r="AK3599" s="6"/>
      <c r="AL3599" s="6"/>
      <c r="AM3599" s="6"/>
    </row>
    <row r="3600">
      <c r="A3600" s="6"/>
      <c r="B3600" s="6"/>
      <c r="C3600" s="6"/>
      <c r="D3600" s="6"/>
      <c r="E3600" s="6"/>
      <c r="F3600" s="6"/>
      <c r="G3600" s="6"/>
      <c r="H3600" s="6"/>
      <c r="I3600" s="6"/>
      <c r="J3600" s="6"/>
      <c r="K3600" s="6"/>
      <c r="L3600" s="6"/>
      <c r="M3600" s="6"/>
      <c r="N3600" s="6"/>
      <c r="O3600" s="6"/>
      <c r="P3600" s="6"/>
      <c r="Q3600" s="6"/>
      <c r="R3600" s="6"/>
      <c r="S3600" s="6"/>
      <c r="T3600" s="6"/>
      <c r="U3600" s="6"/>
      <c r="V3600" s="6"/>
      <c r="W3600" s="6"/>
      <c r="X3600" s="6"/>
      <c r="Y3600" s="6"/>
      <c r="Z3600" s="6"/>
      <c r="AA3600" s="6"/>
      <c r="AB3600" s="6"/>
      <c r="AC3600" s="6"/>
      <c r="AD3600" s="6"/>
      <c r="AE3600" s="6"/>
      <c r="AF3600" s="6"/>
      <c r="AG3600" s="6"/>
      <c r="AH3600" s="6"/>
      <c r="AI3600" s="6"/>
      <c r="AJ3600" s="6"/>
      <c r="AK3600" s="6"/>
      <c r="AL3600" s="6"/>
      <c r="AM3600" s="6"/>
    </row>
    <row r="3601">
      <c r="A3601" s="6"/>
      <c r="B3601" s="6"/>
      <c r="C3601" s="6"/>
      <c r="D3601" s="6"/>
      <c r="E3601" s="6"/>
      <c r="F3601" s="6"/>
      <c r="G3601" s="6"/>
      <c r="H3601" s="6"/>
      <c r="I3601" s="6"/>
      <c r="J3601" s="6"/>
      <c r="K3601" s="6"/>
      <c r="L3601" s="6"/>
      <c r="M3601" s="6"/>
      <c r="N3601" s="6"/>
      <c r="O3601" s="6"/>
      <c r="P3601" s="6"/>
      <c r="Q3601" s="6"/>
      <c r="R3601" s="6"/>
      <c r="S3601" s="6"/>
      <c r="T3601" s="6"/>
      <c r="U3601" s="6"/>
      <c r="V3601" s="6"/>
      <c r="W3601" s="6"/>
      <c r="X3601" s="6"/>
      <c r="Y3601" s="6"/>
      <c r="Z3601" s="6"/>
      <c r="AA3601" s="6"/>
      <c r="AB3601" s="6"/>
      <c r="AC3601" s="6"/>
      <c r="AD3601" s="6"/>
      <c r="AE3601" s="6"/>
      <c r="AF3601" s="6"/>
      <c r="AG3601" s="6"/>
      <c r="AH3601" s="6"/>
      <c r="AI3601" s="6"/>
      <c r="AJ3601" s="6"/>
      <c r="AK3601" s="6"/>
      <c r="AL3601" s="6"/>
      <c r="AM3601" s="6"/>
    </row>
    <row r="3602">
      <c r="A3602" s="6"/>
      <c r="B3602" s="6"/>
      <c r="C3602" s="6"/>
      <c r="D3602" s="6"/>
      <c r="E3602" s="6"/>
      <c r="F3602" s="6"/>
      <c r="G3602" s="6"/>
      <c r="H3602" s="6"/>
      <c r="I3602" s="6"/>
      <c r="J3602" s="6"/>
      <c r="K3602" s="6"/>
      <c r="L3602" s="6"/>
      <c r="M3602" s="6"/>
      <c r="N3602" s="6"/>
      <c r="O3602" s="6"/>
      <c r="P3602" s="6"/>
      <c r="Q3602" s="6"/>
      <c r="R3602" s="6"/>
      <c r="S3602" s="6"/>
      <c r="T3602" s="6"/>
      <c r="U3602" s="6"/>
      <c r="V3602" s="6"/>
      <c r="W3602" s="6"/>
      <c r="X3602" s="6"/>
      <c r="Y3602" s="6"/>
      <c r="Z3602" s="6"/>
      <c r="AA3602" s="6"/>
      <c r="AB3602" s="6"/>
      <c r="AC3602" s="6"/>
      <c r="AD3602" s="6"/>
      <c r="AE3602" s="6"/>
      <c r="AF3602" s="6"/>
      <c r="AG3602" s="6"/>
      <c r="AH3602" s="6"/>
      <c r="AI3602" s="6"/>
      <c r="AJ3602" s="6"/>
      <c r="AK3602" s="6"/>
      <c r="AL3602" s="6"/>
      <c r="AM3602" s="6"/>
    </row>
    <row r="3603">
      <c r="A3603" s="6"/>
      <c r="B3603" s="6"/>
      <c r="C3603" s="6"/>
      <c r="D3603" s="6"/>
      <c r="E3603" s="6"/>
      <c r="F3603" s="6"/>
      <c r="G3603" s="6"/>
      <c r="H3603" s="6"/>
      <c r="I3603" s="6"/>
      <c r="J3603" s="6"/>
      <c r="K3603" s="6"/>
      <c r="L3603" s="6"/>
      <c r="M3603" s="6"/>
      <c r="N3603" s="6"/>
      <c r="O3603" s="6"/>
      <c r="P3603" s="6"/>
      <c r="Q3603" s="6"/>
      <c r="R3603" s="6"/>
      <c r="S3603" s="6"/>
      <c r="T3603" s="6"/>
      <c r="U3603" s="6"/>
      <c r="V3603" s="6"/>
      <c r="W3603" s="6"/>
      <c r="X3603" s="6"/>
      <c r="Y3603" s="6"/>
      <c r="Z3603" s="6"/>
      <c r="AA3603" s="6"/>
      <c r="AB3603" s="6"/>
      <c r="AC3603" s="6"/>
      <c r="AD3603" s="6"/>
      <c r="AE3603" s="6"/>
      <c r="AF3603" s="6"/>
      <c r="AG3603" s="6"/>
      <c r="AH3603" s="6"/>
      <c r="AI3603" s="6"/>
      <c r="AJ3603" s="6"/>
      <c r="AK3603" s="6"/>
      <c r="AL3603" s="6"/>
      <c r="AM3603" s="6"/>
    </row>
    <row r="3604">
      <c r="A3604" s="6"/>
      <c r="B3604" s="6"/>
      <c r="C3604" s="6"/>
      <c r="D3604" s="6"/>
      <c r="E3604" s="6"/>
      <c r="F3604" s="6"/>
      <c r="G3604" s="6"/>
      <c r="H3604" s="6"/>
      <c r="I3604" s="6"/>
      <c r="J3604" s="6"/>
      <c r="K3604" s="6"/>
      <c r="L3604" s="6"/>
      <c r="M3604" s="6"/>
      <c r="N3604" s="6"/>
      <c r="O3604" s="6"/>
      <c r="P3604" s="6"/>
      <c r="Q3604" s="6"/>
      <c r="R3604" s="6"/>
      <c r="S3604" s="6"/>
      <c r="T3604" s="6"/>
      <c r="U3604" s="6"/>
      <c r="V3604" s="6"/>
      <c r="W3604" s="6"/>
      <c r="X3604" s="6"/>
      <c r="Y3604" s="6"/>
      <c r="Z3604" s="6"/>
      <c r="AA3604" s="6"/>
      <c r="AB3604" s="6"/>
      <c r="AC3604" s="6"/>
      <c r="AD3604" s="6"/>
      <c r="AE3604" s="6"/>
      <c r="AF3604" s="6"/>
      <c r="AG3604" s="6"/>
      <c r="AH3604" s="6"/>
      <c r="AI3604" s="6"/>
      <c r="AJ3604" s="6"/>
      <c r="AK3604" s="6"/>
      <c r="AL3604" s="6"/>
      <c r="AM3604" s="6"/>
    </row>
    <row r="3605">
      <c r="A3605" s="6"/>
      <c r="B3605" s="6"/>
      <c r="C3605" s="6"/>
      <c r="D3605" s="6"/>
      <c r="E3605" s="6"/>
      <c r="F3605" s="6"/>
      <c r="G3605" s="6"/>
      <c r="H3605" s="6"/>
      <c r="I3605" s="6"/>
      <c r="J3605" s="6"/>
      <c r="K3605" s="6"/>
      <c r="L3605" s="6"/>
      <c r="M3605" s="6"/>
      <c r="N3605" s="6"/>
      <c r="O3605" s="6"/>
      <c r="P3605" s="6"/>
      <c r="Q3605" s="6"/>
      <c r="R3605" s="6"/>
      <c r="S3605" s="6"/>
      <c r="T3605" s="6"/>
      <c r="U3605" s="6"/>
      <c r="V3605" s="6"/>
      <c r="W3605" s="6"/>
      <c r="X3605" s="6"/>
      <c r="Y3605" s="6"/>
      <c r="Z3605" s="6"/>
      <c r="AA3605" s="6"/>
      <c r="AB3605" s="6"/>
      <c r="AC3605" s="6"/>
      <c r="AD3605" s="6"/>
      <c r="AE3605" s="6"/>
      <c r="AF3605" s="6"/>
      <c r="AG3605" s="6"/>
      <c r="AH3605" s="6"/>
      <c r="AI3605" s="6"/>
      <c r="AJ3605" s="6"/>
      <c r="AK3605" s="6"/>
      <c r="AL3605" s="6"/>
      <c r="AM3605" s="6"/>
    </row>
    <row r="3606">
      <c r="A3606" s="6"/>
      <c r="B3606" s="6"/>
      <c r="C3606" s="6"/>
      <c r="D3606" s="6"/>
      <c r="E3606" s="6"/>
      <c r="F3606" s="6"/>
      <c r="G3606" s="6"/>
      <c r="H3606" s="6"/>
      <c r="I3606" s="6"/>
      <c r="J3606" s="6"/>
      <c r="K3606" s="6"/>
      <c r="L3606" s="6"/>
      <c r="M3606" s="6"/>
      <c r="N3606" s="6"/>
      <c r="O3606" s="6"/>
      <c r="P3606" s="6"/>
      <c r="Q3606" s="6"/>
      <c r="R3606" s="6"/>
      <c r="S3606" s="6"/>
      <c r="T3606" s="6"/>
      <c r="U3606" s="6"/>
      <c r="V3606" s="6"/>
      <c r="W3606" s="6"/>
      <c r="X3606" s="6"/>
      <c r="Y3606" s="6"/>
      <c r="Z3606" s="6"/>
      <c r="AA3606" s="6"/>
      <c r="AB3606" s="6"/>
      <c r="AC3606" s="6"/>
      <c r="AD3606" s="6"/>
      <c r="AE3606" s="6"/>
      <c r="AF3606" s="6"/>
      <c r="AG3606" s="6"/>
      <c r="AH3606" s="6"/>
      <c r="AI3606" s="6"/>
      <c r="AJ3606" s="6"/>
      <c r="AK3606" s="6"/>
      <c r="AL3606" s="6"/>
      <c r="AM3606" s="6"/>
    </row>
    <row r="3607">
      <c r="A3607" s="6"/>
      <c r="B3607" s="6"/>
      <c r="C3607" s="6"/>
      <c r="D3607" s="6"/>
      <c r="E3607" s="6"/>
      <c r="F3607" s="6"/>
      <c r="G3607" s="6"/>
      <c r="H3607" s="6"/>
      <c r="I3607" s="6"/>
      <c r="J3607" s="6"/>
      <c r="K3607" s="6"/>
      <c r="L3607" s="6"/>
      <c r="M3607" s="6"/>
      <c r="N3607" s="6"/>
      <c r="O3607" s="6"/>
      <c r="P3607" s="6"/>
      <c r="Q3607" s="6"/>
      <c r="R3607" s="6"/>
      <c r="S3607" s="6"/>
      <c r="T3607" s="6"/>
      <c r="U3607" s="6"/>
      <c r="V3607" s="6"/>
      <c r="W3607" s="6"/>
      <c r="X3607" s="6"/>
      <c r="Y3607" s="6"/>
      <c r="Z3607" s="6"/>
      <c r="AA3607" s="6"/>
      <c r="AB3607" s="6"/>
      <c r="AC3607" s="6"/>
      <c r="AD3607" s="6"/>
      <c r="AE3607" s="6"/>
      <c r="AF3607" s="6"/>
      <c r="AG3607" s="6"/>
      <c r="AH3607" s="6"/>
      <c r="AI3607" s="6"/>
      <c r="AJ3607" s="6"/>
      <c r="AK3607" s="6"/>
      <c r="AL3607" s="6"/>
      <c r="AM3607" s="6"/>
    </row>
    <row r="3608">
      <c r="A3608" s="6"/>
      <c r="B3608" s="6"/>
      <c r="C3608" s="6"/>
      <c r="D3608" s="6"/>
      <c r="E3608" s="6"/>
      <c r="F3608" s="6"/>
      <c r="G3608" s="6"/>
      <c r="H3608" s="6"/>
      <c r="I3608" s="6"/>
      <c r="J3608" s="6"/>
      <c r="K3608" s="6"/>
      <c r="L3608" s="6"/>
      <c r="M3608" s="6"/>
      <c r="N3608" s="6"/>
      <c r="O3608" s="6"/>
      <c r="P3608" s="6"/>
      <c r="Q3608" s="6"/>
      <c r="R3608" s="6"/>
      <c r="S3608" s="6"/>
      <c r="T3608" s="6"/>
      <c r="U3608" s="6"/>
      <c r="V3608" s="6"/>
      <c r="W3608" s="6"/>
      <c r="X3608" s="6"/>
      <c r="Y3608" s="6"/>
      <c r="Z3608" s="6"/>
      <c r="AA3608" s="6"/>
      <c r="AB3608" s="6"/>
      <c r="AC3608" s="6"/>
      <c r="AD3608" s="6"/>
      <c r="AE3608" s="6"/>
      <c r="AF3608" s="6"/>
      <c r="AG3608" s="6"/>
      <c r="AH3608" s="6"/>
      <c r="AI3608" s="6"/>
      <c r="AJ3608" s="6"/>
      <c r="AK3608" s="6"/>
      <c r="AL3608" s="6"/>
      <c r="AM3608" s="6"/>
    </row>
    <row r="3609">
      <c r="A3609" s="6"/>
      <c r="B3609" s="6"/>
      <c r="C3609" s="6"/>
      <c r="D3609" s="6"/>
      <c r="E3609" s="6"/>
      <c r="F3609" s="6"/>
      <c r="G3609" s="6"/>
      <c r="H3609" s="6"/>
      <c r="I3609" s="6"/>
      <c r="J3609" s="6"/>
      <c r="K3609" s="6"/>
      <c r="L3609" s="6"/>
      <c r="M3609" s="6"/>
      <c r="N3609" s="6"/>
      <c r="O3609" s="6"/>
      <c r="P3609" s="6"/>
      <c r="Q3609" s="6"/>
      <c r="R3609" s="6"/>
      <c r="S3609" s="6"/>
      <c r="T3609" s="6"/>
      <c r="U3609" s="6"/>
      <c r="V3609" s="6"/>
      <c r="W3609" s="6"/>
      <c r="X3609" s="6"/>
      <c r="Y3609" s="6"/>
      <c r="Z3609" s="6"/>
      <c r="AA3609" s="6"/>
      <c r="AB3609" s="6"/>
      <c r="AC3609" s="6"/>
      <c r="AD3609" s="6"/>
      <c r="AE3609" s="6"/>
      <c r="AF3609" s="6"/>
      <c r="AG3609" s="6"/>
      <c r="AH3609" s="6"/>
      <c r="AI3609" s="6"/>
      <c r="AJ3609" s="6"/>
      <c r="AK3609" s="6"/>
      <c r="AL3609" s="6"/>
      <c r="AM3609" s="6"/>
    </row>
    <row r="3610">
      <c r="A3610" s="6"/>
      <c r="B3610" s="6"/>
      <c r="C3610" s="6"/>
      <c r="D3610" s="6"/>
      <c r="E3610" s="6"/>
      <c r="F3610" s="6"/>
      <c r="G3610" s="6"/>
      <c r="H3610" s="6"/>
      <c r="I3610" s="6"/>
      <c r="J3610" s="6"/>
      <c r="K3610" s="6"/>
      <c r="L3610" s="6"/>
      <c r="M3610" s="6"/>
      <c r="N3610" s="6"/>
      <c r="O3610" s="6"/>
      <c r="P3610" s="6"/>
      <c r="Q3610" s="6"/>
      <c r="R3610" s="6"/>
      <c r="S3610" s="6"/>
      <c r="T3610" s="6"/>
      <c r="U3610" s="6"/>
      <c r="V3610" s="6"/>
      <c r="W3610" s="6"/>
      <c r="X3610" s="6"/>
      <c r="Y3610" s="6"/>
      <c r="Z3610" s="6"/>
      <c r="AA3610" s="6"/>
      <c r="AB3610" s="6"/>
      <c r="AC3610" s="6"/>
      <c r="AD3610" s="6"/>
      <c r="AE3610" s="6"/>
      <c r="AF3610" s="6"/>
      <c r="AG3610" s="6"/>
      <c r="AH3610" s="6"/>
      <c r="AI3610" s="6"/>
      <c r="AJ3610" s="6"/>
      <c r="AK3610" s="6"/>
      <c r="AL3610" s="6"/>
      <c r="AM3610" s="6"/>
    </row>
    <row r="3611">
      <c r="A3611" s="6"/>
      <c r="B3611" s="6"/>
      <c r="C3611" s="6"/>
      <c r="D3611" s="6"/>
      <c r="E3611" s="6"/>
      <c r="F3611" s="6"/>
      <c r="G3611" s="6"/>
      <c r="H3611" s="6"/>
      <c r="I3611" s="6"/>
      <c r="J3611" s="6"/>
      <c r="K3611" s="6"/>
      <c r="L3611" s="6"/>
      <c r="M3611" s="6"/>
      <c r="N3611" s="6"/>
      <c r="O3611" s="6"/>
      <c r="P3611" s="6"/>
      <c r="Q3611" s="6"/>
      <c r="R3611" s="6"/>
      <c r="S3611" s="6"/>
      <c r="T3611" s="6"/>
      <c r="U3611" s="6"/>
      <c r="V3611" s="6"/>
      <c r="W3611" s="6"/>
      <c r="X3611" s="6"/>
      <c r="Y3611" s="6"/>
      <c r="Z3611" s="6"/>
      <c r="AA3611" s="6"/>
      <c r="AB3611" s="6"/>
      <c r="AC3611" s="6"/>
      <c r="AD3611" s="6"/>
      <c r="AE3611" s="6"/>
      <c r="AF3611" s="6"/>
      <c r="AG3611" s="6"/>
      <c r="AH3611" s="6"/>
      <c r="AI3611" s="6"/>
      <c r="AJ3611" s="6"/>
      <c r="AK3611" s="6"/>
      <c r="AL3611" s="6"/>
      <c r="AM3611" s="6"/>
    </row>
    <row r="3612">
      <c r="A3612" s="6"/>
      <c r="B3612" s="6"/>
      <c r="C3612" s="6"/>
      <c r="D3612" s="6"/>
      <c r="E3612" s="6"/>
      <c r="F3612" s="6"/>
      <c r="G3612" s="6"/>
      <c r="H3612" s="6"/>
      <c r="I3612" s="6"/>
      <c r="J3612" s="6"/>
      <c r="K3612" s="6"/>
      <c r="L3612" s="6"/>
      <c r="M3612" s="6"/>
      <c r="N3612" s="6"/>
      <c r="O3612" s="6"/>
      <c r="P3612" s="6"/>
      <c r="Q3612" s="6"/>
      <c r="R3612" s="6"/>
      <c r="S3612" s="6"/>
      <c r="T3612" s="6"/>
      <c r="U3612" s="6"/>
      <c r="V3612" s="6"/>
      <c r="W3612" s="6"/>
      <c r="X3612" s="6"/>
      <c r="Y3612" s="6"/>
      <c r="Z3612" s="6"/>
      <c r="AA3612" s="6"/>
      <c r="AB3612" s="6"/>
      <c r="AC3612" s="6"/>
      <c r="AD3612" s="6"/>
      <c r="AE3612" s="6"/>
      <c r="AF3612" s="6"/>
      <c r="AG3612" s="6"/>
      <c r="AH3612" s="6"/>
      <c r="AI3612" s="6"/>
      <c r="AJ3612" s="6"/>
      <c r="AK3612" s="6"/>
      <c r="AL3612" s="6"/>
      <c r="AM3612" s="6"/>
    </row>
    <row r="3613">
      <c r="A3613" s="6"/>
      <c r="B3613" s="6"/>
      <c r="C3613" s="6"/>
      <c r="D3613" s="6"/>
      <c r="E3613" s="6"/>
      <c r="F3613" s="6"/>
      <c r="G3613" s="6"/>
      <c r="H3613" s="6"/>
      <c r="I3613" s="6"/>
      <c r="J3613" s="6"/>
      <c r="K3613" s="6"/>
      <c r="L3613" s="6"/>
      <c r="M3613" s="6"/>
      <c r="N3613" s="6"/>
      <c r="O3613" s="6"/>
      <c r="P3613" s="6"/>
      <c r="Q3613" s="6"/>
      <c r="R3613" s="6"/>
      <c r="S3613" s="6"/>
      <c r="T3613" s="6"/>
      <c r="U3613" s="6"/>
      <c r="V3613" s="6"/>
      <c r="W3613" s="6"/>
      <c r="X3613" s="6"/>
      <c r="Y3613" s="6"/>
      <c r="Z3613" s="6"/>
      <c r="AA3613" s="6"/>
      <c r="AB3613" s="6"/>
      <c r="AC3613" s="6"/>
      <c r="AD3613" s="6"/>
      <c r="AE3613" s="6"/>
      <c r="AF3613" s="6"/>
      <c r="AG3613" s="6"/>
      <c r="AH3613" s="6"/>
      <c r="AI3613" s="6"/>
      <c r="AJ3613" s="6"/>
      <c r="AK3613" s="6"/>
      <c r="AL3613" s="6"/>
      <c r="AM3613" s="6"/>
    </row>
    <row r="3614">
      <c r="A3614" s="6"/>
      <c r="B3614" s="6"/>
      <c r="C3614" s="6"/>
      <c r="D3614" s="6"/>
      <c r="E3614" s="6"/>
      <c r="F3614" s="6"/>
      <c r="G3614" s="6"/>
      <c r="H3614" s="6"/>
      <c r="I3614" s="6"/>
      <c r="J3614" s="6"/>
      <c r="K3614" s="6"/>
      <c r="L3614" s="6"/>
      <c r="M3614" s="6"/>
      <c r="N3614" s="6"/>
      <c r="O3614" s="6"/>
      <c r="P3614" s="6"/>
      <c r="Q3614" s="6"/>
      <c r="R3614" s="6"/>
      <c r="S3614" s="6"/>
      <c r="T3614" s="6"/>
      <c r="U3614" s="6"/>
      <c r="V3614" s="6"/>
      <c r="W3614" s="6"/>
      <c r="X3614" s="6"/>
      <c r="Y3614" s="6"/>
      <c r="Z3614" s="6"/>
      <c r="AA3614" s="6"/>
      <c r="AB3614" s="6"/>
      <c r="AC3614" s="6"/>
      <c r="AD3614" s="6"/>
      <c r="AE3614" s="6"/>
      <c r="AF3614" s="6"/>
      <c r="AG3614" s="6"/>
      <c r="AH3614" s="6"/>
      <c r="AI3614" s="6"/>
      <c r="AJ3614" s="6"/>
      <c r="AK3614" s="6"/>
      <c r="AL3614" s="6"/>
      <c r="AM3614" s="6"/>
    </row>
    <row r="3615">
      <c r="A3615" s="6"/>
      <c r="B3615" s="6"/>
      <c r="C3615" s="6"/>
      <c r="D3615" s="6"/>
      <c r="E3615" s="6"/>
      <c r="F3615" s="6"/>
      <c r="G3615" s="6"/>
      <c r="H3615" s="6"/>
      <c r="I3615" s="6"/>
      <c r="J3615" s="6"/>
      <c r="K3615" s="6"/>
      <c r="L3615" s="6"/>
      <c r="M3615" s="6"/>
      <c r="N3615" s="6"/>
      <c r="O3615" s="6"/>
      <c r="P3615" s="6"/>
      <c r="Q3615" s="6"/>
      <c r="R3615" s="6"/>
      <c r="S3615" s="6"/>
      <c r="T3615" s="6"/>
      <c r="U3615" s="6"/>
      <c r="V3615" s="6"/>
      <c r="W3615" s="6"/>
      <c r="X3615" s="6"/>
      <c r="Y3615" s="6"/>
      <c r="Z3615" s="6"/>
      <c r="AA3615" s="6"/>
      <c r="AB3615" s="6"/>
      <c r="AC3615" s="6"/>
      <c r="AD3615" s="6"/>
      <c r="AE3615" s="6"/>
      <c r="AF3615" s="6"/>
      <c r="AG3615" s="6"/>
      <c r="AH3615" s="6"/>
      <c r="AI3615" s="6"/>
      <c r="AJ3615" s="6"/>
      <c r="AK3615" s="6"/>
      <c r="AL3615" s="6"/>
      <c r="AM3615" s="6"/>
    </row>
    <row r="3616">
      <c r="A3616" s="6"/>
      <c r="B3616" s="6"/>
      <c r="C3616" s="6"/>
      <c r="D3616" s="6"/>
      <c r="E3616" s="6"/>
      <c r="F3616" s="6"/>
      <c r="G3616" s="6"/>
      <c r="H3616" s="6"/>
      <c r="I3616" s="6"/>
      <c r="J3616" s="6"/>
      <c r="K3616" s="6"/>
      <c r="L3616" s="6"/>
      <c r="M3616" s="6"/>
      <c r="N3616" s="6"/>
      <c r="O3616" s="6"/>
      <c r="P3616" s="6"/>
      <c r="Q3616" s="6"/>
      <c r="R3616" s="6"/>
      <c r="S3616" s="6"/>
      <c r="T3616" s="6"/>
      <c r="U3616" s="6"/>
      <c r="V3616" s="6"/>
      <c r="W3616" s="6"/>
      <c r="X3616" s="6"/>
      <c r="Y3616" s="6"/>
      <c r="Z3616" s="6"/>
      <c r="AA3616" s="6"/>
      <c r="AB3616" s="6"/>
      <c r="AC3616" s="6"/>
      <c r="AD3616" s="6"/>
      <c r="AE3616" s="6"/>
      <c r="AF3616" s="6"/>
      <c r="AG3616" s="6"/>
      <c r="AH3616" s="6"/>
      <c r="AI3616" s="6"/>
      <c r="AJ3616" s="6"/>
      <c r="AK3616" s="6"/>
      <c r="AL3616" s="6"/>
      <c r="AM3616" s="6"/>
    </row>
    <row r="3617">
      <c r="A3617" s="6"/>
      <c r="B3617" s="6"/>
      <c r="C3617" s="6"/>
      <c r="D3617" s="6"/>
      <c r="E3617" s="6"/>
      <c r="F3617" s="6"/>
      <c r="G3617" s="6"/>
      <c r="H3617" s="6"/>
      <c r="I3617" s="6"/>
      <c r="J3617" s="6"/>
      <c r="K3617" s="6"/>
      <c r="L3617" s="6"/>
      <c r="M3617" s="6"/>
      <c r="N3617" s="6"/>
      <c r="O3617" s="6"/>
      <c r="P3617" s="6"/>
      <c r="Q3617" s="6"/>
      <c r="R3617" s="6"/>
      <c r="S3617" s="6"/>
      <c r="T3617" s="6"/>
      <c r="U3617" s="6"/>
      <c r="V3617" s="6"/>
      <c r="W3617" s="6"/>
      <c r="X3617" s="6"/>
      <c r="Y3617" s="6"/>
      <c r="Z3617" s="6"/>
      <c r="AA3617" s="6"/>
      <c r="AB3617" s="6"/>
      <c r="AC3617" s="6"/>
      <c r="AD3617" s="6"/>
      <c r="AE3617" s="6"/>
      <c r="AF3617" s="6"/>
      <c r="AG3617" s="6"/>
      <c r="AH3617" s="6"/>
      <c r="AI3617" s="6"/>
      <c r="AJ3617" s="6"/>
      <c r="AK3617" s="6"/>
      <c r="AL3617" s="6"/>
      <c r="AM3617" s="6"/>
    </row>
    <row r="3618">
      <c r="A3618" s="6"/>
      <c r="B3618" s="6"/>
      <c r="C3618" s="6"/>
      <c r="D3618" s="6"/>
      <c r="E3618" s="6"/>
      <c r="F3618" s="6"/>
      <c r="G3618" s="6"/>
      <c r="H3618" s="6"/>
      <c r="I3618" s="6"/>
      <c r="J3618" s="6"/>
      <c r="K3618" s="6"/>
      <c r="L3618" s="6"/>
      <c r="M3618" s="6"/>
      <c r="N3618" s="6"/>
      <c r="O3618" s="6"/>
      <c r="P3618" s="6"/>
      <c r="Q3618" s="6"/>
      <c r="R3618" s="6"/>
      <c r="S3618" s="6"/>
      <c r="T3618" s="6"/>
      <c r="U3618" s="6"/>
      <c r="V3618" s="6"/>
      <c r="W3618" s="6"/>
      <c r="X3618" s="6"/>
      <c r="Y3618" s="6"/>
      <c r="Z3618" s="6"/>
      <c r="AA3618" s="6"/>
      <c r="AB3618" s="6"/>
      <c r="AC3618" s="6"/>
      <c r="AD3618" s="6"/>
      <c r="AE3618" s="6"/>
      <c r="AF3618" s="6"/>
      <c r="AG3618" s="6"/>
      <c r="AH3618" s="6"/>
      <c r="AI3618" s="6"/>
      <c r="AJ3618" s="6"/>
      <c r="AK3618" s="6"/>
      <c r="AL3618" s="6"/>
      <c r="AM3618" s="6"/>
    </row>
    <row r="3619">
      <c r="A3619" s="6"/>
      <c r="B3619" s="6"/>
      <c r="C3619" s="6"/>
      <c r="D3619" s="6"/>
      <c r="E3619" s="6"/>
      <c r="F3619" s="6"/>
      <c r="G3619" s="6"/>
      <c r="H3619" s="6"/>
      <c r="I3619" s="6"/>
      <c r="J3619" s="6"/>
      <c r="K3619" s="6"/>
      <c r="L3619" s="6"/>
      <c r="M3619" s="6"/>
      <c r="N3619" s="6"/>
      <c r="O3619" s="6"/>
      <c r="P3619" s="6"/>
      <c r="Q3619" s="6"/>
      <c r="R3619" s="6"/>
      <c r="S3619" s="6"/>
      <c r="T3619" s="6"/>
      <c r="U3619" s="6"/>
      <c r="V3619" s="6"/>
      <c r="W3619" s="6"/>
      <c r="X3619" s="6"/>
      <c r="Y3619" s="6"/>
      <c r="Z3619" s="6"/>
      <c r="AA3619" s="6"/>
      <c r="AB3619" s="6"/>
      <c r="AC3619" s="6"/>
      <c r="AD3619" s="6"/>
      <c r="AE3619" s="6"/>
      <c r="AF3619" s="6"/>
      <c r="AG3619" s="6"/>
      <c r="AH3619" s="6"/>
      <c r="AI3619" s="6"/>
      <c r="AJ3619" s="6"/>
      <c r="AK3619" s="6"/>
      <c r="AL3619" s="6"/>
      <c r="AM3619" s="6"/>
    </row>
    <row r="3620">
      <c r="A3620" s="6"/>
      <c r="B3620" s="6"/>
      <c r="C3620" s="6"/>
      <c r="D3620" s="6"/>
      <c r="E3620" s="6"/>
      <c r="F3620" s="6"/>
      <c r="G3620" s="6"/>
      <c r="H3620" s="6"/>
      <c r="I3620" s="6"/>
      <c r="J3620" s="6"/>
      <c r="K3620" s="6"/>
      <c r="L3620" s="6"/>
      <c r="M3620" s="6"/>
      <c r="N3620" s="6"/>
      <c r="O3620" s="6"/>
      <c r="P3620" s="6"/>
      <c r="Q3620" s="6"/>
      <c r="R3620" s="6"/>
      <c r="S3620" s="6"/>
      <c r="T3620" s="6"/>
      <c r="U3620" s="6"/>
      <c r="V3620" s="6"/>
      <c r="W3620" s="6"/>
      <c r="X3620" s="6"/>
      <c r="Y3620" s="6"/>
      <c r="Z3620" s="6"/>
      <c r="AA3620" s="6"/>
      <c r="AB3620" s="6"/>
      <c r="AC3620" s="6"/>
      <c r="AD3620" s="6"/>
      <c r="AE3620" s="6"/>
      <c r="AF3620" s="6"/>
      <c r="AG3620" s="6"/>
      <c r="AH3620" s="6"/>
      <c r="AI3620" s="6"/>
      <c r="AJ3620" s="6"/>
      <c r="AK3620" s="6"/>
      <c r="AL3620" s="6"/>
      <c r="AM3620" s="6"/>
    </row>
    <row r="3621">
      <c r="A3621" s="6"/>
      <c r="B3621" s="6"/>
      <c r="C3621" s="6"/>
      <c r="D3621" s="6"/>
      <c r="E3621" s="6"/>
      <c r="F3621" s="6"/>
      <c r="G3621" s="6"/>
      <c r="H3621" s="6"/>
      <c r="I3621" s="6"/>
      <c r="J3621" s="6"/>
      <c r="K3621" s="6"/>
      <c r="L3621" s="6"/>
      <c r="M3621" s="6"/>
      <c r="N3621" s="6"/>
      <c r="O3621" s="6"/>
      <c r="P3621" s="6"/>
      <c r="Q3621" s="6"/>
      <c r="R3621" s="6"/>
      <c r="S3621" s="6"/>
      <c r="T3621" s="6"/>
      <c r="U3621" s="6"/>
      <c r="V3621" s="6"/>
      <c r="W3621" s="6"/>
      <c r="X3621" s="6"/>
      <c r="Y3621" s="6"/>
      <c r="Z3621" s="6"/>
      <c r="AA3621" s="6"/>
      <c r="AB3621" s="6"/>
      <c r="AC3621" s="6"/>
      <c r="AD3621" s="6"/>
      <c r="AE3621" s="6"/>
      <c r="AF3621" s="6"/>
      <c r="AG3621" s="6"/>
      <c r="AH3621" s="6"/>
      <c r="AI3621" s="6"/>
      <c r="AJ3621" s="6"/>
      <c r="AK3621" s="6"/>
      <c r="AL3621" s="6"/>
      <c r="AM3621" s="6"/>
    </row>
    <row r="3622">
      <c r="A3622" s="6"/>
      <c r="B3622" s="6"/>
      <c r="C3622" s="6"/>
      <c r="D3622" s="6"/>
      <c r="E3622" s="6"/>
      <c r="F3622" s="6"/>
      <c r="G3622" s="6"/>
      <c r="H3622" s="6"/>
      <c r="I3622" s="6"/>
      <c r="J3622" s="6"/>
      <c r="K3622" s="6"/>
      <c r="L3622" s="6"/>
      <c r="M3622" s="6"/>
      <c r="N3622" s="6"/>
      <c r="O3622" s="6"/>
      <c r="P3622" s="6"/>
      <c r="Q3622" s="6"/>
      <c r="R3622" s="6"/>
      <c r="S3622" s="6"/>
      <c r="T3622" s="6"/>
      <c r="U3622" s="6"/>
      <c r="V3622" s="6"/>
      <c r="W3622" s="6"/>
      <c r="X3622" s="6"/>
      <c r="Y3622" s="6"/>
      <c r="Z3622" s="6"/>
      <c r="AA3622" s="6"/>
      <c r="AB3622" s="6"/>
      <c r="AC3622" s="6"/>
      <c r="AD3622" s="6"/>
      <c r="AE3622" s="6"/>
      <c r="AF3622" s="6"/>
      <c r="AG3622" s="6"/>
      <c r="AH3622" s="6"/>
      <c r="AI3622" s="6"/>
      <c r="AJ3622" s="6"/>
      <c r="AK3622" s="6"/>
      <c r="AL3622" s="6"/>
      <c r="AM3622" s="6"/>
    </row>
    <row r="3623">
      <c r="A3623" s="6"/>
      <c r="B3623" s="6"/>
      <c r="C3623" s="6"/>
      <c r="D3623" s="6"/>
      <c r="E3623" s="6"/>
      <c r="F3623" s="6"/>
      <c r="G3623" s="6"/>
      <c r="H3623" s="6"/>
      <c r="I3623" s="6"/>
      <c r="J3623" s="6"/>
      <c r="K3623" s="6"/>
      <c r="L3623" s="6"/>
      <c r="M3623" s="6"/>
      <c r="N3623" s="6"/>
      <c r="O3623" s="6"/>
      <c r="P3623" s="6"/>
      <c r="Q3623" s="6"/>
      <c r="R3623" s="6"/>
      <c r="S3623" s="6"/>
      <c r="T3623" s="6"/>
      <c r="U3623" s="6"/>
      <c r="V3623" s="6"/>
      <c r="W3623" s="6"/>
      <c r="X3623" s="6"/>
      <c r="Y3623" s="6"/>
      <c r="Z3623" s="6"/>
      <c r="AA3623" s="6"/>
      <c r="AB3623" s="6"/>
      <c r="AC3623" s="6"/>
      <c r="AD3623" s="6"/>
      <c r="AE3623" s="6"/>
      <c r="AF3623" s="6"/>
      <c r="AG3623" s="6"/>
      <c r="AH3623" s="6"/>
      <c r="AI3623" s="6"/>
      <c r="AJ3623" s="6"/>
      <c r="AK3623" s="6"/>
      <c r="AL3623" s="6"/>
      <c r="AM3623" s="6"/>
    </row>
    <row r="3624">
      <c r="A3624" s="6"/>
      <c r="B3624" s="6"/>
      <c r="C3624" s="6"/>
      <c r="D3624" s="6"/>
      <c r="E3624" s="6"/>
      <c r="F3624" s="6"/>
      <c r="G3624" s="6"/>
      <c r="H3624" s="6"/>
      <c r="I3624" s="6"/>
      <c r="J3624" s="6"/>
      <c r="K3624" s="6"/>
      <c r="L3624" s="6"/>
      <c r="M3624" s="6"/>
      <c r="N3624" s="6"/>
      <c r="O3624" s="6"/>
      <c r="P3624" s="6"/>
      <c r="Q3624" s="6"/>
      <c r="R3624" s="6"/>
      <c r="S3624" s="6"/>
      <c r="T3624" s="6"/>
      <c r="U3624" s="6"/>
      <c r="V3624" s="6"/>
      <c r="W3624" s="6"/>
      <c r="X3624" s="6"/>
      <c r="Y3624" s="6"/>
      <c r="Z3624" s="6"/>
      <c r="AA3624" s="6"/>
      <c r="AB3624" s="6"/>
      <c r="AC3624" s="6"/>
      <c r="AD3624" s="6"/>
      <c r="AE3624" s="6"/>
      <c r="AF3624" s="6"/>
      <c r="AG3624" s="6"/>
      <c r="AH3624" s="6"/>
      <c r="AI3624" s="6"/>
      <c r="AJ3624" s="6"/>
      <c r="AK3624" s="6"/>
      <c r="AL3624" s="6"/>
      <c r="AM3624" s="6"/>
    </row>
    <row r="3625">
      <c r="A3625" s="6"/>
      <c r="B3625" s="6"/>
      <c r="C3625" s="6"/>
      <c r="D3625" s="6"/>
      <c r="E3625" s="6"/>
      <c r="F3625" s="6"/>
      <c r="G3625" s="6"/>
      <c r="H3625" s="6"/>
      <c r="I3625" s="6"/>
      <c r="J3625" s="6"/>
      <c r="K3625" s="6"/>
      <c r="L3625" s="6"/>
      <c r="M3625" s="6"/>
      <c r="N3625" s="6"/>
      <c r="O3625" s="6"/>
      <c r="P3625" s="6"/>
      <c r="Q3625" s="6"/>
      <c r="R3625" s="6"/>
      <c r="S3625" s="6"/>
      <c r="T3625" s="6"/>
      <c r="U3625" s="6"/>
      <c r="V3625" s="6"/>
      <c r="W3625" s="6"/>
      <c r="X3625" s="6"/>
      <c r="Y3625" s="6"/>
      <c r="Z3625" s="6"/>
      <c r="AA3625" s="6"/>
      <c r="AB3625" s="6"/>
      <c r="AC3625" s="6"/>
      <c r="AD3625" s="6"/>
      <c r="AE3625" s="6"/>
      <c r="AF3625" s="6"/>
      <c r="AG3625" s="6"/>
      <c r="AH3625" s="6"/>
      <c r="AI3625" s="6"/>
      <c r="AJ3625" s="6"/>
      <c r="AK3625" s="6"/>
      <c r="AL3625" s="6"/>
      <c r="AM3625" s="6"/>
    </row>
    <row r="3626">
      <c r="A3626" s="6"/>
      <c r="B3626" s="6"/>
      <c r="C3626" s="6"/>
      <c r="D3626" s="6"/>
      <c r="E3626" s="6"/>
      <c r="F3626" s="6"/>
      <c r="G3626" s="6"/>
      <c r="H3626" s="6"/>
      <c r="I3626" s="6"/>
      <c r="J3626" s="6"/>
      <c r="K3626" s="6"/>
      <c r="L3626" s="6"/>
      <c r="M3626" s="6"/>
      <c r="N3626" s="6"/>
      <c r="O3626" s="6"/>
      <c r="P3626" s="6"/>
      <c r="Q3626" s="6"/>
      <c r="R3626" s="6"/>
      <c r="S3626" s="6"/>
      <c r="T3626" s="6"/>
      <c r="U3626" s="6"/>
      <c r="V3626" s="6"/>
      <c r="W3626" s="6"/>
      <c r="X3626" s="6"/>
      <c r="Y3626" s="6"/>
      <c r="Z3626" s="6"/>
      <c r="AA3626" s="6"/>
      <c r="AB3626" s="6"/>
      <c r="AC3626" s="6"/>
      <c r="AD3626" s="6"/>
      <c r="AE3626" s="6"/>
      <c r="AF3626" s="6"/>
      <c r="AG3626" s="6"/>
      <c r="AH3626" s="6"/>
      <c r="AI3626" s="6"/>
      <c r="AJ3626" s="6"/>
      <c r="AK3626" s="6"/>
      <c r="AL3626" s="6"/>
      <c r="AM3626" s="6"/>
    </row>
    <row r="3627">
      <c r="A3627" s="6"/>
      <c r="B3627" s="6"/>
      <c r="C3627" s="6"/>
      <c r="D3627" s="6"/>
      <c r="E3627" s="6"/>
      <c r="F3627" s="6"/>
      <c r="G3627" s="6"/>
      <c r="H3627" s="6"/>
      <c r="I3627" s="6"/>
      <c r="J3627" s="6"/>
      <c r="K3627" s="6"/>
      <c r="L3627" s="6"/>
      <c r="M3627" s="6"/>
      <c r="N3627" s="6"/>
      <c r="O3627" s="6"/>
      <c r="P3627" s="6"/>
      <c r="Q3627" s="6"/>
      <c r="R3627" s="6"/>
      <c r="S3627" s="6"/>
      <c r="T3627" s="6"/>
      <c r="U3627" s="6"/>
      <c r="V3627" s="6"/>
      <c r="W3627" s="6"/>
      <c r="X3627" s="6"/>
      <c r="Y3627" s="6"/>
      <c r="Z3627" s="6"/>
      <c r="AA3627" s="6"/>
      <c r="AB3627" s="6"/>
      <c r="AC3627" s="6"/>
      <c r="AD3627" s="6"/>
      <c r="AE3627" s="6"/>
      <c r="AF3627" s="6"/>
      <c r="AG3627" s="6"/>
      <c r="AH3627" s="6"/>
      <c r="AI3627" s="6"/>
      <c r="AJ3627" s="6"/>
      <c r="AK3627" s="6"/>
      <c r="AL3627" s="6"/>
      <c r="AM3627" s="6"/>
    </row>
    <row r="3628">
      <c r="A3628" s="6"/>
      <c r="B3628" s="6"/>
      <c r="C3628" s="6"/>
      <c r="D3628" s="6"/>
      <c r="E3628" s="6"/>
      <c r="F3628" s="6"/>
      <c r="G3628" s="6"/>
      <c r="H3628" s="6"/>
      <c r="I3628" s="6"/>
      <c r="J3628" s="6"/>
      <c r="K3628" s="6"/>
      <c r="L3628" s="6"/>
      <c r="M3628" s="6"/>
      <c r="N3628" s="6"/>
      <c r="O3628" s="6"/>
      <c r="P3628" s="6"/>
      <c r="Q3628" s="6"/>
      <c r="R3628" s="6"/>
      <c r="S3628" s="6"/>
      <c r="T3628" s="6"/>
      <c r="U3628" s="6"/>
      <c r="V3628" s="6"/>
      <c r="W3628" s="6"/>
      <c r="X3628" s="6"/>
      <c r="Y3628" s="6"/>
      <c r="Z3628" s="6"/>
      <c r="AA3628" s="6"/>
      <c r="AB3628" s="6"/>
      <c r="AC3628" s="6"/>
      <c r="AD3628" s="6"/>
      <c r="AE3628" s="6"/>
      <c r="AF3628" s="6"/>
      <c r="AG3628" s="6"/>
      <c r="AH3628" s="6"/>
      <c r="AI3628" s="6"/>
      <c r="AJ3628" s="6"/>
      <c r="AK3628" s="6"/>
      <c r="AL3628" s="6"/>
      <c r="AM3628" s="6"/>
    </row>
    <row r="3629">
      <c r="A3629" s="6"/>
      <c r="B3629" s="6"/>
      <c r="C3629" s="6"/>
      <c r="D3629" s="6"/>
      <c r="E3629" s="6"/>
      <c r="F3629" s="6"/>
      <c r="G3629" s="6"/>
      <c r="H3629" s="6"/>
      <c r="I3629" s="6"/>
      <c r="J3629" s="6"/>
      <c r="K3629" s="6"/>
      <c r="L3629" s="6"/>
      <c r="M3629" s="6"/>
      <c r="N3629" s="6"/>
      <c r="O3629" s="6"/>
      <c r="P3629" s="6"/>
      <c r="Q3629" s="6"/>
      <c r="R3629" s="6"/>
      <c r="S3629" s="6"/>
      <c r="T3629" s="6"/>
      <c r="U3629" s="6"/>
      <c r="V3629" s="6"/>
      <c r="W3629" s="6"/>
      <c r="X3629" s="6"/>
      <c r="Y3629" s="6"/>
      <c r="Z3629" s="6"/>
      <c r="AA3629" s="6"/>
      <c r="AB3629" s="6"/>
      <c r="AC3629" s="6"/>
      <c r="AD3629" s="6"/>
      <c r="AE3629" s="6"/>
      <c r="AF3629" s="6"/>
      <c r="AG3629" s="6"/>
      <c r="AH3629" s="6"/>
      <c r="AI3629" s="6"/>
      <c r="AJ3629" s="6"/>
      <c r="AK3629" s="6"/>
      <c r="AL3629" s="6"/>
      <c r="AM3629" s="6"/>
    </row>
    <row r="3630">
      <c r="A3630" s="6"/>
      <c r="B3630" s="6"/>
      <c r="C3630" s="6"/>
      <c r="D3630" s="6"/>
      <c r="E3630" s="6"/>
      <c r="F3630" s="6"/>
      <c r="G3630" s="6"/>
      <c r="H3630" s="6"/>
      <c r="I3630" s="6"/>
      <c r="J3630" s="6"/>
      <c r="K3630" s="6"/>
      <c r="L3630" s="6"/>
      <c r="M3630" s="6"/>
      <c r="N3630" s="6"/>
      <c r="O3630" s="6"/>
      <c r="P3630" s="6"/>
      <c r="Q3630" s="6"/>
      <c r="R3630" s="6"/>
      <c r="S3630" s="6"/>
      <c r="T3630" s="6"/>
      <c r="U3630" s="6"/>
      <c r="V3630" s="6"/>
      <c r="W3630" s="6"/>
      <c r="X3630" s="6"/>
      <c r="Y3630" s="6"/>
      <c r="Z3630" s="6"/>
      <c r="AA3630" s="6"/>
      <c r="AB3630" s="6"/>
      <c r="AC3630" s="6"/>
      <c r="AD3630" s="6"/>
      <c r="AE3630" s="6"/>
      <c r="AF3630" s="6"/>
      <c r="AG3630" s="6"/>
      <c r="AH3630" s="6"/>
      <c r="AI3630" s="6"/>
      <c r="AJ3630" s="6"/>
      <c r="AK3630" s="6"/>
      <c r="AL3630" s="6"/>
      <c r="AM3630" s="6"/>
    </row>
    <row r="3631">
      <c r="A3631" s="6"/>
      <c r="B3631" s="6"/>
      <c r="C3631" s="6"/>
      <c r="D3631" s="6"/>
      <c r="E3631" s="6"/>
      <c r="F3631" s="6"/>
      <c r="G3631" s="6"/>
      <c r="H3631" s="6"/>
      <c r="I3631" s="6"/>
      <c r="J3631" s="6"/>
      <c r="K3631" s="6"/>
      <c r="L3631" s="6"/>
      <c r="M3631" s="6"/>
      <c r="N3631" s="6"/>
      <c r="O3631" s="6"/>
      <c r="P3631" s="6"/>
      <c r="Q3631" s="6"/>
      <c r="R3631" s="6"/>
      <c r="S3631" s="6"/>
      <c r="T3631" s="6"/>
      <c r="U3631" s="6"/>
      <c r="V3631" s="6"/>
      <c r="W3631" s="6"/>
      <c r="X3631" s="6"/>
      <c r="Y3631" s="6"/>
      <c r="Z3631" s="6"/>
      <c r="AA3631" s="6"/>
      <c r="AB3631" s="6"/>
      <c r="AC3631" s="6"/>
      <c r="AD3631" s="6"/>
      <c r="AE3631" s="6"/>
      <c r="AF3631" s="6"/>
      <c r="AG3631" s="6"/>
      <c r="AH3631" s="6"/>
      <c r="AI3631" s="6"/>
      <c r="AJ3631" s="6"/>
      <c r="AK3631" s="6"/>
      <c r="AL3631" s="6"/>
      <c r="AM3631" s="6"/>
    </row>
    <row r="3632">
      <c r="A3632" s="6"/>
      <c r="B3632" s="6"/>
      <c r="C3632" s="6"/>
      <c r="D3632" s="6"/>
      <c r="E3632" s="6"/>
      <c r="F3632" s="6"/>
      <c r="G3632" s="6"/>
      <c r="H3632" s="6"/>
      <c r="I3632" s="6"/>
      <c r="J3632" s="6"/>
      <c r="K3632" s="6"/>
      <c r="L3632" s="6"/>
      <c r="M3632" s="6"/>
      <c r="N3632" s="6"/>
      <c r="O3632" s="6"/>
      <c r="P3632" s="6"/>
      <c r="Q3632" s="6"/>
      <c r="R3632" s="6"/>
      <c r="S3632" s="6"/>
      <c r="T3632" s="6"/>
      <c r="U3632" s="6"/>
      <c r="V3632" s="6"/>
      <c r="W3632" s="6"/>
      <c r="X3632" s="6"/>
      <c r="Y3632" s="6"/>
      <c r="Z3632" s="6"/>
      <c r="AA3632" s="6"/>
      <c r="AB3632" s="6"/>
      <c r="AC3632" s="6"/>
      <c r="AD3632" s="6"/>
      <c r="AE3632" s="6"/>
      <c r="AF3632" s="6"/>
      <c r="AG3632" s="6"/>
      <c r="AH3632" s="6"/>
      <c r="AI3632" s="6"/>
      <c r="AJ3632" s="6"/>
      <c r="AK3632" s="6"/>
      <c r="AL3632" s="6"/>
      <c r="AM3632" s="6"/>
    </row>
    <row r="3633">
      <c r="A3633" s="6"/>
      <c r="B3633" s="6"/>
      <c r="C3633" s="6"/>
      <c r="D3633" s="6"/>
      <c r="E3633" s="6"/>
      <c r="F3633" s="6"/>
      <c r="G3633" s="6"/>
      <c r="H3633" s="6"/>
      <c r="I3633" s="6"/>
      <c r="J3633" s="6"/>
      <c r="K3633" s="6"/>
      <c r="L3633" s="6"/>
      <c r="M3633" s="6"/>
      <c r="N3633" s="6"/>
      <c r="O3633" s="6"/>
      <c r="P3633" s="6"/>
      <c r="Q3633" s="6"/>
      <c r="R3633" s="6"/>
      <c r="S3633" s="6"/>
      <c r="T3633" s="6"/>
      <c r="U3633" s="6"/>
      <c r="V3633" s="6"/>
      <c r="W3633" s="6"/>
      <c r="X3633" s="6"/>
      <c r="Y3633" s="6"/>
      <c r="Z3633" s="6"/>
      <c r="AA3633" s="6"/>
      <c r="AB3633" s="6"/>
      <c r="AC3633" s="6"/>
      <c r="AD3633" s="6"/>
      <c r="AE3633" s="6"/>
      <c r="AF3633" s="6"/>
      <c r="AG3633" s="6"/>
      <c r="AH3633" s="6"/>
      <c r="AI3633" s="6"/>
      <c r="AJ3633" s="6"/>
      <c r="AK3633" s="6"/>
      <c r="AL3633" s="6"/>
      <c r="AM3633" s="6"/>
    </row>
    <row r="3634">
      <c r="A3634" s="6"/>
      <c r="B3634" s="6"/>
      <c r="C3634" s="6"/>
      <c r="D3634" s="6"/>
      <c r="E3634" s="6"/>
      <c r="F3634" s="6"/>
      <c r="G3634" s="6"/>
      <c r="H3634" s="6"/>
      <c r="I3634" s="6"/>
      <c r="J3634" s="6"/>
      <c r="K3634" s="6"/>
      <c r="L3634" s="6"/>
      <c r="M3634" s="6"/>
      <c r="N3634" s="6"/>
      <c r="O3634" s="6"/>
      <c r="P3634" s="6"/>
      <c r="Q3634" s="6"/>
      <c r="R3634" s="6"/>
      <c r="S3634" s="6"/>
      <c r="T3634" s="6"/>
      <c r="U3634" s="6"/>
      <c r="V3634" s="6"/>
      <c r="W3634" s="6"/>
      <c r="X3634" s="6"/>
      <c r="Y3634" s="6"/>
      <c r="Z3634" s="6"/>
      <c r="AA3634" s="6"/>
      <c r="AB3634" s="6"/>
      <c r="AC3634" s="6"/>
      <c r="AD3634" s="6"/>
      <c r="AE3634" s="6"/>
      <c r="AF3634" s="6"/>
      <c r="AG3634" s="6"/>
      <c r="AH3634" s="6"/>
      <c r="AI3634" s="6"/>
      <c r="AJ3634" s="6"/>
      <c r="AK3634" s="6"/>
      <c r="AL3634" s="6"/>
      <c r="AM3634" s="6"/>
    </row>
    <row r="3635">
      <c r="A3635" s="6"/>
      <c r="B3635" s="6"/>
      <c r="C3635" s="6"/>
      <c r="D3635" s="6"/>
      <c r="E3635" s="6"/>
      <c r="F3635" s="6"/>
      <c r="G3635" s="6"/>
      <c r="H3635" s="6"/>
      <c r="I3635" s="6"/>
      <c r="J3635" s="6"/>
      <c r="K3635" s="6"/>
      <c r="L3635" s="6"/>
      <c r="M3635" s="6"/>
      <c r="N3635" s="6"/>
      <c r="O3635" s="6"/>
      <c r="P3635" s="6"/>
      <c r="Q3635" s="6"/>
      <c r="R3635" s="6"/>
      <c r="S3635" s="6"/>
      <c r="T3635" s="6"/>
      <c r="U3635" s="6"/>
      <c r="V3635" s="6"/>
      <c r="W3635" s="6"/>
      <c r="X3635" s="6"/>
      <c r="Y3635" s="6"/>
      <c r="Z3635" s="6"/>
      <c r="AA3635" s="6"/>
      <c r="AB3635" s="6"/>
      <c r="AC3635" s="6"/>
      <c r="AD3635" s="6"/>
      <c r="AE3635" s="6"/>
      <c r="AF3635" s="6"/>
      <c r="AG3635" s="6"/>
      <c r="AH3635" s="6"/>
      <c r="AI3635" s="6"/>
      <c r="AJ3635" s="6"/>
      <c r="AK3635" s="6"/>
      <c r="AL3635" s="6"/>
      <c r="AM3635" s="6"/>
    </row>
    <row r="3636">
      <c r="A3636" s="6"/>
      <c r="B3636" s="6"/>
      <c r="C3636" s="6"/>
      <c r="D3636" s="6"/>
      <c r="E3636" s="6"/>
      <c r="F3636" s="6"/>
      <c r="G3636" s="6"/>
      <c r="H3636" s="6"/>
      <c r="I3636" s="6"/>
      <c r="J3636" s="6"/>
      <c r="K3636" s="6"/>
      <c r="L3636" s="6"/>
      <c r="M3636" s="6"/>
      <c r="N3636" s="6"/>
      <c r="O3636" s="6"/>
      <c r="P3636" s="6"/>
      <c r="Q3636" s="6"/>
      <c r="R3636" s="6"/>
      <c r="S3636" s="6"/>
      <c r="T3636" s="6"/>
      <c r="U3636" s="6"/>
      <c r="V3636" s="6"/>
      <c r="W3636" s="6"/>
      <c r="X3636" s="6"/>
      <c r="Y3636" s="6"/>
      <c r="Z3636" s="6"/>
      <c r="AA3636" s="6"/>
      <c r="AB3636" s="6"/>
      <c r="AC3636" s="6"/>
      <c r="AD3636" s="6"/>
      <c r="AE3636" s="6"/>
      <c r="AF3636" s="6"/>
      <c r="AG3636" s="6"/>
      <c r="AH3636" s="6"/>
      <c r="AI3636" s="6"/>
      <c r="AJ3636" s="6"/>
      <c r="AK3636" s="6"/>
      <c r="AL3636" s="6"/>
      <c r="AM3636" s="6"/>
    </row>
    <row r="3637">
      <c r="A3637" s="6"/>
      <c r="B3637" s="6"/>
      <c r="C3637" s="6"/>
      <c r="D3637" s="6"/>
      <c r="E3637" s="6"/>
      <c r="F3637" s="6"/>
      <c r="G3637" s="6"/>
      <c r="H3637" s="6"/>
      <c r="I3637" s="6"/>
      <c r="J3637" s="6"/>
      <c r="K3637" s="6"/>
      <c r="L3637" s="6"/>
      <c r="M3637" s="6"/>
      <c r="N3637" s="6"/>
      <c r="O3637" s="6"/>
      <c r="P3637" s="6"/>
      <c r="Q3637" s="6"/>
      <c r="R3637" s="6"/>
      <c r="S3637" s="6"/>
      <c r="T3637" s="6"/>
      <c r="U3637" s="6"/>
      <c r="V3637" s="6"/>
      <c r="W3637" s="6"/>
      <c r="X3637" s="6"/>
      <c r="Y3637" s="6"/>
      <c r="Z3637" s="6"/>
      <c r="AA3637" s="6"/>
      <c r="AB3637" s="6"/>
      <c r="AC3637" s="6"/>
      <c r="AD3637" s="6"/>
      <c r="AE3637" s="6"/>
      <c r="AF3637" s="6"/>
      <c r="AG3637" s="6"/>
      <c r="AH3637" s="6"/>
      <c r="AI3637" s="6"/>
      <c r="AJ3637" s="6"/>
      <c r="AK3637" s="6"/>
      <c r="AL3637" s="6"/>
      <c r="AM3637" s="6"/>
    </row>
    <row r="3638">
      <c r="A3638" s="6"/>
      <c r="B3638" s="6"/>
      <c r="C3638" s="6"/>
      <c r="D3638" s="6"/>
      <c r="E3638" s="6"/>
      <c r="F3638" s="6"/>
      <c r="G3638" s="6"/>
      <c r="H3638" s="6"/>
      <c r="I3638" s="6"/>
      <c r="J3638" s="6"/>
      <c r="K3638" s="6"/>
      <c r="L3638" s="6"/>
      <c r="M3638" s="6"/>
      <c r="N3638" s="6"/>
      <c r="O3638" s="6"/>
      <c r="P3638" s="6"/>
      <c r="Q3638" s="6"/>
      <c r="R3638" s="6"/>
      <c r="S3638" s="6"/>
      <c r="T3638" s="6"/>
      <c r="U3638" s="6"/>
      <c r="V3638" s="6"/>
      <c r="W3638" s="6"/>
      <c r="X3638" s="6"/>
      <c r="Y3638" s="6"/>
      <c r="Z3638" s="6"/>
      <c r="AA3638" s="6"/>
      <c r="AB3638" s="6"/>
      <c r="AC3638" s="6"/>
      <c r="AD3638" s="6"/>
      <c r="AE3638" s="6"/>
      <c r="AF3638" s="6"/>
      <c r="AG3638" s="6"/>
      <c r="AH3638" s="6"/>
      <c r="AI3638" s="6"/>
      <c r="AJ3638" s="6"/>
      <c r="AK3638" s="6"/>
      <c r="AL3638" s="6"/>
      <c r="AM3638" s="6"/>
    </row>
    <row r="3639">
      <c r="A3639" s="6"/>
      <c r="B3639" s="6"/>
      <c r="C3639" s="6"/>
      <c r="D3639" s="6"/>
      <c r="E3639" s="6"/>
      <c r="F3639" s="6"/>
      <c r="G3639" s="6"/>
      <c r="H3639" s="6"/>
      <c r="I3639" s="6"/>
      <c r="J3639" s="6"/>
      <c r="K3639" s="6"/>
      <c r="L3639" s="6"/>
      <c r="M3639" s="6"/>
      <c r="N3639" s="6"/>
      <c r="O3639" s="6"/>
      <c r="P3639" s="6"/>
      <c r="Q3639" s="6"/>
      <c r="R3639" s="6"/>
      <c r="S3639" s="6"/>
      <c r="T3639" s="6"/>
      <c r="U3639" s="6"/>
      <c r="V3639" s="6"/>
      <c r="W3639" s="6"/>
      <c r="X3639" s="6"/>
      <c r="Y3639" s="6"/>
      <c r="Z3639" s="6"/>
      <c r="AA3639" s="6"/>
      <c r="AB3639" s="6"/>
      <c r="AC3639" s="6"/>
      <c r="AD3639" s="6"/>
      <c r="AE3639" s="6"/>
      <c r="AF3639" s="6"/>
      <c r="AG3639" s="6"/>
      <c r="AH3639" s="6"/>
      <c r="AI3639" s="6"/>
      <c r="AJ3639" s="6"/>
      <c r="AK3639" s="6"/>
      <c r="AL3639" s="6"/>
      <c r="AM3639" s="6"/>
    </row>
    <row r="3640">
      <c r="A3640" s="6"/>
      <c r="B3640" s="6"/>
      <c r="C3640" s="6"/>
      <c r="D3640" s="6"/>
      <c r="E3640" s="6"/>
      <c r="F3640" s="6"/>
      <c r="G3640" s="6"/>
      <c r="H3640" s="6"/>
      <c r="I3640" s="6"/>
      <c r="J3640" s="6"/>
      <c r="K3640" s="6"/>
      <c r="L3640" s="6"/>
      <c r="M3640" s="6"/>
      <c r="N3640" s="6"/>
      <c r="O3640" s="6"/>
      <c r="P3640" s="6"/>
      <c r="Q3640" s="6"/>
      <c r="R3640" s="6"/>
      <c r="S3640" s="6"/>
      <c r="T3640" s="6"/>
      <c r="U3640" s="6"/>
      <c r="V3640" s="6"/>
      <c r="W3640" s="6"/>
      <c r="X3640" s="6"/>
      <c r="Y3640" s="6"/>
      <c r="Z3640" s="6"/>
      <c r="AA3640" s="6"/>
      <c r="AB3640" s="6"/>
      <c r="AC3640" s="6"/>
      <c r="AD3640" s="6"/>
      <c r="AE3640" s="6"/>
      <c r="AF3640" s="6"/>
      <c r="AG3640" s="6"/>
      <c r="AH3640" s="6"/>
      <c r="AI3640" s="6"/>
      <c r="AJ3640" s="6"/>
      <c r="AK3640" s="6"/>
      <c r="AL3640" s="6"/>
      <c r="AM3640" s="6"/>
    </row>
    <row r="3641">
      <c r="A3641" s="6"/>
      <c r="B3641" s="6"/>
      <c r="C3641" s="6"/>
      <c r="D3641" s="6"/>
      <c r="E3641" s="6"/>
      <c r="F3641" s="6"/>
      <c r="G3641" s="6"/>
      <c r="H3641" s="6"/>
      <c r="I3641" s="6"/>
      <c r="J3641" s="6"/>
      <c r="K3641" s="6"/>
      <c r="L3641" s="6"/>
      <c r="M3641" s="6"/>
      <c r="N3641" s="6"/>
      <c r="O3641" s="6"/>
      <c r="P3641" s="6"/>
      <c r="Q3641" s="6"/>
      <c r="R3641" s="6"/>
      <c r="S3641" s="6"/>
      <c r="T3641" s="6"/>
      <c r="U3641" s="6"/>
      <c r="V3641" s="6"/>
      <c r="W3641" s="6"/>
      <c r="X3641" s="6"/>
      <c r="Y3641" s="6"/>
      <c r="Z3641" s="6"/>
      <c r="AA3641" s="6"/>
      <c r="AB3641" s="6"/>
      <c r="AC3641" s="6"/>
      <c r="AD3641" s="6"/>
      <c r="AE3641" s="6"/>
      <c r="AF3641" s="6"/>
      <c r="AG3641" s="6"/>
      <c r="AH3641" s="6"/>
      <c r="AI3641" s="6"/>
      <c r="AJ3641" s="6"/>
      <c r="AK3641" s="6"/>
      <c r="AL3641" s="6"/>
      <c r="AM3641" s="6"/>
    </row>
    <row r="3642">
      <c r="A3642" s="6"/>
      <c r="B3642" s="6"/>
      <c r="C3642" s="6"/>
      <c r="D3642" s="6"/>
      <c r="E3642" s="6"/>
      <c r="F3642" s="6"/>
      <c r="G3642" s="6"/>
      <c r="H3642" s="6"/>
      <c r="I3642" s="6"/>
      <c r="J3642" s="6"/>
      <c r="K3642" s="6"/>
      <c r="L3642" s="6"/>
      <c r="M3642" s="6"/>
      <c r="N3642" s="6"/>
      <c r="O3642" s="6"/>
      <c r="P3642" s="6"/>
      <c r="Q3642" s="6"/>
      <c r="R3642" s="6"/>
      <c r="S3642" s="6"/>
      <c r="T3642" s="6"/>
      <c r="U3642" s="6"/>
      <c r="V3642" s="6"/>
      <c r="W3642" s="6"/>
      <c r="X3642" s="6"/>
      <c r="Y3642" s="6"/>
      <c r="Z3642" s="6"/>
      <c r="AA3642" s="6"/>
      <c r="AB3642" s="6"/>
      <c r="AC3642" s="6"/>
      <c r="AD3642" s="6"/>
      <c r="AE3642" s="6"/>
      <c r="AF3642" s="6"/>
      <c r="AG3642" s="6"/>
      <c r="AH3642" s="6"/>
      <c r="AI3642" s="6"/>
      <c r="AJ3642" s="6"/>
      <c r="AK3642" s="6"/>
      <c r="AL3642" s="6"/>
      <c r="AM3642" s="6"/>
    </row>
    <row r="3643">
      <c r="A3643" s="6"/>
      <c r="B3643" s="6"/>
      <c r="C3643" s="6"/>
      <c r="D3643" s="6"/>
      <c r="E3643" s="6"/>
      <c r="F3643" s="6"/>
      <c r="G3643" s="6"/>
      <c r="H3643" s="6"/>
      <c r="I3643" s="6"/>
      <c r="J3643" s="6"/>
      <c r="K3643" s="6"/>
      <c r="L3643" s="6"/>
      <c r="M3643" s="6"/>
      <c r="N3643" s="6"/>
      <c r="O3643" s="6"/>
      <c r="P3643" s="6"/>
      <c r="Q3643" s="6"/>
      <c r="R3643" s="6"/>
      <c r="S3643" s="6"/>
      <c r="T3643" s="6"/>
      <c r="U3643" s="6"/>
      <c r="V3643" s="6"/>
      <c r="W3643" s="6"/>
      <c r="X3643" s="6"/>
      <c r="Y3643" s="6"/>
      <c r="Z3643" s="6"/>
      <c r="AA3643" s="6"/>
      <c r="AB3643" s="6"/>
      <c r="AC3643" s="6"/>
      <c r="AD3643" s="6"/>
      <c r="AE3643" s="6"/>
      <c r="AF3643" s="6"/>
      <c r="AG3643" s="6"/>
      <c r="AH3643" s="6"/>
      <c r="AI3643" s="6"/>
      <c r="AJ3643" s="6"/>
      <c r="AK3643" s="6"/>
      <c r="AL3643" s="6"/>
      <c r="AM3643" s="6"/>
    </row>
    <row r="3644">
      <c r="A3644" s="6"/>
      <c r="B3644" s="6"/>
      <c r="C3644" s="6"/>
      <c r="D3644" s="6"/>
      <c r="E3644" s="6"/>
      <c r="F3644" s="6"/>
      <c r="G3644" s="6"/>
      <c r="H3644" s="6"/>
      <c r="I3644" s="6"/>
      <c r="J3644" s="6"/>
      <c r="K3644" s="6"/>
      <c r="L3644" s="6"/>
      <c r="M3644" s="6"/>
      <c r="N3644" s="6"/>
      <c r="O3644" s="6"/>
      <c r="P3644" s="6"/>
      <c r="Q3644" s="6"/>
      <c r="R3644" s="6"/>
      <c r="S3644" s="6"/>
      <c r="T3644" s="6"/>
      <c r="U3644" s="6"/>
      <c r="V3644" s="6"/>
      <c r="W3644" s="6"/>
      <c r="X3644" s="6"/>
      <c r="Y3644" s="6"/>
      <c r="Z3644" s="6"/>
      <c r="AA3644" s="6"/>
      <c r="AB3644" s="6"/>
      <c r="AC3644" s="6"/>
      <c r="AD3644" s="6"/>
      <c r="AE3644" s="6"/>
      <c r="AF3644" s="6"/>
      <c r="AG3644" s="6"/>
      <c r="AH3644" s="6"/>
      <c r="AI3644" s="6"/>
      <c r="AJ3644" s="6"/>
      <c r="AK3644" s="6"/>
      <c r="AL3644" s="6"/>
      <c r="AM3644" s="6"/>
    </row>
    <row r="3645">
      <c r="A3645" s="6"/>
      <c r="B3645" s="6"/>
      <c r="C3645" s="6"/>
      <c r="D3645" s="6"/>
      <c r="E3645" s="6"/>
      <c r="F3645" s="6"/>
      <c r="G3645" s="6"/>
      <c r="H3645" s="6"/>
      <c r="I3645" s="6"/>
      <c r="J3645" s="6"/>
      <c r="K3645" s="6"/>
      <c r="L3645" s="6"/>
      <c r="M3645" s="6"/>
      <c r="N3645" s="6"/>
      <c r="O3645" s="6"/>
      <c r="P3645" s="6"/>
      <c r="Q3645" s="6"/>
      <c r="R3645" s="6"/>
      <c r="S3645" s="6"/>
      <c r="T3645" s="6"/>
      <c r="U3645" s="6"/>
      <c r="V3645" s="6"/>
      <c r="W3645" s="6"/>
      <c r="X3645" s="6"/>
      <c r="Y3645" s="6"/>
      <c r="Z3645" s="6"/>
      <c r="AA3645" s="6"/>
      <c r="AB3645" s="6"/>
      <c r="AC3645" s="6"/>
      <c r="AD3645" s="6"/>
      <c r="AE3645" s="6"/>
      <c r="AF3645" s="6"/>
      <c r="AG3645" s="6"/>
      <c r="AH3645" s="6"/>
      <c r="AI3645" s="6"/>
      <c r="AJ3645" s="6"/>
      <c r="AK3645" s="6"/>
      <c r="AL3645" s="6"/>
      <c r="AM3645" s="6"/>
    </row>
    <row r="3646">
      <c r="A3646" s="6"/>
      <c r="B3646" s="6"/>
      <c r="C3646" s="6"/>
      <c r="D3646" s="6"/>
      <c r="E3646" s="6"/>
      <c r="F3646" s="6"/>
      <c r="G3646" s="6"/>
      <c r="H3646" s="6"/>
      <c r="I3646" s="6"/>
      <c r="J3646" s="6"/>
      <c r="K3646" s="6"/>
      <c r="L3646" s="6"/>
      <c r="M3646" s="6"/>
      <c r="N3646" s="6"/>
      <c r="O3646" s="6"/>
      <c r="P3646" s="6"/>
      <c r="Q3646" s="6"/>
      <c r="R3646" s="6"/>
      <c r="S3646" s="6"/>
      <c r="T3646" s="6"/>
      <c r="U3646" s="6"/>
      <c r="V3646" s="6"/>
      <c r="W3646" s="6"/>
      <c r="X3646" s="6"/>
      <c r="Y3646" s="6"/>
      <c r="Z3646" s="6"/>
      <c r="AA3646" s="6"/>
      <c r="AB3646" s="6"/>
      <c r="AC3646" s="6"/>
      <c r="AD3646" s="6"/>
      <c r="AE3646" s="6"/>
      <c r="AF3646" s="6"/>
      <c r="AG3646" s="6"/>
      <c r="AH3646" s="6"/>
      <c r="AI3646" s="6"/>
      <c r="AJ3646" s="6"/>
      <c r="AK3646" s="6"/>
      <c r="AL3646" s="6"/>
      <c r="AM3646" s="6"/>
    </row>
    <row r="3647">
      <c r="A3647" s="6"/>
      <c r="B3647" s="6"/>
      <c r="C3647" s="6"/>
      <c r="D3647" s="6"/>
      <c r="E3647" s="6"/>
      <c r="F3647" s="6"/>
      <c r="G3647" s="6"/>
      <c r="H3647" s="6"/>
      <c r="I3647" s="6"/>
      <c r="J3647" s="6"/>
      <c r="K3647" s="6"/>
      <c r="L3647" s="6"/>
      <c r="M3647" s="6"/>
      <c r="N3647" s="6"/>
      <c r="O3647" s="6"/>
      <c r="P3647" s="6"/>
      <c r="Q3647" s="6"/>
      <c r="R3647" s="6"/>
      <c r="S3647" s="6"/>
      <c r="T3647" s="6"/>
      <c r="U3647" s="6"/>
      <c r="V3647" s="6"/>
      <c r="W3647" s="6"/>
      <c r="X3647" s="6"/>
      <c r="Y3647" s="6"/>
      <c r="Z3647" s="6"/>
      <c r="AA3647" s="6"/>
      <c r="AB3647" s="6"/>
      <c r="AC3647" s="6"/>
      <c r="AD3647" s="6"/>
      <c r="AE3647" s="6"/>
      <c r="AF3647" s="6"/>
      <c r="AG3647" s="6"/>
      <c r="AH3647" s="6"/>
      <c r="AI3647" s="6"/>
      <c r="AJ3647" s="6"/>
      <c r="AK3647" s="6"/>
      <c r="AL3647" s="6"/>
      <c r="AM3647" s="6"/>
    </row>
    <row r="3648">
      <c r="A3648" s="6"/>
      <c r="B3648" s="6"/>
      <c r="C3648" s="6"/>
      <c r="D3648" s="6"/>
      <c r="E3648" s="6"/>
      <c r="F3648" s="6"/>
      <c r="G3648" s="6"/>
      <c r="H3648" s="6"/>
      <c r="I3648" s="6"/>
      <c r="J3648" s="6"/>
      <c r="K3648" s="6"/>
      <c r="L3648" s="6"/>
      <c r="M3648" s="6"/>
      <c r="N3648" s="6"/>
      <c r="O3648" s="6"/>
      <c r="P3648" s="6"/>
      <c r="Q3648" s="6"/>
      <c r="R3648" s="6"/>
      <c r="S3648" s="6"/>
      <c r="T3648" s="6"/>
      <c r="U3648" s="6"/>
      <c r="V3648" s="6"/>
      <c r="W3648" s="6"/>
      <c r="X3648" s="6"/>
      <c r="Y3648" s="6"/>
      <c r="Z3648" s="6"/>
      <c r="AA3648" s="6"/>
      <c r="AB3648" s="6"/>
      <c r="AC3648" s="6"/>
      <c r="AD3648" s="6"/>
      <c r="AE3648" s="6"/>
      <c r="AF3648" s="6"/>
      <c r="AG3648" s="6"/>
      <c r="AH3648" s="6"/>
      <c r="AI3648" s="6"/>
      <c r="AJ3648" s="6"/>
      <c r="AK3648" s="6"/>
      <c r="AL3648" s="6"/>
      <c r="AM3648" s="6"/>
    </row>
    <row r="3649">
      <c r="A3649" s="6"/>
      <c r="B3649" s="6"/>
      <c r="C3649" s="6"/>
      <c r="D3649" s="6"/>
      <c r="E3649" s="6"/>
      <c r="F3649" s="6"/>
      <c r="G3649" s="6"/>
      <c r="H3649" s="6"/>
      <c r="I3649" s="6"/>
      <c r="J3649" s="6"/>
      <c r="K3649" s="6"/>
      <c r="L3649" s="6"/>
      <c r="M3649" s="6"/>
      <c r="N3649" s="6"/>
      <c r="O3649" s="6"/>
      <c r="P3649" s="6"/>
      <c r="Q3649" s="6"/>
      <c r="R3649" s="6"/>
      <c r="S3649" s="6"/>
      <c r="T3649" s="6"/>
      <c r="U3649" s="6"/>
      <c r="V3649" s="6"/>
      <c r="W3649" s="6"/>
      <c r="X3649" s="6"/>
      <c r="Y3649" s="6"/>
      <c r="Z3649" s="6"/>
      <c r="AA3649" s="6"/>
      <c r="AB3649" s="6"/>
      <c r="AC3649" s="6"/>
      <c r="AD3649" s="6"/>
      <c r="AE3649" s="6"/>
      <c r="AF3649" s="6"/>
      <c r="AG3649" s="6"/>
      <c r="AH3649" s="6"/>
      <c r="AI3649" s="6"/>
      <c r="AJ3649" s="6"/>
      <c r="AK3649" s="6"/>
      <c r="AL3649" s="6"/>
      <c r="AM3649" s="6"/>
    </row>
    <row r="3650">
      <c r="A3650" s="6"/>
      <c r="B3650" s="6"/>
      <c r="C3650" s="6"/>
      <c r="D3650" s="6"/>
      <c r="E3650" s="6"/>
      <c r="F3650" s="6"/>
      <c r="G3650" s="6"/>
      <c r="H3650" s="6"/>
      <c r="I3650" s="6"/>
      <c r="J3650" s="6"/>
      <c r="K3650" s="6"/>
      <c r="L3650" s="6"/>
      <c r="M3650" s="6"/>
      <c r="N3650" s="6"/>
      <c r="O3650" s="6"/>
      <c r="P3650" s="6"/>
      <c r="Q3650" s="6"/>
      <c r="R3650" s="6"/>
      <c r="S3650" s="6"/>
      <c r="T3650" s="6"/>
      <c r="U3650" s="6"/>
      <c r="V3650" s="6"/>
      <c r="W3650" s="6"/>
      <c r="X3650" s="6"/>
      <c r="Y3650" s="6"/>
      <c r="Z3650" s="6"/>
      <c r="AA3650" s="6"/>
      <c r="AB3650" s="6"/>
      <c r="AC3650" s="6"/>
      <c r="AD3650" s="6"/>
      <c r="AE3650" s="6"/>
      <c r="AF3650" s="6"/>
      <c r="AG3650" s="6"/>
      <c r="AH3650" s="6"/>
      <c r="AI3650" s="6"/>
      <c r="AJ3650" s="6"/>
      <c r="AK3650" s="6"/>
      <c r="AL3650" s="6"/>
      <c r="AM3650" s="6"/>
    </row>
    <row r="3651">
      <c r="A3651" s="6"/>
      <c r="B3651" s="6"/>
      <c r="C3651" s="6"/>
      <c r="D3651" s="6"/>
      <c r="E3651" s="6"/>
      <c r="F3651" s="6"/>
      <c r="G3651" s="6"/>
      <c r="H3651" s="6"/>
      <c r="I3651" s="6"/>
      <c r="J3651" s="6"/>
      <c r="K3651" s="6"/>
      <c r="L3651" s="6"/>
      <c r="M3651" s="6"/>
      <c r="N3651" s="6"/>
      <c r="O3651" s="6"/>
      <c r="P3651" s="6"/>
      <c r="Q3651" s="6"/>
      <c r="R3651" s="6"/>
      <c r="S3651" s="6"/>
      <c r="T3651" s="6"/>
      <c r="U3651" s="6"/>
      <c r="V3651" s="6"/>
      <c r="W3651" s="6"/>
      <c r="X3651" s="6"/>
      <c r="Y3651" s="6"/>
      <c r="Z3651" s="6"/>
      <c r="AA3651" s="6"/>
      <c r="AB3651" s="6"/>
      <c r="AC3651" s="6"/>
      <c r="AD3651" s="6"/>
      <c r="AE3651" s="6"/>
      <c r="AF3651" s="6"/>
      <c r="AG3651" s="6"/>
      <c r="AH3651" s="6"/>
      <c r="AI3651" s="6"/>
      <c r="AJ3651" s="6"/>
      <c r="AK3651" s="6"/>
      <c r="AL3651" s="6"/>
      <c r="AM3651" s="6"/>
    </row>
    <row r="3652">
      <c r="A3652" s="6"/>
      <c r="B3652" s="6"/>
      <c r="C3652" s="6"/>
      <c r="D3652" s="6"/>
      <c r="E3652" s="6"/>
      <c r="F3652" s="6"/>
      <c r="G3652" s="6"/>
      <c r="H3652" s="6"/>
      <c r="I3652" s="6"/>
      <c r="J3652" s="6"/>
      <c r="K3652" s="6"/>
      <c r="L3652" s="6"/>
      <c r="M3652" s="6"/>
      <c r="N3652" s="6"/>
      <c r="O3652" s="6"/>
      <c r="P3652" s="6"/>
      <c r="Q3652" s="6"/>
      <c r="R3652" s="6"/>
      <c r="S3652" s="6"/>
      <c r="T3652" s="6"/>
      <c r="U3652" s="6"/>
      <c r="V3652" s="6"/>
      <c r="W3652" s="6"/>
      <c r="X3652" s="6"/>
      <c r="Y3652" s="6"/>
      <c r="Z3652" s="6"/>
      <c r="AA3652" s="6"/>
      <c r="AB3652" s="6"/>
      <c r="AC3652" s="6"/>
      <c r="AD3652" s="6"/>
      <c r="AE3652" s="6"/>
      <c r="AF3652" s="6"/>
      <c r="AG3652" s="6"/>
      <c r="AH3652" s="6"/>
      <c r="AI3652" s="6"/>
      <c r="AJ3652" s="6"/>
      <c r="AK3652" s="6"/>
      <c r="AL3652" s="6"/>
      <c r="AM3652" s="6"/>
    </row>
    <row r="3653">
      <c r="A3653" s="6"/>
      <c r="B3653" s="6"/>
      <c r="C3653" s="6"/>
      <c r="D3653" s="6"/>
      <c r="E3653" s="6"/>
      <c r="F3653" s="6"/>
      <c r="G3653" s="6"/>
      <c r="H3653" s="6"/>
      <c r="I3653" s="6"/>
      <c r="J3653" s="6"/>
      <c r="K3653" s="6"/>
      <c r="L3653" s="6"/>
      <c r="M3653" s="6"/>
      <c r="N3653" s="6"/>
      <c r="O3653" s="6"/>
      <c r="P3653" s="6"/>
      <c r="Q3653" s="6"/>
      <c r="R3653" s="6"/>
      <c r="S3653" s="6"/>
      <c r="T3653" s="6"/>
      <c r="U3653" s="6"/>
      <c r="V3653" s="6"/>
      <c r="W3653" s="6"/>
      <c r="X3653" s="6"/>
      <c r="Y3653" s="6"/>
      <c r="Z3653" s="6"/>
      <c r="AA3653" s="6"/>
      <c r="AB3653" s="6"/>
      <c r="AC3653" s="6"/>
      <c r="AD3653" s="6"/>
      <c r="AE3653" s="6"/>
      <c r="AF3653" s="6"/>
      <c r="AG3653" s="6"/>
      <c r="AH3653" s="6"/>
      <c r="AI3653" s="6"/>
      <c r="AJ3653" s="6"/>
      <c r="AK3653" s="6"/>
      <c r="AL3653" s="6"/>
      <c r="AM3653" s="6"/>
    </row>
    <row r="3654">
      <c r="A3654" s="6"/>
      <c r="B3654" s="6"/>
      <c r="C3654" s="6"/>
      <c r="D3654" s="6"/>
      <c r="E3654" s="6"/>
      <c r="F3654" s="6"/>
      <c r="G3654" s="6"/>
      <c r="H3654" s="6"/>
      <c r="I3654" s="6"/>
      <c r="J3654" s="6"/>
      <c r="K3654" s="6"/>
      <c r="L3654" s="6"/>
      <c r="M3654" s="6"/>
      <c r="N3654" s="6"/>
      <c r="O3654" s="6"/>
      <c r="P3654" s="6"/>
      <c r="Q3654" s="6"/>
      <c r="R3654" s="6"/>
      <c r="S3654" s="6"/>
      <c r="T3654" s="6"/>
      <c r="U3654" s="6"/>
      <c r="V3654" s="6"/>
      <c r="W3654" s="6"/>
      <c r="X3654" s="6"/>
      <c r="Y3654" s="6"/>
      <c r="Z3654" s="6"/>
      <c r="AA3654" s="6"/>
      <c r="AB3654" s="6"/>
      <c r="AC3654" s="6"/>
      <c r="AD3654" s="6"/>
      <c r="AE3654" s="6"/>
      <c r="AF3654" s="6"/>
      <c r="AG3654" s="6"/>
      <c r="AH3654" s="6"/>
      <c r="AI3654" s="6"/>
      <c r="AJ3654" s="6"/>
      <c r="AK3654" s="6"/>
      <c r="AL3654" s="6"/>
      <c r="AM3654" s="6"/>
    </row>
    <row r="3655">
      <c r="A3655" s="6"/>
      <c r="B3655" s="6"/>
      <c r="C3655" s="6"/>
      <c r="D3655" s="6"/>
      <c r="E3655" s="6"/>
      <c r="F3655" s="6"/>
      <c r="G3655" s="6"/>
      <c r="H3655" s="6"/>
      <c r="I3655" s="6"/>
      <c r="J3655" s="6"/>
      <c r="K3655" s="6"/>
      <c r="L3655" s="6"/>
      <c r="M3655" s="6"/>
      <c r="N3655" s="6"/>
      <c r="O3655" s="6"/>
      <c r="P3655" s="6"/>
      <c r="Q3655" s="6"/>
      <c r="R3655" s="6"/>
      <c r="S3655" s="6"/>
      <c r="T3655" s="6"/>
      <c r="U3655" s="6"/>
      <c r="V3655" s="6"/>
      <c r="W3655" s="6"/>
      <c r="X3655" s="6"/>
      <c r="Y3655" s="6"/>
      <c r="Z3655" s="6"/>
      <c r="AA3655" s="6"/>
      <c r="AB3655" s="6"/>
      <c r="AC3655" s="6"/>
      <c r="AD3655" s="6"/>
      <c r="AE3655" s="6"/>
      <c r="AF3655" s="6"/>
      <c r="AG3655" s="6"/>
      <c r="AH3655" s="6"/>
      <c r="AI3655" s="6"/>
      <c r="AJ3655" s="6"/>
      <c r="AK3655" s="6"/>
      <c r="AL3655" s="6"/>
      <c r="AM3655" s="6"/>
    </row>
    <row r="3656">
      <c r="A3656" s="6"/>
      <c r="B3656" s="6"/>
      <c r="C3656" s="6"/>
      <c r="D3656" s="6"/>
      <c r="E3656" s="6"/>
      <c r="F3656" s="6"/>
      <c r="G3656" s="6"/>
      <c r="H3656" s="6"/>
      <c r="I3656" s="6"/>
      <c r="J3656" s="6"/>
      <c r="K3656" s="6"/>
      <c r="L3656" s="6"/>
      <c r="M3656" s="6"/>
      <c r="N3656" s="6"/>
      <c r="O3656" s="6"/>
      <c r="P3656" s="6"/>
      <c r="Q3656" s="6"/>
      <c r="R3656" s="6"/>
      <c r="S3656" s="6"/>
      <c r="T3656" s="6"/>
      <c r="U3656" s="6"/>
      <c r="V3656" s="6"/>
      <c r="W3656" s="6"/>
      <c r="X3656" s="6"/>
      <c r="Y3656" s="6"/>
      <c r="Z3656" s="6"/>
      <c r="AA3656" s="6"/>
      <c r="AB3656" s="6"/>
      <c r="AC3656" s="6"/>
      <c r="AD3656" s="6"/>
      <c r="AE3656" s="6"/>
      <c r="AF3656" s="6"/>
      <c r="AG3656" s="6"/>
      <c r="AH3656" s="6"/>
      <c r="AI3656" s="6"/>
      <c r="AJ3656" s="6"/>
      <c r="AK3656" s="6"/>
      <c r="AL3656" s="6"/>
      <c r="AM3656" s="6"/>
    </row>
    <row r="3657">
      <c r="A3657" s="6"/>
      <c r="B3657" s="6"/>
      <c r="C3657" s="6"/>
      <c r="D3657" s="6"/>
      <c r="E3657" s="6"/>
      <c r="F3657" s="6"/>
      <c r="G3657" s="6"/>
      <c r="H3657" s="6"/>
      <c r="I3657" s="6"/>
      <c r="J3657" s="6"/>
      <c r="K3657" s="6"/>
      <c r="L3657" s="6"/>
      <c r="M3657" s="6"/>
      <c r="N3657" s="6"/>
      <c r="O3657" s="6"/>
      <c r="P3657" s="6"/>
      <c r="Q3657" s="6"/>
      <c r="R3657" s="6"/>
      <c r="S3657" s="6"/>
      <c r="T3657" s="6"/>
      <c r="U3657" s="6"/>
      <c r="V3657" s="6"/>
      <c r="W3657" s="6"/>
      <c r="X3657" s="6"/>
      <c r="Y3657" s="6"/>
      <c r="Z3657" s="6"/>
      <c r="AA3657" s="6"/>
      <c r="AB3657" s="6"/>
      <c r="AC3657" s="6"/>
      <c r="AD3657" s="6"/>
      <c r="AE3657" s="6"/>
      <c r="AF3657" s="6"/>
      <c r="AG3657" s="6"/>
      <c r="AH3657" s="6"/>
      <c r="AI3657" s="6"/>
      <c r="AJ3657" s="6"/>
      <c r="AK3657" s="6"/>
      <c r="AL3657" s="6"/>
      <c r="AM3657" s="6"/>
    </row>
    <row r="3658">
      <c r="A3658" s="6"/>
      <c r="B3658" s="6"/>
      <c r="C3658" s="6"/>
      <c r="D3658" s="6"/>
      <c r="E3658" s="6"/>
      <c r="F3658" s="6"/>
      <c r="G3658" s="6"/>
      <c r="H3658" s="6"/>
      <c r="I3658" s="6"/>
      <c r="J3658" s="6"/>
      <c r="K3658" s="6"/>
      <c r="L3658" s="6"/>
      <c r="M3658" s="6"/>
      <c r="N3658" s="6"/>
      <c r="O3658" s="6"/>
      <c r="P3658" s="6"/>
      <c r="Q3658" s="6"/>
      <c r="R3658" s="6"/>
      <c r="S3658" s="6"/>
      <c r="T3658" s="6"/>
      <c r="U3658" s="6"/>
      <c r="V3658" s="6"/>
      <c r="W3658" s="6"/>
      <c r="X3658" s="6"/>
      <c r="Y3658" s="6"/>
      <c r="Z3658" s="6"/>
      <c r="AA3658" s="6"/>
      <c r="AB3658" s="6"/>
      <c r="AC3658" s="6"/>
      <c r="AD3658" s="6"/>
      <c r="AE3658" s="6"/>
      <c r="AF3658" s="6"/>
      <c r="AG3658" s="6"/>
      <c r="AH3658" s="6"/>
      <c r="AI3658" s="6"/>
      <c r="AJ3658" s="6"/>
      <c r="AK3658" s="6"/>
      <c r="AL3658" s="6"/>
      <c r="AM3658" s="6"/>
    </row>
    <row r="3659">
      <c r="A3659" s="6"/>
      <c r="B3659" s="6"/>
      <c r="C3659" s="6"/>
      <c r="D3659" s="6"/>
      <c r="E3659" s="6"/>
      <c r="F3659" s="6"/>
      <c r="G3659" s="6"/>
      <c r="H3659" s="6"/>
      <c r="I3659" s="6"/>
      <c r="J3659" s="6"/>
      <c r="K3659" s="6"/>
      <c r="L3659" s="6"/>
      <c r="M3659" s="6"/>
      <c r="N3659" s="6"/>
      <c r="O3659" s="6"/>
      <c r="P3659" s="6"/>
      <c r="Q3659" s="6"/>
      <c r="R3659" s="6"/>
      <c r="S3659" s="6"/>
      <c r="T3659" s="6"/>
      <c r="U3659" s="6"/>
      <c r="V3659" s="6"/>
      <c r="W3659" s="6"/>
      <c r="X3659" s="6"/>
      <c r="Y3659" s="6"/>
      <c r="Z3659" s="6"/>
      <c r="AA3659" s="6"/>
      <c r="AB3659" s="6"/>
      <c r="AC3659" s="6"/>
      <c r="AD3659" s="6"/>
      <c r="AE3659" s="6"/>
      <c r="AF3659" s="6"/>
      <c r="AG3659" s="6"/>
      <c r="AH3659" s="6"/>
      <c r="AI3659" s="6"/>
      <c r="AJ3659" s="6"/>
      <c r="AK3659" s="6"/>
      <c r="AL3659" s="6"/>
      <c r="AM3659" s="6"/>
    </row>
    <row r="3660">
      <c r="A3660" s="6"/>
      <c r="B3660" s="6"/>
      <c r="C3660" s="6"/>
      <c r="D3660" s="6"/>
      <c r="E3660" s="6"/>
      <c r="F3660" s="6"/>
      <c r="G3660" s="6"/>
      <c r="H3660" s="6"/>
      <c r="I3660" s="6"/>
      <c r="J3660" s="6"/>
      <c r="K3660" s="6"/>
      <c r="L3660" s="6"/>
      <c r="M3660" s="6"/>
      <c r="N3660" s="6"/>
      <c r="O3660" s="6"/>
      <c r="P3660" s="6"/>
      <c r="Q3660" s="6"/>
      <c r="R3660" s="6"/>
      <c r="S3660" s="6"/>
      <c r="T3660" s="6"/>
      <c r="U3660" s="6"/>
      <c r="V3660" s="6"/>
      <c r="W3660" s="6"/>
      <c r="X3660" s="6"/>
      <c r="Y3660" s="6"/>
      <c r="Z3660" s="6"/>
      <c r="AA3660" s="6"/>
      <c r="AB3660" s="6"/>
      <c r="AC3660" s="6"/>
      <c r="AD3660" s="6"/>
      <c r="AE3660" s="6"/>
      <c r="AF3660" s="6"/>
      <c r="AG3660" s="6"/>
      <c r="AH3660" s="6"/>
      <c r="AI3660" s="6"/>
      <c r="AJ3660" s="6"/>
      <c r="AK3660" s="6"/>
      <c r="AL3660" s="6"/>
      <c r="AM3660" s="6"/>
    </row>
    <row r="3661">
      <c r="A3661" s="6"/>
      <c r="B3661" s="6"/>
      <c r="C3661" s="6"/>
      <c r="D3661" s="6"/>
      <c r="E3661" s="6"/>
      <c r="F3661" s="6"/>
      <c r="G3661" s="6"/>
      <c r="H3661" s="6"/>
      <c r="I3661" s="6"/>
      <c r="J3661" s="6"/>
      <c r="K3661" s="6"/>
      <c r="L3661" s="6"/>
      <c r="M3661" s="6"/>
      <c r="N3661" s="6"/>
      <c r="O3661" s="6"/>
      <c r="P3661" s="6"/>
      <c r="Q3661" s="6"/>
      <c r="R3661" s="6"/>
      <c r="S3661" s="6"/>
      <c r="T3661" s="6"/>
      <c r="U3661" s="6"/>
      <c r="V3661" s="6"/>
      <c r="W3661" s="6"/>
      <c r="X3661" s="6"/>
      <c r="Y3661" s="6"/>
      <c r="Z3661" s="6"/>
      <c r="AA3661" s="6"/>
      <c r="AB3661" s="6"/>
      <c r="AC3661" s="6"/>
      <c r="AD3661" s="6"/>
      <c r="AE3661" s="6"/>
      <c r="AF3661" s="6"/>
      <c r="AG3661" s="6"/>
      <c r="AH3661" s="6"/>
      <c r="AI3661" s="6"/>
      <c r="AJ3661" s="6"/>
      <c r="AK3661" s="6"/>
      <c r="AL3661" s="6"/>
      <c r="AM3661" s="6"/>
    </row>
    <row r="3662">
      <c r="A3662" s="6"/>
      <c r="B3662" s="6"/>
      <c r="C3662" s="6"/>
      <c r="D3662" s="6"/>
      <c r="E3662" s="6"/>
      <c r="F3662" s="6"/>
      <c r="G3662" s="6"/>
      <c r="H3662" s="6"/>
      <c r="I3662" s="6"/>
      <c r="J3662" s="6"/>
      <c r="K3662" s="6"/>
      <c r="L3662" s="6"/>
      <c r="M3662" s="6"/>
      <c r="N3662" s="6"/>
      <c r="O3662" s="6"/>
      <c r="P3662" s="6"/>
      <c r="Q3662" s="6"/>
      <c r="R3662" s="6"/>
      <c r="S3662" s="6"/>
      <c r="T3662" s="6"/>
      <c r="U3662" s="6"/>
      <c r="V3662" s="6"/>
      <c r="W3662" s="6"/>
      <c r="X3662" s="6"/>
      <c r="Y3662" s="6"/>
      <c r="Z3662" s="6"/>
      <c r="AA3662" s="6"/>
      <c r="AB3662" s="6"/>
      <c r="AC3662" s="6"/>
      <c r="AD3662" s="6"/>
      <c r="AE3662" s="6"/>
      <c r="AF3662" s="6"/>
      <c r="AG3662" s="6"/>
      <c r="AH3662" s="6"/>
      <c r="AI3662" s="6"/>
      <c r="AJ3662" s="6"/>
      <c r="AK3662" s="6"/>
      <c r="AL3662" s="6"/>
      <c r="AM3662" s="6"/>
    </row>
    <row r="3663">
      <c r="A3663" s="6"/>
      <c r="B3663" s="6"/>
      <c r="C3663" s="6"/>
      <c r="D3663" s="6"/>
      <c r="E3663" s="6"/>
      <c r="F3663" s="6"/>
      <c r="G3663" s="6"/>
      <c r="H3663" s="6"/>
      <c r="I3663" s="6"/>
      <c r="J3663" s="6"/>
      <c r="K3663" s="6"/>
      <c r="L3663" s="6"/>
      <c r="M3663" s="6"/>
      <c r="N3663" s="6"/>
      <c r="O3663" s="6"/>
      <c r="P3663" s="6"/>
      <c r="Q3663" s="6"/>
      <c r="R3663" s="6"/>
      <c r="S3663" s="6"/>
      <c r="T3663" s="6"/>
      <c r="U3663" s="6"/>
      <c r="V3663" s="6"/>
      <c r="W3663" s="6"/>
      <c r="X3663" s="6"/>
      <c r="Y3663" s="6"/>
      <c r="Z3663" s="6"/>
      <c r="AA3663" s="6"/>
      <c r="AB3663" s="6"/>
      <c r="AC3663" s="6"/>
      <c r="AD3663" s="6"/>
      <c r="AE3663" s="6"/>
      <c r="AF3663" s="6"/>
      <c r="AG3663" s="6"/>
      <c r="AH3663" s="6"/>
      <c r="AI3663" s="6"/>
      <c r="AJ3663" s="6"/>
      <c r="AK3663" s="6"/>
      <c r="AL3663" s="6"/>
      <c r="AM3663" s="6"/>
    </row>
    <row r="3664">
      <c r="A3664" s="6"/>
      <c r="B3664" s="6"/>
      <c r="C3664" s="6"/>
      <c r="D3664" s="6"/>
      <c r="E3664" s="6"/>
      <c r="F3664" s="6"/>
      <c r="G3664" s="6"/>
      <c r="H3664" s="6"/>
      <c r="I3664" s="6"/>
      <c r="J3664" s="6"/>
      <c r="K3664" s="6"/>
      <c r="L3664" s="6"/>
      <c r="M3664" s="6"/>
      <c r="N3664" s="6"/>
      <c r="O3664" s="6"/>
      <c r="P3664" s="6"/>
      <c r="Q3664" s="6"/>
      <c r="R3664" s="6"/>
      <c r="S3664" s="6"/>
      <c r="T3664" s="6"/>
      <c r="U3664" s="6"/>
      <c r="V3664" s="6"/>
      <c r="W3664" s="6"/>
      <c r="X3664" s="6"/>
      <c r="Y3664" s="6"/>
      <c r="Z3664" s="6"/>
      <c r="AA3664" s="6"/>
      <c r="AB3664" s="6"/>
      <c r="AC3664" s="6"/>
      <c r="AD3664" s="6"/>
      <c r="AE3664" s="6"/>
      <c r="AF3664" s="6"/>
      <c r="AG3664" s="6"/>
      <c r="AH3664" s="6"/>
      <c r="AI3664" s="6"/>
      <c r="AJ3664" s="6"/>
      <c r="AK3664" s="6"/>
      <c r="AL3664" s="6"/>
      <c r="AM3664" s="6"/>
    </row>
    <row r="3665">
      <c r="A3665" s="6"/>
      <c r="B3665" s="6"/>
      <c r="C3665" s="6"/>
      <c r="D3665" s="6"/>
      <c r="E3665" s="6"/>
      <c r="F3665" s="6"/>
      <c r="G3665" s="6"/>
      <c r="H3665" s="6"/>
      <c r="I3665" s="6"/>
      <c r="J3665" s="6"/>
      <c r="K3665" s="6"/>
      <c r="L3665" s="6"/>
      <c r="M3665" s="6"/>
      <c r="N3665" s="6"/>
      <c r="O3665" s="6"/>
      <c r="P3665" s="6"/>
      <c r="Q3665" s="6"/>
      <c r="R3665" s="6"/>
      <c r="S3665" s="6"/>
      <c r="T3665" s="6"/>
      <c r="U3665" s="6"/>
      <c r="V3665" s="6"/>
      <c r="W3665" s="6"/>
      <c r="X3665" s="6"/>
      <c r="Y3665" s="6"/>
      <c r="Z3665" s="6"/>
      <c r="AA3665" s="6"/>
      <c r="AB3665" s="6"/>
      <c r="AC3665" s="6"/>
      <c r="AD3665" s="6"/>
      <c r="AE3665" s="6"/>
      <c r="AF3665" s="6"/>
      <c r="AG3665" s="6"/>
      <c r="AH3665" s="6"/>
      <c r="AI3665" s="6"/>
      <c r="AJ3665" s="6"/>
      <c r="AK3665" s="6"/>
      <c r="AL3665" s="6"/>
      <c r="AM3665" s="6"/>
    </row>
    <row r="3666">
      <c r="A3666" s="6"/>
      <c r="B3666" s="6"/>
      <c r="C3666" s="6"/>
      <c r="D3666" s="6"/>
      <c r="E3666" s="6"/>
      <c r="F3666" s="6"/>
      <c r="G3666" s="6"/>
      <c r="H3666" s="6"/>
      <c r="I3666" s="6"/>
      <c r="J3666" s="6"/>
      <c r="K3666" s="6"/>
      <c r="L3666" s="6"/>
      <c r="M3666" s="6"/>
      <c r="N3666" s="6"/>
      <c r="O3666" s="6"/>
      <c r="P3666" s="6"/>
      <c r="Q3666" s="6"/>
      <c r="R3666" s="6"/>
      <c r="S3666" s="6"/>
      <c r="T3666" s="6"/>
      <c r="U3666" s="6"/>
      <c r="V3666" s="6"/>
      <c r="W3666" s="6"/>
      <c r="X3666" s="6"/>
      <c r="Y3666" s="6"/>
      <c r="Z3666" s="6"/>
      <c r="AA3666" s="6"/>
      <c r="AB3666" s="6"/>
      <c r="AC3666" s="6"/>
      <c r="AD3666" s="6"/>
      <c r="AE3666" s="6"/>
      <c r="AF3666" s="6"/>
      <c r="AG3666" s="6"/>
      <c r="AH3666" s="6"/>
      <c r="AI3666" s="6"/>
      <c r="AJ3666" s="6"/>
      <c r="AK3666" s="6"/>
      <c r="AL3666" s="6"/>
      <c r="AM3666" s="6"/>
    </row>
    <row r="3667">
      <c r="A3667" s="6"/>
      <c r="B3667" s="6"/>
      <c r="C3667" s="6"/>
      <c r="D3667" s="6"/>
      <c r="E3667" s="6"/>
      <c r="F3667" s="6"/>
      <c r="G3667" s="6"/>
      <c r="H3667" s="6"/>
      <c r="I3667" s="6"/>
      <c r="J3667" s="6"/>
      <c r="K3667" s="6"/>
      <c r="L3667" s="6"/>
      <c r="M3667" s="6"/>
      <c r="N3667" s="6"/>
      <c r="O3667" s="6"/>
      <c r="P3667" s="6"/>
      <c r="Q3667" s="6"/>
      <c r="R3667" s="6"/>
      <c r="S3667" s="6"/>
      <c r="T3667" s="6"/>
      <c r="U3667" s="6"/>
      <c r="V3667" s="6"/>
      <c r="W3667" s="6"/>
      <c r="X3667" s="6"/>
      <c r="Y3667" s="6"/>
      <c r="Z3667" s="6"/>
      <c r="AA3667" s="6"/>
      <c r="AB3667" s="6"/>
      <c r="AC3667" s="6"/>
      <c r="AD3667" s="6"/>
      <c r="AE3667" s="6"/>
      <c r="AF3667" s="6"/>
      <c r="AG3667" s="6"/>
      <c r="AH3667" s="6"/>
      <c r="AI3667" s="6"/>
      <c r="AJ3667" s="6"/>
      <c r="AK3667" s="6"/>
      <c r="AL3667" s="6"/>
      <c r="AM3667" s="6"/>
    </row>
    <row r="3668">
      <c r="A3668" s="6"/>
      <c r="B3668" s="6"/>
      <c r="C3668" s="6"/>
      <c r="D3668" s="6"/>
      <c r="E3668" s="6"/>
      <c r="F3668" s="6"/>
      <c r="G3668" s="6"/>
      <c r="H3668" s="6"/>
      <c r="I3668" s="6"/>
      <c r="J3668" s="6"/>
      <c r="K3668" s="6"/>
      <c r="L3668" s="6"/>
      <c r="M3668" s="6"/>
      <c r="N3668" s="6"/>
      <c r="O3668" s="6"/>
      <c r="P3668" s="6"/>
      <c r="Q3668" s="6"/>
      <c r="R3668" s="6"/>
      <c r="S3668" s="6"/>
      <c r="T3668" s="6"/>
      <c r="U3668" s="6"/>
      <c r="V3668" s="6"/>
      <c r="W3668" s="6"/>
      <c r="X3668" s="6"/>
      <c r="Y3668" s="6"/>
      <c r="Z3668" s="6"/>
      <c r="AA3668" s="6"/>
      <c r="AB3668" s="6"/>
      <c r="AC3668" s="6"/>
      <c r="AD3668" s="6"/>
      <c r="AE3668" s="6"/>
      <c r="AF3668" s="6"/>
      <c r="AG3668" s="6"/>
      <c r="AH3668" s="6"/>
      <c r="AI3668" s="6"/>
      <c r="AJ3668" s="6"/>
      <c r="AK3668" s="6"/>
      <c r="AL3668" s="6"/>
      <c r="AM3668" s="6"/>
    </row>
    <row r="3669">
      <c r="A3669" s="6"/>
      <c r="B3669" s="6"/>
      <c r="C3669" s="6"/>
      <c r="D3669" s="6"/>
      <c r="E3669" s="6"/>
      <c r="F3669" s="6"/>
      <c r="G3669" s="6"/>
      <c r="H3669" s="6"/>
      <c r="I3669" s="6"/>
      <c r="J3669" s="6"/>
      <c r="K3669" s="6"/>
      <c r="L3669" s="6"/>
      <c r="M3669" s="6"/>
      <c r="N3669" s="6"/>
      <c r="O3669" s="6"/>
      <c r="P3669" s="6"/>
      <c r="Q3669" s="6"/>
      <c r="R3669" s="6"/>
      <c r="S3669" s="6"/>
      <c r="T3669" s="6"/>
      <c r="U3669" s="6"/>
      <c r="V3669" s="6"/>
      <c r="W3669" s="6"/>
      <c r="X3669" s="6"/>
      <c r="Y3669" s="6"/>
      <c r="Z3669" s="6"/>
      <c r="AA3669" s="6"/>
      <c r="AB3669" s="6"/>
      <c r="AC3669" s="6"/>
      <c r="AD3669" s="6"/>
      <c r="AE3669" s="6"/>
      <c r="AF3669" s="6"/>
      <c r="AG3669" s="6"/>
      <c r="AH3669" s="6"/>
      <c r="AI3669" s="6"/>
      <c r="AJ3669" s="6"/>
      <c r="AK3669" s="6"/>
      <c r="AL3669" s="6"/>
      <c r="AM3669" s="6"/>
    </row>
    <row r="3670">
      <c r="A3670" s="6"/>
      <c r="B3670" s="6"/>
      <c r="C3670" s="6"/>
      <c r="D3670" s="6"/>
      <c r="E3670" s="6"/>
      <c r="F3670" s="6"/>
      <c r="G3670" s="6"/>
      <c r="H3670" s="6"/>
      <c r="I3670" s="6"/>
      <c r="J3670" s="6"/>
      <c r="K3670" s="6"/>
      <c r="L3670" s="6"/>
      <c r="M3670" s="6"/>
      <c r="N3670" s="6"/>
      <c r="O3670" s="6"/>
      <c r="P3670" s="6"/>
      <c r="Q3670" s="6"/>
      <c r="R3670" s="6"/>
      <c r="S3670" s="6"/>
      <c r="T3670" s="6"/>
      <c r="U3670" s="6"/>
      <c r="V3670" s="6"/>
      <c r="W3670" s="6"/>
      <c r="X3670" s="6"/>
      <c r="Y3670" s="6"/>
      <c r="Z3670" s="6"/>
      <c r="AA3670" s="6"/>
      <c r="AB3670" s="6"/>
      <c r="AC3670" s="6"/>
      <c r="AD3670" s="6"/>
      <c r="AE3670" s="6"/>
      <c r="AF3670" s="6"/>
      <c r="AG3670" s="6"/>
      <c r="AH3670" s="6"/>
      <c r="AI3670" s="6"/>
      <c r="AJ3670" s="6"/>
      <c r="AK3670" s="6"/>
      <c r="AL3670" s="6"/>
      <c r="AM3670" s="6"/>
    </row>
    <row r="3671">
      <c r="A3671" s="6"/>
      <c r="B3671" s="6"/>
      <c r="C3671" s="6"/>
      <c r="D3671" s="6"/>
      <c r="E3671" s="6"/>
      <c r="F3671" s="6"/>
      <c r="G3671" s="6"/>
      <c r="H3671" s="6"/>
      <c r="I3671" s="6"/>
      <c r="J3671" s="6"/>
      <c r="K3671" s="6"/>
      <c r="L3671" s="6"/>
      <c r="M3671" s="6"/>
      <c r="N3671" s="6"/>
      <c r="O3671" s="6"/>
      <c r="P3671" s="6"/>
      <c r="Q3671" s="6"/>
      <c r="R3671" s="6"/>
      <c r="S3671" s="6"/>
      <c r="T3671" s="6"/>
      <c r="U3671" s="6"/>
      <c r="V3671" s="6"/>
      <c r="W3671" s="6"/>
      <c r="X3671" s="6"/>
      <c r="Y3671" s="6"/>
      <c r="Z3671" s="6"/>
      <c r="AA3671" s="6"/>
      <c r="AB3671" s="6"/>
      <c r="AC3671" s="6"/>
      <c r="AD3671" s="6"/>
      <c r="AE3671" s="6"/>
      <c r="AF3671" s="6"/>
      <c r="AG3671" s="6"/>
      <c r="AH3671" s="6"/>
      <c r="AI3671" s="6"/>
      <c r="AJ3671" s="6"/>
      <c r="AK3671" s="6"/>
      <c r="AL3671" s="6"/>
      <c r="AM3671" s="6"/>
    </row>
    <row r="3672">
      <c r="A3672" s="6"/>
      <c r="B3672" s="6"/>
      <c r="C3672" s="6"/>
      <c r="D3672" s="6"/>
      <c r="E3672" s="6"/>
      <c r="F3672" s="6"/>
      <c r="G3672" s="6"/>
      <c r="H3672" s="6"/>
      <c r="I3672" s="6"/>
      <c r="J3672" s="6"/>
      <c r="K3672" s="6"/>
      <c r="L3672" s="6"/>
      <c r="M3672" s="6"/>
      <c r="N3672" s="6"/>
      <c r="O3672" s="6"/>
      <c r="P3672" s="6"/>
      <c r="Q3672" s="6"/>
      <c r="R3672" s="6"/>
      <c r="S3672" s="6"/>
      <c r="T3672" s="6"/>
      <c r="U3672" s="6"/>
      <c r="V3672" s="6"/>
      <c r="W3672" s="6"/>
      <c r="X3672" s="6"/>
      <c r="Y3672" s="6"/>
      <c r="Z3672" s="6"/>
      <c r="AA3672" s="6"/>
      <c r="AB3672" s="6"/>
      <c r="AC3672" s="6"/>
      <c r="AD3672" s="6"/>
      <c r="AE3672" s="6"/>
      <c r="AF3672" s="6"/>
      <c r="AG3672" s="6"/>
      <c r="AH3672" s="6"/>
      <c r="AI3672" s="6"/>
      <c r="AJ3672" s="6"/>
      <c r="AK3672" s="6"/>
      <c r="AL3672" s="6"/>
      <c r="AM3672" s="6"/>
    </row>
    <row r="3673">
      <c r="A3673" s="6"/>
      <c r="B3673" s="6"/>
      <c r="C3673" s="6"/>
      <c r="D3673" s="6"/>
      <c r="E3673" s="6"/>
      <c r="F3673" s="6"/>
      <c r="G3673" s="6"/>
      <c r="H3673" s="6"/>
      <c r="I3673" s="6"/>
      <c r="J3673" s="6"/>
      <c r="K3673" s="6"/>
      <c r="L3673" s="6"/>
      <c r="M3673" s="6"/>
      <c r="N3673" s="6"/>
      <c r="O3673" s="6"/>
      <c r="P3673" s="6"/>
      <c r="Q3673" s="6"/>
      <c r="R3673" s="6"/>
      <c r="S3673" s="6"/>
      <c r="T3673" s="6"/>
      <c r="U3673" s="6"/>
      <c r="V3673" s="6"/>
      <c r="W3673" s="6"/>
      <c r="X3673" s="6"/>
      <c r="Y3673" s="6"/>
      <c r="Z3673" s="6"/>
      <c r="AA3673" s="6"/>
      <c r="AB3673" s="6"/>
      <c r="AC3673" s="6"/>
      <c r="AD3673" s="6"/>
      <c r="AE3673" s="6"/>
      <c r="AF3673" s="6"/>
      <c r="AG3673" s="6"/>
      <c r="AH3673" s="6"/>
      <c r="AI3673" s="6"/>
      <c r="AJ3673" s="6"/>
      <c r="AK3673" s="6"/>
      <c r="AL3673" s="6"/>
      <c r="AM3673" s="6"/>
    </row>
    <row r="3674">
      <c r="A3674" s="6"/>
      <c r="B3674" s="6"/>
      <c r="C3674" s="6"/>
      <c r="D3674" s="6"/>
      <c r="E3674" s="6"/>
      <c r="F3674" s="6"/>
      <c r="G3674" s="6"/>
      <c r="H3674" s="6"/>
      <c r="I3674" s="6"/>
      <c r="J3674" s="6"/>
      <c r="K3674" s="6"/>
      <c r="L3674" s="6"/>
      <c r="M3674" s="6"/>
      <c r="N3674" s="6"/>
      <c r="O3674" s="6"/>
      <c r="P3674" s="6"/>
      <c r="Q3674" s="6"/>
      <c r="R3674" s="6"/>
      <c r="S3674" s="6"/>
      <c r="T3674" s="6"/>
      <c r="U3674" s="6"/>
      <c r="V3674" s="6"/>
      <c r="W3674" s="6"/>
      <c r="X3674" s="6"/>
      <c r="Y3674" s="6"/>
      <c r="Z3674" s="6"/>
      <c r="AA3674" s="6"/>
      <c r="AB3674" s="6"/>
      <c r="AC3674" s="6"/>
      <c r="AD3674" s="6"/>
      <c r="AE3674" s="6"/>
      <c r="AF3674" s="6"/>
      <c r="AG3674" s="6"/>
      <c r="AH3674" s="6"/>
      <c r="AI3674" s="6"/>
      <c r="AJ3674" s="6"/>
      <c r="AK3674" s="6"/>
      <c r="AL3674" s="6"/>
      <c r="AM3674" s="6"/>
    </row>
    <row r="3675">
      <c r="A3675" s="6"/>
      <c r="B3675" s="6"/>
      <c r="C3675" s="6"/>
      <c r="D3675" s="6"/>
      <c r="E3675" s="6"/>
      <c r="F3675" s="6"/>
      <c r="G3675" s="6"/>
      <c r="H3675" s="6"/>
      <c r="I3675" s="6"/>
      <c r="J3675" s="6"/>
      <c r="K3675" s="6"/>
      <c r="L3675" s="6"/>
      <c r="M3675" s="6"/>
      <c r="N3675" s="6"/>
      <c r="O3675" s="6"/>
      <c r="P3675" s="6"/>
      <c r="Q3675" s="6"/>
      <c r="R3675" s="6"/>
      <c r="S3675" s="6"/>
      <c r="T3675" s="6"/>
      <c r="U3675" s="6"/>
      <c r="V3675" s="6"/>
      <c r="W3675" s="6"/>
      <c r="X3675" s="6"/>
      <c r="Y3675" s="6"/>
      <c r="Z3675" s="6"/>
      <c r="AA3675" s="6"/>
      <c r="AB3675" s="6"/>
      <c r="AC3675" s="6"/>
      <c r="AD3675" s="6"/>
      <c r="AE3675" s="6"/>
      <c r="AF3675" s="6"/>
      <c r="AG3675" s="6"/>
      <c r="AH3675" s="6"/>
      <c r="AI3675" s="6"/>
      <c r="AJ3675" s="6"/>
      <c r="AK3675" s="6"/>
      <c r="AL3675" s="6"/>
      <c r="AM3675" s="6"/>
    </row>
    <row r="3676">
      <c r="A3676" s="6"/>
      <c r="B3676" s="6"/>
      <c r="C3676" s="6"/>
      <c r="D3676" s="6"/>
      <c r="E3676" s="6"/>
      <c r="F3676" s="6"/>
      <c r="G3676" s="6"/>
      <c r="H3676" s="6"/>
      <c r="I3676" s="6"/>
      <c r="J3676" s="6"/>
      <c r="K3676" s="6"/>
      <c r="L3676" s="6"/>
      <c r="M3676" s="6"/>
      <c r="N3676" s="6"/>
      <c r="O3676" s="6"/>
      <c r="P3676" s="6"/>
      <c r="Q3676" s="6"/>
      <c r="R3676" s="6"/>
      <c r="S3676" s="6"/>
      <c r="T3676" s="6"/>
      <c r="U3676" s="6"/>
      <c r="V3676" s="6"/>
      <c r="W3676" s="6"/>
      <c r="X3676" s="6"/>
      <c r="Y3676" s="6"/>
      <c r="Z3676" s="6"/>
      <c r="AA3676" s="6"/>
      <c r="AB3676" s="6"/>
      <c r="AC3676" s="6"/>
      <c r="AD3676" s="6"/>
      <c r="AE3676" s="6"/>
      <c r="AF3676" s="6"/>
      <c r="AG3676" s="6"/>
      <c r="AH3676" s="6"/>
      <c r="AI3676" s="6"/>
      <c r="AJ3676" s="6"/>
      <c r="AK3676" s="6"/>
      <c r="AL3676" s="6"/>
      <c r="AM3676" s="6"/>
    </row>
    <row r="3677">
      <c r="A3677" s="6"/>
      <c r="B3677" s="6"/>
      <c r="C3677" s="6"/>
      <c r="D3677" s="6"/>
      <c r="E3677" s="6"/>
      <c r="F3677" s="6"/>
      <c r="G3677" s="6"/>
      <c r="H3677" s="6"/>
      <c r="I3677" s="6"/>
      <c r="J3677" s="6"/>
      <c r="K3677" s="6"/>
      <c r="L3677" s="6"/>
      <c r="M3677" s="6"/>
      <c r="N3677" s="6"/>
      <c r="O3677" s="6"/>
      <c r="P3677" s="6"/>
      <c r="Q3677" s="6"/>
      <c r="R3677" s="6"/>
      <c r="S3677" s="6"/>
      <c r="T3677" s="6"/>
      <c r="U3677" s="6"/>
      <c r="V3677" s="6"/>
      <c r="W3677" s="6"/>
      <c r="X3677" s="6"/>
      <c r="Y3677" s="6"/>
      <c r="Z3677" s="6"/>
      <c r="AA3677" s="6"/>
      <c r="AB3677" s="6"/>
      <c r="AC3677" s="6"/>
      <c r="AD3677" s="6"/>
      <c r="AE3677" s="6"/>
      <c r="AF3677" s="6"/>
      <c r="AG3677" s="6"/>
      <c r="AH3677" s="6"/>
      <c r="AI3677" s="6"/>
      <c r="AJ3677" s="6"/>
      <c r="AK3677" s="6"/>
      <c r="AL3677" s="6"/>
      <c r="AM3677" s="6"/>
    </row>
    <row r="3678">
      <c r="A3678" s="6"/>
      <c r="B3678" s="6"/>
      <c r="C3678" s="6"/>
      <c r="D3678" s="6"/>
      <c r="E3678" s="6"/>
      <c r="F3678" s="6"/>
      <c r="G3678" s="6"/>
      <c r="H3678" s="6"/>
      <c r="I3678" s="6"/>
      <c r="J3678" s="6"/>
      <c r="K3678" s="6"/>
      <c r="L3678" s="6"/>
      <c r="M3678" s="6"/>
      <c r="N3678" s="6"/>
      <c r="O3678" s="6"/>
      <c r="P3678" s="6"/>
      <c r="Q3678" s="6"/>
      <c r="R3678" s="6"/>
      <c r="S3678" s="6"/>
      <c r="T3678" s="6"/>
      <c r="U3678" s="6"/>
      <c r="V3678" s="6"/>
      <c r="W3678" s="6"/>
      <c r="X3678" s="6"/>
      <c r="Y3678" s="6"/>
      <c r="Z3678" s="6"/>
      <c r="AA3678" s="6"/>
      <c r="AB3678" s="6"/>
      <c r="AC3678" s="6"/>
      <c r="AD3678" s="6"/>
      <c r="AE3678" s="6"/>
      <c r="AF3678" s="6"/>
      <c r="AG3678" s="6"/>
      <c r="AH3678" s="6"/>
      <c r="AI3678" s="6"/>
      <c r="AJ3678" s="6"/>
      <c r="AK3678" s="6"/>
      <c r="AL3678" s="6"/>
      <c r="AM3678" s="6"/>
    </row>
    <row r="3679">
      <c r="A3679" s="6"/>
      <c r="B3679" s="6"/>
      <c r="C3679" s="6"/>
      <c r="D3679" s="6"/>
      <c r="E3679" s="6"/>
      <c r="F3679" s="6"/>
      <c r="G3679" s="6"/>
      <c r="H3679" s="6"/>
      <c r="I3679" s="6"/>
      <c r="J3679" s="6"/>
      <c r="K3679" s="6"/>
      <c r="L3679" s="6"/>
      <c r="M3679" s="6"/>
      <c r="N3679" s="6"/>
      <c r="O3679" s="6"/>
      <c r="P3679" s="6"/>
      <c r="Q3679" s="6"/>
      <c r="R3679" s="6"/>
      <c r="S3679" s="6"/>
      <c r="T3679" s="6"/>
      <c r="U3679" s="6"/>
      <c r="V3679" s="6"/>
      <c r="W3679" s="6"/>
      <c r="X3679" s="6"/>
      <c r="Y3679" s="6"/>
      <c r="Z3679" s="6"/>
      <c r="AA3679" s="6"/>
      <c r="AB3679" s="6"/>
      <c r="AC3679" s="6"/>
      <c r="AD3679" s="6"/>
      <c r="AE3679" s="6"/>
      <c r="AF3679" s="6"/>
      <c r="AG3679" s="6"/>
      <c r="AH3679" s="6"/>
      <c r="AI3679" s="6"/>
      <c r="AJ3679" s="6"/>
      <c r="AK3679" s="6"/>
      <c r="AL3679" s="6"/>
      <c r="AM3679" s="6"/>
    </row>
    <row r="3680">
      <c r="A3680" s="6"/>
      <c r="B3680" s="6"/>
      <c r="C3680" s="6"/>
      <c r="D3680" s="6"/>
      <c r="E3680" s="6"/>
      <c r="F3680" s="6"/>
      <c r="G3680" s="6"/>
      <c r="H3680" s="6"/>
      <c r="I3680" s="6"/>
      <c r="J3680" s="6"/>
      <c r="K3680" s="6"/>
      <c r="L3680" s="6"/>
      <c r="M3680" s="6"/>
      <c r="N3680" s="6"/>
      <c r="O3680" s="6"/>
      <c r="P3680" s="6"/>
      <c r="Q3680" s="6"/>
      <c r="R3680" s="6"/>
      <c r="S3680" s="6"/>
      <c r="T3680" s="6"/>
      <c r="U3680" s="6"/>
      <c r="V3680" s="6"/>
      <c r="W3680" s="6"/>
      <c r="X3680" s="6"/>
      <c r="Y3680" s="6"/>
      <c r="Z3680" s="6"/>
      <c r="AA3680" s="6"/>
      <c r="AB3680" s="6"/>
      <c r="AC3680" s="6"/>
      <c r="AD3680" s="6"/>
      <c r="AE3680" s="6"/>
      <c r="AF3680" s="6"/>
      <c r="AG3680" s="6"/>
      <c r="AH3680" s="6"/>
      <c r="AI3680" s="6"/>
      <c r="AJ3680" s="6"/>
      <c r="AK3680" s="6"/>
      <c r="AL3680" s="6"/>
      <c r="AM3680" s="6"/>
    </row>
    <row r="3681">
      <c r="A3681" s="6"/>
      <c r="B3681" s="6"/>
      <c r="C3681" s="6"/>
      <c r="D3681" s="6"/>
      <c r="E3681" s="6"/>
      <c r="F3681" s="6"/>
      <c r="G3681" s="6"/>
      <c r="H3681" s="6"/>
      <c r="I3681" s="6"/>
      <c r="J3681" s="6"/>
      <c r="K3681" s="6"/>
      <c r="L3681" s="6"/>
      <c r="M3681" s="6"/>
      <c r="N3681" s="6"/>
      <c r="O3681" s="6"/>
      <c r="P3681" s="6"/>
      <c r="Q3681" s="6"/>
      <c r="R3681" s="6"/>
      <c r="S3681" s="6"/>
      <c r="T3681" s="6"/>
      <c r="U3681" s="6"/>
      <c r="V3681" s="6"/>
      <c r="W3681" s="6"/>
      <c r="X3681" s="6"/>
      <c r="Y3681" s="6"/>
      <c r="Z3681" s="6"/>
      <c r="AA3681" s="6"/>
      <c r="AB3681" s="6"/>
      <c r="AC3681" s="6"/>
      <c r="AD3681" s="6"/>
      <c r="AE3681" s="6"/>
      <c r="AF3681" s="6"/>
      <c r="AG3681" s="6"/>
      <c r="AH3681" s="6"/>
      <c r="AI3681" s="6"/>
      <c r="AJ3681" s="6"/>
      <c r="AK3681" s="6"/>
      <c r="AL3681" s="6"/>
      <c r="AM3681" s="6"/>
    </row>
    <row r="3682">
      <c r="A3682" s="6"/>
      <c r="B3682" s="6"/>
      <c r="C3682" s="6"/>
      <c r="D3682" s="6"/>
      <c r="E3682" s="6"/>
      <c r="F3682" s="6"/>
      <c r="G3682" s="6"/>
      <c r="H3682" s="6"/>
      <c r="I3682" s="6"/>
      <c r="J3682" s="6"/>
      <c r="K3682" s="6"/>
      <c r="L3682" s="6"/>
      <c r="M3682" s="6"/>
      <c r="N3682" s="6"/>
      <c r="O3682" s="6"/>
      <c r="P3682" s="6"/>
      <c r="Q3682" s="6"/>
      <c r="R3682" s="6"/>
      <c r="S3682" s="6"/>
      <c r="T3682" s="6"/>
      <c r="U3682" s="6"/>
      <c r="V3682" s="6"/>
      <c r="W3682" s="6"/>
      <c r="X3682" s="6"/>
      <c r="Y3682" s="6"/>
      <c r="Z3682" s="6"/>
      <c r="AA3682" s="6"/>
      <c r="AB3682" s="6"/>
      <c r="AC3682" s="6"/>
      <c r="AD3682" s="6"/>
      <c r="AE3682" s="6"/>
      <c r="AF3682" s="6"/>
      <c r="AG3682" s="6"/>
      <c r="AH3682" s="6"/>
      <c r="AI3682" s="6"/>
      <c r="AJ3682" s="6"/>
      <c r="AK3682" s="6"/>
      <c r="AL3682" s="6"/>
      <c r="AM3682" s="6"/>
    </row>
    <row r="3683">
      <c r="A3683" s="6"/>
      <c r="B3683" s="6"/>
      <c r="C3683" s="6"/>
      <c r="D3683" s="6"/>
      <c r="E3683" s="6"/>
      <c r="F3683" s="6"/>
      <c r="G3683" s="6"/>
      <c r="H3683" s="6"/>
      <c r="I3683" s="6"/>
      <c r="J3683" s="6"/>
      <c r="K3683" s="6"/>
      <c r="L3683" s="6"/>
      <c r="M3683" s="6"/>
      <c r="N3683" s="6"/>
      <c r="O3683" s="6"/>
      <c r="P3683" s="6"/>
      <c r="Q3683" s="6"/>
      <c r="R3683" s="6"/>
      <c r="S3683" s="6"/>
      <c r="T3683" s="6"/>
      <c r="U3683" s="6"/>
      <c r="V3683" s="6"/>
      <c r="W3683" s="6"/>
      <c r="X3683" s="6"/>
      <c r="Y3683" s="6"/>
      <c r="Z3683" s="6"/>
      <c r="AA3683" s="6"/>
      <c r="AB3683" s="6"/>
      <c r="AC3683" s="6"/>
      <c r="AD3683" s="6"/>
      <c r="AE3683" s="6"/>
      <c r="AF3683" s="6"/>
      <c r="AG3683" s="6"/>
      <c r="AH3683" s="6"/>
      <c r="AI3683" s="6"/>
      <c r="AJ3683" s="6"/>
      <c r="AK3683" s="6"/>
      <c r="AL3683" s="6"/>
      <c r="AM3683" s="6"/>
    </row>
    <row r="3684">
      <c r="A3684" s="6"/>
      <c r="B3684" s="6"/>
      <c r="C3684" s="6"/>
      <c r="D3684" s="6"/>
      <c r="E3684" s="6"/>
      <c r="F3684" s="6"/>
      <c r="G3684" s="6"/>
      <c r="H3684" s="6"/>
      <c r="I3684" s="6"/>
      <c r="J3684" s="6"/>
      <c r="K3684" s="6"/>
      <c r="L3684" s="6"/>
      <c r="M3684" s="6"/>
      <c r="N3684" s="6"/>
      <c r="O3684" s="6"/>
      <c r="P3684" s="6"/>
      <c r="Q3684" s="6"/>
      <c r="R3684" s="6"/>
      <c r="S3684" s="6"/>
      <c r="T3684" s="6"/>
      <c r="U3684" s="6"/>
      <c r="V3684" s="6"/>
      <c r="W3684" s="6"/>
      <c r="X3684" s="6"/>
      <c r="Y3684" s="6"/>
      <c r="Z3684" s="6"/>
      <c r="AA3684" s="6"/>
      <c r="AB3684" s="6"/>
      <c r="AC3684" s="6"/>
      <c r="AD3684" s="6"/>
      <c r="AE3684" s="6"/>
      <c r="AF3684" s="6"/>
      <c r="AG3684" s="6"/>
      <c r="AH3684" s="6"/>
      <c r="AI3684" s="6"/>
      <c r="AJ3684" s="6"/>
      <c r="AK3684" s="6"/>
      <c r="AL3684" s="6"/>
      <c r="AM3684" s="6"/>
    </row>
    <row r="3685">
      <c r="A3685" s="6"/>
      <c r="B3685" s="6"/>
      <c r="C3685" s="6"/>
      <c r="D3685" s="6"/>
      <c r="E3685" s="6"/>
      <c r="F3685" s="6"/>
      <c r="G3685" s="6"/>
      <c r="H3685" s="6"/>
      <c r="I3685" s="6"/>
      <c r="J3685" s="6"/>
      <c r="K3685" s="6"/>
      <c r="L3685" s="6"/>
      <c r="M3685" s="6"/>
      <c r="N3685" s="6"/>
      <c r="O3685" s="6"/>
      <c r="P3685" s="6"/>
      <c r="Q3685" s="6"/>
      <c r="R3685" s="6"/>
      <c r="S3685" s="6"/>
      <c r="T3685" s="6"/>
      <c r="U3685" s="6"/>
      <c r="V3685" s="6"/>
      <c r="W3685" s="6"/>
      <c r="X3685" s="6"/>
      <c r="Y3685" s="6"/>
      <c r="Z3685" s="6"/>
      <c r="AA3685" s="6"/>
      <c r="AB3685" s="6"/>
      <c r="AC3685" s="6"/>
      <c r="AD3685" s="6"/>
      <c r="AE3685" s="6"/>
      <c r="AF3685" s="6"/>
      <c r="AG3685" s="6"/>
      <c r="AH3685" s="6"/>
      <c r="AI3685" s="6"/>
      <c r="AJ3685" s="6"/>
      <c r="AK3685" s="6"/>
      <c r="AL3685" s="6"/>
      <c r="AM3685" s="6"/>
    </row>
    <row r="3686">
      <c r="A3686" s="6"/>
      <c r="B3686" s="6"/>
      <c r="C3686" s="6"/>
      <c r="D3686" s="6"/>
      <c r="E3686" s="6"/>
      <c r="F3686" s="6"/>
      <c r="G3686" s="6"/>
      <c r="H3686" s="6"/>
      <c r="I3686" s="6"/>
      <c r="J3686" s="6"/>
      <c r="K3686" s="6"/>
      <c r="L3686" s="6"/>
      <c r="M3686" s="6"/>
      <c r="N3686" s="6"/>
      <c r="O3686" s="6"/>
      <c r="P3686" s="6"/>
      <c r="Q3686" s="6"/>
      <c r="R3686" s="6"/>
      <c r="S3686" s="6"/>
      <c r="T3686" s="6"/>
      <c r="U3686" s="6"/>
      <c r="V3686" s="6"/>
      <c r="W3686" s="6"/>
      <c r="X3686" s="6"/>
      <c r="Y3686" s="6"/>
      <c r="Z3686" s="6"/>
      <c r="AA3686" s="6"/>
      <c r="AB3686" s="6"/>
      <c r="AC3686" s="6"/>
      <c r="AD3686" s="6"/>
      <c r="AE3686" s="6"/>
      <c r="AF3686" s="6"/>
      <c r="AG3686" s="6"/>
      <c r="AH3686" s="6"/>
      <c r="AI3686" s="6"/>
      <c r="AJ3686" s="6"/>
      <c r="AK3686" s="6"/>
      <c r="AL3686" s="6"/>
      <c r="AM3686" s="6"/>
    </row>
    <row r="3687">
      <c r="A3687" s="6"/>
      <c r="B3687" s="6"/>
      <c r="C3687" s="6"/>
      <c r="D3687" s="6"/>
      <c r="E3687" s="6"/>
      <c r="F3687" s="6"/>
      <c r="G3687" s="6"/>
      <c r="H3687" s="6"/>
      <c r="I3687" s="6"/>
      <c r="J3687" s="6"/>
      <c r="K3687" s="6"/>
      <c r="L3687" s="6"/>
      <c r="M3687" s="6"/>
      <c r="N3687" s="6"/>
      <c r="O3687" s="6"/>
      <c r="P3687" s="6"/>
      <c r="Q3687" s="6"/>
      <c r="R3687" s="6"/>
      <c r="S3687" s="6"/>
      <c r="T3687" s="6"/>
      <c r="U3687" s="6"/>
      <c r="V3687" s="6"/>
      <c r="W3687" s="6"/>
      <c r="X3687" s="6"/>
      <c r="Y3687" s="6"/>
      <c r="Z3687" s="6"/>
      <c r="AA3687" s="6"/>
      <c r="AB3687" s="6"/>
      <c r="AC3687" s="6"/>
      <c r="AD3687" s="6"/>
      <c r="AE3687" s="6"/>
      <c r="AF3687" s="6"/>
      <c r="AG3687" s="6"/>
      <c r="AH3687" s="6"/>
      <c r="AI3687" s="6"/>
      <c r="AJ3687" s="6"/>
      <c r="AK3687" s="6"/>
      <c r="AL3687" s="6"/>
      <c r="AM3687" s="6"/>
    </row>
    <row r="3688">
      <c r="A3688" s="6"/>
      <c r="B3688" s="6"/>
      <c r="C3688" s="6"/>
      <c r="D3688" s="6"/>
      <c r="E3688" s="6"/>
      <c r="F3688" s="6"/>
      <c r="G3688" s="6"/>
      <c r="H3688" s="6"/>
      <c r="I3688" s="6"/>
      <c r="J3688" s="6"/>
      <c r="K3688" s="6"/>
      <c r="L3688" s="6"/>
      <c r="M3688" s="6"/>
      <c r="N3688" s="6"/>
      <c r="O3688" s="6"/>
      <c r="P3688" s="6"/>
      <c r="Q3688" s="6"/>
      <c r="R3688" s="6"/>
      <c r="S3688" s="6"/>
      <c r="T3688" s="6"/>
      <c r="U3688" s="6"/>
      <c r="V3688" s="6"/>
      <c r="W3688" s="6"/>
      <c r="X3688" s="6"/>
      <c r="Y3688" s="6"/>
      <c r="Z3688" s="6"/>
      <c r="AA3688" s="6"/>
      <c r="AB3688" s="6"/>
      <c r="AC3688" s="6"/>
      <c r="AD3688" s="6"/>
      <c r="AE3688" s="6"/>
      <c r="AF3688" s="6"/>
      <c r="AG3688" s="6"/>
      <c r="AH3688" s="6"/>
      <c r="AI3688" s="6"/>
      <c r="AJ3688" s="6"/>
      <c r="AK3688" s="6"/>
      <c r="AL3688" s="6"/>
      <c r="AM3688" s="6"/>
    </row>
    <row r="3689">
      <c r="A3689" s="6"/>
      <c r="B3689" s="6"/>
      <c r="C3689" s="6"/>
      <c r="D3689" s="6"/>
      <c r="E3689" s="6"/>
      <c r="F3689" s="6"/>
      <c r="G3689" s="6"/>
      <c r="H3689" s="6"/>
      <c r="I3689" s="6"/>
      <c r="J3689" s="6"/>
      <c r="K3689" s="6"/>
      <c r="L3689" s="6"/>
      <c r="M3689" s="6"/>
      <c r="N3689" s="6"/>
      <c r="O3689" s="6"/>
      <c r="P3689" s="6"/>
      <c r="Q3689" s="6"/>
      <c r="R3689" s="6"/>
      <c r="S3689" s="6"/>
      <c r="T3689" s="6"/>
      <c r="U3689" s="6"/>
      <c r="V3689" s="6"/>
      <c r="W3689" s="6"/>
      <c r="X3689" s="6"/>
      <c r="Y3689" s="6"/>
      <c r="Z3689" s="6"/>
      <c r="AA3689" s="6"/>
      <c r="AB3689" s="6"/>
      <c r="AC3689" s="6"/>
      <c r="AD3689" s="6"/>
      <c r="AE3689" s="6"/>
      <c r="AF3689" s="6"/>
      <c r="AG3689" s="6"/>
      <c r="AH3689" s="6"/>
      <c r="AI3689" s="6"/>
      <c r="AJ3689" s="6"/>
      <c r="AK3689" s="6"/>
      <c r="AL3689" s="6"/>
      <c r="AM3689" s="6"/>
    </row>
    <row r="3690">
      <c r="A3690" s="6"/>
      <c r="B3690" s="6"/>
      <c r="C3690" s="6"/>
      <c r="D3690" s="6"/>
      <c r="E3690" s="6"/>
      <c r="F3690" s="6"/>
      <c r="G3690" s="6"/>
      <c r="H3690" s="6"/>
      <c r="I3690" s="6"/>
      <c r="J3690" s="6"/>
      <c r="K3690" s="6"/>
      <c r="L3690" s="6"/>
      <c r="M3690" s="6"/>
      <c r="N3690" s="6"/>
      <c r="O3690" s="6"/>
      <c r="P3690" s="6"/>
      <c r="Q3690" s="6"/>
      <c r="R3690" s="6"/>
      <c r="S3690" s="6"/>
      <c r="T3690" s="6"/>
      <c r="U3690" s="6"/>
      <c r="V3690" s="6"/>
      <c r="W3690" s="6"/>
      <c r="X3690" s="6"/>
      <c r="Y3690" s="6"/>
      <c r="Z3690" s="6"/>
      <c r="AA3690" s="6"/>
      <c r="AB3690" s="6"/>
      <c r="AC3690" s="6"/>
      <c r="AD3690" s="6"/>
      <c r="AE3690" s="6"/>
      <c r="AF3690" s="6"/>
      <c r="AG3690" s="6"/>
      <c r="AH3690" s="6"/>
      <c r="AI3690" s="6"/>
      <c r="AJ3690" s="6"/>
      <c r="AK3690" s="6"/>
      <c r="AL3690" s="6"/>
      <c r="AM3690" s="6"/>
    </row>
    <row r="3691">
      <c r="A3691" s="6"/>
      <c r="B3691" s="6"/>
      <c r="C3691" s="6"/>
      <c r="D3691" s="6"/>
      <c r="E3691" s="6"/>
      <c r="F3691" s="6"/>
      <c r="G3691" s="6"/>
      <c r="H3691" s="6"/>
      <c r="I3691" s="6"/>
      <c r="J3691" s="6"/>
      <c r="K3691" s="6"/>
      <c r="L3691" s="6"/>
      <c r="M3691" s="6"/>
      <c r="N3691" s="6"/>
      <c r="O3691" s="6"/>
      <c r="P3691" s="6"/>
      <c r="Q3691" s="6"/>
      <c r="R3691" s="6"/>
      <c r="S3691" s="6"/>
      <c r="T3691" s="6"/>
      <c r="U3691" s="6"/>
      <c r="V3691" s="6"/>
      <c r="W3691" s="6"/>
      <c r="X3691" s="6"/>
      <c r="Y3691" s="6"/>
      <c r="Z3691" s="6"/>
      <c r="AA3691" s="6"/>
      <c r="AB3691" s="6"/>
      <c r="AC3691" s="6"/>
      <c r="AD3691" s="6"/>
      <c r="AE3691" s="6"/>
      <c r="AF3691" s="6"/>
      <c r="AG3691" s="6"/>
      <c r="AH3691" s="6"/>
      <c r="AI3691" s="6"/>
      <c r="AJ3691" s="6"/>
      <c r="AK3691" s="6"/>
      <c r="AL3691" s="6"/>
      <c r="AM3691" s="6"/>
    </row>
    <row r="3692">
      <c r="A3692" s="6"/>
      <c r="B3692" s="6"/>
      <c r="C3692" s="6"/>
      <c r="D3692" s="6"/>
      <c r="E3692" s="6"/>
      <c r="F3692" s="6"/>
      <c r="G3692" s="6"/>
      <c r="H3692" s="6"/>
      <c r="I3692" s="6"/>
      <c r="J3692" s="6"/>
      <c r="K3692" s="6"/>
      <c r="L3692" s="6"/>
      <c r="M3692" s="6"/>
      <c r="N3692" s="6"/>
      <c r="O3692" s="6"/>
      <c r="P3692" s="6"/>
      <c r="Q3692" s="6"/>
      <c r="R3692" s="6"/>
      <c r="S3692" s="6"/>
      <c r="T3692" s="6"/>
      <c r="U3692" s="6"/>
      <c r="V3692" s="6"/>
      <c r="W3692" s="6"/>
      <c r="X3692" s="6"/>
      <c r="Y3692" s="6"/>
      <c r="Z3692" s="6"/>
      <c r="AA3692" s="6"/>
      <c r="AB3692" s="6"/>
      <c r="AC3692" s="6"/>
      <c r="AD3692" s="6"/>
      <c r="AE3692" s="6"/>
      <c r="AF3692" s="6"/>
      <c r="AG3692" s="6"/>
      <c r="AH3692" s="6"/>
      <c r="AI3692" s="6"/>
      <c r="AJ3692" s="6"/>
      <c r="AK3692" s="6"/>
      <c r="AL3692" s="6"/>
      <c r="AM3692" s="6"/>
    </row>
    <row r="3693">
      <c r="A3693" s="6"/>
      <c r="B3693" s="6"/>
      <c r="C3693" s="6"/>
      <c r="D3693" s="6"/>
      <c r="E3693" s="6"/>
      <c r="F3693" s="6"/>
      <c r="G3693" s="6"/>
      <c r="H3693" s="6"/>
      <c r="I3693" s="6"/>
      <c r="J3693" s="6"/>
      <c r="K3693" s="6"/>
      <c r="L3693" s="6"/>
      <c r="M3693" s="6"/>
      <c r="N3693" s="6"/>
      <c r="O3693" s="6"/>
      <c r="P3693" s="6"/>
      <c r="Q3693" s="6"/>
      <c r="R3693" s="6"/>
      <c r="S3693" s="6"/>
      <c r="T3693" s="6"/>
      <c r="U3693" s="6"/>
      <c r="V3693" s="6"/>
      <c r="W3693" s="6"/>
      <c r="X3693" s="6"/>
      <c r="Y3693" s="6"/>
      <c r="Z3693" s="6"/>
      <c r="AA3693" s="6"/>
      <c r="AB3693" s="6"/>
      <c r="AC3693" s="6"/>
      <c r="AD3693" s="6"/>
      <c r="AE3693" s="6"/>
      <c r="AF3693" s="6"/>
      <c r="AG3693" s="6"/>
      <c r="AH3693" s="6"/>
      <c r="AI3693" s="6"/>
      <c r="AJ3693" s="6"/>
      <c r="AK3693" s="6"/>
      <c r="AL3693" s="6"/>
      <c r="AM3693" s="6"/>
    </row>
    <row r="3694">
      <c r="A3694" s="6"/>
      <c r="B3694" s="6"/>
      <c r="C3694" s="6"/>
      <c r="D3694" s="6"/>
      <c r="E3694" s="6"/>
      <c r="F3694" s="6"/>
      <c r="G3694" s="6"/>
      <c r="H3694" s="6"/>
      <c r="I3694" s="6"/>
      <c r="J3694" s="6"/>
      <c r="K3694" s="6"/>
      <c r="L3694" s="6"/>
      <c r="M3694" s="6"/>
      <c r="N3694" s="6"/>
      <c r="O3694" s="6"/>
      <c r="P3694" s="6"/>
      <c r="Q3694" s="6"/>
      <c r="R3694" s="6"/>
      <c r="S3694" s="6"/>
      <c r="T3694" s="6"/>
      <c r="U3694" s="6"/>
      <c r="V3694" s="6"/>
      <c r="W3694" s="6"/>
      <c r="X3694" s="6"/>
      <c r="Y3694" s="6"/>
      <c r="Z3694" s="6"/>
      <c r="AA3694" s="6"/>
      <c r="AB3694" s="6"/>
      <c r="AC3694" s="6"/>
      <c r="AD3694" s="6"/>
      <c r="AE3694" s="6"/>
      <c r="AF3694" s="6"/>
      <c r="AG3694" s="6"/>
      <c r="AH3694" s="6"/>
      <c r="AI3694" s="6"/>
      <c r="AJ3694" s="6"/>
      <c r="AK3694" s="6"/>
      <c r="AL3694" s="6"/>
      <c r="AM3694" s="6"/>
    </row>
    <row r="3695">
      <c r="A3695" s="6"/>
      <c r="B3695" s="6"/>
      <c r="C3695" s="6"/>
      <c r="D3695" s="6"/>
      <c r="E3695" s="6"/>
      <c r="F3695" s="6"/>
      <c r="G3695" s="6"/>
      <c r="H3695" s="6"/>
      <c r="I3695" s="6"/>
      <c r="J3695" s="6"/>
      <c r="K3695" s="6"/>
      <c r="L3695" s="6"/>
      <c r="M3695" s="6"/>
      <c r="N3695" s="6"/>
      <c r="O3695" s="6"/>
      <c r="P3695" s="6"/>
      <c r="Q3695" s="6"/>
      <c r="R3695" s="6"/>
      <c r="S3695" s="6"/>
      <c r="T3695" s="6"/>
      <c r="U3695" s="6"/>
      <c r="V3695" s="6"/>
      <c r="W3695" s="6"/>
      <c r="X3695" s="6"/>
      <c r="Y3695" s="6"/>
      <c r="Z3695" s="6"/>
      <c r="AA3695" s="6"/>
      <c r="AB3695" s="6"/>
      <c r="AC3695" s="6"/>
      <c r="AD3695" s="6"/>
      <c r="AE3695" s="6"/>
      <c r="AF3695" s="6"/>
      <c r="AG3695" s="6"/>
      <c r="AH3695" s="6"/>
      <c r="AI3695" s="6"/>
      <c r="AJ3695" s="6"/>
      <c r="AK3695" s="6"/>
      <c r="AL3695" s="6"/>
      <c r="AM3695" s="6"/>
    </row>
    <row r="3696">
      <c r="A3696" s="6"/>
      <c r="B3696" s="6"/>
      <c r="C3696" s="6"/>
      <c r="D3696" s="6"/>
      <c r="E3696" s="6"/>
      <c r="F3696" s="6"/>
      <c r="G3696" s="6"/>
      <c r="H3696" s="6"/>
      <c r="I3696" s="6"/>
      <c r="J3696" s="6"/>
      <c r="K3696" s="6"/>
      <c r="L3696" s="6"/>
      <c r="M3696" s="6"/>
      <c r="N3696" s="6"/>
      <c r="O3696" s="6"/>
      <c r="P3696" s="6"/>
      <c r="Q3696" s="6"/>
      <c r="R3696" s="6"/>
      <c r="S3696" s="6"/>
      <c r="T3696" s="6"/>
      <c r="U3696" s="6"/>
      <c r="V3696" s="6"/>
      <c r="W3696" s="6"/>
      <c r="X3696" s="6"/>
      <c r="Y3696" s="6"/>
      <c r="Z3696" s="6"/>
      <c r="AA3696" s="6"/>
      <c r="AB3696" s="6"/>
      <c r="AC3696" s="6"/>
      <c r="AD3696" s="6"/>
      <c r="AE3696" s="6"/>
      <c r="AF3696" s="6"/>
      <c r="AG3696" s="6"/>
      <c r="AH3696" s="6"/>
      <c r="AI3696" s="6"/>
      <c r="AJ3696" s="6"/>
      <c r="AK3696" s="6"/>
      <c r="AL3696" s="6"/>
      <c r="AM3696" s="6"/>
    </row>
    <row r="3697">
      <c r="A3697" s="6"/>
      <c r="B3697" s="6"/>
      <c r="C3697" s="6"/>
      <c r="D3697" s="6"/>
      <c r="E3697" s="6"/>
      <c r="F3697" s="6"/>
      <c r="G3697" s="6"/>
      <c r="H3697" s="6"/>
      <c r="I3697" s="6"/>
      <c r="J3697" s="6"/>
      <c r="K3697" s="6"/>
      <c r="L3697" s="6"/>
      <c r="M3697" s="6"/>
      <c r="N3697" s="6"/>
      <c r="O3697" s="6"/>
      <c r="P3697" s="6"/>
      <c r="Q3697" s="6"/>
      <c r="R3697" s="6"/>
      <c r="S3697" s="6"/>
      <c r="T3697" s="6"/>
      <c r="U3697" s="6"/>
      <c r="V3697" s="6"/>
      <c r="W3697" s="6"/>
      <c r="X3697" s="6"/>
      <c r="Y3697" s="6"/>
      <c r="Z3697" s="6"/>
      <c r="AA3697" s="6"/>
      <c r="AB3697" s="6"/>
      <c r="AC3697" s="6"/>
      <c r="AD3697" s="6"/>
      <c r="AE3697" s="6"/>
      <c r="AF3697" s="6"/>
      <c r="AG3697" s="6"/>
      <c r="AH3697" s="6"/>
      <c r="AI3697" s="6"/>
      <c r="AJ3697" s="6"/>
      <c r="AK3697" s="6"/>
      <c r="AL3697" s="6"/>
      <c r="AM3697" s="6"/>
    </row>
    <row r="3698">
      <c r="A3698" s="6"/>
      <c r="B3698" s="6"/>
      <c r="C3698" s="6"/>
      <c r="D3698" s="6"/>
      <c r="E3698" s="6"/>
      <c r="F3698" s="6"/>
      <c r="G3698" s="6"/>
      <c r="H3698" s="6"/>
      <c r="I3698" s="6"/>
      <c r="J3698" s="6"/>
      <c r="K3698" s="6"/>
      <c r="L3698" s="6"/>
      <c r="M3698" s="6"/>
      <c r="N3698" s="6"/>
      <c r="O3698" s="6"/>
      <c r="P3698" s="6"/>
      <c r="Q3698" s="6"/>
      <c r="R3698" s="6"/>
      <c r="S3698" s="6"/>
      <c r="T3698" s="6"/>
      <c r="U3698" s="6"/>
      <c r="V3698" s="6"/>
      <c r="W3698" s="6"/>
      <c r="X3698" s="6"/>
      <c r="Y3698" s="6"/>
      <c r="Z3698" s="6"/>
      <c r="AA3698" s="6"/>
      <c r="AB3698" s="6"/>
      <c r="AC3698" s="6"/>
      <c r="AD3698" s="6"/>
      <c r="AE3698" s="6"/>
      <c r="AF3698" s="6"/>
      <c r="AG3698" s="6"/>
      <c r="AH3698" s="6"/>
      <c r="AI3698" s="6"/>
      <c r="AJ3698" s="6"/>
      <c r="AK3698" s="6"/>
      <c r="AL3698" s="6"/>
      <c r="AM3698" s="6"/>
    </row>
    <row r="3699">
      <c r="A3699" s="6"/>
      <c r="B3699" s="6"/>
      <c r="C3699" s="6"/>
      <c r="D3699" s="6"/>
      <c r="E3699" s="6"/>
      <c r="F3699" s="6"/>
      <c r="G3699" s="6"/>
      <c r="H3699" s="6"/>
      <c r="I3699" s="6"/>
      <c r="J3699" s="6"/>
      <c r="K3699" s="6"/>
      <c r="L3699" s="6"/>
      <c r="M3699" s="6"/>
      <c r="N3699" s="6"/>
      <c r="O3699" s="6"/>
      <c r="P3699" s="6"/>
      <c r="Q3699" s="6"/>
      <c r="R3699" s="6"/>
      <c r="S3699" s="6"/>
      <c r="T3699" s="6"/>
      <c r="U3699" s="6"/>
      <c r="V3699" s="6"/>
      <c r="W3699" s="6"/>
      <c r="X3699" s="6"/>
      <c r="Y3699" s="6"/>
      <c r="Z3699" s="6"/>
      <c r="AA3699" s="6"/>
      <c r="AB3699" s="6"/>
      <c r="AC3699" s="6"/>
      <c r="AD3699" s="6"/>
      <c r="AE3699" s="6"/>
      <c r="AF3699" s="6"/>
      <c r="AG3699" s="6"/>
      <c r="AH3699" s="6"/>
      <c r="AI3699" s="6"/>
      <c r="AJ3699" s="6"/>
      <c r="AK3699" s="6"/>
      <c r="AL3699" s="6"/>
      <c r="AM3699" s="6"/>
    </row>
    <row r="3700">
      <c r="A3700" s="6"/>
      <c r="B3700" s="6"/>
      <c r="C3700" s="6"/>
      <c r="D3700" s="6"/>
      <c r="E3700" s="6"/>
      <c r="F3700" s="6"/>
      <c r="G3700" s="6"/>
      <c r="H3700" s="6"/>
      <c r="I3700" s="6"/>
      <c r="J3700" s="6"/>
      <c r="K3700" s="6"/>
      <c r="L3700" s="6"/>
      <c r="M3700" s="6"/>
      <c r="N3700" s="6"/>
      <c r="O3700" s="6"/>
      <c r="P3700" s="6"/>
      <c r="Q3700" s="6"/>
      <c r="R3700" s="6"/>
      <c r="S3700" s="6"/>
      <c r="T3700" s="6"/>
      <c r="U3700" s="6"/>
      <c r="V3700" s="6"/>
      <c r="W3700" s="6"/>
      <c r="X3700" s="6"/>
      <c r="Y3700" s="6"/>
      <c r="Z3700" s="6"/>
      <c r="AA3700" s="6"/>
      <c r="AB3700" s="6"/>
      <c r="AC3700" s="6"/>
      <c r="AD3700" s="6"/>
      <c r="AE3700" s="6"/>
      <c r="AF3700" s="6"/>
      <c r="AG3700" s="6"/>
      <c r="AH3700" s="6"/>
      <c r="AI3700" s="6"/>
      <c r="AJ3700" s="6"/>
      <c r="AK3700" s="6"/>
      <c r="AL3700" s="6"/>
      <c r="AM3700" s="6"/>
    </row>
    <row r="3701">
      <c r="A3701" s="6"/>
      <c r="B3701" s="6"/>
      <c r="C3701" s="6"/>
      <c r="D3701" s="6"/>
      <c r="E3701" s="6"/>
      <c r="F3701" s="6"/>
      <c r="G3701" s="6"/>
      <c r="H3701" s="6"/>
      <c r="I3701" s="6"/>
      <c r="J3701" s="6"/>
      <c r="K3701" s="6"/>
      <c r="L3701" s="6"/>
      <c r="M3701" s="6"/>
      <c r="N3701" s="6"/>
      <c r="O3701" s="6"/>
      <c r="P3701" s="6"/>
      <c r="Q3701" s="6"/>
      <c r="R3701" s="6"/>
      <c r="S3701" s="6"/>
      <c r="T3701" s="6"/>
      <c r="U3701" s="6"/>
      <c r="V3701" s="6"/>
      <c r="W3701" s="6"/>
      <c r="X3701" s="6"/>
      <c r="Y3701" s="6"/>
      <c r="Z3701" s="6"/>
      <c r="AA3701" s="6"/>
      <c r="AB3701" s="6"/>
      <c r="AC3701" s="6"/>
      <c r="AD3701" s="6"/>
      <c r="AE3701" s="6"/>
      <c r="AF3701" s="6"/>
      <c r="AG3701" s="6"/>
      <c r="AH3701" s="6"/>
      <c r="AI3701" s="6"/>
      <c r="AJ3701" s="6"/>
      <c r="AK3701" s="6"/>
      <c r="AL3701" s="6"/>
      <c r="AM3701" s="6"/>
    </row>
    <row r="3702">
      <c r="A3702" s="6"/>
      <c r="B3702" s="6"/>
      <c r="C3702" s="6"/>
      <c r="D3702" s="6"/>
      <c r="E3702" s="6"/>
      <c r="F3702" s="6"/>
      <c r="G3702" s="6"/>
      <c r="H3702" s="6"/>
      <c r="I3702" s="6"/>
      <c r="J3702" s="6"/>
      <c r="K3702" s="6"/>
      <c r="L3702" s="6"/>
      <c r="M3702" s="6"/>
      <c r="N3702" s="6"/>
      <c r="O3702" s="6"/>
      <c r="P3702" s="6"/>
      <c r="Q3702" s="6"/>
      <c r="R3702" s="6"/>
      <c r="S3702" s="6"/>
      <c r="T3702" s="6"/>
      <c r="U3702" s="6"/>
      <c r="V3702" s="6"/>
      <c r="W3702" s="6"/>
      <c r="X3702" s="6"/>
      <c r="Y3702" s="6"/>
      <c r="Z3702" s="6"/>
      <c r="AA3702" s="6"/>
      <c r="AB3702" s="6"/>
      <c r="AC3702" s="6"/>
      <c r="AD3702" s="6"/>
      <c r="AE3702" s="6"/>
      <c r="AF3702" s="6"/>
      <c r="AG3702" s="6"/>
      <c r="AH3702" s="6"/>
      <c r="AI3702" s="6"/>
      <c r="AJ3702" s="6"/>
      <c r="AK3702" s="6"/>
      <c r="AL3702" s="6"/>
      <c r="AM3702" s="6"/>
    </row>
    <row r="3703">
      <c r="A3703" s="6"/>
      <c r="B3703" s="6"/>
      <c r="C3703" s="6"/>
      <c r="D3703" s="6"/>
      <c r="E3703" s="6"/>
      <c r="F3703" s="6"/>
      <c r="G3703" s="6"/>
      <c r="H3703" s="6"/>
      <c r="I3703" s="6"/>
      <c r="J3703" s="6"/>
      <c r="K3703" s="6"/>
      <c r="L3703" s="6"/>
      <c r="M3703" s="6"/>
      <c r="N3703" s="6"/>
      <c r="O3703" s="6"/>
      <c r="P3703" s="6"/>
      <c r="Q3703" s="6"/>
      <c r="R3703" s="6"/>
      <c r="S3703" s="6"/>
      <c r="T3703" s="6"/>
      <c r="U3703" s="6"/>
      <c r="V3703" s="6"/>
      <c r="W3703" s="6"/>
      <c r="X3703" s="6"/>
      <c r="Y3703" s="6"/>
      <c r="Z3703" s="6"/>
      <c r="AA3703" s="6"/>
      <c r="AB3703" s="6"/>
      <c r="AC3703" s="6"/>
      <c r="AD3703" s="6"/>
      <c r="AE3703" s="6"/>
      <c r="AF3703" s="6"/>
      <c r="AG3703" s="6"/>
      <c r="AH3703" s="6"/>
      <c r="AI3703" s="6"/>
      <c r="AJ3703" s="6"/>
      <c r="AK3703" s="6"/>
      <c r="AL3703" s="6"/>
      <c r="AM3703" s="6"/>
    </row>
    <row r="3704">
      <c r="A3704" s="6"/>
      <c r="B3704" s="6"/>
      <c r="C3704" s="6"/>
      <c r="D3704" s="6"/>
      <c r="E3704" s="6"/>
      <c r="F3704" s="6"/>
      <c r="G3704" s="6"/>
      <c r="H3704" s="6"/>
      <c r="I3704" s="6"/>
      <c r="J3704" s="6"/>
      <c r="K3704" s="6"/>
      <c r="L3704" s="6"/>
      <c r="M3704" s="6"/>
      <c r="N3704" s="6"/>
      <c r="O3704" s="6"/>
      <c r="P3704" s="6"/>
      <c r="Q3704" s="6"/>
      <c r="R3704" s="6"/>
      <c r="S3704" s="6"/>
      <c r="T3704" s="6"/>
      <c r="U3704" s="6"/>
      <c r="V3704" s="6"/>
      <c r="W3704" s="6"/>
      <c r="X3704" s="6"/>
      <c r="Y3704" s="6"/>
      <c r="Z3704" s="6"/>
      <c r="AA3704" s="6"/>
      <c r="AB3704" s="6"/>
      <c r="AC3704" s="6"/>
      <c r="AD3704" s="6"/>
      <c r="AE3704" s="6"/>
      <c r="AF3704" s="6"/>
      <c r="AG3704" s="6"/>
      <c r="AH3704" s="6"/>
      <c r="AI3704" s="6"/>
      <c r="AJ3704" s="6"/>
      <c r="AK3704" s="6"/>
      <c r="AL3704" s="6"/>
      <c r="AM3704" s="6"/>
    </row>
    <row r="3705">
      <c r="A3705" s="6"/>
      <c r="B3705" s="6"/>
      <c r="C3705" s="6"/>
      <c r="D3705" s="6"/>
      <c r="E3705" s="6"/>
      <c r="F3705" s="6"/>
      <c r="G3705" s="6"/>
      <c r="H3705" s="6"/>
      <c r="I3705" s="6"/>
      <c r="J3705" s="6"/>
      <c r="K3705" s="6"/>
      <c r="L3705" s="6"/>
      <c r="M3705" s="6"/>
      <c r="N3705" s="6"/>
      <c r="O3705" s="6"/>
      <c r="P3705" s="6"/>
      <c r="Q3705" s="6"/>
      <c r="R3705" s="6"/>
      <c r="S3705" s="6"/>
      <c r="T3705" s="6"/>
      <c r="U3705" s="6"/>
      <c r="V3705" s="6"/>
      <c r="W3705" s="6"/>
      <c r="X3705" s="6"/>
      <c r="Y3705" s="6"/>
      <c r="Z3705" s="6"/>
      <c r="AA3705" s="6"/>
      <c r="AB3705" s="6"/>
      <c r="AC3705" s="6"/>
      <c r="AD3705" s="6"/>
      <c r="AE3705" s="6"/>
      <c r="AF3705" s="6"/>
      <c r="AG3705" s="6"/>
      <c r="AH3705" s="6"/>
      <c r="AI3705" s="6"/>
      <c r="AJ3705" s="6"/>
      <c r="AK3705" s="6"/>
      <c r="AL3705" s="6"/>
      <c r="AM3705" s="6"/>
    </row>
    <row r="3706">
      <c r="A3706" s="6"/>
      <c r="B3706" s="6"/>
      <c r="C3706" s="6"/>
      <c r="D3706" s="6"/>
      <c r="E3706" s="6"/>
      <c r="F3706" s="6"/>
      <c r="G3706" s="6"/>
      <c r="H3706" s="6"/>
      <c r="I3706" s="6"/>
      <c r="J3706" s="6"/>
      <c r="K3706" s="6"/>
      <c r="L3706" s="6"/>
      <c r="M3706" s="6"/>
      <c r="N3706" s="6"/>
      <c r="O3706" s="6"/>
      <c r="P3706" s="6"/>
      <c r="Q3706" s="6"/>
      <c r="R3706" s="6"/>
      <c r="S3706" s="6"/>
      <c r="T3706" s="6"/>
      <c r="U3706" s="6"/>
      <c r="V3706" s="6"/>
      <c r="W3706" s="6"/>
      <c r="X3706" s="6"/>
      <c r="Y3706" s="6"/>
      <c r="Z3706" s="6"/>
      <c r="AA3706" s="6"/>
      <c r="AB3706" s="6"/>
      <c r="AC3706" s="6"/>
      <c r="AD3706" s="6"/>
      <c r="AE3706" s="6"/>
      <c r="AF3706" s="6"/>
      <c r="AG3706" s="6"/>
      <c r="AH3706" s="6"/>
      <c r="AI3706" s="6"/>
      <c r="AJ3706" s="6"/>
      <c r="AK3706" s="6"/>
      <c r="AL3706" s="6"/>
      <c r="AM3706" s="6"/>
    </row>
    <row r="3707">
      <c r="A3707" s="6"/>
      <c r="B3707" s="6"/>
      <c r="C3707" s="6"/>
      <c r="D3707" s="6"/>
      <c r="E3707" s="6"/>
      <c r="F3707" s="6"/>
      <c r="G3707" s="6"/>
      <c r="H3707" s="6"/>
      <c r="I3707" s="6"/>
      <c r="J3707" s="6"/>
      <c r="K3707" s="6"/>
      <c r="L3707" s="6"/>
      <c r="M3707" s="6"/>
      <c r="N3707" s="6"/>
      <c r="O3707" s="6"/>
      <c r="P3707" s="6"/>
      <c r="Q3707" s="6"/>
      <c r="R3707" s="6"/>
      <c r="S3707" s="6"/>
      <c r="T3707" s="6"/>
      <c r="U3707" s="6"/>
      <c r="V3707" s="6"/>
      <c r="W3707" s="6"/>
      <c r="X3707" s="6"/>
      <c r="Y3707" s="6"/>
      <c r="Z3707" s="6"/>
      <c r="AA3707" s="6"/>
      <c r="AB3707" s="6"/>
      <c r="AC3707" s="6"/>
      <c r="AD3707" s="6"/>
      <c r="AE3707" s="6"/>
      <c r="AF3707" s="6"/>
      <c r="AG3707" s="6"/>
      <c r="AH3707" s="6"/>
      <c r="AI3707" s="6"/>
      <c r="AJ3707" s="6"/>
      <c r="AK3707" s="6"/>
      <c r="AL3707" s="6"/>
      <c r="AM3707" s="6"/>
    </row>
    <row r="3708">
      <c r="A3708" s="6"/>
      <c r="B3708" s="6"/>
      <c r="C3708" s="6"/>
      <c r="D3708" s="6"/>
      <c r="E3708" s="6"/>
      <c r="F3708" s="6"/>
      <c r="G3708" s="6"/>
      <c r="H3708" s="6"/>
      <c r="I3708" s="6"/>
      <c r="J3708" s="6"/>
      <c r="K3708" s="6"/>
      <c r="L3708" s="6"/>
      <c r="M3708" s="6"/>
      <c r="N3708" s="6"/>
      <c r="O3708" s="6"/>
      <c r="P3708" s="6"/>
      <c r="Q3708" s="6"/>
      <c r="R3708" s="6"/>
      <c r="S3708" s="6"/>
      <c r="T3708" s="6"/>
      <c r="U3708" s="6"/>
      <c r="V3708" s="6"/>
      <c r="W3708" s="6"/>
      <c r="X3708" s="6"/>
      <c r="Y3708" s="6"/>
      <c r="Z3708" s="6"/>
      <c r="AA3708" s="6"/>
      <c r="AB3708" s="6"/>
      <c r="AC3708" s="6"/>
      <c r="AD3708" s="6"/>
      <c r="AE3708" s="6"/>
      <c r="AF3708" s="6"/>
      <c r="AG3708" s="6"/>
      <c r="AH3708" s="6"/>
      <c r="AI3708" s="6"/>
      <c r="AJ3708" s="6"/>
      <c r="AK3708" s="6"/>
      <c r="AL3708" s="6"/>
      <c r="AM3708" s="6"/>
    </row>
    <row r="3709">
      <c r="A3709" s="6"/>
      <c r="B3709" s="6"/>
      <c r="C3709" s="6"/>
      <c r="D3709" s="6"/>
      <c r="E3709" s="6"/>
      <c r="F3709" s="6"/>
      <c r="G3709" s="6"/>
      <c r="H3709" s="6"/>
      <c r="I3709" s="6"/>
      <c r="J3709" s="6"/>
      <c r="K3709" s="6"/>
      <c r="L3709" s="6"/>
      <c r="M3709" s="6"/>
      <c r="N3709" s="6"/>
      <c r="O3709" s="6"/>
      <c r="P3709" s="6"/>
      <c r="Q3709" s="6"/>
      <c r="R3709" s="6"/>
      <c r="S3709" s="6"/>
      <c r="T3709" s="6"/>
      <c r="U3709" s="6"/>
      <c r="V3709" s="6"/>
      <c r="W3709" s="6"/>
      <c r="X3709" s="6"/>
      <c r="Y3709" s="6"/>
      <c r="Z3709" s="6"/>
      <c r="AA3709" s="6"/>
      <c r="AB3709" s="6"/>
      <c r="AC3709" s="6"/>
      <c r="AD3709" s="6"/>
      <c r="AE3709" s="6"/>
      <c r="AF3709" s="6"/>
      <c r="AG3709" s="6"/>
      <c r="AH3709" s="6"/>
      <c r="AI3709" s="6"/>
      <c r="AJ3709" s="6"/>
      <c r="AK3709" s="6"/>
      <c r="AL3709" s="6"/>
      <c r="AM3709" s="6"/>
    </row>
    <row r="3710">
      <c r="A3710" s="6"/>
      <c r="B3710" s="6"/>
      <c r="C3710" s="6"/>
      <c r="D3710" s="6"/>
      <c r="E3710" s="6"/>
      <c r="F3710" s="6"/>
      <c r="G3710" s="6"/>
      <c r="H3710" s="6"/>
      <c r="I3710" s="6"/>
      <c r="J3710" s="6"/>
      <c r="K3710" s="6"/>
      <c r="L3710" s="6"/>
      <c r="M3710" s="6"/>
      <c r="N3710" s="6"/>
      <c r="O3710" s="6"/>
      <c r="P3710" s="6"/>
      <c r="Q3710" s="6"/>
      <c r="R3710" s="6"/>
      <c r="S3710" s="6"/>
      <c r="T3710" s="6"/>
      <c r="U3710" s="6"/>
      <c r="V3710" s="6"/>
      <c r="W3710" s="6"/>
      <c r="X3710" s="6"/>
      <c r="Y3710" s="6"/>
      <c r="Z3710" s="6"/>
      <c r="AA3710" s="6"/>
      <c r="AB3710" s="6"/>
      <c r="AC3710" s="6"/>
      <c r="AD3710" s="6"/>
      <c r="AE3710" s="6"/>
      <c r="AF3710" s="6"/>
      <c r="AG3710" s="6"/>
      <c r="AH3710" s="6"/>
      <c r="AI3710" s="6"/>
      <c r="AJ3710" s="6"/>
      <c r="AK3710" s="6"/>
      <c r="AL3710" s="6"/>
      <c r="AM3710" s="6"/>
    </row>
    <row r="3711">
      <c r="A3711" s="6"/>
      <c r="B3711" s="6"/>
      <c r="C3711" s="6"/>
      <c r="D3711" s="6"/>
      <c r="E3711" s="6"/>
      <c r="F3711" s="6"/>
      <c r="G3711" s="6"/>
      <c r="H3711" s="6"/>
      <c r="I3711" s="6"/>
      <c r="J3711" s="6"/>
      <c r="K3711" s="6"/>
      <c r="L3711" s="6"/>
      <c r="M3711" s="6"/>
      <c r="N3711" s="6"/>
      <c r="O3711" s="6"/>
      <c r="P3711" s="6"/>
      <c r="Q3711" s="6"/>
      <c r="R3711" s="6"/>
      <c r="S3711" s="6"/>
      <c r="T3711" s="6"/>
      <c r="U3711" s="6"/>
      <c r="V3711" s="6"/>
      <c r="W3711" s="6"/>
      <c r="X3711" s="6"/>
      <c r="Y3711" s="6"/>
      <c r="Z3711" s="6"/>
      <c r="AA3711" s="6"/>
      <c r="AB3711" s="6"/>
      <c r="AC3711" s="6"/>
      <c r="AD3711" s="6"/>
      <c r="AE3711" s="6"/>
      <c r="AF3711" s="6"/>
      <c r="AG3711" s="6"/>
      <c r="AH3711" s="6"/>
      <c r="AI3711" s="6"/>
      <c r="AJ3711" s="6"/>
      <c r="AK3711" s="6"/>
      <c r="AL3711" s="6"/>
      <c r="AM3711" s="6"/>
    </row>
    <row r="3712">
      <c r="A3712" s="6"/>
      <c r="B3712" s="6"/>
      <c r="C3712" s="6"/>
      <c r="D3712" s="6"/>
      <c r="E3712" s="6"/>
      <c r="F3712" s="6"/>
      <c r="G3712" s="6"/>
      <c r="H3712" s="6"/>
      <c r="I3712" s="6"/>
      <c r="J3712" s="6"/>
      <c r="K3712" s="6"/>
      <c r="L3712" s="6"/>
      <c r="M3712" s="6"/>
      <c r="N3712" s="6"/>
      <c r="O3712" s="6"/>
      <c r="P3712" s="6"/>
      <c r="Q3712" s="6"/>
      <c r="R3712" s="6"/>
      <c r="S3712" s="6"/>
      <c r="T3712" s="6"/>
      <c r="U3712" s="6"/>
      <c r="V3712" s="6"/>
      <c r="W3712" s="6"/>
      <c r="X3712" s="6"/>
      <c r="Y3712" s="6"/>
      <c r="Z3712" s="6"/>
      <c r="AA3712" s="6"/>
      <c r="AB3712" s="6"/>
      <c r="AC3712" s="6"/>
      <c r="AD3712" s="6"/>
      <c r="AE3712" s="6"/>
      <c r="AF3712" s="6"/>
      <c r="AG3712" s="6"/>
      <c r="AH3712" s="6"/>
      <c r="AI3712" s="6"/>
      <c r="AJ3712" s="6"/>
      <c r="AK3712" s="6"/>
      <c r="AL3712" s="6"/>
      <c r="AM3712" s="6"/>
    </row>
    <row r="3713">
      <c r="A3713" s="6"/>
      <c r="B3713" s="6"/>
      <c r="C3713" s="6"/>
      <c r="D3713" s="6"/>
      <c r="E3713" s="6"/>
      <c r="F3713" s="6"/>
      <c r="G3713" s="6"/>
      <c r="H3713" s="6"/>
      <c r="I3713" s="6"/>
      <c r="J3713" s="6"/>
      <c r="K3713" s="6"/>
      <c r="L3713" s="6"/>
      <c r="M3713" s="6"/>
      <c r="N3713" s="6"/>
      <c r="O3713" s="6"/>
      <c r="P3713" s="6"/>
      <c r="Q3713" s="6"/>
      <c r="R3713" s="6"/>
      <c r="S3713" s="6"/>
      <c r="T3713" s="6"/>
      <c r="U3713" s="6"/>
      <c r="V3713" s="6"/>
      <c r="W3713" s="6"/>
      <c r="X3713" s="6"/>
      <c r="Y3713" s="6"/>
      <c r="Z3713" s="6"/>
      <c r="AA3713" s="6"/>
      <c r="AB3713" s="6"/>
      <c r="AC3713" s="6"/>
      <c r="AD3713" s="6"/>
      <c r="AE3713" s="6"/>
      <c r="AF3713" s="6"/>
      <c r="AG3713" s="6"/>
      <c r="AH3713" s="6"/>
      <c r="AI3713" s="6"/>
      <c r="AJ3713" s="6"/>
      <c r="AK3713" s="6"/>
      <c r="AL3713" s="6"/>
      <c r="AM3713" s="6"/>
    </row>
    <row r="3714">
      <c r="A3714" s="6"/>
      <c r="B3714" s="6"/>
      <c r="C3714" s="6"/>
      <c r="D3714" s="6"/>
      <c r="E3714" s="6"/>
      <c r="F3714" s="6"/>
      <c r="G3714" s="6"/>
      <c r="H3714" s="6"/>
      <c r="I3714" s="6"/>
      <c r="J3714" s="6"/>
      <c r="K3714" s="6"/>
      <c r="L3714" s="6"/>
      <c r="M3714" s="6"/>
      <c r="N3714" s="6"/>
      <c r="O3714" s="6"/>
      <c r="P3714" s="6"/>
      <c r="Q3714" s="6"/>
      <c r="R3714" s="6"/>
      <c r="S3714" s="6"/>
      <c r="T3714" s="6"/>
      <c r="U3714" s="6"/>
      <c r="V3714" s="6"/>
      <c r="W3714" s="6"/>
      <c r="X3714" s="6"/>
      <c r="Y3714" s="6"/>
      <c r="Z3714" s="6"/>
      <c r="AA3714" s="6"/>
      <c r="AB3714" s="6"/>
      <c r="AC3714" s="6"/>
      <c r="AD3714" s="6"/>
      <c r="AE3714" s="6"/>
      <c r="AF3714" s="6"/>
      <c r="AG3714" s="6"/>
      <c r="AH3714" s="6"/>
      <c r="AI3714" s="6"/>
      <c r="AJ3714" s="6"/>
      <c r="AK3714" s="6"/>
      <c r="AL3714" s="6"/>
      <c r="AM3714" s="6"/>
    </row>
    <row r="3715">
      <c r="A3715" s="6"/>
      <c r="B3715" s="6"/>
      <c r="C3715" s="6"/>
      <c r="D3715" s="6"/>
      <c r="E3715" s="6"/>
      <c r="F3715" s="6"/>
      <c r="G3715" s="6"/>
      <c r="H3715" s="6"/>
      <c r="I3715" s="6"/>
      <c r="J3715" s="6"/>
      <c r="K3715" s="6"/>
      <c r="L3715" s="6"/>
      <c r="M3715" s="6"/>
      <c r="N3715" s="6"/>
      <c r="O3715" s="6"/>
      <c r="P3715" s="6"/>
      <c r="Q3715" s="6"/>
      <c r="R3715" s="6"/>
      <c r="S3715" s="6"/>
      <c r="T3715" s="6"/>
      <c r="U3715" s="6"/>
      <c r="V3715" s="6"/>
      <c r="W3715" s="6"/>
      <c r="X3715" s="6"/>
      <c r="Y3715" s="6"/>
      <c r="Z3715" s="6"/>
      <c r="AA3715" s="6"/>
      <c r="AB3715" s="6"/>
      <c r="AC3715" s="6"/>
      <c r="AD3715" s="6"/>
      <c r="AE3715" s="6"/>
      <c r="AF3715" s="6"/>
      <c r="AG3715" s="6"/>
      <c r="AH3715" s="6"/>
      <c r="AI3715" s="6"/>
      <c r="AJ3715" s="6"/>
      <c r="AK3715" s="6"/>
      <c r="AL3715" s="6"/>
      <c r="AM3715" s="6"/>
    </row>
    <row r="3716">
      <c r="A3716" s="6"/>
      <c r="B3716" s="6"/>
      <c r="C3716" s="6"/>
      <c r="D3716" s="6"/>
      <c r="E3716" s="6"/>
      <c r="F3716" s="6"/>
      <c r="G3716" s="6"/>
      <c r="H3716" s="6"/>
      <c r="I3716" s="6"/>
      <c r="J3716" s="6"/>
      <c r="K3716" s="6"/>
      <c r="L3716" s="6"/>
      <c r="M3716" s="6"/>
      <c r="N3716" s="6"/>
      <c r="O3716" s="6"/>
      <c r="P3716" s="6"/>
      <c r="Q3716" s="6"/>
      <c r="R3716" s="6"/>
      <c r="S3716" s="6"/>
      <c r="T3716" s="6"/>
      <c r="U3716" s="6"/>
      <c r="V3716" s="6"/>
      <c r="W3716" s="6"/>
      <c r="X3716" s="6"/>
      <c r="Y3716" s="6"/>
      <c r="Z3716" s="6"/>
      <c r="AA3716" s="6"/>
      <c r="AB3716" s="6"/>
      <c r="AC3716" s="6"/>
      <c r="AD3716" s="6"/>
      <c r="AE3716" s="6"/>
      <c r="AF3716" s="6"/>
      <c r="AG3716" s="6"/>
      <c r="AH3716" s="6"/>
      <c r="AI3716" s="6"/>
      <c r="AJ3716" s="6"/>
      <c r="AK3716" s="6"/>
      <c r="AL3716" s="6"/>
      <c r="AM3716" s="6"/>
    </row>
    <row r="3717">
      <c r="A3717" s="6"/>
      <c r="B3717" s="6"/>
      <c r="C3717" s="6"/>
      <c r="D3717" s="6"/>
      <c r="E3717" s="6"/>
      <c r="F3717" s="6"/>
      <c r="G3717" s="6"/>
      <c r="H3717" s="6"/>
      <c r="I3717" s="6"/>
      <c r="J3717" s="6"/>
      <c r="K3717" s="6"/>
      <c r="L3717" s="6"/>
      <c r="M3717" s="6"/>
      <c r="N3717" s="6"/>
      <c r="O3717" s="6"/>
      <c r="P3717" s="6"/>
      <c r="Q3717" s="6"/>
      <c r="R3717" s="6"/>
      <c r="S3717" s="6"/>
      <c r="T3717" s="6"/>
      <c r="U3717" s="6"/>
      <c r="V3717" s="6"/>
      <c r="W3717" s="6"/>
      <c r="X3717" s="6"/>
      <c r="Y3717" s="6"/>
      <c r="Z3717" s="6"/>
      <c r="AA3717" s="6"/>
      <c r="AB3717" s="6"/>
      <c r="AC3717" s="6"/>
      <c r="AD3717" s="6"/>
      <c r="AE3717" s="6"/>
      <c r="AF3717" s="6"/>
      <c r="AG3717" s="6"/>
      <c r="AH3717" s="6"/>
      <c r="AI3717" s="6"/>
      <c r="AJ3717" s="6"/>
      <c r="AK3717" s="6"/>
      <c r="AL3717" s="6"/>
      <c r="AM3717" s="6"/>
    </row>
    <row r="3718">
      <c r="A3718" s="6"/>
      <c r="B3718" s="6"/>
      <c r="C3718" s="6"/>
      <c r="D3718" s="6"/>
      <c r="E3718" s="6"/>
      <c r="F3718" s="6"/>
      <c r="G3718" s="6"/>
      <c r="H3718" s="6"/>
      <c r="I3718" s="6"/>
      <c r="J3718" s="6"/>
      <c r="K3718" s="6"/>
      <c r="L3718" s="6"/>
      <c r="M3718" s="6"/>
      <c r="N3718" s="6"/>
      <c r="O3718" s="6"/>
      <c r="P3718" s="6"/>
      <c r="Q3718" s="6"/>
      <c r="R3718" s="6"/>
      <c r="S3718" s="6"/>
      <c r="T3718" s="6"/>
      <c r="U3718" s="6"/>
      <c r="V3718" s="6"/>
      <c r="W3718" s="6"/>
      <c r="X3718" s="6"/>
      <c r="Y3718" s="6"/>
      <c r="Z3718" s="6"/>
      <c r="AA3718" s="6"/>
      <c r="AB3718" s="6"/>
      <c r="AC3718" s="6"/>
      <c r="AD3718" s="6"/>
      <c r="AE3718" s="6"/>
      <c r="AF3718" s="6"/>
      <c r="AG3718" s="6"/>
      <c r="AH3718" s="6"/>
      <c r="AI3718" s="6"/>
      <c r="AJ3718" s="6"/>
      <c r="AK3718" s="6"/>
      <c r="AL3718" s="6"/>
      <c r="AM3718" s="6"/>
    </row>
    <row r="3719">
      <c r="A3719" s="6"/>
      <c r="B3719" s="6"/>
      <c r="C3719" s="6"/>
      <c r="D3719" s="6"/>
      <c r="E3719" s="6"/>
      <c r="F3719" s="6"/>
      <c r="G3719" s="6"/>
      <c r="H3719" s="6"/>
      <c r="I3719" s="6"/>
      <c r="J3719" s="6"/>
      <c r="K3719" s="6"/>
      <c r="L3719" s="6"/>
      <c r="M3719" s="6"/>
      <c r="N3719" s="6"/>
      <c r="O3719" s="6"/>
      <c r="P3719" s="6"/>
      <c r="Q3719" s="6"/>
      <c r="R3719" s="6"/>
      <c r="S3719" s="6"/>
      <c r="T3719" s="6"/>
      <c r="U3719" s="6"/>
      <c r="V3719" s="6"/>
      <c r="W3719" s="6"/>
      <c r="X3719" s="6"/>
      <c r="Y3719" s="6"/>
      <c r="Z3719" s="6"/>
      <c r="AA3719" s="6"/>
      <c r="AB3719" s="6"/>
      <c r="AC3719" s="6"/>
      <c r="AD3719" s="6"/>
      <c r="AE3719" s="6"/>
      <c r="AF3719" s="6"/>
      <c r="AG3719" s="6"/>
      <c r="AH3719" s="6"/>
      <c r="AI3719" s="6"/>
      <c r="AJ3719" s="6"/>
      <c r="AK3719" s="6"/>
      <c r="AL3719" s="6"/>
      <c r="AM3719" s="6"/>
    </row>
    <row r="3720">
      <c r="A3720" s="6"/>
      <c r="B3720" s="6"/>
      <c r="C3720" s="6"/>
      <c r="D3720" s="6"/>
      <c r="E3720" s="6"/>
      <c r="F3720" s="6"/>
      <c r="G3720" s="6"/>
      <c r="H3720" s="6"/>
      <c r="I3720" s="6"/>
      <c r="J3720" s="6"/>
      <c r="K3720" s="6"/>
      <c r="L3720" s="6"/>
      <c r="M3720" s="6"/>
      <c r="N3720" s="6"/>
      <c r="O3720" s="6"/>
      <c r="P3720" s="6"/>
      <c r="Q3720" s="6"/>
      <c r="R3720" s="6"/>
      <c r="S3720" s="6"/>
      <c r="T3720" s="6"/>
      <c r="U3720" s="6"/>
      <c r="V3720" s="6"/>
      <c r="W3720" s="6"/>
      <c r="X3720" s="6"/>
      <c r="Y3720" s="6"/>
      <c r="Z3720" s="6"/>
      <c r="AA3720" s="6"/>
      <c r="AB3720" s="6"/>
      <c r="AC3720" s="6"/>
      <c r="AD3720" s="6"/>
      <c r="AE3720" s="6"/>
      <c r="AF3720" s="6"/>
      <c r="AG3720" s="6"/>
      <c r="AH3720" s="6"/>
      <c r="AI3720" s="6"/>
      <c r="AJ3720" s="6"/>
      <c r="AK3720" s="6"/>
      <c r="AL3720" s="6"/>
      <c r="AM3720" s="6"/>
    </row>
    <row r="3721">
      <c r="A3721" s="6"/>
      <c r="B3721" s="6"/>
      <c r="C3721" s="6"/>
      <c r="D3721" s="6"/>
      <c r="E3721" s="6"/>
      <c r="F3721" s="6"/>
      <c r="G3721" s="6"/>
      <c r="H3721" s="6"/>
      <c r="I3721" s="6"/>
      <c r="J3721" s="6"/>
      <c r="K3721" s="6"/>
      <c r="L3721" s="6"/>
      <c r="M3721" s="6"/>
      <c r="N3721" s="6"/>
      <c r="O3721" s="6"/>
      <c r="P3721" s="6"/>
      <c r="Q3721" s="6"/>
      <c r="R3721" s="6"/>
      <c r="S3721" s="6"/>
      <c r="T3721" s="6"/>
      <c r="U3721" s="6"/>
      <c r="V3721" s="6"/>
      <c r="W3721" s="6"/>
      <c r="X3721" s="6"/>
      <c r="Y3721" s="6"/>
      <c r="Z3721" s="6"/>
      <c r="AA3721" s="6"/>
      <c r="AB3721" s="6"/>
      <c r="AC3721" s="6"/>
      <c r="AD3721" s="6"/>
      <c r="AE3721" s="6"/>
      <c r="AF3721" s="6"/>
      <c r="AG3721" s="6"/>
      <c r="AH3721" s="6"/>
      <c r="AI3721" s="6"/>
      <c r="AJ3721" s="6"/>
      <c r="AK3721" s="6"/>
      <c r="AL3721" s="6"/>
      <c r="AM3721" s="6"/>
    </row>
    <row r="3722">
      <c r="A3722" s="6"/>
      <c r="B3722" s="6"/>
      <c r="C3722" s="6"/>
      <c r="D3722" s="6"/>
      <c r="E3722" s="6"/>
      <c r="F3722" s="6"/>
      <c r="G3722" s="6"/>
      <c r="H3722" s="6"/>
      <c r="I3722" s="6"/>
      <c r="J3722" s="6"/>
      <c r="K3722" s="6"/>
      <c r="L3722" s="6"/>
      <c r="M3722" s="6"/>
      <c r="N3722" s="6"/>
      <c r="O3722" s="6"/>
      <c r="P3722" s="6"/>
      <c r="Q3722" s="6"/>
      <c r="R3722" s="6"/>
      <c r="S3722" s="6"/>
      <c r="T3722" s="6"/>
      <c r="U3722" s="6"/>
      <c r="V3722" s="6"/>
      <c r="W3722" s="6"/>
      <c r="X3722" s="6"/>
      <c r="Y3722" s="6"/>
      <c r="Z3722" s="6"/>
      <c r="AA3722" s="6"/>
      <c r="AB3722" s="6"/>
      <c r="AC3722" s="6"/>
      <c r="AD3722" s="6"/>
      <c r="AE3722" s="6"/>
      <c r="AF3722" s="6"/>
      <c r="AG3722" s="6"/>
      <c r="AH3722" s="6"/>
      <c r="AI3722" s="6"/>
      <c r="AJ3722" s="6"/>
      <c r="AK3722" s="6"/>
      <c r="AL3722" s="6"/>
      <c r="AM3722" s="6"/>
    </row>
    <row r="3723">
      <c r="A3723" s="6"/>
      <c r="B3723" s="6"/>
      <c r="C3723" s="6"/>
      <c r="D3723" s="6"/>
      <c r="E3723" s="6"/>
      <c r="F3723" s="6"/>
      <c r="G3723" s="6"/>
      <c r="H3723" s="6"/>
      <c r="I3723" s="6"/>
      <c r="J3723" s="6"/>
      <c r="K3723" s="6"/>
      <c r="L3723" s="6"/>
      <c r="M3723" s="6"/>
      <c r="N3723" s="6"/>
      <c r="O3723" s="6"/>
      <c r="P3723" s="6"/>
      <c r="Q3723" s="6"/>
      <c r="R3723" s="6"/>
      <c r="S3723" s="6"/>
      <c r="T3723" s="6"/>
      <c r="U3723" s="6"/>
      <c r="V3723" s="6"/>
      <c r="W3723" s="6"/>
      <c r="X3723" s="6"/>
      <c r="Y3723" s="6"/>
      <c r="Z3723" s="6"/>
      <c r="AA3723" s="6"/>
      <c r="AB3723" s="6"/>
      <c r="AC3723" s="6"/>
      <c r="AD3723" s="6"/>
      <c r="AE3723" s="6"/>
      <c r="AF3723" s="6"/>
      <c r="AG3723" s="6"/>
      <c r="AH3723" s="6"/>
      <c r="AI3723" s="6"/>
      <c r="AJ3723" s="6"/>
      <c r="AK3723" s="6"/>
      <c r="AL3723" s="6"/>
      <c r="AM3723" s="6"/>
    </row>
    <row r="3724">
      <c r="A3724" s="6"/>
      <c r="B3724" s="6"/>
      <c r="C3724" s="6"/>
      <c r="D3724" s="6"/>
      <c r="E3724" s="6"/>
      <c r="F3724" s="6"/>
      <c r="G3724" s="6"/>
      <c r="H3724" s="6"/>
      <c r="I3724" s="6"/>
      <c r="J3724" s="6"/>
      <c r="K3724" s="6"/>
      <c r="L3724" s="6"/>
      <c r="M3724" s="6"/>
      <c r="N3724" s="6"/>
      <c r="O3724" s="6"/>
      <c r="P3724" s="6"/>
      <c r="Q3724" s="6"/>
      <c r="R3724" s="6"/>
      <c r="S3724" s="6"/>
      <c r="T3724" s="6"/>
      <c r="U3724" s="6"/>
      <c r="V3724" s="6"/>
      <c r="W3724" s="6"/>
      <c r="X3724" s="6"/>
      <c r="Y3724" s="6"/>
      <c r="Z3724" s="6"/>
      <c r="AA3724" s="6"/>
      <c r="AB3724" s="6"/>
      <c r="AC3724" s="6"/>
      <c r="AD3724" s="6"/>
      <c r="AE3724" s="6"/>
      <c r="AF3724" s="6"/>
      <c r="AG3724" s="6"/>
      <c r="AH3724" s="6"/>
      <c r="AI3724" s="6"/>
      <c r="AJ3724" s="6"/>
      <c r="AK3724" s="6"/>
      <c r="AL3724" s="6"/>
      <c r="AM3724" s="6"/>
    </row>
    <row r="3725">
      <c r="A3725" s="6"/>
      <c r="B3725" s="6"/>
      <c r="C3725" s="6"/>
      <c r="D3725" s="6"/>
      <c r="E3725" s="6"/>
      <c r="F3725" s="6"/>
      <c r="G3725" s="6"/>
      <c r="H3725" s="6"/>
      <c r="I3725" s="6"/>
      <c r="J3725" s="6"/>
      <c r="K3725" s="6"/>
      <c r="L3725" s="6"/>
      <c r="M3725" s="6"/>
      <c r="N3725" s="6"/>
      <c r="O3725" s="6"/>
      <c r="P3725" s="6"/>
      <c r="Q3725" s="6"/>
      <c r="R3725" s="6"/>
      <c r="S3725" s="6"/>
      <c r="T3725" s="6"/>
      <c r="U3725" s="6"/>
      <c r="V3725" s="6"/>
      <c r="W3725" s="6"/>
      <c r="X3725" s="6"/>
      <c r="Y3725" s="6"/>
      <c r="Z3725" s="6"/>
      <c r="AA3725" s="6"/>
      <c r="AB3725" s="6"/>
      <c r="AC3725" s="6"/>
      <c r="AD3725" s="6"/>
      <c r="AE3725" s="6"/>
      <c r="AF3725" s="6"/>
      <c r="AG3725" s="6"/>
      <c r="AH3725" s="6"/>
      <c r="AI3725" s="6"/>
      <c r="AJ3725" s="6"/>
      <c r="AK3725" s="6"/>
      <c r="AL3725" s="6"/>
      <c r="AM3725" s="6"/>
    </row>
    <row r="3726">
      <c r="A3726" s="6"/>
      <c r="B3726" s="6"/>
      <c r="C3726" s="6"/>
      <c r="D3726" s="6"/>
      <c r="E3726" s="6"/>
      <c r="F3726" s="6"/>
      <c r="G3726" s="6"/>
      <c r="H3726" s="6"/>
      <c r="I3726" s="6"/>
      <c r="J3726" s="6"/>
      <c r="K3726" s="6"/>
      <c r="L3726" s="6"/>
      <c r="M3726" s="6"/>
      <c r="N3726" s="6"/>
      <c r="O3726" s="6"/>
      <c r="P3726" s="6"/>
      <c r="Q3726" s="6"/>
      <c r="R3726" s="6"/>
      <c r="S3726" s="6"/>
      <c r="T3726" s="6"/>
      <c r="U3726" s="6"/>
      <c r="V3726" s="6"/>
      <c r="W3726" s="6"/>
      <c r="X3726" s="6"/>
      <c r="Y3726" s="6"/>
      <c r="Z3726" s="6"/>
      <c r="AA3726" s="6"/>
      <c r="AB3726" s="6"/>
      <c r="AC3726" s="6"/>
      <c r="AD3726" s="6"/>
      <c r="AE3726" s="6"/>
      <c r="AF3726" s="6"/>
      <c r="AG3726" s="6"/>
      <c r="AH3726" s="6"/>
      <c r="AI3726" s="6"/>
      <c r="AJ3726" s="6"/>
      <c r="AK3726" s="6"/>
      <c r="AL3726" s="6"/>
      <c r="AM3726" s="6"/>
    </row>
    <row r="3727">
      <c r="A3727" s="6"/>
      <c r="B3727" s="6"/>
      <c r="C3727" s="6"/>
      <c r="D3727" s="6"/>
      <c r="E3727" s="6"/>
      <c r="F3727" s="6"/>
      <c r="G3727" s="6"/>
      <c r="H3727" s="6"/>
      <c r="I3727" s="6"/>
      <c r="J3727" s="6"/>
      <c r="K3727" s="6"/>
      <c r="L3727" s="6"/>
      <c r="M3727" s="6"/>
      <c r="N3727" s="6"/>
      <c r="O3727" s="6"/>
      <c r="P3727" s="6"/>
      <c r="Q3727" s="6"/>
      <c r="R3727" s="6"/>
      <c r="S3727" s="6"/>
      <c r="T3727" s="6"/>
      <c r="U3727" s="6"/>
      <c r="V3727" s="6"/>
      <c r="W3727" s="6"/>
      <c r="X3727" s="6"/>
      <c r="Y3727" s="6"/>
      <c r="Z3727" s="6"/>
      <c r="AA3727" s="6"/>
      <c r="AB3727" s="6"/>
      <c r="AC3727" s="6"/>
      <c r="AD3727" s="6"/>
      <c r="AE3727" s="6"/>
      <c r="AF3727" s="6"/>
      <c r="AG3727" s="6"/>
      <c r="AH3727" s="6"/>
      <c r="AI3727" s="6"/>
      <c r="AJ3727" s="6"/>
      <c r="AK3727" s="6"/>
      <c r="AL3727" s="6"/>
      <c r="AM3727" s="6"/>
    </row>
    <row r="3728">
      <c r="A3728" s="6"/>
      <c r="B3728" s="6"/>
      <c r="C3728" s="6"/>
      <c r="D3728" s="6"/>
      <c r="E3728" s="6"/>
      <c r="F3728" s="6"/>
      <c r="G3728" s="6"/>
      <c r="H3728" s="6"/>
      <c r="I3728" s="6"/>
      <c r="J3728" s="6"/>
      <c r="K3728" s="6"/>
      <c r="L3728" s="6"/>
      <c r="M3728" s="6"/>
      <c r="N3728" s="6"/>
      <c r="O3728" s="6"/>
      <c r="P3728" s="6"/>
      <c r="Q3728" s="6"/>
      <c r="R3728" s="6"/>
      <c r="S3728" s="6"/>
      <c r="T3728" s="6"/>
      <c r="U3728" s="6"/>
      <c r="V3728" s="6"/>
      <c r="W3728" s="6"/>
      <c r="X3728" s="6"/>
      <c r="Y3728" s="6"/>
      <c r="Z3728" s="6"/>
      <c r="AA3728" s="6"/>
      <c r="AB3728" s="6"/>
      <c r="AC3728" s="6"/>
      <c r="AD3728" s="6"/>
      <c r="AE3728" s="6"/>
      <c r="AF3728" s="6"/>
      <c r="AG3728" s="6"/>
      <c r="AH3728" s="6"/>
      <c r="AI3728" s="6"/>
      <c r="AJ3728" s="6"/>
      <c r="AK3728" s="6"/>
      <c r="AL3728" s="6"/>
      <c r="AM3728" s="6"/>
    </row>
    <row r="3729">
      <c r="A3729" s="6"/>
      <c r="B3729" s="6"/>
      <c r="C3729" s="6"/>
      <c r="D3729" s="6"/>
      <c r="E3729" s="6"/>
      <c r="F3729" s="6"/>
      <c r="G3729" s="6"/>
      <c r="H3729" s="6"/>
      <c r="I3729" s="6"/>
      <c r="J3729" s="6"/>
      <c r="K3729" s="6"/>
      <c r="L3729" s="6"/>
      <c r="M3729" s="6"/>
      <c r="N3729" s="6"/>
      <c r="O3729" s="6"/>
      <c r="P3729" s="6"/>
      <c r="Q3729" s="6"/>
      <c r="R3729" s="6"/>
      <c r="S3729" s="6"/>
      <c r="T3729" s="6"/>
      <c r="U3729" s="6"/>
      <c r="V3729" s="6"/>
      <c r="W3729" s="6"/>
      <c r="X3729" s="6"/>
      <c r="Y3729" s="6"/>
      <c r="Z3729" s="6"/>
      <c r="AA3729" s="6"/>
      <c r="AB3729" s="6"/>
      <c r="AC3729" s="6"/>
      <c r="AD3729" s="6"/>
      <c r="AE3729" s="6"/>
      <c r="AF3729" s="6"/>
      <c r="AG3729" s="6"/>
      <c r="AH3729" s="6"/>
      <c r="AI3729" s="6"/>
      <c r="AJ3729" s="6"/>
      <c r="AK3729" s="6"/>
      <c r="AL3729" s="6"/>
      <c r="AM3729" s="6"/>
    </row>
    <row r="3730">
      <c r="A3730" s="6"/>
      <c r="B3730" s="6"/>
      <c r="C3730" s="6"/>
      <c r="D3730" s="6"/>
      <c r="E3730" s="6"/>
      <c r="F3730" s="6"/>
      <c r="G3730" s="6"/>
      <c r="H3730" s="6"/>
      <c r="I3730" s="6"/>
      <c r="J3730" s="6"/>
      <c r="K3730" s="6"/>
      <c r="L3730" s="6"/>
      <c r="M3730" s="6"/>
      <c r="N3730" s="6"/>
      <c r="O3730" s="6"/>
      <c r="P3730" s="6"/>
      <c r="Q3730" s="6"/>
      <c r="R3730" s="6"/>
      <c r="S3730" s="6"/>
      <c r="T3730" s="6"/>
      <c r="U3730" s="6"/>
      <c r="V3730" s="6"/>
      <c r="W3730" s="6"/>
      <c r="X3730" s="6"/>
      <c r="Y3730" s="6"/>
      <c r="Z3730" s="6"/>
      <c r="AA3730" s="6"/>
      <c r="AB3730" s="6"/>
      <c r="AC3730" s="6"/>
      <c r="AD3730" s="6"/>
      <c r="AE3730" s="6"/>
      <c r="AF3730" s="6"/>
      <c r="AG3730" s="6"/>
      <c r="AH3730" s="6"/>
      <c r="AI3730" s="6"/>
      <c r="AJ3730" s="6"/>
      <c r="AK3730" s="6"/>
      <c r="AL3730" s="6"/>
      <c r="AM3730" s="6"/>
    </row>
    <row r="3731">
      <c r="A3731" s="6"/>
      <c r="B3731" s="6"/>
      <c r="C3731" s="6"/>
      <c r="D3731" s="6"/>
      <c r="E3731" s="6"/>
      <c r="F3731" s="6"/>
      <c r="G3731" s="6"/>
      <c r="H3731" s="6"/>
      <c r="I3731" s="6"/>
      <c r="J3731" s="6"/>
      <c r="K3731" s="6"/>
      <c r="L3731" s="6"/>
      <c r="M3731" s="6"/>
      <c r="N3731" s="6"/>
      <c r="O3731" s="6"/>
      <c r="P3731" s="6"/>
      <c r="Q3731" s="6"/>
      <c r="R3731" s="6"/>
      <c r="S3731" s="6"/>
      <c r="T3731" s="6"/>
      <c r="U3731" s="6"/>
      <c r="V3731" s="6"/>
      <c r="W3731" s="6"/>
      <c r="X3731" s="6"/>
      <c r="Y3731" s="6"/>
      <c r="Z3731" s="6"/>
      <c r="AA3731" s="6"/>
      <c r="AB3731" s="6"/>
      <c r="AC3731" s="6"/>
      <c r="AD3731" s="6"/>
      <c r="AE3731" s="6"/>
      <c r="AF3731" s="6"/>
      <c r="AG3731" s="6"/>
      <c r="AH3731" s="6"/>
      <c r="AI3731" s="6"/>
      <c r="AJ3731" s="6"/>
      <c r="AK3731" s="6"/>
      <c r="AL3731" s="6"/>
      <c r="AM3731" s="6"/>
    </row>
    <row r="3732">
      <c r="A3732" s="6"/>
      <c r="B3732" s="6"/>
      <c r="C3732" s="6"/>
      <c r="D3732" s="6"/>
      <c r="E3732" s="6"/>
      <c r="F3732" s="6"/>
      <c r="G3732" s="6"/>
      <c r="H3732" s="6"/>
      <c r="I3732" s="6"/>
      <c r="J3732" s="6"/>
      <c r="K3732" s="6"/>
      <c r="L3732" s="6"/>
      <c r="M3732" s="6"/>
      <c r="N3732" s="6"/>
      <c r="O3732" s="6"/>
      <c r="P3732" s="6"/>
      <c r="Q3732" s="6"/>
      <c r="R3732" s="6"/>
      <c r="S3732" s="6"/>
      <c r="T3732" s="6"/>
      <c r="U3732" s="6"/>
      <c r="V3732" s="6"/>
      <c r="W3732" s="6"/>
      <c r="X3732" s="6"/>
      <c r="Y3732" s="6"/>
      <c r="Z3732" s="6"/>
      <c r="AA3732" s="6"/>
      <c r="AB3732" s="6"/>
      <c r="AC3732" s="6"/>
      <c r="AD3732" s="6"/>
      <c r="AE3732" s="6"/>
      <c r="AF3732" s="6"/>
      <c r="AG3732" s="6"/>
      <c r="AH3732" s="6"/>
      <c r="AI3732" s="6"/>
      <c r="AJ3732" s="6"/>
      <c r="AK3732" s="6"/>
      <c r="AL3732" s="6"/>
      <c r="AM3732" s="6"/>
    </row>
    <row r="3733">
      <c r="A3733" s="6"/>
      <c r="B3733" s="6"/>
      <c r="C3733" s="6"/>
      <c r="D3733" s="6"/>
      <c r="E3733" s="6"/>
      <c r="F3733" s="6"/>
      <c r="G3733" s="6"/>
      <c r="H3733" s="6"/>
      <c r="I3733" s="6"/>
      <c r="J3733" s="6"/>
      <c r="K3733" s="6"/>
      <c r="L3733" s="6"/>
      <c r="M3733" s="6"/>
      <c r="N3733" s="6"/>
      <c r="O3733" s="6"/>
      <c r="P3733" s="6"/>
      <c r="Q3733" s="6"/>
      <c r="R3733" s="6"/>
      <c r="S3733" s="6"/>
      <c r="T3733" s="6"/>
      <c r="U3733" s="6"/>
      <c r="V3733" s="6"/>
      <c r="W3733" s="6"/>
      <c r="X3733" s="6"/>
      <c r="Y3733" s="6"/>
      <c r="Z3733" s="6"/>
      <c r="AA3733" s="6"/>
      <c r="AB3733" s="6"/>
      <c r="AC3733" s="6"/>
      <c r="AD3733" s="6"/>
      <c r="AE3733" s="6"/>
      <c r="AF3733" s="6"/>
      <c r="AG3733" s="6"/>
      <c r="AH3733" s="6"/>
      <c r="AI3733" s="6"/>
      <c r="AJ3733" s="6"/>
      <c r="AK3733" s="6"/>
      <c r="AL3733" s="6"/>
      <c r="AM3733" s="6"/>
    </row>
    <row r="3734">
      <c r="A3734" s="6"/>
      <c r="B3734" s="6"/>
      <c r="C3734" s="6"/>
      <c r="D3734" s="6"/>
      <c r="E3734" s="6"/>
      <c r="F3734" s="6"/>
      <c r="G3734" s="6"/>
      <c r="H3734" s="6"/>
      <c r="I3734" s="6"/>
      <c r="J3734" s="6"/>
      <c r="K3734" s="6"/>
      <c r="L3734" s="6"/>
      <c r="M3734" s="6"/>
      <c r="N3734" s="6"/>
      <c r="O3734" s="6"/>
      <c r="P3734" s="6"/>
      <c r="Q3734" s="6"/>
      <c r="R3734" s="6"/>
      <c r="S3734" s="6"/>
      <c r="T3734" s="6"/>
      <c r="U3734" s="6"/>
      <c r="V3734" s="6"/>
      <c r="W3734" s="6"/>
      <c r="X3734" s="6"/>
      <c r="Y3734" s="6"/>
      <c r="Z3734" s="6"/>
      <c r="AA3734" s="6"/>
      <c r="AB3734" s="6"/>
      <c r="AC3734" s="6"/>
      <c r="AD3734" s="6"/>
      <c r="AE3734" s="6"/>
      <c r="AF3734" s="6"/>
      <c r="AG3734" s="6"/>
      <c r="AH3734" s="6"/>
      <c r="AI3734" s="6"/>
      <c r="AJ3734" s="6"/>
      <c r="AK3734" s="6"/>
      <c r="AL3734" s="6"/>
      <c r="AM3734" s="6"/>
    </row>
    <row r="3735">
      <c r="A3735" s="6"/>
      <c r="B3735" s="6"/>
      <c r="C3735" s="6"/>
      <c r="D3735" s="6"/>
      <c r="E3735" s="6"/>
      <c r="F3735" s="6"/>
      <c r="G3735" s="6"/>
      <c r="H3735" s="6"/>
      <c r="I3735" s="6"/>
      <c r="J3735" s="6"/>
      <c r="K3735" s="6"/>
      <c r="L3735" s="6"/>
      <c r="M3735" s="6"/>
      <c r="N3735" s="6"/>
      <c r="O3735" s="6"/>
      <c r="P3735" s="6"/>
      <c r="Q3735" s="6"/>
      <c r="R3735" s="6"/>
      <c r="S3735" s="6"/>
      <c r="T3735" s="6"/>
      <c r="U3735" s="6"/>
      <c r="V3735" s="6"/>
      <c r="W3735" s="6"/>
      <c r="X3735" s="6"/>
      <c r="Y3735" s="6"/>
      <c r="Z3735" s="6"/>
      <c r="AA3735" s="6"/>
      <c r="AB3735" s="6"/>
      <c r="AC3735" s="6"/>
      <c r="AD3735" s="6"/>
      <c r="AE3735" s="6"/>
      <c r="AF3735" s="6"/>
      <c r="AG3735" s="6"/>
      <c r="AH3735" s="6"/>
      <c r="AI3735" s="6"/>
      <c r="AJ3735" s="6"/>
      <c r="AK3735" s="6"/>
      <c r="AL3735" s="6"/>
      <c r="AM3735" s="6"/>
    </row>
    <row r="3736">
      <c r="A3736" s="6"/>
      <c r="B3736" s="6"/>
      <c r="C3736" s="6"/>
      <c r="D3736" s="6"/>
      <c r="E3736" s="6"/>
      <c r="F3736" s="6"/>
      <c r="G3736" s="6"/>
      <c r="H3736" s="6"/>
      <c r="I3736" s="6"/>
      <c r="J3736" s="6"/>
      <c r="K3736" s="6"/>
      <c r="L3736" s="6"/>
      <c r="M3736" s="6"/>
      <c r="N3736" s="6"/>
      <c r="O3736" s="6"/>
      <c r="P3736" s="6"/>
      <c r="Q3736" s="6"/>
      <c r="R3736" s="6"/>
      <c r="S3736" s="6"/>
      <c r="T3736" s="6"/>
      <c r="U3736" s="6"/>
      <c r="V3736" s="6"/>
      <c r="W3736" s="6"/>
      <c r="X3736" s="6"/>
      <c r="Y3736" s="6"/>
      <c r="Z3736" s="6"/>
      <c r="AA3736" s="6"/>
      <c r="AB3736" s="6"/>
      <c r="AC3736" s="6"/>
      <c r="AD3736" s="6"/>
      <c r="AE3736" s="6"/>
      <c r="AF3736" s="6"/>
      <c r="AG3736" s="6"/>
      <c r="AH3736" s="6"/>
      <c r="AI3736" s="6"/>
      <c r="AJ3736" s="6"/>
      <c r="AK3736" s="6"/>
      <c r="AL3736" s="6"/>
      <c r="AM3736" s="6"/>
    </row>
    <row r="3737">
      <c r="A3737" s="6"/>
      <c r="B3737" s="6"/>
      <c r="C3737" s="6"/>
      <c r="D3737" s="6"/>
      <c r="E3737" s="6"/>
      <c r="F3737" s="6"/>
      <c r="G3737" s="6"/>
      <c r="H3737" s="6"/>
      <c r="I3737" s="6"/>
      <c r="J3737" s="6"/>
      <c r="K3737" s="6"/>
      <c r="L3737" s="6"/>
      <c r="M3737" s="6"/>
      <c r="N3737" s="6"/>
      <c r="O3737" s="6"/>
      <c r="P3737" s="6"/>
      <c r="Q3737" s="6"/>
      <c r="R3737" s="6"/>
      <c r="S3737" s="6"/>
      <c r="T3737" s="6"/>
      <c r="U3737" s="6"/>
      <c r="V3737" s="6"/>
      <c r="W3737" s="6"/>
      <c r="X3737" s="6"/>
      <c r="Y3737" s="6"/>
      <c r="Z3737" s="6"/>
      <c r="AA3737" s="6"/>
      <c r="AB3737" s="6"/>
      <c r="AC3737" s="6"/>
      <c r="AD3737" s="6"/>
      <c r="AE3737" s="6"/>
      <c r="AF3737" s="6"/>
      <c r="AG3737" s="6"/>
      <c r="AH3737" s="6"/>
      <c r="AI3737" s="6"/>
      <c r="AJ3737" s="6"/>
      <c r="AK3737" s="6"/>
      <c r="AL3737" s="6"/>
      <c r="AM3737" s="6"/>
    </row>
    <row r="3738">
      <c r="A3738" s="6"/>
      <c r="B3738" s="6"/>
      <c r="C3738" s="6"/>
      <c r="D3738" s="6"/>
      <c r="E3738" s="6"/>
      <c r="F3738" s="6"/>
      <c r="G3738" s="6"/>
      <c r="H3738" s="6"/>
      <c r="I3738" s="6"/>
      <c r="J3738" s="6"/>
      <c r="K3738" s="6"/>
      <c r="L3738" s="6"/>
      <c r="M3738" s="6"/>
      <c r="N3738" s="6"/>
      <c r="O3738" s="6"/>
      <c r="P3738" s="6"/>
      <c r="Q3738" s="6"/>
      <c r="R3738" s="6"/>
      <c r="S3738" s="6"/>
      <c r="T3738" s="6"/>
      <c r="U3738" s="6"/>
      <c r="V3738" s="6"/>
      <c r="W3738" s="6"/>
      <c r="X3738" s="6"/>
      <c r="Y3738" s="6"/>
      <c r="Z3738" s="6"/>
      <c r="AA3738" s="6"/>
      <c r="AB3738" s="6"/>
      <c r="AC3738" s="6"/>
      <c r="AD3738" s="6"/>
      <c r="AE3738" s="6"/>
      <c r="AF3738" s="6"/>
      <c r="AG3738" s="6"/>
      <c r="AH3738" s="6"/>
      <c r="AI3738" s="6"/>
      <c r="AJ3738" s="6"/>
      <c r="AK3738" s="6"/>
      <c r="AL3738" s="6"/>
      <c r="AM3738" s="6"/>
    </row>
    <row r="3739">
      <c r="A3739" s="6"/>
      <c r="B3739" s="6"/>
      <c r="C3739" s="6"/>
      <c r="D3739" s="6"/>
      <c r="E3739" s="6"/>
      <c r="F3739" s="6"/>
      <c r="G3739" s="6"/>
      <c r="H3739" s="6"/>
      <c r="I3739" s="6"/>
      <c r="J3739" s="6"/>
      <c r="K3739" s="6"/>
      <c r="L3739" s="6"/>
      <c r="M3739" s="6"/>
      <c r="N3739" s="6"/>
      <c r="O3739" s="6"/>
      <c r="P3739" s="6"/>
      <c r="Q3739" s="6"/>
      <c r="R3739" s="6"/>
      <c r="S3739" s="6"/>
      <c r="T3739" s="6"/>
      <c r="U3739" s="6"/>
      <c r="V3739" s="6"/>
      <c r="W3739" s="6"/>
      <c r="X3739" s="6"/>
      <c r="Y3739" s="6"/>
      <c r="Z3739" s="6"/>
      <c r="AA3739" s="6"/>
      <c r="AB3739" s="6"/>
      <c r="AC3739" s="6"/>
      <c r="AD3739" s="6"/>
      <c r="AE3739" s="6"/>
      <c r="AF3739" s="6"/>
      <c r="AG3739" s="6"/>
      <c r="AH3739" s="6"/>
      <c r="AI3739" s="6"/>
      <c r="AJ3739" s="6"/>
      <c r="AK3739" s="6"/>
      <c r="AL3739" s="6"/>
      <c r="AM3739" s="6"/>
    </row>
    <row r="3740">
      <c r="A3740" s="6"/>
      <c r="B3740" s="6"/>
      <c r="C3740" s="6"/>
      <c r="D3740" s="6"/>
      <c r="E3740" s="6"/>
      <c r="F3740" s="6"/>
      <c r="G3740" s="6"/>
      <c r="H3740" s="6"/>
      <c r="I3740" s="6"/>
      <c r="J3740" s="6"/>
      <c r="K3740" s="6"/>
      <c r="L3740" s="6"/>
      <c r="M3740" s="6"/>
      <c r="N3740" s="6"/>
      <c r="O3740" s="6"/>
      <c r="P3740" s="6"/>
      <c r="Q3740" s="6"/>
      <c r="R3740" s="6"/>
      <c r="S3740" s="6"/>
      <c r="T3740" s="6"/>
      <c r="U3740" s="6"/>
      <c r="V3740" s="6"/>
      <c r="W3740" s="6"/>
      <c r="X3740" s="6"/>
      <c r="Y3740" s="6"/>
      <c r="Z3740" s="6"/>
      <c r="AA3740" s="6"/>
      <c r="AB3740" s="6"/>
      <c r="AC3740" s="6"/>
      <c r="AD3740" s="6"/>
      <c r="AE3740" s="6"/>
      <c r="AF3740" s="6"/>
      <c r="AG3740" s="6"/>
      <c r="AH3740" s="6"/>
      <c r="AI3740" s="6"/>
      <c r="AJ3740" s="6"/>
      <c r="AK3740" s="6"/>
      <c r="AL3740" s="6"/>
      <c r="AM3740" s="6"/>
    </row>
    <row r="3741">
      <c r="A3741" s="6"/>
      <c r="B3741" s="6"/>
      <c r="C3741" s="6"/>
      <c r="D3741" s="6"/>
      <c r="E3741" s="6"/>
      <c r="F3741" s="6"/>
      <c r="G3741" s="6"/>
      <c r="H3741" s="6"/>
      <c r="I3741" s="6"/>
      <c r="J3741" s="6"/>
      <c r="K3741" s="6"/>
      <c r="L3741" s="6"/>
      <c r="M3741" s="6"/>
      <c r="N3741" s="6"/>
      <c r="O3741" s="6"/>
      <c r="P3741" s="6"/>
      <c r="Q3741" s="6"/>
      <c r="R3741" s="6"/>
      <c r="S3741" s="6"/>
      <c r="T3741" s="6"/>
      <c r="U3741" s="6"/>
      <c r="V3741" s="6"/>
      <c r="W3741" s="6"/>
      <c r="X3741" s="6"/>
      <c r="Y3741" s="6"/>
      <c r="Z3741" s="6"/>
      <c r="AA3741" s="6"/>
      <c r="AB3741" s="6"/>
      <c r="AC3741" s="6"/>
      <c r="AD3741" s="6"/>
      <c r="AE3741" s="6"/>
      <c r="AF3741" s="6"/>
      <c r="AG3741" s="6"/>
      <c r="AH3741" s="6"/>
      <c r="AI3741" s="6"/>
      <c r="AJ3741" s="6"/>
      <c r="AK3741" s="6"/>
      <c r="AL3741" s="6"/>
      <c r="AM3741" s="6"/>
    </row>
    <row r="3742">
      <c r="A3742" s="6"/>
      <c r="B3742" s="6"/>
      <c r="C3742" s="6"/>
      <c r="D3742" s="6"/>
      <c r="E3742" s="6"/>
      <c r="F3742" s="6"/>
      <c r="G3742" s="6"/>
      <c r="H3742" s="6"/>
      <c r="I3742" s="6"/>
      <c r="J3742" s="6"/>
      <c r="K3742" s="6"/>
      <c r="L3742" s="6"/>
      <c r="M3742" s="6"/>
      <c r="N3742" s="6"/>
      <c r="O3742" s="6"/>
      <c r="P3742" s="6"/>
      <c r="Q3742" s="6"/>
      <c r="R3742" s="6"/>
      <c r="S3742" s="6"/>
      <c r="T3742" s="6"/>
      <c r="U3742" s="6"/>
      <c r="V3742" s="6"/>
      <c r="W3742" s="6"/>
      <c r="X3742" s="6"/>
      <c r="Y3742" s="6"/>
      <c r="Z3742" s="6"/>
      <c r="AA3742" s="6"/>
      <c r="AB3742" s="6"/>
      <c r="AC3742" s="6"/>
      <c r="AD3742" s="6"/>
      <c r="AE3742" s="6"/>
      <c r="AF3742" s="6"/>
      <c r="AG3742" s="6"/>
      <c r="AH3742" s="6"/>
      <c r="AI3742" s="6"/>
      <c r="AJ3742" s="6"/>
      <c r="AK3742" s="6"/>
      <c r="AL3742" s="6"/>
      <c r="AM3742" s="6"/>
    </row>
    <row r="3743">
      <c r="A3743" s="6"/>
      <c r="B3743" s="6"/>
      <c r="C3743" s="6"/>
      <c r="D3743" s="6"/>
      <c r="E3743" s="6"/>
      <c r="F3743" s="6"/>
      <c r="G3743" s="6"/>
      <c r="H3743" s="6"/>
      <c r="I3743" s="6"/>
      <c r="J3743" s="6"/>
      <c r="K3743" s="6"/>
      <c r="L3743" s="6"/>
      <c r="M3743" s="6"/>
      <c r="N3743" s="6"/>
      <c r="O3743" s="6"/>
      <c r="P3743" s="6"/>
      <c r="Q3743" s="6"/>
      <c r="R3743" s="6"/>
      <c r="S3743" s="6"/>
      <c r="T3743" s="6"/>
      <c r="U3743" s="6"/>
      <c r="V3743" s="6"/>
      <c r="W3743" s="6"/>
      <c r="X3743" s="6"/>
      <c r="Y3743" s="6"/>
      <c r="Z3743" s="6"/>
      <c r="AA3743" s="6"/>
      <c r="AB3743" s="6"/>
      <c r="AC3743" s="6"/>
      <c r="AD3743" s="6"/>
      <c r="AE3743" s="6"/>
      <c r="AF3743" s="6"/>
      <c r="AG3743" s="6"/>
      <c r="AH3743" s="6"/>
      <c r="AI3743" s="6"/>
      <c r="AJ3743" s="6"/>
      <c r="AK3743" s="6"/>
      <c r="AL3743" s="6"/>
      <c r="AM3743" s="6"/>
    </row>
    <row r="3744">
      <c r="A3744" s="6"/>
      <c r="B3744" s="6"/>
      <c r="C3744" s="6"/>
      <c r="D3744" s="6"/>
      <c r="E3744" s="6"/>
      <c r="F3744" s="6"/>
      <c r="G3744" s="6"/>
      <c r="H3744" s="6"/>
      <c r="I3744" s="6"/>
      <c r="J3744" s="6"/>
      <c r="K3744" s="6"/>
      <c r="L3744" s="6"/>
      <c r="M3744" s="6"/>
      <c r="N3744" s="6"/>
      <c r="O3744" s="6"/>
      <c r="P3744" s="6"/>
      <c r="Q3744" s="6"/>
      <c r="R3744" s="6"/>
      <c r="S3744" s="6"/>
      <c r="T3744" s="6"/>
      <c r="U3744" s="6"/>
      <c r="V3744" s="6"/>
      <c r="W3744" s="6"/>
      <c r="X3744" s="6"/>
      <c r="Y3744" s="6"/>
      <c r="Z3744" s="6"/>
      <c r="AA3744" s="6"/>
      <c r="AB3744" s="6"/>
      <c r="AC3744" s="6"/>
      <c r="AD3744" s="6"/>
      <c r="AE3744" s="6"/>
      <c r="AF3744" s="6"/>
      <c r="AG3744" s="6"/>
      <c r="AH3744" s="6"/>
      <c r="AI3744" s="6"/>
      <c r="AJ3744" s="6"/>
      <c r="AK3744" s="6"/>
      <c r="AL3744" s="6"/>
      <c r="AM3744" s="6"/>
    </row>
    <row r="3745">
      <c r="A3745" s="6"/>
      <c r="B3745" s="6"/>
      <c r="C3745" s="6"/>
      <c r="D3745" s="6"/>
      <c r="E3745" s="6"/>
      <c r="F3745" s="6"/>
      <c r="G3745" s="6"/>
      <c r="H3745" s="6"/>
      <c r="I3745" s="6"/>
      <c r="J3745" s="6"/>
      <c r="K3745" s="6"/>
      <c r="L3745" s="6"/>
      <c r="M3745" s="6"/>
      <c r="N3745" s="6"/>
      <c r="O3745" s="6"/>
      <c r="P3745" s="6"/>
      <c r="Q3745" s="6"/>
      <c r="R3745" s="6"/>
      <c r="S3745" s="6"/>
      <c r="T3745" s="6"/>
      <c r="U3745" s="6"/>
      <c r="V3745" s="6"/>
      <c r="W3745" s="6"/>
      <c r="X3745" s="6"/>
      <c r="Y3745" s="6"/>
      <c r="Z3745" s="6"/>
      <c r="AA3745" s="6"/>
      <c r="AB3745" s="6"/>
      <c r="AC3745" s="6"/>
      <c r="AD3745" s="6"/>
      <c r="AE3745" s="6"/>
      <c r="AF3745" s="6"/>
      <c r="AG3745" s="6"/>
      <c r="AH3745" s="6"/>
      <c r="AI3745" s="6"/>
      <c r="AJ3745" s="6"/>
      <c r="AK3745" s="6"/>
      <c r="AL3745" s="6"/>
      <c r="AM3745" s="6"/>
    </row>
    <row r="3746">
      <c r="A3746" s="6"/>
      <c r="B3746" s="6"/>
      <c r="C3746" s="6"/>
      <c r="D3746" s="6"/>
      <c r="E3746" s="6"/>
      <c r="F3746" s="6"/>
      <c r="G3746" s="6"/>
      <c r="H3746" s="6"/>
      <c r="I3746" s="6"/>
      <c r="J3746" s="6"/>
      <c r="K3746" s="6"/>
      <c r="L3746" s="6"/>
      <c r="M3746" s="6"/>
      <c r="N3746" s="6"/>
      <c r="O3746" s="6"/>
      <c r="P3746" s="6"/>
      <c r="Q3746" s="6"/>
      <c r="R3746" s="6"/>
      <c r="S3746" s="6"/>
      <c r="T3746" s="6"/>
      <c r="U3746" s="6"/>
      <c r="V3746" s="6"/>
      <c r="W3746" s="6"/>
      <c r="X3746" s="6"/>
      <c r="Y3746" s="6"/>
      <c r="Z3746" s="6"/>
      <c r="AA3746" s="6"/>
      <c r="AB3746" s="6"/>
      <c r="AC3746" s="6"/>
      <c r="AD3746" s="6"/>
      <c r="AE3746" s="6"/>
      <c r="AF3746" s="6"/>
      <c r="AG3746" s="6"/>
      <c r="AH3746" s="6"/>
      <c r="AI3746" s="6"/>
      <c r="AJ3746" s="6"/>
      <c r="AK3746" s="6"/>
      <c r="AL3746" s="6"/>
      <c r="AM3746" s="6"/>
    </row>
    <row r="3747">
      <c r="A3747" s="6"/>
      <c r="B3747" s="6"/>
      <c r="C3747" s="6"/>
      <c r="D3747" s="6"/>
      <c r="E3747" s="6"/>
      <c r="F3747" s="6"/>
      <c r="G3747" s="6"/>
      <c r="H3747" s="6"/>
      <c r="I3747" s="6"/>
      <c r="J3747" s="6"/>
      <c r="K3747" s="6"/>
      <c r="L3747" s="6"/>
      <c r="M3747" s="6"/>
      <c r="N3747" s="6"/>
      <c r="O3747" s="6"/>
      <c r="P3747" s="6"/>
      <c r="Q3747" s="6"/>
      <c r="R3747" s="6"/>
      <c r="S3747" s="6"/>
      <c r="T3747" s="6"/>
      <c r="U3747" s="6"/>
      <c r="V3747" s="6"/>
      <c r="W3747" s="6"/>
      <c r="X3747" s="6"/>
      <c r="Y3747" s="6"/>
      <c r="Z3747" s="6"/>
      <c r="AA3747" s="6"/>
      <c r="AB3747" s="6"/>
      <c r="AC3747" s="6"/>
      <c r="AD3747" s="6"/>
      <c r="AE3747" s="6"/>
      <c r="AF3747" s="6"/>
      <c r="AG3747" s="6"/>
      <c r="AH3747" s="6"/>
      <c r="AI3747" s="6"/>
      <c r="AJ3747" s="6"/>
      <c r="AK3747" s="6"/>
      <c r="AL3747" s="6"/>
      <c r="AM3747" s="6"/>
    </row>
    <row r="3748">
      <c r="A3748" s="6"/>
      <c r="B3748" s="6"/>
      <c r="C3748" s="6"/>
      <c r="D3748" s="6"/>
      <c r="E3748" s="6"/>
      <c r="F3748" s="6"/>
      <c r="G3748" s="6"/>
      <c r="H3748" s="6"/>
      <c r="I3748" s="6"/>
      <c r="J3748" s="6"/>
      <c r="K3748" s="6"/>
      <c r="L3748" s="6"/>
      <c r="M3748" s="6"/>
      <c r="N3748" s="6"/>
      <c r="O3748" s="6"/>
      <c r="P3748" s="6"/>
      <c r="Q3748" s="6"/>
      <c r="R3748" s="6"/>
      <c r="S3748" s="6"/>
      <c r="T3748" s="6"/>
      <c r="U3748" s="6"/>
      <c r="V3748" s="6"/>
      <c r="W3748" s="6"/>
      <c r="X3748" s="6"/>
      <c r="Y3748" s="6"/>
      <c r="Z3748" s="6"/>
      <c r="AA3748" s="6"/>
      <c r="AB3748" s="6"/>
      <c r="AC3748" s="6"/>
      <c r="AD3748" s="6"/>
      <c r="AE3748" s="6"/>
      <c r="AF3748" s="6"/>
      <c r="AG3748" s="6"/>
      <c r="AH3748" s="6"/>
      <c r="AI3748" s="6"/>
      <c r="AJ3748" s="6"/>
      <c r="AK3748" s="6"/>
      <c r="AL3748" s="6"/>
      <c r="AM3748" s="6"/>
    </row>
    <row r="3749">
      <c r="A3749" s="6"/>
      <c r="B3749" s="6"/>
      <c r="C3749" s="6"/>
      <c r="D3749" s="6"/>
      <c r="E3749" s="6"/>
      <c r="F3749" s="6"/>
      <c r="G3749" s="6"/>
      <c r="H3749" s="6"/>
      <c r="I3749" s="6"/>
      <c r="J3749" s="6"/>
      <c r="K3749" s="6"/>
      <c r="L3749" s="6"/>
      <c r="M3749" s="6"/>
      <c r="N3749" s="6"/>
      <c r="O3749" s="6"/>
      <c r="P3749" s="6"/>
      <c r="Q3749" s="6"/>
      <c r="R3749" s="6"/>
      <c r="S3749" s="6"/>
      <c r="T3749" s="6"/>
      <c r="U3749" s="6"/>
      <c r="V3749" s="6"/>
      <c r="W3749" s="6"/>
      <c r="X3749" s="6"/>
      <c r="Y3749" s="6"/>
      <c r="Z3749" s="6"/>
      <c r="AA3749" s="6"/>
      <c r="AB3749" s="6"/>
      <c r="AC3749" s="6"/>
      <c r="AD3749" s="6"/>
      <c r="AE3749" s="6"/>
      <c r="AF3749" s="6"/>
      <c r="AG3749" s="6"/>
      <c r="AH3749" s="6"/>
      <c r="AI3749" s="6"/>
      <c r="AJ3749" s="6"/>
      <c r="AK3749" s="6"/>
      <c r="AL3749" s="6"/>
      <c r="AM3749" s="6"/>
    </row>
    <row r="3750">
      <c r="A3750" s="6"/>
      <c r="B3750" s="6"/>
      <c r="C3750" s="6"/>
      <c r="D3750" s="6"/>
      <c r="E3750" s="6"/>
      <c r="F3750" s="6"/>
      <c r="G3750" s="6"/>
      <c r="H3750" s="6"/>
      <c r="I3750" s="6"/>
      <c r="J3750" s="6"/>
      <c r="K3750" s="6"/>
      <c r="L3750" s="6"/>
      <c r="M3750" s="6"/>
      <c r="N3750" s="6"/>
      <c r="O3750" s="6"/>
      <c r="P3750" s="6"/>
      <c r="Q3750" s="6"/>
      <c r="R3750" s="6"/>
      <c r="S3750" s="6"/>
      <c r="T3750" s="6"/>
      <c r="U3750" s="6"/>
      <c r="V3750" s="6"/>
      <c r="W3750" s="6"/>
      <c r="X3750" s="6"/>
      <c r="Y3750" s="6"/>
      <c r="Z3750" s="6"/>
      <c r="AA3750" s="6"/>
      <c r="AB3750" s="6"/>
      <c r="AC3750" s="6"/>
      <c r="AD3750" s="6"/>
      <c r="AE3750" s="6"/>
      <c r="AF3750" s="6"/>
      <c r="AG3750" s="6"/>
      <c r="AH3750" s="6"/>
      <c r="AI3750" s="6"/>
      <c r="AJ3750" s="6"/>
      <c r="AK3750" s="6"/>
      <c r="AL3750" s="6"/>
      <c r="AM3750" s="6"/>
    </row>
    <row r="3751">
      <c r="A3751" s="6"/>
      <c r="B3751" s="6"/>
      <c r="C3751" s="6"/>
      <c r="D3751" s="6"/>
      <c r="E3751" s="6"/>
      <c r="F3751" s="6"/>
      <c r="G3751" s="6"/>
      <c r="H3751" s="6"/>
      <c r="I3751" s="6"/>
      <c r="J3751" s="6"/>
      <c r="K3751" s="6"/>
      <c r="L3751" s="6"/>
      <c r="M3751" s="6"/>
      <c r="N3751" s="6"/>
      <c r="O3751" s="6"/>
      <c r="P3751" s="6"/>
      <c r="Q3751" s="6"/>
      <c r="R3751" s="6"/>
      <c r="S3751" s="6"/>
      <c r="T3751" s="6"/>
      <c r="U3751" s="6"/>
      <c r="V3751" s="6"/>
      <c r="W3751" s="6"/>
      <c r="X3751" s="6"/>
      <c r="Y3751" s="6"/>
      <c r="Z3751" s="6"/>
      <c r="AA3751" s="6"/>
      <c r="AB3751" s="6"/>
      <c r="AC3751" s="6"/>
      <c r="AD3751" s="6"/>
      <c r="AE3751" s="6"/>
      <c r="AF3751" s="6"/>
      <c r="AG3751" s="6"/>
      <c r="AH3751" s="6"/>
      <c r="AI3751" s="6"/>
      <c r="AJ3751" s="6"/>
      <c r="AK3751" s="6"/>
      <c r="AL3751" s="6"/>
      <c r="AM3751" s="6"/>
    </row>
    <row r="3752">
      <c r="A3752" s="6"/>
      <c r="B3752" s="6"/>
      <c r="C3752" s="6"/>
      <c r="D3752" s="6"/>
      <c r="E3752" s="6"/>
      <c r="F3752" s="6"/>
      <c r="G3752" s="6"/>
      <c r="H3752" s="6"/>
      <c r="I3752" s="6"/>
      <c r="J3752" s="6"/>
      <c r="K3752" s="6"/>
      <c r="L3752" s="6"/>
      <c r="M3752" s="6"/>
      <c r="N3752" s="6"/>
      <c r="O3752" s="6"/>
      <c r="P3752" s="6"/>
      <c r="Q3752" s="6"/>
      <c r="R3752" s="6"/>
      <c r="S3752" s="6"/>
      <c r="T3752" s="6"/>
      <c r="U3752" s="6"/>
      <c r="V3752" s="6"/>
      <c r="W3752" s="6"/>
      <c r="X3752" s="6"/>
      <c r="Y3752" s="6"/>
      <c r="Z3752" s="6"/>
      <c r="AA3752" s="6"/>
      <c r="AB3752" s="6"/>
      <c r="AC3752" s="6"/>
      <c r="AD3752" s="6"/>
      <c r="AE3752" s="6"/>
      <c r="AF3752" s="6"/>
      <c r="AG3752" s="6"/>
      <c r="AH3752" s="6"/>
      <c r="AI3752" s="6"/>
      <c r="AJ3752" s="6"/>
      <c r="AK3752" s="6"/>
      <c r="AL3752" s="6"/>
      <c r="AM3752" s="6"/>
    </row>
    <row r="3753">
      <c r="A3753" s="6"/>
      <c r="B3753" s="6"/>
      <c r="C3753" s="6"/>
      <c r="D3753" s="6"/>
      <c r="E3753" s="6"/>
      <c r="F3753" s="6"/>
      <c r="G3753" s="6"/>
      <c r="H3753" s="6"/>
      <c r="I3753" s="6"/>
      <c r="J3753" s="6"/>
      <c r="K3753" s="6"/>
      <c r="L3753" s="6"/>
      <c r="M3753" s="6"/>
      <c r="N3753" s="6"/>
      <c r="O3753" s="6"/>
      <c r="P3753" s="6"/>
      <c r="Q3753" s="6"/>
      <c r="R3753" s="6"/>
      <c r="S3753" s="6"/>
      <c r="T3753" s="6"/>
      <c r="U3753" s="6"/>
      <c r="V3753" s="6"/>
      <c r="W3753" s="6"/>
      <c r="X3753" s="6"/>
      <c r="Y3753" s="6"/>
      <c r="Z3753" s="6"/>
      <c r="AA3753" s="6"/>
      <c r="AB3753" s="6"/>
      <c r="AC3753" s="6"/>
      <c r="AD3753" s="6"/>
      <c r="AE3753" s="6"/>
      <c r="AF3753" s="6"/>
      <c r="AG3753" s="6"/>
      <c r="AH3753" s="6"/>
      <c r="AI3753" s="6"/>
      <c r="AJ3753" s="6"/>
      <c r="AK3753" s="6"/>
      <c r="AL3753" s="6"/>
      <c r="AM3753" s="6"/>
    </row>
    <row r="3754">
      <c r="A3754" s="6"/>
      <c r="B3754" s="6"/>
      <c r="C3754" s="6"/>
      <c r="D3754" s="6"/>
      <c r="E3754" s="6"/>
      <c r="F3754" s="6"/>
      <c r="G3754" s="6"/>
      <c r="H3754" s="6"/>
      <c r="I3754" s="6"/>
      <c r="J3754" s="6"/>
      <c r="K3754" s="6"/>
      <c r="L3754" s="6"/>
      <c r="M3754" s="6"/>
      <c r="N3754" s="6"/>
      <c r="O3754" s="6"/>
      <c r="P3754" s="6"/>
      <c r="Q3754" s="6"/>
      <c r="R3754" s="6"/>
      <c r="S3754" s="6"/>
      <c r="T3754" s="6"/>
      <c r="U3754" s="6"/>
      <c r="V3754" s="6"/>
      <c r="W3754" s="6"/>
      <c r="X3754" s="6"/>
      <c r="Y3754" s="6"/>
      <c r="Z3754" s="6"/>
      <c r="AA3754" s="6"/>
      <c r="AB3754" s="6"/>
      <c r="AC3754" s="6"/>
      <c r="AD3754" s="6"/>
      <c r="AE3754" s="6"/>
      <c r="AF3754" s="6"/>
      <c r="AG3754" s="6"/>
      <c r="AH3754" s="6"/>
      <c r="AI3754" s="6"/>
      <c r="AJ3754" s="6"/>
      <c r="AK3754" s="6"/>
      <c r="AL3754" s="6"/>
      <c r="AM3754" s="6"/>
    </row>
    <row r="3755">
      <c r="A3755" s="6"/>
      <c r="B3755" s="6"/>
      <c r="C3755" s="6"/>
      <c r="D3755" s="6"/>
      <c r="E3755" s="6"/>
      <c r="F3755" s="6"/>
      <c r="G3755" s="6"/>
      <c r="H3755" s="6"/>
      <c r="I3755" s="6"/>
      <c r="J3755" s="6"/>
      <c r="K3755" s="6"/>
      <c r="L3755" s="6"/>
      <c r="M3755" s="6"/>
      <c r="N3755" s="6"/>
      <c r="O3755" s="6"/>
      <c r="P3755" s="6"/>
      <c r="Q3755" s="6"/>
      <c r="R3755" s="6"/>
      <c r="S3755" s="6"/>
      <c r="T3755" s="6"/>
      <c r="U3755" s="6"/>
      <c r="V3755" s="6"/>
      <c r="W3755" s="6"/>
      <c r="X3755" s="6"/>
      <c r="Y3755" s="6"/>
      <c r="Z3755" s="6"/>
      <c r="AA3755" s="6"/>
      <c r="AB3755" s="6"/>
      <c r="AC3755" s="6"/>
      <c r="AD3755" s="6"/>
      <c r="AE3755" s="6"/>
      <c r="AF3755" s="6"/>
      <c r="AG3755" s="6"/>
      <c r="AH3755" s="6"/>
      <c r="AI3755" s="6"/>
      <c r="AJ3755" s="6"/>
      <c r="AK3755" s="6"/>
      <c r="AL3755" s="6"/>
      <c r="AM3755" s="6"/>
    </row>
    <row r="3756">
      <c r="A3756" s="6"/>
      <c r="B3756" s="6"/>
      <c r="C3756" s="6"/>
      <c r="D3756" s="6"/>
      <c r="E3756" s="6"/>
      <c r="F3756" s="6"/>
      <c r="G3756" s="6"/>
      <c r="H3756" s="6"/>
      <c r="I3756" s="6"/>
      <c r="J3756" s="6"/>
      <c r="K3756" s="6"/>
      <c r="L3756" s="6"/>
      <c r="M3756" s="6"/>
      <c r="N3756" s="6"/>
      <c r="O3756" s="6"/>
      <c r="P3756" s="6"/>
      <c r="Q3756" s="6"/>
      <c r="R3756" s="6"/>
      <c r="S3756" s="6"/>
      <c r="T3756" s="6"/>
      <c r="U3756" s="6"/>
      <c r="V3756" s="6"/>
      <c r="W3756" s="6"/>
      <c r="X3756" s="6"/>
      <c r="Y3756" s="6"/>
      <c r="Z3756" s="6"/>
      <c r="AA3756" s="6"/>
      <c r="AB3756" s="6"/>
      <c r="AC3756" s="6"/>
      <c r="AD3756" s="6"/>
      <c r="AE3756" s="6"/>
      <c r="AF3756" s="6"/>
      <c r="AG3756" s="6"/>
      <c r="AH3756" s="6"/>
      <c r="AI3756" s="6"/>
      <c r="AJ3756" s="6"/>
      <c r="AK3756" s="6"/>
      <c r="AL3756" s="6"/>
      <c r="AM3756" s="6"/>
    </row>
    <row r="3757">
      <c r="A3757" s="6"/>
      <c r="B3757" s="6"/>
      <c r="C3757" s="6"/>
      <c r="D3757" s="6"/>
      <c r="E3757" s="6"/>
      <c r="F3757" s="6"/>
      <c r="G3757" s="6"/>
      <c r="H3757" s="6"/>
      <c r="I3757" s="6"/>
      <c r="J3757" s="6"/>
      <c r="K3757" s="6"/>
      <c r="L3757" s="6"/>
      <c r="M3757" s="6"/>
      <c r="N3757" s="6"/>
      <c r="O3757" s="6"/>
      <c r="P3757" s="6"/>
      <c r="Q3757" s="6"/>
      <c r="R3757" s="6"/>
      <c r="S3757" s="6"/>
      <c r="T3757" s="6"/>
      <c r="U3757" s="6"/>
      <c r="V3757" s="6"/>
      <c r="W3757" s="6"/>
      <c r="X3757" s="6"/>
      <c r="Y3757" s="6"/>
      <c r="Z3757" s="6"/>
      <c r="AA3757" s="6"/>
      <c r="AB3757" s="6"/>
      <c r="AC3757" s="6"/>
      <c r="AD3757" s="6"/>
      <c r="AE3757" s="6"/>
      <c r="AF3757" s="6"/>
      <c r="AG3757" s="6"/>
      <c r="AH3757" s="6"/>
      <c r="AI3757" s="6"/>
      <c r="AJ3757" s="6"/>
      <c r="AK3757" s="6"/>
      <c r="AL3757" s="6"/>
      <c r="AM3757" s="6"/>
    </row>
    <row r="3758">
      <c r="A3758" s="6"/>
      <c r="B3758" s="6"/>
      <c r="C3758" s="6"/>
      <c r="D3758" s="6"/>
      <c r="E3758" s="6"/>
      <c r="F3758" s="6"/>
      <c r="G3758" s="6"/>
      <c r="H3758" s="6"/>
      <c r="I3758" s="6"/>
      <c r="J3758" s="6"/>
      <c r="K3758" s="6"/>
      <c r="L3758" s="6"/>
      <c r="M3758" s="6"/>
      <c r="N3758" s="6"/>
      <c r="O3758" s="6"/>
      <c r="P3758" s="6"/>
      <c r="Q3758" s="6"/>
      <c r="R3758" s="6"/>
      <c r="S3758" s="6"/>
      <c r="T3758" s="6"/>
      <c r="U3758" s="6"/>
      <c r="V3758" s="6"/>
      <c r="W3758" s="6"/>
      <c r="X3758" s="6"/>
      <c r="Y3758" s="6"/>
      <c r="Z3758" s="6"/>
      <c r="AA3758" s="6"/>
      <c r="AB3758" s="6"/>
      <c r="AC3758" s="6"/>
      <c r="AD3758" s="6"/>
      <c r="AE3758" s="6"/>
      <c r="AF3758" s="6"/>
      <c r="AG3758" s="6"/>
      <c r="AH3758" s="6"/>
      <c r="AI3758" s="6"/>
      <c r="AJ3758" s="6"/>
      <c r="AK3758" s="6"/>
      <c r="AL3758" s="6"/>
      <c r="AM3758" s="6"/>
    </row>
    <row r="3759">
      <c r="A3759" s="6"/>
      <c r="B3759" s="6"/>
      <c r="C3759" s="6"/>
      <c r="D3759" s="6"/>
      <c r="E3759" s="6"/>
      <c r="F3759" s="6"/>
      <c r="G3759" s="6"/>
      <c r="H3759" s="6"/>
      <c r="I3759" s="6"/>
      <c r="J3759" s="6"/>
      <c r="K3759" s="6"/>
      <c r="L3759" s="6"/>
      <c r="M3759" s="6"/>
      <c r="N3759" s="6"/>
      <c r="O3759" s="6"/>
      <c r="P3759" s="6"/>
      <c r="Q3759" s="6"/>
      <c r="R3759" s="6"/>
      <c r="S3759" s="6"/>
      <c r="T3759" s="6"/>
      <c r="U3759" s="6"/>
      <c r="V3759" s="6"/>
      <c r="W3759" s="6"/>
      <c r="X3759" s="6"/>
      <c r="Y3759" s="6"/>
      <c r="Z3759" s="6"/>
      <c r="AA3759" s="6"/>
      <c r="AB3759" s="6"/>
      <c r="AC3759" s="6"/>
      <c r="AD3759" s="6"/>
      <c r="AE3759" s="6"/>
      <c r="AF3759" s="6"/>
      <c r="AG3759" s="6"/>
      <c r="AH3759" s="6"/>
      <c r="AI3759" s="6"/>
      <c r="AJ3759" s="6"/>
      <c r="AK3759" s="6"/>
      <c r="AL3759" s="6"/>
      <c r="AM3759" s="6"/>
    </row>
    <row r="3760">
      <c r="A3760" s="6"/>
      <c r="B3760" s="6"/>
      <c r="C3760" s="6"/>
      <c r="D3760" s="6"/>
      <c r="E3760" s="6"/>
      <c r="F3760" s="6"/>
      <c r="G3760" s="6"/>
      <c r="H3760" s="6"/>
      <c r="I3760" s="6"/>
      <c r="J3760" s="6"/>
      <c r="K3760" s="6"/>
      <c r="L3760" s="6"/>
      <c r="M3760" s="6"/>
      <c r="N3760" s="6"/>
      <c r="O3760" s="6"/>
      <c r="P3760" s="6"/>
      <c r="Q3760" s="6"/>
      <c r="R3760" s="6"/>
      <c r="S3760" s="6"/>
      <c r="T3760" s="6"/>
      <c r="U3760" s="6"/>
      <c r="V3760" s="6"/>
      <c r="W3760" s="6"/>
      <c r="X3760" s="6"/>
      <c r="Y3760" s="6"/>
      <c r="Z3760" s="6"/>
      <c r="AA3760" s="6"/>
      <c r="AB3760" s="6"/>
      <c r="AC3760" s="6"/>
      <c r="AD3760" s="6"/>
      <c r="AE3760" s="6"/>
      <c r="AF3760" s="6"/>
      <c r="AG3760" s="6"/>
      <c r="AH3760" s="6"/>
      <c r="AI3760" s="6"/>
      <c r="AJ3760" s="6"/>
      <c r="AK3760" s="6"/>
      <c r="AL3760" s="6"/>
      <c r="AM3760" s="6"/>
    </row>
    <row r="3761">
      <c r="A3761" s="6"/>
      <c r="B3761" s="6"/>
      <c r="C3761" s="6"/>
      <c r="D3761" s="6"/>
      <c r="E3761" s="6"/>
      <c r="F3761" s="6"/>
      <c r="G3761" s="6"/>
      <c r="H3761" s="6"/>
      <c r="I3761" s="6"/>
      <c r="J3761" s="6"/>
      <c r="K3761" s="6"/>
      <c r="L3761" s="6"/>
      <c r="M3761" s="6"/>
      <c r="N3761" s="6"/>
      <c r="O3761" s="6"/>
      <c r="P3761" s="6"/>
      <c r="Q3761" s="6"/>
      <c r="R3761" s="6"/>
      <c r="S3761" s="6"/>
      <c r="T3761" s="6"/>
      <c r="U3761" s="6"/>
      <c r="V3761" s="6"/>
      <c r="W3761" s="6"/>
      <c r="X3761" s="6"/>
      <c r="Y3761" s="6"/>
      <c r="Z3761" s="6"/>
      <c r="AA3761" s="6"/>
      <c r="AB3761" s="6"/>
      <c r="AC3761" s="6"/>
      <c r="AD3761" s="6"/>
      <c r="AE3761" s="6"/>
      <c r="AF3761" s="6"/>
      <c r="AG3761" s="6"/>
      <c r="AH3761" s="6"/>
      <c r="AI3761" s="6"/>
      <c r="AJ3761" s="6"/>
      <c r="AK3761" s="6"/>
      <c r="AL3761" s="6"/>
      <c r="AM3761" s="6"/>
    </row>
    <row r="3762">
      <c r="A3762" s="6"/>
      <c r="B3762" s="6"/>
      <c r="C3762" s="6"/>
      <c r="D3762" s="6"/>
      <c r="E3762" s="6"/>
      <c r="F3762" s="6"/>
      <c r="G3762" s="6"/>
      <c r="H3762" s="6"/>
      <c r="I3762" s="6"/>
      <c r="J3762" s="6"/>
      <c r="K3762" s="6"/>
      <c r="L3762" s="6"/>
      <c r="M3762" s="6"/>
      <c r="N3762" s="6"/>
      <c r="O3762" s="6"/>
      <c r="P3762" s="6"/>
      <c r="Q3762" s="6"/>
      <c r="R3762" s="6"/>
      <c r="S3762" s="6"/>
      <c r="T3762" s="6"/>
      <c r="U3762" s="6"/>
      <c r="V3762" s="6"/>
      <c r="W3762" s="6"/>
      <c r="X3762" s="6"/>
      <c r="Y3762" s="6"/>
      <c r="Z3762" s="6"/>
      <c r="AA3762" s="6"/>
      <c r="AB3762" s="6"/>
      <c r="AC3762" s="6"/>
      <c r="AD3762" s="6"/>
      <c r="AE3762" s="6"/>
      <c r="AF3762" s="6"/>
      <c r="AG3762" s="6"/>
      <c r="AH3762" s="6"/>
      <c r="AI3762" s="6"/>
      <c r="AJ3762" s="6"/>
      <c r="AK3762" s="6"/>
      <c r="AL3762" s="6"/>
      <c r="AM3762" s="6"/>
    </row>
    <row r="3763">
      <c r="A3763" s="6"/>
      <c r="B3763" s="6"/>
      <c r="C3763" s="6"/>
      <c r="D3763" s="6"/>
      <c r="E3763" s="6"/>
      <c r="F3763" s="6"/>
      <c r="G3763" s="6"/>
      <c r="H3763" s="6"/>
      <c r="I3763" s="6"/>
      <c r="J3763" s="6"/>
      <c r="K3763" s="6"/>
      <c r="L3763" s="6"/>
      <c r="M3763" s="6"/>
      <c r="N3763" s="6"/>
      <c r="O3763" s="6"/>
      <c r="P3763" s="6"/>
      <c r="Q3763" s="6"/>
      <c r="R3763" s="6"/>
      <c r="S3763" s="6"/>
      <c r="T3763" s="6"/>
      <c r="U3763" s="6"/>
      <c r="V3763" s="6"/>
      <c r="W3763" s="6"/>
      <c r="X3763" s="6"/>
      <c r="Y3763" s="6"/>
      <c r="Z3763" s="6"/>
      <c r="AA3763" s="6"/>
      <c r="AB3763" s="6"/>
      <c r="AC3763" s="6"/>
      <c r="AD3763" s="6"/>
      <c r="AE3763" s="6"/>
      <c r="AF3763" s="6"/>
      <c r="AG3763" s="6"/>
      <c r="AH3763" s="6"/>
      <c r="AI3763" s="6"/>
      <c r="AJ3763" s="6"/>
      <c r="AK3763" s="6"/>
      <c r="AL3763" s="6"/>
      <c r="AM3763" s="6"/>
    </row>
    <row r="3764">
      <c r="A3764" s="6"/>
      <c r="B3764" s="6"/>
      <c r="C3764" s="6"/>
      <c r="D3764" s="6"/>
      <c r="E3764" s="6"/>
      <c r="F3764" s="6"/>
      <c r="G3764" s="6"/>
      <c r="H3764" s="6"/>
      <c r="I3764" s="6"/>
      <c r="J3764" s="6"/>
      <c r="K3764" s="6"/>
      <c r="L3764" s="6"/>
      <c r="M3764" s="6"/>
      <c r="N3764" s="6"/>
      <c r="O3764" s="6"/>
      <c r="P3764" s="6"/>
      <c r="Q3764" s="6"/>
      <c r="R3764" s="6"/>
      <c r="S3764" s="6"/>
      <c r="T3764" s="6"/>
      <c r="U3764" s="6"/>
      <c r="V3764" s="6"/>
      <c r="W3764" s="6"/>
      <c r="X3764" s="6"/>
      <c r="Y3764" s="6"/>
      <c r="Z3764" s="6"/>
      <c r="AA3764" s="6"/>
      <c r="AB3764" s="6"/>
      <c r="AC3764" s="6"/>
      <c r="AD3764" s="6"/>
      <c r="AE3764" s="6"/>
      <c r="AF3764" s="6"/>
      <c r="AG3764" s="6"/>
      <c r="AH3764" s="6"/>
      <c r="AI3764" s="6"/>
      <c r="AJ3764" s="6"/>
      <c r="AK3764" s="6"/>
      <c r="AL3764" s="6"/>
      <c r="AM3764" s="6"/>
    </row>
    <row r="3765">
      <c r="A3765" s="6"/>
      <c r="B3765" s="6"/>
      <c r="C3765" s="6"/>
      <c r="D3765" s="6"/>
      <c r="E3765" s="6"/>
      <c r="F3765" s="6"/>
      <c r="G3765" s="6"/>
      <c r="H3765" s="6"/>
      <c r="I3765" s="6"/>
      <c r="J3765" s="6"/>
      <c r="K3765" s="6"/>
      <c r="L3765" s="6"/>
      <c r="M3765" s="6"/>
      <c r="N3765" s="6"/>
      <c r="O3765" s="6"/>
      <c r="P3765" s="6"/>
      <c r="Q3765" s="6"/>
      <c r="R3765" s="6"/>
      <c r="S3765" s="6"/>
      <c r="T3765" s="6"/>
      <c r="U3765" s="6"/>
      <c r="V3765" s="6"/>
      <c r="W3765" s="6"/>
      <c r="X3765" s="6"/>
      <c r="Y3765" s="6"/>
      <c r="Z3765" s="6"/>
      <c r="AA3765" s="6"/>
      <c r="AB3765" s="6"/>
      <c r="AC3765" s="6"/>
      <c r="AD3765" s="6"/>
      <c r="AE3765" s="6"/>
      <c r="AF3765" s="6"/>
      <c r="AG3765" s="6"/>
      <c r="AH3765" s="6"/>
      <c r="AI3765" s="6"/>
      <c r="AJ3765" s="6"/>
      <c r="AK3765" s="6"/>
      <c r="AL3765" s="6"/>
      <c r="AM3765" s="6"/>
    </row>
    <row r="3766">
      <c r="A3766" s="6"/>
      <c r="B3766" s="6"/>
      <c r="C3766" s="6"/>
      <c r="D3766" s="6"/>
      <c r="E3766" s="6"/>
      <c r="F3766" s="6"/>
      <c r="G3766" s="6"/>
      <c r="H3766" s="6"/>
      <c r="I3766" s="6"/>
      <c r="J3766" s="6"/>
      <c r="K3766" s="6"/>
      <c r="L3766" s="6"/>
      <c r="M3766" s="6"/>
      <c r="N3766" s="6"/>
      <c r="O3766" s="6"/>
      <c r="P3766" s="6"/>
      <c r="Q3766" s="6"/>
      <c r="R3766" s="6"/>
      <c r="S3766" s="6"/>
      <c r="T3766" s="6"/>
      <c r="U3766" s="6"/>
      <c r="V3766" s="6"/>
      <c r="W3766" s="6"/>
      <c r="X3766" s="6"/>
      <c r="Y3766" s="6"/>
      <c r="Z3766" s="6"/>
      <c r="AA3766" s="6"/>
      <c r="AB3766" s="6"/>
      <c r="AC3766" s="6"/>
      <c r="AD3766" s="6"/>
      <c r="AE3766" s="6"/>
      <c r="AF3766" s="6"/>
      <c r="AG3766" s="6"/>
      <c r="AH3766" s="6"/>
      <c r="AI3766" s="6"/>
      <c r="AJ3766" s="6"/>
      <c r="AK3766" s="6"/>
      <c r="AL3766" s="6"/>
      <c r="AM3766" s="6"/>
    </row>
    <row r="3767">
      <c r="A3767" s="6"/>
      <c r="B3767" s="6"/>
      <c r="C3767" s="6"/>
      <c r="D3767" s="6"/>
      <c r="E3767" s="6"/>
      <c r="F3767" s="6"/>
      <c r="G3767" s="6"/>
      <c r="H3767" s="6"/>
      <c r="I3767" s="6"/>
      <c r="J3767" s="6"/>
      <c r="K3767" s="6"/>
      <c r="L3767" s="6"/>
      <c r="M3767" s="6"/>
      <c r="N3767" s="6"/>
      <c r="O3767" s="6"/>
      <c r="P3767" s="6"/>
      <c r="Q3767" s="6"/>
      <c r="R3767" s="6"/>
      <c r="S3767" s="6"/>
      <c r="T3767" s="6"/>
      <c r="U3767" s="6"/>
      <c r="V3767" s="6"/>
      <c r="W3767" s="6"/>
      <c r="X3767" s="6"/>
      <c r="Y3767" s="6"/>
      <c r="Z3767" s="6"/>
      <c r="AA3767" s="6"/>
      <c r="AB3767" s="6"/>
      <c r="AC3767" s="6"/>
      <c r="AD3767" s="6"/>
      <c r="AE3767" s="6"/>
      <c r="AF3767" s="6"/>
      <c r="AG3767" s="6"/>
      <c r="AH3767" s="6"/>
      <c r="AI3767" s="6"/>
      <c r="AJ3767" s="6"/>
      <c r="AK3767" s="6"/>
      <c r="AL3767" s="6"/>
      <c r="AM3767" s="6"/>
    </row>
    <row r="3768">
      <c r="A3768" s="6"/>
      <c r="B3768" s="6"/>
      <c r="C3768" s="6"/>
      <c r="D3768" s="6"/>
      <c r="E3768" s="6"/>
      <c r="F3768" s="6"/>
      <c r="G3768" s="6"/>
      <c r="H3768" s="6"/>
      <c r="I3768" s="6"/>
      <c r="J3768" s="6"/>
      <c r="K3768" s="6"/>
      <c r="L3768" s="6"/>
      <c r="M3768" s="6"/>
      <c r="N3768" s="6"/>
      <c r="O3768" s="6"/>
      <c r="P3768" s="6"/>
      <c r="Q3768" s="6"/>
      <c r="R3768" s="6"/>
      <c r="S3768" s="6"/>
      <c r="T3768" s="6"/>
      <c r="U3768" s="6"/>
      <c r="V3768" s="6"/>
      <c r="W3768" s="6"/>
      <c r="X3768" s="6"/>
      <c r="Y3768" s="6"/>
      <c r="Z3768" s="6"/>
      <c r="AA3768" s="6"/>
      <c r="AB3768" s="6"/>
      <c r="AC3768" s="6"/>
      <c r="AD3768" s="6"/>
      <c r="AE3768" s="6"/>
      <c r="AF3768" s="6"/>
      <c r="AG3768" s="6"/>
      <c r="AH3768" s="6"/>
      <c r="AI3768" s="6"/>
      <c r="AJ3768" s="6"/>
      <c r="AK3768" s="6"/>
      <c r="AL3768" s="6"/>
      <c r="AM3768" s="6"/>
    </row>
    <row r="3769">
      <c r="A3769" s="6"/>
      <c r="B3769" s="6"/>
      <c r="C3769" s="6"/>
      <c r="D3769" s="6"/>
      <c r="E3769" s="6"/>
      <c r="F3769" s="6"/>
      <c r="G3769" s="6"/>
      <c r="H3769" s="6"/>
      <c r="I3769" s="6"/>
      <c r="J3769" s="6"/>
      <c r="K3769" s="6"/>
      <c r="L3769" s="6"/>
      <c r="M3769" s="6"/>
      <c r="N3769" s="6"/>
      <c r="O3769" s="6"/>
      <c r="P3769" s="6"/>
      <c r="Q3769" s="6"/>
      <c r="R3769" s="6"/>
      <c r="S3769" s="6"/>
      <c r="T3769" s="6"/>
      <c r="U3769" s="6"/>
      <c r="V3769" s="6"/>
      <c r="W3769" s="6"/>
      <c r="X3769" s="6"/>
      <c r="Y3769" s="6"/>
      <c r="Z3769" s="6"/>
      <c r="AA3769" s="6"/>
      <c r="AB3769" s="6"/>
      <c r="AC3769" s="6"/>
      <c r="AD3769" s="6"/>
      <c r="AE3769" s="6"/>
      <c r="AF3769" s="6"/>
      <c r="AG3769" s="6"/>
      <c r="AH3769" s="6"/>
      <c r="AI3769" s="6"/>
      <c r="AJ3769" s="6"/>
      <c r="AK3769" s="6"/>
      <c r="AL3769" s="6"/>
      <c r="AM3769" s="6"/>
    </row>
    <row r="3770">
      <c r="A3770" s="6"/>
      <c r="B3770" s="6"/>
      <c r="C3770" s="6"/>
      <c r="D3770" s="6"/>
      <c r="E3770" s="6"/>
      <c r="F3770" s="6"/>
      <c r="G3770" s="6"/>
      <c r="H3770" s="6"/>
      <c r="I3770" s="6"/>
      <c r="J3770" s="6"/>
      <c r="K3770" s="6"/>
      <c r="L3770" s="6"/>
      <c r="M3770" s="6"/>
      <c r="N3770" s="6"/>
      <c r="O3770" s="6"/>
      <c r="P3770" s="6"/>
      <c r="Q3770" s="6"/>
      <c r="R3770" s="6"/>
      <c r="S3770" s="6"/>
      <c r="T3770" s="6"/>
      <c r="U3770" s="6"/>
      <c r="V3770" s="6"/>
      <c r="W3770" s="6"/>
      <c r="X3770" s="6"/>
      <c r="Y3770" s="6"/>
      <c r="Z3770" s="6"/>
      <c r="AA3770" s="6"/>
      <c r="AB3770" s="6"/>
      <c r="AC3770" s="6"/>
      <c r="AD3770" s="6"/>
      <c r="AE3770" s="6"/>
      <c r="AF3770" s="6"/>
      <c r="AG3770" s="6"/>
      <c r="AH3770" s="6"/>
      <c r="AI3770" s="6"/>
      <c r="AJ3770" s="6"/>
      <c r="AK3770" s="6"/>
      <c r="AL3770" s="6"/>
      <c r="AM3770" s="6"/>
    </row>
    <row r="3771">
      <c r="A3771" s="6"/>
      <c r="B3771" s="6"/>
      <c r="C3771" s="6"/>
      <c r="D3771" s="6"/>
      <c r="E3771" s="6"/>
      <c r="F3771" s="6"/>
      <c r="G3771" s="6"/>
      <c r="H3771" s="6"/>
      <c r="I3771" s="6"/>
      <c r="J3771" s="6"/>
      <c r="K3771" s="6"/>
      <c r="L3771" s="6"/>
      <c r="M3771" s="6"/>
      <c r="N3771" s="6"/>
      <c r="O3771" s="6"/>
      <c r="P3771" s="6"/>
      <c r="Q3771" s="6"/>
      <c r="R3771" s="6"/>
      <c r="S3771" s="6"/>
      <c r="T3771" s="6"/>
      <c r="U3771" s="6"/>
      <c r="V3771" s="6"/>
      <c r="W3771" s="6"/>
      <c r="X3771" s="6"/>
      <c r="Y3771" s="6"/>
      <c r="Z3771" s="6"/>
      <c r="AA3771" s="6"/>
      <c r="AB3771" s="6"/>
      <c r="AC3771" s="6"/>
      <c r="AD3771" s="6"/>
      <c r="AE3771" s="6"/>
      <c r="AF3771" s="6"/>
      <c r="AG3771" s="6"/>
      <c r="AH3771" s="6"/>
      <c r="AI3771" s="6"/>
      <c r="AJ3771" s="6"/>
      <c r="AK3771" s="6"/>
      <c r="AL3771" s="6"/>
      <c r="AM3771" s="6"/>
    </row>
    <row r="3772">
      <c r="A3772" s="6"/>
      <c r="B3772" s="6"/>
      <c r="C3772" s="6"/>
      <c r="D3772" s="6"/>
      <c r="E3772" s="6"/>
      <c r="F3772" s="6"/>
      <c r="G3772" s="6"/>
      <c r="H3772" s="6"/>
      <c r="I3772" s="6"/>
      <c r="J3772" s="6"/>
      <c r="K3772" s="6"/>
      <c r="L3772" s="6"/>
      <c r="M3772" s="6"/>
      <c r="N3772" s="6"/>
      <c r="O3772" s="6"/>
      <c r="P3772" s="6"/>
      <c r="Q3772" s="6"/>
      <c r="R3772" s="6"/>
      <c r="S3772" s="6"/>
      <c r="T3772" s="6"/>
      <c r="U3772" s="6"/>
      <c r="V3772" s="6"/>
      <c r="W3772" s="6"/>
      <c r="X3772" s="6"/>
      <c r="Y3772" s="6"/>
      <c r="Z3772" s="6"/>
      <c r="AA3772" s="6"/>
      <c r="AB3772" s="6"/>
      <c r="AC3772" s="6"/>
      <c r="AD3772" s="6"/>
      <c r="AE3772" s="6"/>
      <c r="AF3772" s="6"/>
      <c r="AG3772" s="6"/>
      <c r="AH3772" s="6"/>
      <c r="AI3772" s="6"/>
      <c r="AJ3772" s="6"/>
      <c r="AK3772" s="6"/>
      <c r="AL3772" s="6"/>
      <c r="AM3772" s="6"/>
    </row>
    <row r="3773">
      <c r="A3773" s="6"/>
      <c r="B3773" s="6"/>
      <c r="C3773" s="6"/>
      <c r="D3773" s="6"/>
      <c r="E3773" s="6"/>
      <c r="F3773" s="6"/>
      <c r="G3773" s="6"/>
      <c r="H3773" s="6"/>
      <c r="I3773" s="6"/>
      <c r="J3773" s="6"/>
      <c r="K3773" s="6"/>
      <c r="L3773" s="6"/>
      <c r="M3773" s="6"/>
      <c r="N3773" s="6"/>
      <c r="O3773" s="6"/>
      <c r="P3773" s="6"/>
      <c r="Q3773" s="6"/>
      <c r="R3773" s="6"/>
      <c r="S3773" s="6"/>
      <c r="T3773" s="6"/>
      <c r="U3773" s="6"/>
      <c r="V3773" s="6"/>
      <c r="W3773" s="6"/>
      <c r="X3773" s="6"/>
      <c r="Y3773" s="6"/>
      <c r="Z3773" s="6"/>
      <c r="AA3773" s="6"/>
      <c r="AB3773" s="6"/>
      <c r="AC3773" s="6"/>
      <c r="AD3773" s="6"/>
      <c r="AE3773" s="6"/>
      <c r="AF3773" s="6"/>
      <c r="AG3773" s="6"/>
      <c r="AH3773" s="6"/>
      <c r="AI3773" s="6"/>
      <c r="AJ3773" s="6"/>
      <c r="AK3773" s="6"/>
      <c r="AL3773" s="6"/>
      <c r="AM3773" s="6"/>
    </row>
    <row r="3774">
      <c r="A3774" s="6"/>
      <c r="B3774" s="6"/>
      <c r="C3774" s="6"/>
      <c r="D3774" s="6"/>
      <c r="E3774" s="6"/>
      <c r="F3774" s="6"/>
      <c r="G3774" s="6"/>
      <c r="H3774" s="6"/>
      <c r="I3774" s="6"/>
      <c r="J3774" s="6"/>
      <c r="K3774" s="6"/>
      <c r="L3774" s="6"/>
      <c r="M3774" s="6"/>
      <c r="N3774" s="6"/>
      <c r="O3774" s="6"/>
      <c r="P3774" s="6"/>
      <c r="Q3774" s="6"/>
      <c r="R3774" s="6"/>
      <c r="S3774" s="6"/>
      <c r="T3774" s="6"/>
      <c r="U3774" s="6"/>
      <c r="V3774" s="6"/>
      <c r="W3774" s="6"/>
      <c r="X3774" s="6"/>
      <c r="Y3774" s="6"/>
      <c r="Z3774" s="6"/>
      <c r="AA3774" s="6"/>
      <c r="AB3774" s="6"/>
      <c r="AC3774" s="6"/>
      <c r="AD3774" s="6"/>
      <c r="AE3774" s="6"/>
      <c r="AF3774" s="6"/>
      <c r="AG3774" s="6"/>
      <c r="AH3774" s="6"/>
      <c r="AI3774" s="6"/>
      <c r="AJ3774" s="6"/>
      <c r="AK3774" s="6"/>
      <c r="AL3774" s="6"/>
      <c r="AM3774" s="6"/>
    </row>
    <row r="3775">
      <c r="A3775" s="6"/>
      <c r="B3775" s="6"/>
      <c r="C3775" s="6"/>
      <c r="D3775" s="6"/>
      <c r="E3775" s="6"/>
      <c r="F3775" s="6"/>
      <c r="G3775" s="6"/>
      <c r="H3775" s="6"/>
      <c r="I3775" s="6"/>
      <c r="J3775" s="6"/>
      <c r="K3775" s="6"/>
      <c r="L3775" s="6"/>
      <c r="M3775" s="6"/>
      <c r="N3775" s="6"/>
      <c r="O3775" s="6"/>
      <c r="P3775" s="6"/>
      <c r="Q3775" s="6"/>
      <c r="R3775" s="6"/>
      <c r="S3775" s="6"/>
      <c r="T3775" s="6"/>
      <c r="U3775" s="6"/>
      <c r="V3775" s="6"/>
      <c r="W3775" s="6"/>
      <c r="X3775" s="6"/>
      <c r="Y3775" s="6"/>
      <c r="Z3775" s="6"/>
      <c r="AA3775" s="6"/>
      <c r="AB3775" s="6"/>
      <c r="AC3775" s="6"/>
      <c r="AD3775" s="6"/>
      <c r="AE3775" s="6"/>
      <c r="AF3775" s="6"/>
      <c r="AG3775" s="6"/>
      <c r="AH3775" s="6"/>
      <c r="AI3775" s="6"/>
      <c r="AJ3775" s="6"/>
      <c r="AK3775" s="6"/>
      <c r="AL3775" s="6"/>
      <c r="AM3775" s="6"/>
    </row>
    <row r="3776">
      <c r="A3776" s="6"/>
      <c r="B3776" s="6"/>
      <c r="C3776" s="6"/>
      <c r="D3776" s="6"/>
      <c r="E3776" s="6"/>
      <c r="F3776" s="6"/>
      <c r="G3776" s="6"/>
      <c r="H3776" s="6"/>
      <c r="I3776" s="6"/>
      <c r="J3776" s="6"/>
      <c r="K3776" s="6"/>
      <c r="L3776" s="6"/>
      <c r="M3776" s="6"/>
      <c r="N3776" s="6"/>
      <c r="O3776" s="6"/>
      <c r="P3776" s="6"/>
      <c r="Q3776" s="6"/>
      <c r="R3776" s="6"/>
      <c r="S3776" s="6"/>
      <c r="T3776" s="6"/>
      <c r="U3776" s="6"/>
      <c r="V3776" s="6"/>
      <c r="W3776" s="6"/>
      <c r="X3776" s="6"/>
      <c r="Y3776" s="6"/>
      <c r="Z3776" s="6"/>
      <c r="AA3776" s="6"/>
      <c r="AB3776" s="6"/>
      <c r="AC3776" s="6"/>
      <c r="AD3776" s="6"/>
      <c r="AE3776" s="6"/>
      <c r="AF3776" s="6"/>
      <c r="AG3776" s="6"/>
      <c r="AH3776" s="6"/>
      <c r="AI3776" s="6"/>
      <c r="AJ3776" s="6"/>
      <c r="AK3776" s="6"/>
      <c r="AL3776" s="6"/>
      <c r="AM3776" s="6"/>
    </row>
    <row r="3777">
      <c r="A3777" s="6"/>
      <c r="B3777" s="6"/>
      <c r="C3777" s="6"/>
      <c r="D3777" s="6"/>
      <c r="E3777" s="6"/>
      <c r="F3777" s="6"/>
      <c r="G3777" s="6"/>
      <c r="H3777" s="6"/>
      <c r="I3777" s="6"/>
      <c r="J3777" s="6"/>
      <c r="K3777" s="6"/>
      <c r="L3777" s="6"/>
      <c r="M3777" s="6"/>
      <c r="N3777" s="6"/>
      <c r="O3777" s="6"/>
      <c r="P3777" s="6"/>
      <c r="Q3777" s="6"/>
      <c r="R3777" s="6"/>
      <c r="S3777" s="6"/>
      <c r="T3777" s="6"/>
      <c r="U3777" s="6"/>
      <c r="V3777" s="6"/>
      <c r="W3777" s="6"/>
      <c r="X3777" s="6"/>
      <c r="Y3777" s="6"/>
      <c r="Z3777" s="6"/>
      <c r="AA3777" s="6"/>
      <c r="AB3777" s="6"/>
      <c r="AC3777" s="6"/>
      <c r="AD3777" s="6"/>
      <c r="AE3777" s="6"/>
      <c r="AF3777" s="6"/>
      <c r="AG3777" s="6"/>
      <c r="AH3777" s="6"/>
      <c r="AI3777" s="6"/>
      <c r="AJ3777" s="6"/>
      <c r="AK3777" s="6"/>
      <c r="AL3777" s="6"/>
      <c r="AM3777" s="6"/>
    </row>
    <row r="3778">
      <c r="A3778" s="6"/>
      <c r="B3778" s="6"/>
      <c r="C3778" s="6"/>
      <c r="D3778" s="6"/>
      <c r="E3778" s="6"/>
      <c r="F3778" s="6"/>
      <c r="G3778" s="6"/>
      <c r="H3778" s="6"/>
      <c r="I3778" s="6"/>
      <c r="J3778" s="6"/>
      <c r="K3778" s="6"/>
      <c r="L3778" s="6"/>
      <c r="M3778" s="6"/>
      <c r="N3778" s="6"/>
      <c r="O3778" s="6"/>
      <c r="P3778" s="6"/>
      <c r="Q3778" s="6"/>
      <c r="R3778" s="6"/>
      <c r="S3778" s="6"/>
      <c r="T3778" s="6"/>
      <c r="U3778" s="6"/>
      <c r="V3778" s="6"/>
      <c r="W3778" s="6"/>
      <c r="X3778" s="6"/>
      <c r="Y3778" s="6"/>
      <c r="Z3778" s="6"/>
      <c r="AA3778" s="6"/>
      <c r="AB3778" s="6"/>
      <c r="AC3778" s="6"/>
      <c r="AD3778" s="6"/>
      <c r="AE3778" s="6"/>
      <c r="AF3778" s="6"/>
      <c r="AG3778" s="6"/>
      <c r="AH3778" s="6"/>
      <c r="AI3778" s="6"/>
      <c r="AJ3778" s="6"/>
      <c r="AK3778" s="6"/>
      <c r="AL3778" s="6"/>
      <c r="AM3778" s="6"/>
    </row>
    <row r="3779">
      <c r="A3779" s="6"/>
      <c r="B3779" s="6"/>
      <c r="C3779" s="6"/>
      <c r="D3779" s="6"/>
      <c r="E3779" s="6"/>
      <c r="F3779" s="6"/>
      <c r="G3779" s="6"/>
      <c r="H3779" s="6"/>
      <c r="I3779" s="6"/>
      <c r="J3779" s="6"/>
      <c r="K3779" s="6"/>
      <c r="L3779" s="6"/>
      <c r="M3779" s="6"/>
      <c r="N3779" s="6"/>
      <c r="O3779" s="6"/>
      <c r="P3779" s="6"/>
      <c r="Q3779" s="6"/>
      <c r="R3779" s="6"/>
      <c r="S3779" s="6"/>
      <c r="T3779" s="6"/>
      <c r="U3779" s="6"/>
      <c r="V3779" s="6"/>
      <c r="W3779" s="6"/>
      <c r="X3779" s="6"/>
      <c r="Y3779" s="6"/>
      <c r="Z3779" s="6"/>
      <c r="AA3779" s="6"/>
      <c r="AB3779" s="6"/>
      <c r="AC3779" s="6"/>
      <c r="AD3779" s="6"/>
      <c r="AE3779" s="6"/>
      <c r="AF3779" s="6"/>
      <c r="AG3779" s="6"/>
      <c r="AH3779" s="6"/>
      <c r="AI3779" s="6"/>
      <c r="AJ3779" s="6"/>
      <c r="AK3779" s="6"/>
      <c r="AL3779" s="6"/>
      <c r="AM3779" s="6"/>
    </row>
    <row r="3780">
      <c r="A3780" s="6"/>
      <c r="B3780" s="6"/>
      <c r="C3780" s="6"/>
      <c r="D3780" s="6"/>
      <c r="E3780" s="6"/>
      <c r="F3780" s="6"/>
      <c r="G3780" s="6"/>
      <c r="H3780" s="6"/>
      <c r="I3780" s="6"/>
      <c r="J3780" s="6"/>
      <c r="K3780" s="6"/>
      <c r="L3780" s="6"/>
      <c r="M3780" s="6"/>
      <c r="N3780" s="6"/>
      <c r="O3780" s="6"/>
      <c r="P3780" s="6"/>
      <c r="Q3780" s="6"/>
      <c r="R3780" s="6"/>
      <c r="S3780" s="6"/>
      <c r="T3780" s="6"/>
      <c r="U3780" s="6"/>
      <c r="V3780" s="6"/>
      <c r="W3780" s="6"/>
      <c r="X3780" s="6"/>
      <c r="Y3780" s="6"/>
      <c r="Z3780" s="6"/>
      <c r="AA3780" s="6"/>
      <c r="AB3780" s="6"/>
      <c r="AC3780" s="6"/>
      <c r="AD3780" s="6"/>
      <c r="AE3780" s="6"/>
      <c r="AF3780" s="6"/>
      <c r="AG3780" s="6"/>
      <c r="AH3780" s="6"/>
      <c r="AI3780" s="6"/>
      <c r="AJ3780" s="6"/>
      <c r="AK3780" s="6"/>
      <c r="AL3780" s="6"/>
      <c r="AM3780" s="6"/>
    </row>
    <row r="3781">
      <c r="A3781" s="6"/>
      <c r="B3781" s="6"/>
      <c r="C3781" s="6"/>
      <c r="D3781" s="6"/>
      <c r="E3781" s="6"/>
      <c r="F3781" s="6"/>
      <c r="G3781" s="6"/>
      <c r="H3781" s="6"/>
      <c r="I3781" s="6"/>
      <c r="J3781" s="6"/>
      <c r="K3781" s="6"/>
      <c r="L3781" s="6"/>
      <c r="M3781" s="6"/>
      <c r="N3781" s="6"/>
      <c r="O3781" s="6"/>
      <c r="P3781" s="6"/>
      <c r="Q3781" s="6"/>
      <c r="R3781" s="6"/>
      <c r="S3781" s="6"/>
      <c r="T3781" s="6"/>
      <c r="U3781" s="6"/>
      <c r="V3781" s="6"/>
      <c r="W3781" s="6"/>
      <c r="X3781" s="6"/>
      <c r="Y3781" s="6"/>
      <c r="Z3781" s="6"/>
      <c r="AA3781" s="6"/>
      <c r="AB3781" s="6"/>
      <c r="AC3781" s="6"/>
      <c r="AD3781" s="6"/>
      <c r="AE3781" s="6"/>
      <c r="AF3781" s="6"/>
      <c r="AG3781" s="6"/>
      <c r="AH3781" s="6"/>
      <c r="AI3781" s="6"/>
      <c r="AJ3781" s="6"/>
      <c r="AK3781" s="6"/>
      <c r="AL3781" s="6"/>
      <c r="AM3781" s="6"/>
    </row>
    <row r="3782">
      <c r="A3782" s="6"/>
      <c r="B3782" s="6"/>
      <c r="C3782" s="6"/>
      <c r="D3782" s="6"/>
      <c r="E3782" s="6"/>
      <c r="F3782" s="6"/>
      <c r="G3782" s="6"/>
      <c r="H3782" s="6"/>
      <c r="I3782" s="6"/>
      <c r="J3782" s="6"/>
      <c r="K3782" s="6"/>
      <c r="L3782" s="6"/>
      <c r="M3782" s="6"/>
      <c r="N3782" s="6"/>
      <c r="O3782" s="6"/>
      <c r="P3782" s="6"/>
      <c r="Q3782" s="6"/>
      <c r="R3782" s="6"/>
      <c r="S3782" s="6"/>
      <c r="T3782" s="6"/>
      <c r="U3782" s="6"/>
      <c r="V3782" s="6"/>
      <c r="W3782" s="6"/>
      <c r="X3782" s="6"/>
      <c r="Y3782" s="6"/>
      <c r="Z3782" s="6"/>
      <c r="AA3782" s="6"/>
      <c r="AB3782" s="6"/>
      <c r="AC3782" s="6"/>
      <c r="AD3782" s="6"/>
      <c r="AE3782" s="6"/>
      <c r="AF3782" s="6"/>
      <c r="AG3782" s="6"/>
      <c r="AH3782" s="6"/>
      <c r="AI3782" s="6"/>
      <c r="AJ3782" s="6"/>
      <c r="AK3782" s="6"/>
      <c r="AL3782" s="6"/>
      <c r="AM3782" s="6"/>
    </row>
    <row r="3783">
      <c r="A3783" s="6"/>
      <c r="B3783" s="6"/>
      <c r="C3783" s="6"/>
      <c r="D3783" s="6"/>
      <c r="E3783" s="6"/>
      <c r="F3783" s="6"/>
      <c r="G3783" s="6"/>
      <c r="H3783" s="6"/>
      <c r="I3783" s="6"/>
      <c r="J3783" s="6"/>
      <c r="K3783" s="6"/>
      <c r="L3783" s="6"/>
      <c r="M3783" s="6"/>
      <c r="N3783" s="6"/>
      <c r="O3783" s="6"/>
      <c r="P3783" s="6"/>
      <c r="Q3783" s="6"/>
      <c r="R3783" s="6"/>
      <c r="S3783" s="6"/>
      <c r="T3783" s="6"/>
      <c r="U3783" s="6"/>
      <c r="V3783" s="6"/>
      <c r="W3783" s="6"/>
      <c r="X3783" s="6"/>
      <c r="Y3783" s="6"/>
      <c r="Z3783" s="6"/>
      <c r="AA3783" s="6"/>
      <c r="AB3783" s="6"/>
      <c r="AC3783" s="6"/>
      <c r="AD3783" s="6"/>
      <c r="AE3783" s="6"/>
      <c r="AF3783" s="6"/>
      <c r="AG3783" s="6"/>
      <c r="AH3783" s="6"/>
      <c r="AI3783" s="6"/>
      <c r="AJ3783" s="6"/>
      <c r="AK3783" s="6"/>
      <c r="AL3783" s="6"/>
      <c r="AM3783" s="6"/>
    </row>
    <row r="3784">
      <c r="A3784" s="6"/>
      <c r="B3784" s="6"/>
      <c r="C3784" s="6"/>
      <c r="D3784" s="6"/>
      <c r="E3784" s="6"/>
      <c r="F3784" s="6"/>
      <c r="G3784" s="6"/>
      <c r="H3784" s="6"/>
      <c r="I3784" s="6"/>
      <c r="J3784" s="6"/>
      <c r="K3784" s="6"/>
      <c r="L3784" s="6"/>
      <c r="M3784" s="6"/>
      <c r="N3784" s="6"/>
      <c r="O3784" s="6"/>
      <c r="P3784" s="6"/>
      <c r="Q3784" s="6"/>
      <c r="R3784" s="6"/>
      <c r="S3784" s="6"/>
      <c r="T3784" s="6"/>
      <c r="U3784" s="6"/>
      <c r="V3784" s="6"/>
      <c r="W3784" s="6"/>
      <c r="X3784" s="6"/>
      <c r="Y3784" s="6"/>
      <c r="Z3784" s="6"/>
      <c r="AA3784" s="6"/>
      <c r="AB3784" s="6"/>
      <c r="AC3784" s="6"/>
      <c r="AD3784" s="6"/>
      <c r="AE3784" s="6"/>
      <c r="AF3784" s="6"/>
      <c r="AG3784" s="6"/>
      <c r="AH3784" s="6"/>
      <c r="AI3784" s="6"/>
      <c r="AJ3784" s="6"/>
      <c r="AK3784" s="6"/>
      <c r="AL3784" s="6"/>
      <c r="AM3784" s="6"/>
    </row>
    <row r="3785">
      <c r="A3785" s="6"/>
      <c r="B3785" s="6"/>
      <c r="C3785" s="6"/>
      <c r="D3785" s="6"/>
      <c r="E3785" s="6"/>
      <c r="F3785" s="6"/>
      <c r="G3785" s="6"/>
      <c r="H3785" s="6"/>
      <c r="I3785" s="6"/>
      <c r="J3785" s="6"/>
      <c r="K3785" s="6"/>
      <c r="L3785" s="6"/>
      <c r="M3785" s="6"/>
      <c r="N3785" s="6"/>
      <c r="O3785" s="6"/>
      <c r="P3785" s="6"/>
      <c r="Q3785" s="6"/>
      <c r="R3785" s="6"/>
      <c r="S3785" s="6"/>
      <c r="T3785" s="6"/>
      <c r="U3785" s="6"/>
      <c r="V3785" s="6"/>
      <c r="W3785" s="6"/>
      <c r="X3785" s="6"/>
      <c r="Y3785" s="6"/>
      <c r="Z3785" s="6"/>
      <c r="AA3785" s="6"/>
      <c r="AB3785" s="6"/>
      <c r="AC3785" s="6"/>
      <c r="AD3785" s="6"/>
      <c r="AE3785" s="6"/>
      <c r="AF3785" s="6"/>
      <c r="AG3785" s="6"/>
      <c r="AH3785" s="6"/>
      <c r="AI3785" s="6"/>
      <c r="AJ3785" s="6"/>
      <c r="AK3785" s="6"/>
      <c r="AL3785" s="6"/>
      <c r="AM3785" s="6"/>
    </row>
    <row r="3786">
      <c r="A3786" s="6"/>
      <c r="B3786" s="6"/>
      <c r="C3786" s="6"/>
      <c r="D3786" s="6"/>
      <c r="E3786" s="6"/>
      <c r="F3786" s="6"/>
      <c r="G3786" s="6"/>
      <c r="H3786" s="6"/>
      <c r="I3786" s="6"/>
      <c r="J3786" s="6"/>
      <c r="K3786" s="6"/>
      <c r="L3786" s="6"/>
      <c r="M3786" s="6"/>
      <c r="N3786" s="6"/>
      <c r="O3786" s="6"/>
      <c r="P3786" s="6"/>
      <c r="Q3786" s="6"/>
      <c r="R3786" s="6"/>
      <c r="S3786" s="6"/>
      <c r="T3786" s="6"/>
      <c r="U3786" s="6"/>
      <c r="V3786" s="6"/>
      <c r="W3786" s="6"/>
      <c r="X3786" s="6"/>
      <c r="Y3786" s="6"/>
      <c r="Z3786" s="6"/>
      <c r="AA3786" s="6"/>
      <c r="AB3786" s="6"/>
      <c r="AC3786" s="6"/>
      <c r="AD3786" s="6"/>
      <c r="AE3786" s="6"/>
      <c r="AF3786" s="6"/>
      <c r="AG3786" s="6"/>
      <c r="AH3786" s="6"/>
      <c r="AI3786" s="6"/>
      <c r="AJ3786" s="6"/>
      <c r="AK3786" s="6"/>
      <c r="AL3786" s="6"/>
      <c r="AM3786" s="6"/>
    </row>
    <row r="3787">
      <c r="A3787" s="6"/>
      <c r="B3787" s="6"/>
      <c r="C3787" s="6"/>
      <c r="D3787" s="6"/>
      <c r="E3787" s="6"/>
      <c r="F3787" s="6"/>
      <c r="G3787" s="6"/>
      <c r="H3787" s="6"/>
      <c r="I3787" s="6"/>
      <c r="J3787" s="6"/>
      <c r="K3787" s="6"/>
      <c r="L3787" s="6"/>
      <c r="M3787" s="6"/>
      <c r="N3787" s="6"/>
      <c r="O3787" s="6"/>
      <c r="P3787" s="6"/>
      <c r="Q3787" s="6"/>
      <c r="R3787" s="6"/>
      <c r="S3787" s="6"/>
      <c r="T3787" s="6"/>
      <c r="U3787" s="6"/>
      <c r="V3787" s="6"/>
      <c r="W3787" s="6"/>
      <c r="X3787" s="6"/>
      <c r="Y3787" s="6"/>
      <c r="Z3787" s="6"/>
      <c r="AA3787" s="6"/>
      <c r="AB3787" s="6"/>
      <c r="AC3787" s="6"/>
      <c r="AD3787" s="6"/>
      <c r="AE3787" s="6"/>
      <c r="AF3787" s="6"/>
      <c r="AG3787" s="6"/>
      <c r="AH3787" s="6"/>
      <c r="AI3787" s="6"/>
      <c r="AJ3787" s="6"/>
      <c r="AK3787" s="6"/>
      <c r="AL3787" s="6"/>
      <c r="AM3787" s="6"/>
    </row>
    <row r="3788">
      <c r="A3788" s="6"/>
      <c r="B3788" s="6"/>
      <c r="C3788" s="6"/>
      <c r="D3788" s="6"/>
      <c r="E3788" s="6"/>
      <c r="F3788" s="6"/>
      <c r="G3788" s="6"/>
      <c r="H3788" s="6"/>
      <c r="I3788" s="6"/>
      <c r="J3788" s="6"/>
      <c r="K3788" s="6"/>
      <c r="L3788" s="6"/>
      <c r="M3788" s="6"/>
      <c r="N3788" s="6"/>
      <c r="O3788" s="6"/>
      <c r="P3788" s="6"/>
      <c r="Q3788" s="6"/>
      <c r="R3788" s="6"/>
      <c r="S3788" s="6"/>
      <c r="T3788" s="6"/>
      <c r="U3788" s="6"/>
      <c r="V3788" s="6"/>
      <c r="W3788" s="6"/>
      <c r="X3788" s="6"/>
      <c r="Y3788" s="6"/>
      <c r="Z3788" s="6"/>
      <c r="AA3788" s="6"/>
      <c r="AB3788" s="6"/>
      <c r="AC3788" s="6"/>
      <c r="AD3788" s="6"/>
      <c r="AE3788" s="6"/>
      <c r="AF3788" s="6"/>
      <c r="AG3788" s="6"/>
      <c r="AH3788" s="6"/>
      <c r="AI3788" s="6"/>
      <c r="AJ3788" s="6"/>
      <c r="AK3788" s="6"/>
      <c r="AL3788" s="6"/>
      <c r="AM3788" s="6"/>
    </row>
    <row r="3789">
      <c r="A3789" s="6"/>
      <c r="B3789" s="6"/>
      <c r="C3789" s="6"/>
      <c r="D3789" s="6"/>
      <c r="E3789" s="6"/>
      <c r="F3789" s="6"/>
      <c r="G3789" s="6"/>
      <c r="H3789" s="6"/>
      <c r="I3789" s="6"/>
      <c r="J3789" s="6"/>
      <c r="K3789" s="6"/>
      <c r="L3789" s="6"/>
      <c r="M3789" s="6"/>
      <c r="N3789" s="6"/>
      <c r="O3789" s="6"/>
      <c r="P3789" s="6"/>
      <c r="Q3789" s="6"/>
      <c r="R3789" s="6"/>
      <c r="S3789" s="6"/>
      <c r="T3789" s="6"/>
      <c r="U3789" s="6"/>
      <c r="V3789" s="6"/>
      <c r="W3789" s="6"/>
      <c r="X3789" s="6"/>
      <c r="Y3789" s="6"/>
      <c r="Z3789" s="6"/>
      <c r="AA3789" s="6"/>
      <c r="AB3789" s="6"/>
      <c r="AC3789" s="6"/>
      <c r="AD3789" s="6"/>
      <c r="AE3789" s="6"/>
      <c r="AF3789" s="6"/>
      <c r="AG3789" s="6"/>
      <c r="AH3789" s="6"/>
      <c r="AI3789" s="6"/>
      <c r="AJ3789" s="6"/>
      <c r="AK3789" s="6"/>
      <c r="AL3789" s="6"/>
      <c r="AM3789" s="6"/>
    </row>
    <row r="3790">
      <c r="A3790" s="6"/>
      <c r="B3790" s="6"/>
      <c r="C3790" s="6"/>
      <c r="D3790" s="6"/>
      <c r="E3790" s="6"/>
      <c r="F3790" s="6"/>
      <c r="G3790" s="6"/>
      <c r="H3790" s="6"/>
      <c r="I3790" s="6"/>
      <c r="J3790" s="6"/>
      <c r="K3790" s="6"/>
      <c r="L3790" s="6"/>
      <c r="M3790" s="6"/>
      <c r="N3790" s="6"/>
      <c r="O3790" s="6"/>
      <c r="P3790" s="6"/>
      <c r="Q3790" s="6"/>
      <c r="R3790" s="6"/>
      <c r="S3790" s="6"/>
      <c r="T3790" s="6"/>
      <c r="U3790" s="6"/>
      <c r="V3790" s="6"/>
      <c r="W3790" s="6"/>
      <c r="X3790" s="6"/>
      <c r="Y3790" s="6"/>
      <c r="Z3790" s="6"/>
      <c r="AA3790" s="6"/>
      <c r="AB3790" s="6"/>
      <c r="AC3790" s="6"/>
      <c r="AD3790" s="6"/>
      <c r="AE3790" s="6"/>
      <c r="AF3790" s="6"/>
      <c r="AG3790" s="6"/>
      <c r="AH3790" s="6"/>
      <c r="AI3790" s="6"/>
      <c r="AJ3790" s="6"/>
      <c r="AK3790" s="6"/>
      <c r="AL3790" s="6"/>
      <c r="AM3790" s="6"/>
    </row>
    <row r="3791">
      <c r="A3791" s="6"/>
      <c r="B3791" s="6"/>
      <c r="C3791" s="6"/>
      <c r="D3791" s="6"/>
      <c r="E3791" s="6"/>
      <c r="F3791" s="6"/>
      <c r="G3791" s="6"/>
      <c r="H3791" s="6"/>
      <c r="I3791" s="6"/>
      <c r="J3791" s="6"/>
      <c r="K3791" s="6"/>
      <c r="L3791" s="6"/>
      <c r="M3791" s="6"/>
      <c r="N3791" s="6"/>
      <c r="O3791" s="6"/>
      <c r="P3791" s="6"/>
      <c r="Q3791" s="6"/>
      <c r="R3791" s="6"/>
      <c r="S3791" s="6"/>
      <c r="T3791" s="6"/>
      <c r="U3791" s="6"/>
      <c r="V3791" s="6"/>
      <c r="W3791" s="6"/>
      <c r="X3791" s="6"/>
      <c r="Y3791" s="6"/>
      <c r="Z3791" s="6"/>
      <c r="AA3791" s="6"/>
      <c r="AB3791" s="6"/>
      <c r="AC3791" s="6"/>
      <c r="AD3791" s="6"/>
      <c r="AE3791" s="6"/>
      <c r="AF3791" s="6"/>
      <c r="AG3791" s="6"/>
      <c r="AH3791" s="6"/>
      <c r="AI3791" s="6"/>
      <c r="AJ3791" s="6"/>
      <c r="AK3791" s="6"/>
      <c r="AL3791" s="6"/>
      <c r="AM3791" s="6"/>
    </row>
    <row r="3792">
      <c r="A3792" s="6"/>
      <c r="B3792" s="6"/>
      <c r="C3792" s="6"/>
      <c r="D3792" s="6"/>
      <c r="E3792" s="6"/>
      <c r="F3792" s="6"/>
      <c r="G3792" s="6"/>
      <c r="H3792" s="6"/>
      <c r="I3792" s="6"/>
      <c r="J3792" s="6"/>
      <c r="K3792" s="6"/>
      <c r="L3792" s="6"/>
      <c r="M3792" s="6"/>
      <c r="N3792" s="6"/>
      <c r="O3792" s="6"/>
      <c r="P3792" s="6"/>
      <c r="Q3792" s="6"/>
      <c r="R3792" s="6"/>
      <c r="S3792" s="6"/>
      <c r="T3792" s="6"/>
      <c r="U3792" s="6"/>
      <c r="V3792" s="6"/>
      <c r="W3792" s="6"/>
      <c r="X3792" s="6"/>
      <c r="Y3792" s="6"/>
      <c r="Z3792" s="6"/>
      <c r="AA3792" s="6"/>
      <c r="AB3792" s="6"/>
      <c r="AC3792" s="6"/>
      <c r="AD3792" s="6"/>
      <c r="AE3792" s="6"/>
      <c r="AF3792" s="6"/>
      <c r="AG3792" s="6"/>
      <c r="AH3792" s="6"/>
      <c r="AI3792" s="6"/>
      <c r="AJ3792" s="6"/>
      <c r="AK3792" s="6"/>
      <c r="AL3792" s="6"/>
      <c r="AM3792" s="6"/>
    </row>
    <row r="3793">
      <c r="A3793" s="6"/>
      <c r="B3793" s="6"/>
      <c r="C3793" s="6"/>
      <c r="D3793" s="6"/>
      <c r="E3793" s="6"/>
      <c r="F3793" s="6"/>
      <c r="G3793" s="6"/>
      <c r="H3793" s="6"/>
      <c r="I3793" s="6"/>
      <c r="J3793" s="6"/>
      <c r="K3793" s="6"/>
      <c r="L3793" s="6"/>
      <c r="M3793" s="6"/>
      <c r="N3793" s="6"/>
      <c r="O3793" s="6"/>
      <c r="P3793" s="6"/>
      <c r="Q3793" s="6"/>
      <c r="R3793" s="6"/>
      <c r="S3793" s="6"/>
      <c r="T3793" s="6"/>
      <c r="U3793" s="6"/>
      <c r="V3793" s="6"/>
      <c r="W3793" s="6"/>
      <c r="X3793" s="6"/>
      <c r="Y3793" s="6"/>
      <c r="Z3793" s="6"/>
      <c r="AA3793" s="6"/>
      <c r="AB3793" s="6"/>
      <c r="AC3793" s="6"/>
      <c r="AD3793" s="6"/>
      <c r="AE3793" s="6"/>
      <c r="AF3793" s="6"/>
      <c r="AG3793" s="6"/>
      <c r="AH3793" s="6"/>
      <c r="AI3793" s="6"/>
      <c r="AJ3793" s="6"/>
      <c r="AK3793" s="6"/>
      <c r="AL3793" s="6"/>
      <c r="AM3793" s="6"/>
    </row>
    <row r="3794">
      <c r="A3794" s="6"/>
      <c r="B3794" s="6"/>
      <c r="C3794" s="6"/>
      <c r="D3794" s="6"/>
      <c r="E3794" s="6"/>
      <c r="F3794" s="6"/>
      <c r="G3794" s="6"/>
      <c r="H3794" s="6"/>
      <c r="I3794" s="6"/>
      <c r="J3794" s="6"/>
      <c r="K3794" s="6"/>
      <c r="L3794" s="6"/>
      <c r="M3794" s="6"/>
      <c r="N3794" s="6"/>
      <c r="O3794" s="6"/>
      <c r="P3794" s="6"/>
      <c r="Q3794" s="6"/>
      <c r="R3794" s="6"/>
      <c r="S3794" s="6"/>
      <c r="T3794" s="6"/>
      <c r="U3794" s="6"/>
      <c r="V3794" s="6"/>
      <c r="W3794" s="6"/>
      <c r="X3794" s="6"/>
      <c r="Y3794" s="6"/>
      <c r="Z3794" s="6"/>
      <c r="AA3794" s="6"/>
      <c r="AB3794" s="6"/>
      <c r="AC3794" s="6"/>
      <c r="AD3794" s="6"/>
      <c r="AE3794" s="6"/>
      <c r="AF3794" s="6"/>
      <c r="AG3794" s="6"/>
      <c r="AH3794" s="6"/>
      <c r="AI3794" s="6"/>
      <c r="AJ3794" s="6"/>
      <c r="AK3794" s="6"/>
      <c r="AL3794" s="6"/>
      <c r="AM3794" s="6"/>
    </row>
    <row r="3795">
      <c r="A3795" s="6"/>
      <c r="B3795" s="6"/>
      <c r="C3795" s="6"/>
      <c r="D3795" s="6"/>
      <c r="E3795" s="6"/>
      <c r="F3795" s="6"/>
      <c r="G3795" s="6"/>
      <c r="H3795" s="6"/>
      <c r="I3795" s="6"/>
      <c r="J3795" s="6"/>
      <c r="K3795" s="6"/>
      <c r="L3795" s="6"/>
      <c r="M3795" s="6"/>
      <c r="N3795" s="6"/>
      <c r="O3795" s="6"/>
      <c r="P3795" s="6"/>
      <c r="Q3795" s="6"/>
      <c r="R3795" s="6"/>
      <c r="S3795" s="6"/>
      <c r="T3795" s="6"/>
      <c r="U3795" s="6"/>
      <c r="V3795" s="6"/>
      <c r="W3795" s="6"/>
      <c r="X3795" s="6"/>
      <c r="Y3795" s="6"/>
      <c r="Z3795" s="6"/>
      <c r="AA3795" s="6"/>
      <c r="AB3795" s="6"/>
      <c r="AC3795" s="6"/>
      <c r="AD3795" s="6"/>
      <c r="AE3795" s="6"/>
      <c r="AF3795" s="6"/>
      <c r="AG3795" s="6"/>
      <c r="AH3795" s="6"/>
      <c r="AI3795" s="6"/>
      <c r="AJ3795" s="6"/>
      <c r="AK3795" s="6"/>
      <c r="AL3795" s="6"/>
      <c r="AM3795" s="6"/>
    </row>
    <row r="3796">
      <c r="A3796" s="6"/>
      <c r="B3796" s="6"/>
      <c r="C3796" s="6"/>
      <c r="D3796" s="6"/>
      <c r="E3796" s="6"/>
      <c r="F3796" s="6"/>
      <c r="G3796" s="6"/>
      <c r="H3796" s="6"/>
      <c r="I3796" s="6"/>
      <c r="J3796" s="6"/>
      <c r="K3796" s="6"/>
      <c r="L3796" s="6"/>
      <c r="M3796" s="6"/>
      <c r="N3796" s="6"/>
      <c r="O3796" s="6"/>
      <c r="P3796" s="6"/>
      <c r="Q3796" s="6"/>
      <c r="R3796" s="6"/>
      <c r="S3796" s="6"/>
      <c r="T3796" s="6"/>
      <c r="U3796" s="6"/>
      <c r="V3796" s="6"/>
      <c r="W3796" s="6"/>
      <c r="X3796" s="6"/>
      <c r="Y3796" s="6"/>
      <c r="Z3796" s="6"/>
      <c r="AA3796" s="6"/>
      <c r="AB3796" s="6"/>
      <c r="AC3796" s="6"/>
      <c r="AD3796" s="6"/>
      <c r="AE3796" s="6"/>
      <c r="AF3796" s="6"/>
      <c r="AG3796" s="6"/>
      <c r="AH3796" s="6"/>
      <c r="AI3796" s="6"/>
      <c r="AJ3796" s="6"/>
      <c r="AK3796" s="6"/>
      <c r="AL3796" s="6"/>
      <c r="AM3796" s="6"/>
    </row>
    <row r="3797">
      <c r="A3797" s="6"/>
      <c r="B3797" s="6"/>
      <c r="C3797" s="6"/>
      <c r="D3797" s="6"/>
      <c r="E3797" s="6"/>
      <c r="F3797" s="6"/>
      <c r="G3797" s="6"/>
      <c r="H3797" s="6"/>
      <c r="I3797" s="6"/>
      <c r="J3797" s="6"/>
      <c r="K3797" s="6"/>
      <c r="L3797" s="6"/>
      <c r="M3797" s="6"/>
      <c r="N3797" s="6"/>
      <c r="O3797" s="6"/>
      <c r="P3797" s="6"/>
      <c r="Q3797" s="6"/>
      <c r="R3797" s="6"/>
      <c r="S3797" s="6"/>
      <c r="T3797" s="6"/>
      <c r="U3797" s="6"/>
      <c r="V3797" s="6"/>
      <c r="W3797" s="6"/>
      <c r="X3797" s="6"/>
      <c r="Y3797" s="6"/>
      <c r="Z3797" s="6"/>
      <c r="AA3797" s="6"/>
      <c r="AB3797" s="6"/>
      <c r="AC3797" s="6"/>
      <c r="AD3797" s="6"/>
      <c r="AE3797" s="6"/>
      <c r="AF3797" s="6"/>
      <c r="AG3797" s="6"/>
      <c r="AH3797" s="6"/>
      <c r="AI3797" s="6"/>
      <c r="AJ3797" s="6"/>
      <c r="AK3797" s="6"/>
      <c r="AL3797" s="6"/>
      <c r="AM3797" s="6"/>
    </row>
    <row r="3798">
      <c r="A3798" s="6"/>
      <c r="B3798" s="6"/>
      <c r="C3798" s="6"/>
      <c r="D3798" s="6"/>
      <c r="E3798" s="6"/>
      <c r="F3798" s="6"/>
      <c r="G3798" s="6"/>
      <c r="H3798" s="6"/>
      <c r="I3798" s="6"/>
      <c r="J3798" s="6"/>
      <c r="K3798" s="6"/>
      <c r="L3798" s="6"/>
      <c r="M3798" s="6"/>
      <c r="N3798" s="6"/>
      <c r="O3798" s="6"/>
      <c r="P3798" s="6"/>
      <c r="Q3798" s="6"/>
      <c r="R3798" s="6"/>
      <c r="S3798" s="6"/>
      <c r="T3798" s="6"/>
      <c r="U3798" s="6"/>
      <c r="V3798" s="6"/>
      <c r="W3798" s="6"/>
      <c r="X3798" s="6"/>
      <c r="Y3798" s="6"/>
      <c r="Z3798" s="6"/>
      <c r="AA3798" s="6"/>
      <c r="AB3798" s="6"/>
      <c r="AC3798" s="6"/>
      <c r="AD3798" s="6"/>
      <c r="AE3798" s="6"/>
      <c r="AF3798" s="6"/>
      <c r="AG3798" s="6"/>
      <c r="AH3798" s="6"/>
      <c r="AI3798" s="6"/>
      <c r="AJ3798" s="6"/>
      <c r="AK3798" s="6"/>
      <c r="AL3798" s="6"/>
      <c r="AM3798" s="6"/>
    </row>
    <row r="3799">
      <c r="A3799" s="6"/>
      <c r="B3799" s="6"/>
      <c r="C3799" s="6"/>
      <c r="D3799" s="6"/>
      <c r="E3799" s="6"/>
      <c r="F3799" s="6"/>
      <c r="G3799" s="6"/>
      <c r="H3799" s="6"/>
      <c r="I3799" s="6"/>
      <c r="J3799" s="6"/>
      <c r="K3799" s="6"/>
      <c r="L3799" s="6"/>
      <c r="M3799" s="6"/>
      <c r="N3799" s="6"/>
      <c r="O3799" s="6"/>
      <c r="P3799" s="6"/>
      <c r="Q3799" s="6"/>
      <c r="R3799" s="6"/>
      <c r="S3799" s="6"/>
      <c r="T3799" s="6"/>
      <c r="U3799" s="6"/>
      <c r="V3799" s="6"/>
      <c r="W3799" s="6"/>
      <c r="X3799" s="6"/>
      <c r="Y3799" s="6"/>
      <c r="Z3799" s="6"/>
      <c r="AA3799" s="6"/>
      <c r="AB3799" s="6"/>
      <c r="AC3799" s="6"/>
      <c r="AD3799" s="6"/>
      <c r="AE3799" s="6"/>
      <c r="AF3799" s="6"/>
      <c r="AG3799" s="6"/>
      <c r="AH3799" s="6"/>
      <c r="AI3799" s="6"/>
      <c r="AJ3799" s="6"/>
      <c r="AK3799" s="6"/>
      <c r="AL3799" s="6"/>
      <c r="AM3799" s="6"/>
    </row>
    <row r="3800">
      <c r="A3800" s="6"/>
      <c r="B3800" s="6"/>
      <c r="C3800" s="6"/>
      <c r="D3800" s="6"/>
      <c r="E3800" s="6"/>
      <c r="F3800" s="6"/>
      <c r="G3800" s="6"/>
      <c r="H3800" s="6"/>
      <c r="I3800" s="6"/>
      <c r="J3800" s="6"/>
      <c r="K3800" s="6"/>
      <c r="L3800" s="6"/>
      <c r="M3800" s="6"/>
      <c r="N3800" s="6"/>
      <c r="O3800" s="6"/>
      <c r="P3800" s="6"/>
      <c r="Q3800" s="6"/>
      <c r="R3800" s="6"/>
      <c r="S3800" s="6"/>
      <c r="T3800" s="6"/>
      <c r="U3800" s="6"/>
      <c r="V3800" s="6"/>
      <c r="W3800" s="6"/>
      <c r="X3800" s="6"/>
      <c r="Y3800" s="6"/>
      <c r="Z3800" s="6"/>
      <c r="AA3800" s="6"/>
      <c r="AB3800" s="6"/>
      <c r="AC3800" s="6"/>
      <c r="AD3800" s="6"/>
      <c r="AE3800" s="6"/>
      <c r="AF3800" s="6"/>
      <c r="AG3800" s="6"/>
      <c r="AH3800" s="6"/>
      <c r="AI3800" s="6"/>
      <c r="AJ3800" s="6"/>
      <c r="AK3800" s="6"/>
      <c r="AL3800" s="6"/>
      <c r="AM3800" s="6"/>
    </row>
    <row r="3801">
      <c r="A3801" s="6"/>
      <c r="B3801" s="6"/>
      <c r="C3801" s="6"/>
      <c r="D3801" s="6"/>
      <c r="E3801" s="6"/>
      <c r="F3801" s="6"/>
      <c r="G3801" s="6"/>
      <c r="H3801" s="6"/>
      <c r="I3801" s="6"/>
      <c r="J3801" s="6"/>
      <c r="K3801" s="6"/>
      <c r="L3801" s="6"/>
      <c r="M3801" s="6"/>
      <c r="N3801" s="6"/>
      <c r="O3801" s="6"/>
      <c r="P3801" s="6"/>
      <c r="Q3801" s="6"/>
      <c r="R3801" s="6"/>
      <c r="S3801" s="6"/>
      <c r="T3801" s="6"/>
      <c r="U3801" s="6"/>
      <c r="V3801" s="6"/>
      <c r="W3801" s="6"/>
      <c r="X3801" s="6"/>
      <c r="Y3801" s="6"/>
      <c r="Z3801" s="6"/>
      <c r="AA3801" s="6"/>
      <c r="AB3801" s="6"/>
      <c r="AC3801" s="6"/>
      <c r="AD3801" s="6"/>
      <c r="AE3801" s="6"/>
      <c r="AF3801" s="6"/>
      <c r="AG3801" s="6"/>
      <c r="AH3801" s="6"/>
      <c r="AI3801" s="6"/>
      <c r="AJ3801" s="6"/>
      <c r="AK3801" s="6"/>
      <c r="AL3801" s="6"/>
      <c r="AM3801" s="6"/>
    </row>
    <row r="3802">
      <c r="A3802" s="6"/>
      <c r="B3802" s="6"/>
      <c r="C3802" s="6"/>
      <c r="D3802" s="6"/>
      <c r="E3802" s="6"/>
      <c r="F3802" s="6"/>
      <c r="G3802" s="6"/>
      <c r="H3802" s="6"/>
      <c r="I3802" s="6"/>
      <c r="J3802" s="6"/>
      <c r="K3802" s="6"/>
      <c r="L3802" s="6"/>
      <c r="M3802" s="6"/>
      <c r="N3802" s="6"/>
      <c r="O3802" s="6"/>
      <c r="P3802" s="6"/>
      <c r="Q3802" s="6"/>
      <c r="R3802" s="6"/>
      <c r="S3802" s="6"/>
      <c r="T3802" s="6"/>
      <c r="U3802" s="6"/>
      <c r="V3802" s="6"/>
      <c r="W3802" s="6"/>
      <c r="X3802" s="6"/>
      <c r="Y3802" s="6"/>
      <c r="Z3802" s="6"/>
      <c r="AA3802" s="6"/>
      <c r="AB3802" s="6"/>
      <c r="AC3802" s="6"/>
      <c r="AD3802" s="6"/>
      <c r="AE3802" s="6"/>
      <c r="AF3802" s="6"/>
      <c r="AG3802" s="6"/>
      <c r="AH3802" s="6"/>
      <c r="AI3802" s="6"/>
      <c r="AJ3802" s="6"/>
      <c r="AK3802" s="6"/>
      <c r="AL3802" s="6"/>
      <c r="AM3802" s="6"/>
    </row>
    <row r="3803">
      <c r="A3803" s="6"/>
      <c r="B3803" s="6"/>
      <c r="C3803" s="6"/>
      <c r="D3803" s="6"/>
      <c r="E3803" s="6"/>
      <c r="F3803" s="6"/>
      <c r="G3803" s="6"/>
      <c r="H3803" s="6"/>
      <c r="I3803" s="6"/>
      <c r="J3803" s="6"/>
      <c r="K3803" s="6"/>
      <c r="L3803" s="6"/>
      <c r="M3803" s="6"/>
      <c r="N3803" s="6"/>
      <c r="O3803" s="6"/>
      <c r="P3803" s="6"/>
      <c r="Q3803" s="6"/>
      <c r="R3803" s="6"/>
      <c r="S3803" s="6"/>
      <c r="T3803" s="6"/>
      <c r="U3803" s="6"/>
      <c r="V3803" s="6"/>
      <c r="W3803" s="6"/>
      <c r="X3803" s="6"/>
      <c r="Y3803" s="6"/>
      <c r="Z3803" s="6"/>
      <c r="AA3803" s="6"/>
      <c r="AB3803" s="6"/>
      <c r="AC3803" s="6"/>
      <c r="AD3803" s="6"/>
      <c r="AE3803" s="6"/>
      <c r="AF3803" s="6"/>
      <c r="AG3803" s="6"/>
      <c r="AH3803" s="6"/>
      <c r="AI3803" s="6"/>
      <c r="AJ3803" s="6"/>
      <c r="AK3803" s="6"/>
      <c r="AL3803" s="6"/>
      <c r="AM3803" s="6"/>
    </row>
    <row r="3804">
      <c r="A3804" s="6"/>
      <c r="B3804" s="6"/>
      <c r="C3804" s="6"/>
      <c r="D3804" s="6"/>
      <c r="E3804" s="6"/>
      <c r="F3804" s="6"/>
      <c r="G3804" s="6"/>
      <c r="H3804" s="6"/>
      <c r="I3804" s="6"/>
      <c r="J3804" s="6"/>
      <c r="K3804" s="6"/>
      <c r="L3804" s="6"/>
      <c r="M3804" s="6"/>
      <c r="N3804" s="6"/>
      <c r="O3804" s="6"/>
      <c r="P3804" s="6"/>
      <c r="Q3804" s="6"/>
      <c r="R3804" s="6"/>
      <c r="S3804" s="6"/>
      <c r="T3804" s="6"/>
      <c r="U3804" s="6"/>
      <c r="V3804" s="6"/>
      <c r="W3804" s="6"/>
      <c r="X3804" s="6"/>
      <c r="Y3804" s="6"/>
      <c r="Z3804" s="6"/>
      <c r="AA3804" s="6"/>
      <c r="AB3804" s="6"/>
      <c r="AC3804" s="6"/>
      <c r="AD3804" s="6"/>
      <c r="AE3804" s="6"/>
      <c r="AF3804" s="6"/>
      <c r="AG3804" s="6"/>
      <c r="AH3804" s="6"/>
      <c r="AI3804" s="6"/>
      <c r="AJ3804" s="6"/>
      <c r="AK3804" s="6"/>
      <c r="AL3804" s="6"/>
      <c r="AM3804" s="6"/>
    </row>
    <row r="3805">
      <c r="A3805" s="6"/>
      <c r="B3805" s="6"/>
      <c r="C3805" s="6"/>
      <c r="D3805" s="6"/>
      <c r="E3805" s="6"/>
      <c r="F3805" s="6"/>
      <c r="G3805" s="6"/>
      <c r="H3805" s="6"/>
      <c r="I3805" s="6"/>
      <c r="J3805" s="6"/>
      <c r="K3805" s="6"/>
      <c r="L3805" s="6"/>
      <c r="M3805" s="6"/>
      <c r="N3805" s="6"/>
      <c r="O3805" s="6"/>
      <c r="P3805" s="6"/>
      <c r="Q3805" s="6"/>
      <c r="R3805" s="6"/>
      <c r="S3805" s="6"/>
      <c r="T3805" s="6"/>
      <c r="U3805" s="6"/>
      <c r="V3805" s="6"/>
      <c r="W3805" s="6"/>
      <c r="X3805" s="6"/>
      <c r="Y3805" s="6"/>
      <c r="Z3805" s="6"/>
      <c r="AA3805" s="6"/>
      <c r="AB3805" s="6"/>
      <c r="AC3805" s="6"/>
      <c r="AD3805" s="6"/>
      <c r="AE3805" s="6"/>
      <c r="AF3805" s="6"/>
      <c r="AG3805" s="6"/>
      <c r="AH3805" s="6"/>
      <c r="AI3805" s="6"/>
      <c r="AJ3805" s="6"/>
      <c r="AK3805" s="6"/>
      <c r="AL3805" s="6"/>
      <c r="AM3805" s="6"/>
    </row>
    <row r="3806">
      <c r="A3806" s="6"/>
      <c r="B3806" s="6"/>
      <c r="C3806" s="6"/>
      <c r="D3806" s="6"/>
      <c r="E3806" s="6"/>
      <c r="F3806" s="6"/>
      <c r="G3806" s="6"/>
      <c r="H3806" s="6"/>
      <c r="I3806" s="6"/>
      <c r="J3806" s="6"/>
      <c r="K3806" s="6"/>
      <c r="L3806" s="6"/>
      <c r="M3806" s="6"/>
      <c r="N3806" s="6"/>
      <c r="O3806" s="6"/>
      <c r="P3806" s="6"/>
      <c r="Q3806" s="6"/>
      <c r="R3806" s="6"/>
      <c r="S3806" s="6"/>
      <c r="T3806" s="6"/>
      <c r="U3806" s="6"/>
      <c r="V3806" s="6"/>
      <c r="W3806" s="6"/>
      <c r="X3806" s="6"/>
      <c r="Y3806" s="6"/>
      <c r="Z3806" s="6"/>
      <c r="AA3806" s="6"/>
      <c r="AB3806" s="6"/>
      <c r="AC3806" s="6"/>
      <c r="AD3806" s="6"/>
      <c r="AE3806" s="6"/>
      <c r="AF3806" s="6"/>
      <c r="AG3806" s="6"/>
      <c r="AH3806" s="6"/>
      <c r="AI3806" s="6"/>
      <c r="AJ3806" s="6"/>
      <c r="AK3806" s="6"/>
      <c r="AL3806" s="6"/>
      <c r="AM3806" s="6"/>
    </row>
    <row r="3807">
      <c r="A3807" s="6"/>
      <c r="B3807" s="6"/>
      <c r="C3807" s="6"/>
      <c r="D3807" s="6"/>
      <c r="E3807" s="6"/>
      <c r="F3807" s="6"/>
      <c r="G3807" s="6"/>
      <c r="H3807" s="6"/>
      <c r="I3807" s="6"/>
      <c r="J3807" s="6"/>
      <c r="K3807" s="6"/>
      <c r="L3807" s="6"/>
      <c r="M3807" s="6"/>
      <c r="N3807" s="6"/>
      <c r="O3807" s="6"/>
      <c r="P3807" s="6"/>
      <c r="Q3807" s="6"/>
      <c r="R3807" s="6"/>
      <c r="S3807" s="6"/>
      <c r="T3807" s="6"/>
      <c r="U3807" s="6"/>
      <c r="V3807" s="6"/>
      <c r="W3807" s="6"/>
      <c r="X3807" s="6"/>
      <c r="Y3807" s="6"/>
      <c r="Z3807" s="6"/>
      <c r="AA3807" s="6"/>
      <c r="AB3807" s="6"/>
      <c r="AC3807" s="6"/>
      <c r="AD3807" s="6"/>
      <c r="AE3807" s="6"/>
      <c r="AF3807" s="6"/>
      <c r="AG3807" s="6"/>
      <c r="AH3807" s="6"/>
      <c r="AI3807" s="6"/>
      <c r="AJ3807" s="6"/>
      <c r="AK3807" s="6"/>
      <c r="AL3807" s="6"/>
      <c r="AM3807" s="6"/>
    </row>
    <row r="3808">
      <c r="A3808" s="6"/>
      <c r="B3808" s="6"/>
      <c r="C3808" s="6"/>
      <c r="D3808" s="6"/>
      <c r="E3808" s="6"/>
      <c r="F3808" s="6"/>
      <c r="G3808" s="6"/>
      <c r="H3808" s="6"/>
      <c r="I3808" s="6"/>
      <c r="J3808" s="6"/>
      <c r="K3808" s="6"/>
      <c r="L3808" s="6"/>
      <c r="M3808" s="6"/>
      <c r="N3808" s="6"/>
      <c r="O3808" s="6"/>
      <c r="P3808" s="6"/>
      <c r="Q3808" s="6"/>
      <c r="R3808" s="6"/>
      <c r="S3808" s="6"/>
      <c r="T3808" s="6"/>
      <c r="U3808" s="6"/>
      <c r="V3808" s="6"/>
      <c r="W3808" s="6"/>
      <c r="X3808" s="6"/>
      <c r="Y3808" s="6"/>
      <c r="Z3808" s="6"/>
      <c r="AA3808" s="6"/>
      <c r="AB3808" s="6"/>
      <c r="AC3808" s="6"/>
      <c r="AD3808" s="6"/>
      <c r="AE3808" s="6"/>
      <c r="AF3808" s="6"/>
      <c r="AG3808" s="6"/>
      <c r="AH3808" s="6"/>
      <c r="AI3808" s="6"/>
      <c r="AJ3808" s="6"/>
      <c r="AK3808" s="6"/>
      <c r="AL3808" s="6"/>
      <c r="AM3808" s="6"/>
    </row>
    <row r="3809">
      <c r="A3809" s="6"/>
      <c r="B3809" s="6"/>
      <c r="C3809" s="6"/>
      <c r="D3809" s="6"/>
      <c r="E3809" s="6"/>
      <c r="F3809" s="6"/>
      <c r="G3809" s="6"/>
      <c r="H3809" s="6"/>
      <c r="I3809" s="6"/>
      <c r="J3809" s="6"/>
      <c r="K3809" s="6"/>
      <c r="L3809" s="6"/>
      <c r="M3809" s="6"/>
      <c r="N3809" s="6"/>
      <c r="O3809" s="6"/>
      <c r="P3809" s="6"/>
      <c r="Q3809" s="6"/>
      <c r="R3809" s="6"/>
      <c r="S3809" s="6"/>
      <c r="T3809" s="6"/>
      <c r="U3809" s="6"/>
      <c r="V3809" s="6"/>
      <c r="W3809" s="6"/>
      <c r="X3809" s="6"/>
      <c r="Y3809" s="6"/>
      <c r="Z3809" s="6"/>
      <c r="AA3809" s="6"/>
      <c r="AB3809" s="6"/>
      <c r="AC3809" s="6"/>
      <c r="AD3809" s="6"/>
      <c r="AE3809" s="6"/>
      <c r="AF3809" s="6"/>
      <c r="AG3809" s="6"/>
      <c r="AH3809" s="6"/>
      <c r="AI3809" s="6"/>
      <c r="AJ3809" s="6"/>
      <c r="AK3809" s="6"/>
      <c r="AL3809" s="6"/>
      <c r="AM3809" s="6"/>
    </row>
    <row r="3810">
      <c r="A3810" s="6"/>
      <c r="B3810" s="6"/>
      <c r="C3810" s="6"/>
      <c r="D3810" s="6"/>
      <c r="E3810" s="6"/>
      <c r="F3810" s="6"/>
      <c r="G3810" s="6"/>
      <c r="H3810" s="6"/>
      <c r="I3810" s="6"/>
      <c r="J3810" s="6"/>
      <c r="K3810" s="6"/>
      <c r="L3810" s="6"/>
      <c r="M3810" s="6"/>
      <c r="N3810" s="6"/>
      <c r="O3810" s="6"/>
      <c r="P3810" s="6"/>
      <c r="Q3810" s="6"/>
      <c r="R3810" s="6"/>
      <c r="S3810" s="6"/>
      <c r="T3810" s="6"/>
      <c r="U3810" s="6"/>
      <c r="V3810" s="6"/>
      <c r="W3810" s="6"/>
      <c r="X3810" s="6"/>
      <c r="Y3810" s="6"/>
      <c r="Z3810" s="6"/>
      <c r="AA3810" s="6"/>
      <c r="AB3810" s="6"/>
      <c r="AC3810" s="6"/>
      <c r="AD3810" s="6"/>
      <c r="AE3810" s="6"/>
      <c r="AF3810" s="6"/>
      <c r="AG3810" s="6"/>
      <c r="AH3810" s="6"/>
      <c r="AI3810" s="6"/>
      <c r="AJ3810" s="6"/>
      <c r="AK3810" s="6"/>
      <c r="AL3810" s="6"/>
      <c r="AM3810" s="6"/>
    </row>
    <row r="3811">
      <c r="A3811" s="6"/>
      <c r="B3811" s="6"/>
      <c r="C3811" s="6"/>
      <c r="D3811" s="6"/>
      <c r="E3811" s="6"/>
      <c r="F3811" s="6"/>
      <c r="G3811" s="6"/>
      <c r="H3811" s="6"/>
      <c r="I3811" s="6"/>
      <c r="J3811" s="6"/>
      <c r="K3811" s="6"/>
      <c r="L3811" s="6"/>
      <c r="M3811" s="6"/>
      <c r="N3811" s="6"/>
      <c r="O3811" s="6"/>
      <c r="P3811" s="6"/>
      <c r="Q3811" s="6"/>
      <c r="R3811" s="6"/>
      <c r="S3811" s="6"/>
      <c r="T3811" s="6"/>
      <c r="U3811" s="6"/>
      <c r="V3811" s="6"/>
      <c r="W3811" s="6"/>
      <c r="X3811" s="6"/>
      <c r="Y3811" s="6"/>
      <c r="Z3811" s="6"/>
      <c r="AA3811" s="6"/>
      <c r="AB3811" s="6"/>
      <c r="AC3811" s="6"/>
      <c r="AD3811" s="6"/>
      <c r="AE3811" s="6"/>
      <c r="AF3811" s="6"/>
      <c r="AG3811" s="6"/>
      <c r="AH3811" s="6"/>
      <c r="AI3811" s="6"/>
      <c r="AJ3811" s="6"/>
      <c r="AK3811" s="6"/>
      <c r="AL3811" s="6"/>
      <c r="AM3811" s="6"/>
    </row>
    <row r="3812">
      <c r="A3812" s="6"/>
      <c r="B3812" s="6"/>
      <c r="C3812" s="6"/>
      <c r="D3812" s="6"/>
      <c r="E3812" s="6"/>
      <c r="F3812" s="6"/>
      <c r="G3812" s="6"/>
      <c r="H3812" s="6"/>
      <c r="I3812" s="6"/>
      <c r="J3812" s="6"/>
      <c r="K3812" s="6"/>
      <c r="L3812" s="6"/>
      <c r="M3812" s="6"/>
      <c r="N3812" s="6"/>
      <c r="O3812" s="6"/>
      <c r="P3812" s="6"/>
      <c r="Q3812" s="6"/>
      <c r="R3812" s="6"/>
      <c r="S3812" s="6"/>
      <c r="T3812" s="6"/>
      <c r="U3812" s="6"/>
      <c r="V3812" s="6"/>
      <c r="W3812" s="6"/>
      <c r="X3812" s="6"/>
      <c r="Y3812" s="6"/>
      <c r="Z3812" s="6"/>
      <c r="AA3812" s="6"/>
      <c r="AB3812" s="6"/>
      <c r="AC3812" s="6"/>
      <c r="AD3812" s="6"/>
      <c r="AE3812" s="6"/>
      <c r="AF3812" s="6"/>
      <c r="AG3812" s="6"/>
      <c r="AH3812" s="6"/>
      <c r="AI3812" s="6"/>
      <c r="AJ3812" s="6"/>
      <c r="AK3812" s="6"/>
      <c r="AL3812" s="6"/>
      <c r="AM3812" s="6"/>
    </row>
    <row r="3813">
      <c r="A3813" s="6"/>
      <c r="B3813" s="6"/>
      <c r="C3813" s="6"/>
      <c r="D3813" s="6"/>
      <c r="E3813" s="6"/>
      <c r="F3813" s="6"/>
      <c r="G3813" s="6"/>
      <c r="H3813" s="6"/>
      <c r="I3813" s="6"/>
      <c r="J3813" s="6"/>
      <c r="K3813" s="6"/>
      <c r="L3813" s="6"/>
      <c r="M3813" s="6"/>
      <c r="N3813" s="6"/>
      <c r="O3813" s="6"/>
      <c r="P3813" s="6"/>
      <c r="Q3813" s="6"/>
      <c r="R3813" s="6"/>
      <c r="S3813" s="6"/>
      <c r="T3813" s="6"/>
      <c r="U3813" s="6"/>
      <c r="V3813" s="6"/>
      <c r="W3813" s="6"/>
      <c r="X3813" s="6"/>
      <c r="Y3813" s="6"/>
      <c r="Z3813" s="6"/>
      <c r="AA3813" s="6"/>
      <c r="AB3813" s="6"/>
      <c r="AC3813" s="6"/>
      <c r="AD3813" s="6"/>
      <c r="AE3813" s="6"/>
      <c r="AF3813" s="6"/>
      <c r="AG3813" s="6"/>
      <c r="AH3813" s="6"/>
      <c r="AI3813" s="6"/>
      <c r="AJ3813" s="6"/>
      <c r="AK3813" s="6"/>
      <c r="AL3813" s="6"/>
      <c r="AM3813" s="6"/>
    </row>
    <row r="3814">
      <c r="A3814" s="6"/>
      <c r="B3814" s="6"/>
      <c r="C3814" s="6"/>
      <c r="D3814" s="6"/>
      <c r="E3814" s="6"/>
      <c r="F3814" s="6"/>
      <c r="G3814" s="6"/>
      <c r="H3814" s="6"/>
      <c r="I3814" s="6"/>
      <c r="J3814" s="6"/>
      <c r="K3814" s="6"/>
      <c r="L3814" s="6"/>
      <c r="M3814" s="6"/>
      <c r="N3814" s="6"/>
      <c r="O3814" s="6"/>
      <c r="P3814" s="6"/>
      <c r="Q3814" s="6"/>
      <c r="R3814" s="6"/>
      <c r="S3814" s="6"/>
      <c r="T3814" s="6"/>
      <c r="U3814" s="6"/>
      <c r="V3814" s="6"/>
      <c r="W3814" s="6"/>
      <c r="X3814" s="6"/>
      <c r="Y3814" s="6"/>
      <c r="Z3814" s="6"/>
      <c r="AA3814" s="6"/>
      <c r="AB3814" s="6"/>
      <c r="AC3814" s="6"/>
      <c r="AD3814" s="6"/>
      <c r="AE3814" s="6"/>
      <c r="AF3814" s="6"/>
      <c r="AG3814" s="6"/>
      <c r="AH3814" s="6"/>
      <c r="AI3814" s="6"/>
      <c r="AJ3814" s="6"/>
      <c r="AK3814" s="6"/>
      <c r="AL3814" s="6"/>
      <c r="AM3814" s="6"/>
    </row>
    <row r="3815">
      <c r="A3815" s="6"/>
      <c r="B3815" s="6"/>
      <c r="C3815" s="6"/>
      <c r="D3815" s="6"/>
      <c r="E3815" s="6"/>
      <c r="F3815" s="6"/>
      <c r="G3815" s="6"/>
      <c r="H3815" s="6"/>
      <c r="I3815" s="6"/>
      <c r="J3815" s="6"/>
      <c r="K3815" s="6"/>
      <c r="L3815" s="6"/>
      <c r="M3815" s="6"/>
      <c r="N3815" s="6"/>
      <c r="O3815" s="6"/>
      <c r="P3815" s="6"/>
      <c r="Q3815" s="6"/>
      <c r="R3815" s="6"/>
      <c r="S3815" s="6"/>
      <c r="T3815" s="6"/>
      <c r="U3815" s="6"/>
      <c r="V3815" s="6"/>
      <c r="W3815" s="6"/>
      <c r="X3815" s="6"/>
      <c r="Y3815" s="6"/>
      <c r="Z3815" s="6"/>
      <c r="AA3815" s="6"/>
      <c r="AB3815" s="6"/>
      <c r="AC3815" s="6"/>
      <c r="AD3815" s="6"/>
      <c r="AE3815" s="6"/>
      <c r="AF3815" s="6"/>
      <c r="AG3815" s="6"/>
      <c r="AH3815" s="6"/>
      <c r="AI3815" s="6"/>
      <c r="AJ3815" s="6"/>
      <c r="AK3815" s="6"/>
      <c r="AL3815" s="6"/>
      <c r="AM3815" s="6"/>
    </row>
    <row r="3816">
      <c r="A3816" s="6"/>
      <c r="B3816" s="6"/>
      <c r="C3816" s="6"/>
      <c r="D3816" s="6"/>
      <c r="E3816" s="6"/>
      <c r="F3816" s="6"/>
      <c r="G3816" s="6"/>
      <c r="H3816" s="6"/>
      <c r="I3816" s="6"/>
      <c r="J3816" s="6"/>
      <c r="K3816" s="6"/>
      <c r="L3816" s="6"/>
      <c r="M3816" s="6"/>
      <c r="N3816" s="6"/>
      <c r="O3816" s="6"/>
      <c r="P3816" s="6"/>
      <c r="Q3816" s="6"/>
      <c r="R3816" s="6"/>
      <c r="S3816" s="6"/>
      <c r="T3816" s="6"/>
      <c r="U3816" s="6"/>
      <c r="V3816" s="6"/>
      <c r="W3816" s="6"/>
      <c r="X3816" s="6"/>
      <c r="Y3816" s="6"/>
      <c r="Z3816" s="6"/>
      <c r="AA3816" s="6"/>
      <c r="AB3816" s="6"/>
      <c r="AC3816" s="6"/>
      <c r="AD3816" s="6"/>
      <c r="AE3816" s="6"/>
      <c r="AF3816" s="6"/>
      <c r="AG3816" s="6"/>
      <c r="AH3816" s="6"/>
      <c r="AI3816" s="6"/>
      <c r="AJ3816" s="6"/>
      <c r="AK3816" s="6"/>
      <c r="AL3816" s="6"/>
      <c r="AM3816" s="6"/>
    </row>
    <row r="3817">
      <c r="A3817" s="6"/>
      <c r="B3817" s="6"/>
      <c r="C3817" s="6"/>
      <c r="D3817" s="6"/>
      <c r="E3817" s="6"/>
      <c r="F3817" s="6"/>
      <c r="G3817" s="6"/>
      <c r="H3817" s="6"/>
      <c r="I3817" s="6"/>
      <c r="J3817" s="6"/>
      <c r="K3817" s="6"/>
      <c r="L3817" s="6"/>
      <c r="M3817" s="6"/>
      <c r="N3817" s="6"/>
      <c r="O3817" s="6"/>
      <c r="P3817" s="6"/>
      <c r="Q3817" s="6"/>
      <c r="R3817" s="6"/>
      <c r="S3817" s="6"/>
      <c r="T3817" s="6"/>
      <c r="U3817" s="6"/>
      <c r="V3817" s="6"/>
      <c r="W3817" s="6"/>
      <c r="X3817" s="6"/>
      <c r="Y3817" s="6"/>
      <c r="Z3817" s="6"/>
      <c r="AA3817" s="6"/>
      <c r="AB3817" s="6"/>
      <c r="AC3817" s="6"/>
      <c r="AD3817" s="6"/>
      <c r="AE3817" s="6"/>
      <c r="AF3817" s="6"/>
      <c r="AG3817" s="6"/>
      <c r="AH3817" s="6"/>
      <c r="AI3817" s="6"/>
      <c r="AJ3817" s="6"/>
      <c r="AK3817" s="6"/>
      <c r="AL3817" s="6"/>
      <c r="AM3817" s="6"/>
    </row>
    <row r="3818">
      <c r="A3818" s="6"/>
      <c r="B3818" s="6"/>
      <c r="C3818" s="6"/>
      <c r="D3818" s="6"/>
      <c r="E3818" s="6"/>
      <c r="F3818" s="6"/>
      <c r="G3818" s="6"/>
      <c r="H3818" s="6"/>
      <c r="I3818" s="6"/>
      <c r="J3818" s="6"/>
      <c r="K3818" s="6"/>
      <c r="L3818" s="6"/>
      <c r="M3818" s="6"/>
      <c r="N3818" s="6"/>
      <c r="O3818" s="6"/>
      <c r="P3818" s="6"/>
      <c r="Q3818" s="6"/>
      <c r="R3818" s="6"/>
      <c r="S3818" s="6"/>
      <c r="T3818" s="6"/>
      <c r="U3818" s="6"/>
      <c r="V3818" s="6"/>
      <c r="W3818" s="6"/>
      <c r="X3818" s="6"/>
      <c r="Y3818" s="6"/>
      <c r="Z3818" s="6"/>
      <c r="AA3818" s="6"/>
      <c r="AB3818" s="6"/>
      <c r="AC3818" s="6"/>
      <c r="AD3818" s="6"/>
      <c r="AE3818" s="6"/>
      <c r="AF3818" s="6"/>
      <c r="AG3818" s="6"/>
      <c r="AH3818" s="6"/>
      <c r="AI3818" s="6"/>
      <c r="AJ3818" s="6"/>
      <c r="AK3818" s="6"/>
      <c r="AL3818" s="6"/>
      <c r="AM3818" s="6"/>
    </row>
    <row r="3819">
      <c r="A3819" s="6"/>
      <c r="B3819" s="6"/>
      <c r="C3819" s="6"/>
      <c r="D3819" s="6"/>
      <c r="E3819" s="6"/>
      <c r="F3819" s="6"/>
      <c r="G3819" s="6"/>
      <c r="H3819" s="6"/>
      <c r="I3819" s="6"/>
      <c r="J3819" s="6"/>
      <c r="K3819" s="6"/>
      <c r="L3819" s="6"/>
      <c r="M3819" s="6"/>
      <c r="N3819" s="6"/>
      <c r="O3819" s="6"/>
      <c r="P3819" s="6"/>
      <c r="Q3819" s="6"/>
      <c r="R3819" s="6"/>
      <c r="S3819" s="6"/>
      <c r="T3819" s="6"/>
      <c r="U3819" s="6"/>
      <c r="V3819" s="6"/>
      <c r="W3819" s="6"/>
      <c r="X3819" s="6"/>
      <c r="Y3819" s="6"/>
      <c r="Z3819" s="6"/>
      <c r="AA3819" s="6"/>
      <c r="AB3819" s="6"/>
      <c r="AC3819" s="6"/>
      <c r="AD3819" s="6"/>
      <c r="AE3819" s="6"/>
      <c r="AF3819" s="6"/>
      <c r="AG3819" s="6"/>
      <c r="AH3819" s="6"/>
      <c r="AI3819" s="6"/>
      <c r="AJ3819" s="6"/>
      <c r="AK3819" s="6"/>
      <c r="AL3819" s="6"/>
      <c r="AM3819" s="6"/>
    </row>
    <row r="3820">
      <c r="A3820" s="6"/>
      <c r="B3820" s="6"/>
      <c r="C3820" s="6"/>
      <c r="D3820" s="6"/>
      <c r="E3820" s="6"/>
      <c r="F3820" s="6"/>
      <c r="G3820" s="6"/>
      <c r="H3820" s="6"/>
      <c r="I3820" s="6"/>
      <c r="J3820" s="6"/>
      <c r="K3820" s="6"/>
      <c r="L3820" s="6"/>
      <c r="M3820" s="6"/>
      <c r="N3820" s="6"/>
      <c r="O3820" s="6"/>
      <c r="P3820" s="6"/>
      <c r="Q3820" s="6"/>
      <c r="R3820" s="6"/>
      <c r="S3820" s="6"/>
      <c r="T3820" s="6"/>
      <c r="U3820" s="6"/>
      <c r="V3820" s="6"/>
      <c r="W3820" s="6"/>
      <c r="X3820" s="6"/>
      <c r="Y3820" s="6"/>
      <c r="Z3820" s="6"/>
      <c r="AA3820" s="6"/>
      <c r="AB3820" s="6"/>
      <c r="AC3820" s="6"/>
      <c r="AD3820" s="6"/>
      <c r="AE3820" s="6"/>
      <c r="AF3820" s="6"/>
      <c r="AG3820" s="6"/>
      <c r="AH3820" s="6"/>
      <c r="AI3820" s="6"/>
      <c r="AJ3820" s="6"/>
      <c r="AK3820" s="6"/>
      <c r="AL3820" s="6"/>
      <c r="AM3820" s="6"/>
    </row>
    <row r="3821">
      <c r="A3821" s="6"/>
      <c r="B3821" s="6"/>
      <c r="C3821" s="6"/>
      <c r="D3821" s="6"/>
      <c r="E3821" s="6"/>
      <c r="F3821" s="6"/>
      <c r="G3821" s="6"/>
      <c r="H3821" s="6"/>
      <c r="I3821" s="6"/>
      <c r="J3821" s="6"/>
      <c r="K3821" s="6"/>
      <c r="L3821" s="6"/>
      <c r="M3821" s="6"/>
      <c r="N3821" s="6"/>
      <c r="O3821" s="6"/>
      <c r="P3821" s="6"/>
      <c r="Q3821" s="6"/>
      <c r="R3821" s="6"/>
      <c r="S3821" s="6"/>
      <c r="T3821" s="6"/>
      <c r="U3821" s="6"/>
      <c r="V3821" s="6"/>
      <c r="W3821" s="6"/>
      <c r="X3821" s="6"/>
      <c r="Y3821" s="6"/>
      <c r="Z3821" s="6"/>
      <c r="AA3821" s="6"/>
      <c r="AB3821" s="6"/>
      <c r="AC3821" s="6"/>
      <c r="AD3821" s="6"/>
      <c r="AE3821" s="6"/>
      <c r="AF3821" s="6"/>
      <c r="AG3821" s="6"/>
      <c r="AH3821" s="6"/>
      <c r="AI3821" s="6"/>
      <c r="AJ3821" s="6"/>
      <c r="AK3821" s="6"/>
      <c r="AL3821" s="6"/>
      <c r="AM3821" s="6"/>
    </row>
    <row r="3822">
      <c r="A3822" s="6"/>
      <c r="B3822" s="6"/>
      <c r="C3822" s="6"/>
      <c r="D3822" s="6"/>
      <c r="E3822" s="6"/>
      <c r="F3822" s="6"/>
      <c r="G3822" s="6"/>
      <c r="H3822" s="6"/>
      <c r="I3822" s="6"/>
      <c r="J3822" s="6"/>
      <c r="K3822" s="6"/>
      <c r="L3822" s="6"/>
      <c r="M3822" s="6"/>
      <c r="N3822" s="6"/>
      <c r="O3822" s="6"/>
      <c r="P3822" s="6"/>
      <c r="Q3822" s="6"/>
      <c r="R3822" s="6"/>
      <c r="S3822" s="6"/>
      <c r="T3822" s="6"/>
      <c r="U3822" s="6"/>
      <c r="V3822" s="6"/>
      <c r="W3822" s="6"/>
      <c r="X3822" s="6"/>
      <c r="Y3822" s="6"/>
      <c r="Z3822" s="6"/>
      <c r="AA3822" s="6"/>
      <c r="AB3822" s="6"/>
      <c r="AC3822" s="6"/>
      <c r="AD3822" s="6"/>
      <c r="AE3822" s="6"/>
      <c r="AF3822" s="6"/>
      <c r="AG3822" s="6"/>
      <c r="AH3822" s="6"/>
      <c r="AI3822" s="6"/>
      <c r="AJ3822" s="6"/>
      <c r="AK3822" s="6"/>
      <c r="AL3822" s="6"/>
      <c r="AM3822" s="6"/>
    </row>
    <row r="3823">
      <c r="A3823" s="6"/>
      <c r="B3823" s="6"/>
      <c r="C3823" s="6"/>
      <c r="D3823" s="6"/>
      <c r="E3823" s="6"/>
      <c r="F3823" s="6"/>
      <c r="G3823" s="6"/>
      <c r="H3823" s="6"/>
      <c r="I3823" s="6"/>
      <c r="J3823" s="6"/>
      <c r="K3823" s="6"/>
      <c r="L3823" s="6"/>
      <c r="M3823" s="6"/>
      <c r="N3823" s="6"/>
      <c r="O3823" s="6"/>
      <c r="P3823" s="6"/>
      <c r="Q3823" s="6"/>
      <c r="R3823" s="6"/>
      <c r="S3823" s="6"/>
      <c r="T3823" s="6"/>
      <c r="U3823" s="6"/>
      <c r="V3823" s="6"/>
      <c r="W3823" s="6"/>
      <c r="X3823" s="6"/>
      <c r="Y3823" s="6"/>
      <c r="Z3823" s="6"/>
      <c r="AA3823" s="6"/>
      <c r="AB3823" s="6"/>
      <c r="AC3823" s="6"/>
      <c r="AD3823" s="6"/>
      <c r="AE3823" s="6"/>
      <c r="AF3823" s="6"/>
      <c r="AG3823" s="6"/>
      <c r="AH3823" s="6"/>
      <c r="AI3823" s="6"/>
      <c r="AJ3823" s="6"/>
      <c r="AK3823" s="6"/>
      <c r="AL3823" s="6"/>
      <c r="AM3823" s="6"/>
    </row>
    <row r="3824">
      <c r="A3824" s="6"/>
      <c r="B3824" s="6"/>
      <c r="C3824" s="6"/>
      <c r="D3824" s="6"/>
      <c r="E3824" s="6"/>
      <c r="F3824" s="6"/>
      <c r="G3824" s="6"/>
      <c r="H3824" s="6"/>
      <c r="I3824" s="6"/>
      <c r="J3824" s="6"/>
      <c r="K3824" s="6"/>
      <c r="L3824" s="6"/>
      <c r="M3824" s="6"/>
      <c r="N3824" s="6"/>
      <c r="O3824" s="6"/>
      <c r="P3824" s="6"/>
      <c r="Q3824" s="6"/>
      <c r="R3824" s="6"/>
      <c r="S3824" s="6"/>
      <c r="T3824" s="6"/>
      <c r="U3824" s="6"/>
      <c r="V3824" s="6"/>
      <c r="W3824" s="6"/>
      <c r="X3824" s="6"/>
      <c r="Y3824" s="6"/>
      <c r="Z3824" s="6"/>
      <c r="AA3824" s="6"/>
      <c r="AB3824" s="6"/>
      <c r="AC3824" s="6"/>
      <c r="AD3824" s="6"/>
      <c r="AE3824" s="6"/>
      <c r="AF3824" s="6"/>
      <c r="AG3824" s="6"/>
      <c r="AH3824" s="6"/>
      <c r="AI3824" s="6"/>
      <c r="AJ3824" s="6"/>
      <c r="AK3824" s="6"/>
      <c r="AL3824" s="6"/>
      <c r="AM3824" s="6"/>
    </row>
    <row r="3825">
      <c r="A3825" s="6"/>
      <c r="B3825" s="6"/>
      <c r="C3825" s="6"/>
      <c r="D3825" s="6"/>
      <c r="E3825" s="6"/>
      <c r="F3825" s="6"/>
      <c r="G3825" s="6"/>
      <c r="H3825" s="6"/>
      <c r="I3825" s="6"/>
      <c r="J3825" s="6"/>
      <c r="K3825" s="6"/>
      <c r="L3825" s="6"/>
      <c r="M3825" s="6"/>
      <c r="N3825" s="6"/>
      <c r="O3825" s="6"/>
      <c r="P3825" s="6"/>
      <c r="Q3825" s="6"/>
      <c r="R3825" s="6"/>
      <c r="S3825" s="6"/>
      <c r="T3825" s="6"/>
      <c r="U3825" s="6"/>
      <c r="V3825" s="6"/>
      <c r="W3825" s="6"/>
      <c r="X3825" s="6"/>
      <c r="Y3825" s="6"/>
      <c r="Z3825" s="6"/>
      <c r="AA3825" s="6"/>
      <c r="AB3825" s="6"/>
      <c r="AC3825" s="6"/>
      <c r="AD3825" s="6"/>
      <c r="AE3825" s="6"/>
      <c r="AF3825" s="6"/>
      <c r="AG3825" s="6"/>
      <c r="AH3825" s="6"/>
      <c r="AI3825" s="6"/>
      <c r="AJ3825" s="6"/>
      <c r="AK3825" s="6"/>
      <c r="AL3825" s="6"/>
      <c r="AM3825" s="6"/>
    </row>
    <row r="3826">
      <c r="A3826" s="6"/>
      <c r="B3826" s="6"/>
      <c r="C3826" s="6"/>
      <c r="D3826" s="6"/>
      <c r="E3826" s="6"/>
      <c r="F3826" s="6"/>
      <c r="G3826" s="6"/>
      <c r="H3826" s="6"/>
      <c r="I3826" s="6"/>
      <c r="J3826" s="6"/>
      <c r="K3826" s="6"/>
      <c r="L3826" s="6"/>
      <c r="M3826" s="6"/>
      <c r="N3826" s="6"/>
      <c r="O3826" s="6"/>
      <c r="P3826" s="6"/>
      <c r="Q3826" s="6"/>
      <c r="R3826" s="6"/>
      <c r="S3826" s="6"/>
      <c r="T3826" s="6"/>
      <c r="U3826" s="6"/>
      <c r="V3826" s="6"/>
      <c r="W3826" s="6"/>
      <c r="X3826" s="6"/>
      <c r="Y3826" s="6"/>
      <c r="Z3826" s="6"/>
      <c r="AA3826" s="6"/>
      <c r="AB3826" s="6"/>
      <c r="AC3826" s="6"/>
      <c r="AD3826" s="6"/>
      <c r="AE3826" s="6"/>
      <c r="AF3826" s="6"/>
      <c r="AG3826" s="6"/>
      <c r="AH3826" s="6"/>
      <c r="AI3826" s="6"/>
      <c r="AJ3826" s="6"/>
      <c r="AK3826" s="6"/>
      <c r="AL3826" s="6"/>
      <c r="AM3826" s="6"/>
    </row>
    <row r="3827">
      <c r="A3827" s="6"/>
      <c r="B3827" s="6"/>
      <c r="C3827" s="6"/>
      <c r="D3827" s="6"/>
      <c r="E3827" s="6"/>
      <c r="F3827" s="6"/>
      <c r="G3827" s="6"/>
      <c r="H3827" s="6"/>
      <c r="I3827" s="6"/>
      <c r="J3827" s="6"/>
      <c r="K3827" s="6"/>
      <c r="L3827" s="6"/>
      <c r="M3827" s="6"/>
      <c r="N3827" s="6"/>
      <c r="O3827" s="6"/>
      <c r="P3827" s="6"/>
      <c r="Q3827" s="6"/>
      <c r="R3827" s="6"/>
      <c r="S3827" s="6"/>
      <c r="T3827" s="6"/>
      <c r="U3827" s="6"/>
      <c r="V3827" s="6"/>
      <c r="W3827" s="6"/>
      <c r="X3827" s="6"/>
      <c r="Y3827" s="6"/>
      <c r="Z3827" s="6"/>
      <c r="AA3827" s="6"/>
      <c r="AB3827" s="6"/>
      <c r="AC3827" s="6"/>
      <c r="AD3827" s="6"/>
      <c r="AE3827" s="6"/>
      <c r="AF3827" s="6"/>
      <c r="AG3827" s="6"/>
      <c r="AH3827" s="6"/>
      <c r="AI3827" s="6"/>
      <c r="AJ3827" s="6"/>
      <c r="AK3827" s="6"/>
      <c r="AL3827" s="6"/>
      <c r="AM3827" s="6"/>
    </row>
    <row r="3828">
      <c r="A3828" s="6"/>
      <c r="B3828" s="6"/>
      <c r="C3828" s="6"/>
      <c r="D3828" s="6"/>
      <c r="E3828" s="6"/>
      <c r="F3828" s="6"/>
      <c r="G3828" s="6"/>
      <c r="H3828" s="6"/>
      <c r="I3828" s="6"/>
      <c r="J3828" s="6"/>
      <c r="K3828" s="6"/>
      <c r="L3828" s="6"/>
      <c r="M3828" s="6"/>
      <c r="N3828" s="6"/>
      <c r="O3828" s="6"/>
      <c r="P3828" s="6"/>
      <c r="Q3828" s="6"/>
      <c r="R3828" s="6"/>
      <c r="S3828" s="6"/>
      <c r="T3828" s="6"/>
      <c r="U3828" s="6"/>
      <c r="V3828" s="6"/>
      <c r="W3828" s="6"/>
      <c r="X3828" s="6"/>
      <c r="Y3828" s="6"/>
      <c r="Z3828" s="6"/>
      <c r="AA3828" s="6"/>
      <c r="AB3828" s="6"/>
      <c r="AC3828" s="6"/>
      <c r="AD3828" s="6"/>
      <c r="AE3828" s="6"/>
      <c r="AF3828" s="6"/>
      <c r="AG3828" s="6"/>
      <c r="AH3828" s="6"/>
      <c r="AI3828" s="6"/>
      <c r="AJ3828" s="6"/>
      <c r="AK3828" s="6"/>
      <c r="AL3828" s="6"/>
      <c r="AM3828" s="6"/>
    </row>
    <row r="3829">
      <c r="A3829" s="6"/>
      <c r="B3829" s="6"/>
      <c r="C3829" s="6"/>
      <c r="D3829" s="6"/>
      <c r="E3829" s="6"/>
      <c r="F3829" s="6"/>
      <c r="G3829" s="6"/>
      <c r="H3829" s="6"/>
      <c r="I3829" s="6"/>
      <c r="J3829" s="6"/>
      <c r="K3829" s="6"/>
      <c r="L3829" s="6"/>
      <c r="M3829" s="6"/>
      <c r="N3829" s="6"/>
      <c r="O3829" s="6"/>
      <c r="P3829" s="6"/>
      <c r="Q3829" s="6"/>
      <c r="R3829" s="6"/>
      <c r="S3829" s="6"/>
      <c r="T3829" s="6"/>
      <c r="U3829" s="6"/>
      <c r="V3829" s="6"/>
      <c r="W3829" s="6"/>
      <c r="X3829" s="6"/>
      <c r="Y3829" s="6"/>
      <c r="Z3829" s="6"/>
      <c r="AA3829" s="6"/>
      <c r="AB3829" s="6"/>
      <c r="AC3829" s="6"/>
      <c r="AD3829" s="6"/>
      <c r="AE3829" s="6"/>
      <c r="AF3829" s="6"/>
      <c r="AG3829" s="6"/>
      <c r="AH3829" s="6"/>
      <c r="AI3829" s="6"/>
      <c r="AJ3829" s="6"/>
      <c r="AK3829" s="6"/>
      <c r="AL3829" s="6"/>
      <c r="AM3829" s="6"/>
    </row>
    <row r="3830">
      <c r="A3830" s="6"/>
      <c r="B3830" s="6"/>
      <c r="C3830" s="6"/>
      <c r="D3830" s="6"/>
      <c r="E3830" s="6"/>
      <c r="F3830" s="6"/>
      <c r="G3830" s="6"/>
      <c r="H3830" s="6"/>
      <c r="I3830" s="6"/>
      <c r="J3830" s="6"/>
      <c r="K3830" s="6"/>
      <c r="L3830" s="6"/>
      <c r="M3830" s="6"/>
      <c r="N3830" s="6"/>
      <c r="O3830" s="6"/>
      <c r="P3830" s="6"/>
      <c r="Q3830" s="6"/>
      <c r="R3830" s="6"/>
      <c r="S3830" s="6"/>
      <c r="T3830" s="6"/>
      <c r="U3830" s="6"/>
      <c r="V3830" s="6"/>
      <c r="W3830" s="6"/>
      <c r="X3830" s="6"/>
      <c r="Y3830" s="6"/>
      <c r="Z3830" s="6"/>
      <c r="AA3830" s="6"/>
      <c r="AB3830" s="6"/>
      <c r="AC3830" s="6"/>
      <c r="AD3830" s="6"/>
      <c r="AE3830" s="6"/>
      <c r="AF3830" s="6"/>
      <c r="AG3830" s="6"/>
      <c r="AH3830" s="6"/>
      <c r="AI3830" s="6"/>
      <c r="AJ3830" s="6"/>
      <c r="AK3830" s="6"/>
      <c r="AL3830" s="6"/>
      <c r="AM3830" s="6"/>
    </row>
    <row r="3831">
      <c r="A3831" s="6"/>
      <c r="B3831" s="6"/>
      <c r="C3831" s="6"/>
      <c r="D3831" s="6"/>
      <c r="E3831" s="6"/>
      <c r="F3831" s="6"/>
      <c r="G3831" s="6"/>
      <c r="H3831" s="6"/>
      <c r="I3831" s="6"/>
      <c r="J3831" s="6"/>
      <c r="K3831" s="6"/>
      <c r="L3831" s="6"/>
      <c r="M3831" s="6"/>
      <c r="N3831" s="6"/>
      <c r="O3831" s="6"/>
      <c r="P3831" s="6"/>
      <c r="Q3831" s="6"/>
      <c r="R3831" s="6"/>
      <c r="S3831" s="6"/>
      <c r="T3831" s="6"/>
      <c r="U3831" s="6"/>
      <c r="V3831" s="6"/>
      <c r="W3831" s="6"/>
      <c r="X3831" s="6"/>
      <c r="Y3831" s="6"/>
      <c r="Z3831" s="6"/>
      <c r="AA3831" s="6"/>
      <c r="AB3831" s="6"/>
      <c r="AC3831" s="6"/>
      <c r="AD3831" s="6"/>
      <c r="AE3831" s="6"/>
      <c r="AF3831" s="6"/>
      <c r="AG3831" s="6"/>
      <c r="AH3831" s="6"/>
      <c r="AI3831" s="6"/>
      <c r="AJ3831" s="6"/>
      <c r="AK3831" s="6"/>
      <c r="AL3831" s="6"/>
      <c r="AM3831" s="6"/>
    </row>
    <row r="3832">
      <c r="A3832" s="6"/>
      <c r="B3832" s="6"/>
      <c r="C3832" s="6"/>
      <c r="D3832" s="6"/>
      <c r="E3832" s="6"/>
      <c r="F3832" s="6"/>
      <c r="G3832" s="6"/>
      <c r="H3832" s="6"/>
      <c r="I3832" s="6"/>
      <c r="J3832" s="6"/>
      <c r="K3832" s="6"/>
      <c r="L3832" s="6"/>
      <c r="M3832" s="6"/>
      <c r="N3832" s="6"/>
      <c r="O3832" s="6"/>
      <c r="P3832" s="6"/>
      <c r="Q3832" s="6"/>
      <c r="R3832" s="6"/>
      <c r="S3832" s="6"/>
      <c r="T3832" s="6"/>
      <c r="U3832" s="6"/>
      <c r="V3832" s="6"/>
      <c r="W3832" s="6"/>
      <c r="X3832" s="6"/>
      <c r="Y3832" s="6"/>
      <c r="Z3832" s="6"/>
      <c r="AA3832" s="6"/>
      <c r="AB3832" s="6"/>
      <c r="AC3832" s="6"/>
      <c r="AD3832" s="6"/>
      <c r="AE3832" s="6"/>
      <c r="AF3832" s="6"/>
      <c r="AG3832" s="6"/>
      <c r="AH3832" s="6"/>
      <c r="AI3832" s="6"/>
      <c r="AJ3832" s="6"/>
      <c r="AK3832" s="6"/>
      <c r="AL3832" s="6"/>
      <c r="AM3832" s="6"/>
    </row>
    <row r="3833">
      <c r="A3833" s="6"/>
      <c r="B3833" s="6"/>
      <c r="C3833" s="6"/>
      <c r="D3833" s="6"/>
      <c r="E3833" s="6"/>
      <c r="F3833" s="6"/>
      <c r="G3833" s="6"/>
      <c r="H3833" s="6"/>
      <c r="I3833" s="6"/>
      <c r="J3833" s="6"/>
      <c r="K3833" s="6"/>
      <c r="L3833" s="6"/>
      <c r="M3833" s="6"/>
      <c r="N3833" s="6"/>
      <c r="O3833" s="6"/>
      <c r="P3833" s="6"/>
      <c r="Q3833" s="6"/>
      <c r="R3833" s="6"/>
      <c r="S3833" s="6"/>
      <c r="T3833" s="6"/>
      <c r="U3833" s="6"/>
      <c r="V3833" s="6"/>
      <c r="W3833" s="6"/>
      <c r="X3833" s="6"/>
      <c r="Y3833" s="6"/>
      <c r="Z3833" s="6"/>
      <c r="AA3833" s="6"/>
      <c r="AB3833" s="6"/>
      <c r="AC3833" s="6"/>
      <c r="AD3833" s="6"/>
      <c r="AE3833" s="6"/>
      <c r="AF3833" s="6"/>
      <c r="AG3833" s="6"/>
      <c r="AH3833" s="6"/>
      <c r="AI3833" s="6"/>
      <c r="AJ3833" s="6"/>
      <c r="AK3833" s="6"/>
      <c r="AL3833" s="6"/>
      <c r="AM3833" s="6"/>
    </row>
    <row r="3834">
      <c r="A3834" s="6"/>
      <c r="B3834" s="6"/>
      <c r="C3834" s="6"/>
      <c r="D3834" s="6"/>
      <c r="E3834" s="6"/>
      <c r="F3834" s="6"/>
      <c r="G3834" s="6"/>
      <c r="H3834" s="6"/>
      <c r="I3834" s="6"/>
      <c r="J3834" s="6"/>
      <c r="K3834" s="6"/>
      <c r="L3834" s="6"/>
      <c r="M3834" s="6"/>
      <c r="N3834" s="6"/>
      <c r="O3834" s="6"/>
      <c r="P3834" s="6"/>
      <c r="Q3834" s="6"/>
      <c r="R3834" s="6"/>
      <c r="S3834" s="6"/>
      <c r="T3834" s="6"/>
      <c r="U3834" s="6"/>
      <c r="V3834" s="6"/>
      <c r="W3834" s="6"/>
      <c r="X3834" s="6"/>
      <c r="Y3834" s="6"/>
      <c r="Z3834" s="6"/>
      <c r="AA3834" s="6"/>
      <c r="AB3834" s="6"/>
      <c r="AC3834" s="6"/>
      <c r="AD3834" s="6"/>
      <c r="AE3834" s="6"/>
      <c r="AF3834" s="6"/>
      <c r="AG3834" s="6"/>
      <c r="AH3834" s="6"/>
      <c r="AI3834" s="6"/>
      <c r="AJ3834" s="6"/>
      <c r="AK3834" s="6"/>
      <c r="AL3834" s="6"/>
      <c r="AM3834" s="6"/>
    </row>
    <row r="3835">
      <c r="A3835" s="6"/>
      <c r="B3835" s="6"/>
      <c r="C3835" s="6"/>
      <c r="D3835" s="6"/>
      <c r="E3835" s="6"/>
      <c r="F3835" s="6"/>
      <c r="G3835" s="6"/>
      <c r="H3835" s="6"/>
      <c r="I3835" s="6"/>
      <c r="J3835" s="6"/>
      <c r="K3835" s="6"/>
      <c r="L3835" s="6"/>
      <c r="M3835" s="6"/>
      <c r="N3835" s="6"/>
      <c r="O3835" s="6"/>
      <c r="P3835" s="6"/>
      <c r="Q3835" s="6"/>
      <c r="R3835" s="6"/>
      <c r="S3835" s="6"/>
      <c r="T3835" s="6"/>
      <c r="U3835" s="6"/>
      <c r="V3835" s="6"/>
      <c r="W3835" s="6"/>
      <c r="X3835" s="6"/>
      <c r="Y3835" s="6"/>
      <c r="Z3835" s="6"/>
      <c r="AA3835" s="6"/>
      <c r="AB3835" s="6"/>
      <c r="AC3835" s="6"/>
      <c r="AD3835" s="6"/>
      <c r="AE3835" s="6"/>
      <c r="AF3835" s="6"/>
      <c r="AG3835" s="6"/>
      <c r="AH3835" s="6"/>
      <c r="AI3835" s="6"/>
      <c r="AJ3835" s="6"/>
      <c r="AK3835" s="6"/>
      <c r="AL3835" s="6"/>
      <c r="AM3835" s="6"/>
    </row>
    <row r="3836">
      <c r="A3836" s="6"/>
      <c r="B3836" s="6"/>
      <c r="C3836" s="6"/>
      <c r="D3836" s="6"/>
      <c r="E3836" s="6"/>
      <c r="F3836" s="6"/>
      <c r="G3836" s="6"/>
      <c r="H3836" s="6"/>
      <c r="I3836" s="6"/>
      <c r="J3836" s="6"/>
      <c r="K3836" s="6"/>
      <c r="L3836" s="6"/>
      <c r="M3836" s="6"/>
      <c r="N3836" s="6"/>
      <c r="O3836" s="6"/>
      <c r="P3836" s="6"/>
      <c r="Q3836" s="6"/>
      <c r="R3836" s="6"/>
      <c r="S3836" s="6"/>
      <c r="T3836" s="6"/>
      <c r="U3836" s="6"/>
      <c r="V3836" s="6"/>
      <c r="W3836" s="6"/>
      <c r="X3836" s="6"/>
      <c r="Y3836" s="6"/>
      <c r="Z3836" s="6"/>
      <c r="AA3836" s="6"/>
      <c r="AB3836" s="6"/>
      <c r="AC3836" s="6"/>
      <c r="AD3836" s="6"/>
      <c r="AE3836" s="6"/>
      <c r="AF3836" s="6"/>
      <c r="AG3836" s="6"/>
      <c r="AH3836" s="6"/>
      <c r="AI3836" s="6"/>
      <c r="AJ3836" s="6"/>
      <c r="AK3836" s="6"/>
      <c r="AL3836" s="6"/>
      <c r="AM3836" s="6"/>
    </row>
    <row r="3837">
      <c r="A3837" s="6"/>
      <c r="B3837" s="6"/>
      <c r="C3837" s="6"/>
      <c r="D3837" s="6"/>
      <c r="E3837" s="6"/>
      <c r="F3837" s="6"/>
      <c r="G3837" s="6"/>
      <c r="H3837" s="6"/>
      <c r="I3837" s="6"/>
      <c r="J3837" s="6"/>
      <c r="K3837" s="6"/>
      <c r="L3837" s="6"/>
      <c r="M3837" s="6"/>
      <c r="N3837" s="6"/>
      <c r="O3837" s="6"/>
      <c r="P3837" s="6"/>
      <c r="Q3837" s="6"/>
      <c r="R3837" s="6"/>
      <c r="S3837" s="6"/>
      <c r="T3837" s="6"/>
      <c r="U3837" s="6"/>
      <c r="V3837" s="6"/>
      <c r="W3837" s="6"/>
      <c r="X3837" s="6"/>
      <c r="Y3837" s="6"/>
      <c r="Z3837" s="6"/>
      <c r="AA3837" s="6"/>
      <c r="AB3837" s="6"/>
      <c r="AC3837" s="6"/>
      <c r="AD3837" s="6"/>
      <c r="AE3837" s="6"/>
      <c r="AF3837" s="6"/>
      <c r="AG3837" s="6"/>
      <c r="AH3837" s="6"/>
      <c r="AI3837" s="6"/>
      <c r="AJ3837" s="6"/>
      <c r="AK3837" s="6"/>
      <c r="AL3837" s="6"/>
      <c r="AM3837" s="6"/>
    </row>
    <row r="3838">
      <c r="A3838" s="6"/>
      <c r="B3838" s="6"/>
      <c r="C3838" s="6"/>
      <c r="D3838" s="6"/>
      <c r="E3838" s="6"/>
      <c r="F3838" s="6"/>
      <c r="G3838" s="6"/>
      <c r="H3838" s="6"/>
      <c r="I3838" s="6"/>
      <c r="J3838" s="6"/>
      <c r="K3838" s="6"/>
      <c r="L3838" s="6"/>
      <c r="M3838" s="6"/>
      <c r="N3838" s="6"/>
      <c r="O3838" s="6"/>
      <c r="P3838" s="6"/>
      <c r="Q3838" s="6"/>
      <c r="R3838" s="6"/>
      <c r="S3838" s="6"/>
      <c r="T3838" s="6"/>
      <c r="U3838" s="6"/>
      <c r="V3838" s="6"/>
      <c r="W3838" s="6"/>
      <c r="X3838" s="6"/>
      <c r="Y3838" s="6"/>
      <c r="Z3838" s="6"/>
      <c r="AA3838" s="6"/>
      <c r="AB3838" s="6"/>
      <c r="AC3838" s="6"/>
      <c r="AD3838" s="6"/>
      <c r="AE3838" s="6"/>
      <c r="AF3838" s="6"/>
      <c r="AG3838" s="6"/>
      <c r="AH3838" s="6"/>
      <c r="AI3838" s="6"/>
      <c r="AJ3838" s="6"/>
      <c r="AK3838" s="6"/>
      <c r="AL3838" s="6"/>
      <c r="AM3838" s="6"/>
    </row>
    <row r="3839">
      <c r="A3839" s="6"/>
      <c r="B3839" s="6"/>
      <c r="C3839" s="6"/>
      <c r="D3839" s="6"/>
      <c r="E3839" s="6"/>
      <c r="F3839" s="6"/>
      <c r="G3839" s="6"/>
      <c r="H3839" s="6"/>
      <c r="I3839" s="6"/>
      <c r="J3839" s="6"/>
      <c r="K3839" s="6"/>
      <c r="L3839" s="6"/>
      <c r="M3839" s="6"/>
      <c r="N3839" s="6"/>
      <c r="O3839" s="6"/>
      <c r="P3839" s="6"/>
      <c r="Q3839" s="6"/>
      <c r="R3839" s="6"/>
      <c r="S3839" s="6"/>
      <c r="T3839" s="6"/>
      <c r="U3839" s="6"/>
      <c r="V3839" s="6"/>
      <c r="W3839" s="6"/>
      <c r="X3839" s="6"/>
      <c r="Y3839" s="6"/>
      <c r="Z3839" s="6"/>
      <c r="AA3839" s="6"/>
      <c r="AB3839" s="6"/>
      <c r="AC3839" s="6"/>
      <c r="AD3839" s="6"/>
      <c r="AE3839" s="6"/>
      <c r="AF3839" s="6"/>
      <c r="AG3839" s="6"/>
      <c r="AH3839" s="6"/>
      <c r="AI3839" s="6"/>
      <c r="AJ3839" s="6"/>
      <c r="AK3839" s="6"/>
      <c r="AL3839" s="6"/>
      <c r="AM3839" s="6"/>
    </row>
    <row r="3840">
      <c r="A3840" s="6"/>
      <c r="B3840" s="6"/>
      <c r="C3840" s="6"/>
      <c r="D3840" s="6"/>
      <c r="E3840" s="6"/>
      <c r="F3840" s="6"/>
      <c r="G3840" s="6"/>
      <c r="H3840" s="6"/>
      <c r="I3840" s="6"/>
      <c r="J3840" s="6"/>
      <c r="K3840" s="6"/>
      <c r="L3840" s="6"/>
      <c r="M3840" s="6"/>
      <c r="N3840" s="6"/>
      <c r="O3840" s="6"/>
      <c r="P3840" s="6"/>
      <c r="Q3840" s="6"/>
      <c r="R3840" s="6"/>
      <c r="S3840" s="6"/>
      <c r="T3840" s="6"/>
      <c r="U3840" s="6"/>
      <c r="V3840" s="6"/>
      <c r="W3840" s="6"/>
      <c r="X3840" s="6"/>
      <c r="Y3840" s="6"/>
      <c r="Z3840" s="6"/>
      <c r="AA3840" s="6"/>
      <c r="AB3840" s="6"/>
      <c r="AC3840" s="6"/>
      <c r="AD3840" s="6"/>
      <c r="AE3840" s="6"/>
      <c r="AF3840" s="6"/>
      <c r="AG3840" s="6"/>
      <c r="AH3840" s="6"/>
      <c r="AI3840" s="6"/>
      <c r="AJ3840" s="6"/>
      <c r="AK3840" s="6"/>
      <c r="AL3840" s="6"/>
      <c r="AM3840" s="6"/>
    </row>
    <row r="3841">
      <c r="A3841" s="6"/>
      <c r="B3841" s="6"/>
      <c r="C3841" s="6"/>
      <c r="D3841" s="6"/>
      <c r="E3841" s="6"/>
      <c r="F3841" s="6"/>
      <c r="G3841" s="6"/>
      <c r="H3841" s="6"/>
      <c r="I3841" s="6"/>
      <c r="J3841" s="6"/>
      <c r="K3841" s="6"/>
      <c r="L3841" s="6"/>
      <c r="M3841" s="6"/>
      <c r="N3841" s="6"/>
      <c r="O3841" s="6"/>
      <c r="P3841" s="6"/>
      <c r="Q3841" s="6"/>
      <c r="R3841" s="6"/>
      <c r="S3841" s="6"/>
      <c r="T3841" s="6"/>
      <c r="U3841" s="6"/>
      <c r="V3841" s="6"/>
      <c r="W3841" s="6"/>
      <c r="X3841" s="6"/>
      <c r="Y3841" s="6"/>
      <c r="Z3841" s="6"/>
      <c r="AA3841" s="6"/>
      <c r="AB3841" s="6"/>
      <c r="AC3841" s="6"/>
      <c r="AD3841" s="6"/>
      <c r="AE3841" s="6"/>
      <c r="AF3841" s="6"/>
      <c r="AG3841" s="6"/>
      <c r="AH3841" s="6"/>
      <c r="AI3841" s="6"/>
      <c r="AJ3841" s="6"/>
      <c r="AK3841" s="6"/>
      <c r="AL3841" s="6"/>
      <c r="AM3841" s="6"/>
    </row>
    <row r="3842">
      <c r="A3842" s="6"/>
      <c r="B3842" s="6"/>
      <c r="C3842" s="6"/>
      <c r="D3842" s="6"/>
      <c r="E3842" s="6"/>
      <c r="F3842" s="6"/>
      <c r="G3842" s="6"/>
      <c r="H3842" s="6"/>
      <c r="I3842" s="6"/>
      <c r="J3842" s="6"/>
      <c r="K3842" s="6"/>
      <c r="L3842" s="6"/>
      <c r="M3842" s="6"/>
      <c r="N3842" s="6"/>
      <c r="O3842" s="6"/>
      <c r="P3842" s="6"/>
      <c r="Q3842" s="6"/>
      <c r="R3842" s="6"/>
      <c r="S3842" s="6"/>
      <c r="T3842" s="6"/>
      <c r="U3842" s="6"/>
      <c r="V3842" s="6"/>
      <c r="W3842" s="6"/>
      <c r="X3842" s="6"/>
      <c r="Y3842" s="6"/>
      <c r="Z3842" s="6"/>
      <c r="AA3842" s="6"/>
      <c r="AB3842" s="6"/>
      <c r="AC3842" s="6"/>
      <c r="AD3842" s="6"/>
      <c r="AE3842" s="6"/>
      <c r="AF3842" s="6"/>
      <c r="AG3842" s="6"/>
      <c r="AH3842" s="6"/>
      <c r="AI3842" s="6"/>
      <c r="AJ3842" s="6"/>
      <c r="AK3842" s="6"/>
      <c r="AL3842" s="6"/>
      <c r="AM3842" s="6"/>
    </row>
    <row r="3843">
      <c r="A3843" s="6"/>
      <c r="B3843" s="6"/>
      <c r="C3843" s="6"/>
      <c r="D3843" s="6"/>
      <c r="E3843" s="6"/>
      <c r="F3843" s="6"/>
      <c r="G3843" s="6"/>
      <c r="H3843" s="6"/>
      <c r="I3843" s="6"/>
      <c r="J3843" s="6"/>
      <c r="K3843" s="6"/>
      <c r="L3843" s="6"/>
      <c r="M3843" s="6"/>
      <c r="N3843" s="6"/>
      <c r="O3843" s="6"/>
      <c r="P3843" s="6"/>
      <c r="Q3843" s="6"/>
      <c r="R3843" s="6"/>
      <c r="S3843" s="6"/>
      <c r="T3843" s="6"/>
      <c r="U3843" s="6"/>
      <c r="V3843" s="6"/>
      <c r="W3843" s="6"/>
      <c r="X3843" s="6"/>
      <c r="Y3843" s="6"/>
      <c r="Z3843" s="6"/>
      <c r="AA3843" s="6"/>
      <c r="AB3843" s="6"/>
      <c r="AC3843" s="6"/>
      <c r="AD3843" s="6"/>
      <c r="AE3843" s="6"/>
      <c r="AF3843" s="6"/>
      <c r="AG3843" s="6"/>
      <c r="AH3843" s="6"/>
      <c r="AI3843" s="6"/>
      <c r="AJ3843" s="6"/>
      <c r="AK3843" s="6"/>
      <c r="AL3843" s="6"/>
      <c r="AM3843" s="6"/>
    </row>
    <row r="3844">
      <c r="A3844" s="6"/>
      <c r="B3844" s="6"/>
      <c r="C3844" s="6"/>
      <c r="D3844" s="6"/>
      <c r="E3844" s="6"/>
      <c r="F3844" s="6"/>
      <c r="G3844" s="6"/>
      <c r="H3844" s="6"/>
      <c r="I3844" s="6"/>
      <c r="J3844" s="6"/>
      <c r="K3844" s="6"/>
      <c r="L3844" s="6"/>
      <c r="M3844" s="6"/>
      <c r="N3844" s="6"/>
      <c r="O3844" s="6"/>
      <c r="P3844" s="6"/>
      <c r="Q3844" s="6"/>
      <c r="R3844" s="6"/>
      <c r="S3844" s="6"/>
      <c r="T3844" s="6"/>
      <c r="U3844" s="6"/>
      <c r="V3844" s="6"/>
      <c r="W3844" s="6"/>
      <c r="X3844" s="6"/>
      <c r="Y3844" s="6"/>
      <c r="Z3844" s="6"/>
      <c r="AA3844" s="6"/>
      <c r="AB3844" s="6"/>
      <c r="AC3844" s="6"/>
      <c r="AD3844" s="6"/>
      <c r="AE3844" s="6"/>
      <c r="AF3844" s="6"/>
      <c r="AG3844" s="6"/>
      <c r="AH3844" s="6"/>
      <c r="AI3844" s="6"/>
      <c r="AJ3844" s="6"/>
      <c r="AK3844" s="6"/>
      <c r="AL3844" s="6"/>
      <c r="AM3844" s="6"/>
    </row>
    <row r="3845">
      <c r="A3845" s="6"/>
      <c r="B3845" s="6"/>
      <c r="C3845" s="6"/>
      <c r="D3845" s="6"/>
      <c r="E3845" s="6"/>
      <c r="F3845" s="6"/>
      <c r="G3845" s="6"/>
      <c r="H3845" s="6"/>
      <c r="I3845" s="6"/>
      <c r="J3845" s="6"/>
      <c r="K3845" s="6"/>
      <c r="L3845" s="6"/>
      <c r="M3845" s="6"/>
      <c r="N3845" s="6"/>
      <c r="O3845" s="6"/>
      <c r="P3845" s="6"/>
      <c r="Q3845" s="6"/>
      <c r="R3845" s="6"/>
      <c r="S3845" s="6"/>
      <c r="T3845" s="6"/>
      <c r="U3845" s="6"/>
      <c r="V3845" s="6"/>
      <c r="W3845" s="6"/>
      <c r="X3845" s="6"/>
      <c r="Y3845" s="6"/>
      <c r="Z3845" s="6"/>
      <c r="AA3845" s="6"/>
      <c r="AB3845" s="6"/>
      <c r="AC3845" s="6"/>
      <c r="AD3845" s="6"/>
      <c r="AE3845" s="6"/>
      <c r="AF3845" s="6"/>
      <c r="AG3845" s="6"/>
      <c r="AH3845" s="6"/>
      <c r="AI3845" s="6"/>
      <c r="AJ3845" s="6"/>
      <c r="AK3845" s="6"/>
      <c r="AL3845" s="6"/>
      <c r="AM3845" s="6"/>
    </row>
    <row r="3846">
      <c r="A3846" s="6"/>
      <c r="B3846" s="6"/>
      <c r="C3846" s="6"/>
      <c r="D3846" s="6"/>
      <c r="E3846" s="6"/>
      <c r="F3846" s="6"/>
      <c r="G3846" s="6"/>
      <c r="H3846" s="6"/>
      <c r="I3846" s="6"/>
      <c r="J3846" s="6"/>
      <c r="K3846" s="6"/>
      <c r="L3846" s="6"/>
      <c r="M3846" s="6"/>
      <c r="N3846" s="6"/>
      <c r="O3846" s="6"/>
      <c r="P3846" s="6"/>
      <c r="Q3846" s="6"/>
      <c r="R3846" s="6"/>
      <c r="S3846" s="6"/>
      <c r="T3846" s="6"/>
      <c r="U3846" s="6"/>
      <c r="V3846" s="6"/>
      <c r="W3846" s="6"/>
      <c r="X3846" s="6"/>
      <c r="Y3846" s="6"/>
      <c r="Z3846" s="6"/>
      <c r="AA3846" s="6"/>
      <c r="AB3846" s="6"/>
      <c r="AC3846" s="6"/>
      <c r="AD3846" s="6"/>
      <c r="AE3846" s="6"/>
      <c r="AF3846" s="6"/>
      <c r="AG3846" s="6"/>
      <c r="AH3846" s="6"/>
      <c r="AI3846" s="6"/>
      <c r="AJ3846" s="6"/>
      <c r="AK3846" s="6"/>
      <c r="AL3846" s="6"/>
      <c r="AM3846" s="6"/>
    </row>
    <row r="3847">
      <c r="A3847" s="6"/>
      <c r="B3847" s="6"/>
      <c r="C3847" s="6"/>
      <c r="D3847" s="6"/>
      <c r="E3847" s="6"/>
      <c r="F3847" s="6"/>
      <c r="G3847" s="6"/>
      <c r="H3847" s="6"/>
      <c r="I3847" s="6"/>
      <c r="J3847" s="6"/>
      <c r="K3847" s="6"/>
      <c r="L3847" s="6"/>
      <c r="M3847" s="6"/>
      <c r="N3847" s="6"/>
      <c r="O3847" s="6"/>
      <c r="P3847" s="6"/>
      <c r="Q3847" s="6"/>
      <c r="R3847" s="6"/>
      <c r="S3847" s="6"/>
      <c r="T3847" s="6"/>
      <c r="U3847" s="6"/>
      <c r="V3847" s="6"/>
      <c r="W3847" s="6"/>
      <c r="X3847" s="6"/>
      <c r="Y3847" s="6"/>
      <c r="Z3847" s="6"/>
      <c r="AA3847" s="6"/>
      <c r="AB3847" s="6"/>
      <c r="AC3847" s="6"/>
      <c r="AD3847" s="6"/>
      <c r="AE3847" s="6"/>
      <c r="AF3847" s="6"/>
      <c r="AG3847" s="6"/>
      <c r="AH3847" s="6"/>
      <c r="AI3847" s="6"/>
      <c r="AJ3847" s="6"/>
      <c r="AK3847" s="6"/>
      <c r="AL3847" s="6"/>
      <c r="AM3847" s="6"/>
    </row>
    <row r="3848">
      <c r="A3848" s="6"/>
      <c r="B3848" s="6"/>
      <c r="C3848" s="6"/>
      <c r="D3848" s="6"/>
      <c r="E3848" s="6"/>
      <c r="F3848" s="6"/>
      <c r="G3848" s="6"/>
      <c r="H3848" s="6"/>
      <c r="I3848" s="6"/>
      <c r="J3848" s="6"/>
      <c r="K3848" s="6"/>
      <c r="L3848" s="6"/>
      <c r="M3848" s="6"/>
      <c r="N3848" s="6"/>
      <c r="O3848" s="6"/>
      <c r="P3848" s="6"/>
      <c r="Q3848" s="6"/>
      <c r="R3848" s="6"/>
      <c r="S3848" s="6"/>
      <c r="T3848" s="6"/>
      <c r="U3848" s="6"/>
      <c r="V3848" s="6"/>
      <c r="W3848" s="6"/>
      <c r="X3848" s="6"/>
      <c r="Y3848" s="6"/>
      <c r="Z3848" s="6"/>
      <c r="AA3848" s="6"/>
      <c r="AB3848" s="6"/>
      <c r="AC3848" s="6"/>
      <c r="AD3848" s="6"/>
      <c r="AE3848" s="6"/>
      <c r="AF3848" s="6"/>
      <c r="AG3848" s="6"/>
      <c r="AH3848" s="6"/>
      <c r="AI3848" s="6"/>
      <c r="AJ3848" s="6"/>
      <c r="AK3848" s="6"/>
      <c r="AL3848" s="6"/>
      <c r="AM3848" s="6"/>
    </row>
    <row r="3849">
      <c r="A3849" s="6"/>
      <c r="B3849" s="6"/>
      <c r="C3849" s="6"/>
      <c r="D3849" s="6"/>
      <c r="E3849" s="6"/>
      <c r="F3849" s="6"/>
      <c r="G3849" s="6"/>
      <c r="H3849" s="6"/>
      <c r="I3849" s="6"/>
      <c r="J3849" s="6"/>
      <c r="K3849" s="6"/>
      <c r="L3849" s="6"/>
      <c r="M3849" s="6"/>
      <c r="N3849" s="6"/>
      <c r="O3849" s="6"/>
      <c r="P3849" s="6"/>
      <c r="Q3849" s="6"/>
      <c r="R3849" s="6"/>
      <c r="S3849" s="6"/>
      <c r="T3849" s="6"/>
      <c r="U3849" s="6"/>
      <c r="V3849" s="6"/>
      <c r="W3849" s="6"/>
      <c r="X3849" s="6"/>
      <c r="Y3849" s="6"/>
      <c r="Z3849" s="6"/>
      <c r="AA3849" s="6"/>
      <c r="AB3849" s="6"/>
      <c r="AC3849" s="6"/>
      <c r="AD3849" s="6"/>
      <c r="AE3849" s="6"/>
      <c r="AF3849" s="6"/>
      <c r="AG3849" s="6"/>
      <c r="AH3849" s="6"/>
      <c r="AI3849" s="6"/>
      <c r="AJ3849" s="6"/>
      <c r="AK3849" s="6"/>
      <c r="AL3849" s="6"/>
      <c r="AM3849" s="6"/>
    </row>
    <row r="3850">
      <c r="A3850" s="6"/>
      <c r="B3850" s="6"/>
      <c r="C3850" s="6"/>
      <c r="D3850" s="6"/>
      <c r="E3850" s="6"/>
      <c r="F3850" s="6"/>
      <c r="G3850" s="6"/>
      <c r="H3850" s="6"/>
      <c r="I3850" s="6"/>
      <c r="J3850" s="6"/>
      <c r="K3850" s="6"/>
      <c r="L3850" s="6"/>
      <c r="M3850" s="6"/>
      <c r="N3850" s="6"/>
      <c r="O3850" s="6"/>
      <c r="P3850" s="6"/>
      <c r="Q3850" s="6"/>
      <c r="R3850" s="6"/>
      <c r="S3850" s="6"/>
      <c r="T3850" s="6"/>
      <c r="U3850" s="6"/>
      <c r="V3850" s="6"/>
      <c r="W3850" s="6"/>
      <c r="X3850" s="6"/>
      <c r="Y3850" s="6"/>
      <c r="Z3850" s="6"/>
      <c r="AA3850" s="6"/>
      <c r="AB3850" s="6"/>
      <c r="AC3850" s="6"/>
      <c r="AD3850" s="6"/>
      <c r="AE3850" s="6"/>
      <c r="AF3850" s="6"/>
      <c r="AG3850" s="6"/>
      <c r="AH3850" s="6"/>
      <c r="AI3850" s="6"/>
      <c r="AJ3850" s="6"/>
      <c r="AK3850" s="6"/>
      <c r="AL3850" s="6"/>
      <c r="AM3850" s="6"/>
    </row>
    <row r="3851">
      <c r="A3851" s="6"/>
      <c r="B3851" s="6"/>
      <c r="C3851" s="6"/>
      <c r="D3851" s="6"/>
      <c r="E3851" s="6"/>
      <c r="F3851" s="6"/>
      <c r="G3851" s="6"/>
      <c r="H3851" s="6"/>
      <c r="I3851" s="6"/>
      <c r="J3851" s="6"/>
      <c r="K3851" s="6"/>
      <c r="L3851" s="6"/>
      <c r="M3851" s="6"/>
      <c r="N3851" s="6"/>
      <c r="O3851" s="6"/>
      <c r="P3851" s="6"/>
      <c r="Q3851" s="6"/>
      <c r="R3851" s="6"/>
      <c r="S3851" s="6"/>
      <c r="T3851" s="6"/>
      <c r="U3851" s="6"/>
      <c r="V3851" s="6"/>
      <c r="W3851" s="6"/>
      <c r="X3851" s="6"/>
      <c r="Y3851" s="6"/>
      <c r="Z3851" s="6"/>
      <c r="AA3851" s="6"/>
      <c r="AB3851" s="6"/>
      <c r="AC3851" s="6"/>
      <c r="AD3851" s="6"/>
      <c r="AE3851" s="6"/>
      <c r="AF3851" s="6"/>
      <c r="AG3851" s="6"/>
      <c r="AH3851" s="6"/>
      <c r="AI3851" s="6"/>
      <c r="AJ3851" s="6"/>
      <c r="AK3851" s="6"/>
      <c r="AL3851" s="6"/>
      <c r="AM3851" s="6"/>
    </row>
    <row r="3852">
      <c r="A3852" s="6"/>
      <c r="B3852" s="6"/>
      <c r="C3852" s="6"/>
      <c r="D3852" s="6"/>
      <c r="E3852" s="6"/>
      <c r="F3852" s="6"/>
      <c r="G3852" s="6"/>
      <c r="H3852" s="6"/>
      <c r="I3852" s="6"/>
      <c r="J3852" s="6"/>
      <c r="K3852" s="6"/>
      <c r="L3852" s="6"/>
      <c r="M3852" s="6"/>
      <c r="N3852" s="6"/>
      <c r="O3852" s="6"/>
      <c r="P3852" s="6"/>
      <c r="Q3852" s="6"/>
      <c r="R3852" s="6"/>
      <c r="S3852" s="6"/>
      <c r="T3852" s="6"/>
      <c r="U3852" s="6"/>
      <c r="V3852" s="6"/>
      <c r="W3852" s="6"/>
      <c r="X3852" s="6"/>
      <c r="Y3852" s="6"/>
      <c r="Z3852" s="6"/>
      <c r="AA3852" s="6"/>
      <c r="AB3852" s="6"/>
      <c r="AC3852" s="6"/>
      <c r="AD3852" s="6"/>
      <c r="AE3852" s="6"/>
      <c r="AF3852" s="6"/>
      <c r="AG3852" s="6"/>
      <c r="AH3852" s="6"/>
      <c r="AI3852" s="6"/>
      <c r="AJ3852" s="6"/>
      <c r="AK3852" s="6"/>
      <c r="AL3852" s="6"/>
      <c r="AM3852" s="6"/>
    </row>
    <row r="3853">
      <c r="A3853" s="6"/>
      <c r="B3853" s="6"/>
      <c r="C3853" s="6"/>
      <c r="D3853" s="6"/>
      <c r="E3853" s="6"/>
      <c r="F3853" s="6"/>
      <c r="G3853" s="6"/>
      <c r="H3853" s="6"/>
      <c r="I3853" s="6"/>
      <c r="J3853" s="6"/>
      <c r="K3853" s="6"/>
      <c r="L3853" s="6"/>
      <c r="M3853" s="6"/>
      <c r="N3853" s="6"/>
      <c r="O3853" s="6"/>
      <c r="P3853" s="6"/>
      <c r="Q3853" s="6"/>
      <c r="R3853" s="6"/>
      <c r="S3853" s="6"/>
      <c r="T3853" s="6"/>
      <c r="U3853" s="6"/>
      <c r="V3853" s="6"/>
      <c r="W3853" s="6"/>
      <c r="X3853" s="6"/>
      <c r="Y3853" s="6"/>
      <c r="Z3853" s="6"/>
      <c r="AA3853" s="6"/>
      <c r="AB3853" s="6"/>
      <c r="AC3853" s="6"/>
      <c r="AD3853" s="6"/>
      <c r="AE3853" s="6"/>
      <c r="AF3853" s="6"/>
      <c r="AG3853" s="6"/>
      <c r="AH3853" s="6"/>
      <c r="AI3853" s="6"/>
      <c r="AJ3853" s="6"/>
      <c r="AK3853" s="6"/>
      <c r="AL3853" s="6"/>
      <c r="AM3853" s="6"/>
    </row>
    <row r="3854">
      <c r="A3854" s="6"/>
      <c r="B3854" s="6"/>
      <c r="C3854" s="6"/>
      <c r="D3854" s="6"/>
      <c r="E3854" s="6"/>
      <c r="F3854" s="6"/>
      <c r="G3854" s="6"/>
      <c r="H3854" s="6"/>
      <c r="I3854" s="6"/>
      <c r="J3854" s="6"/>
      <c r="K3854" s="6"/>
      <c r="L3854" s="6"/>
      <c r="M3854" s="6"/>
      <c r="N3854" s="6"/>
      <c r="O3854" s="6"/>
      <c r="P3854" s="6"/>
      <c r="Q3854" s="6"/>
      <c r="R3854" s="6"/>
      <c r="S3854" s="6"/>
      <c r="T3854" s="6"/>
      <c r="U3854" s="6"/>
      <c r="V3854" s="6"/>
      <c r="W3854" s="6"/>
      <c r="X3854" s="6"/>
      <c r="Y3854" s="6"/>
      <c r="Z3854" s="6"/>
      <c r="AA3854" s="6"/>
      <c r="AB3854" s="6"/>
      <c r="AC3854" s="6"/>
      <c r="AD3854" s="6"/>
      <c r="AE3854" s="6"/>
      <c r="AF3854" s="6"/>
      <c r="AG3854" s="6"/>
      <c r="AH3854" s="6"/>
      <c r="AI3854" s="6"/>
      <c r="AJ3854" s="6"/>
      <c r="AK3854" s="6"/>
      <c r="AL3854" s="6"/>
      <c r="AM3854" s="6"/>
    </row>
    <row r="3855">
      <c r="A3855" s="6"/>
      <c r="B3855" s="6"/>
      <c r="C3855" s="6"/>
      <c r="D3855" s="6"/>
      <c r="E3855" s="6"/>
      <c r="F3855" s="6"/>
      <c r="G3855" s="6"/>
      <c r="H3855" s="6"/>
      <c r="I3855" s="6"/>
      <c r="J3855" s="6"/>
      <c r="K3855" s="6"/>
      <c r="L3855" s="6"/>
      <c r="M3855" s="6"/>
      <c r="N3855" s="6"/>
      <c r="O3855" s="6"/>
      <c r="P3855" s="6"/>
      <c r="Q3855" s="6"/>
      <c r="R3855" s="6"/>
      <c r="S3855" s="6"/>
      <c r="T3855" s="6"/>
      <c r="U3855" s="6"/>
      <c r="V3855" s="6"/>
      <c r="W3855" s="6"/>
      <c r="X3855" s="6"/>
      <c r="Y3855" s="6"/>
      <c r="Z3855" s="6"/>
      <c r="AA3855" s="6"/>
      <c r="AB3855" s="6"/>
      <c r="AC3855" s="6"/>
      <c r="AD3855" s="6"/>
      <c r="AE3855" s="6"/>
      <c r="AF3855" s="6"/>
      <c r="AG3855" s="6"/>
      <c r="AH3855" s="6"/>
      <c r="AI3855" s="6"/>
      <c r="AJ3855" s="6"/>
      <c r="AK3855" s="6"/>
      <c r="AL3855" s="6"/>
      <c r="AM3855" s="6"/>
    </row>
    <row r="3856">
      <c r="A3856" s="6"/>
      <c r="B3856" s="6"/>
      <c r="C3856" s="6"/>
      <c r="D3856" s="6"/>
      <c r="E3856" s="6"/>
      <c r="F3856" s="6"/>
      <c r="G3856" s="6"/>
      <c r="H3856" s="6"/>
      <c r="I3856" s="6"/>
      <c r="J3856" s="6"/>
      <c r="K3856" s="6"/>
      <c r="L3856" s="6"/>
      <c r="M3856" s="6"/>
      <c r="N3856" s="6"/>
      <c r="O3856" s="6"/>
      <c r="P3856" s="6"/>
      <c r="Q3856" s="6"/>
      <c r="R3856" s="6"/>
      <c r="S3856" s="6"/>
      <c r="T3856" s="6"/>
      <c r="U3856" s="6"/>
      <c r="V3856" s="6"/>
      <c r="W3856" s="6"/>
      <c r="X3856" s="6"/>
      <c r="Y3856" s="6"/>
      <c r="Z3856" s="6"/>
      <c r="AA3856" s="6"/>
      <c r="AB3856" s="6"/>
      <c r="AC3856" s="6"/>
      <c r="AD3856" s="6"/>
      <c r="AE3856" s="6"/>
      <c r="AF3856" s="6"/>
      <c r="AG3856" s="6"/>
      <c r="AH3856" s="6"/>
      <c r="AI3856" s="6"/>
      <c r="AJ3856" s="6"/>
      <c r="AK3856" s="6"/>
      <c r="AL3856" s="6"/>
      <c r="AM3856" s="6"/>
    </row>
    <row r="3857">
      <c r="A3857" s="6"/>
      <c r="B3857" s="6"/>
      <c r="C3857" s="6"/>
      <c r="D3857" s="6"/>
      <c r="E3857" s="6"/>
      <c r="F3857" s="6"/>
      <c r="G3857" s="6"/>
      <c r="H3857" s="6"/>
      <c r="I3857" s="6"/>
      <c r="J3857" s="6"/>
      <c r="K3857" s="6"/>
      <c r="L3857" s="6"/>
      <c r="M3857" s="6"/>
      <c r="N3857" s="6"/>
      <c r="O3857" s="6"/>
      <c r="P3857" s="6"/>
      <c r="Q3857" s="6"/>
      <c r="R3857" s="6"/>
      <c r="S3857" s="6"/>
      <c r="T3857" s="6"/>
      <c r="U3857" s="6"/>
      <c r="V3857" s="6"/>
      <c r="W3857" s="6"/>
      <c r="X3857" s="6"/>
      <c r="Y3857" s="6"/>
      <c r="Z3857" s="6"/>
      <c r="AA3857" s="6"/>
      <c r="AB3857" s="6"/>
      <c r="AC3857" s="6"/>
      <c r="AD3857" s="6"/>
      <c r="AE3857" s="6"/>
      <c r="AF3857" s="6"/>
      <c r="AG3857" s="6"/>
      <c r="AH3857" s="6"/>
      <c r="AI3857" s="6"/>
      <c r="AJ3857" s="6"/>
      <c r="AK3857" s="6"/>
      <c r="AL3857" s="6"/>
      <c r="AM3857" s="6"/>
    </row>
    <row r="3858">
      <c r="A3858" s="6"/>
      <c r="B3858" s="6"/>
      <c r="C3858" s="6"/>
      <c r="D3858" s="6"/>
      <c r="E3858" s="6"/>
      <c r="F3858" s="6"/>
      <c r="G3858" s="6"/>
      <c r="H3858" s="6"/>
      <c r="I3858" s="6"/>
      <c r="J3858" s="6"/>
      <c r="K3858" s="6"/>
      <c r="L3858" s="6"/>
      <c r="M3858" s="6"/>
      <c r="N3858" s="6"/>
      <c r="O3858" s="6"/>
      <c r="P3858" s="6"/>
      <c r="Q3858" s="6"/>
      <c r="R3858" s="6"/>
      <c r="S3858" s="6"/>
      <c r="T3858" s="6"/>
      <c r="U3858" s="6"/>
      <c r="V3858" s="6"/>
      <c r="W3858" s="6"/>
      <c r="X3858" s="6"/>
      <c r="Y3858" s="6"/>
      <c r="Z3858" s="6"/>
      <c r="AA3858" s="6"/>
      <c r="AB3858" s="6"/>
      <c r="AC3858" s="6"/>
      <c r="AD3858" s="6"/>
      <c r="AE3858" s="6"/>
      <c r="AF3858" s="6"/>
      <c r="AG3858" s="6"/>
      <c r="AH3858" s="6"/>
      <c r="AI3858" s="6"/>
      <c r="AJ3858" s="6"/>
      <c r="AK3858" s="6"/>
      <c r="AL3858" s="6"/>
      <c r="AM3858" s="6"/>
    </row>
    <row r="3859">
      <c r="A3859" s="6"/>
      <c r="B3859" s="6"/>
      <c r="C3859" s="6"/>
      <c r="D3859" s="6"/>
      <c r="E3859" s="6"/>
      <c r="F3859" s="6"/>
      <c r="G3859" s="6"/>
      <c r="H3859" s="6"/>
      <c r="I3859" s="6"/>
      <c r="J3859" s="6"/>
      <c r="K3859" s="6"/>
      <c r="L3859" s="6"/>
      <c r="M3859" s="6"/>
      <c r="N3859" s="6"/>
      <c r="O3859" s="6"/>
      <c r="P3859" s="6"/>
      <c r="Q3859" s="6"/>
      <c r="R3859" s="6"/>
      <c r="S3859" s="6"/>
      <c r="T3859" s="6"/>
      <c r="U3859" s="6"/>
      <c r="V3859" s="6"/>
      <c r="W3859" s="6"/>
      <c r="X3859" s="6"/>
      <c r="Y3859" s="6"/>
      <c r="Z3859" s="6"/>
      <c r="AA3859" s="6"/>
      <c r="AB3859" s="6"/>
      <c r="AC3859" s="6"/>
      <c r="AD3859" s="6"/>
      <c r="AE3859" s="6"/>
      <c r="AF3859" s="6"/>
      <c r="AG3859" s="6"/>
      <c r="AH3859" s="6"/>
      <c r="AI3859" s="6"/>
      <c r="AJ3859" s="6"/>
      <c r="AK3859" s="6"/>
      <c r="AL3859" s="6"/>
      <c r="AM3859" s="6"/>
    </row>
    <row r="3860">
      <c r="A3860" s="6"/>
      <c r="B3860" s="6"/>
      <c r="C3860" s="6"/>
      <c r="D3860" s="6"/>
      <c r="E3860" s="6"/>
      <c r="F3860" s="6"/>
      <c r="G3860" s="6"/>
      <c r="H3860" s="6"/>
      <c r="I3860" s="6"/>
      <c r="J3860" s="6"/>
      <c r="K3860" s="6"/>
      <c r="L3860" s="6"/>
      <c r="M3860" s="6"/>
      <c r="N3860" s="6"/>
      <c r="O3860" s="6"/>
      <c r="P3860" s="6"/>
      <c r="Q3860" s="6"/>
      <c r="R3860" s="6"/>
      <c r="S3860" s="6"/>
      <c r="T3860" s="6"/>
      <c r="U3860" s="6"/>
      <c r="V3860" s="6"/>
      <c r="W3860" s="6"/>
      <c r="X3860" s="6"/>
      <c r="Y3860" s="6"/>
      <c r="Z3860" s="6"/>
      <c r="AA3860" s="6"/>
      <c r="AB3860" s="6"/>
      <c r="AC3860" s="6"/>
      <c r="AD3860" s="6"/>
      <c r="AE3860" s="6"/>
      <c r="AF3860" s="6"/>
      <c r="AG3860" s="6"/>
      <c r="AH3860" s="6"/>
      <c r="AI3860" s="6"/>
      <c r="AJ3860" s="6"/>
      <c r="AK3860" s="6"/>
      <c r="AL3860" s="6"/>
      <c r="AM3860" s="6"/>
    </row>
    <row r="3861">
      <c r="A3861" s="6"/>
      <c r="B3861" s="6"/>
      <c r="C3861" s="6"/>
      <c r="D3861" s="6"/>
      <c r="E3861" s="6"/>
      <c r="F3861" s="6"/>
      <c r="G3861" s="6"/>
      <c r="H3861" s="6"/>
      <c r="I3861" s="6"/>
      <c r="J3861" s="6"/>
      <c r="K3861" s="6"/>
      <c r="L3861" s="6"/>
      <c r="M3861" s="6"/>
      <c r="N3861" s="6"/>
      <c r="O3861" s="6"/>
      <c r="P3861" s="6"/>
      <c r="Q3861" s="6"/>
      <c r="R3861" s="6"/>
      <c r="S3861" s="6"/>
      <c r="T3861" s="6"/>
      <c r="U3861" s="6"/>
      <c r="V3861" s="6"/>
      <c r="W3861" s="6"/>
      <c r="X3861" s="6"/>
      <c r="Y3861" s="6"/>
      <c r="Z3861" s="6"/>
      <c r="AA3861" s="6"/>
      <c r="AB3861" s="6"/>
      <c r="AC3861" s="6"/>
      <c r="AD3861" s="6"/>
      <c r="AE3861" s="6"/>
      <c r="AF3861" s="6"/>
      <c r="AG3861" s="6"/>
      <c r="AH3861" s="6"/>
      <c r="AI3861" s="6"/>
      <c r="AJ3861" s="6"/>
      <c r="AK3861" s="6"/>
      <c r="AL3861" s="6"/>
      <c r="AM3861" s="6"/>
    </row>
    <row r="3862">
      <c r="A3862" s="6"/>
      <c r="B3862" s="6"/>
      <c r="C3862" s="6"/>
      <c r="D3862" s="6"/>
      <c r="E3862" s="6"/>
      <c r="F3862" s="6"/>
      <c r="G3862" s="6"/>
      <c r="H3862" s="6"/>
      <c r="I3862" s="6"/>
      <c r="J3862" s="6"/>
      <c r="K3862" s="6"/>
      <c r="L3862" s="6"/>
      <c r="M3862" s="6"/>
      <c r="N3862" s="6"/>
      <c r="O3862" s="6"/>
      <c r="P3862" s="6"/>
      <c r="Q3862" s="6"/>
      <c r="R3862" s="6"/>
      <c r="S3862" s="6"/>
      <c r="T3862" s="6"/>
      <c r="U3862" s="6"/>
      <c r="V3862" s="6"/>
      <c r="W3862" s="6"/>
      <c r="X3862" s="6"/>
      <c r="Y3862" s="6"/>
      <c r="Z3862" s="6"/>
      <c r="AA3862" s="6"/>
      <c r="AB3862" s="6"/>
      <c r="AC3862" s="6"/>
      <c r="AD3862" s="6"/>
      <c r="AE3862" s="6"/>
      <c r="AF3862" s="6"/>
      <c r="AG3862" s="6"/>
      <c r="AH3862" s="6"/>
      <c r="AI3862" s="6"/>
      <c r="AJ3862" s="6"/>
      <c r="AK3862" s="6"/>
      <c r="AL3862" s="6"/>
      <c r="AM3862" s="6"/>
    </row>
    <row r="3863">
      <c r="A3863" s="6"/>
      <c r="B3863" s="6"/>
      <c r="C3863" s="6"/>
      <c r="D3863" s="6"/>
      <c r="E3863" s="6"/>
      <c r="F3863" s="6"/>
      <c r="G3863" s="6"/>
      <c r="H3863" s="6"/>
      <c r="I3863" s="6"/>
      <c r="J3863" s="6"/>
      <c r="K3863" s="6"/>
      <c r="L3863" s="6"/>
      <c r="M3863" s="6"/>
      <c r="N3863" s="6"/>
      <c r="O3863" s="6"/>
      <c r="P3863" s="6"/>
      <c r="Q3863" s="6"/>
      <c r="R3863" s="6"/>
      <c r="S3863" s="6"/>
      <c r="T3863" s="6"/>
      <c r="U3863" s="6"/>
      <c r="V3863" s="6"/>
      <c r="W3863" s="6"/>
      <c r="X3863" s="6"/>
      <c r="Y3863" s="6"/>
      <c r="Z3863" s="6"/>
      <c r="AA3863" s="6"/>
      <c r="AB3863" s="6"/>
      <c r="AC3863" s="6"/>
      <c r="AD3863" s="6"/>
      <c r="AE3863" s="6"/>
      <c r="AF3863" s="6"/>
      <c r="AG3863" s="6"/>
      <c r="AH3863" s="6"/>
      <c r="AI3863" s="6"/>
      <c r="AJ3863" s="6"/>
      <c r="AK3863" s="6"/>
      <c r="AL3863" s="6"/>
      <c r="AM3863" s="6"/>
    </row>
    <row r="3864">
      <c r="A3864" s="6"/>
      <c r="B3864" s="6"/>
      <c r="C3864" s="6"/>
      <c r="D3864" s="6"/>
      <c r="E3864" s="6"/>
      <c r="F3864" s="6"/>
      <c r="G3864" s="6"/>
      <c r="H3864" s="6"/>
      <c r="I3864" s="6"/>
      <c r="J3864" s="6"/>
      <c r="K3864" s="6"/>
      <c r="L3864" s="6"/>
      <c r="M3864" s="6"/>
      <c r="N3864" s="6"/>
      <c r="O3864" s="6"/>
      <c r="P3864" s="6"/>
      <c r="Q3864" s="6"/>
      <c r="R3864" s="6"/>
      <c r="S3864" s="6"/>
      <c r="T3864" s="6"/>
      <c r="U3864" s="6"/>
      <c r="V3864" s="6"/>
      <c r="W3864" s="6"/>
      <c r="X3864" s="6"/>
      <c r="Y3864" s="6"/>
      <c r="Z3864" s="6"/>
      <c r="AA3864" s="6"/>
      <c r="AB3864" s="6"/>
      <c r="AC3864" s="6"/>
      <c r="AD3864" s="6"/>
      <c r="AE3864" s="6"/>
      <c r="AF3864" s="6"/>
      <c r="AG3864" s="6"/>
      <c r="AH3864" s="6"/>
      <c r="AI3864" s="6"/>
      <c r="AJ3864" s="6"/>
      <c r="AK3864" s="6"/>
      <c r="AL3864" s="6"/>
      <c r="AM3864" s="6"/>
    </row>
    <row r="3865">
      <c r="A3865" s="6"/>
      <c r="B3865" s="6"/>
      <c r="C3865" s="6"/>
      <c r="D3865" s="6"/>
      <c r="E3865" s="6"/>
      <c r="F3865" s="6"/>
      <c r="G3865" s="6"/>
      <c r="H3865" s="6"/>
      <c r="I3865" s="6"/>
      <c r="J3865" s="6"/>
      <c r="K3865" s="6"/>
      <c r="L3865" s="6"/>
      <c r="M3865" s="6"/>
      <c r="N3865" s="6"/>
      <c r="O3865" s="6"/>
      <c r="P3865" s="6"/>
      <c r="Q3865" s="6"/>
      <c r="R3865" s="6"/>
      <c r="S3865" s="6"/>
      <c r="T3865" s="6"/>
      <c r="U3865" s="6"/>
      <c r="V3865" s="6"/>
      <c r="W3865" s="6"/>
      <c r="X3865" s="6"/>
      <c r="Y3865" s="6"/>
      <c r="Z3865" s="6"/>
      <c r="AA3865" s="6"/>
      <c r="AB3865" s="6"/>
      <c r="AC3865" s="6"/>
      <c r="AD3865" s="6"/>
      <c r="AE3865" s="6"/>
      <c r="AF3865" s="6"/>
      <c r="AG3865" s="6"/>
      <c r="AH3865" s="6"/>
      <c r="AI3865" s="6"/>
      <c r="AJ3865" s="6"/>
      <c r="AK3865" s="6"/>
      <c r="AL3865" s="6"/>
      <c r="AM3865" s="6"/>
    </row>
    <row r="3866">
      <c r="A3866" s="6"/>
      <c r="B3866" s="6"/>
      <c r="C3866" s="6"/>
      <c r="D3866" s="6"/>
      <c r="E3866" s="6"/>
      <c r="F3866" s="6"/>
      <c r="G3866" s="6"/>
      <c r="H3866" s="6"/>
      <c r="I3866" s="6"/>
      <c r="J3866" s="6"/>
      <c r="K3866" s="6"/>
      <c r="L3866" s="6"/>
      <c r="M3866" s="6"/>
      <c r="N3866" s="6"/>
      <c r="O3866" s="6"/>
      <c r="P3866" s="6"/>
      <c r="Q3866" s="6"/>
      <c r="R3866" s="6"/>
      <c r="S3866" s="6"/>
      <c r="T3866" s="6"/>
      <c r="U3866" s="6"/>
      <c r="V3866" s="6"/>
      <c r="W3866" s="6"/>
      <c r="X3866" s="6"/>
      <c r="Y3866" s="6"/>
      <c r="Z3866" s="6"/>
      <c r="AA3866" s="6"/>
      <c r="AB3866" s="6"/>
      <c r="AC3866" s="6"/>
      <c r="AD3866" s="6"/>
      <c r="AE3866" s="6"/>
      <c r="AF3866" s="6"/>
      <c r="AG3866" s="6"/>
      <c r="AH3866" s="6"/>
      <c r="AI3866" s="6"/>
      <c r="AJ3866" s="6"/>
      <c r="AK3866" s="6"/>
      <c r="AL3866" s="6"/>
      <c r="AM3866" s="6"/>
    </row>
    <row r="3867">
      <c r="A3867" s="6"/>
      <c r="B3867" s="6"/>
      <c r="C3867" s="6"/>
      <c r="D3867" s="6"/>
      <c r="E3867" s="6"/>
      <c r="F3867" s="6"/>
      <c r="G3867" s="6"/>
      <c r="H3867" s="6"/>
      <c r="I3867" s="6"/>
      <c r="J3867" s="6"/>
      <c r="K3867" s="6"/>
      <c r="L3867" s="6"/>
      <c r="M3867" s="6"/>
      <c r="N3867" s="6"/>
      <c r="O3867" s="6"/>
      <c r="P3867" s="6"/>
      <c r="Q3867" s="6"/>
      <c r="R3867" s="6"/>
      <c r="S3867" s="6"/>
      <c r="T3867" s="6"/>
      <c r="U3867" s="6"/>
      <c r="V3867" s="6"/>
      <c r="W3867" s="6"/>
      <c r="X3867" s="6"/>
      <c r="Y3867" s="6"/>
      <c r="Z3867" s="6"/>
      <c r="AA3867" s="6"/>
      <c r="AB3867" s="6"/>
      <c r="AC3867" s="6"/>
      <c r="AD3867" s="6"/>
      <c r="AE3867" s="6"/>
      <c r="AF3867" s="6"/>
      <c r="AG3867" s="6"/>
      <c r="AH3867" s="6"/>
      <c r="AI3867" s="6"/>
      <c r="AJ3867" s="6"/>
      <c r="AK3867" s="6"/>
      <c r="AL3867" s="6"/>
      <c r="AM3867" s="6"/>
    </row>
    <row r="3868">
      <c r="A3868" s="6"/>
      <c r="B3868" s="6"/>
      <c r="C3868" s="6"/>
      <c r="D3868" s="6"/>
      <c r="E3868" s="6"/>
      <c r="F3868" s="6"/>
      <c r="G3868" s="6"/>
      <c r="H3868" s="6"/>
      <c r="I3868" s="6"/>
      <c r="J3868" s="6"/>
      <c r="K3868" s="6"/>
      <c r="L3868" s="6"/>
      <c r="M3868" s="6"/>
      <c r="N3868" s="6"/>
      <c r="O3868" s="6"/>
      <c r="P3868" s="6"/>
      <c r="Q3868" s="6"/>
      <c r="R3868" s="6"/>
      <c r="S3868" s="6"/>
      <c r="T3868" s="6"/>
      <c r="U3868" s="6"/>
      <c r="V3868" s="6"/>
      <c r="W3868" s="6"/>
      <c r="X3868" s="6"/>
      <c r="Y3868" s="6"/>
      <c r="Z3868" s="6"/>
      <c r="AA3868" s="6"/>
      <c r="AB3868" s="6"/>
      <c r="AC3868" s="6"/>
      <c r="AD3868" s="6"/>
      <c r="AE3868" s="6"/>
      <c r="AF3868" s="6"/>
      <c r="AG3868" s="6"/>
      <c r="AH3868" s="6"/>
      <c r="AI3868" s="6"/>
      <c r="AJ3868" s="6"/>
      <c r="AK3868" s="6"/>
      <c r="AL3868" s="6"/>
      <c r="AM3868" s="6"/>
    </row>
    <row r="3869">
      <c r="A3869" s="6"/>
      <c r="B3869" s="6"/>
      <c r="C3869" s="6"/>
      <c r="D3869" s="6"/>
      <c r="E3869" s="6"/>
      <c r="F3869" s="6"/>
      <c r="G3869" s="6"/>
      <c r="H3869" s="6"/>
      <c r="I3869" s="6"/>
      <c r="J3869" s="6"/>
      <c r="K3869" s="6"/>
      <c r="L3869" s="6"/>
      <c r="M3869" s="6"/>
      <c r="N3869" s="6"/>
      <c r="O3869" s="6"/>
      <c r="P3869" s="6"/>
      <c r="Q3869" s="6"/>
      <c r="R3869" s="6"/>
      <c r="S3869" s="6"/>
      <c r="T3869" s="6"/>
      <c r="U3869" s="6"/>
      <c r="V3869" s="6"/>
      <c r="W3869" s="6"/>
      <c r="X3869" s="6"/>
      <c r="Y3869" s="6"/>
      <c r="Z3869" s="6"/>
      <c r="AA3869" s="6"/>
      <c r="AB3869" s="6"/>
      <c r="AC3869" s="6"/>
      <c r="AD3869" s="6"/>
      <c r="AE3869" s="6"/>
      <c r="AF3869" s="6"/>
      <c r="AG3869" s="6"/>
      <c r="AH3869" s="6"/>
      <c r="AI3869" s="6"/>
      <c r="AJ3869" s="6"/>
      <c r="AK3869" s="6"/>
      <c r="AL3869" s="6"/>
      <c r="AM3869" s="6"/>
    </row>
    <row r="3870">
      <c r="A3870" s="6"/>
      <c r="B3870" s="6"/>
      <c r="C3870" s="6"/>
      <c r="D3870" s="6"/>
      <c r="E3870" s="6"/>
      <c r="F3870" s="6"/>
      <c r="G3870" s="6"/>
      <c r="H3870" s="6"/>
      <c r="I3870" s="6"/>
      <c r="J3870" s="6"/>
      <c r="K3870" s="6"/>
      <c r="L3870" s="6"/>
      <c r="M3870" s="6"/>
      <c r="N3870" s="6"/>
      <c r="O3870" s="6"/>
      <c r="P3870" s="6"/>
      <c r="Q3870" s="6"/>
      <c r="R3870" s="6"/>
      <c r="S3870" s="6"/>
      <c r="T3870" s="6"/>
      <c r="U3870" s="6"/>
      <c r="V3870" s="6"/>
      <c r="W3870" s="6"/>
      <c r="X3870" s="6"/>
      <c r="Y3870" s="6"/>
      <c r="Z3870" s="6"/>
      <c r="AA3870" s="6"/>
      <c r="AB3870" s="6"/>
      <c r="AC3870" s="6"/>
      <c r="AD3870" s="6"/>
      <c r="AE3870" s="6"/>
      <c r="AF3870" s="6"/>
      <c r="AG3870" s="6"/>
      <c r="AH3870" s="6"/>
      <c r="AI3870" s="6"/>
      <c r="AJ3870" s="6"/>
      <c r="AK3870" s="6"/>
      <c r="AL3870" s="6"/>
      <c r="AM3870" s="6"/>
    </row>
    <row r="3871">
      <c r="A3871" s="6"/>
      <c r="B3871" s="6"/>
      <c r="C3871" s="6"/>
      <c r="D3871" s="6"/>
      <c r="E3871" s="6"/>
      <c r="F3871" s="6"/>
      <c r="G3871" s="6"/>
      <c r="H3871" s="6"/>
      <c r="I3871" s="6"/>
      <c r="J3871" s="6"/>
      <c r="K3871" s="6"/>
      <c r="L3871" s="6"/>
      <c r="M3871" s="6"/>
      <c r="N3871" s="6"/>
      <c r="O3871" s="6"/>
      <c r="P3871" s="6"/>
      <c r="Q3871" s="6"/>
      <c r="R3871" s="6"/>
      <c r="S3871" s="6"/>
      <c r="T3871" s="6"/>
      <c r="U3871" s="6"/>
      <c r="V3871" s="6"/>
      <c r="W3871" s="6"/>
      <c r="X3871" s="6"/>
      <c r="Y3871" s="6"/>
      <c r="Z3871" s="6"/>
      <c r="AA3871" s="6"/>
      <c r="AB3871" s="6"/>
      <c r="AC3871" s="6"/>
      <c r="AD3871" s="6"/>
      <c r="AE3871" s="6"/>
      <c r="AF3871" s="6"/>
      <c r="AG3871" s="6"/>
      <c r="AH3871" s="6"/>
      <c r="AI3871" s="6"/>
      <c r="AJ3871" s="6"/>
      <c r="AK3871" s="6"/>
      <c r="AL3871" s="6"/>
      <c r="AM3871" s="6"/>
    </row>
    <row r="3872">
      <c r="A3872" s="6"/>
      <c r="B3872" s="6"/>
      <c r="C3872" s="6"/>
      <c r="D3872" s="6"/>
      <c r="E3872" s="6"/>
      <c r="F3872" s="6"/>
      <c r="G3872" s="6"/>
      <c r="H3872" s="6"/>
      <c r="I3872" s="6"/>
      <c r="J3872" s="6"/>
      <c r="K3872" s="6"/>
      <c r="L3872" s="6"/>
      <c r="M3872" s="6"/>
      <c r="N3872" s="6"/>
      <c r="O3872" s="6"/>
      <c r="P3872" s="6"/>
      <c r="Q3872" s="6"/>
      <c r="R3872" s="6"/>
      <c r="S3872" s="6"/>
      <c r="T3872" s="6"/>
      <c r="U3872" s="6"/>
      <c r="V3872" s="6"/>
      <c r="W3872" s="6"/>
      <c r="X3872" s="6"/>
      <c r="Y3872" s="6"/>
      <c r="Z3872" s="6"/>
      <c r="AA3872" s="6"/>
      <c r="AB3872" s="6"/>
      <c r="AC3872" s="6"/>
      <c r="AD3872" s="6"/>
      <c r="AE3872" s="6"/>
      <c r="AF3872" s="6"/>
      <c r="AG3872" s="6"/>
      <c r="AH3872" s="6"/>
      <c r="AI3872" s="6"/>
      <c r="AJ3872" s="6"/>
      <c r="AK3872" s="6"/>
      <c r="AL3872" s="6"/>
      <c r="AM3872" s="6"/>
    </row>
    <row r="3873">
      <c r="A3873" s="6"/>
      <c r="B3873" s="6"/>
      <c r="C3873" s="6"/>
      <c r="D3873" s="6"/>
      <c r="E3873" s="6"/>
      <c r="F3873" s="6"/>
      <c r="G3873" s="6"/>
      <c r="H3873" s="6"/>
      <c r="I3873" s="6"/>
      <c r="J3873" s="6"/>
      <c r="K3873" s="6"/>
      <c r="L3873" s="6"/>
      <c r="M3873" s="6"/>
      <c r="N3873" s="6"/>
      <c r="O3873" s="6"/>
      <c r="P3873" s="6"/>
      <c r="Q3873" s="6"/>
      <c r="R3873" s="6"/>
      <c r="S3873" s="6"/>
      <c r="T3873" s="6"/>
      <c r="U3873" s="6"/>
      <c r="V3873" s="6"/>
      <c r="W3873" s="6"/>
      <c r="X3873" s="6"/>
      <c r="Y3873" s="6"/>
      <c r="Z3873" s="6"/>
      <c r="AA3873" s="6"/>
      <c r="AB3873" s="6"/>
      <c r="AC3873" s="6"/>
      <c r="AD3873" s="6"/>
      <c r="AE3873" s="6"/>
      <c r="AF3873" s="6"/>
      <c r="AG3873" s="6"/>
      <c r="AH3873" s="6"/>
      <c r="AI3873" s="6"/>
      <c r="AJ3873" s="6"/>
      <c r="AK3873" s="6"/>
      <c r="AL3873" s="6"/>
      <c r="AM3873" s="6"/>
    </row>
    <row r="3874">
      <c r="A3874" s="6"/>
      <c r="B3874" s="6"/>
      <c r="C3874" s="6"/>
      <c r="D3874" s="6"/>
      <c r="E3874" s="6"/>
      <c r="F3874" s="6"/>
      <c r="G3874" s="6"/>
      <c r="H3874" s="6"/>
      <c r="I3874" s="6"/>
      <c r="J3874" s="6"/>
      <c r="K3874" s="6"/>
      <c r="L3874" s="6"/>
      <c r="M3874" s="6"/>
      <c r="N3874" s="6"/>
      <c r="O3874" s="6"/>
      <c r="P3874" s="6"/>
      <c r="Q3874" s="6"/>
      <c r="R3874" s="6"/>
      <c r="S3874" s="6"/>
      <c r="T3874" s="6"/>
      <c r="U3874" s="6"/>
      <c r="V3874" s="6"/>
      <c r="W3874" s="6"/>
      <c r="X3874" s="6"/>
      <c r="Y3874" s="6"/>
      <c r="Z3874" s="6"/>
      <c r="AA3874" s="6"/>
      <c r="AB3874" s="6"/>
      <c r="AC3874" s="6"/>
      <c r="AD3874" s="6"/>
      <c r="AE3874" s="6"/>
      <c r="AF3874" s="6"/>
      <c r="AG3874" s="6"/>
      <c r="AH3874" s="6"/>
      <c r="AI3874" s="6"/>
      <c r="AJ3874" s="6"/>
      <c r="AK3874" s="6"/>
      <c r="AL3874" s="6"/>
      <c r="AM3874" s="6"/>
    </row>
    <row r="3875">
      <c r="A3875" s="6"/>
      <c r="B3875" s="6"/>
      <c r="C3875" s="6"/>
      <c r="D3875" s="6"/>
      <c r="E3875" s="6"/>
      <c r="F3875" s="6"/>
      <c r="G3875" s="6"/>
      <c r="H3875" s="6"/>
      <c r="I3875" s="6"/>
      <c r="J3875" s="6"/>
      <c r="K3875" s="6"/>
      <c r="L3875" s="6"/>
      <c r="M3875" s="6"/>
      <c r="N3875" s="6"/>
      <c r="O3875" s="6"/>
      <c r="P3875" s="6"/>
      <c r="Q3875" s="6"/>
      <c r="R3875" s="6"/>
      <c r="S3875" s="6"/>
      <c r="T3875" s="6"/>
      <c r="U3875" s="6"/>
      <c r="V3875" s="6"/>
      <c r="W3875" s="6"/>
      <c r="X3875" s="6"/>
      <c r="Y3875" s="6"/>
      <c r="Z3875" s="6"/>
      <c r="AA3875" s="6"/>
      <c r="AB3875" s="6"/>
      <c r="AC3875" s="6"/>
      <c r="AD3875" s="6"/>
      <c r="AE3875" s="6"/>
      <c r="AF3875" s="6"/>
      <c r="AG3875" s="6"/>
      <c r="AH3875" s="6"/>
      <c r="AI3875" s="6"/>
      <c r="AJ3875" s="6"/>
      <c r="AK3875" s="6"/>
      <c r="AL3875" s="6"/>
      <c r="AM3875" s="6"/>
    </row>
    <row r="3876">
      <c r="A3876" s="6"/>
      <c r="B3876" s="6"/>
      <c r="C3876" s="6"/>
      <c r="D3876" s="6"/>
      <c r="E3876" s="6"/>
      <c r="F3876" s="6"/>
      <c r="G3876" s="6"/>
      <c r="H3876" s="6"/>
      <c r="I3876" s="6"/>
      <c r="J3876" s="6"/>
      <c r="K3876" s="6"/>
      <c r="L3876" s="6"/>
      <c r="M3876" s="6"/>
      <c r="N3876" s="6"/>
      <c r="O3876" s="6"/>
      <c r="P3876" s="6"/>
      <c r="Q3876" s="6"/>
      <c r="R3876" s="6"/>
      <c r="S3876" s="6"/>
      <c r="T3876" s="6"/>
      <c r="U3876" s="6"/>
      <c r="V3876" s="6"/>
      <c r="W3876" s="6"/>
      <c r="X3876" s="6"/>
      <c r="Y3876" s="6"/>
      <c r="Z3876" s="6"/>
      <c r="AA3876" s="6"/>
      <c r="AB3876" s="6"/>
      <c r="AC3876" s="6"/>
      <c r="AD3876" s="6"/>
      <c r="AE3876" s="6"/>
      <c r="AF3876" s="6"/>
      <c r="AG3876" s="6"/>
      <c r="AH3876" s="6"/>
      <c r="AI3876" s="6"/>
      <c r="AJ3876" s="6"/>
      <c r="AK3876" s="6"/>
      <c r="AL3876" s="6"/>
      <c r="AM3876" s="6"/>
    </row>
    <row r="3877">
      <c r="A3877" s="6"/>
      <c r="B3877" s="6"/>
      <c r="C3877" s="6"/>
      <c r="D3877" s="6"/>
      <c r="E3877" s="6"/>
      <c r="F3877" s="6"/>
      <c r="G3877" s="6"/>
      <c r="H3877" s="6"/>
      <c r="I3877" s="6"/>
      <c r="J3877" s="6"/>
      <c r="K3877" s="6"/>
      <c r="L3877" s="6"/>
      <c r="M3877" s="6"/>
      <c r="N3877" s="6"/>
      <c r="O3877" s="6"/>
      <c r="P3877" s="6"/>
      <c r="Q3877" s="6"/>
      <c r="R3877" s="6"/>
      <c r="S3877" s="6"/>
      <c r="T3877" s="6"/>
      <c r="U3877" s="6"/>
      <c r="V3877" s="6"/>
      <c r="W3877" s="6"/>
      <c r="X3877" s="6"/>
      <c r="Y3877" s="6"/>
      <c r="Z3877" s="6"/>
      <c r="AA3877" s="6"/>
      <c r="AB3877" s="6"/>
      <c r="AC3877" s="6"/>
      <c r="AD3877" s="6"/>
      <c r="AE3877" s="6"/>
      <c r="AF3877" s="6"/>
      <c r="AG3877" s="6"/>
      <c r="AH3877" s="6"/>
      <c r="AI3877" s="6"/>
      <c r="AJ3877" s="6"/>
      <c r="AK3877" s="6"/>
      <c r="AL3877" s="6"/>
      <c r="AM3877" s="6"/>
    </row>
    <row r="3878">
      <c r="A3878" s="6"/>
      <c r="B3878" s="6"/>
      <c r="C3878" s="6"/>
      <c r="D3878" s="6"/>
      <c r="E3878" s="6"/>
      <c r="F3878" s="6"/>
      <c r="G3878" s="6"/>
      <c r="H3878" s="6"/>
      <c r="I3878" s="6"/>
      <c r="J3878" s="6"/>
      <c r="K3878" s="6"/>
      <c r="L3878" s="6"/>
      <c r="M3878" s="6"/>
      <c r="N3878" s="6"/>
      <c r="O3878" s="6"/>
      <c r="P3878" s="6"/>
      <c r="Q3878" s="6"/>
      <c r="R3878" s="6"/>
      <c r="S3878" s="6"/>
      <c r="T3878" s="6"/>
      <c r="U3878" s="6"/>
      <c r="V3878" s="6"/>
      <c r="W3878" s="6"/>
      <c r="X3878" s="6"/>
      <c r="Y3878" s="6"/>
      <c r="Z3878" s="6"/>
      <c r="AA3878" s="6"/>
      <c r="AB3878" s="6"/>
      <c r="AC3878" s="6"/>
      <c r="AD3878" s="6"/>
      <c r="AE3878" s="6"/>
      <c r="AF3878" s="6"/>
      <c r="AG3878" s="6"/>
      <c r="AH3878" s="6"/>
      <c r="AI3878" s="6"/>
      <c r="AJ3878" s="6"/>
      <c r="AK3878" s="6"/>
      <c r="AL3878" s="6"/>
      <c r="AM3878" s="6"/>
    </row>
    <row r="3879">
      <c r="A3879" s="6"/>
      <c r="B3879" s="6"/>
      <c r="C3879" s="6"/>
      <c r="D3879" s="6"/>
      <c r="E3879" s="6"/>
      <c r="F3879" s="6"/>
      <c r="G3879" s="6"/>
      <c r="H3879" s="6"/>
      <c r="I3879" s="6"/>
      <c r="J3879" s="6"/>
      <c r="K3879" s="6"/>
      <c r="L3879" s="6"/>
      <c r="M3879" s="6"/>
      <c r="N3879" s="6"/>
      <c r="O3879" s="6"/>
      <c r="P3879" s="6"/>
      <c r="Q3879" s="6"/>
      <c r="R3879" s="6"/>
      <c r="S3879" s="6"/>
      <c r="T3879" s="6"/>
      <c r="U3879" s="6"/>
      <c r="V3879" s="6"/>
      <c r="W3879" s="6"/>
      <c r="X3879" s="6"/>
      <c r="Y3879" s="6"/>
      <c r="Z3879" s="6"/>
      <c r="AA3879" s="6"/>
      <c r="AB3879" s="6"/>
      <c r="AC3879" s="6"/>
      <c r="AD3879" s="6"/>
      <c r="AE3879" s="6"/>
      <c r="AF3879" s="6"/>
      <c r="AG3879" s="6"/>
      <c r="AH3879" s="6"/>
      <c r="AI3879" s="6"/>
      <c r="AJ3879" s="6"/>
      <c r="AK3879" s="6"/>
      <c r="AL3879" s="6"/>
      <c r="AM3879" s="6"/>
    </row>
    <row r="3880">
      <c r="A3880" s="6"/>
      <c r="B3880" s="6"/>
      <c r="C3880" s="6"/>
      <c r="D3880" s="6"/>
      <c r="E3880" s="6"/>
      <c r="F3880" s="6"/>
      <c r="G3880" s="6"/>
      <c r="H3880" s="6"/>
      <c r="I3880" s="6"/>
      <c r="J3880" s="6"/>
      <c r="K3880" s="6"/>
      <c r="L3880" s="6"/>
      <c r="M3880" s="6"/>
      <c r="N3880" s="6"/>
      <c r="O3880" s="6"/>
      <c r="P3880" s="6"/>
      <c r="Q3880" s="6"/>
      <c r="R3880" s="6"/>
      <c r="S3880" s="6"/>
      <c r="T3880" s="6"/>
      <c r="U3880" s="6"/>
      <c r="V3880" s="6"/>
      <c r="W3880" s="6"/>
      <c r="X3880" s="6"/>
      <c r="Y3880" s="6"/>
      <c r="Z3880" s="6"/>
      <c r="AA3880" s="6"/>
      <c r="AB3880" s="6"/>
      <c r="AC3880" s="6"/>
      <c r="AD3880" s="6"/>
      <c r="AE3880" s="6"/>
      <c r="AF3880" s="6"/>
      <c r="AG3880" s="6"/>
      <c r="AH3880" s="6"/>
      <c r="AI3880" s="6"/>
      <c r="AJ3880" s="6"/>
      <c r="AK3880" s="6"/>
      <c r="AL3880" s="6"/>
      <c r="AM3880" s="6"/>
    </row>
    <row r="3881">
      <c r="A3881" s="6"/>
      <c r="B3881" s="6"/>
      <c r="C3881" s="6"/>
      <c r="D3881" s="6"/>
      <c r="E3881" s="6"/>
      <c r="F3881" s="6"/>
      <c r="G3881" s="6"/>
      <c r="H3881" s="6"/>
      <c r="I3881" s="6"/>
      <c r="J3881" s="6"/>
      <c r="K3881" s="6"/>
      <c r="L3881" s="6"/>
      <c r="M3881" s="6"/>
      <c r="N3881" s="6"/>
      <c r="O3881" s="6"/>
      <c r="P3881" s="6"/>
      <c r="Q3881" s="6"/>
      <c r="R3881" s="6"/>
      <c r="S3881" s="6"/>
      <c r="T3881" s="6"/>
      <c r="U3881" s="6"/>
      <c r="V3881" s="6"/>
      <c r="W3881" s="6"/>
      <c r="X3881" s="6"/>
      <c r="Y3881" s="6"/>
      <c r="Z3881" s="6"/>
      <c r="AA3881" s="6"/>
      <c r="AB3881" s="6"/>
      <c r="AC3881" s="6"/>
      <c r="AD3881" s="6"/>
      <c r="AE3881" s="6"/>
      <c r="AF3881" s="6"/>
      <c r="AG3881" s="6"/>
      <c r="AH3881" s="6"/>
      <c r="AI3881" s="6"/>
      <c r="AJ3881" s="6"/>
      <c r="AK3881" s="6"/>
      <c r="AL3881" s="6"/>
      <c r="AM3881" s="6"/>
    </row>
    <row r="3882">
      <c r="A3882" s="6"/>
      <c r="B3882" s="6"/>
      <c r="C3882" s="6"/>
      <c r="D3882" s="6"/>
      <c r="E3882" s="6"/>
      <c r="F3882" s="6"/>
      <c r="G3882" s="6"/>
      <c r="H3882" s="6"/>
      <c r="I3882" s="6"/>
      <c r="J3882" s="6"/>
      <c r="K3882" s="6"/>
      <c r="L3882" s="6"/>
      <c r="M3882" s="6"/>
      <c r="N3882" s="6"/>
      <c r="O3882" s="6"/>
      <c r="P3882" s="6"/>
      <c r="Q3882" s="6"/>
      <c r="R3882" s="6"/>
      <c r="S3882" s="6"/>
      <c r="T3882" s="6"/>
      <c r="U3882" s="6"/>
      <c r="V3882" s="6"/>
      <c r="W3882" s="6"/>
      <c r="X3882" s="6"/>
      <c r="Y3882" s="6"/>
      <c r="Z3882" s="6"/>
      <c r="AA3882" s="6"/>
      <c r="AB3882" s="6"/>
      <c r="AC3882" s="6"/>
      <c r="AD3882" s="6"/>
      <c r="AE3882" s="6"/>
      <c r="AF3882" s="6"/>
      <c r="AG3882" s="6"/>
      <c r="AH3882" s="6"/>
      <c r="AI3882" s="6"/>
      <c r="AJ3882" s="6"/>
      <c r="AK3882" s="6"/>
      <c r="AL3882" s="6"/>
      <c r="AM3882" s="6"/>
    </row>
    <row r="3883">
      <c r="A3883" s="6"/>
      <c r="B3883" s="6"/>
      <c r="C3883" s="6"/>
      <c r="D3883" s="6"/>
      <c r="E3883" s="6"/>
      <c r="F3883" s="6"/>
      <c r="G3883" s="6"/>
      <c r="H3883" s="6"/>
      <c r="I3883" s="6"/>
      <c r="J3883" s="6"/>
      <c r="K3883" s="6"/>
      <c r="L3883" s="6"/>
      <c r="M3883" s="6"/>
      <c r="N3883" s="6"/>
      <c r="O3883" s="6"/>
      <c r="P3883" s="6"/>
      <c r="Q3883" s="6"/>
      <c r="R3883" s="6"/>
      <c r="S3883" s="6"/>
      <c r="T3883" s="6"/>
      <c r="U3883" s="6"/>
      <c r="V3883" s="6"/>
      <c r="W3883" s="6"/>
      <c r="X3883" s="6"/>
      <c r="Y3883" s="6"/>
      <c r="Z3883" s="6"/>
      <c r="AA3883" s="6"/>
      <c r="AB3883" s="6"/>
      <c r="AC3883" s="6"/>
      <c r="AD3883" s="6"/>
      <c r="AE3883" s="6"/>
      <c r="AF3883" s="6"/>
      <c r="AG3883" s="6"/>
      <c r="AH3883" s="6"/>
      <c r="AI3883" s="6"/>
      <c r="AJ3883" s="6"/>
      <c r="AK3883" s="6"/>
      <c r="AL3883" s="6"/>
      <c r="AM3883" s="6"/>
    </row>
    <row r="3884">
      <c r="A3884" s="6"/>
      <c r="B3884" s="6"/>
      <c r="C3884" s="6"/>
      <c r="D3884" s="6"/>
      <c r="E3884" s="6"/>
      <c r="F3884" s="6"/>
      <c r="G3884" s="6"/>
      <c r="H3884" s="6"/>
      <c r="I3884" s="6"/>
      <c r="J3884" s="6"/>
      <c r="K3884" s="6"/>
      <c r="L3884" s="6"/>
      <c r="M3884" s="6"/>
      <c r="N3884" s="6"/>
      <c r="O3884" s="6"/>
      <c r="P3884" s="6"/>
      <c r="Q3884" s="6"/>
      <c r="R3884" s="6"/>
      <c r="S3884" s="6"/>
      <c r="T3884" s="6"/>
      <c r="U3884" s="6"/>
      <c r="V3884" s="6"/>
      <c r="W3884" s="6"/>
      <c r="X3884" s="6"/>
      <c r="Y3884" s="6"/>
      <c r="Z3884" s="6"/>
      <c r="AA3884" s="6"/>
      <c r="AB3884" s="6"/>
      <c r="AC3884" s="6"/>
      <c r="AD3884" s="6"/>
      <c r="AE3884" s="6"/>
      <c r="AF3884" s="6"/>
      <c r="AG3884" s="6"/>
      <c r="AH3884" s="6"/>
      <c r="AI3884" s="6"/>
      <c r="AJ3884" s="6"/>
      <c r="AK3884" s="6"/>
      <c r="AL3884" s="6"/>
      <c r="AM3884" s="6"/>
    </row>
    <row r="3885">
      <c r="A3885" s="6"/>
      <c r="B3885" s="6"/>
      <c r="C3885" s="6"/>
      <c r="D3885" s="6"/>
      <c r="E3885" s="6"/>
      <c r="F3885" s="6"/>
      <c r="G3885" s="6"/>
      <c r="H3885" s="6"/>
      <c r="I3885" s="6"/>
      <c r="J3885" s="6"/>
      <c r="K3885" s="6"/>
      <c r="L3885" s="6"/>
      <c r="M3885" s="6"/>
      <c r="N3885" s="6"/>
      <c r="O3885" s="6"/>
      <c r="P3885" s="6"/>
      <c r="Q3885" s="6"/>
      <c r="R3885" s="6"/>
      <c r="S3885" s="6"/>
      <c r="T3885" s="6"/>
      <c r="U3885" s="6"/>
      <c r="V3885" s="6"/>
      <c r="W3885" s="6"/>
      <c r="X3885" s="6"/>
      <c r="Y3885" s="6"/>
      <c r="Z3885" s="6"/>
      <c r="AA3885" s="6"/>
      <c r="AB3885" s="6"/>
      <c r="AC3885" s="6"/>
      <c r="AD3885" s="6"/>
      <c r="AE3885" s="6"/>
      <c r="AF3885" s="6"/>
      <c r="AG3885" s="6"/>
      <c r="AH3885" s="6"/>
      <c r="AI3885" s="6"/>
      <c r="AJ3885" s="6"/>
      <c r="AK3885" s="6"/>
      <c r="AL3885" s="6"/>
      <c r="AM3885" s="6"/>
    </row>
    <row r="3886">
      <c r="A3886" s="6"/>
      <c r="B3886" s="6"/>
      <c r="C3886" s="6"/>
      <c r="D3886" s="6"/>
      <c r="E3886" s="6"/>
      <c r="F3886" s="6"/>
      <c r="G3886" s="6"/>
      <c r="H3886" s="6"/>
      <c r="I3886" s="6"/>
      <c r="J3886" s="6"/>
      <c r="K3886" s="6"/>
      <c r="L3886" s="6"/>
      <c r="M3886" s="6"/>
      <c r="N3886" s="6"/>
      <c r="O3886" s="6"/>
      <c r="P3886" s="6"/>
      <c r="Q3886" s="6"/>
      <c r="R3886" s="6"/>
      <c r="S3886" s="6"/>
      <c r="T3886" s="6"/>
      <c r="U3886" s="6"/>
      <c r="V3886" s="6"/>
      <c r="W3886" s="6"/>
      <c r="X3886" s="6"/>
      <c r="Y3886" s="6"/>
      <c r="Z3886" s="6"/>
      <c r="AA3886" s="6"/>
      <c r="AB3886" s="6"/>
      <c r="AC3886" s="6"/>
      <c r="AD3886" s="6"/>
      <c r="AE3886" s="6"/>
      <c r="AF3886" s="6"/>
      <c r="AG3886" s="6"/>
      <c r="AH3886" s="6"/>
      <c r="AI3886" s="6"/>
      <c r="AJ3886" s="6"/>
      <c r="AK3886" s="6"/>
      <c r="AL3886" s="6"/>
      <c r="AM3886" s="6"/>
    </row>
    <row r="3887">
      <c r="A3887" s="6"/>
      <c r="B3887" s="6"/>
      <c r="C3887" s="6"/>
      <c r="D3887" s="6"/>
      <c r="E3887" s="6"/>
      <c r="F3887" s="6"/>
      <c r="G3887" s="6"/>
      <c r="H3887" s="6"/>
      <c r="I3887" s="6"/>
      <c r="J3887" s="6"/>
      <c r="K3887" s="6"/>
      <c r="L3887" s="6"/>
      <c r="M3887" s="6"/>
      <c r="N3887" s="6"/>
      <c r="O3887" s="6"/>
      <c r="P3887" s="6"/>
      <c r="Q3887" s="6"/>
      <c r="R3887" s="6"/>
      <c r="S3887" s="6"/>
      <c r="T3887" s="6"/>
      <c r="U3887" s="6"/>
      <c r="V3887" s="6"/>
      <c r="W3887" s="6"/>
      <c r="X3887" s="6"/>
      <c r="Y3887" s="6"/>
      <c r="Z3887" s="6"/>
      <c r="AA3887" s="6"/>
      <c r="AB3887" s="6"/>
      <c r="AC3887" s="6"/>
      <c r="AD3887" s="6"/>
      <c r="AE3887" s="6"/>
      <c r="AF3887" s="6"/>
      <c r="AG3887" s="6"/>
      <c r="AH3887" s="6"/>
      <c r="AI3887" s="6"/>
      <c r="AJ3887" s="6"/>
      <c r="AK3887" s="6"/>
      <c r="AL3887" s="6"/>
      <c r="AM3887" s="6"/>
    </row>
    <row r="3888">
      <c r="A3888" s="6"/>
      <c r="B3888" s="6"/>
      <c r="C3888" s="6"/>
      <c r="D3888" s="6"/>
      <c r="E3888" s="6"/>
      <c r="F3888" s="6"/>
      <c r="G3888" s="6"/>
      <c r="H3888" s="6"/>
      <c r="I3888" s="6"/>
      <c r="J3888" s="6"/>
      <c r="K3888" s="6"/>
      <c r="L3888" s="6"/>
      <c r="M3888" s="6"/>
      <c r="N3888" s="6"/>
      <c r="O3888" s="6"/>
      <c r="P3888" s="6"/>
      <c r="Q3888" s="6"/>
      <c r="R3888" s="6"/>
      <c r="S3888" s="6"/>
      <c r="T3888" s="6"/>
      <c r="U3888" s="6"/>
      <c r="V3888" s="6"/>
      <c r="W3888" s="6"/>
      <c r="X3888" s="6"/>
      <c r="Y3888" s="6"/>
      <c r="Z3888" s="6"/>
      <c r="AA3888" s="6"/>
      <c r="AB3888" s="6"/>
      <c r="AC3888" s="6"/>
      <c r="AD3888" s="6"/>
      <c r="AE3888" s="6"/>
      <c r="AF3888" s="6"/>
      <c r="AG3888" s="6"/>
      <c r="AH3888" s="6"/>
      <c r="AI3888" s="6"/>
      <c r="AJ3888" s="6"/>
      <c r="AK3888" s="6"/>
      <c r="AL3888" s="6"/>
      <c r="AM3888" s="6"/>
    </row>
    <row r="3889">
      <c r="A3889" s="6"/>
      <c r="B3889" s="6"/>
      <c r="C3889" s="6"/>
      <c r="D3889" s="6"/>
      <c r="E3889" s="6"/>
      <c r="F3889" s="6"/>
      <c r="G3889" s="6"/>
      <c r="H3889" s="6"/>
      <c r="I3889" s="6"/>
      <c r="J3889" s="6"/>
      <c r="K3889" s="6"/>
      <c r="L3889" s="6"/>
      <c r="M3889" s="6"/>
      <c r="N3889" s="6"/>
      <c r="O3889" s="6"/>
      <c r="P3889" s="6"/>
      <c r="Q3889" s="6"/>
      <c r="R3889" s="6"/>
      <c r="S3889" s="6"/>
      <c r="T3889" s="6"/>
      <c r="U3889" s="6"/>
      <c r="V3889" s="6"/>
      <c r="W3889" s="6"/>
      <c r="X3889" s="6"/>
      <c r="Y3889" s="6"/>
      <c r="Z3889" s="6"/>
      <c r="AA3889" s="6"/>
      <c r="AB3889" s="6"/>
      <c r="AC3889" s="6"/>
      <c r="AD3889" s="6"/>
      <c r="AE3889" s="6"/>
      <c r="AF3889" s="6"/>
      <c r="AG3889" s="6"/>
      <c r="AH3889" s="6"/>
      <c r="AI3889" s="6"/>
      <c r="AJ3889" s="6"/>
      <c r="AK3889" s="6"/>
      <c r="AL3889" s="6"/>
      <c r="AM3889" s="6"/>
    </row>
    <row r="3890">
      <c r="A3890" s="6"/>
      <c r="B3890" s="6"/>
      <c r="C3890" s="6"/>
      <c r="D3890" s="6"/>
      <c r="E3890" s="6"/>
      <c r="F3890" s="6"/>
      <c r="G3890" s="6"/>
      <c r="H3890" s="6"/>
      <c r="I3890" s="6"/>
      <c r="J3890" s="6"/>
      <c r="K3890" s="6"/>
      <c r="L3890" s="6"/>
      <c r="M3890" s="6"/>
      <c r="N3890" s="6"/>
      <c r="O3890" s="6"/>
      <c r="P3890" s="6"/>
      <c r="Q3890" s="6"/>
      <c r="R3890" s="6"/>
      <c r="S3890" s="6"/>
      <c r="T3890" s="6"/>
      <c r="U3890" s="6"/>
      <c r="V3890" s="6"/>
      <c r="W3890" s="6"/>
      <c r="X3890" s="6"/>
      <c r="Y3890" s="6"/>
      <c r="Z3890" s="6"/>
      <c r="AA3890" s="6"/>
      <c r="AB3890" s="6"/>
      <c r="AC3890" s="6"/>
      <c r="AD3890" s="6"/>
      <c r="AE3890" s="6"/>
      <c r="AF3890" s="6"/>
      <c r="AG3890" s="6"/>
      <c r="AH3890" s="6"/>
      <c r="AI3890" s="6"/>
      <c r="AJ3890" s="6"/>
      <c r="AK3890" s="6"/>
      <c r="AL3890" s="6"/>
      <c r="AM3890" s="6"/>
    </row>
    <row r="3891">
      <c r="A3891" s="6"/>
      <c r="B3891" s="6"/>
      <c r="C3891" s="6"/>
      <c r="D3891" s="6"/>
      <c r="E3891" s="6"/>
      <c r="F3891" s="6"/>
      <c r="G3891" s="6"/>
      <c r="H3891" s="6"/>
      <c r="I3891" s="6"/>
      <c r="J3891" s="6"/>
      <c r="K3891" s="6"/>
      <c r="L3891" s="6"/>
      <c r="M3891" s="6"/>
      <c r="N3891" s="6"/>
      <c r="O3891" s="6"/>
      <c r="P3891" s="6"/>
      <c r="Q3891" s="6"/>
      <c r="R3891" s="6"/>
      <c r="S3891" s="6"/>
      <c r="T3891" s="6"/>
      <c r="U3891" s="6"/>
      <c r="V3891" s="6"/>
      <c r="W3891" s="6"/>
      <c r="X3891" s="6"/>
      <c r="Y3891" s="6"/>
      <c r="Z3891" s="6"/>
      <c r="AA3891" s="6"/>
      <c r="AB3891" s="6"/>
      <c r="AC3891" s="6"/>
      <c r="AD3891" s="6"/>
      <c r="AE3891" s="6"/>
      <c r="AF3891" s="6"/>
      <c r="AG3891" s="6"/>
      <c r="AH3891" s="6"/>
      <c r="AI3891" s="6"/>
      <c r="AJ3891" s="6"/>
      <c r="AK3891" s="6"/>
      <c r="AL3891" s="6"/>
      <c r="AM3891" s="6"/>
    </row>
    <row r="3892">
      <c r="A3892" s="6"/>
      <c r="B3892" s="6"/>
      <c r="C3892" s="6"/>
      <c r="D3892" s="6"/>
      <c r="E3892" s="6"/>
      <c r="F3892" s="6"/>
      <c r="G3892" s="6"/>
      <c r="H3892" s="6"/>
      <c r="I3892" s="6"/>
      <c r="J3892" s="6"/>
      <c r="K3892" s="6"/>
      <c r="L3892" s="6"/>
      <c r="M3892" s="6"/>
      <c r="N3892" s="6"/>
      <c r="O3892" s="6"/>
      <c r="P3892" s="6"/>
      <c r="Q3892" s="6"/>
      <c r="R3892" s="6"/>
      <c r="S3892" s="6"/>
      <c r="T3892" s="6"/>
      <c r="U3892" s="6"/>
      <c r="V3892" s="6"/>
      <c r="W3892" s="6"/>
      <c r="X3892" s="6"/>
      <c r="Y3892" s="6"/>
      <c r="Z3892" s="6"/>
      <c r="AA3892" s="6"/>
      <c r="AB3892" s="6"/>
      <c r="AC3892" s="6"/>
      <c r="AD3892" s="6"/>
      <c r="AE3892" s="6"/>
      <c r="AF3892" s="6"/>
      <c r="AG3892" s="6"/>
      <c r="AH3892" s="6"/>
      <c r="AI3892" s="6"/>
      <c r="AJ3892" s="6"/>
      <c r="AK3892" s="6"/>
      <c r="AL3892" s="6"/>
      <c r="AM3892" s="6"/>
    </row>
    <row r="3893">
      <c r="A3893" s="6"/>
      <c r="B3893" s="6"/>
      <c r="C3893" s="6"/>
      <c r="D3893" s="6"/>
      <c r="E3893" s="6"/>
      <c r="F3893" s="6"/>
      <c r="G3893" s="6"/>
      <c r="H3893" s="6"/>
      <c r="I3893" s="6"/>
      <c r="J3893" s="6"/>
      <c r="K3893" s="6"/>
      <c r="L3893" s="6"/>
      <c r="M3893" s="6"/>
      <c r="N3893" s="6"/>
      <c r="O3893" s="6"/>
      <c r="P3893" s="6"/>
      <c r="Q3893" s="6"/>
      <c r="R3893" s="6"/>
      <c r="S3893" s="6"/>
      <c r="T3893" s="6"/>
      <c r="U3893" s="6"/>
      <c r="V3893" s="6"/>
      <c r="W3893" s="6"/>
      <c r="X3893" s="6"/>
      <c r="Y3893" s="6"/>
      <c r="Z3893" s="6"/>
      <c r="AA3893" s="6"/>
      <c r="AB3893" s="6"/>
      <c r="AC3893" s="6"/>
      <c r="AD3893" s="6"/>
      <c r="AE3893" s="6"/>
      <c r="AF3893" s="6"/>
      <c r="AG3893" s="6"/>
      <c r="AH3893" s="6"/>
      <c r="AI3893" s="6"/>
      <c r="AJ3893" s="6"/>
      <c r="AK3893" s="6"/>
      <c r="AL3893" s="6"/>
      <c r="AM3893" s="6"/>
    </row>
    <row r="3894">
      <c r="A3894" s="6"/>
      <c r="B3894" s="6"/>
      <c r="C3894" s="6"/>
      <c r="D3894" s="6"/>
      <c r="E3894" s="6"/>
      <c r="F3894" s="6"/>
      <c r="G3894" s="6"/>
      <c r="H3894" s="6"/>
      <c r="I3894" s="6"/>
      <c r="J3894" s="6"/>
      <c r="K3894" s="6"/>
      <c r="L3894" s="6"/>
      <c r="M3894" s="6"/>
      <c r="N3894" s="6"/>
      <c r="O3894" s="6"/>
      <c r="P3894" s="6"/>
      <c r="Q3894" s="6"/>
      <c r="R3894" s="6"/>
      <c r="S3894" s="6"/>
      <c r="T3894" s="6"/>
      <c r="U3894" s="6"/>
      <c r="V3894" s="6"/>
      <c r="W3894" s="6"/>
      <c r="X3894" s="6"/>
      <c r="Y3894" s="6"/>
      <c r="Z3894" s="6"/>
      <c r="AA3894" s="6"/>
      <c r="AB3894" s="6"/>
      <c r="AC3894" s="6"/>
      <c r="AD3894" s="6"/>
      <c r="AE3894" s="6"/>
      <c r="AF3894" s="6"/>
      <c r="AG3894" s="6"/>
      <c r="AH3894" s="6"/>
      <c r="AI3894" s="6"/>
      <c r="AJ3894" s="6"/>
      <c r="AK3894" s="6"/>
      <c r="AL3894" s="6"/>
      <c r="AM3894" s="6"/>
    </row>
    <row r="3895">
      <c r="A3895" s="6"/>
      <c r="B3895" s="6"/>
      <c r="C3895" s="6"/>
      <c r="D3895" s="6"/>
      <c r="E3895" s="6"/>
      <c r="F3895" s="6"/>
      <c r="G3895" s="6"/>
      <c r="H3895" s="6"/>
      <c r="I3895" s="6"/>
      <c r="J3895" s="6"/>
      <c r="K3895" s="6"/>
      <c r="L3895" s="6"/>
      <c r="M3895" s="6"/>
      <c r="N3895" s="6"/>
      <c r="O3895" s="6"/>
      <c r="P3895" s="6"/>
      <c r="Q3895" s="6"/>
      <c r="R3895" s="6"/>
      <c r="S3895" s="6"/>
      <c r="T3895" s="6"/>
      <c r="U3895" s="6"/>
      <c r="V3895" s="6"/>
      <c r="W3895" s="6"/>
      <c r="X3895" s="6"/>
      <c r="Y3895" s="6"/>
      <c r="Z3895" s="6"/>
      <c r="AA3895" s="6"/>
      <c r="AB3895" s="6"/>
      <c r="AC3895" s="6"/>
      <c r="AD3895" s="6"/>
      <c r="AE3895" s="6"/>
      <c r="AF3895" s="6"/>
      <c r="AG3895" s="6"/>
      <c r="AH3895" s="6"/>
      <c r="AI3895" s="6"/>
      <c r="AJ3895" s="6"/>
      <c r="AK3895" s="6"/>
      <c r="AL3895" s="6"/>
      <c r="AM3895" s="6"/>
    </row>
    <row r="3896">
      <c r="A3896" s="6"/>
      <c r="B3896" s="6"/>
      <c r="C3896" s="6"/>
      <c r="D3896" s="6"/>
      <c r="E3896" s="6"/>
      <c r="F3896" s="6"/>
      <c r="G3896" s="6"/>
      <c r="H3896" s="6"/>
      <c r="I3896" s="6"/>
      <c r="J3896" s="6"/>
      <c r="K3896" s="6"/>
      <c r="L3896" s="6"/>
      <c r="M3896" s="6"/>
      <c r="N3896" s="6"/>
      <c r="O3896" s="6"/>
      <c r="P3896" s="6"/>
      <c r="Q3896" s="6"/>
      <c r="R3896" s="6"/>
      <c r="S3896" s="6"/>
      <c r="T3896" s="6"/>
      <c r="U3896" s="6"/>
      <c r="V3896" s="6"/>
      <c r="W3896" s="6"/>
      <c r="X3896" s="6"/>
      <c r="Y3896" s="6"/>
      <c r="Z3896" s="6"/>
      <c r="AA3896" s="6"/>
      <c r="AB3896" s="6"/>
      <c r="AC3896" s="6"/>
      <c r="AD3896" s="6"/>
      <c r="AE3896" s="6"/>
      <c r="AF3896" s="6"/>
      <c r="AG3896" s="6"/>
      <c r="AH3896" s="6"/>
      <c r="AI3896" s="6"/>
      <c r="AJ3896" s="6"/>
      <c r="AK3896" s="6"/>
      <c r="AL3896" s="6"/>
      <c r="AM3896" s="6"/>
    </row>
    <row r="3897">
      <c r="A3897" s="6"/>
      <c r="B3897" s="6"/>
      <c r="C3897" s="6"/>
      <c r="D3897" s="6"/>
      <c r="E3897" s="6"/>
      <c r="F3897" s="6"/>
      <c r="G3897" s="6"/>
      <c r="H3897" s="6"/>
      <c r="I3897" s="6"/>
      <c r="J3897" s="6"/>
      <c r="K3897" s="6"/>
      <c r="L3897" s="6"/>
      <c r="M3897" s="6"/>
      <c r="N3897" s="6"/>
      <c r="O3897" s="6"/>
      <c r="P3897" s="6"/>
      <c r="Q3897" s="6"/>
      <c r="R3897" s="6"/>
      <c r="S3897" s="6"/>
      <c r="T3897" s="6"/>
      <c r="U3897" s="6"/>
      <c r="V3897" s="6"/>
      <c r="W3897" s="6"/>
      <c r="X3897" s="6"/>
      <c r="Y3897" s="6"/>
      <c r="Z3897" s="6"/>
      <c r="AA3897" s="6"/>
      <c r="AB3897" s="6"/>
      <c r="AC3897" s="6"/>
      <c r="AD3897" s="6"/>
      <c r="AE3897" s="6"/>
      <c r="AF3897" s="6"/>
      <c r="AG3897" s="6"/>
      <c r="AH3897" s="6"/>
      <c r="AI3897" s="6"/>
      <c r="AJ3897" s="6"/>
      <c r="AK3897" s="6"/>
      <c r="AL3897" s="6"/>
      <c r="AM3897" s="6"/>
    </row>
    <row r="3898">
      <c r="A3898" s="6"/>
      <c r="B3898" s="6"/>
      <c r="C3898" s="6"/>
      <c r="D3898" s="6"/>
      <c r="E3898" s="6"/>
      <c r="F3898" s="6"/>
      <c r="G3898" s="6"/>
      <c r="H3898" s="6"/>
      <c r="I3898" s="6"/>
      <c r="J3898" s="6"/>
      <c r="K3898" s="6"/>
      <c r="L3898" s="6"/>
      <c r="M3898" s="6"/>
      <c r="N3898" s="6"/>
      <c r="O3898" s="6"/>
      <c r="P3898" s="6"/>
      <c r="Q3898" s="6"/>
      <c r="R3898" s="6"/>
      <c r="S3898" s="6"/>
      <c r="T3898" s="6"/>
      <c r="U3898" s="6"/>
      <c r="V3898" s="6"/>
      <c r="W3898" s="6"/>
      <c r="X3898" s="6"/>
      <c r="Y3898" s="6"/>
      <c r="Z3898" s="6"/>
      <c r="AA3898" s="6"/>
      <c r="AB3898" s="6"/>
      <c r="AC3898" s="6"/>
      <c r="AD3898" s="6"/>
      <c r="AE3898" s="6"/>
      <c r="AF3898" s="6"/>
      <c r="AG3898" s="6"/>
      <c r="AH3898" s="6"/>
      <c r="AI3898" s="6"/>
      <c r="AJ3898" s="6"/>
      <c r="AK3898" s="6"/>
      <c r="AL3898" s="6"/>
      <c r="AM3898" s="6"/>
    </row>
    <row r="3899">
      <c r="A3899" s="6"/>
      <c r="B3899" s="6"/>
      <c r="C3899" s="6"/>
      <c r="D3899" s="6"/>
      <c r="E3899" s="6"/>
      <c r="F3899" s="6"/>
      <c r="G3899" s="6"/>
      <c r="H3899" s="6"/>
      <c r="I3899" s="6"/>
      <c r="J3899" s="6"/>
      <c r="K3899" s="6"/>
      <c r="L3899" s="6"/>
      <c r="M3899" s="6"/>
      <c r="N3899" s="6"/>
      <c r="O3899" s="6"/>
      <c r="P3899" s="6"/>
      <c r="Q3899" s="6"/>
      <c r="R3899" s="6"/>
      <c r="S3899" s="6"/>
      <c r="T3899" s="6"/>
      <c r="U3899" s="6"/>
      <c r="V3899" s="6"/>
      <c r="W3899" s="6"/>
      <c r="X3899" s="6"/>
      <c r="Y3899" s="6"/>
      <c r="Z3899" s="6"/>
      <c r="AA3899" s="6"/>
      <c r="AB3899" s="6"/>
      <c r="AC3899" s="6"/>
      <c r="AD3899" s="6"/>
      <c r="AE3899" s="6"/>
      <c r="AF3899" s="6"/>
      <c r="AG3899" s="6"/>
      <c r="AH3899" s="6"/>
      <c r="AI3899" s="6"/>
      <c r="AJ3899" s="6"/>
      <c r="AK3899" s="6"/>
      <c r="AL3899" s="6"/>
      <c r="AM3899" s="6"/>
    </row>
    <row r="3900">
      <c r="A3900" s="6"/>
      <c r="B3900" s="6"/>
      <c r="C3900" s="6"/>
      <c r="D3900" s="6"/>
      <c r="E3900" s="6"/>
      <c r="F3900" s="6"/>
      <c r="G3900" s="6"/>
      <c r="H3900" s="6"/>
      <c r="I3900" s="6"/>
      <c r="J3900" s="6"/>
      <c r="K3900" s="6"/>
      <c r="L3900" s="6"/>
      <c r="M3900" s="6"/>
      <c r="N3900" s="6"/>
      <c r="O3900" s="6"/>
      <c r="P3900" s="6"/>
      <c r="Q3900" s="6"/>
      <c r="R3900" s="6"/>
      <c r="S3900" s="6"/>
      <c r="T3900" s="6"/>
      <c r="U3900" s="6"/>
      <c r="V3900" s="6"/>
      <c r="W3900" s="6"/>
      <c r="X3900" s="6"/>
      <c r="Y3900" s="6"/>
      <c r="Z3900" s="6"/>
      <c r="AA3900" s="6"/>
      <c r="AB3900" s="6"/>
      <c r="AC3900" s="6"/>
      <c r="AD3900" s="6"/>
      <c r="AE3900" s="6"/>
      <c r="AF3900" s="6"/>
      <c r="AG3900" s="6"/>
      <c r="AH3900" s="6"/>
      <c r="AI3900" s="6"/>
      <c r="AJ3900" s="6"/>
      <c r="AK3900" s="6"/>
      <c r="AL3900" s="6"/>
      <c r="AM3900" s="6"/>
    </row>
    <row r="3901">
      <c r="A3901" s="6"/>
      <c r="B3901" s="6"/>
      <c r="C3901" s="6"/>
      <c r="D3901" s="6"/>
      <c r="E3901" s="6"/>
      <c r="F3901" s="6"/>
      <c r="G3901" s="6"/>
      <c r="H3901" s="6"/>
      <c r="I3901" s="6"/>
      <c r="J3901" s="6"/>
      <c r="K3901" s="6"/>
      <c r="L3901" s="6"/>
      <c r="M3901" s="6"/>
      <c r="N3901" s="6"/>
      <c r="O3901" s="6"/>
      <c r="P3901" s="6"/>
      <c r="Q3901" s="6"/>
      <c r="R3901" s="6"/>
      <c r="S3901" s="6"/>
      <c r="T3901" s="6"/>
      <c r="U3901" s="6"/>
      <c r="V3901" s="6"/>
      <c r="W3901" s="6"/>
      <c r="X3901" s="6"/>
      <c r="Y3901" s="6"/>
      <c r="Z3901" s="6"/>
      <c r="AA3901" s="6"/>
      <c r="AB3901" s="6"/>
      <c r="AC3901" s="6"/>
      <c r="AD3901" s="6"/>
      <c r="AE3901" s="6"/>
      <c r="AF3901" s="6"/>
      <c r="AG3901" s="6"/>
      <c r="AH3901" s="6"/>
      <c r="AI3901" s="6"/>
      <c r="AJ3901" s="6"/>
      <c r="AK3901" s="6"/>
      <c r="AL3901" s="6"/>
      <c r="AM3901" s="6"/>
    </row>
    <row r="3902">
      <c r="A3902" s="6"/>
      <c r="B3902" s="6"/>
      <c r="C3902" s="6"/>
      <c r="D3902" s="6"/>
      <c r="E3902" s="6"/>
      <c r="F3902" s="6"/>
      <c r="G3902" s="6"/>
      <c r="H3902" s="6"/>
      <c r="I3902" s="6"/>
      <c r="J3902" s="6"/>
      <c r="K3902" s="6"/>
      <c r="L3902" s="6"/>
      <c r="M3902" s="6"/>
      <c r="N3902" s="6"/>
      <c r="O3902" s="6"/>
      <c r="P3902" s="6"/>
      <c r="Q3902" s="6"/>
      <c r="R3902" s="6"/>
      <c r="S3902" s="6"/>
      <c r="T3902" s="6"/>
      <c r="U3902" s="6"/>
      <c r="V3902" s="6"/>
      <c r="W3902" s="6"/>
      <c r="X3902" s="6"/>
      <c r="Y3902" s="6"/>
      <c r="Z3902" s="6"/>
      <c r="AA3902" s="6"/>
      <c r="AB3902" s="6"/>
      <c r="AC3902" s="6"/>
      <c r="AD3902" s="6"/>
      <c r="AE3902" s="6"/>
      <c r="AF3902" s="6"/>
      <c r="AG3902" s="6"/>
      <c r="AH3902" s="6"/>
      <c r="AI3902" s="6"/>
      <c r="AJ3902" s="6"/>
      <c r="AK3902" s="6"/>
      <c r="AL3902" s="6"/>
      <c r="AM3902" s="6"/>
    </row>
    <row r="3903">
      <c r="A3903" s="6"/>
      <c r="B3903" s="6"/>
      <c r="C3903" s="6"/>
      <c r="D3903" s="6"/>
      <c r="E3903" s="6"/>
      <c r="F3903" s="6"/>
      <c r="G3903" s="6"/>
      <c r="H3903" s="6"/>
      <c r="I3903" s="6"/>
      <c r="J3903" s="6"/>
      <c r="K3903" s="6"/>
      <c r="L3903" s="6"/>
      <c r="M3903" s="6"/>
      <c r="N3903" s="6"/>
      <c r="O3903" s="6"/>
      <c r="P3903" s="6"/>
      <c r="Q3903" s="6"/>
      <c r="R3903" s="6"/>
      <c r="S3903" s="6"/>
      <c r="T3903" s="6"/>
      <c r="U3903" s="6"/>
      <c r="V3903" s="6"/>
      <c r="W3903" s="6"/>
      <c r="X3903" s="6"/>
      <c r="Y3903" s="6"/>
      <c r="Z3903" s="6"/>
      <c r="AA3903" s="6"/>
      <c r="AB3903" s="6"/>
      <c r="AC3903" s="6"/>
      <c r="AD3903" s="6"/>
      <c r="AE3903" s="6"/>
      <c r="AF3903" s="6"/>
      <c r="AG3903" s="6"/>
      <c r="AH3903" s="6"/>
      <c r="AI3903" s="6"/>
      <c r="AJ3903" s="6"/>
      <c r="AK3903" s="6"/>
      <c r="AL3903" s="6"/>
      <c r="AM3903" s="6"/>
    </row>
    <row r="3904">
      <c r="A3904" s="6"/>
      <c r="B3904" s="6"/>
      <c r="C3904" s="6"/>
      <c r="D3904" s="6"/>
      <c r="E3904" s="6"/>
      <c r="F3904" s="6"/>
      <c r="G3904" s="6"/>
      <c r="H3904" s="6"/>
      <c r="I3904" s="6"/>
      <c r="J3904" s="6"/>
      <c r="K3904" s="6"/>
      <c r="L3904" s="6"/>
      <c r="M3904" s="6"/>
      <c r="N3904" s="6"/>
      <c r="O3904" s="6"/>
      <c r="P3904" s="6"/>
      <c r="Q3904" s="6"/>
      <c r="R3904" s="6"/>
      <c r="S3904" s="6"/>
      <c r="T3904" s="6"/>
      <c r="U3904" s="6"/>
      <c r="V3904" s="6"/>
      <c r="W3904" s="6"/>
      <c r="X3904" s="6"/>
      <c r="Y3904" s="6"/>
      <c r="Z3904" s="6"/>
      <c r="AA3904" s="6"/>
      <c r="AB3904" s="6"/>
      <c r="AC3904" s="6"/>
      <c r="AD3904" s="6"/>
      <c r="AE3904" s="6"/>
      <c r="AF3904" s="6"/>
      <c r="AG3904" s="6"/>
      <c r="AH3904" s="6"/>
      <c r="AI3904" s="6"/>
      <c r="AJ3904" s="6"/>
      <c r="AK3904" s="6"/>
      <c r="AL3904" s="6"/>
      <c r="AM3904" s="6"/>
    </row>
    <row r="3905">
      <c r="A3905" s="6"/>
      <c r="B3905" s="6"/>
      <c r="C3905" s="6"/>
      <c r="D3905" s="6"/>
      <c r="E3905" s="6"/>
      <c r="F3905" s="6"/>
      <c r="G3905" s="6"/>
      <c r="H3905" s="6"/>
      <c r="I3905" s="6"/>
      <c r="J3905" s="6"/>
      <c r="K3905" s="6"/>
      <c r="L3905" s="6"/>
      <c r="M3905" s="6"/>
      <c r="N3905" s="6"/>
      <c r="O3905" s="6"/>
      <c r="P3905" s="6"/>
      <c r="Q3905" s="6"/>
      <c r="R3905" s="6"/>
      <c r="S3905" s="6"/>
      <c r="T3905" s="6"/>
      <c r="U3905" s="6"/>
      <c r="V3905" s="6"/>
      <c r="W3905" s="6"/>
      <c r="X3905" s="6"/>
      <c r="Y3905" s="6"/>
      <c r="Z3905" s="6"/>
      <c r="AA3905" s="6"/>
      <c r="AB3905" s="6"/>
      <c r="AC3905" s="6"/>
      <c r="AD3905" s="6"/>
      <c r="AE3905" s="6"/>
      <c r="AF3905" s="6"/>
      <c r="AG3905" s="6"/>
      <c r="AH3905" s="6"/>
      <c r="AI3905" s="6"/>
      <c r="AJ3905" s="6"/>
      <c r="AK3905" s="6"/>
      <c r="AL3905" s="6"/>
      <c r="AM3905" s="6"/>
    </row>
    <row r="3906">
      <c r="A3906" s="6"/>
      <c r="B3906" s="6"/>
      <c r="C3906" s="6"/>
      <c r="D3906" s="6"/>
      <c r="E3906" s="6"/>
      <c r="F3906" s="6"/>
      <c r="G3906" s="6"/>
      <c r="H3906" s="6"/>
      <c r="I3906" s="6"/>
      <c r="J3906" s="6"/>
      <c r="K3906" s="6"/>
      <c r="L3906" s="6"/>
      <c r="M3906" s="6"/>
      <c r="N3906" s="6"/>
      <c r="O3906" s="6"/>
      <c r="P3906" s="6"/>
      <c r="Q3906" s="6"/>
      <c r="R3906" s="6"/>
      <c r="S3906" s="6"/>
      <c r="T3906" s="6"/>
      <c r="U3906" s="6"/>
      <c r="V3906" s="6"/>
      <c r="W3906" s="6"/>
      <c r="X3906" s="6"/>
      <c r="Y3906" s="6"/>
      <c r="Z3906" s="6"/>
      <c r="AA3906" s="6"/>
      <c r="AB3906" s="6"/>
      <c r="AC3906" s="6"/>
      <c r="AD3906" s="6"/>
      <c r="AE3906" s="6"/>
      <c r="AF3906" s="6"/>
      <c r="AG3906" s="6"/>
      <c r="AH3906" s="6"/>
      <c r="AI3906" s="6"/>
      <c r="AJ3906" s="6"/>
      <c r="AK3906" s="6"/>
      <c r="AL3906" s="6"/>
      <c r="AM3906" s="6"/>
    </row>
    <row r="3907">
      <c r="A3907" s="6"/>
      <c r="B3907" s="6"/>
      <c r="C3907" s="6"/>
      <c r="D3907" s="6"/>
      <c r="E3907" s="6"/>
      <c r="F3907" s="6"/>
      <c r="G3907" s="6"/>
      <c r="H3907" s="6"/>
      <c r="I3907" s="6"/>
      <c r="J3907" s="6"/>
      <c r="K3907" s="6"/>
      <c r="L3907" s="6"/>
      <c r="M3907" s="6"/>
      <c r="N3907" s="6"/>
      <c r="O3907" s="6"/>
      <c r="P3907" s="6"/>
      <c r="Q3907" s="6"/>
      <c r="R3907" s="6"/>
      <c r="S3907" s="6"/>
      <c r="T3907" s="6"/>
      <c r="U3907" s="6"/>
      <c r="V3907" s="6"/>
      <c r="W3907" s="6"/>
      <c r="X3907" s="6"/>
      <c r="Y3907" s="6"/>
      <c r="Z3907" s="6"/>
      <c r="AA3907" s="6"/>
      <c r="AB3907" s="6"/>
      <c r="AC3907" s="6"/>
      <c r="AD3907" s="6"/>
      <c r="AE3907" s="6"/>
      <c r="AF3907" s="6"/>
      <c r="AG3907" s="6"/>
      <c r="AH3907" s="6"/>
      <c r="AI3907" s="6"/>
      <c r="AJ3907" s="6"/>
      <c r="AK3907" s="6"/>
      <c r="AL3907" s="6"/>
      <c r="AM3907" s="6"/>
    </row>
    <row r="3908">
      <c r="A3908" s="6"/>
      <c r="B3908" s="6"/>
      <c r="C3908" s="6"/>
      <c r="D3908" s="6"/>
      <c r="E3908" s="6"/>
      <c r="F3908" s="6"/>
      <c r="G3908" s="6"/>
      <c r="H3908" s="6"/>
      <c r="I3908" s="6"/>
      <c r="J3908" s="6"/>
      <c r="K3908" s="6"/>
      <c r="L3908" s="6"/>
      <c r="M3908" s="6"/>
      <c r="N3908" s="6"/>
      <c r="O3908" s="6"/>
      <c r="P3908" s="6"/>
      <c r="Q3908" s="6"/>
      <c r="R3908" s="6"/>
      <c r="S3908" s="6"/>
      <c r="T3908" s="6"/>
      <c r="U3908" s="6"/>
      <c r="V3908" s="6"/>
      <c r="W3908" s="6"/>
      <c r="X3908" s="6"/>
      <c r="Y3908" s="6"/>
      <c r="Z3908" s="6"/>
      <c r="AA3908" s="6"/>
      <c r="AB3908" s="6"/>
      <c r="AC3908" s="6"/>
      <c r="AD3908" s="6"/>
      <c r="AE3908" s="6"/>
      <c r="AF3908" s="6"/>
      <c r="AG3908" s="6"/>
      <c r="AH3908" s="6"/>
      <c r="AI3908" s="6"/>
      <c r="AJ3908" s="6"/>
      <c r="AK3908" s="6"/>
      <c r="AL3908" s="6"/>
      <c r="AM3908" s="6"/>
    </row>
    <row r="3909">
      <c r="A3909" s="6"/>
      <c r="B3909" s="6"/>
      <c r="C3909" s="6"/>
      <c r="D3909" s="6"/>
      <c r="E3909" s="6"/>
      <c r="F3909" s="6"/>
      <c r="G3909" s="6"/>
      <c r="H3909" s="6"/>
      <c r="I3909" s="6"/>
      <c r="J3909" s="6"/>
      <c r="K3909" s="6"/>
      <c r="L3909" s="6"/>
      <c r="M3909" s="6"/>
      <c r="N3909" s="6"/>
      <c r="O3909" s="6"/>
      <c r="P3909" s="6"/>
      <c r="Q3909" s="6"/>
      <c r="R3909" s="6"/>
      <c r="S3909" s="6"/>
      <c r="T3909" s="6"/>
      <c r="U3909" s="6"/>
      <c r="V3909" s="6"/>
      <c r="W3909" s="6"/>
      <c r="X3909" s="6"/>
      <c r="Y3909" s="6"/>
      <c r="Z3909" s="6"/>
      <c r="AA3909" s="6"/>
      <c r="AB3909" s="6"/>
      <c r="AC3909" s="6"/>
      <c r="AD3909" s="6"/>
      <c r="AE3909" s="6"/>
      <c r="AF3909" s="6"/>
      <c r="AG3909" s="6"/>
      <c r="AH3909" s="6"/>
      <c r="AI3909" s="6"/>
      <c r="AJ3909" s="6"/>
      <c r="AK3909" s="6"/>
      <c r="AL3909" s="6"/>
      <c r="AM3909" s="6"/>
    </row>
    <row r="3910">
      <c r="A3910" s="6"/>
      <c r="B3910" s="6"/>
      <c r="C3910" s="6"/>
      <c r="D3910" s="6"/>
      <c r="E3910" s="6"/>
      <c r="F3910" s="6"/>
      <c r="G3910" s="6"/>
      <c r="H3910" s="6"/>
      <c r="I3910" s="6"/>
      <c r="J3910" s="6"/>
      <c r="K3910" s="6"/>
      <c r="L3910" s="6"/>
      <c r="M3910" s="6"/>
      <c r="N3910" s="6"/>
      <c r="O3910" s="6"/>
      <c r="P3910" s="6"/>
      <c r="Q3910" s="6"/>
      <c r="R3910" s="6"/>
      <c r="S3910" s="6"/>
      <c r="T3910" s="6"/>
      <c r="U3910" s="6"/>
      <c r="V3910" s="6"/>
      <c r="W3910" s="6"/>
      <c r="X3910" s="6"/>
      <c r="Y3910" s="6"/>
      <c r="Z3910" s="6"/>
      <c r="AA3910" s="6"/>
      <c r="AB3910" s="6"/>
      <c r="AC3910" s="6"/>
      <c r="AD3910" s="6"/>
      <c r="AE3910" s="6"/>
      <c r="AF3910" s="6"/>
      <c r="AG3910" s="6"/>
      <c r="AH3910" s="6"/>
      <c r="AI3910" s="6"/>
      <c r="AJ3910" s="6"/>
      <c r="AK3910" s="6"/>
      <c r="AL3910" s="6"/>
      <c r="AM3910" s="6"/>
    </row>
    <row r="3911">
      <c r="A3911" s="6"/>
      <c r="B3911" s="6"/>
      <c r="C3911" s="6"/>
      <c r="D3911" s="6"/>
      <c r="E3911" s="6"/>
      <c r="F3911" s="6"/>
      <c r="G3911" s="6"/>
      <c r="H3911" s="6"/>
      <c r="I3911" s="6"/>
      <c r="J3911" s="6"/>
      <c r="K3911" s="6"/>
      <c r="L3911" s="6"/>
      <c r="M3911" s="6"/>
      <c r="N3911" s="6"/>
      <c r="O3911" s="6"/>
      <c r="P3911" s="6"/>
      <c r="Q3911" s="6"/>
      <c r="R3911" s="6"/>
      <c r="S3911" s="6"/>
      <c r="T3911" s="6"/>
      <c r="U3911" s="6"/>
      <c r="V3911" s="6"/>
      <c r="W3911" s="6"/>
      <c r="X3911" s="6"/>
      <c r="Y3911" s="6"/>
      <c r="Z3911" s="6"/>
      <c r="AA3911" s="6"/>
      <c r="AB3911" s="6"/>
      <c r="AC3911" s="6"/>
      <c r="AD3911" s="6"/>
      <c r="AE3911" s="6"/>
      <c r="AF3911" s="6"/>
      <c r="AG3911" s="6"/>
      <c r="AH3911" s="6"/>
      <c r="AI3911" s="6"/>
      <c r="AJ3911" s="6"/>
      <c r="AK3911" s="6"/>
      <c r="AL3911" s="6"/>
      <c r="AM3911" s="6"/>
    </row>
    <row r="3912">
      <c r="A3912" s="6"/>
      <c r="B3912" s="6"/>
      <c r="C3912" s="6"/>
      <c r="D3912" s="6"/>
      <c r="E3912" s="6"/>
      <c r="F3912" s="6"/>
      <c r="G3912" s="6"/>
      <c r="H3912" s="6"/>
      <c r="I3912" s="6"/>
      <c r="J3912" s="6"/>
      <c r="K3912" s="6"/>
      <c r="L3912" s="6"/>
      <c r="M3912" s="6"/>
      <c r="N3912" s="6"/>
      <c r="O3912" s="6"/>
      <c r="P3912" s="6"/>
      <c r="Q3912" s="6"/>
      <c r="R3912" s="6"/>
      <c r="S3912" s="6"/>
      <c r="T3912" s="6"/>
      <c r="U3912" s="6"/>
      <c r="V3912" s="6"/>
      <c r="W3912" s="6"/>
      <c r="X3912" s="6"/>
      <c r="Y3912" s="6"/>
      <c r="Z3912" s="6"/>
      <c r="AA3912" s="6"/>
      <c r="AB3912" s="6"/>
      <c r="AC3912" s="6"/>
      <c r="AD3912" s="6"/>
      <c r="AE3912" s="6"/>
      <c r="AF3912" s="6"/>
      <c r="AG3912" s="6"/>
      <c r="AH3912" s="6"/>
      <c r="AI3912" s="6"/>
      <c r="AJ3912" s="6"/>
      <c r="AK3912" s="6"/>
      <c r="AL3912" s="6"/>
      <c r="AM3912" s="6"/>
    </row>
    <row r="3913">
      <c r="A3913" s="6"/>
      <c r="B3913" s="6"/>
      <c r="C3913" s="6"/>
      <c r="D3913" s="6"/>
      <c r="E3913" s="6"/>
      <c r="F3913" s="6"/>
      <c r="G3913" s="6"/>
      <c r="H3913" s="6"/>
      <c r="I3913" s="6"/>
      <c r="J3913" s="6"/>
      <c r="K3913" s="6"/>
      <c r="L3913" s="6"/>
      <c r="M3913" s="6"/>
      <c r="N3913" s="6"/>
      <c r="O3913" s="6"/>
      <c r="P3913" s="6"/>
      <c r="Q3913" s="6"/>
      <c r="R3913" s="6"/>
      <c r="S3913" s="6"/>
      <c r="T3913" s="6"/>
      <c r="U3913" s="6"/>
      <c r="V3913" s="6"/>
      <c r="W3913" s="6"/>
      <c r="X3913" s="6"/>
      <c r="Y3913" s="6"/>
      <c r="Z3913" s="6"/>
      <c r="AA3913" s="6"/>
      <c r="AB3913" s="6"/>
      <c r="AC3913" s="6"/>
      <c r="AD3913" s="6"/>
      <c r="AE3913" s="6"/>
      <c r="AF3913" s="6"/>
      <c r="AG3913" s="6"/>
      <c r="AH3913" s="6"/>
      <c r="AI3913" s="6"/>
      <c r="AJ3913" s="6"/>
      <c r="AK3913" s="6"/>
      <c r="AL3913" s="6"/>
      <c r="AM3913" s="6"/>
    </row>
    <row r="3914">
      <c r="A3914" s="6"/>
      <c r="B3914" s="6"/>
      <c r="C3914" s="6"/>
      <c r="D3914" s="6"/>
      <c r="E3914" s="6"/>
      <c r="F3914" s="6"/>
      <c r="G3914" s="6"/>
      <c r="H3914" s="6"/>
      <c r="I3914" s="6"/>
      <c r="J3914" s="6"/>
      <c r="K3914" s="6"/>
      <c r="L3914" s="6"/>
      <c r="M3914" s="6"/>
      <c r="N3914" s="6"/>
      <c r="O3914" s="6"/>
      <c r="P3914" s="6"/>
      <c r="Q3914" s="6"/>
      <c r="R3914" s="6"/>
      <c r="S3914" s="6"/>
      <c r="T3914" s="6"/>
      <c r="U3914" s="6"/>
      <c r="V3914" s="6"/>
      <c r="W3914" s="6"/>
      <c r="X3914" s="6"/>
      <c r="Y3914" s="6"/>
      <c r="Z3914" s="6"/>
      <c r="AA3914" s="6"/>
      <c r="AB3914" s="6"/>
      <c r="AC3914" s="6"/>
      <c r="AD3914" s="6"/>
      <c r="AE3914" s="6"/>
      <c r="AF3914" s="6"/>
      <c r="AG3914" s="6"/>
      <c r="AH3914" s="6"/>
      <c r="AI3914" s="6"/>
      <c r="AJ3914" s="6"/>
      <c r="AK3914" s="6"/>
      <c r="AL3914" s="6"/>
      <c r="AM3914" s="6"/>
    </row>
    <row r="3915">
      <c r="A3915" s="6"/>
      <c r="B3915" s="6"/>
      <c r="C3915" s="6"/>
      <c r="D3915" s="6"/>
      <c r="E3915" s="6"/>
      <c r="F3915" s="6"/>
      <c r="G3915" s="6"/>
      <c r="H3915" s="6"/>
      <c r="I3915" s="6"/>
      <c r="J3915" s="6"/>
      <c r="K3915" s="6"/>
      <c r="L3915" s="6"/>
      <c r="M3915" s="6"/>
      <c r="N3915" s="6"/>
      <c r="O3915" s="6"/>
      <c r="P3915" s="6"/>
      <c r="Q3915" s="6"/>
      <c r="R3915" s="6"/>
      <c r="S3915" s="6"/>
      <c r="T3915" s="6"/>
      <c r="U3915" s="6"/>
      <c r="V3915" s="6"/>
      <c r="W3915" s="6"/>
      <c r="X3915" s="6"/>
      <c r="Y3915" s="6"/>
      <c r="Z3915" s="6"/>
      <c r="AA3915" s="6"/>
      <c r="AB3915" s="6"/>
      <c r="AC3915" s="6"/>
      <c r="AD3915" s="6"/>
      <c r="AE3915" s="6"/>
      <c r="AF3915" s="6"/>
      <c r="AG3915" s="6"/>
      <c r="AH3915" s="6"/>
      <c r="AI3915" s="6"/>
      <c r="AJ3915" s="6"/>
      <c r="AK3915" s="6"/>
      <c r="AL3915" s="6"/>
      <c r="AM3915" s="6"/>
    </row>
    <row r="3916">
      <c r="A3916" s="6"/>
      <c r="B3916" s="6"/>
      <c r="C3916" s="6"/>
      <c r="D3916" s="6"/>
      <c r="E3916" s="6"/>
      <c r="F3916" s="6"/>
      <c r="G3916" s="6"/>
      <c r="H3916" s="6"/>
      <c r="I3916" s="6"/>
      <c r="J3916" s="6"/>
      <c r="K3916" s="6"/>
      <c r="L3916" s="6"/>
      <c r="M3916" s="6"/>
      <c r="N3916" s="6"/>
      <c r="O3916" s="6"/>
      <c r="P3916" s="6"/>
      <c r="Q3916" s="6"/>
      <c r="R3916" s="6"/>
      <c r="S3916" s="6"/>
      <c r="T3916" s="6"/>
      <c r="U3916" s="6"/>
      <c r="V3916" s="6"/>
      <c r="W3916" s="6"/>
      <c r="X3916" s="6"/>
      <c r="Y3916" s="6"/>
      <c r="Z3916" s="6"/>
      <c r="AA3916" s="6"/>
      <c r="AB3916" s="6"/>
      <c r="AC3916" s="6"/>
      <c r="AD3916" s="6"/>
      <c r="AE3916" s="6"/>
      <c r="AF3916" s="6"/>
      <c r="AG3916" s="6"/>
      <c r="AH3916" s="6"/>
      <c r="AI3916" s="6"/>
      <c r="AJ3916" s="6"/>
      <c r="AK3916" s="6"/>
      <c r="AL3916" s="6"/>
      <c r="AM3916" s="6"/>
    </row>
    <row r="3917">
      <c r="A3917" s="6"/>
      <c r="B3917" s="6"/>
      <c r="C3917" s="6"/>
      <c r="D3917" s="6"/>
      <c r="E3917" s="6"/>
      <c r="F3917" s="6"/>
      <c r="G3917" s="6"/>
      <c r="H3917" s="6"/>
      <c r="I3917" s="6"/>
      <c r="J3917" s="6"/>
      <c r="K3917" s="6"/>
      <c r="L3917" s="6"/>
      <c r="M3917" s="6"/>
      <c r="N3917" s="6"/>
      <c r="O3917" s="6"/>
      <c r="P3917" s="6"/>
      <c r="Q3917" s="6"/>
      <c r="R3917" s="6"/>
      <c r="S3917" s="6"/>
      <c r="T3917" s="6"/>
      <c r="U3917" s="6"/>
      <c r="V3917" s="6"/>
      <c r="W3917" s="6"/>
      <c r="X3917" s="6"/>
      <c r="Y3917" s="6"/>
      <c r="Z3917" s="6"/>
      <c r="AA3917" s="6"/>
      <c r="AB3917" s="6"/>
      <c r="AC3917" s="6"/>
      <c r="AD3917" s="6"/>
      <c r="AE3917" s="6"/>
      <c r="AF3917" s="6"/>
      <c r="AG3917" s="6"/>
      <c r="AH3917" s="6"/>
      <c r="AI3917" s="6"/>
      <c r="AJ3917" s="6"/>
      <c r="AK3917" s="6"/>
      <c r="AL3917" s="6"/>
      <c r="AM3917" s="6"/>
    </row>
    <row r="3918">
      <c r="A3918" s="6"/>
      <c r="B3918" s="6"/>
      <c r="C3918" s="6"/>
      <c r="D3918" s="6"/>
      <c r="E3918" s="6"/>
      <c r="F3918" s="6"/>
      <c r="G3918" s="6"/>
      <c r="H3918" s="6"/>
      <c r="I3918" s="6"/>
      <c r="J3918" s="6"/>
      <c r="K3918" s="6"/>
      <c r="L3918" s="6"/>
      <c r="M3918" s="6"/>
      <c r="N3918" s="6"/>
      <c r="O3918" s="6"/>
      <c r="P3918" s="6"/>
      <c r="Q3918" s="6"/>
      <c r="R3918" s="6"/>
      <c r="S3918" s="6"/>
      <c r="T3918" s="6"/>
      <c r="U3918" s="6"/>
      <c r="V3918" s="6"/>
      <c r="W3918" s="6"/>
      <c r="X3918" s="6"/>
      <c r="Y3918" s="6"/>
      <c r="Z3918" s="6"/>
      <c r="AA3918" s="6"/>
      <c r="AB3918" s="6"/>
      <c r="AC3918" s="6"/>
      <c r="AD3918" s="6"/>
      <c r="AE3918" s="6"/>
      <c r="AF3918" s="6"/>
      <c r="AG3918" s="6"/>
      <c r="AH3918" s="6"/>
      <c r="AI3918" s="6"/>
      <c r="AJ3918" s="6"/>
      <c r="AK3918" s="6"/>
      <c r="AL3918" s="6"/>
      <c r="AM3918" s="6"/>
    </row>
    <row r="3919">
      <c r="A3919" s="6"/>
      <c r="B3919" s="6"/>
      <c r="C3919" s="6"/>
      <c r="D3919" s="6"/>
      <c r="E3919" s="6"/>
      <c r="F3919" s="6"/>
      <c r="G3919" s="6"/>
      <c r="H3919" s="6"/>
      <c r="I3919" s="6"/>
      <c r="J3919" s="6"/>
      <c r="K3919" s="6"/>
      <c r="L3919" s="6"/>
      <c r="M3919" s="6"/>
      <c r="N3919" s="6"/>
      <c r="O3919" s="6"/>
      <c r="P3919" s="6"/>
      <c r="Q3919" s="6"/>
      <c r="R3919" s="6"/>
      <c r="S3919" s="6"/>
      <c r="T3919" s="6"/>
      <c r="U3919" s="6"/>
      <c r="V3919" s="6"/>
      <c r="W3919" s="6"/>
      <c r="X3919" s="6"/>
      <c r="Y3919" s="6"/>
      <c r="Z3919" s="6"/>
      <c r="AA3919" s="6"/>
      <c r="AB3919" s="6"/>
      <c r="AC3919" s="6"/>
      <c r="AD3919" s="6"/>
      <c r="AE3919" s="6"/>
      <c r="AF3919" s="6"/>
      <c r="AG3919" s="6"/>
      <c r="AH3919" s="6"/>
      <c r="AI3919" s="6"/>
      <c r="AJ3919" s="6"/>
      <c r="AK3919" s="6"/>
      <c r="AL3919" s="6"/>
      <c r="AM3919" s="6"/>
    </row>
    <row r="3920">
      <c r="A3920" s="6"/>
      <c r="B3920" s="6"/>
      <c r="C3920" s="6"/>
      <c r="D3920" s="6"/>
      <c r="E3920" s="6"/>
      <c r="F3920" s="6"/>
      <c r="G3920" s="6"/>
      <c r="H3920" s="6"/>
      <c r="I3920" s="6"/>
      <c r="J3920" s="6"/>
      <c r="K3920" s="6"/>
      <c r="L3920" s="6"/>
      <c r="M3920" s="6"/>
      <c r="N3920" s="6"/>
      <c r="O3920" s="6"/>
      <c r="P3920" s="6"/>
      <c r="Q3920" s="6"/>
      <c r="R3920" s="6"/>
      <c r="S3920" s="6"/>
      <c r="T3920" s="6"/>
      <c r="U3920" s="6"/>
      <c r="V3920" s="6"/>
      <c r="W3920" s="6"/>
      <c r="X3920" s="6"/>
      <c r="Y3920" s="6"/>
      <c r="Z3920" s="6"/>
      <c r="AA3920" s="6"/>
      <c r="AB3920" s="6"/>
      <c r="AC3920" s="6"/>
      <c r="AD3920" s="6"/>
      <c r="AE3920" s="6"/>
      <c r="AF3920" s="6"/>
      <c r="AG3920" s="6"/>
      <c r="AH3920" s="6"/>
      <c r="AI3920" s="6"/>
      <c r="AJ3920" s="6"/>
      <c r="AK3920" s="6"/>
      <c r="AL3920" s="6"/>
      <c r="AM3920" s="6"/>
    </row>
    <row r="3921">
      <c r="A3921" s="6"/>
      <c r="B3921" s="6"/>
      <c r="C3921" s="6"/>
      <c r="D3921" s="6"/>
      <c r="E3921" s="6"/>
      <c r="F3921" s="6"/>
      <c r="G3921" s="6"/>
      <c r="H3921" s="6"/>
      <c r="I3921" s="6"/>
      <c r="J3921" s="6"/>
      <c r="K3921" s="6"/>
      <c r="L3921" s="6"/>
      <c r="M3921" s="6"/>
      <c r="N3921" s="6"/>
      <c r="O3921" s="6"/>
      <c r="P3921" s="6"/>
      <c r="Q3921" s="6"/>
      <c r="R3921" s="6"/>
      <c r="S3921" s="6"/>
      <c r="T3921" s="6"/>
      <c r="U3921" s="6"/>
      <c r="V3921" s="6"/>
      <c r="W3921" s="6"/>
      <c r="X3921" s="6"/>
      <c r="Y3921" s="6"/>
      <c r="Z3921" s="6"/>
      <c r="AA3921" s="6"/>
      <c r="AB3921" s="6"/>
      <c r="AC3921" s="6"/>
      <c r="AD3921" s="6"/>
      <c r="AE3921" s="6"/>
      <c r="AF3921" s="6"/>
      <c r="AG3921" s="6"/>
      <c r="AH3921" s="6"/>
      <c r="AI3921" s="6"/>
      <c r="AJ3921" s="6"/>
      <c r="AK3921" s="6"/>
      <c r="AL3921" s="6"/>
      <c r="AM3921" s="6"/>
    </row>
    <row r="3922">
      <c r="A3922" s="6"/>
      <c r="B3922" s="6"/>
      <c r="C3922" s="6"/>
      <c r="D3922" s="6"/>
      <c r="E3922" s="6"/>
      <c r="F3922" s="6"/>
      <c r="G3922" s="6"/>
      <c r="H3922" s="6"/>
      <c r="I3922" s="6"/>
      <c r="J3922" s="6"/>
      <c r="K3922" s="6"/>
      <c r="L3922" s="6"/>
      <c r="M3922" s="6"/>
      <c r="N3922" s="6"/>
      <c r="O3922" s="6"/>
      <c r="P3922" s="6"/>
      <c r="Q3922" s="6"/>
      <c r="R3922" s="6"/>
      <c r="S3922" s="6"/>
      <c r="T3922" s="6"/>
      <c r="U3922" s="6"/>
      <c r="V3922" s="6"/>
      <c r="W3922" s="6"/>
      <c r="X3922" s="6"/>
      <c r="Y3922" s="6"/>
      <c r="Z3922" s="6"/>
      <c r="AA3922" s="6"/>
      <c r="AB3922" s="6"/>
      <c r="AC3922" s="6"/>
      <c r="AD3922" s="6"/>
      <c r="AE3922" s="6"/>
      <c r="AF3922" s="6"/>
      <c r="AG3922" s="6"/>
      <c r="AH3922" s="6"/>
      <c r="AI3922" s="6"/>
      <c r="AJ3922" s="6"/>
      <c r="AK3922" s="6"/>
      <c r="AL3922" s="6"/>
      <c r="AM3922" s="6"/>
    </row>
    <row r="3923">
      <c r="A3923" s="6"/>
      <c r="B3923" s="6"/>
      <c r="C3923" s="6"/>
      <c r="D3923" s="6"/>
      <c r="E3923" s="6"/>
      <c r="F3923" s="6"/>
      <c r="G3923" s="6"/>
      <c r="H3923" s="6"/>
      <c r="I3923" s="6"/>
      <c r="J3923" s="6"/>
      <c r="K3923" s="6"/>
      <c r="L3923" s="6"/>
      <c r="M3923" s="6"/>
      <c r="N3923" s="6"/>
      <c r="O3923" s="6"/>
      <c r="P3923" s="6"/>
      <c r="Q3923" s="6"/>
      <c r="R3923" s="6"/>
      <c r="S3923" s="6"/>
      <c r="T3923" s="6"/>
      <c r="U3923" s="6"/>
      <c r="V3923" s="6"/>
      <c r="W3923" s="6"/>
      <c r="X3923" s="6"/>
      <c r="Y3923" s="6"/>
      <c r="Z3923" s="6"/>
      <c r="AA3923" s="6"/>
      <c r="AB3923" s="6"/>
      <c r="AC3923" s="6"/>
      <c r="AD3923" s="6"/>
      <c r="AE3923" s="6"/>
      <c r="AF3923" s="6"/>
      <c r="AG3923" s="6"/>
      <c r="AH3923" s="6"/>
      <c r="AI3923" s="6"/>
      <c r="AJ3923" s="6"/>
      <c r="AK3923" s="6"/>
      <c r="AL3923" s="6"/>
      <c r="AM3923" s="6"/>
    </row>
    <row r="3924">
      <c r="A3924" s="6"/>
      <c r="B3924" s="6"/>
      <c r="C3924" s="6"/>
      <c r="D3924" s="6"/>
      <c r="E3924" s="6"/>
      <c r="F3924" s="6"/>
      <c r="G3924" s="6"/>
      <c r="H3924" s="6"/>
      <c r="I3924" s="6"/>
      <c r="J3924" s="6"/>
      <c r="K3924" s="6"/>
      <c r="L3924" s="6"/>
      <c r="M3924" s="6"/>
      <c r="N3924" s="6"/>
      <c r="O3924" s="6"/>
      <c r="P3924" s="6"/>
      <c r="Q3924" s="6"/>
      <c r="R3924" s="6"/>
      <c r="S3924" s="6"/>
      <c r="T3924" s="6"/>
      <c r="U3924" s="6"/>
      <c r="V3924" s="6"/>
      <c r="W3924" s="6"/>
      <c r="X3924" s="6"/>
      <c r="Y3924" s="6"/>
      <c r="Z3924" s="6"/>
      <c r="AA3924" s="6"/>
      <c r="AB3924" s="6"/>
      <c r="AC3924" s="6"/>
      <c r="AD3924" s="6"/>
      <c r="AE3924" s="6"/>
      <c r="AF3924" s="6"/>
      <c r="AG3924" s="6"/>
      <c r="AH3924" s="6"/>
      <c r="AI3924" s="6"/>
      <c r="AJ3924" s="6"/>
      <c r="AK3924" s="6"/>
      <c r="AL3924" s="6"/>
      <c r="AM3924" s="6"/>
    </row>
    <row r="3925">
      <c r="A3925" s="6"/>
      <c r="B3925" s="6"/>
      <c r="C3925" s="6"/>
      <c r="D3925" s="6"/>
      <c r="E3925" s="6"/>
      <c r="F3925" s="6"/>
      <c r="G3925" s="6"/>
      <c r="H3925" s="6"/>
      <c r="I3925" s="6"/>
      <c r="J3925" s="6"/>
      <c r="K3925" s="6"/>
      <c r="L3925" s="6"/>
      <c r="M3925" s="6"/>
      <c r="N3925" s="6"/>
      <c r="O3925" s="6"/>
      <c r="P3925" s="6"/>
      <c r="Q3925" s="6"/>
      <c r="R3925" s="6"/>
      <c r="S3925" s="6"/>
      <c r="T3925" s="6"/>
      <c r="U3925" s="6"/>
      <c r="V3925" s="6"/>
      <c r="W3925" s="6"/>
      <c r="X3925" s="6"/>
      <c r="Y3925" s="6"/>
      <c r="Z3925" s="6"/>
      <c r="AA3925" s="6"/>
      <c r="AB3925" s="6"/>
      <c r="AC3925" s="6"/>
      <c r="AD3925" s="6"/>
      <c r="AE3925" s="6"/>
      <c r="AF3925" s="6"/>
      <c r="AG3925" s="6"/>
      <c r="AH3925" s="6"/>
      <c r="AI3925" s="6"/>
      <c r="AJ3925" s="6"/>
      <c r="AK3925" s="6"/>
      <c r="AL3925" s="6"/>
      <c r="AM3925" s="6"/>
    </row>
    <row r="3926">
      <c r="A3926" s="6"/>
      <c r="B3926" s="6"/>
      <c r="C3926" s="6"/>
      <c r="D3926" s="6"/>
      <c r="E3926" s="6"/>
      <c r="F3926" s="6"/>
      <c r="G3926" s="6"/>
      <c r="H3926" s="6"/>
      <c r="I3926" s="6"/>
      <c r="J3926" s="6"/>
      <c r="K3926" s="6"/>
      <c r="L3926" s="6"/>
      <c r="M3926" s="6"/>
      <c r="N3926" s="6"/>
      <c r="O3926" s="6"/>
      <c r="P3926" s="6"/>
      <c r="Q3926" s="6"/>
      <c r="R3926" s="6"/>
      <c r="S3926" s="6"/>
      <c r="T3926" s="6"/>
      <c r="U3926" s="6"/>
      <c r="V3926" s="6"/>
      <c r="W3926" s="6"/>
      <c r="X3926" s="6"/>
      <c r="Y3926" s="6"/>
      <c r="Z3926" s="6"/>
      <c r="AA3926" s="6"/>
      <c r="AB3926" s="6"/>
      <c r="AC3926" s="6"/>
      <c r="AD3926" s="6"/>
      <c r="AE3926" s="6"/>
      <c r="AF3926" s="6"/>
      <c r="AG3926" s="6"/>
      <c r="AH3926" s="6"/>
      <c r="AI3926" s="6"/>
      <c r="AJ3926" s="6"/>
      <c r="AK3926" s="6"/>
      <c r="AL3926" s="6"/>
      <c r="AM3926" s="6"/>
    </row>
    <row r="3927">
      <c r="A3927" s="6"/>
      <c r="B3927" s="6"/>
      <c r="C3927" s="6"/>
      <c r="D3927" s="6"/>
      <c r="E3927" s="6"/>
      <c r="F3927" s="6"/>
      <c r="G3927" s="6"/>
      <c r="H3927" s="6"/>
      <c r="I3927" s="6"/>
      <c r="J3927" s="6"/>
      <c r="K3927" s="6"/>
      <c r="L3927" s="6"/>
      <c r="M3927" s="6"/>
      <c r="N3927" s="6"/>
      <c r="O3927" s="6"/>
      <c r="P3927" s="6"/>
      <c r="Q3927" s="6"/>
      <c r="R3927" s="6"/>
      <c r="S3927" s="6"/>
      <c r="T3927" s="6"/>
      <c r="U3927" s="6"/>
      <c r="V3927" s="6"/>
      <c r="W3927" s="6"/>
      <c r="X3927" s="6"/>
      <c r="Y3927" s="6"/>
      <c r="Z3927" s="6"/>
      <c r="AA3927" s="6"/>
      <c r="AB3927" s="6"/>
      <c r="AC3927" s="6"/>
      <c r="AD3927" s="6"/>
      <c r="AE3927" s="6"/>
      <c r="AF3927" s="6"/>
      <c r="AG3927" s="6"/>
      <c r="AH3927" s="6"/>
      <c r="AI3927" s="6"/>
      <c r="AJ3927" s="6"/>
      <c r="AK3927" s="6"/>
      <c r="AL3927" s="6"/>
      <c r="AM3927" s="6"/>
    </row>
    <row r="3928">
      <c r="A3928" s="6"/>
      <c r="B3928" s="6"/>
      <c r="C3928" s="6"/>
      <c r="D3928" s="6"/>
      <c r="E3928" s="6"/>
      <c r="F3928" s="6"/>
      <c r="G3928" s="6"/>
      <c r="H3928" s="6"/>
      <c r="I3928" s="6"/>
      <c r="J3928" s="6"/>
      <c r="K3928" s="6"/>
      <c r="L3928" s="6"/>
      <c r="M3928" s="6"/>
      <c r="N3928" s="6"/>
      <c r="O3928" s="6"/>
      <c r="P3928" s="6"/>
      <c r="Q3928" s="6"/>
      <c r="R3928" s="6"/>
      <c r="S3928" s="6"/>
      <c r="T3928" s="6"/>
      <c r="U3928" s="6"/>
      <c r="V3928" s="6"/>
      <c r="W3928" s="6"/>
      <c r="X3928" s="6"/>
      <c r="Y3928" s="6"/>
      <c r="Z3928" s="6"/>
      <c r="AA3928" s="6"/>
      <c r="AB3928" s="6"/>
      <c r="AC3928" s="6"/>
      <c r="AD3928" s="6"/>
      <c r="AE3928" s="6"/>
      <c r="AF3928" s="6"/>
      <c r="AG3928" s="6"/>
      <c r="AH3928" s="6"/>
      <c r="AI3928" s="6"/>
      <c r="AJ3928" s="6"/>
      <c r="AK3928" s="6"/>
      <c r="AL3928" s="6"/>
      <c r="AM3928" s="6"/>
    </row>
    <row r="3929">
      <c r="A3929" s="6"/>
      <c r="B3929" s="6"/>
      <c r="C3929" s="6"/>
      <c r="D3929" s="6"/>
      <c r="E3929" s="6"/>
      <c r="F3929" s="6"/>
      <c r="G3929" s="6"/>
      <c r="H3929" s="6"/>
      <c r="I3929" s="6"/>
      <c r="J3929" s="6"/>
      <c r="K3929" s="6"/>
      <c r="L3929" s="6"/>
      <c r="M3929" s="6"/>
      <c r="N3929" s="6"/>
      <c r="O3929" s="6"/>
      <c r="P3929" s="6"/>
      <c r="Q3929" s="6"/>
      <c r="R3929" s="6"/>
      <c r="S3929" s="6"/>
      <c r="T3929" s="6"/>
      <c r="U3929" s="6"/>
      <c r="V3929" s="6"/>
      <c r="W3929" s="6"/>
      <c r="X3929" s="6"/>
      <c r="Y3929" s="6"/>
      <c r="Z3929" s="6"/>
      <c r="AA3929" s="6"/>
      <c r="AB3929" s="6"/>
      <c r="AC3929" s="6"/>
      <c r="AD3929" s="6"/>
      <c r="AE3929" s="6"/>
      <c r="AF3929" s="6"/>
      <c r="AG3929" s="6"/>
      <c r="AH3929" s="6"/>
      <c r="AI3929" s="6"/>
      <c r="AJ3929" s="6"/>
      <c r="AK3929" s="6"/>
      <c r="AL3929" s="6"/>
      <c r="AM3929" s="6"/>
    </row>
    <row r="3930">
      <c r="A3930" s="6"/>
      <c r="B3930" s="6"/>
      <c r="C3930" s="6"/>
      <c r="D3930" s="6"/>
      <c r="E3930" s="6"/>
      <c r="F3930" s="6"/>
      <c r="G3930" s="6"/>
      <c r="H3930" s="6"/>
      <c r="I3930" s="6"/>
      <c r="J3930" s="6"/>
      <c r="K3930" s="6"/>
      <c r="L3930" s="6"/>
      <c r="M3930" s="6"/>
      <c r="N3930" s="6"/>
      <c r="O3930" s="6"/>
      <c r="P3930" s="6"/>
      <c r="Q3930" s="6"/>
      <c r="R3930" s="6"/>
      <c r="S3930" s="6"/>
      <c r="T3930" s="6"/>
      <c r="U3930" s="6"/>
      <c r="V3930" s="6"/>
      <c r="W3930" s="6"/>
      <c r="X3930" s="6"/>
      <c r="Y3930" s="6"/>
      <c r="Z3930" s="6"/>
      <c r="AA3930" s="6"/>
      <c r="AB3930" s="6"/>
      <c r="AC3930" s="6"/>
      <c r="AD3930" s="6"/>
      <c r="AE3930" s="6"/>
      <c r="AF3930" s="6"/>
      <c r="AG3930" s="6"/>
      <c r="AH3930" s="6"/>
      <c r="AI3930" s="6"/>
      <c r="AJ3930" s="6"/>
      <c r="AK3930" s="6"/>
      <c r="AL3930" s="6"/>
      <c r="AM3930" s="6"/>
    </row>
    <row r="3931">
      <c r="A3931" s="6"/>
      <c r="B3931" s="6"/>
      <c r="C3931" s="6"/>
      <c r="D3931" s="6"/>
      <c r="E3931" s="6"/>
      <c r="F3931" s="6"/>
      <c r="G3931" s="6"/>
      <c r="H3931" s="6"/>
      <c r="I3931" s="6"/>
      <c r="J3931" s="6"/>
      <c r="K3931" s="6"/>
      <c r="L3931" s="6"/>
      <c r="M3931" s="6"/>
      <c r="N3931" s="6"/>
      <c r="O3931" s="6"/>
      <c r="P3931" s="6"/>
      <c r="Q3931" s="6"/>
      <c r="R3931" s="6"/>
      <c r="S3931" s="6"/>
      <c r="T3931" s="6"/>
      <c r="U3931" s="6"/>
      <c r="V3931" s="6"/>
      <c r="W3931" s="6"/>
      <c r="X3931" s="6"/>
      <c r="Y3931" s="6"/>
      <c r="Z3931" s="6"/>
      <c r="AA3931" s="6"/>
      <c r="AB3931" s="6"/>
      <c r="AC3931" s="6"/>
      <c r="AD3931" s="6"/>
      <c r="AE3931" s="6"/>
      <c r="AF3931" s="6"/>
      <c r="AG3931" s="6"/>
      <c r="AH3931" s="6"/>
      <c r="AI3931" s="6"/>
      <c r="AJ3931" s="6"/>
      <c r="AK3931" s="6"/>
      <c r="AL3931" s="6"/>
      <c r="AM3931" s="6"/>
    </row>
    <row r="3932">
      <c r="A3932" s="6"/>
      <c r="B3932" s="6"/>
      <c r="C3932" s="6"/>
      <c r="D3932" s="6"/>
      <c r="E3932" s="6"/>
      <c r="F3932" s="6"/>
      <c r="G3932" s="6"/>
      <c r="H3932" s="6"/>
      <c r="I3932" s="6"/>
      <c r="J3932" s="6"/>
      <c r="K3932" s="6"/>
      <c r="L3932" s="6"/>
      <c r="M3932" s="6"/>
      <c r="N3932" s="6"/>
      <c r="O3932" s="6"/>
      <c r="P3932" s="6"/>
      <c r="Q3932" s="6"/>
      <c r="R3932" s="6"/>
      <c r="S3932" s="6"/>
      <c r="T3932" s="6"/>
      <c r="U3932" s="6"/>
      <c r="V3932" s="6"/>
      <c r="W3932" s="6"/>
      <c r="X3932" s="6"/>
      <c r="Y3932" s="6"/>
      <c r="Z3932" s="6"/>
      <c r="AA3932" s="6"/>
      <c r="AB3932" s="6"/>
      <c r="AC3932" s="6"/>
      <c r="AD3932" s="6"/>
      <c r="AE3932" s="6"/>
      <c r="AF3932" s="6"/>
      <c r="AG3932" s="6"/>
      <c r="AH3932" s="6"/>
      <c r="AI3932" s="6"/>
      <c r="AJ3932" s="6"/>
      <c r="AK3932" s="6"/>
      <c r="AL3932" s="6"/>
      <c r="AM3932" s="6"/>
    </row>
    <row r="3933">
      <c r="A3933" s="6"/>
      <c r="B3933" s="6"/>
      <c r="C3933" s="6"/>
      <c r="D3933" s="6"/>
      <c r="E3933" s="6"/>
      <c r="F3933" s="6"/>
      <c r="G3933" s="6"/>
      <c r="H3933" s="6"/>
      <c r="I3933" s="6"/>
      <c r="J3933" s="6"/>
      <c r="K3933" s="6"/>
      <c r="L3933" s="6"/>
      <c r="M3933" s="6"/>
      <c r="N3933" s="6"/>
      <c r="O3933" s="6"/>
      <c r="P3933" s="6"/>
      <c r="Q3933" s="6"/>
      <c r="R3933" s="6"/>
      <c r="S3933" s="6"/>
      <c r="T3933" s="6"/>
      <c r="U3933" s="6"/>
      <c r="V3933" s="6"/>
      <c r="W3933" s="6"/>
      <c r="X3933" s="6"/>
      <c r="Y3933" s="6"/>
      <c r="Z3933" s="6"/>
      <c r="AA3933" s="6"/>
      <c r="AB3933" s="6"/>
      <c r="AC3933" s="6"/>
      <c r="AD3933" s="6"/>
      <c r="AE3933" s="6"/>
      <c r="AF3933" s="6"/>
      <c r="AG3933" s="6"/>
      <c r="AH3933" s="6"/>
      <c r="AI3933" s="6"/>
      <c r="AJ3933" s="6"/>
      <c r="AK3933" s="6"/>
      <c r="AL3933" s="6"/>
      <c r="AM3933" s="6"/>
    </row>
    <row r="3934">
      <c r="A3934" s="6"/>
      <c r="B3934" s="6"/>
      <c r="C3934" s="6"/>
      <c r="D3934" s="6"/>
      <c r="E3934" s="6"/>
      <c r="F3934" s="6"/>
      <c r="G3934" s="6"/>
      <c r="H3934" s="6"/>
      <c r="I3934" s="6"/>
      <c r="J3934" s="6"/>
      <c r="K3934" s="6"/>
      <c r="L3934" s="6"/>
      <c r="M3934" s="6"/>
      <c r="N3934" s="6"/>
      <c r="O3934" s="6"/>
      <c r="P3934" s="6"/>
      <c r="Q3934" s="6"/>
      <c r="R3934" s="6"/>
      <c r="S3934" s="6"/>
      <c r="T3934" s="6"/>
      <c r="U3934" s="6"/>
      <c r="V3934" s="6"/>
      <c r="W3934" s="6"/>
      <c r="X3934" s="6"/>
      <c r="Y3934" s="6"/>
      <c r="Z3934" s="6"/>
      <c r="AA3934" s="6"/>
      <c r="AB3934" s="6"/>
      <c r="AC3934" s="6"/>
      <c r="AD3934" s="6"/>
      <c r="AE3934" s="6"/>
      <c r="AF3934" s="6"/>
      <c r="AG3934" s="6"/>
      <c r="AH3934" s="6"/>
      <c r="AI3934" s="6"/>
      <c r="AJ3934" s="6"/>
      <c r="AK3934" s="6"/>
      <c r="AL3934" s="6"/>
      <c r="AM3934" s="6"/>
    </row>
    <row r="3935">
      <c r="A3935" s="6"/>
      <c r="B3935" s="6"/>
      <c r="C3935" s="6"/>
      <c r="D3935" s="6"/>
      <c r="E3935" s="6"/>
      <c r="F3935" s="6"/>
      <c r="G3935" s="6"/>
      <c r="H3935" s="6"/>
      <c r="I3935" s="6"/>
      <c r="J3935" s="6"/>
      <c r="K3935" s="6"/>
      <c r="L3935" s="6"/>
      <c r="M3935" s="6"/>
      <c r="N3935" s="6"/>
      <c r="O3935" s="6"/>
      <c r="P3935" s="6"/>
      <c r="Q3935" s="6"/>
      <c r="R3935" s="6"/>
      <c r="S3935" s="6"/>
      <c r="T3935" s="6"/>
      <c r="U3935" s="6"/>
      <c r="V3935" s="6"/>
      <c r="W3935" s="6"/>
      <c r="X3935" s="6"/>
      <c r="Y3935" s="6"/>
      <c r="Z3935" s="6"/>
      <c r="AA3935" s="6"/>
      <c r="AB3935" s="6"/>
      <c r="AC3935" s="6"/>
      <c r="AD3935" s="6"/>
      <c r="AE3935" s="6"/>
      <c r="AF3935" s="6"/>
      <c r="AG3935" s="6"/>
      <c r="AH3935" s="6"/>
      <c r="AI3935" s="6"/>
      <c r="AJ3935" s="6"/>
      <c r="AK3935" s="6"/>
      <c r="AL3935" s="6"/>
      <c r="AM3935" s="6"/>
    </row>
    <row r="3936">
      <c r="A3936" s="6"/>
      <c r="B3936" s="6"/>
      <c r="C3936" s="6"/>
      <c r="D3936" s="6"/>
      <c r="E3936" s="6"/>
      <c r="F3936" s="6"/>
      <c r="G3936" s="6"/>
      <c r="H3936" s="6"/>
      <c r="I3936" s="6"/>
      <c r="J3936" s="6"/>
      <c r="K3936" s="6"/>
      <c r="L3936" s="6"/>
      <c r="M3936" s="6"/>
      <c r="N3936" s="6"/>
      <c r="O3936" s="6"/>
      <c r="P3936" s="6"/>
      <c r="Q3936" s="6"/>
      <c r="R3936" s="6"/>
      <c r="S3936" s="6"/>
      <c r="T3936" s="6"/>
      <c r="U3936" s="6"/>
      <c r="V3936" s="6"/>
      <c r="W3936" s="6"/>
      <c r="X3936" s="6"/>
      <c r="Y3936" s="6"/>
      <c r="Z3936" s="6"/>
      <c r="AA3936" s="6"/>
      <c r="AB3936" s="6"/>
      <c r="AC3936" s="6"/>
      <c r="AD3936" s="6"/>
      <c r="AE3936" s="6"/>
      <c r="AF3936" s="6"/>
      <c r="AG3936" s="6"/>
      <c r="AH3936" s="6"/>
      <c r="AI3936" s="6"/>
      <c r="AJ3936" s="6"/>
      <c r="AK3936" s="6"/>
      <c r="AL3936" s="6"/>
      <c r="AM3936" s="6"/>
    </row>
    <row r="3937">
      <c r="A3937" s="6"/>
      <c r="B3937" s="6"/>
      <c r="C3937" s="6"/>
      <c r="D3937" s="6"/>
      <c r="E3937" s="6"/>
      <c r="F3937" s="6"/>
      <c r="G3937" s="6"/>
      <c r="H3937" s="6"/>
      <c r="I3937" s="6"/>
      <c r="J3937" s="6"/>
      <c r="K3937" s="6"/>
      <c r="L3937" s="6"/>
      <c r="M3937" s="6"/>
      <c r="N3937" s="6"/>
      <c r="O3937" s="6"/>
      <c r="P3937" s="6"/>
      <c r="Q3937" s="6"/>
      <c r="R3937" s="6"/>
      <c r="S3937" s="6"/>
      <c r="T3937" s="6"/>
      <c r="U3937" s="6"/>
      <c r="V3937" s="6"/>
      <c r="W3937" s="6"/>
      <c r="X3937" s="6"/>
      <c r="Y3937" s="6"/>
      <c r="Z3937" s="6"/>
      <c r="AA3937" s="6"/>
      <c r="AB3937" s="6"/>
      <c r="AC3937" s="6"/>
      <c r="AD3937" s="6"/>
      <c r="AE3937" s="6"/>
      <c r="AF3937" s="6"/>
      <c r="AG3937" s="6"/>
      <c r="AH3937" s="6"/>
      <c r="AI3937" s="6"/>
      <c r="AJ3937" s="6"/>
      <c r="AK3937" s="6"/>
      <c r="AL3937" s="6"/>
      <c r="AM3937" s="6"/>
    </row>
    <row r="3938">
      <c r="A3938" s="6"/>
      <c r="B3938" s="6"/>
      <c r="C3938" s="6"/>
      <c r="D3938" s="6"/>
      <c r="E3938" s="6"/>
      <c r="F3938" s="6"/>
      <c r="G3938" s="6"/>
      <c r="H3938" s="6"/>
      <c r="I3938" s="6"/>
      <c r="J3938" s="6"/>
      <c r="K3938" s="6"/>
      <c r="L3938" s="6"/>
      <c r="M3938" s="6"/>
      <c r="N3938" s="6"/>
      <c r="O3938" s="6"/>
      <c r="P3938" s="6"/>
      <c r="Q3938" s="6"/>
      <c r="R3938" s="6"/>
      <c r="S3938" s="6"/>
      <c r="T3938" s="6"/>
      <c r="U3938" s="6"/>
      <c r="V3938" s="6"/>
      <c r="W3938" s="6"/>
      <c r="X3938" s="6"/>
      <c r="Y3938" s="6"/>
      <c r="Z3938" s="6"/>
      <c r="AA3938" s="6"/>
      <c r="AB3938" s="6"/>
      <c r="AC3938" s="6"/>
      <c r="AD3938" s="6"/>
      <c r="AE3938" s="6"/>
      <c r="AF3938" s="6"/>
      <c r="AG3938" s="6"/>
      <c r="AH3938" s="6"/>
      <c r="AI3938" s="6"/>
      <c r="AJ3938" s="6"/>
      <c r="AK3938" s="6"/>
      <c r="AL3938" s="6"/>
      <c r="AM3938" s="6"/>
    </row>
    <row r="3939">
      <c r="A3939" s="6"/>
      <c r="B3939" s="6"/>
      <c r="C3939" s="6"/>
      <c r="D3939" s="6"/>
      <c r="E3939" s="6"/>
      <c r="F3939" s="6"/>
      <c r="G3939" s="6"/>
      <c r="H3939" s="6"/>
      <c r="I3939" s="6"/>
      <c r="J3939" s="6"/>
      <c r="K3939" s="6"/>
      <c r="L3939" s="6"/>
      <c r="M3939" s="6"/>
      <c r="N3939" s="6"/>
      <c r="O3939" s="6"/>
      <c r="P3939" s="6"/>
      <c r="Q3939" s="6"/>
      <c r="R3939" s="6"/>
      <c r="S3939" s="6"/>
      <c r="T3939" s="6"/>
      <c r="U3939" s="6"/>
      <c r="V3939" s="6"/>
      <c r="W3939" s="6"/>
      <c r="X3939" s="6"/>
      <c r="Y3939" s="6"/>
      <c r="Z3939" s="6"/>
      <c r="AA3939" s="6"/>
      <c r="AB3939" s="6"/>
      <c r="AC3939" s="6"/>
      <c r="AD3939" s="6"/>
      <c r="AE3939" s="6"/>
      <c r="AF3939" s="6"/>
      <c r="AG3939" s="6"/>
      <c r="AH3939" s="6"/>
      <c r="AI3939" s="6"/>
      <c r="AJ3939" s="6"/>
      <c r="AK3939" s="6"/>
      <c r="AL3939" s="6"/>
      <c r="AM3939" s="6"/>
    </row>
    <row r="3940">
      <c r="A3940" s="6"/>
      <c r="B3940" s="6"/>
      <c r="C3940" s="6"/>
      <c r="D3940" s="6"/>
      <c r="E3940" s="6"/>
      <c r="F3940" s="6"/>
      <c r="G3940" s="6"/>
      <c r="H3940" s="6"/>
      <c r="I3940" s="6"/>
      <c r="J3940" s="6"/>
      <c r="K3940" s="6"/>
      <c r="L3940" s="6"/>
      <c r="M3940" s="6"/>
      <c r="N3940" s="6"/>
      <c r="O3940" s="6"/>
      <c r="P3940" s="6"/>
      <c r="Q3940" s="6"/>
      <c r="R3940" s="6"/>
      <c r="S3940" s="6"/>
      <c r="T3940" s="6"/>
      <c r="U3940" s="6"/>
      <c r="V3940" s="6"/>
      <c r="W3940" s="6"/>
      <c r="X3940" s="6"/>
      <c r="Y3940" s="6"/>
      <c r="Z3940" s="6"/>
      <c r="AA3940" s="6"/>
      <c r="AB3940" s="6"/>
      <c r="AC3940" s="6"/>
      <c r="AD3940" s="6"/>
      <c r="AE3940" s="6"/>
      <c r="AF3940" s="6"/>
      <c r="AG3940" s="6"/>
      <c r="AH3940" s="6"/>
      <c r="AI3940" s="6"/>
      <c r="AJ3940" s="6"/>
      <c r="AK3940" s="6"/>
      <c r="AL3940" s="6"/>
      <c r="AM3940" s="6"/>
    </row>
    <row r="3941">
      <c r="A3941" s="6"/>
      <c r="B3941" s="6"/>
      <c r="C3941" s="6"/>
      <c r="D3941" s="6"/>
      <c r="E3941" s="6"/>
      <c r="F3941" s="6"/>
      <c r="G3941" s="6"/>
      <c r="H3941" s="6"/>
      <c r="I3941" s="6"/>
      <c r="J3941" s="6"/>
      <c r="K3941" s="6"/>
      <c r="L3941" s="6"/>
      <c r="M3941" s="6"/>
      <c r="N3941" s="6"/>
      <c r="O3941" s="6"/>
      <c r="P3941" s="6"/>
      <c r="Q3941" s="6"/>
      <c r="R3941" s="6"/>
      <c r="S3941" s="6"/>
      <c r="T3941" s="6"/>
      <c r="U3941" s="6"/>
      <c r="V3941" s="6"/>
      <c r="W3941" s="6"/>
      <c r="X3941" s="6"/>
      <c r="Y3941" s="6"/>
      <c r="Z3941" s="6"/>
      <c r="AA3941" s="6"/>
      <c r="AB3941" s="6"/>
      <c r="AC3941" s="6"/>
      <c r="AD3941" s="6"/>
      <c r="AE3941" s="6"/>
      <c r="AF3941" s="6"/>
      <c r="AG3941" s="6"/>
      <c r="AH3941" s="6"/>
      <c r="AI3941" s="6"/>
      <c r="AJ3941" s="6"/>
      <c r="AK3941" s="6"/>
      <c r="AL3941" s="6"/>
      <c r="AM3941" s="6"/>
    </row>
    <row r="3942">
      <c r="A3942" s="6"/>
      <c r="B3942" s="6"/>
      <c r="C3942" s="6"/>
      <c r="D3942" s="6"/>
      <c r="E3942" s="6"/>
      <c r="F3942" s="6"/>
      <c r="G3942" s="6"/>
      <c r="H3942" s="6"/>
      <c r="I3942" s="6"/>
      <c r="J3942" s="6"/>
      <c r="K3942" s="6"/>
      <c r="L3942" s="6"/>
      <c r="M3942" s="6"/>
      <c r="N3942" s="6"/>
      <c r="O3942" s="6"/>
      <c r="P3942" s="6"/>
      <c r="Q3942" s="6"/>
      <c r="R3942" s="6"/>
      <c r="S3942" s="6"/>
      <c r="T3942" s="6"/>
      <c r="U3942" s="6"/>
      <c r="V3942" s="6"/>
      <c r="W3942" s="6"/>
      <c r="X3942" s="6"/>
      <c r="Y3942" s="6"/>
      <c r="Z3942" s="6"/>
      <c r="AA3942" s="6"/>
      <c r="AB3942" s="6"/>
      <c r="AC3942" s="6"/>
      <c r="AD3942" s="6"/>
      <c r="AE3942" s="6"/>
      <c r="AF3942" s="6"/>
      <c r="AG3942" s="6"/>
      <c r="AH3942" s="6"/>
      <c r="AI3942" s="6"/>
      <c r="AJ3942" s="6"/>
      <c r="AK3942" s="6"/>
      <c r="AL3942" s="6"/>
      <c r="AM3942" s="6"/>
    </row>
    <row r="3943">
      <c r="A3943" s="6"/>
      <c r="B3943" s="6"/>
      <c r="C3943" s="6"/>
      <c r="D3943" s="6"/>
      <c r="E3943" s="6"/>
      <c r="F3943" s="6"/>
      <c r="G3943" s="6"/>
      <c r="H3943" s="6"/>
      <c r="I3943" s="6"/>
      <c r="J3943" s="6"/>
      <c r="K3943" s="6"/>
      <c r="L3943" s="6"/>
      <c r="M3943" s="6"/>
      <c r="N3943" s="6"/>
      <c r="O3943" s="6"/>
      <c r="P3943" s="6"/>
      <c r="Q3943" s="6"/>
      <c r="R3943" s="6"/>
      <c r="S3943" s="6"/>
      <c r="T3943" s="6"/>
      <c r="U3943" s="6"/>
      <c r="V3943" s="6"/>
      <c r="W3943" s="6"/>
      <c r="X3943" s="6"/>
      <c r="Y3943" s="6"/>
      <c r="Z3943" s="6"/>
      <c r="AA3943" s="6"/>
      <c r="AB3943" s="6"/>
      <c r="AC3943" s="6"/>
      <c r="AD3943" s="6"/>
      <c r="AE3943" s="6"/>
      <c r="AF3943" s="6"/>
      <c r="AG3943" s="6"/>
      <c r="AH3943" s="6"/>
      <c r="AI3943" s="6"/>
      <c r="AJ3943" s="6"/>
      <c r="AK3943" s="6"/>
      <c r="AL3943" s="6"/>
      <c r="AM3943" s="6"/>
    </row>
    <row r="3944">
      <c r="A3944" s="6"/>
      <c r="B3944" s="6"/>
      <c r="C3944" s="6"/>
      <c r="D3944" s="6"/>
      <c r="E3944" s="6"/>
      <c r="F3944" s="6"/>
      <c r="G3944" s="6"/>
      <c r="H3944" s="6"/>
      <c r="I3944" s="6"/>
      <c r="J3944" s="6"/>
      <c r="K3944" s="6"/>
      <c r="L3944" s="6"/>
      <c r="M3944" s="6"/>
      <c r="N3944" s="6"/>
      <c r="O3944" s="6"/>
      <c r="P3944" s="6"/>
      <c r="Q3944" s="6"/>
      <c r="R3944" s="6"/>
      <c r="S3944" s="6"/>
      <c r="T3944" s="6"/>
      <c r="U3944" s="6"/>
      <c r="V3944" s="6"/>
      <c r="W3944" s="6"/>
      <c r="X3944" s="6"/>
      <c r="Y3944" s="6"/>
      <c r="Z3944" s="6"/>
      <c r="AA3944" s="6"/>
      <c r="AB3944" s="6"/>
      <c r="AC3944" s="6"/>
      <c r="AD3944" s="6"/>
      <c r="AE3944" s="6"/>
      <c r="AF3944" s="6"/>
      <c r="AG3944" s="6"/>
      <c r="AH3944" s="6"/>
      <c r="AI3944" s="6"/>
      <c r="AJ3944" s="6"/>
      <c r="AK3944" s="6"/>
      <c r="AL3944" s="6"/>
      <c r="AM3944" s="6"/>
    </row>
    <row r="3945">
      <c r="A3945" s="6"/>
      <c r="B3945" s="6"/>
      <c r="C3945" s="6"/>
      <c r="D3945" s="6"/>
      <c r="E3945" s="6"/>
      <c r="F3945" s="6"/>
      <c r="G3945" s="6"/>
      <c r="H3945" s="6"/>
      <c r="I3945" s="6"/>
      <c r="J3945" s="6"/>
      <c r="K3945" s="6"/>
      <c r="L3945" s="6"/>
      <c r="M3945" s="6"/>
      <c r="N3945" s="6"/>
      <c r="O3945" s="6"/>
      <c r="P3945" s="6"/>
      <c r="Q3945" s="6"/>
      <c r="R3945" s="6"/>
      <c r="S3945" s="6"/>
      <c r="T3945" s="6"/>
      <c r="U3945" s="6"/>
      <c r="V3945" s="6"/>
      <c r="W3945" s="6"/>
      <c r="X3945" s="6"/>
      <c r="Y3945" s="6"/>
      <c r="Z3945" s="6"/>
      <c r="AA3945" s="6"/>
      <c r="AB3945" s="6"/>
      <c r="AC3945" s="6"/>
      <c r="AD3945" s="6"/>
      <c r="AE3945" s="6"/>
      <c r="AF3945" s="6"/>
      <c r="AG3945" s="6"/>
      <c r="AH3945" s="6"/>
      <c r="AI3945" s="6"/>
      <c r="AJ3945" s="6"/>
      <c r="AK3945" s="6"/>
      <c r="AL3945" s="6"/>
      <c r="AM3945" s="6"/>
    </row>
    <row r="3946">
      <c r="A3946" s="6"/>
      <c r="B3946" s="6"/>
      <c r="C3946" s="6"/>
      <c r="D3946" s="6"/>
      <c r="E3946" s="6"/>
      <c r="F3946" s="6"/>
      <c r="G3946" s="6"/>
      <c r="H3946" s="6"/>
      <c r="I3946" s="6"/>
      <c r="J3946" s="6"/>
      <c r="K3946" s="6"/>
      <c r="L3946" s="6"/>
      <c r="M3946" s="6"/>
      <c r="N3946" s="6"/>
      <c r="O3946" s="6"/>
      <c r="P3946" s="6"/>
      <c r="Q3946" s="6"/>
      <c r="R3946" s="6"/>
      <c r="S3946" s="6"/>
      <c r="T3946" s="6"/>
      <c r="U3946" s="6"/>
      <c r="V3946" s="6"/>
      <c r="W3946" s="6"/>
      <c r="X3946" s="6"/>
      <c r="Y3946" s="6"/>
      <c r="Z3946" s="6"/>
      <c r="AA3946" s="6"/>
      <c r="AB3946" s="6"/>
      <c r="AC3946" s="6"/>
      <c r="AD3946" s="6"/>
      <c r="AE3946" s="6"/>
      <c r="AF3946" s="6"/>
      <c r="AG3946" s="6"/>
      <c r="AH3946" s="6"/>
      <c r="AI3946" s="6"/>
      <c r="AJ3946" s="6"/>
      <c r="AK3946" s="6"/>
      <c r="AL3946" s="6"/>
      <c r="AM3946" s="6"/>
    </row>
    <row r="3947">
      <c r="A3947" s="6"/>
      <c r="B3947" s="6"/>
      <c r="C3947" s="6"/>
      <c r="D3947" s="6"/>
      <c r="E3947" s="6"/>
      <c r="F3947" s="6"/>
      <c r="G3947" s="6"/>
      <c r="H3947" s="6"/>
      <c r="I3947" s="6"/>
      <c r="J3947" s="6"/>
      <c r="K3947" s="6"/>
      <c r="L3947" s="6"/>
      <c r="M3947" s="6"/>
      <c r="N3947" s="6"/>
      <c r="O3947" s="6"/>
      <c r="P3947" s="6"/>
      <c r="Q3947" s="6"/>
      <c r="R3947" s="6"/>
      <c r="S3947" s="6"/>
      <c r="T3947" s="6"/>
      <c r="U3947" s="6"/>
      <c r="V3947" s="6"/>
      <c r="W3947" s="6"/>
      <c r="X3947" s="6"/>
      <c r="Y3947" s="6"/>
      <c r="Z3947" s="6"/>
      <c r="AA3947" s="6"/>
      <c r="AB3947" s="6"/>
      <c r="AC3947" s="6"/>
      <c r="AD3947" s="6"/>
      <c r="AE3947" s="6"/>
      <c r="AF3947" s="6"/>
      <c r="AG3947" s="6"/>
      <c r="AH3947" s="6"/>
      <c r="AI3947" s="6"/>
      <c r="AJ3947" s="6"/>
      <c r="AK3947" s="6"/>
      <c r="AL3947" s="6"/>
      <c r="AM3947" s="6"/>
    </row>
    <row r="3948">
      <c r="A3948" s="6"/>
      <c r="B3948" s="6"/>
      <c r="C3948" s="6"/>
      <c r="D3948" s="6"/>
      <c r="E3948" s="6"/>
      <c r="F3948" s="6"/>
      <c r="G3948" s="6"/>
      <c r="H3948" s="6"/>
      <c r="I3948" s="6"/>
      <c r="J3948" s="6"/>
      <c r="K3948" s="6"/>
      <c r="L3948" s="6"/>
      <c r="M3948" s="6"/>
      <c r="N3948" s="6"/>
      <c r="O3948" s="6"/>
      <c r="P3948" s="6"/>
      <c r="Q3948" s="6"/>
      <c r="R3948" s="6"/>
      <c r="S3948" s="6"/>
      <c r="T3948" s="6"/>
      <c r="U3948" s="6"/>
      <c r="V3948" s="6"/>
      <c r="W3948" s="6"/>
      <c r="X3948" s="6"/>
      <c r="Y3948" s="6"/>
      <c r="Z3948" s="6"/>
      <c r="AA3948" s="6"/>
      <c r="AB3948" s="6"/>
      <c r="AC3948" s="6"/>
      <c r="AD3948" s="6"/>
      <c r="AE3948" s="6"/>
      <c r="AF3948" s="6"/>
      <c r="AG3948" s="6"/>
      <c r="AH3948" s="6"/>
      <c r="AI3948" s="6"/>
      <c r="AJ3948" s="6"/>
      <c r="AK3948" s="6"/>
      <c r="AL3948" s="6"/>
      <c r="AM3948" s="6"/>
    </row>
    <row r="3949">
      <c r="A3949" s="6"/>
      <c r="B3949" s="6"/>
      <c r="C3949" s="6"/>
      <c r="D3949" s="6"/>
      <c r="E3949" s="6"/>
      <c r="F3949" s="6"/>
      <c r="G3949" s="6"/>
      <c r="H3949" s="6"/>
      <c r="I3949" s="6"/>
      <c r="J3949" s="6"/>
      <c r="K3949" s="6"/>
      <c r="L3949" s="6"/>
      <c r="M3949" s="6"/>
      <c r="N3949" s="6"/>
      <c r="O3949" s="6"/>
      <c r="P3949" s="6"/>
      <c r="Q3949" s="6"/>
      <c r="R3949" s="6"/>
      <c r="S3949" s="6"/>
      <c r="T3949" s="6"/>
      <c r="U3949" s="6"/>
      <c r="V3949" s="6"/>
      <c r="W3949" s="6"/>
      <c r="X3949" s="6"/>
      <c r="Y3949" s="6"/>
      <c r="Z3949" s="6"/>
      <c r="AA3949" s="6"/>
      <c r="AB3949" s="6"/>
      <c r="AC3949" s="6"/>
      <c r="AD3949" s="6"/>
      <c r="AE3949" s="6"/>
      <c r="AF3949" s="6"/>
      <c r="AG3949" s="6"/>
      <c r="AH3949" s="6"/>
      <c r="AI3949" s="6"/>
      <c r="AJ3949" s="6"/>
      <c r="AK3949" s="6"/>
      <c r="AL3949" s="6"/>
      <c r="AM3949" s="6"/>
    </row>
    <row r="3950">
      <c r="A3950" s="6"/>
      <c r="B3950" s="6"/>
      <c r="C3950" s="6"/>
      <c r="D3950" s="6"/>
      <c r="E3950" s="6"/>
      <c r="F3950" s="6"/>
      <c r="G3950" s="6"/>
      <c r="H3950" s="6"/>
      <c r="I3950" s="6"/>
      <c r="J3950" s="6"/>
      <c r="K3950" s="6"/>
      <c r="L3950" s="6"/>
      <c r="M3950" s="6"/>
      <c r="N3950" s="6"/>
      <c r="O3950" s="6"/>
      <c r="P3950" s="6"/>
      <c r="Q3950" s="6"/>
      <c r="R3950" s="6"/>
      <c r="S3950" s="6"/>
      <c r="T3950" s="6"/>
      <c r="U3950" s="6"/>
      <c r="V3950" s="6"/>
      <c r="W3950" s="6"/>
      <c r="X3950" s="6"/>
      <c r="Y3950" s="6"/>
      <c r="Z3950" s="6"/>
      <c r="AA3950" s="6"/>
      <c r="AB3950" s="6"/>
      <c r="AC3950" s="6"/>
      <c r="AD3950" s="6"/>
      <c r="AE3950" s="6"/>
      <c r="AF3950" s="6"/>
      <c r="AG3950" s="6"/>
      <c r="AH3950" s="6"/>
      <c r="AI3950" s="6"/>
      <c r="AJ3950" s="6"/>
      <c r="AK3950" s="6"/>
      <c r="AL3950" s="6"/>
      <c r="AM3950" s="6"/>
    </row>
    <row r="3951">
      <c r="A3951" s="6"/>
      <c r="B3951" s="6"/>
      <c r="C3951" s="6"/>
      <c r="D3951" s="6"/>
      <c r="E3951" s="6"/>
      <c r="F3951" s="6"/>
      <c r="G3951" s="6"/>
      <c r="H3951" s="6"/>
      <c r="I3951" s="6"/>
      <c r="J3951" s="6"/>
      <c r="K3951" s="6"/>
      <c r="L3951" s="6"/>
      <c r="M3951" s="6"/>
      <c r="N3951" s="6"/>
      <c r="O3951" s="6"/>
      <c r="P3951" s="6"/>
      <c r="Q3951" s="6"/>
      <c r="R3951" s="6"/>
      <c r="S3951" s="6"/>
      <c r="T3951" s="6"/>
      <c r="U3951" s="6"/>
      <c r="V3951" s="6"/>
      <c r="W3951" s="6"/>
      <c r="X3951" s="6"/>
      <c r="Y3951" s="6"/>
      <c r="Z3951" s="6"/>
      <c r="AA3951" s="6"/>
      <c r="AB3951" s="6"/>
      <c r="AC3951" s="6"/>
      <c r="AD3951" s="6"/>
      <c r="AE3951" s="6"/>
      <c r="AF3951" s="6"/>
      <c r="AG3951" s="6"/>
      <c r="AH3951" s="6"/>
      <c r="AI3951" s="6"/>
      <c r="AJ3951" s="6"/>
      <c r="AK3951" s="6"/>
      <c r="AL3951" s="6"/>
      <c r="AM3951" s="6"/>
    </row>
    <row r="3952">
      <c r="A3952" s="6"/>
      <c r="B3952" s="6"/>
      <c r="C3952" s="6"/>
      <c r="D3952" s="6"/>
      <c r="E3952" s="6"/>
      <c r="F3952" s="6"/>
      <c r="G3952" s="6"/>
      <c r="H3952" s="6"/>
      <c r="I3952" s="6"/>
      <c r="J3952" s="6"/>
      <c r="K3952" s="6"/>
      <c r="L3952" s="6"/>
      <c r="M3952" s="6"/>
      <c r="N3952" s="6"/>
      <c r="O3952" s="6"/>
      <c r="P3952" s="6"/>
      <c r="Q3952" s="6"/>
      <c r="R3952" s="6"/>
      <c r="S3952" s="6"/>
      <c r="T3952" s="6"/>
      <c r="U3952" s="6"/>
      <c r="V3952" s="6"/>
      <c r="W3952" s="6"/>
      <c r="X3952" s="6"/>
      <c r="Y3952" s="6"/>
      <c r="Z3952" s="6"/>
      <c r="AA3952" s="6"/>
      <c r="AB3952" s="6"/>
      <c r="AC3952" s="6"/>
      <c r="AD3952" s="6"/>
      <c r="AE3952" s="6"/>
      <c r="AF3952" s="6"/>
      <c r="AG3952" s="6"/>
      <c r="AH3952" s="6"/>
      <c r="AI3952" s="6"/>
      <c r="AJ3952" s="6"/>
      <c r="AK3952" s="6"/>
      <c r="AL3952" s="6"/>
      <c r="AM3952" s="6"/>
    </row>
    <row r="3953">
      <c r="A3953" s="6"/>
      <c r="B3953" s="6"/>
      <c r="C3953" s="6"/>
      <c r="D3953" s="6"/>
      <c r="E3953" s="6"/>
      <c r="F3953" s="6"/>
      <c r="G3953" s="6"/>
      <c r="H3953" s="6"/>
      <c r="I3953" s="6"/>
      <c r="J3953" s="6"/>
      <c r="K3953" s="6"/>
      <c r="L3953" s="6"/>
      <c r="M3953" s="6"/>
      <c r="N3953" s="6"/>
      <c r="O3953" s="6"/>
      <c r="P3953" s="6"/>
      <c r="Q3953" s="6"/>
      <c r="R3953" s="6"/>
      <c r="S3953" s="6"/>
      <c r="T3953" s="6"/>
      <c r="U3953" s="6"/>
      <c r="V3953" s="6"/>
      <c r="W3953" s="6"/>
      <c r="X3953" s="6"/>
      <c r="Y3953" s="6"/>
      <c r="Z3953" s="6"/>
      <c r="AA3953" s="6"/>
      <c r="AB3953" s="6"/>
      <c r="AC3953" s="6"/>
      <c r="AD3953" s="6"/>
      <c r="AE3953" s="6"/>
      <c r="AF3953" s="6"/>
      <c r="AG3953" s="6"/>
      <c r="AH3953" s="6"/>
      <c r="AI3953" s="6"/>
      <c r="AJ3953" s="6"/>
      <c r="AK3953" s="6"/>
      <c r="AL3953" s="6"/>
      <c r="AM3953" s="6"/>
    </row>
    <row r="3954">
      <c r="A3954" s="6"/>
      <c r="B3954" s="6"/>
      <c r="C3954" s="6"/>
      <c r="D3954" s="6"/>
      <c r="E3954" s="6"/>
      <c r="F3954" s="6"/>
      <c r="G3954" s="6"/>
      <c r="H3954" s="6"/>
      <c r="I3954" s="6"/>
      <c r="J3954" s="6"/>
      <c r="K3954" s="6"/>
      <c r="L3954" s="6"/>
      <c r="M3954" s="6"/>
      <c r="N3954" s="6"/>
      <c r="O3954" s="6"/>
      <c r="P3954" s="6"/>
      <c r="Q3954" s="6"/>
      <c r="R3954" s="6"/>
      <c r="S3954" s="6"/>
      <c r="T3954" s="6"/>
      <c r="U3954" s="6"/>
      <c r="V3954" s="6"/>
      <c r="W3954" s="6"/>
      <c r="X3954" s="6"/>
      <c r="Y3954" s="6"/>
      <c r="Z3954" s="6"/>
      <c r="AA3954" s="6"/>
      <c r="AB3954" s="6"/>
      <c r="AC3954" s="6"/>
      <c r="AD3954" s="6"/>
      <c r="AE3954" s="6"/>
      <c r="AF3954" s="6"/>
      <c r="AG3954" s="6"/>
      <c r="AH3954" s="6"/>
      <c r="AI3954" s="6"/>
      <c r="AJ3954" s="6"/>
      <c r="AK3954" s="6"/>
      <c r="AL3954" s="6"/>
      <c r="AM3954" s="6"/>
    </row>
    <row r="3955">
      <c r="A3955" s="6"/>
      <c r="B3955" s="6"/>
      <c r="C3955" s="6"/>
      <c r="D3955" s="6"/>
      <c r="E3955" s="6"/>
      <c r="F3955" s="6"/>
      <c r="G3955" s="6"/>
      <c r="H3955" s="6"/>
      <c r="I3955" s="6"/>
      <c r="J3955" s="6"/>
      <c r="K3955" s="6"/>
      <c r="L3955" s="6"/>
      <c r="M3955" s="6"/>
      <c r="N3955" s="6"/>
      <c r="O3955" s="6"/>
      <c r="P3955" s="6"/>
      <c r="Q3955" s="6"/>
      <c r="R3955" s="6"/>
      <c r="S3955" s="6"/>
      <c r="T3955" s="6"/>
      <c r="U3955" s="6"/>
      <c r="V3955" s="6"/>
      <c r="W3955" s="6"/>
      <c r="X3955" s="6"/>
      <c r="Y3955" s="6"/>
      <c r="Z3955" s="6"/>
      <c r="AA3955" s="6"/>
      <c r="AB3955" s="6"/>
      <c r="AC3955" s="6"/>
      <c r="AD3955" s="6"/>
      <c r="AE3955" s="6"/>
      <c r="AF3955" s="6"/>
      <c r="AG3955" s="6"/>
      <c r="AH3955" s="6"/>
      <c r="AI3955" s="6"/>
      <c r="AJ3955" s="6"/>
      <c r="AK3955" s="6"/>
      <c r="AL3955" s="6"/>
      <c r="AM3955" s="6"/>
    </row>
    <row r="3956">
      <c r="A3956" s="6"/>
      <c r="B3956" s="6"/>
      <c r="C3956" s="6"/>
      <c r="D3956" s="6"/>
      <c r="E3956" s="6"/>
      <c r="F3956" s="6"/>
      <c r="G3956" s="6"/>
      <c r="H3956" s="6"/>
      <c r="I3956" s="6"/>
      <c r="J3956" s="6"/>
      <c r="K3956" s="6"/>
      <c r="L3956" s="6"/>
      <c r="M3956" s="6"/>
      <c r="N3956" s="6"/>
      <c r="O3956" s="6"/>
      <c r="P3956" s="6"/>
      <c r="Q3956" s="6"/>
      <c r="R3956" s="6"/>
      <c r="S3956" s="6"/>
      <c r="T3956" s="6"/>
      <c r="U3956" s="6"/>
      <c r="V3956" s="6"/>
      <c r="W3956" s="6"/>
      <c r="X3956" s="6"/>
      <c r="Y3956" s="6"/>
      <c r="Z3956" s="6"/>
      <c r="AA3956" s="6"/>
      <c r="AB3956" s="6"/>
      <c r="AC3956" s="6"/>
      <c r="AD3956" s="6"/>
      <c r="AE3956" s="6"/>
      <c r="AF3956" s="6"/>
      <c r="AG3956" s="6"/>
      <c r="AH3956" s="6"/>
      <c r="AI3956" s="6"/>
      <c r="AJ3956" s="6"/>
      <c r="AK3956" s="6"/>
      <c r="AL3956" s="6"/>
      <c r="AM3956" s="6"/>
    </row>
    <row r="3957">
      <c r="A3957" s="6"/>
      <c r="B3957" s="6"/>
      <c r="C3957" s="6"/>
      <c r="D3957" s="6"/>
      <c r="E3957" s="6"/>
      <c r="F3957" s="6"/>
      <c r="G3957" s="6"/>
      <c r="H3957" s="6"/>
      <c r="I3957" s="6"/>
      <c r="J3957" s="6"/>
      <c r="K3957" s="6"/>
      <c r="L3957" s="6"/>
      <c r="M3957" s="6"/>
      <c r="N3957" s="6"/>
      <c r="O3957" s="6"/>
      <c r="P3957" s="6"/>
      <c r="Q3957" s="6"/>
      <c r="R3957" s="6"/>
      <c r="S3957" s="6"/>
      <c r="T3957" s="6"/>
      <c r="U3957" s="6"/>
      <c r="V3957" s="6"/>
      <c r="W3957" s="6"/>
      <c r="X3957" s="6"/>
      <c r="Y3957" s="6"/>
      <c r="Z3957" s="6"/>
      <c r="AA3957" s="6"/>
      <c r="AB3957" s="6"/>
      <c r="AC3957" s="6"/>
      <c r="AD3957" s="6"/>
      <c r="AE3957" s="6"/>
      <c r="AF3957" s="6"/>
      <c r="AG3957" s="6"/>
      <c r="AH3957" s="6"/>
      <c r="AI3957" s="6"/>
      <c r="AJ3957" s="6"/>
      <c r="AK3957" s="6"/>
      <c r="AL3957" s="6"/>
      <c r="AM3957" s="6"/>
    </row>
    <row r="3958">
      <c r="A3958" s="6"/>
      <c r="B3958" s="6"/>
      <c r="C3958" s="6"/>
      <c r="D3958" s="6"/>
      <c r="E3958" s="6"/>
      <c r="F3958" s="6"/>
      <c r="G3958" s="6"/>
      <c r="H3958" s="6"/>
      <c r="I3958" s="6"/>
      <c r="J3958" s="6"/>
      <c r="K3958" s="6"/>
      <c r="L3958" s="6"/>
      <c r="M3958" s="6"/>
      <c r="N3958" s="6"/>
      <c r="O3958" s="6"/>
      <c r="P3958" s="6"/>
      <c r="Q3958" s="6"/>
      <c r="R3958" s="6"/>
      <c r="S3958" s="6"/>
      <c r="T3958" s="6"/>
      <c r="U3958" s="6"/>
      <c r="V3958" s="6"/>
      <c r="W3958" s="6"/>
      <c r="X3958" s="6"/>
      <c r="Y3958" s="6"/>
      <c r="Z3958" s="6"/>
      <c r="AA3958" s="6"/>
      <c r="AB3958" s="6"/>
      <c r="AC3958" s="6"/>
      <c r="AD3958" s="6"/>
      <c r="AE3958" s="6"/>
      <c r="AF3958" s="6"/>
      <c r="AG3958" s="6"/>
      <c r="AH3958" s="6"/>
      <c r="AI3958" s="6"/>
      <c r="AJ3958" s="6"/>
      <c r="AK3958" s="6"/>
      <c r="AL3958" s="6"/>
      <c r="AM3958" s="6"/>
    </row>
    <row r="3959">
      <c r="A3959" s="6"/>
      <c r="B3959" s="6"/>
      <c r="C3959" s="6"/>
      <c r="D3959" s="6"/>
      <c r="E3959" s="6"/>
      <c r="F3959" s="6"/>
      <c r="G3959" s="6"/>
      <c r="H3959" s="6"/>
      <c r="I3959" s="6"/>
      <c r="J3959" s="6"/>
      <c r="K3959" s="6"/>
      <c r="L3959" s="6"/>
      <c r="M3959" s="6"/>
      <c r="N3959" s="6"/>
      <c r="O3959" s="6"/>
      <c r="P3959" s="6"/>
      <c r="Q3959" s="6"/>
      <c r="R3959" s="6"/>
      <c r="S3959" s="6"/>
      <c r="T3959" s="6"/>
      <c r="U3959" s="6"/>
      <c r="V3959" s="6"/>
      <c r="W3959" s="6"/>
      <c r="X3959" s="6"/>
      <c r="Y3959" s="6"/>
      <c r="Z3959" s="6"/>
      <c r="AA3959" s="6"/>
      <c r="AB3959" s="6"/>
      <c r="AC3959" s="6"/>
      <c r="AD3959" s="6"/>
      <c r="AE3959" s="6"/>
      <c r="AF3959" s="6"/>
      <c r="AG3959" s="6"/>
      <c r="AH3959" s="6"/>
      <c r="AI3959" s="6"/>
      <c r="AJ3959" s="6"/>
      <c r="AK3959" s="6"/>
      <c r="AL3959" s="6"/>
      <c r="AM3959" s="6"/>
    </row>
    <row r="3960">
      <c r="A3960" s="6"/>
      <c r="B3960" s="6"/>
      <c r="C3960" s="6"/>
      <c r="D3960" s="6"/>
      <c r="E3960" s="6"/>
      <c r="F3960" s="6"/>
      <c r="G3960" s="6"/>
      <c r="H3960" s="6"/>
      <c r="I3960" s="6"/>
      <c r="J3960" s="6"/>
      <c r="K3960" s="6"/>
      <c r="L3960" s="6"/>
      <c r="M3960" s="6"/>
      <c r="N3960" s="6"/>
      <c r="O3960" s="6"/>
      <c r="P3960" s="6"/>
      <c r="Q3960" s="6"/>
      <c r="R3960" s="6"/>
      <c r="S3960" s="6"/>
      <c r="T3960" s="6"/>
      <c r="U3960" s="6"/>
      <c r="V3960" s="6"/>
      <c r="W3960" s="6"/>
      <c r="X3960" s="6"/>
      <c r="Y3960" s="6"/>
      <c r="Z3960" s="6"/>
      <c r="AA3960" s="6"/>
      <c r="AB3960" s="6"/>
      <c r="AC3960" s="6"/>
      <c r="AD3960" s="6"/>
      <c r="AE3960" s="6"/>
      <c r="AF3960" s="6"/>
      <c r="AG3960" s="6"/>
      <c r="AH3960" s="6"/>
      <c r="AI3960" s="6"/>
      <c r="AJ3960" s="6"/>
      <c r="AK3960" s="6"/>
      <c r="AL3960" s="6"/>
      <c r="AM3960" s="6"/>
    </row>
    <row r="3961">
      <c r="A3961" s="6"/>
      <c r="B3961" s="6"/>
      <c r="C3961" s="6"/>
      <c r="D3961" s="6"/>
      <c r="E3961" s="6"/>
      <c r="F3961" s="6"/>
      <c r="G3961" s="6"/>
      <c r="H3961" s="6"/>
      <c r="I3961" s="6"/>
      <c r="J3961" s="6"/>
      <c r="K3961" s="6"/>
      <c r="L3961" s="6"/>
      <c r="M3961" s="6"/>
      <c r="N3961" s="6"/>
      <c r="O3961" s="6"/>
      <c r="P3961" s="6"/>
      <c r="Q3961" s="6"/>
      <c r="R3961" s="6"/>
      <c r="S3961" s="6"/>
      <c r="T3961" s="6"/>
      <c r="U3961" s="6"/>
      <c r="V3961" s="6"/>
      <c r="W3961" s="6"/>
      <c r="X3961" s="6"/>
      <c r="Y3961" s="6"/>
      <c r="Z3961" s="6"/>
      <c r="AA3961" s="6"/>
      <c r="AB3961" s="6"/>
      <c r="AC3961" s="6"/>
      <c r="AD3961" s="6"/>
      <c r="AE3961" s="6"/>
      <c r="AF3961" s="6"/>
      <c r="AG3961" s="6"/>
      <c r="AH3961" s="6"/>
      <c r="AI3961" s="6"/>
      <c r="AJ3961" s="6"/>
      <c r="AK3961" s="6"/>
      <c r="AL3961" s="6"/>
      <c r="AM3961" s="6"/>
    </row>
    <row r="3962">
      <c r="A3962" s="6"/>
      <c r="B3962" s="6"/>
      <c r="C3962" s="6"/>
      <c r="D3962" s="6"/>
      <c r="E3962" s="6"/>
      <c r="F3962" s="6"/>
      <c r="G3962" s="6"/>
      <c r="H3962" s="6"/>
      <c r="I3962" s="6"/>
      <c r="J3962" s="6"/>
      <c r="K3962" s="6"/>
      <c r="L3962" s="6"/>
      <c r="M3962" s="6"/>
      <c r="N3962" s="6"/>
      <c r="O3962" s="6"/>
      <c r="P3962" s="6"/>
      <c r="Q3962" s="6"/>
      <c r="R3962" s="6"/>
      <c r="S3962" s="6"/>
      <c r="T3962" s="6"/>
      <c r="U3962" s="6"/>
      <c r="V3962" s="6"/>
      <c r="W3962" s="6"/>
      <c r="X3962" s="6"/>
      <c r="Y3962" s="6"/>
      <c r="Z3962" s="6"/>
      <c r="AA3962" s="6"/>
      <c r="AB3962" s="6"/>
      <c r="AC3962" s="6"/>
      <c r="AD3962" s="6"/>
      <c r="AE3962" s="6"/>
      <c r="AF3962" s="6"/>
      <c r="AG3962" s="6"/>
      <c r="AH3962" s="6"/>
      <c r="AI3962" s="6"/>
      <c r="AJ3962" s="6"/>
      <c r="AK3962" s="6"/>
      <c r="AL3962" s="6"/>
      <c r="AM3962" s="6"/>
    </row>
    <row r="3963">
      <c r="A3963" s="6"/>
      <c r="B3963" s="6"/>
      <c r="C3963" s="6"/>
      <c r="D3963" s="6"/>
      <c r="E3963" s="6"/>
      <c r="F3963" s="6"/>
      <c r="G3963" s="6"/>
      <c r="H3963" s="6"/>
      <c r="I3963" s="6"/>
      <c r="J3963" s="6"/>
      <c r="K3963" s="6"/>
      <c r="L3963" s="6"/>
      <c r="M3963" s="6"/>
      <c r="N3963" s="6"/>
      <c r="O3963" s="6"/>
      <c r="P3963" s="6"/>
      <c r="Q3963" s="6"/>
      <c r="R3963" s="6"/>
      <c r="S3963" s="6"/>
      <c r="T3963" s="6"/>
      <c r="U3963" s="6"/>
      <c r="V3963" s="6"/>
      <c r="W3963" s="6"/>
      <c r="X3963" s="6"/>
      <c r="Y3963" s="6"/>
      <c r="Z3963" s="6"/>
      <c r="AA3963" s="6"/>
      <c r="AB3963" s="6"/>
      <c r="AC3963" s="6"/>
      <c r="AD3963" s="6"/>
      <c r="AE3963" s="6"/>
      <c r="AF3963" s="6"/>
      <c r="AG3963" s="6"/>
      <c r="AH3963" s="6"/>
      <c r="AI3963" s="6"/>
      <c r="AJ3963" s="6"/>
      <c r="AK3963" s="6"/>
      <c r="AL3963" s="6"/>
      <c r="AM3963" s="6"/>
    </row>
    <row r="3964">
      <c r="A3964" s="6"/>
      <c r="B3964" s="6"/>
      <c r="C3964" s="6"/>
      <c r="D3964" s="6"/>
      <c r="E3964" s="6"/>
      <c r="F3964" s="6"/>
      <c r="G3964" s="6"/>
      <c r="H3964" s="6"/>
      <c r="I3964" s="6"/>
      <c r="J3964" s="6"/>
      <c r="K3964" s="6"/>
      <c r="L3964" s="6"/>
      <c r="M3964" s="6"/>
      <c r="N3964" s="6"/>
      <c r="O3964" s="6"/>
      <c r="P3964" s="6"/>
      <c r="Q3964" s="6"/>
      <c r="R3964" s="6"/>
      <c r="S3964" s="6"/>
      <c r="T3964" s="6"/>
      <c r="U3964" s="6"/>
      <c r="V3964" s="6"/>
      <c r="W3964" s="6"/>
      <c r="X3964" s="6"/>
      <c r="Y3964" s="6"/>
      <c r="Z3964" s="6"/>
      <c r="AA3964" s="6"/>
      <c r="AB3964" s="6"/>
      <c r="AC3964" s="6"/>
      <c r="AD3964" s="6"/>
      <c r="AE3964" s="6"/>
      <c r="AF3964" s="6"/>
      <c r="AG3964" s="6"/>
      <c r="AH3964" s="6"/>
      <c r="AI3964" s="6"/>
      <c r="AJ3964" s="6"/>
      <c r="AK3964" s="6"/>
      <c r="AL3964" s="6"/>
      <c r="AM3964" s="6"/>
    </row>
    <row r="3965">
      <c r="A3965" s="6"/>
      <c r="B3965" s="6"/>
      <c r="C3965" s="6"/>
      <c r="D3965" s="6"/>
      <c r="E3965" s="6"/>
      <c r="F3965" s="6"/>
      <c r="G3965" s="6"/>
      <c r="H3965" s="6"/>
      <c r="I3965" s="6"/>
      <c r="J3965" s="6"/>
      <c r="K3965" s="6"/>
      <c r="L3965" s="6"/>
      <c r="M3965" s="6"/>
      <c r="N3965" s="6"/>
      <c r="O3965" s="6"/>
      <c r="P3965" s="6"/>
      <c r="Q3965" s="6"/>
      <c r="R3965" s="6"/>
      <c r="S3965" s="6"/>
      <c r="T3965" s="6"/>
      <c r="U3965" s="6"/>
      <c r="V3965" s="6"/>
      <c r="W3965" s="6"/>
      <c r="X3965" s="6"/>
      <c r="Y3965" s="6"/>
      <c r="Z3965" s="6"/>
      <c r="AA3965" s="6"/>
      <c r="AB3965" s="6"/>
      <c r="AC3965" s="6"/>
      <c r="AD3965" s="6"/>
      <c r="AE3965" s="6"/>
      <c r="AF3965" s="6"/>
      <c r="AG3965" s="6"/>
      <c r="AH3965" s="6"/>
      <c r="AI3965" s="6"/>
      <c r="AJ3965" s="6"/>
      <c r="AK3965" s="6"/>
      <c r="AL3965" s="6"/>
      <c r="AM3965" s="6"/>
    </row>
    <row r="3966">
      <c r="A3966" s="6"/>
      <c r="B3966" s="6"/>
      <c r="C3966" s="6"/>
      <c r="D3966" s="6"/>
      <c r="E3966" s="6"/>
      <c r="F3966" s="6"/>
      <c r="G3966" s="6"/>
      <c r="H3966" s="6"/>
      <c r="I3966" s="6"/>
      <c r="J3966" s="6"/>
      <c r="K3966" s="6"/>
      <c r="L3966" s="6"/>
      <c r="M3966" s="6"/>
      <c r="N3966" s="6"/>
      <c r="O3966" s="6"/>
      <c r="P3966" s="6"/>
      <c r="Q3966" s="6"/>
      <c r="R3966" s="6"/>
      <c r="S3966" s="6"/>
      <c r="T3966" s="6"/>
      <c r="U3966" s="6"/>
      <c r="V3966" s="6"/>
      <c r="W3966" s="6"/>
      <c r="X3966" s="6"/>
      <c r="Y3966" s="6"/>
      <c r="Z3966" s="6"/>
      <c r="AA3966" s="6"/>
      <c r="AB3966" s="6"/>
      <c r="AC3966" s="6"/>
      <c r="AD3966" s="6"/>
      <c r="AE3966" s="6"/>
      <c r="AF3966" s="6"/>
      <c r="AG3966" s="6"/>
      <c r="AH3966" s="6"/>
      <c r="AI3966" s="6"/>
      <c r="AJ3966" s="6"/>
      <c r="AK3966" s="6"/>
      <c r="AL3966" s="6"/>
      <c r="AM3966" s="6"/>
    </row>
    <row r="3967">
      <c r="A3967" s="6"/>
      <c r="B3967" s="6"/>
      <c r="C3967" s="6"/>
      <c r="D3967" s="6"/>
      <c r="E3967" s="6"/>
      <c r="F3967" s="6"/>
      <c r="G3967" s="6"/>
      <c r="H3967" s="6"/>
      <c r="I3967" s="6"/>
      <c r="J3967" s="6"/>
      <c r="K3967" s="6"/>
      <c r="L3967" s="6"/>
      <c r="M3967" s="6"/>
      <c r="N3967" s="6"/>
      <c r="O3967" s="6"/>
      <c r="P3967" s="6"/>
      <c r="Q3967" s="6"/>
      <c r="R3967" s="6"/>
      <c r="S3967" s="6"/>
      <c r="T3967" s="6"/>
      <c r="U3967" s="6"/>
      <c r="V3967" s="6"/>
      <c r="W3967" s="6"/>
      <c r="X3967" s="6"/>
      <c r="Y3967" s="6"/>
      <c r="Z3967" s="6"/>
      <c r="AA3967" s="6"/>
      <c r="AB3967" s="6"/>
      <c r="AC3967" s="6"/>
      <c r="AD3967" s="6"/>
      <c r="AE3967" s="6"/>
      <c r="AF3967" s="6"/>
      <c r="AG3967" s="6"/>
      <c r="AH3967" s="6"/>
      <c r="AI3967" s="6"/>
      <c r="AJ3967" s="6"/>
      <c r="AK3967" s="6"/>
      <c r="AL3967" s="6"/>
      <c r="AM3967" s="6"/>
    </row>
    <row r="3968">
      <c r="A3968" s="6"/>
      <c r="B3968" s="6"/>
      <c r="C3968" s="6"/>
      <c r="D3968" s="6"/>
      <c r="E3968" s="6"/>
      <c r="F3968" s="6"/>
      <c r="G3968" s="6"/>
      <c r="H3968" s="6"/>
      <c r="I3968" s="6"/>
      <c r="J3968" s="6"/>
      <c r="K3968" s="6"/>
      <c r="L3968" s="6"/>
      <c r="M3968" s="6"/>
      <c r="N3968" s="6"/>
      <c r="O3968" s="6"/>
      <c r="P3968" s="6"/>
      <c r="Q3968" s="6"/>
      <c r="R3968" s="6"/>
      <c r="S3968" s="6"/>
      <c r="T3968" s="6"/>
      <c r="U3968" s="6"/>
      <c r="V3968" s="6"/>
      <c r="W3968" s="6"/>
      <c r="X3968" s="6"/>
      <c r="Y3968" s="6"/>
      <c r="Z3968" s="6"/>
      <c r="AA3968" s="6"/>
      <c r="AB3968" s="6"/>
      <c r="AC3968" s="6"/>
      <c r="AD3968" s="6"/>
      <c r="AE3968" s="6"/>
      <c r="AF3968" s="6"/>
      <c r="AG3968" s="6"/>
      <c r="AH3968" s="6"/>
      <c r="AI3968" s="6"/>
      <c r="AJ3968" s="6"/>
      <c r="AK3968" s="6"/>
      <c r="AL3968" s="6"/>
      <c r="AM3968" s="6"/>
    </row>
    <row r="3969">
      <c r="A3969" s="6"/>
      <c r="B3969" s="6"/>
      <c r="C3969" s="6"/>
      <c r="D3969" s="6"/>
      <c r="E3969" s="6"/>
      <c r="F3969" s="6"/>
      <c r="G3969" s="6"/>
      <c r="H3969" s="6"/>
      <c r="I3969" s="6"/>
      <c r="J3969" s="6"/>
      <c r="K3969" s="6"/>
      <c r="L3969" s="6"/>
      <c r="M3969" s="6"/>
      <c r="N3969" s="6"/>
      <c r="O3969" s="6"/>
      <c r="P3969" s="6"/>
      <c r="Q3969" s="6"/>
      <c r="R3969" s="6"/>
      <c r="S3969" s="6"/>
      <c r="T3969" s="6"/>
      <c r="U3969" s="6"/>
      <c r="V3969" s="6"/>
      <c r="W3969" s="6"/>
      <c r="X3969" s="6"/>
      <c r="Y3969" s="6"/>
      <c r="Z3969" s="6"/>
      <c r="AA3969" s="6"/>
      <c r="AB3969" s="6"/>
      <c r="AC3969" s="6"/>
      <c r="AD3969" s="6"/>
      <c r="AE3969" s="6"/>
      <c r="AF3969" s="6"/>
      <c r="AG3969" s="6"/>
      <c r="AH3969" s="6"/>
      <c r="AI3969" s="6"/>
      <c r="AJ3969" s="6"/>
      <c r="AK3969" s="6"/>
      <c r="AL3969" s="6"/>
      <c r="AM3969" s="6"/>
    </row>
    <row r="3970">
      <c r="A3970" s="6"/>
      <c r="B3970" s="6"/>
      <c r="C3970" s="6"/>
      <c r="D3970" s="6"/>
      <c r="E3970" s="6"/>
      <c r="F3970" s="6"/>
      <c r="G3970" s="6"/>
      <c r="H3970" s="6"/>
      <c r="I3970" s="6"/>
      <c r="J3970" s="6"/>
      <c r="K3970" s="6"/>
      <c r="L3970" s="6"/>
      <c r="M3970" s="6"/>
      <c r="N3970" s="6"/>
      <c r="O3970" s="6"/>
      <c r="P3970" s="6"/>
      <c r="Q3970" s="6"/>
      <c r="R3970" s="6"/>
      <c r="S3970" s="6"/>
      <c r="T3970" s="6"/>
      <c r="U3970" s="6"/>
      <c r="V3970" s="6"/>
      <c r="W3970" s="6"/>
      <c r="X3970" s="6"/>
      <c r="Y3970" s="6"/>
      <c r="Z3970" s="6"/>
      <c r="AA3970" s="6"/>
      <c r="AB3970" s="6"/>
      <c r="AC3970" s="6"/>
      <c r="AD3970" s="6"/>
      <c r="AE3970" s="6"/>
      <c r="AF3970" s="6"/>
      <c r="AG3970" s="6"/>
      <c r="AH3970" s="6"/>
      <c r="AI3970" s="6"/>
      <c r="AJ3970" s="6"/>
      <c r="AK3970" s="6"/>
      <c r="AL3970" s="6"/>
      <c r="AM3970" s="6"/>
    </row>
    <row r="3971">
      <c r="A3971" s="6"/>
      <c r="B3971" s="6"/>
      <c r="C3971" s="6"/>
      <c r="D3971" s="6"/>
      <c r="E3971" s="6"/>
      <c r="F3971" s="6"/>
      <c r="G3971" s="6"/>
      <c r="H3971" s="6"/>
      <c r="I3971" s="6"/>
      <c r="J3971" s="6"/>
      <c r="K3971" s="6"/>
      <c r="L3971" s="6"/>
      <c r="M3971" s="6"/>
      <c r="N3971" s="6"/>
      <c r="O3971" s="6"/>
      <c r="P3971" s="6"/>
      <c r="Q3971" s="6"/>
      <c r="R3971" s="6"/>
      <c r="S3971" s="6"/>
      <c r="T3971" s="6"/>
      <c r="U3971" s="6"/>
      <c r="V3971" s="6"/>
      <c r="W3971" s="6"/>
      <c r="X3971" s="6"/>
      <c r="Y3971" s="6"/>
      <c r="Z3971" s="6"/>
      <c r="AA3971" s="6"/>
      <c r="AB3971" s="6"/>
      <c r="AC3971" s="6"/>
      <c r="AD3971" s="6"/>
      <c r="AE3971" s="6"/>
      <c r="AF3971" s="6"/>
      <c r="AG3971" s="6"/>
      <c r="AH3971" s="6"/>
      <c r="AI3971" s="6"/>
      <c r="AJ3971" s="6"/>
      <c r="AK3971" s="6"/>
      <c r="AL3971" s="6"/>
      <c r="AM3971" s="6"/>
    </row>
    <row r="3972">
      <c r="A3972" s="6"/>
      <c r="B3972" s="6"/>
      <c r="C3972" s="6"/>
      <c r="D3972" s="6"/>
      <c r="E3972" s="6"/>
      <c r="F3972" s="6"/>
      <c r="G3972" s="6"/>
      <c r="H3972" s="6"/>
      <c r="I3972" s="6"/>
      <c r="J3972" s="6"/>
      <c r="K3972" s="6"/>
      <c r="L3972" s="6"/>
      <c r="M3972" s="6"/>
      <c r="N3972" s="6"/>
      <c r="O3972" s="6"/>
      <c r="P3972" s="6"/>
      <c r="Q3972" s="6"/>
      <c r="R3972" s="6"/>
      <c r="S3972" s="6"/>
      <c r="T3972" s="6"/>
      <c r="U3972" s="6"/>
      <c r="V3972" s="6"/>
      <c r="W3972" s="6"/>
      <c r="X3972" s="6"/>
      <c r="Y3972" s="6"/>
      <c r="Z3972" s="6"/>
      <c r="AA3972" s="6"/>
      <c r="AB3972" s="6"/>
      <c r="AC3972" s="6"/>
      <c r="AD3972" s="6"/>
      <c r="AE3972" s="6"/>
      <c r="AF3972" s="6"/>
      <c r="AG3972" s="6"/>
      <c r="AH3972" s="6"/>
      <c r="AI3972" s="6"/>
      <c r="AJ3972" s="6"/>
      <c r="AK3972" s="6"/>
      <c r="AL3972" s="6"/>
      <c r="AM3972" s="6"/>
    </row>
    <row r="3973">
      <c r="A3973" s="6"/>
      <c r="B3973" s="6"/>
      <c r="C3973" s="6"/>
      <c r="D3973" s="6"/>
      <c r="E3973" s="6"/>
      <c r="F3973" s="6"/>
      <c r="G3973" s="6"/>
      <c r="H3973" s="6"/>
      <c r="I3973" s="6"/>
      <c r="J3973" s="6"/>
      <c r="K3973" s="6"/>
      <c r="L3973" s="6"/>
      <c r="M3973" s="6"/>
      <c r="N3973" s="6"/>
      <c r="O3973" s="6"/>
      <c r="P3973" s="6"/>
      <c r="Q3973" s="6"/>
      <c r="R3973" s="6"/>
      <c r="S3973" s="6"/>
      <c r="T3973" s="6"/>
      <c r="U3973" s="6"/>
      <c r="V3973" s="6"/>
      <c r="W3973" s="6"/>
      <c r="X3973" s="6"/>
      <c r="Y3973" s="6"/>
      <c r="Z3973" s="6"/>
      <c r="AA3973" s="6"/>
      <c r="AB3973" s="6"/>
      <c r="AC3973" s="6"/>
      <c r="AD3973" s="6"/>
      <c r="AE3973" s="6"/>
      <c r="AF3973" s="6"/>
      <c r="AG3973" s="6"/>
      <c r="AH3973" s="6"/>
      <c r="AI3973" s="6"/>
      <c r="AJ3973" s="6"/>
      <c r="AK3973" s="6"/>
      <c r="AL3973" s="6"/>
      <c r="AM3973" s="6"/>
    </row>
    <row r="3974">
      <c r="A3974" s="6"/>
      <c r="B3974" s="6"/>
      <c r="C3974" s="6"/>
      <c r="D3974" s="6"/>
      <c r="E3974" s="6"/>
      <c r="F3974" s="6"/>
      <c r="G3974" s="6"/>
      <c r="H3974" s="6"/>
      <c r="I3974" s="6"/>
      <c r="J3974" s="6"/>
      <c r="K3974" s="6"/>
      <c r="L3974" s="6"/>
      <c r="M3974" s="6"/>
      <c r="N3974" s="6"/>
      <c r="O3974" s="6"/>
      <c r="P3974" s="6"/>
      <c r="Q3974" s="6"/>
      <c r="R3974" s="6"/>
      <c r="S3974" s="6"/>
      <c r="T3974" s="6"/>
      <c r="U3974" s="6"/>
      <c r="V3974" s="6"/>
      <c r="W3974" s="6"/>
      <c r="X3974" s="6"/>
      <c r="Y3974" s="6"/>
      <c r="Z3974" s="6"/>
      <c r="AA3974" s="6"/>
      <c r="AB3974" s="6"/>
      <c r="AC3974" s="6"/>
      <c r="AD3974" s="6"/>
      <c r="AE3974" s="6"/>
      <c r="AF3974" s="6"/>
      <c r="AG3974" s="6"/>
      <c r="AH3974" s="6"/>
      <c r="AI3974" s="6"/>
      <c r="AJ3974" s="6"/>
      <c r="AK3974" s="6"/>
      <c r="AL3974" s="6"/>
      <c r="AM3974" s="6"/>
    </row>
    <row r="3975">
      <c r="A3975" s="6"/>
      <c r="B3975" s="6"/>
      <c r="C3975" s="6"/>
      <c r="D3975" s="6"/>
      <c r="E3975" s="6"/>
      <c r="F3975" s="6"/>
      <c r="G3975" s="6"/>
      <c r="H3975" s="6"/>
      <c r="I3975" s="6"/>
      <c r="J3975" s="6"/>
      <c r="K3975" s="6"/>
      <c r="L3975" s="6"/>
      <c r="M3975" s="6"/>
      <c r="N3975" s="6"/>
      <c r="O3975" s="6"/>
      <c r="P3975" s="6"/>
      <c r="Q3975" s="6"/>
      <c r="R3975" s="6"/>
      <c r="S3975" s="6"/>
      <c r="T3975" s="6"/>
      <c r="U3975" s="6"/>
      <c r="V3975" s="6"/>
      <c r="W3975" s="6"/>
      <c r="X3975" s="6"/>
      <c r="Y3975" s="6"/>
      <c r="Z3975" s="6"/>
      <c r="AA3975" s="6"/>
      <c r="AB3975" s="6"/>
      <c r="AC3975" s="6"/>
      <c r="AD3975" s="6"/>
      <c r="AE3975" s="6"/>
      <c r="AF3975" s="6"/>
      <c r="AG3975" s="6"/>
      <c r="AH3975" s="6"/>
      <c r="AI3975" s="6"/>
      <c r="AJ3975" s="6"/>
      <c r="AK3975" s="6"/>
      <c r="AL3975" s="6"/>
      <c r="AM3975" s="6"/>
    </row>
    <row r="3976">
      <c r="A3976" s="6"/>
      <c r="B3976" s="6"/>
      <c r="C3976" s="6"/>
      <c r="D3976" s="6"/>
      <c r="E3976" s="6"/>
      <c r="F3976" s="6"/>
      <c r="G3976" s="6"/>
      <c r="H3976" s="6"/>
      <c r="I3976" s="6"/>
      <c r="J3976" s="6"/>
      <c r="K3976" s="6"/>
      <c r="L3976" s="6"/>
      <c r="M3976" s="6"/>
      <c r="N3976" s="6"/>
      <c r="O3976" s="6"/>
      <c r="P3976" s="6"/>
      <c r="Q3976" s="6"/>
      <c r="R3976" s="6"/>
      <c r="S3976" s="6"/>
      <c r="T3976" s="6"/>
      <c r="U3976" s="6"/>
      <c r="V3976" s="6"/>
      <c r="W3976" s="6"/>
      <c r="X3976" s="6"/>
      <c r="Y3976" s="6"/>
      <c r="Z3976" s="6"/>
      <c r="AA3976" s="6"/>
      <c r="AB3976" s="6"/>
      <c r="AC3976" s="6"/>
      <c r="AD3976" s="6"/>
      <c r="AE3976" s="6"/>
      <c r="AF3976" s="6"/>
      <c r="AG3976" s="6"/>
      <c r="AH3976" s="6"/>
      <c r="AI3976" s="6"/>
      <c r="AJ3976" s="6"/>
      <c r="AK3976" s="6"/>
      <c r="AL3976" s="6"/>
      <c r="AM3976" s="6"/>
    </row>
    <row r="3977">
      <c r="A3977" s="6"/>
      <c r="B3977" s="6"/>
      <c r="C3977" s="6"/>
      <c r="D3977" s="6"/>
      <c r="E3977" s="6"/>
      <c r="F3977" s="6"/>
      <c r="G3977" s="6"/>
      <c r="H3977" s="6"/>
      <c r="I3977" s="6"/>
      <c r="J3977" s="6"/>
      <c r="K3977" s="6"/>
      <c r="L3977" s="6"/>
      <c r="M3977" s="6"/>
      <c r="N3977" s="6"/>
      <c r="O3977" s="6"/>
      <c r="P3977" s="6"/>
      <c r="Q3977" s="6"/>
      <c r="R3977" s="6"/>
      <c r="S3977" s="6"/>
      <c r="T3977" s="6"/>
      <c r="U3977" s="6"/>
      <c r="V3977" s="6"/>
      <c r="W3977" s="6"/>
      <c r="X3977" s="6"/>
      <c r="Y3977" s="6"/>
      <c r="Z3977" s="6"/>
      <c r="AA3977" s="6"/>
      <c r="AB3977" s="6"/>
      <c r="AC3977" s="6"/>
      <c r="AD3977" s="6"/>
      <c r="AE3977" s="6"/>
      <c r="AF3977" s="6"/>
      <c r="AG3977" s="6"/>
      <c r="AH3977" s="6"/>
      <c r="AI3977" s="6"/>
      <c r="AJ3977" s="6"/>
      <c r="AK3977" s="6"/>
      <c r="AL3977" s="6"/>
      <c r="AM3977" s="6"/>
    </row>
    <row r="3978">
      <c r="A3978" s="6"/>
      <c r="B3978" s="6"/>
      <c r="C3978" s="6"/>
      <c r="D3978" s="6"/>
      <c r="E3978" s="6"/>
      <c r="F3978" s="6"/>
      <c r="G3978" s="6"/>
      <c r="H3978" s="6"/>
      <c r="I3978" s="6"/>
      <c r="J3978" s="6"/>
      <c r="K3978" s="6"/>
      <c r="L3978" s="6"/>
      <c r="M3978" s="6"/>
      <c r="N3978" s="6"/>
      <c r="O3978" s="6"/>
      <c r="P3978" s="6"/>
      <c r="Q3978" s="6"/>
      <c r="R3978" s="6"/>
      <c r="S3978" s="6"/>
      <c r="T3978" s="6"/>
      <c r="U3978" s="6"/>
      <c r="V3978" s="6"/>
      <c r="W3978" s="6"/>
      <c r="X3978" s="6"/>
      <c r="Y3978" s="6"/>
      <c r="Z3978" s="6"/>
      <c r="AA3978" s="6"/>
      <c r="AB3978" s="6"/>
      <c r="AC3978" s="6"/>
      <c r="AD3978" s="6"/>
      <c r="AE3978" s="6"/>
      <c r="AF3978" s="6"/>
      <c r="AG3978" s="6"/>
      <c r="AH3978" s="6"/>
      <c r="AI3978" s="6"/>
      <c r="AJ3978" s="6"/>
      <c r="AK3978" s="6"/>
      <c r="AL3978" s="6"/>
      <c r="AM3978" s="6"/>
    </row>
    <row r="3979">
      <c r="A3979" s="6"/>
      <c r="B3979" s="6"/>
      <c r="C3979" s="6"/>
      <c r="D3979" s="6"/>
      <c r="E3979" s="6"/>
      <c r="F3979" s="6"/>
      <c r="G3979" s="6"/>
      <c r="H3979" s="6"/>
      <c r="I3979" s="6"/>
      <c r="J3979" s="6"/>
      <c r="K3979" s="6"/>
      <c r="L3979" s="6"/>
      <c r="M3979" s="6"/>
      <c r="N3979" s="6"/>
      <c r="O3979" s="6"/>
      <c r="P3979" s="6"/>
      <c r="Q3979" s="6"/>
      <c r="R3979" s="6"/>
      <c r="S3979" s="6"/>
      <c r="T3979" s="6"/>
      <c r="U3979" s="6"/>
      <c r="V3979" s="6"/>
      <c r="W3979" s="6"/>
      <c r="X3979" s="6"/>
      <c r="Y3979" s="6"/>
      <c r="Z3979" s="6"/>
      <c r="AA3979" s="6"/>
      <c r="AB3979" s="6"/>
      <c r="AC3979" s="6"/>
      <c r="AD3979" s="6"/>
      <c r="AE3979" s="6"/>
      <c r="AF3979" s="6"/>
      <c r="AG3979" s="6"/>
      <c r="AH3979" s="6"/>
      <c r="AI3979" s="6"/>
      <c r="AJ3979" s="6"/>
      <c r="AK3979" s="6"/>
      <c r="AL3979" s="6"/>
      <c r="AM3979" s="6"/>
    </row>
    <row r="3980">
      <c r="A3980" s="6"/>
      <c r="B3980" s="6"/>
      <c r="C3980" s="6"/>
      <c r="D3980" s="6"/>
      <c r="E3980" s="6"/>
      <c r="F3980" s="6"/>
      <c r="G3980" s="6"/>
      <c r="H3980" s="6"/>
      <c r="I3980" s="6"/>
      <c r="J3980" s="6"/>
      <c r="K3980" s="6"/>
      <c r="L3980" s="6"/>
      <c r="M3980" s="6"/>
      <c r="N3980" s="6"/>
      <c r="O3980" s="6"/>
      <c r="P3980" s="6"/>
      <c r="Q3980" s="6"/>
      <c r="R3980" s="6"/>
      <c r="S3980" s="6"/>
      <c r="T3980" s="6"/>
      <c r="U3980" s="6"/>
      <c r="V3980" s="6"/>
      <c r="W3980" s="6"/>
      <c r="X3980" s="6"/>
      <c r="Y3980" s="6"/>
      <c r="Z3980" s="6"/>
      <c r="AA3980" s="6"/>
      <c r="AB3980" s="6"/>
      <c r="AC3980" s="6"/>
      <c r="AD3980" s="6"/>
      <c r="AE3980" s="6"/>
      <c r="AF3980" s="6"/>
      <c r="AG3980" s="6"/>
      <c r="AH3980" s="6"/>
      <c r="AI3980" s="6"/>
      <c r="AJ3980" s="6"/>
      <c r="AK3980" s="6"/>
      <c r="AL3980" s="6"/>
      <c r="AM3980" s="6"/>
    </row>
    <row r="3981">
      <c r="A3981" s="6"/>
      <c r="B3981" s="6"/>
      <c r="C3981" s="6"/>
      <c r="D3981" s="6"/>
      <c r="E3981" s="6"/>
      <c r="F3981" s="6"/>
      <c r="G3981" s="6"/>
      <c r="H3981" s="6"/>
      <c r="I3981" s="6"/>
      <c r="J3981" s="6"/>
      <c r="K3981" s="6"/>
      <c r="L3981" s="6"/>
      <c r="M3981" s="6"/>
      <c r="N3981" s="6"/>
      <c r="O3981" s="6"/>
      <c r="P3981" s="6"/>
      <c r="Q3981" s="6"/>
      <c r="R3981" s="6"/>
      <c r="S3981" s="6"/>
      <c r="T3981" s="6"/>
      <c r="U3981" s="6"/>
      <c r="V3981" s="6"/>
      <c r="W3981" s="6"/>
      <c r="X3981" s="6"/>
      <c r="Y3981" s="6"/>
      <c r="Z3981" s="6"/>
      <c r="AA3981" s="6"/>
      <c r="AB3981" s="6"/>
      <c r="AC3981" s="6"/>
      <c r="AD3981" s="6"/>
      <c r="AE3981" s="6"/>
      <c r="AF3981" s="6"/>
      <c r="AG3981" s="6"/>
      <c r="AH3981" s="6"/>
      <c r="AI3981" s="6"/>
      <c r="AJ3981" s="6"/>
      <c r="AK3981" s="6"/>
      <c r="AL3981" s="6"/>
      <c r="AM3981" s="6"/>
    </row>
    <row r="3982">
      <c r="A3982" s="6"/>
      <c r="B3982" s="6"/>
      <c r="C3982" s="6"/>
      <c r="D3982" s="6"/>
      <c r="E3982" s="6"/>
      <c r="F3982" s="6"/>
      <c r="G3982" s="6"/>
      <c r="H3982" s="6"/>
      <c r="I3982" s="6"/>
      <c r="J3982" s="6"/>
      <c r="K3982" s="6"/>
      <c r="L3982" s="6"/>
      <c r="M3982" s="6"/>
      <c r="N3982" s="6"/>
      <c r="O3982" s="6"/>
      <c r="P3982" s="6"/>
      <c r="Q3982" s="6"/>
      <c r="R3982" s="6"/>
      <c r="S3982" s="6"/>
      <c r="T3982" s="6"/>
      <c r="U3982" s="6"/>
      <c r="V3982" s="6"/>
      <c r="W3982" s="6"/>
      <c r="X3982" s="6"/>
      <c r="Y3982" s="6"/>
      <c r="Z3982" s="6"/>
      <c r="AA3982" s="6"/>
      <c r="AB3982" s="6"/>
      <c r="AC3982" s="6"/>
      <c r="AD3982" s="6"/>
      <c r="AE3982" s="6"/>
      <c r="AF3982" s="6"/>
      <c r="AG3982" s="6"/>
      <c r="AH3982" s="6"/>
      <c r="AI3982" s="6"/>
      <c r="AJ3982" s="6"/>
      <c r="AK3982" s="6"/>
      <c r="AL3982" s="6"/>
      <c r="AM3982" s="6"/>
    </row>
    <row r="3983">
      <c r="A3983" s="6"/>
      <c r="B3983" s="6"/>
      <c r="C3983" s="6"/>
      <c r="D3983" s="6"/>
      <c r="E3983" s="6"/>
      <c r="F3983" s="6"/>
      <c r="G3983" s="6"/>
      <c r="H3983" s="6"/>
      <c r="I3983" s="6"/>
      <c r="J3983" s="6"/>
      <c r="K3983" s="6"/>
      <c r="L3983" s="6"/>
      <c r="M3983" s="6"/>
      <c r="N3983" s="6"/>
      <c r="O3983" s="6"/>
      <c r="P3983" s="6"/>
      <c r="Q3983" s="6"/>
      <c r="R3983" s="6"/>
      <c r="S3983" s="6"/>
      <c r="T3983" s="6"/>
      <c r="U3983" s="6"/>
      <c r="V3983" s="6"/>
      <c r="W3983" s="6"/>
      <c r="X3983" s="6"/>
      <c r="Y3983" s="6"/>
      <c r="Z3983" s="6"/>
      <c r="AA3983" s="6"/>
      <c r="AB3983" s="6"/>
      <c r="AC3983" s="6"/>
      <c r="AD3983" s="6"/>
      <c r="AE3983" s="6"/>
      <c r="AF3983" s="6"/>
      <c r="AG3983" s="6"/>
      <c r="AH3983" s="6"/>
      <c r="AI3983" s="6"/>
      <c r="AJ3983" s="6"/>
      <c r="AK3983" s="6"/>
      <c r="AL3983" s="6"/>
      <c r="AM3983" s="6"/>
    </row>
    <row r="3984">
      <c r="A3984" s="6"/>
      <c r="B3984" s="6"/>
      <c r="C3984" s="6"/>
      <c r="D3984" s="6"/>
      <c r="E3984" s="6"/>
      <c r="F3984" s="6"/>
      <c r="G3984" s="6"/>
      <c r="H3984" s="6"/>
      <c r="I3984" s="6"/>
      <c r="J3984" s="6"/>
      <c r="K3984" s="6"/>
      <c r="L3984" s="6"/>
      <c r="M3984" s="6"/>
      <c r="N3984" s="6"/>
      <c r="O3984" s="6"/>
      <c r="P3984" s="6"/>
      <c r="Q3984" s="6"/>
      <c r="R3984" s="6"/>
      <c r="S3984" s="6"/>
      <c r="T3984" s="6"/>
      <c r="U3984" s="6"/>
      <c r="V3984" s="6"/>
      <c r="W3984" s="6"/>
      <c r="X3984" s="6"/>
      <c r="Y3984" s="6"/>
      <c r="Z3984" s="6"/>
      <c r="AA3984" s="6"/>
      <c r="AB3984" s="6"/>
      <c r="AC3984" s="6"/>
      <c r="AD3984" s="6"/>
      <c r="AE3984" s="6"/>
      <c r="AF3984" s="6"/>
      <c r="AG3984" s="6"/>
      <c r="AH3984" s="6"/>
      <c r="AI3984" s="6"/>
      <c r="AJ3984" s="6"/>
      <c r="AK3984" s="6"/>
      <c r="AL3984" s="6"/>
      <c r="AM3984" s="6"/>
    </row>
    <row r="3985">
      <c r="A3985" s="6"/>
      <c r="B3985" s="6"/>
      <c r="C3985" s="6"/>
      <c r="D3985" s="6"/>
      <c r="E3985" s="6"/>
      <c r="F3985" s="6"/>
      <c r="G3985" s="6"/>
      <c r="H3985" s="6"/>
      <c r="I3985" s="6"/>
      <c r="J3985" s="6"/>
      <c r="K3985" s="6"/>
      <c r="L3985" s="6"/>
      <c r="M3985" s="6"/>
      <c r="N3985" s="6"/>
      <c r="O3985" s="6"/>
      <c r="P3985" s="6"/>
      <c r="Q3985" s="6"/>
      <c r="R3985" s="6"/>
      <c r="S3985" s="6"/>
      <c r="T3985" s="6"/>
      <c r="U3985" s="6"/>
      <c r="V3985" s="6"/>
      <c r="W3985" s="6"/>
      <c r="X3985" s="6"/>
      <c r="Y3985" s="6"/>
      <c r="Z3985" s="6"/>
      <c r="AA3985" s="6"/>
      <c r="AB3985" s="6"/>
      <c r="AC3985" s="6"/>
      <c r="AD3985" s="6"/>
      <c r="AE3985" s="6"/>
      <c r="AF3985" s="6"/>
      <c r="AG3985" s="6"/>
      <c r="AH3985" s="6"/>
      <c r="AI3985" s="6"/>
      <c r="AJ3985" s="6"/>
      <c r="AK3985" s="6"/>
      <c r="AL3985" s="6"/>
      <c r="AM3985" s="6"/>
    </row>
    <row r="3986">
      <c r="A3986" s="6"/>
      <c r="B3986" s="6"/>
      <c r="C3986" s="6"/>
      <c r="D3986" s="6"/>
      <c r="E3986" s="6"/>
      <c r="F3986" s="6"/>
      <c r="G3986" s="6"/>
      <c r="H3986" s="6"/>
      <c r="I3986" s="6"/>
      <c r="J3986" s="6"/>
      <c r="K3986" s="6"/>
      <c r="L3986" s="6"/>
      <c r="M3986" s="6"/>
      <c r="N3986" s="6"/>
      <c r="O3986" s="6"/>
      <c r="P3986" s="6"/>
      <c r="Q3986" s="6"/>
      <c r="R3986" s="6"/>
      <c r="S3986" s="6"/>
      <c r="T3986" s="6"/>
      <c r="U3986" s="6"/>
      <c r="V3986" s="6"/>
      <c r="W3986" s="6"/>
      <c r="X3986" s="6"/>
      <c r="Y3986" s="6"/>
      <c r="Z3986" s="6"/>
      <c r="AA3986" s="6"/>
      <c r="AB3986" s="6"/>
      <c r="AC3986" s="6"/>
      <c r="AD3986" s="6"/>
      <c r="AE3986" s="6"/>
      <c r="AF3986" s="6"/>
      <c r="AG3986" s="6"/>
      <c r="AH3986" s="6"/>
      <c r="AI3986" s="6"/>
      <c r="AJ3986" s="6"/>
      <c r="AK3986" s="6"/>
      <c r="AL3986" s="6"/>
      <c r="AM3986" s="6"/>
    </row>
    <row r="3987">
      <c r="A3987" s="6"/>
      <c r="B3987" s="6"/>
      <c r="C3987" s="6"/>
      <c r="D3987" s="6"/>
      <c r="E3987" s="6"/>
      <c r="F3987" s="6"/>
      <c r="G3987" s="6"/>
      <c r="H3987" s="6"/>
      <c r="I3987" s="6"/>
      <c r="J3987" s="6"/>
      <c r="K3987" s="6"/>
      <c r="L3987" s="6"/>
      <c r="M3987" s="6"/>
      <c r="N3987" s="6"/>
      <c r="O3987" s="6"/>
      <c r="P3987" s="6"/>
      <c r="Q3987" s="6"/>
      <c r="R3987" s="6"/>
      <c r="S3987" s="6"/>
      <c r="T3987" s="6"/>
      <c r="U3987" s="6"/>
      <c r="V3987" s="6"/>
      <c r="W3987" s="6"/>
      <c r="X3987" s="6"/>
      <c r="Y3987" s="6"/>
      <c r="Z3987" s="6"/>
      <c r="AA3987" s="6"/>
      <c r="AB3987" s="6"/>
      <c r="AC3987" s="6"/>
      <c r="AD3987" s="6"/>
      <c r="AE3987" s="6"/>
      <c r="AF3987" s="6"/>
      <c r="AG3987" s="6"/>
      <c r="AH3987" s="6"/>
      <c r="AI3987" s="6"/>
      <c r="AJ3987" s="6"/>
      <c r="AK3987" s="6"/>
      <c r="AL3987" s="6"/>
      <c r="AM3987" s="6"/>
    </row>
    <row r="3988">
      <c r="A3988" s="6"/>
      <c r="B3988" s="6"/>
      <c r="C3988" s="6"/>
      <c r="D3988" s="6"/>
      <c r="E3988" s="6"/>
      <c r="F3988" s="6"/>
      <c r="G3988" s="6"/>
      <c r="H3988" s="6"/>
      <c r="I3988" s="6"/>
      <c r="J3988" s="6"/>
      <c r="K3988" s="6"/>
      <c r="L3988" s="6"/>
      <c r="M3988" s="6"/>
      <c r="N3988" s="6"/>
      <c r="O3988" s="6"/>
      <c r="P3988" s="6"/>
      <c r="Q3988" s="6"/>
      <c r="R3988" s="6"/>
      <c r="S3988" s="6"/>
      <c r="T3988" s="6"/>
      <c r="U3988" s="6"/>
      <c r="V3988" s="6"/>
      <c r="W3988" s="6"/>
      <c r="X3988" s="6"/>
      <c r="Y3988" s="6"/>
      <c r="Z3988" s="6"/>
      <c r="AA3988" s="6"/>
      <c r="AB3988" s="6"/>
      <c r="AC3988" s="6"/>
      <c r="AD3988" s="6"/>
      <c r="AE3988" s="6"/>
      <c r="AF3988" s="6"/>
      <c r="AG3988" s="6"/>
      <c r="AH3988" s="6"/>
      <c r="AI3988" s="6"/>
      <c r="AJ3988" s="6"/>
      <c r="AK3988" s="6"/>
      <c r="AL3988" s="6"/>
      <c r="AM3988" s="6"/>
    </row>
    <row r="3989">
      <c r="A3989" s="6"/>
      <c r="B3989" s="6"/>
      <c r="C3989" s="6"/>
      <c r="D3989" s="6"/>
      <c r="E3989" s="6"/>
      <c r="F3989" s="6"/>
      <c r="G3989" s="6"/>
      <c r="H3989" s="6"/>
      <c r="I3989" s="6"/>
      <c r="J3989" s="6"/>
      <c r="K3989" s="6"/>
      <c r="L3989" s="6"/>
      <c r="M3989" s="6"/>
      <c r="N3989" s="6"/>
      <c r="O3989" s="6"/>
      <c r="P3989" s="6"/>
      <c r="Q3989" s="6"/>
      <c r="R3989" s="6"/>
      <c r="S3989" s="6"/>
      <c r="T3989" s="6"/>
      <c r="U3989" s="6"/>
      <c r="V3989" s="6"/>
      <c r="W3989" s="6"/>
      <c r="X3989" s="6"/>
      <c r="Y3989" s="6"/>
      <c r="Z3989" s="6"/>
      <c r="AA3989" s="6"/>
      <c r="AB3989" s="6"/>
      <c r="AC3989" s="6"/>
      <c r="AD3989" s="6"/>
      <c r="AE3989" s="6"/>
      <c r="AF3989" s="6"/>
      <c r="AG3989" s="6"/>
      <c r="AH3989" s="6"/>
      <c r="AI3989" s="6"/>
      <c r="AJ3989" s="6"/>
      <c r="AK3989" s="6"/>
      <c r="AL3989" s="6"/>
      <c r="AM3989" s="6"/>
    </row>
    <row r="3990">
      <c r="A3990" s="6"/>
      <c r="B3990" s="6"/>
      <c r="C3990" s="6"/>
      <c r="D3990" s="6"/>
      <c r="E3990" s="6"/>
      <c r="F3990" s="6"/>
      <c r="G3990" s="6"/>
      <c r="H3990" s="6"/>
      <c r="I3990" s="6"/>
      <c r="J3990" s="6"/>
      <c r="K3990" s="6"/>
      <c r="L3990" s="6"/>
      <c r="M3990" s="6"/>
      <c r="N3990" s="6"/>
      <c r="O3990" s="6"/>
      <c r="P3990" s="6"/>
      <c r="Q3990" s="6"/>
      <c r="R3990" s="6"/>
      <c r="S3990" s="6"/>
      <c r="T3990" s="6"/>
      <c r="U3990" s="6"/>
      <c r="V3990" s="6"/>
      <c r="W3990" s="6"/>
      <c r="X3990" s="6"/>
      <c r="Y3990" s="6"/>
      <c r="Z3990" s="6"/>
      <c r="AA3990" s="6"/>
      <c r="AB3990" s="6"/>
      <c r="AC3990" s="6"/>
      <c r="AD3990" s="6"/>
      <c r="AE3990" s="6"/>
      <c r="AF3990" s="6"/>
      <c r="AG3990" s="6"/>
      <c r="AH3990" s="6"/>
      <c r="AI3990" s="6"/>
      <c r="AJ3990" s="6"/>
      <c r="AK3990" s="6"/>
      <c r="AL3990" s="6"/>
      <c r="AM3990" s="6"/>
    </row>
    <row r="3991">
      <c r="A3991" s="6"/>
      <c r="B3991" s="6"/>
      <c r="C3991" s="6"/>
      <c r="D3991" s="6"/>
      <c r="E3991" s="6"/>
      <c r="F3991" s="6"/>
      <c r="G3991" s="6"/>
      <c r="H3991" s="6"/>
      <c r="I3991" s="6"/>
      <c r="J3991" s="6"/>
      <c r="K3991" s="6"/>
      <c r="L3991" s="6"/>
      <c r="M3991" s="6"/>
      <c r="N3991" s="6"/>
      <c r="O3991" s="6"/>
      <c r="P3991" s="6"/>
      <c r="Q3991" s="6"/>
      <c r="R3991" s="6"/>
      <c r="S3991" s="6"/>
      <c r="T3991" s="6"/>
      <c r="U3991" s="6"/>
      <c r="V3991" s="6"/>
      <c r="W3991" s="6"/>
      <c r="X3991" s="6"/>
      <c r="Y3991" s="6"/>
      <c r="Z3991" s="6"/>
      <c r="AA3991" s="6"/>
      <c r="AB3991" s="6"/>
      <c r="AC3991" s="6"/>
      <c r="AD3991" s="6"/>
      <c r="AE3991" s="6"/>
      <c r="AF3991" s="6"/>
      <c r="AG3991" s="6"/>
      <c r="AH3991" s="6"/>
      <c r="AI3991" s="6"/>
      <c r="AJ3991" s="6"/>
      <c r="AK3991" s="6"/>
      <c r="AL3991" s="6"/>
      <c r="AM3991" s="6"/>
    </row>
    <row r="3992">
      <c r="A3992" s="6"/>
      <c r="B3992" s="6"/>
      <c r="C3992" s="6"/>
      <c r="D3992" s="6"/>
      <c r="E3992" s="6"/>
      <c r="F3992" s="6"/>
      <c r="G3992" s="6"/>
      <c r="H3992" s="6"/>
      <c r="I3992" s="6"/>
      <c r="J3992" s="6"/>
      <c r="K3992" s="6"/>
      <c r="L3992" s="6"/>
      <c r="M3992" s="6"/>
      <c r="N3992" s="6"/>
      <c r="O3992" s="6"/>
      <c r="P3992" s="6"/>
      <c r="Q3992" s="6"/>
      <c r="R3992" s="6"/>
      <c r="S3992" s="6"/>
      <c r="T3992" s="6"/>
      <c r="U3992" s="6"/>
      <c r="V3992" s="6"/>
      <c r="W3992" s="6"/>
      <c r="X3992" s="6"/>
      <c r="Y3992" s="6"/>
      <c r="Z3992" s="6"/>
      <c r="AA3992" s="6"/>
      <c r="AB3992" s="6"/>
      <c r="AC3992" s="6"/>
      <c r="AD3992" s="6"/>
      <c r="AE3992" s="6"/>
      <c r="AF3992" s="6"/>
      <c r="AG3992" s="6"/>
      <c r="AH3992" s="6"/>
      <c r="AI3992" s="6"/>
      <c r="AJ3992" s="6"/>
      <c r="AK3992" s="6"/>
      <c r="AL3992" s="6"/>
      <c r="AM3992" s="6"/>
    </row>
    <row r="3993">
      <c r="A3993" s="6"/>
      <c r="B3993" s="6"/>
      <c r="C3993" s="6"/>
      <c r="D3993" s="6"/>
      <c r="E3993" s="6"/>
      <c r="F3993" s="6"/>
      <c r="G3993" s="6"/>
      <c r="H3993" s="6"/>
      <c r="I3993" s="6"/>
      <c r="J3993" s="6"/>
      <c r="K3993" s="6"/>
      <c r="L3993" s="6"/>
      <c r="M3993" s="6"/>
      <c r="N3993" s="6"/>
      <c r="O3993" s="6"/>
      <c r="P3993" s="6"/>
      <c r="Q3993" s="6"/>
      <c r="R3993" s="6"/>
      <c r="S3993" s="6"/>
      <c r="T3993" s="6"/>
      <c r="U3993" s="6"/>
      <c r="V3993" s="6"/>
      <c r="W3993" s="6"/>
      <c r="X3993" s="6"/>
      <c r="Y3993" s="6"/>
      <c r="Z3993" s="6"/>
      <c r="AA3993" s="6"/>
      <c r="AB3993" s="6"/>
      <c r="AC3993" s="6"/>
      <c r="AD3993" s="6"/>
      <c r="AE3993" s="6"/>
      <c r="AF3993" s="6"/>
      <c r="AG3993" s="6"/>
      <c r="AH3993" s="6"/>
      <c r="AI3993" s="6"/>
      <c r="AJ3993" s="6"/>
      <c r="AK3993" s="6"/>
      <c r="AL3993" s="6"/>
      <c r="AM3993" s="6"/>
    </row>
    <row r="3994">
      <c r="A3994" s="6"/>
      <c r="B3994" s="6"/>
      <c r="C3994" s="6"/>
      <c r="D3994" s="6"/>
      <c r="E3994" s="6"/>
      <c r="F3994" s="6"/>
      <c r="G3994" s="6"/>
      <c r="H3994" s="6"/>
      <c r="I3994" s="6"/>
      <c r="J3994" s="6"/>
      <c r="K3994" s="6"/>
      <c r="L3994" s="6"/>
      <c r="M3994" s="6"/>
      <c r="N3994" s="6"/>
      <c r="O3994" s="6"/>
      <c r="P3994" s="6"/>
      <c r="Q3994" s="6"/>
      <c r="R3994" s="6"/>
      <c r="S3994" s="6"/>
      <c r="T3994" s="6"/>
      <c r="U3994" s="6"/>
      <c r="V3994" s="6"/>
      <c r="W3994" s="6"/>
      <c r="X3994" s="6"/>
      <c r="Y3994" s="6"/>
      <c r="Z3994" s="6"/>
      <c r="AA3994" s="6"/>
      <c r="AB3994" s="6"/>
      <c r="AC3994" s="6"/>
      <c r="AD3994" s="6"/>
      <c r="AE3994" s="6"/>
      <c r="AF3994" s="6"/>
      <c r="AG3994" s="6"/>
      <c r="AH3994" s="6"/>
      <c r="AI3994" s="6"/>
      <c r="AJ3994" s="6"/>
      <c r="AK3994" s="6"/>
      <c r="AL3994" s="6"/>
      <c r="AM3994" s="6"/>
    </row>
    <row r="3995">
      <c r="A3995" s="6"/>
      <c r="B3995" s="6"/>
      <c r="C3995" s="6"/>
      <c r="D3995" s="6"/>
      <c r="E3995" s="6"/>
      <c r="F3995" s="6"/>
      <c r="G3995" s="6"/>
      <c r="H3995" s="6"/>
      <c r="I3995" s="6"/>
      <c r="J3995" s="6"/>
      <c r="K3995" s="6"/>
      <c r="L3995" s="6"/>
      <c r="M3995" s="6"/>
      <c r="N3995" s="6"/>
      <c r="O3995" s="6"/>
      <c r="P3995" s="6"/>
      <c r="Q3995" s="6"/>
      <c r="R3995" s="6"/>
      <c r="S3995" s="6"/>
      <c r="T3995" s="6"/>
      <c r="U3995" s="6"/>
      <c r="V3995" s="6"/>
      <c r="W3995" s="6"/>
      <c r="X3995" s="6"/>
      <c r="Y3995" s="6"/>
      <c r="Z3995" s="6"/>
      <c r="AA3995" s="6"/>
      <c r="AB3995" s="6"/>
      <c r="AC3995" s="6"/>
      <c r="AD3995" s="6"/>
      <c r="AE3995" s="6"/>
      <c r="AF3995" s="6"/>
      <c r="AG3995" s="6"/>
      <c r="AH3995" s="6"/>
      <c r="AI3995" s="6"/>
      <c r="AJ3995" s="6"/>
      <c r="AK3995" s="6"/>
      <c r="AL3995" s="6"/>
      <c r="AM3995" s="6"/>
    </row>
    <row r="3996">
      <c r="A3996" s="6"/>
      <c r="B3996" s="6"/>
      <c r="C3996" s="6"/>
      <c r="D3996" s="6"/>
      <c r="E3996" s="6"/>
      <c r="F3996" s="6"/>
      <c r="G3996" s="6"/>
      <c r="H3996" s="6"/>
      <c r="I3996" s="6"/>
      <c r="J3996" s="6"/>
      <c r="K3996" s="6"/>
      <c r="L3996" s="6"/>
      <c r="M3996" s="6"/>
      <c r="N3996" s="6"/>
      <c r="O3996" s="6"/>
      <c r="P3996" s="6"/>
      <c r="Q3996" s="6"/>
      <c r="R3996" s="6"/>
      <c r="S3996" s="6"/>
      <c r="T3996" s="6"/>
      <c r="U3996" s="6"/>
      <c r="V3996" s="6"/>
      <c r="W3996" s="6"/>
      <c r="X3996" s="6"/>
      <c r="Y3996" s="6"/>
      <c r="Z3996" s="6"/>
      <c r="AA3996" s="6"/>
      <c r="AB3996" s="6"/>
      <c r="AC3996" s="6"/>
      <c r="AD3996" s="6"/>
      <c r="AE3996" s="6"/>
      <c r="AF3996" s="6"/>
      <c r="AG3996" s="6"/>
      <c r="AH3996" s="6"/>
      <c r="AI3996" s="6"/>
      <c r="AJ3996" s="6"/>
      <c r="AK3996" s="6"/>
      <c r="AL3996" s="6"/>
      <c r="AM3996" s="6"/>
    </row>
    <row r="3997">
      <c r="A3997" s="6"/>
      <c r="B3997" s="6"/>
      <c r="C3997" s="6"/>
      <c r="D3997" s="6"/>
      <c r="E3997" s="6"/>
      <c r="F3997" s="6"/>
      <c r="G3997" s="6"/>
      <c r="H3997" s="6"/>
      <c r="I3997" s="6"/>
      <c r="J3997" s="6"/>
      <c r="K3997" s="6"/>
      <c r="L3997" s="6"/>
      <c r="M3997" s="6"/>
      <c r="N3997" s="6"/>
      <c r="O3997" s="6"/>
      <c r="P3997" s="6"/>
      <c r="Q3997" s="6"/>
      <c r="R3997" s="6"/>
      <c r="S3997" s="6"/>
      <c r="T3997" s="6"/>
      <c r="U3997" s="6"/>
      <c r="V3997" s="6"/>
      <c r="W3997" s="6"/>
      <c r="X3997" s="6"/>
      <c r="Y3997" s="6"/>
      <c r="Z3997" s="6"/>
      <c r="AA3997" s="6"/>
      <c r="AB3997" s="6"/>
      <c r="AC3997" s="6"/>
      <c r="AD3997" s="6"/>
      <c r="AE3997" s="6"/>
      <c r="AF3997" s="6"/>
      <c r="AG3997" s="6"/>
      <c r="AH3997" s="6"/>
      <c r="AI3997" s="6"/>
      <c r="AJ3997" s="6"/>
      <c r="AK3997" s="6"/>
      <c r="AL3997" s="6"/>
      <c r="AM3997" s="6"/>
    </row>
    <row r="3998">
      <c r="A3998" s="6"/>
      <c r="B3998" s="6"/>
      <c r="C3998" s="6"/>
      <c r="D3998" s="6"/>
      <c r="E3998" s="6"/>
      <c r="F3998" s="6"/>
      <c r="G3998" s="6"/>
      <c r="H3998" s="6"/>
      <c r="I3998" s="6"/>
      <c r="J3998" s="6"/>
      <c r="K3998" s="6"/>
      <c r="L3998" s="6"/>
      <c r="M3998" s="6"/>
      <c r="N3998" s="6"/>
      <c r="O3998" s="6"/>
      <c r="P3998" s="6"/>
      <c r="Q3998" s="6"/>
      <c r="R3998" s="6"/>
      <c r="S3998" s="6"/>
      <c r="T3998" s="6"/>
      <c r="U3998" s="6"/>
      <c r="V3998" s="6"/>
      <c r="W3998" s="6"/>
      <c r="X3998" s="6"/>
      <c r="Y3998" s="6"/>
      <c r="Z3998" s="6"/>
      <c r="AA3998" s="6"/>
      <c r="AB3998" s="6"/>
      <c r="AC3998" s="6"/>
      <c r="AD3998" s="6"/>
      <c r="AE3998" s="6"/>
      <c r="AF3998" s="6"/>
      <c r="AG3998" s="6"/>
      <c r="AH3998" s="6"/>
      <c r="AI3998" s="6"/>
      <c r="AJ3998" s="6"/>
      <c r="AK3998" s="6"/>
      <c r="AL3998" s="6"/>
      <c r="AM3998" s="6"/>
    </row>
    <row r="3999">
      <c r="A3999" s="6"/>
      <c r="B3999" s="6"/>
      <c r="C3999" s="6"/>
      <c r="D3999" s="6"/>
      <c r="E3999" s="6"/>
      <c r="F3999" s="6"/>
      <c r="G3999" s="6"/>
      <c r="H3999" s="6"/>
      <c r="I3999" s="6"/>
      <c r="J3999" s="6"/>
      <c r="K3999" s="6"/>
      <c r="L3999" s="6"/>
      <c r="M3999" s="6"/>
      <c r="N3999" s="6"/>
      <c r="O3999" s="6"/>
      <c r="P3999" s="6"/>
      <c r="Q3999" s="6"/>
      <c r="R3999" s="6"/>
      <c r="S3999" s="6"/>
      <c r="T3999" s="6"/>
      <c r="U3999" s="6"/>
      <c r="V3999" s="6"/>
      <c r="W3999" s="6"/>
      <c r="X3999" s="6"/>
      <c r="Y3999" s="6"/>
      <c r="Z3999" s="6"/>
      <c r="AA3999" s="6"/>
      <c r="AB3999" s="6"/>
      <c r="AC3999" s="6"/>
      <c r="AD3999" s="6"/>
      <c r="AE3999" s="6"/>
      <c r="AF3999" s="6"/>
      <c r="AG3999" s="6"/>
      <c r="AH3999" s="6"/>
      <c r="AI3999" s="6"/>
      <c r="AJ3999" s="6"/>
      <c r="AK3999" s="6"/>
      <c r="AL3999" s="6"/>
      <c r="AM3999" s="6"/>
    </row>
    <row r="4000">
      <c r="A4000" s="6"/>
      <c r="B4000" s="6"/>
      <c r="C4000" s="6"/>
      <c r="D4000" s="6"/>
      <c r="E4000" s="6"/>
      <c r="F4000" s="6"/>
      <c r="G4000" s="6"/>
      <c r="H4000" s="6"/>
      <c r="I4000" s="6"/>
      <c r="J4000" s="6"/>
      <c r="K4000" s="6"/>
      <c r="L4000" s="6"/>
      <c r="M4000" s="6"/>
      <c r="N4000" s="6"/>
      <c r="O4000" s="6"/>
      <c r="P4000" s="6"/>
      <c r="Q4000" s="6"/>
      <c r="R4000" s="6"/>
      <c r="S4000" s="6"/>
      <c r="T4000" s="6"/>
      <c r="U4000" s="6"/>
      <c r="V4000" s="6"/>
      <c r="W4000" s="6"/>
      <c r="X4000" s="6"/>
      <c r="Y4000" s="6"/>
      <c r="Z4000" s="6"/>
      <c r="AA4000" s="6"/>
      <c r="AB4000" s="6"/>
      <c r="AC4000" s="6"/>
      <c r="AD4000" s="6"/>
      <c r="AE4000" s="6"/>
      <c r="AF4000" s="6"/>
      <c r="AG4000" s="6"/>
      <c r="AH4000" s="6"/>
      <c r="AI4000" s="6"/>
      <c r="AJ4000" s="6"/>
      <c r="AK4000" s="6"/>
      <c r="AL4000" s="6"/>
      <c r="AM4000" s="6"/>
    </row>
    <row r="4001">
      <c r="A4001" s="6"/>
      <c r="B4001" s="6"/>
      <c r="C4001" s="6"/>
      <c r="D4001" s="6"/>
      <c r="E4001" s="6"/>
      <c r="F4001" s="6"/>
      <c r="G4001" s="6"/>
      <c r="H4001" s="6"/>
      <c r="I4001" s="6"/>
      <c r="J4001" s="6"/>
      <c r="K4001" s="6"/>
      <c r="L4001" s="6"/>
      <c r="M4001" s="6"/>
      <c r="N4001" s="6"/>
      <c r="O4001" s="6"/>
      <c r="P4001" s="6"/>
      <c r="Q4001" s="6"/>
      <c r="R4001" s="6"/>
      <c r="S4001" s="6"/>
      <c r="T4001" s="6"/>
      <c r="U4001" s="6"/>
      <c r="V4001" s="6"/>
      <c r="W4001" s="6"/>
      <c r="X4001" s="6"/>
      <c r="Y4001" s="6"/>
      <c r="Z4001" s="6"/>
      <c r="AA4001" s="6"/>
      <c r="AB4001" s="6"/>
      <c r="AC4001" s="6"/>
      <c r="AD4001" s="6"/>
      <c r="AE4001" s="6"/>
      <c r="AF4001" s="6"/>
      <c r="AG4001" s="6"/>
      <c r="AH4001" s="6"/>
      <c r="AI4001" s="6"/>
      <c r="AJ4001" s="6"/>
      <c r="AK4001" s="6"/>
      <c r="AL4001" s="6"/>
      <c r="AM4001" s="6"/>
    </row>
    <row r="4002">
      <c r="A4002" s="6"/>
      <c r="B4002" s="6"/>
      <c r="C4002" s="6"/>
      <c r="D4002" s="6"/>
      <c r="E4002" s="6"/>
      <c r="F4002" s="6"/>
      <c r="G4002" s="6"/>
      <c r="H4002" s="6"/>
      <c r="I4002" s="6"/>
      <c r="J4002" s="6"/>
      <c r="K4002" s="6"/>
      <c r="L4002" s="6"/>
      <c r="M4002" s="6"/>
      <c r="N4002" s="6"/>
      <c r="O4002" s="6"/>
      <c r="P4002" s="6"/>
      <c r="Q4002" s="6"/>
      <c r="R4002" s="6"/>
      <c r="S4002" s="6"/>
      <c r="T4002" s="6"/>
      <c r="U4002" s="6"/>
      <c r="V4002" s="6"/>
      <c r="W4002" s="6"/>
      <c r="X4002" s="6"/>
      <c r="Y4002" s="6"/>
      <c r="Z4002" s="6"/>
      <c r="AA4002" s="6"/>
      <c r="AB4002" s="6"/>
      <c r="AC4002" s="6"/>
      <c r="AD4002" s="6"/>
      <c r="AE4002" s="6"/>
      <c r="AF4002" s="6"/>
      <c r="AG4002" s="6"/>
      <c r="AH4002" s="6"/>
      <c r="AI4002" s="6"/>
      <c r="AJ4002" s="6"/>
      <c r="AK4002" s="6"/>
      <c r="AL4002" s="6"/>
      <c r="AM4002" s="6"/>
    </row>
    <row r="4003">
      <c r="A4003" s="6"/>
      <c r="B4003" s="6"/>
      <c r="C4003" s="6"/>
      <c r="D4003" s="6"/>
      <c r="E4003" s="6"/>
      <c r="F4003" s="6"/>
      <c r="G4003" s="6"/>
      <c r="H4003" s="6"/>
      <c r="I4003" s="6"/>
      <c r="J4003" s="6"/>
      <c r="K4003" s="6"/>
      <c r="L4003" s="6"/>
      <c r="M4003" s="6"/>
      <c r="N4003" s="6"/>
      <c r="O4003" s="6"/>
      <c r="P4003" s="6"/>
      <c r="Q4003" s="6"/>
      <c r="R4003" s="6"/>
      <c r="S4003" s="6"/>
      <c r="T4003" s="6"/>
      <c r="U4003" s="6"/>
      <c r="V4003" s="6"/>
      <c r="W4003" s="6"/>
      <c r="X4003" s="6"/>
      <c r="Y4003" s="6"/>
      <c r="Z4003" s="6"/>
      <c r="AA4003" s="6"/>
      <c r="AB4003" s="6"/>
      <c r="AC4003" s="6"/>
      <c r="AD4003" s="6"/>
      <c r="AE4003" s="6"/>
      <c r="AF4003" s="6"/>
      <c r="AG4003" s="6"/>
      <c r="AH4003" s="6"/>
      <c r="AI4003" s="6"/>
      <c r="AJ4003" s="6"/>
      <c r="AK4003" s="6"/>
      <c r="AL4003" s="6"/>
      <c r="AM4003" s="6"/>
    </row>
    <row r="4004">
      <c r="A4004" s="6"/>
      <c r="B4004" s="6"/>
      <c r="C4004" s="6"/>
      <c r="D4004" s="6"/>
      <c r="E4004" s="6"/>
      <c r="F4004" s="6"/>
      <c r="G4004" s="6"/>
      <c r="H4004" s="6"/>
      <c r="I4004" s="6"/>
      <c r="J4004" s="6"/>
      <c r="K4004" s="6"/>
      <c r="L4004" s="6"/>
      <c r="M4004" s="6"/>
      <c r="N4004" s="6"/>
      <c r="O4004" s="6"/>
      <c r="P4004" s="6"/>
      <c r="Q4004" s="6"/>
      <c r="R4004" s="6"/>
      <c r="S4004" s="6"/>
      <c r="T4004" s="6"/>
      <c r="U4004" s="6"/>
      <c r="V4004" s="6"/>
      <c r="W4004" s="6"/>
      <c r="X4004" s="6"/>
      <c r="Y4004" s="6"/>
      <c r="Z4004" s="6"/>
      <c r="AA4004" s="6"/>
      <c r="AB4004" s="6"/>
      <c r="AC4004" s="6"/>
      <c r="AD4004" s="6"/>
      <c r="AE4004" s="6"/>
      <c r="AF4004" s="6"/>
      <c r="AG4004" s="6"/>
      <c r="AH4004" s="6"/>
      <c r="AI4004" s="6"/>
      <c r="AJ4004" s="6"/>
      <c r="AK4004" s="6"/>
      <c r="AL4004" s="6"/>
      <c r="AM4004" s="6"/>
    </row>
    <row r="4005">
      <c r="A4005" s="6"/>
      <c r="B4005" s="6"/>
      <c r="C4005" s="6"/>
      <c r="D4005" s="6"/>
      <c r="E4005" s="6"/>
      <c r="F4005" s="6"/>
      <c r="G4005" s="6"/>
      <c r="H4005" s="6"/>
      <c r="I4005" s="6"/>
      <c r="J4005" s="6"/>
      <c r="K4005" s="6"/>
      <c r="L4005" s="6"/>
      <c r="M4005" s="6"/>
      <c r="N4005" s="6"/>
      <c r="O4005" s="6"/>
      <c r="P4005" s="6"/>
      <c r="Q4005" s="6"/>
      <c r="R4005" s="6"/>
      <c r="S4005" s="6"/>
      <c r="T4005" s="6"/>
      <c r="U4005" s="6"/>
      <c r="V4005" s="6"/>
      <c r="W4005" s="6"/>
      <c r="X4005" s="6"/>
      <c r="Y4005" s="6"/>
      <c r="Z4005" s="6"/>
      <c r="AA4005" s="6"/>
      <c r="AB4005" s="6"/>
      <c r="AC4005" s="6"/>
      <c r="AD4005" s="6"/>
      <c r="AE4005" s="6"/>
      <c r="AF4005" s="6"/>
      <c r="AG4005" s="6"/>
      <c r="AH4005" s="6"/>
      <c r="AI4005" s="6"/>
      <c r="AJ4005" s="6"/>
      <c r="AK4005" s="6"/>
      <c r="AL4005" s="6"/>
      <c r="AM4005" s="6"/>
    </row>
    <row r="4006">
      <c r="A4006" s="6"/>
      <c r="B4006" s="6"/>
      <c r="C4006" s="6"/>
      <c r="D4006" s="6"/>
      <c r="E4006" s="6"/>
      <c r="F4006" s="6"/>
      <c r="G4006" s="6"/>
      <c r="H4006" s="6"/>
      <c r="I4006" s="6"/>
      <c r="J4006" s="6"/>
      <c r="K4006" s="6"/>
      <c r="L4006" s="6"/>
      <c r="M4006" s="6"/>
      <c r="N4006" s="6"/>
      <c r="O4006" s="6"/>
      <c r="P4006" s="6"/>
      <c r="Q4006" s="6"/>
      <c r="R4006" s="6"/>
      <c r="S4006" s="6"/>
      <c r="T4006" s="6"/>
      <c r="U4006" s="6"/>
      <c r="V4006" s="6"/>
      <c r="W4006" s="6"/>
      <c r="X4006" s="6"/>
      <c r="Y4006" s="6"/>
      <c r="Z4006" s="6"/>
      <c r="AA4006" s="6"/>
      <c r="AB4006" s="6"/>
      <c r="AC4006" s="6"/>
      <c r="AD4006" s="6"/>
      <c r="AE4006" s="6"/>
      <c r="AF4006" s="6"/>
      <c r="AG4006" s="6"/>
      <c r="AH4006" s="6"/>
      <c r="AI4006" s="6"/>
      <c r="AJ4006" s="6"/>
      <c r="AK4006" s="6"/>
      <c r="AL4006" s="6"/>
      <c r="AM4006" s="6"/>
    </row>
    <row r="4007">
      <c r="A4007" s="6"/>
      <c r="B4007" s="6"/>
      <c r="C4007" s="6"/>
      <c r="D4007" s="6"/>
      <c r="E4007" s="6"/>
      <c r="F4007" s="6"/>
      <c r="G4007" s="6"/>
      <c r="H4007" s="6"/>
      <c r="I4007" s="6"/>
      <c r="J4007" s="6"/>
      <c r="K4007" s="6"/>
      <c r="L4007" s="6"/>
      <c r="M4007" s="6"/>
      <c r="N4007" s="6"/>
      <c r="O4007" s="6"/>
      <c r="P4007" s="6"/>
      <c r="Q4007" s="6"/>
      <c r="R4007" s="6"/>
      <c r="S4007" s="6"/>
      <c r="T4007" s="6"/>
      <c r="U4007" s="6"/>
      <c r="V4007" s="6"/>
      <c r="W4007" s="6"/>
      <c r="X4007" s="6"/>
      <c r="Y4007" s="6"/>
      <c r="Z4007" s="6"/>
      <c r="AA4007" s="6"/>
      <c r="AB4007" s="6"/>
      <c r="AC4007" s="6"/>
      <c r="AD4007" s="6"/>
      <c r="AE4007" s="6"/>
      <c r="AF4007" s="6"/>
      <c r="AG4007" s="6"/>
      <c r="AH4007" s="6"/>
      <c r="AI4007" s="6"/>
      <c r="AJ4007" s="6"/>
      <c r="AK4007" s="6"/>
      <c r="AL4007" s="6"/>
      <c r="AM4007" s="6"/>
    </row>
    <row r="4008">
      <c r="A4008" s="6"/>
      <c r="B4008" s="6"/>
      <c r="C4008" s="6"/>
      <c r="D4008" s="6"/>
      <c r="E4008" s="6"/>
      <c r="F4008" s="6"/>
      <c r="G4008" s="6"/>
      <c r="H4008" s="6"/>
      <c r="I4008" s="6"/>
      <c r="J4008" s="6"/>
      <c r="K4008" s="6"/>
      <c r="L4008" s="6"/>
      <c r="M4008" s="6"/>
      <c r="N4008" s="6"/>
      <c r="O4008" s="6"/>
      <c r="P4008" s="6"/>
      <c r="Q4008" s="6"/>
      <c r="R4008" s="6"/>
      <c r="S4008" s="6"/>
      <c r="T4008" s="6"/>
      <c r="U4008" s="6"/>
      <c r="V4008" s="6"/>
      <c r="W4008" s="6"/>
      <c r="X4008" s="6"/>
      <c r="Y4008" s="6"/>
      <c r="Z4008" s="6"/>
      <c r="AA4008" s="6"/>
      <c r="AB4008" s="6"/>
      <c r="AC4008" s="6"/>
      <c r="AD4008" s="6"/>
      <c r="AE4008" s="6"/>
      <c r="AF4008" s="6"/>
      <c r="AG4008" s="6"/>
      <c r="AH4008" s="6"/>
      <c r="AI4008" s="6"/>
      <c r="AJ4008" s="6"/>
      <c r="AK4008" s="6"/>
      <c r="AL4008" s="6"/>
      <c r="AM4008" s="6"/>
    </row>
    <row r="4009">
      <c r="A4009" s="6"/>
      <c r="B4009" s="6"/>
      <c r="C4009" s="6"/>
      <c r="D4009" s="6"/>
      <c r="E4009" s="6"/>
      <c r="F4009" s="6"/>
      <c r="G4009" s="6"/>
      <c r="H4009" s="6"/>
      <c r="I4009" s="6"/>
      <c r="J4009" s="6"/>
      <c r="K4009" s="6"/>
      <c r="L4009" s="6"/>
      <c r="M4009" s="6"/>
      <c r="N4009" s="6"/>
      <c r="O4009" s="6"/>
      <c r="P4009" s="6"/>
      <c r="Q4009" s="6"/>
      <c r="R4009" s="6"/>
      <c r="S4009" s="6"/>
      <c r="T4009" s="6"/>
      <c r="U4009" s="6"/>
      <c r="V4009" s="6"/>
      <c r="W4009" s="6"/>
      <c r="X4009" s="6"/>
      <c r="Y4009" s="6"/>
      <c r="Z4009" s="6"/>
      <c r="AA4009" s="6"/>
      <c r="AB4009" s="6"/>
      <c r="AC4009" s="6"/>
      <c r="AD4009" s="6"/>
      <c r="AE4009" s="6"/>
      <c r="AF4009" s="6"/>
      <c r="AG4009" s="6"/>
      <c r="AH4009" s="6"/>
      <c r="AI4009" s="6"/>
      <c r="AJ4009" s="6"/>
      <c r="AK4009" s="6"/>
      <c r="AL4009" s="6"/>
      <c r="AM4009" s="6"/>
    </row>
    <row r="4010">
      <c r="A4010" s="6"/>
      <c r="B4010" s="6"/>
      <c r="C4010" s="6"/>
      <c r="D4010" s="6"/>
      <c r="E4010" s="6"/>
      <c r="F4010" s="6"/>
      <c r="G4010" s="6"/>
      <c r="H4010" s="6"/>
      <c r="I4010" s="6"/>
      <c r="J4010" s="6"/>
      <c r="K4010" s="6"/>
      <c r="L4010" s="6"/>
      <c r="M4010" s="6"/>
      <c r="N4010" s="6"/>
      <c r="O4010" s="6"/>
      <c r="P4010" s="6"/>
      <c r="Q4010" s="6"/>
      <c r="R4010" s="6"/>
      <c r="S4010" s="6"/>
      <c r="T4010" s="6"/>
      <c r="U4010" s="6"/>
      <c r="V4010" s="6"/>
      <c r="W4010" s="6"/>
      <c r="X4010" s="6"/>
      <c r="Y4010" s="6"/>
      <c r="Z4010" s="6"/>
      <c r="AA4010" s="6"/>
      <c r="AB4010" s="6"/>
      <c r="AC4010" s="6"/>
      <c r="AD4010" s="6"/>
      <c r="AE4010" s="6"/>
      <c r="AF4010" s="6"/>
      <c r="AG4010" s="6"/>
      <c r="AH4010" s="6"/>
      <c r="AI4010" s="6"/>
      <c r="AJ4010" s="6"/>
      <c r="AK4010" s="6"/>
      <c r="AL4010" s="6"/>
      <c r="AM4010" s="6"/>
    </row>
    <row r="4011">
      <c r="A4011" s="6"/>
      <c r="B4011" s="6"/>
      <c r="C4011" s="6"/>
      <c r="D4011" s="6"/>
      <c r="E4011" s="6"/>
      <c r="F4011" s="6"/>
      <c r="G4011" s="6"/>
      <c r="H4011" s="6"/>
      <c r="I4011" s="6"/>
      <c r="J4011" s="6"/>
      <c r="K4011" s="6"/>
      <c r="L4011" s="6"/>
      <c r="M4011" s="6"/>
      <c r="N4011" s="6"/>
      <c r="O4011" s="6"/>
      <c r="P4011" s="6"/>
      <c r="Q4011" s="6"/>
      <c r="R4011" s="6"/>
      <c r="S4011" s="6"/>
      <c r="T4011" s="6"/>
      <c r="U4011" s="6"/>
      <c r="V4011" s="6"/>
      <c r="W4011" s="6"/>
      <c r="X4011" s="6"/>
      <c r="Y4011" s="6"/>
      <c r="Z4011" s="6"/>
      <c r="AA4011" s="6"/>
      <c r="AB4011" s="6"/>
      <c r="AC4011" s="6"/>
      <c r="AD4011" s="6"/>
      <c r="AE4011" s="6"/>
      <c r="AF4011" s="6"/>
      <c r="AG4011" s="6"/>
      <c r="AH4011" s="6"/>
      <c r="AI4011" s="6"/>
      <c r="AJ4011" s="6"/>
      <c r="AK4011" s="6"/>
      <c r="AL4011" s="6"/>
      <c r="AM4011" s="6"/>
    </row>
    <row r="4012">
      <c r="A4012" s="6"/>
      <c r="B4012" s="6"/>
      <c r="C4012" s="6"/>
      <c r="D4012" s="6"/>
      <c r="E4012" s="6"/>
      <c r="F4012" s="6"/>
      <c r="G4012" s="6"/>
      <c r="H4012" s="6"/>
      <c r="I4012" s="6"/>
      <c r="J4012" s="6"/>
      <c r="K4012" s="6"/>
      <c r="L4012" s="6"/>
      <c r="M4012" s="6"/>
      <c r="N4012" s="6"/>
      <c r="O4012" s="6"/>
      <c r="P4012" s="6"/>
      <c r="Q4012" s="6"/>
      <c r="R4012" s="6"/>
      <c r="S4012" s="6"/>
      <c r="T4012" s="6"/>
      <c r="U4012" s="6"/>
      <c r="V4012" s="6"/>
      <c r="W4012" s="6"/>
      <c r="X4012" s="6"/>
      <c r="Y4012" s="6"/>
      <c r="Z4012" s="6"/>
      <c r="AA4012" s="6"/>
      <c r="AB4012" s="6"/>
      <c r="AC4012" s="6"/>
      <c r="AD4012" s="6"/>
      <c r="AE4012" s="6"/>
      <c r="AF4012" s="6"/>
      <c r="AG4012" s="6"/>
      <c r="AH4012" s="6"/>
      <c r="AI4012" s="6"/>
      <c r="AJ4012" s="6"/>
      <c r="AK4012" s="6"/>
      <c r="AL4012" s="6"/>
      <c r="AM4012" s="6"/>
    </row>
    <row r="4013">
      <c r="A4013" s="6"/>
      <c r="B4013" s="6"/>
      <c r="C4013" s="6"/>
      <c r="D4013" s="6"/>
      <c r="E4013" s="6"/>
      <c r="F4013" s="6"/>
      <c r="G4013" s="6"/>
      <c r="H4013" s="6"/>
      <c r="I4013" s="6"/>
      <c r="J4013" s="6"/>
      <c r="K4013" s="6"/>
      <c r="L4013" s="6"/>
      <c r="M4013" s="6"/>
      <c r="N4013" s="6"/>
      <c r="O4013" s="6"/>
      <c r="P4013" s="6"/>
      <c r="Q4013" s="6"/>
      <c r="R4013" s="6"/>
      <c r="S4013" s="6"/>
      <c r="T4013" s="6"/>
      <c r="U4013" s="6"/>
      <c r="V4013" s="6"/>
      <c r="W4013" s="6"/>
      <c r="X4013" s="6"/>
      <c r="Y4013" s="6"/>
      <c r="Z4013" s="6"/>
      <c r="AA4013" s="6"/>
      <c r="AB4013" s="6"/>
      <c r="AC4013" s="6"/>
      <c r="AD4013" s="6"/>
      <c r="AE4013" s="6"/>
      <c r="AF4013" s="6"/>
      <c r="AG4013" s="6"/>
      <c r="AH4013" s="6"/>
      <c r="AI4013" s="6"/>
      <c r="AJ4013" s="6"/>
      <c r="AK4013" s="6"/>
      <c r="AL4013" s="6"/>
      <c r="AM4013" s="6"/>
    </row>
    <row r="4014">
      <c r="A4014" s="6"/>
      <c r="B4014" s="6"/>
      <c r="C4014" s="6"/>
      <c r="D4014" s="6"/>
      <c r="E4014" s="6"/>
      <c r="F4014" s="6"/>
      <c r="G4014" s="6"/>
      <c r="H4014" s="6"/>
      <c r="I4014" s="6"/>
      <c r="J4014" s="6"/>
      <c r="K4014" s="6"/>
      <c r="L4014" s="6"/>
      <c r="M4014" s="6"/>
      <c r="N4014" s="6"/>
      <c r="O4014" s="6"/>
      <c r="P4014" s="6"/>
      <c r="Q4014" s="6"/>
      <c r="R4014" s="6"/>
      <c r="S4014" s="6"/>
      <c r="T4014" s="6"/>
      <c r="U4014" s="6"/>
      <c r="V4014" s="6"/>
      <c r="W4014" s="6"/>
      <c r="X4014" s="6"/>
      <c r="Y4014" s="6"/>
      <c r="Z4014" s="6"/>
      <c r="AA4014" s="6"/>
      <c r="AB4014" s="6"/>
      <c r="AC4014" s="6"/>
      <c r="AD4014" s="6"/>
      <c r="AE4014" s="6"/>
      <c r="AF4014" s="6"/>
      <c r="AG4014" s="6"/>
      <c r="AH4014" s="6"/>
      <c r="AI4014" s="6"/>
      <c r="AJ4014" s="6"/>
      <c r="AK4014" s="6"/>
      <c r="AL4014" s="6"/>
      <c r="AM4014" s="6"/>
    </row>
    <row r="4015">
      <c r="A4015" s="6"/>
      <c r="B4015" s="6"/>
      <c r="C4015" s="6"/>
      <c r="D4015" s="6"/>
      <c r="E4015" s="6"/>
      <c r="F4015" s="6"/>
      <c r="G4015" s="6"/>
      <c r="H4015" s="6"/>
      <c r="I4015" s="6"/>
      <c r="J4015" s="6"/>
      <c r="K4015" s="6"/>
      <c r="L4015" s="6"/>
      <c r="M4015" s="6"/>
      <c r="N4015" s="6"/>
      <c r="O4015" s="6"/>
      <c r="P4015" s="6"/>
      <c r="Q4015" s="6"/>
      <c r="R4015" s="6"/>
      <c r="S4015" s="6"/>
      <c r="T4015" s="6"/>
      <c r="U4015" s="6"/>
      <c r="V4015" s="6"/>
      <c r="W4015" s="6"/>
      <c r="X4015" s="6"/>
      <c r="Y4015" s="6"/>
      <c r="Z4015" s="6"/>
      <c r="AA4015" s="6"/>
      <c r="AB4015" s="6"/>
      <c r="AC4015" s="6"/>
      <c r="AD4015" s="6"/>
      <c r="AE4015" s="6"/>
      <c r="AF4015" s="6"/>
      <c r="AG4015" s="6"/>
      <c r="AH4015" s="6"/>
      <c r="AI4015" s="6"/>
      <c r="AJ4015" s="6"/>
      <c r="AK4015" s="6"/>
      <c r="AL4015" s="6"/>
      <c r="AM4015" s="6"/>
    </row>
    <row r="4016">
      <c r="A4016" s="6"/>
      <c r="B4016" s="6"/>
      <c r="C4016" s="6"/>
      <c r="D4016" s="6"/>
      <c r="E4016" s="6"/>
      <c r="F4016" s="6"/>
      <c r="G4016" s="6"/>
      <c r="H4016" s="6"/>
      <c r="I4016" s="6"/>
      <c r="J4016" s="6"/>
      <c r="K4016" s="6"/>
      <c r="L4016" s="6"/>
      <c r="M4016" s="6"/>
      <c r="N4016" s="6"/>
      <c r="O4016" s="6"/>
      <c r="P4016" s="6"/>
      <c r="Q4016" s="6"/>
      <c r="R4016" s="6"/>
      <c r="S4016" s="6"/>
      <c r="T4016" s="6"/>
      <c r="U4016" s="6"/>
      <c r="V4016" s="6"/>
      <c r="W4016" s="6"/>
      <c r="X4016" s="6"/>
      <c r="Y4016" s="6"/>
      <c r="Z4016" s="6"/>
      <c r="AA4016" s="6"/>
      <c r="AB4016" s="6"/>
      <c r="AC4016" s="6"/>
      <c r="AD4016" s="6"/>
      <c r="AE4016" s="6"/>
      <c r="AF4016" s="6"/>
      <c r="AG4016" s="6"/>
      <c r="AH4016" s="6"/>
      <c r="AI4016" s="6"/>
      <c r="AJ4016" s="6"/>
      <c r="AK4016" s="6"/>
      <c r="AL4016" s="6"/>
      <c r="AM4016" s="6"/>
    </row>
    <row r="4017">
      <c r="A4017" s="6"/>
      <c r="B4017" s="6"/>
      <c r="C4017" s="6"/>
      <c r="D4017" s="6"/>
      <c r="E4017" s="6"/>
      <c r="F4017" s="6"/>
      <c r="G4017" s="6"/>
      <c r="H4017" s="6"/>
      <c r="I4017" s="6"/>
      <c r="J4017" s="6"/>
      <c r="K4017" s="6"/>
      <c r="L4017" s="6"/>
      <c r="M4017" s="6"/>
      <c r="N4017" s="6"/>
      <c r="O4017" s="6"/>
      <c r="P4017" s="6"/>
      <c r="Q4017" s="6"/>
      <c r="R4017" s="6"/>
      <c r="S4017" s="6"/>
      <c r="T4017" s="6"/>
      <c r="U4017" s="6"/>
      <c r="V4017" s="6"/>
      <c r="W4017" s="6"/>
      <c r="X4017" s="6"/>
      <c r="Y4017" s="6"/>
      <c r="Z4017" s="6"/>
      <c r="AA4017" s="6"/>
      <c r="AB4017" s="6"/>
      <c r="AC4017" s="6"/>
      <c r="AD4017" s="6"/>
      <c r="AE4017" s="6"/>
      <c r="AF4017" s="6"/>
      <c r="AG4017" s="6"/>
      <c r="AH4017" s="6"/>
      <c r="AI4017" s="6"/>
      <c r="AJ4017" s="6"/>
      <c r="AK4017" s="6"/>
      <c r="AL4017" s="6"/>
      <c r="AM4017" s="6"/>
    </row>
    <row r="4018">
      <c r="A4018" s="6"/>
      <c r="B4018" s="6"/>
      <c r="C4018" s="6"/>
      <c r="D4018" s="6"/>
      <c r="E4018" s="6"/>
      <c r="F4018" s="6"/>
      <c r="G4018" s="6"/>
      <c r="H4018" s="6"/>
      <c r="I4018" s="6"/>
      <c r="J4018" s="6"/>
      <c r="K4018" s="6"/>
      <c r="L4018" s="6"/>
      <c r="M4018" s="6"/>
      <c r="N4018" s="6"/>
      <c r="O4018" s="6"/>
      <c r="P4018" s="6"/>
      <c r="Q4018" s="6"/>
      <c r="R4018" s="6"/>
      <c r="S4018" s="6"/>
      <c r="T4018" s="6"/>
      <c r="U4018" s="6"/>
      <c r="V4018" s="6"/>
      <c r="W4018" s="6"/>
      <c r="X4018" s="6"/>
      <c r="Y4018" s="6"/>
      <c r="Z4018" s="6"/>
      <c r="AA4018" s="6"/>
      <c r="AB4018" s="6"/>
      <c r="AC4018" s="6"/>
      <c r="AD4018" s="6"/>
      <c r="AE4018" s="6"/>
      <c r="AF4018" s="6"/>
      <c r="AG4018" s="6"/>
      <c r="AH4018" s="6"/>
      <c r="AI4018" s="6"/>
      <c r="AJ4018" s="6"/>
      <c r="AK4018" s="6"/>
      <c r="AL4018" s="6"/>
      <c r="AM4018" s="6"/>
    </row>
    <row r="4019">
      <c r="A4019" s="6"/>
      <c r="B4019" s="6"/>
      <c r="C4019" s="6"/>
      <c r="D4019" s="6"/>
      <c r="E4019" s="6"/>
      <c r="F4019" s="6"/>
      <c r="G4019" s="6"/>
      <c r="H4019" s="6"/>
      <c r="I4019" s="6"/>
      <c r="J4019" s="6"/>
      <c r="K4019" s="6"/>
      <c r="L4019" s="6"/>
      <c r="M4019" s="6"/>
      <c r="N4019" s="6"/>
      <c r="O4019" s="6"/>
      <c r="P4019" s="6"/>
      <c r="Q4019" s="6"/>
      <c r="R4019" s="6"/>
      <c r="S4019" s="6"/>
      <c r="T4019" s="6"/>
      <c r="U4019" s="6"/>
      <c r="V4019" s="6"/>
      <c r="W4019" s="6"/>
      <c r="X4019" s="6"/>
      <c r="Y4019" s="6"/>
      <c r="Z4019" s="6"/>
      <c r="AA4019" s="6"/>
      <c r="AB4019" s="6"/>
      <c r="AC4019" s="6"/>
      <c r="AD4019" s="6"/>
      <c r="AE4019" s="6"/>
      <c r="AF4019" s="6"/>
      <c r="AG4019" s="6"/>
      <c r="AH4019" s="6"/>
      <c r="AI4019" s="6"/>
      <c r="AJ4019" s="6"/>
      <c r="AK4019" s="6"/>
      <c r="AL4019" s="6"/>
      <c r="AM4019" s="6"/>
    </row>
    <row r="4020">
      <c r="A4020" s="6"/>
      <c r="B4020" s="6"/>
      <c r="C4020" s="6"/>
      <c r="D4020" s="6"/>
      <c r="E4020" s="6"/>
      <c r="F4020" s="6"/>
      <c r="G4020" s="6"/>
      <c r="H4020" s="6"/>
      <c r="I4020" s="6"/>
      <c r="J4020" s="6"/>
      <c r="K4020" s="6"/>
      <c r="L4020" s="6"/>
      <c r="M4020" s="6"/>
      <c r="N4020" s="6"/>
      <c r="O4020" s="6"/>
      <c r="P4020" s="6"/>
      <c r="Q4020" s="6"/>
      <c r="R4020" s="6"/>
      <c r="S4020" s="6"/>
      <c r="T4020" s="6"/>
      <c r="U4020" s="6"/>
      <c r="V4020" s="6"/>
      <c r="W4020" s="6"/>
      <c r="X4020" s="6"/>
      <c r="Y4020" s="6"/>
      <c r="Z4020" s="6"/>
      <c r="AA4020" s="6"/>
      <c r="AB4020" s="6"/>
      <c r="AC4020" s="6"/>
      <c r="AD4020" s="6"/>
      <c r="AE4020" s="6"/>
      <c r="AF4020" s="6"/>
      <c r="AG4020" s="6"/>
      <c r="AH4020" s="6"/>
      <c r="AI4020" s="6"/>
      <c r="AJ4020" s="6"/>
      <c r="AK4020" s="6"/>
      <c r="AL4020" s="6"/>
      <c r="AM4020" s="6"/>
    </row>
    <row r="4021">
      <c r="A4021" s="6"/>
      <c r="B4021" s="6"/>
      <c r="C4021" s="6"/>
      <c r="D4021" s="6"/>
      <c r="E4021" s="6"/>
      <c r="F4021" s="6"/>
      <c r="G4021" s="6"/>
      <c r="H4021" s="6"/>
      <c r="I4021" s="6"/>
      <c r="J4021" s="6"/>
      <c r="K4021" s="6"/>
      <c r="L4021" s="6"/>
      <c r="M4021" s="6"/>
      <c r="N4021" s="6"/>
      <c r="O4021" s="6"/>
      <c r="P4021" s="6"/>
      <c r="Q4021" s="6"/>
      <c r="R4021" s="6"/>
      <c r="S4021" s="6"/>
      <c r="T4021" s="6"/>
      <c r="U4021" s="6"/>
      <c r="V4021" s="6"/>
      <c r="W4021" s="6"/>
      <c r="X4021" s="6"/>
      <c r="Y4021" s="6"/>
      <c r="Z4021" s="6"/>
      <c r="AA4021" s="6"/>
      <c r="AB4021" s="6"/>
      <c r="AC4021" s="6"/>
      <c r="AD4021" s="6"/>
      <c r="AE4021" s="6"/>
      <c r="AF4021" s="6"/>
      <c r="AG4021" s="6"/>
      <c r="AH4021" s="6"/>
      <c r="AI4021" s="6"/>
      <c r="AJ4021" s="6"/>
      <c r="AK4021" s="6"/>
      <c r="AL4021" s="6"/>
      <c r="AM4021" s="6"/>
    </row>
    <row r="4022">
      <c r="A4022" s="6"/>
      <c r="B4022" s="6"/>
      <c r="C4022" s="6"/>
      <c r="D4022" s="6"/>
      <c r="E4022" s="6"/>
      <c r="F4022" s="6"/>
      <c r="G4022" s="6"/>
      <c r="H4022" s="6"/>
      <c r="I4022" s="6"/>
      <c r="J4022" s="6"/>
      <c r="K4022" s="6"/>
      <c r="L4022" s="6"/>
      <c r="M4022" s="6"/>
      <c r="N4022" s="6"/>
      <c r="O4022" s="6"/>
      <c r="P4022" s="6"/>
      <c r="Q4022" s="6"/>
      <c r="R4022" s="6"/>
      <c r="S4022" s="6"/>
      <c r="T4022" s="6"/>
      <c r="U4022" s="6"/>
      <c r="V4022" s="6"/>
      <c r="W4022" s="6"/>
      <c r="X4022" s="6"/>
      <c r="Y4022" s="6"/>
      <c r="Z4022" s="6"/>
      <c r="AA4022" s="6"/>
      <c r="AB4022" s="6"/>
      <c r="AC4022" s="6"/>
      <c r="AD4022" s="6"/>
      <c r="AE4022" s="6"/>
      <c r="AF4022" s="6"/>
      <c r="AG4022" s="6"/>
      <c r="AH4022" s="6"/>
      <c r="AI4022" s="6"/>
      <c r="AJ4022" s="6"/>
      <c r="AK4022" s="6"/>
      <c r="AL4022" s="6"/>
      <c r="AM4022" s="6"/>
    </row>
    <row r="4023">
      <c r="A4023" s="6"/>
      <c r="B4023" s="6"/>
      <c r="C4023" s="6"/>
      <c r="D4023" s="6"/>
      <c r="E4023" s="6"/>
      <c r="F4023" s="6"/>
      <c r="G4023" s="6"/>
      <c r="H4023" s="6"/>
      <c r="I4023" s="6"/>
      <c r="J4023" s="6"/>
      <c r="K4023" s="6"/>
      <c r="L4023" s="6"/>
      <c r="M4023" s="6"/>
      <c r="N4023" s="6"/>
      <c r="O4023" s="6"/>
      <c r="P4023" s="6"/>
      <c r="Q4023" s="6"/>
      <c r="R4023" s="6"/>
      <c r="S4023" s="6"/>
      <c r="T4023" s="6"/>
      <c r="U4023" s="6"/>
      <c r="V4023" s="6"/>
      <c r="W4023" s="6"/>
      <c r="X4023" s="6"/>
      <c r="Y4023" s="6"/>
      <c r="Z4023" s="6"/>
      <c r="AA4023" s="6"/>
      <c r="AB4023" s="6"/>
      <c r="AC4023" s="6"/>
      <c r="AD4023" s="6"/>
      <c r="AE4023" s="6"/>
      <c r="AF4023" s="6"/>
      <c r="AG4023" s="6"/>
      <c r="AH4023" s="6"/>
      <c r="AI4023" s="6"/>
      <c r="AJ4023" s="6"/>
      <c r="AK4023" s="6"/>
      <c r="AL4023" s="6"/>
      <c r="AM4023" s="6"/>
    </row>
    <row r="4024">
      <c r="A4024" s="6"/>
      <c r="B4024" s="6"/>
      <c r="C4024" s="6"/>
      <c r="D4024" s="6"/>
      <c r="E4024" s="6"/>
      <c r="F4024" s="6"/>
      <c r="G4024" s="6"/>
      <c r="H4024" s="6"/>
      <c r="I4024" s="6"/>
      <c r="J4024" s="6"/>
      <c r="K4024" s="6"/>
      <c r="L4024" s="6"/>
      <c r="M4024" s="6"/>
      <c r="N4024" s="6"/>
      <c r="O4024" s="6"/>
      <c r="P4024" s="6"/>
      <c r="Q4024" s="6"/>
      <c r="R4024" s="6"/>
      <c r="S4024" s="6"/>
      <c r="T4024" s="6"/>
      <c r="U4024" s="6"/>
      <c r="V4024" s="6"/>
      <c r="W4024" s="6"/>
      <c r="X4024" s="6"/>
      <c r="Y4024" s="6"/>
      <c r="Z4024" s="6"/>
      <c r="AA4024" s="6"/>
      <c r="AB4024" s="6"/>
      <c r="AC4024" s="6"/>
      <c r="AD4024" s="6"/>
      <c r="AE4024" s="6"/>
      <c r="AF4024" s="6"/>
      <c r="AG4024" s="6"/>
      <c r="AH4024" s="6"/>
      <c r="AI4024" s="6"/>
      <c r="AJ4024" s="6"/>
      <c r="AK4024" s="6"/>
      <c r="AL4024" s="6"/>
      <c r="AM4024" s="6"/>
    </row>
    <row r="4025">
      <c r="A4025" s="6"/>
      <c r="B4025" s="6"/>
      <c r="C4025" s="6"/>
      <c r="D4025" s="6"/>
      <c r="E4025" s="6"/>
      <c r="F4025" s="6"/>
      <c r="G4025" s="6"/>
      <c r="H4025" s="6"/>
      <c r="I4025" s="6"/>
      <c r="J4025" s="6"/>
      <c r="K4025" s="6"/>
      <c r="L4025" s="6"/>
      <c r="M4025" s="6"/>
      <c r="N4025" s="6"/>
      <c r="O4025" s="6"/>
      <c r="P4025" s="6"/>
      <c r="Q4025" s="6"/>
      <c r="R4025" s="6"/>
      <c r="S4025" s="6"/>
      <c r="T4025" s="6"/>
      <c r="U4025" s="6"/>
      <c r="V4025" s="6"/>
      <c r="W4025" s="6"/>
      <c r="X4025" s="6"/>
      <c r="Y4025" s="6"/>
      <c r="Z4025" s="6"/>
      <c r="AA4025" s="6"/>
      <c r="AB4025" s="6"/>
      <c r="AC4025" s="6"/>
      <c r="AD4025" s="6"/>
      <c r="AE4025" s="6"/>
      <c r="AF4025" s="6"/>
      <c r="AG4025" s="6"/>
      <c r="AH4025" s="6"/>
      <c r="AI4025" s="6"/>
      <c r="AJ4025" s="6"/>
      <c r="AK4025" s="6"/>
      <c r="AL4025" s="6"/>
      <c r="AM4025" s="6"/>
    </row>
    <row r="4026">
      <c r="A4026" s="6"/>
      <c r="B4026" s="6"/>
      <c r="C4026" s="6"/>
      <c r="D4026" s="6"/>
      <c r="E4026" s="6"/>
      <c r="F4026" s="6"/>
      <c r="G4026" s="6"/>
      <c r="H4026" s="6"/>
      <c r="I4026" s="6"/>
      <c r="J4026" s="6"/>
      <c r="K4026" s="6"/>
      <c r="L4026" s="6"/>
      <c r="M4026" s="6"/>
      <c r="N4026" s="6"/>
      <c r="O4026" s="6"/>
      <c r="P4026" s="6"/>
      <c r="Q4026" s="6"/>
      <c r="R4026" s="6"/>
      <c r="S4026" s="6"/>
      <c r="T4026" s="6"/>
      <c r="U4026" s="6"/>
      <c r="V4026" s="6"/>
      <c r="W4026" s="6"/>
      <c r="X4026" s="6"/>
      <c r="Y4026" s="6"/>
      <c r="Z4026" s="6"/>
      <c r="AA4026" s="6"/>
      <c r="AB4026" s="6"/>
      <c r="AC4026" s="6"/>
      <c r="AD4026" s="6"/>
      <c r="AE4026" s="6"/>
      <c r="AF4026" s="6"/>
      <c r="AG4026" s="6"/>
      <c r="AH4026" s="6"/>
      <c r="AI4026" s="6"/>
      <c r="AJ4026" s="6"/>
      <c r="AK4026" s="6"/>
      <c r="AL4026" s="6"/>
      <c r="AM4026" s="6"/>
    </row>
    <row r="4027">
      <c r="A4027" s="6"/>
      <c r="B4027" s="6"/>
      <c r="C4027" s="6"/>
      <c r="D4027" s="6"/>
      <c r="E4027" s="6"/>
      <c r="F4027" s="6"/>
      <c r="G4027" s="6"/>
      <c r="H4027" s="6"/>
      <c r="I4027" s="6"/>
      <c r="J4027" s="6"/>
      <c r="K4027" s="6"/>
      <c r="L4027" s="6"/>
      <c r="M4027" s="6"/>
      <c r="N4027" s="6"/>
      <c r="O4027" s="6"/>
      <c r="P4027" s="6"/>
      <c r="Q4027" s="6"/>
      <c r="R4027" s="6"/>
      <c r="S4027" s="6"/>
      <c r="T4027" s="6"/>
      <c r="U4027" s="6"/>
      <c r="V4027" s="6"/>
      <c r="W4027" s="6"/>
      <c r="X4027" s="6"/>
      <c r="Y4027" s="6"/>
      <c r="Z4027" s="6"/>
      <c r="AA4027" s="6"/>
      <c r="AB4027" s="6"/>
      <c r="AC4027" s="6"/>
      <c r="AD4027" s="6"/>
      <c r="AE4027" s="6"/>
      <c r="AF4027" s="6"/>
      <c r="AG4027" s="6"/>
      <c r="AH4027" s="6"/>
      <c r="AI4027" s="6"/>
      <c r="AJ4027" s="6"/>
      <c r="AK4027" s="6"/>
      <c r="AL4027" s="6"/>
      <c r="AM4027" s="6"/>
    </row>
    <row r="4028">
      <c r="A4028" s="6"/>
      <c r="B4028" s="6"/>
      <c r="C4028" s="6"/>
      <c r="D4028" s="6"/>
      <c r="E4028" s="6"/>
      <c r="F4028" s="6"/>
      <c r="G4028" s="6"/>
      <c r="H4028" s="6"/>
      <c r="I4028" s="6"/>
      <c r="J4028" s="6"/>
      <c r="K4028" s="6"/>
      <c r="L4028" s="6"/>
      <c r="M4028" s="6"/>
      <c r="N4028" s="6"/>
      <c r="O4028" s="6"/>
      <c r="P4028" s="6"/>
      <c r="Q4028" s="6"/>
      <c r="R4028" s="6"/>
      <c r="S4028" s="6"/>
      <c r="T4028" s="6"/>
      <c r="U4028" s="6"/>
      <c r="V4028" s="6"/>
      <c r="W4028" s="6"/>
      <c r="X4028" s="6"/>
      <c r="Y4028" s="6"/>
      <c r="Z4028" s="6"/>
      <c r="AA4028" s="6"/>
      <c r="AB4028" s="6"/>
      <c r="AC4028" s="6"/>
      <c r="AD4028" s="6"/>
      <c r="AE4028" s="6"/>
      <c r="AF4028" s="6"/>
      <c r="AG4028" s="6"/>
      <c r="AH4028" s="6"/>
      <c r="AI4028" s="6"/>
      <c r="AJ4028" s="6"/>
      <c r="AK4028" s="6"/>
      <c r="AL4028" s="6"/>
      <c r="AM4028" s="6"/>
    </row>
    <row r="4029">
      <c r="A4029" s="6"/>
      <c r="B4029" s="6"/>
      <c r="C4029" s="6"/>
      <c r="D4029" s="6"/>
      <c r="E4029" s="6"/>
      <c r="F4029" s="6"/>
      <c r="G4029" s="6"/>
      <c r="H4029" s="6"/>
      <c r="I4029" s="6"/>
      <c r="J4029" s="6"/>
      <c r="K4029" s="6"/>
      <c r="L4029" s="6"/>
      <c r="M4029" s="6"/>
      <c r="N4029" s="6"/>
      <c r="O4029" s="6"/>
      <c r="P4029" s="6"/>
      <c r="Q4029" s="6"/>
      <c r="R4029" s="6"/>
      <c r="S4029" s="6"/>
      <c r="T4029" s="6"/>
      <c r="U4029" s="6"/>
      <c r="V4029" s="6"/>
      <c r="W4029" s="6"/>
      <c r="X4029" s="6"/>
      <c r="Y4029" s="6"/>
      <c r="Z4029" s="6"/>
      <c r="AA4029" s="6"/>
      <c r="AB4029" s="6"/>
      <c r="AC4029" s="6"/>
      <c r="AD4029" s="6"/>
      <c r="AE4029" s="6"/>
      <c r="AF4029" s="6"/>
      <c r="AG4029" s="6"/>
      <c r="AH4029" s="6"/>
      <c r="AI4029" s="6"/>
      <c r="AJ4029" s="6"/>
      <c r="AK4029" s="6"/>
      <c r="AL4029" s="6"/>
      <c r="AM4029" s="6"/>
    </row>
    <row r="4030">
      <c r="A4030" s="6"/>
      <c r="B4030" s="6"/>
      <c r="C4030" s="6"/>
      <c r="D4030" s="6"/>
      <c r="E4030" s="6"/>
      <c r="F4030" s="6"/>
      <c r="G4030" s="6"/>
      <c r="H4030" s="6"/>
      <c r="I4030" s="6"/>
      <c r="J4030" s="6"/>
      <c r="K4030" s="6"/>
      <c r="L4030" s="6"/>
      <c r="M4030" s="6"/>
      <c r="N4030" s="6"/>
      <c r="O4030" s="6"/>
      <c r="P4030" s="6"/>
      <c r="Q4030" s="6"/>
      <c r="R4030" s="6"/>
      <c r="S4030" s="6"/>
      <c r="T4030" s="6"/>
      <c r="U4030" s="6"/>
      <c r="V4030" s="6"/>
      <c r="W4030" s="6"/>
      <c r="X4030" s="6"/>
      <c r="Y4030" s="6"/>
      <c r="Z4030" s="6"/>
      <c r="AA4030" s="6"/>
      <c r="AB4030" s="6"/>
      <c r="AC4030" s="6"/>
      <c r="AD4030" s="6"/>
      <c r="AE4030" s="6"/>
      <c r="AF4030" s="6"/>
      <c r="AG4030" s="6"/>
      <c r="AH4030" s="6"/>
      <c r="AI4030" s="6"/>
      <c r="AJ4030" s="6"/>
      <c r="AK4030" s="6"/>
      <c r="AL4030" s="6"/>
      <c r="AM4030" s="6"/>
    </row>
    <row r="4031">
      <c r="A4031" s="6"/>
      <c r="B4031" s="6"/>
      <c r="C4031" s="6"/>
      <c r="D4031" s="6"/>
      <c r="E4031" s="6"/>
      <c r="F4031" s="6"/>
      <c r="G4031" s="6"/>
      <c r="H4031" s="6"/>
      <c r="I4031" s="6"/>
      <c r="J4031" s="6"/>
      <c r="K4031" s="6"/>
      <c r="L4031" s="6"/>
      <c r="M4031" s="6"/>
      <c r="N4031" s="6"/>
      <c r="O4031" s="6"/>
      <c r="P4031" s="6"/>
      <c r="Q4031" s="6"/>
      <c r="R4031" s="6"/>
      <c r="S4031" s="6"/>
      <c r="T4031" s="6"/>
      <c r="U4031" s="6"/>
      <c r="V4031" s="6"/>
      <c r="W4031" s="6"/>
      <c r="X4031" s="6"/>
      <c r="Y4031" s="6"/>
      <c r="Z4031" s="6"/>
      <c r="AA4031" s="6"/>
      <c r="AB4031" s="6"/>
      <c r="AC4031" s="6"/>
      <c r="AD4031" s="6"/>
      <c r="AE4031" s="6"/>
      <c r="AF4031" s="6"/>
      <c r="AG4031" s="6"/>
      <c r="AH4031" s="6"/>
      <c r="AI4031" s="6"/>
      <c r="AJ4031" s="6"/>
      <c r="AK4031" s="6"/>
      <c r="AL4031" s="6"/>
      <c r="AM4031" s="6"/>
    </row>
    <row r="4032">
      <c r="A4032" s="6"/>
      <c r="B4032" s="6"/>
      <c r="C4032" s="6"/>
      <c r="D4032" s="6"/>
      <c r="E4032" s="6"/>
      <c r="F4032" s="6"/>
      <c r="G4032" s="6"/>
      <c r="H4032" s="6"/>
      <c r="I4032" s="6"/>
      <c r="J4032" s="6"/>
      <c r="K4032" s="6"/>
      <c r="L4032" s="6"/>
      <c r="M4032" s="6"/>
      <c r="N4032" s="6"/>
      <c r="O4032" s="6"/>
      <c r="P4032" s="6"/>
      <c r="Q4032" s="6"/>
      <c r="R4032" s="6"/>
      <c r="S4032" s="6"/>
      <c r="T4032" s="6"/>
      <c r="U4032" s="6"/>
      <c r="V4032" s="6"/>
      <c r="W4032" s="6"/>
      <c r="X4032" s="6"/>
      <c r="Y4032" s="6"/>
      <c r="Z4032" s="6"/>
      <c r="AA4032" s="6"/>
      <c r="AB4032" s="6"/>
      <c r="AC4032" s="6"/>
      <c r="AD4032" s="6"/>
      <c r="AE4032" s="6"/>
      <c r="AF4032" s="6"/>
      <c r="AG4032" s="6"/>
      <c r="AH4032" s="6"/>
      <c r="AI4032" s="6"/>
      <c r="AJ4032" s="6"/>
      <c r="AK4032" s="6"/>
      <c r="AL4032" s="6"/>
      <c r="AM4032" s="6"/>
    </row>
    <row r="4033">
      <c r="A4033" s="6"/>
      <c r="B4033" s="6"/>
      <c r="C4033" s="6"/>
      <c r="D4033" s="6"/>
      <c r="E4033" s="6"/>
      <c r="F4033" s="6"/>
      <c r="G4033" s="6"/>
      <c r="H4033" s="6"/>
      <c r="I4033" s="6"/>
      <c r="J4033" s="6"/>
      <c r="K4033" s="6"/>
      <c r="L4033" s="6"/>
      <c r="M4033" s="6"/>
      <c r="N4033" s="6"/>
      <c r="O4033" s="6"/>
      <c r="P4033" s="6"/>
      <c r="Q4033" s="6"/>
      <c r="R4033" s="6"/>
      <c r="S4033" s="6"/>
      <c r="T4033" s="6"/>
      <c r="U4033" s="6"/>
      <c r="V4033" s="6"/>
      <c r="W4033" s="6"/>
      <c r="X4033" s="6"/>
      <c r="Y4033" s="6"/>
      <c r="Z4033" s="6"/>
      <c r="AA4033" s="6"/>
      <c r="AB4033" s="6"/>
      <c r="AC4033" s="6"/>
      <c r="AD4033" s="6"/>
      <c r="AE4033" s="6"/>
      <c r="AF4033" s="6"/>
      <c r="AG4033" s="6"/>
      <c r="AH4033" s="6"/>
      <c r="AI4033" s="6"/>
      <c r="AJ4033" s="6"/>
      <c r="AK4033" s="6"/>
      <c r="AL4033" s="6"/>
      <c r="AM4033" s="6"/>
    </row>
    <row r="4034">
      <c r="A4034" s="6"/>
      <c r="B4034" s="6"/>
      <c r="C4034" s="6"/>
      <c r="D4034" s="6"/>
      <c r="E4034" s="6"/>
      <c r="F4034" s="6"/>
      <c r="G4034" s="6"/>
      <c r="H4034" s="6"/>
      <c r="I4034" s="6"/>
      <c r="J4034" s="6"/>
      <c r="K4034" s="6"/>
      <c r="L4034" s="6"/>
      <c r="M4034" s="6"/>
      <c r="N4034" s="6"/>
      <c r="O4034" s="6"/>
      <c r="P4034" s="6"/>
      <c r="Q4034" s="6"/>
      <c r="R4034" s="6"/>
      <c r="S4034" s="6"/>
      <c r="T4034" s="6"/>
      <c r="U4034" s="6"/>
      <c r="V4034" s="6"/>
      <c r="W4034" s="6"/>
      <c r="X4034" s="6"/>
      <c r="Y4034" s="6"/>
      <c r="Z4034" s="6"/>
      <c r="AA4034" s="6"/>
      <c r="AB4034" s="6"/>
      <c r="AC4034" s="6"/>
      <c r="AD4034" s="6"/>
      <c r="AE4034" s="6"/>
      <c r="AF4034" s="6"/>
      <c r="AG4034" s="6"/>
      <c r="AH4034" s="6"/>
      <c r="AI4034" s="6"/>
      <c r="AJ4034" s="6"/>
      <c r="AK4034" s="6"/>
      <c r="AL4034" s="6"/>
      <c r="AM4034" s="6"/>
    </row>
    <row r="4035">
      <c r="A4035" s="6"/>
      <c r="B4035" s="6"/>
      <c r="C4035" s="6"/>
      <c r="D4035" s="6"/>
      <c r="E4035" s="6"/>
      <c r="F4035" s="6"/>
      <c r="G4035" s="6"/>
      <c r="H4035" s="6"/>
      <c r="I4035" s="6"/>
      <c r="J4035" s="6"/>
      <c r="K4035" s="6"/>
      <c r="L4035" s="6"/>
      <c r="M4035" s="6"/>
      <c r="N4035" s="6"/>
      <c r="O4035" s="6"/>
      <c r="P4035" s="6"/>
      <c r="Q4035" s="6"/>
      <c r="R4035" s="6"/>
      <c r="S4035" s="6"/>
      <c r="T4035" s="6"/>
      <c r="U4035" s="6"/>
      <c r="V4035" s="6"/>
      <c r="W4035" s="6"/>
      <c r="X4035" s="6"/>
      <c r="Y4035" s="6"/>
      <c r="Z4035" s="6"/>
      <c r="AA4035" s="6"/>
      <c r="AB4035" s="6"/>
      <c r="AC4035" s="6"/>
      <c r="AD4035" s="6"/>
      <c r="AE4035" s="6"/>
      <c r="AF4035" s="6"/>
      <c r="AG4035" s="6"/>
      <c r="AH4035" s="6"/>
      <c r="AI4035" s="6"/>
      <c r="AJ4035" s="6"/>
      <c r="AK4035" s="6"/>
      <c r="AL4035" s="6"/>
      <c r="AM4035" s="6"/>
    </row>
    <row r="4036">
      <c r="A4036" s="6"/>
      <c r="B4036" s="6"/>
      <c r="C4036" s="6"/>
      <c r="D4036" s="6"/>
      <c r="E4036" s="6"/>
      <c r="F4036" s="6"/>
      <c r="G4036" s="6"/>
      <c r="H4036" s="6"/>
      <c r="I4036" s="6"/>
      <c r="J4036" s="6"/>
      <c r="K4036" s="6"/>
      <c r="L4036" s="6"/>
      <c r="M4036" s="6"/>
      <c r="N4036" s="6"/>
      <c r="O4036" s="6"/>
      <c r="P4036" s="6"/>
      <c r="Q4036" s="6"/>
      <c r="R4036" s="6"/>
      <c r="S4036" s="6"/>
      <c r="T4036" s="6"/>
      <c r="U4036" s="6"/>
      <c r="V4036" s="6"/>
      <c r="W4036" s="6"/>
      <c r="X4036" s="6"/>
      <c r="Y4036" s="6"/>
      <c r="Z4036" s="6"/>
      <c r="AA4036" s="6"/>
      <c r="AB4036" s="6"/>
      <c r="AC4036" s="6"/>
      <c r="AD4036" s="6"/>
      <c r="AE4036" s="6"/>
      <c r="AF4036" s="6"/>
      <c r="AG4036" s="6"/>
      <c r="AH4036" s="6"/>
      <c r="AI4036" s="6"/>
      <c r="AJ4036" s="6"/>
      <c r="AK4036" s="6"/>
      <c r="AL4036" s="6"/>
      <c r="AM4036" s="6"/>
    </row>
    <row r="4037">
      <c r="A4037" s="6"/>
      <c r="B4037" s="6"/>
      <c r="C4037" s="6"/>
      <c r="D4037" s="6"/>
      <c r="E4037" s="6"/>
      <c r="F4037" s="6"/>
      <c r="G4037" s="6"/>
      <c r="H4037" s="6"/>
      <c r="I4037" s="6"/>
      <c r="J4037" s="6"/>
      <c r="K4037" s="6"/>
      <c r="L4037" s="6"/>
      <c r="M4037" s="6"/>
      <c r="N4037" s="6"/>
      <c r="O4037" s="6"/>
      <c r="P4037" s="6"/>
      <c r="Q4037" s="6"/>
      <c r="R4037" s="6"/>
      <c r="S4037" s="6"/>
      <c r="T4037" s="6"/>
      <c r="U4037" s="6"/>
      <c r="V4037" s="6"/>
      <c r="W4037" s="6"/>
      <c r="X4037" s="6"/>
      <c r="Y4037" s="6"/>
      <c r="Z4037" s="6"/>
      <c r="AA4037" s="6"/>
      <c r="AB4037" s="6"/>
      <c r="AC4037" s="6"/>
      <c r="AD4037" s="6"/>
      <c r="AE4037" s="6"/>
      <c r="AF4037" s="6"/>
      <c r="AG4037" s="6"/>
      <c r="AH4037" s="6"/>
      <c r="AI4037" s="6"/>
      <c r="AJ4037" s="6"/>
      <c r="AK4037" s="6"/>
      <c r="AL4037" s="6"/>
      <c r="AM4037" s="6"/>
    </row>
    <row r="4038">
      <c r="A4038" s="6"/>
      <c r="B4038" s="6"/>
      <c r="C4038" s="6"/>
      <c r="D4038" s="6"/>
      <c r="E4038" s="6"/>
      <c r="F4038" s="6"/>
      <c r="G4038" s="6"/>
      <c r="H4038" s="6"/>
      <c r="I4038" s="6"/>
      <c r="J4038" s="6"/>
      <c r="K4038" s="6"/>
      <c r="L4038" s="6"/>
      <c r="M4038" s="6"/>
      <c r="N4038" s="6"/>
      <c r="O4038" s="6"/>
      <c r="P4038" s="6"/>
      <c r="Q4038" s="6"/>
      <c r="R4038" s="6"/>
      <c r="S4038" s="6"/>
      <c r="T4038" s="6"/>
      <c r="U4038" s="6"/>
      <c r="V4038" s="6"/>
      <c r="W4038" s="6"/>
      <c r="X4038" s="6"/>
      <c r="Y4038" s="6"/>
      <c r="Z4038" s="6"/>
      <c r="AA4038" s="6"/>
      <c r="AB4038" s="6"/>
      <c r="AC4038" s="6"/>
      <c r="AD4038" s="6"/>
      <c r="AE4038" s="6"/>
      <c r="AF4038" s="6"/>
      <c r="AG4038" s="6"/>
      <c r="AH4038" s="6"/>
      <c r="AI4038" s="6"/>
      <c r="AJ4038" s="6"/>
      <c r="AK4038" s="6"/>
      <c r="AL4038" s="6"/>
      <c r="AM4038" s="6"/>
    </row>
    <row r="4039">
      <c r="A4039" s="6"/>
      <c r="B4039" s="6"/>
      <c r="C4039" s="6"/>
      <c r="D4039" s="6"/>
      <c r="E4039" s="6"/>
      <c r="F4039" s="6"/>
      <c r="G4039" s="6"/>
      <c r="H4039" s="6"/>
      <c r="I4039" s="6"/>
      <c r="J4039" s="6"/>
      <c r="K4039" s="6"/>
      <c r="L4039" s="6"/>
      <c r="M4039" s="6"/>
      <c r="N4039" s="6"/>
      <c r="O4039" s="6"/>
      <c r="P4039" s="6"/>
      <c r="Q4039" s="6"/>
      <c r="R4039" s="6"/>
      <c r="S4039" s="6"/>
      <c r="T4039" s="6"/>
      <c r="U4039" s="6"/>
      <c r="V4039" s="6"/>
      <c r="W4039" s="6"/>
      <c r="X4039" s="6"/>
      <c r="Y4039" s="6"/>
      <c r="Z4039" s="6"/>
      <c r="AA4039" s="6"/>
      <c r="AB4039" s="6"/>
      <c r="AC4039" s="6"/>
      <c r="AD4039" s="6"/>
      <c r="AE4039" s="6"/>
      <c r="AF4039" s="6"/>
      <c r="AG4039" s="6"/>
      <c r="AH4039" s="6"/>
      <c r="AI4039" s="6"/>
      <c r="AJ4039" s="6"/>
      <c r="AK4039" s="6"/>
      <c r="AL4039" s="6"/>
      <c r="AM4039" s="6"/>
    </row>
    <row r="4040">
      <c r="A4040" s="6"/>
      <c r="B4040" s="6"/>
      <c r="C4040" s="6"/>
      <c r="D4040" s="6"/>
      <c r="E4040" s="6"/>
      <c r="F4040" s="6"/>
      <c r="G4040" s="6"/>
      <c r="H4040" s="6"/>
      <c r="I4040" s="6"/>
      <c r="J4040" s="6"/>
      <c r="K4040" s="6"/>
      <c r="L4040" s="6"/>
      <c r="M4040" s="6"/>
      <c r="N4040" s="6"/>
      <c r="O4040" s="6"/>
      <c r="P4040" s="6"/>
      <c r="Q4040" s="6"/>
      <c r="R4040" s="6"/>
      <c r="S4040" s="6"/>
      <c r="T4040" s="6"/>
      <c r="U4040" s="6"/>
      <c r="V4040" s="6"/>
      <c r="W4040" s="6"/>
      <c r="X4040" s="6"/>
      <c r="Y4040" s="6"/>
      <c r="Z4040" s="6"/>
      <c r="AA4040" s="6"/>
      <c r="AB4040" s="6"/>
      <c r="AC4040" s="6"/>
      <c r="AD4040" s="6"/>
      <c r="AE4040" s="6"/>
      <c r="AF4040" s="6"/>
      <c r="AG4040" s="6"/>
      <c r="AH4040" s="6"/>
      <c r="AI4040" s="6"/>
      <c r="AJ4040" s="6"/>
      <c r="AK4040" s="6"/>
      <c r="AL4040" s="6"/>
      <c r="AM4040" s="6"/>
    </row>
    <row r="4041">
      <c r="A4041" s="6"/>
      <c r="B4041" s="6"/>
      <c r="C4041" s="6"/>
      <c r="D4041" s="6"/>
      <c r="E4041" s="6"/>
      <c r="F4041" s="6"/>
      <c r="G4041" s="6"/>
      <c r="H4041" s="6"/>
      <c r="I4041" s="6"/>
      <c r="J4041" s="6"/>
      <c r="K4041" s="6"/>
      <c r="L4041" s="6"/>
      <c r="M4041" s="6"/>
      <c r="N4041" s="6"/>
      <c r="O4041" s="6"/>
      <c r="P4041" s="6"/>
      <c r="Q4041" s="6"/>
      <c r="R4041" s="6"/>
      <c r="S4041" s="6"/>
      <c r="T4041" s="6"/>
      <c r="U4041" s="6"/>
      <c r="V4041" s="6"/>
      <c r="W4041" s="6"/>
      <c r="X4041" s="6"/>
      <c r="Y4041" s="6"/>
      <c r="Z4041" s="6"/>
      <c r="AA4041" s="6"/>
      <c r="AB4041" s="6"/>
      <c r="AC4041" s="6"/>
      <c r="AD4041" s="6"/>
      <c r="AE4041" s="6"/>
      <c r="AF4041" s="6"/>
      <c r="AG4041" s="6"/>
      <c r="AH4041" s="6"/>
      <c r="AI4041" s="6"/>
      <c r="AJ4041" s="6"/>
      <c r="AK4041" s="6"/>
      <c r="AL4041" s="6"/>
      <c r="AM4041" s="6"/>
    </row>
    <row r="4042">
      <c r="A4042" s="6"/>
      <c r="B4042" s="6"/>
      <c r="C4042" s="6"/>
      <c r="D4042" s="6"/>
      <c r="E4042" s="6"/>
      <c r="F4042" s="6"/>
      <c r="G4042" s="6"/>
      <c r="H4042" s="6"/>
      <c r="I4042" s="6"/>
      <c r="J4042" s="6"/>
      <c r="K4042" s="6"/>
      <c r="L4042" s="6"/>
      <c r="M4042" s="6"/>
      <c r="N4042" s="6"/>
      <c r="O4042" s="6"/>
      <c r="P4042" s="6"/>
      <c r="Q4042" s="6"/>
      <c r="R4042" s="6"/>
      <c r="S4042" s="6"/>
      <c r="T4042" s="6"/>
      <c r="U4042" s="6"/>
      <c r="V4042" s="6"/>
      <c r="W4042" s="6"/>
      <c r="X4042" s="6"/>
      <c r="Y4042" s="6"/>
      <c r="Z4042" s="6"/>
      <c r="AA4042" s="6"/>
      <c r="AB4042" s="6"/>
      <c r="AC4042" s="6"/>
      <c r="AD4042" s="6"/>
      <c r="AE4042" s="6"/>
      <c r="AF4042" s="6"/>
      <c r="AG4042" s="6"/>
      <c r="AH4042" s="6"/>
      <c r="AI4042" s="6"/>
      <c r="AJ4042" s="6"/>
      <c r="AK4042" s="6"/>
      <c r="AL4042" s="6"/>
      <c r="AM4042" s="6"/>
    </row>
    <row r="4043">
      <c r="A4043" s="6"/>
      <c r="B4043" s="6"/>
      <c r="C4043" s="6"/>
      <c r="D4043" s="6"/>
      <c r="E4043" s="6"/>
      <c r="F4043" s="6"/>
      <c r="G4043" s="6"/>
      <c r="H4043" s="6"/>
      <c r="I4043" s="6"/>
      <c r="J4043" s="6"/>
      <c r="K4043" s="6"/>
      <c r="L4043" s="6"/>
      <c r="M4043" s="6"/>
      <c r="N4043" s="6"/>
      <c r="O4043" s="6"/>
      <c r="P4043" s="6"/>
      <c r="Q4043" s="6"/>
      <c r="R4043" s="6"/>
      <c r="S4043" s="6"/>
      <c r="T4043" s="6"/>
      <c r="U4043" s="6"/>
      <c r="V4043" s="6"/>
      <c r="W4043" s="6"/>
      <c r="X4043" s="6"/>
      <c r="Y4043" s="6"/>
      <c r="Z4043" s="6"/>
      <c r="AA4043" s="6"/>
      <c r="AB4043" s="6"/>
      <c r="AC4043" s="6"/>
      <c r="AD4043" s="6"/>
      <c r="AE4043" s="6"/>
      <c r="AF4043" s="6"/>
      <c r="AG4043" s="6"/>
      <c r="AH4043" s="6"/>
      <c r="AI4043" s="6"/>
      <c r="AJ4043" s="6"/>
      <c r="AK4043" s="6"/>
      <c r="AL4043" s="6"/>
      <c r="AM4043" s="6"/>
    </row>
    <row r="4044">
      <c r="A4044" s="6"/>
      <c r="B4044" s="6"/>
      <c r="C4044" s="6"/>
      <c r="D4044" s="6"/>
      <c r="E4044" s="6"/>
      <c r="F4044" s="6"/>
      <c r="G4044" s="6"/>
      <c r="H4044" s="6"/>
      <c r="I4044" s="6"/>
      <c r="J4044" s="6"/>
      <c r="K4044" s="6"/>
      <c r="L4044" s="6"/>
      <c r="M4044" s="6"/>
      <c r="N4044" s="6"/>
      <c r="O4044" s="6"/>
      <c r="P4044" s="6"/>
      <c r="Q4044" s="6"/>
      <c r="R4044" s="6"/>
      <c r="S4044" s="6"/>
      <c r="T4044" s="6"/>
      <c r="U4044" s="6"/>
      <c r="V4044" s="6"/>
      <c r="W4044" s="6"/>
      <c r="X4044" s="6"/>
      <c r="Y4044" s="6"/>
      <c r="Z4044" s="6"/>
      <c r="AA4044" s="6"/>
      <c r="AB4044" s="6"/>
      <c r="AC4044" s="6"/>
      <c r="AD4044" s="6"/>
      <c r="AE4044" s="6"/>
      <c r="AF4044" s="6"/>
      <c r="AG4044" s="6"/>
      <c r="AH4044" s="6"/>
      <c r="AI4044" s="6"/>
      <c r="AJ4044" s="6"/>
      <c r="AK4044" s="6"/>
      <c r="AL4044" s="6"/>
      <c r="AM4044" s="6"/>
    </row>
    <row r="4045">
      <c r="A4045" s="6"/>
      <c r="B4045" s="6"/>
      <c r="C4045" s="6"/>
      <c r="D4045" s="6"/>
      <c r="E4045" s="6"/>
      <c r="F4045" s="6"/>
      <c r="G4045" s="6"/>
      <c r="H4045" s="6"/>
      <c r="I4045" s="6"/>
      <c r="J4045" s="6"/>
      <c r="K4045" s="6"/>
      <c r="L4045" s="6"/>
      <c r="M4045" s="6"/>
      <c r="N4045" s="6"/>
      <c r="O4045" s="6"/>
      <c r="P4045" s="6"/>
      <c r="Q4045" s="6"/>
      <c r="R4045" s="6"/>
      <c r="S4045" s="6"/>
      <c r="T4045" s="6"/>
      <c r="U4045" s="6"/>
      <c r="V4045" s="6"/>
      <c r="W4045" s="6"/>
      <c r="X4045" s="6"/>
      <c r="Y4045" s="6"/>
      <c r="Z4045" s="6"/>
      <c r="AA4045" s="6"/>
      <c r="AB4045" s="6"/>
      <c r="AC4045" s="6"/>
      <c r="AD4045" s="6"/>
      <c r="AE4045" s="6"/>
      <c r="AF4045" s="6"/>
      <c r="AG4045" s="6"/>
      <c r="AH4045" s="6"/>
      <c r="AI4045" s="6"/>
      <c r="AJ4045" s="6"/>
      <c r="AK4045" s="6"/>
      <c r="AL4045" s="6"/>
      <c r="AM4045" s="6"/>
    </row>
    <row r="4046">
      <c r="A4046" s="6"/>
      <c r="B4046" s="6"/>
      <c r="C4046" s="6"/>
      <c r="D4046" s="6"/>
      <c r="E4046" s="6"/>
      <c r="F4046" s="6"/>
      <c r="G4046" s="6"/>
      <c r="H4046" s="6"/>
      <c r="I4046" s="6"/>
      <c r="J4046" s="6"/>
      <c r="K4046" s="6"/>
      <c r="L4046" s="6"/>
      <c r="M4046" s="6"/>
      <c r="N4046" s="6"/>
      <c r="O4046" s="6"/>
      <c r="P4046" s="6"/>
      <c r="Q4046" s="6"/>
      <c r="R4046" s="6"/>
      <c r="S4046" s="6"/>
      <c r="T4046" s="6"/>
      <c r="U4046" s="6"/>
      <c r="V4046" s="6"/>
      <c r="W4046" s="6"/>
      <c r="X4046" s="6"/>
      <c r="Y4046" s="6"/>
      <c r="Z4046" s="6"/>
      <c r="AA4046" s="6"/>
      <c r="AB4046" s="6"/>
      <c r="AC4046" s="6"/>
      <c r="AD4046" s="6"/>
      <c r="AE4046" s="6"/>
      <c r="AF4046" s="6"/>
      <c r="AG4046" s="6"/>
      <c r="AH4046" s="6"/>
      <c r="AI4046" s="6"/>
      <c r="AJ4046" s="6"/>
      <c r="AK4046" s="6"/>
      <c r="AL4046" s="6"/>
      <c r="AM4046" s="6"/>
    </row>
    <row r="4047">
      <c r="A4047" s="6"/>
      <c r="B4047" s="6"/>
      <c r="C4047" s="6"/>
      <c r="D4047" s="6"/>
      <c r="E4047" s="6"/>
      <c r="F4047" s="6"/>
      <c r="G4047" s="6"/>
      <c r="H4047" s="6"/>
      <c r="I4047" s="6"/>
      <c r="J4047" s="6"/>
      <c r="K4047" s="6"/>
      <c r="L4047" s="6"/>
      <c r="M4047" s="6"/>
      <c r="N4047" s="6"/>
      <c r="O4047" s="6"/>
      <c r="P4047" s="6"/>
      <c r="Q4047" s="6"/>
      <c r="R4047" s="6"/>
      <c r="S4047" s="6"/>
      <c r="T4047" s="6"/>
      <c r="U4047" s="6"/>
      <c r="V4047" s="6"/>
      <c r="W4047" s="6"/>
      <c r="X4047" s="6"/>
      <c r="Y4047" s="6"/>
      <c r="Z4047" s="6"/>
      <c r="AA4047" s="6"/>
      <c r="AB4047" s="6"/>
      <c r="AC4047" s="6"/>
      <c r="AD4047" s="6"/>
      <c r="AE4047" s="6"/>
      <c r="AF4047" s="6"/>
      <c r="AG4047" s="6"/>
      <c r="AH4047" s="6"/>
      <c r="AI4047" s="6"/>
      <c r="AJ4047" s="6"/>
      <c r="AK4047" s="6"/>
      <c r="AL4047" s="6"/>
      <c r="AM4047" s="6"/>
    </row>
    <row r="4048">
      <c r="A4048" s="6"/>
      <c r="B4048" s="6"/>
      <c r="C4048" s="6"/>
      <c r="D4048" s="6"/>
      <c r="E4048" s="6"/>
      <c r="F4048" s="6"/>
      <c r="G4048" s="6"/>
      <c r="H4048" s="6"/>
      <c r="I4048" s="6"/>
      <c r="J4048" s="6"/>
      <c r="K4048" s="6"/>
      <c r="L4048" s="6"/>
      <c r="M4048" s="6"/>
      <c r="N4048" s="6"/>
      <c r="O4048" s="6"/>
      <c r="P4048" s="6"/>
      <c r="Q4048" s="6"/>
      <c r="R4048" s="6"/>
      <c r="S4048" s="6"/>
      <c r="T4048" s="6"/>
      <c r="U4048" s="6"/>
      <c r="V4048" s="6"/>
      <c r="W4048" s="6"/>
      <c r="X4048" s="6"/>
      <c r="Y4048" s="6"/>
      <c r="Z4048" s="6"/>
      <c r="AA4048" s="6"/>
      <c r="AB4048" s="6"/>
      <c r="AC4048" s="6"/>
      <c r="AD4048" s="6"/>
      <c r="AE4048" s="6"/>
      <c r="AF4048" s="6"/>
      <c r="AG4048" s="6"/>
      <c r="AH4048" s="6"/>
      <c r="AI4048" s="6"/>
      <c r="AJ4048" s="6"/>
      <c r="AK4048" s="6"/>
      <c r="AL4048" s="6"/>
      <c r="AM4048" s="6"/>
    </row>
    <row r="4049">
      <c r="A4049" s="6"/>
      <c r="B4049" s="6"/>
      <c r="C4049" s="6"/>
      <c r="D4049" s="6"/>
      <c r="E4049" s="6"/>
      <c r="F4049" s="6"/>
      <c r="G4049" s="6"/>
      <c r="H4049" s="6"/>
      <c r="I4049" s="6"/>
      <c r="J4049" s="6"/>
      <c r="K4049" s="6"/>
      <c r="L4049" s="6"/>
      <c r="M4049" s="6"/>
      <c r="N4049" s="6"/>
      <c r="O4049" s="6"/>
      <c r="P4049" s="6"/>
      <c r="Q4049" s="6"/>
      <c r="R4049" s="6"/>
      <c r="S4049" s="6"/>
      <c r="T4049" s="6"/>
      <c r="U4049" s="6"/>
      <c r="V4049" s="6"/>
      <c r="W4049" s="6"/>
      <c r="X4049" s="6"/>
      <c r="Y4049" s="6"/>
      <c r="Z4049" s="6"/>
      <c r="AA4049" s="6"/>
      <c r="AB4049" s="6"/>
      <c r="AC4049" s="6"/>
      <c r="AD4049" s="6"/>
      <c r="AE4049" s="6"/>
      <c r="AF4049" s="6"/>
      <c r="AG4049" s="6"/>
      <c r="AH4049" s="6"/>
      <c r="AI4049" s="6"/>
      <c r="AJ4049" s="6"/>
      <c r="AK4049" s="6"/>
      <c r="AL4049" s="6"/>
      <c r="AM4049" s="6"/>
    </row>
    <row r="4050">
      <c r="A4050" s="6"/>
      <c r="B4050" s="6"/>
      <c r="C4050" s="6"/>
      <c r="D4050" s="6"/>
      <c r="E4050" s="6"/>
      <c r="F4050" s="6"/>
      <c r="G4050" s="6"/>
      <c r="H4050" s="6"/>
      <c r="I4050" s="6"/>
      <c r="J4050" s="6"/>
      <c r="K4050" s="6"/>
      <c r="L4050" s="6"/>
      <c r="M4050" s="6"/>
      <c r="N4050" s="6"/>
      <c r="O4050" s="6"/>
      <c r="P4050" s="6"/>
      <c r="Q4050" s="6"/>
      <c r="R4050" s="6"/>
      <c r="S4050" s="6"/>
      <c r="T4050" s="6"/>
      <c r="U4050" s="6"/>
      <c r="V4050" s="6"/>
      <c r="W4050" s="6"/>
      <c r="X4050" s="6"/>
      <c r="Y4050" s="6"/>
      <c r="Z4050" s="6"/>
      <c r="AA4050" s="6"/>
      <c r="AB4050" s="6"/>
      <c r="AC4050" s="6"/>
      <c r="AD4050" s="6"/>
      <c r="AE4050" s="6"/>
      <c r="AF4050" s="6"/>
      <c r="AG4050" s="6"/>
      <c r="AH4050" s="6"/>
      <c r="AI4050" s="6"/>
      <c r="AJ4050" s="6"/>
      <c r="AK4050" s="6"/>
      <c r="AL4050" s="6"/>
      <c r="AM4050" s="6"/>
    </row>
    <row r="4051">
      <c r="A4051" s="6"/>
      <c r="B4051" s="6"/>
      <c r="C4051" s="6"/>
      <c r="D4051" s="6"/>
      <c r="E4051" s="6"/>
      <c r="F4051" s="6"/>
      <c r="G4051" s="6"/>
      <c r="H4051" s="6"/>
      <c r="I4051" s="6"/>
      <c r="J4051" s="6"/>
      <c r="K4051" s="6"/>
      <c r="L4051" s="6"/>
      <c r="M4051" s="6"/>
      <c r="N4051" s="6"/>
      <c r="O4051" s="6"/>
      <c r="P4051" s="6"/>
      <c r="Q4051" s="6"/>
      <c r="R4051" s="6"/>
      <c r="S4051" s="6"/>
      <c r="T4051" s="6"/>
      <c r="U4051" s="6"/>
      <c r="V4051" s="6"/>
      <c r="W4051" s="6"/>
      <c r="X4051" s="6"/>
      <c r="Y4051" s="6"/>
      <c r="Z4051" s="6"/>
      <c r="AA4051" s="6"/>
      <c r="AB4051" s="6"/>
      <c r="AC4051" s="6"/>
      <c r="AD4051" s="6"/>
      <c r="AE4051" s="6"/>
      <c r="AF4051" s="6"/>
      <c r="AG4051" s="6"/>
      <c r="AH4051" s="6"/>
      <c r="AI4051" s="6"/>
      <c r="AJ4051" s="6"/>
      <c r="AK4051" s="6"/>
      <c r="AL4051" s="6"/>
      <c r="AM4051" s="6"/>
    </row>
    <row r="4052">
      <c r="A4052" s="6"/>
      <c r="B4052" s="6"/>
      <c r="C4052" s="6"/>
      <c r="D4052" s="6"/>
      <c r="E4052" s="6"/>
      <c r="F4052" s="6"/>
      <c r="G4052" s="6"/>
      <c r="H4052" s="6"/>
      <c r="I4052" s="6"/>
      <c r="J4052" s="6"/>
      <c r="K4052" s="6"/>
      <c r="L4052" s="6"/>
      <c r="M4052" s="6"/>
      <c r="N4052" s="6"/>
      <c r="O4052" s="6"/>
      <c r="P4052" s="6"/>
      <c r="Q4052" s="6"/>
      <c r="R4052" s="6"/>
      <c r="S4052" s="6"/>
      <c r="T4052" s="6"/>
      <c r="U4052" s="6"/>
      <c r="V4052" s="6"/>
      <c r="W4052" s="6"/>
      <c r="X4052" s="6"/>
      <c r="Y4052" s="6"/>
      <c r="Z4052" s="6"/>
      <c r="AA4052" s="6"/>
      <c r="AB4052" s="6"/>
      <c r="AC4052" s="6"/>
      <c r="AD4052" s="6"/>
      <c r="AE4052" s="6"/>
      <c r="AF4052" s="6"/>
      <c r="AG4052" s="6"/>
      <c r="AH4052" s="6"/>
      <c r="AI4052" s="6"/>
      <c r="AJ4052" s="6"/>
      <c r="AK4052" s="6"/>
      <c r="AL4052" s="6"/>
      <c r="AM4052" s="6"/>
    </row>
    <row r="4053">
      <c r="A4053" s="6"/>
      <c r="B4053" s="6"/>
      <c r="C4053" s="6"/>
      <c r="D4053" s="6"/>
      <c r="E4053" s="6"/>
      <c r="F4053" s="6"/>
      <c r="G4053" s="6"/>
      <c r="H4053" s="6"/>
      <c r="I4053" s="6"/>
      <c r="J4053" s="6"/>
      <c r="K4053" s="6"/>
      <c r="L4053" s="6"/>
      <c r="M4053" s="6"/>
      <c r="N4053" s="6"/>
      <c r="O4053" s="6"/>
      <c r="P4053" s="6"/>
      <c r="Q4053" s="6"/>
      <c r="R4053" s="6"/>
      <c r="S4053" s="6"/>
      <c r="T4053" s="6"/>
      <c r="U4053" s="6"/>
      <c r="V4053" s="6"/>
      <c r="W4053" s="6"/>
      <c r="X4053" s="6"/>
      <c r="Y4053" s="6"/>
      <c r="Z4053" s="6"/>
      <c r="AA4053" s="6"/>
      <c r="AB4053" s="6"/>
      <c r="AC4053" s="6"/>
      <c r="AD4053" s="6"/>
      <c r="AE4053" s="6"/>
      <c r="AF4053" s="6"/>
      <c r="AG4053" s="6"/>
      <c r="AH4053" s="6"/>
      <c r="AI4053" s="6"/>
      <c r="AJ4053" s="6"/>
      <c r="AK4053" s="6"/>
      <c r="AL4053" s="6"/>
      <c r="AM4053" s="6"/>
    </row>
    <row r="4054">
      <c r="A4054" s="6"/>
      <c r="B4054" s="6"/>
      <c r="C4054" s="6"/>
      <c r="D4054" s="6"/>
      <c r="E4054" s="6"/>
      <c r="F4054" s="6"/>
      <c r="G4054" s="6"/>
      <c r="H4054" s="6"/>
      <c r="I4054" s="6"/>
      <c r="J4054" s="6"/>
      <c r="K4054" s="6"/>
      <c r="L4054" s="6"/>
      <c r="M4054" s="6"/>
      <c r="N4054" s="6"/>
      <c r="O4054" s="6"/>
      <c r="P4054" s="6"/>
      <c r="Q4054" s="6"/>
      <c r="R4054" s="6"/>
      <c r="S4054" s="6"/>
      <c r="T4054" s="6"/>
      <c r="U4054" s="6"/>
      <c r="V4054" s="6"/>
      <c r="W4054" s="6"/>
      <c r="X4054" s="6"/>
      <c r="Y4054" s="6"/>
      <c r="Z4054" s="6"/>
      <c r="AA4054" s="6"/>
      <c r="AB4054" s="6"/>
      <c r="AC4054" s="6"/>
      <c r="AD4054" s="6"/>
      <c r="AE4054" s="6"/>
      <c r="AF4054" s="6"/>
      <c r="AG4054" s="6"/>
      <c r="AH4054" s="6"/>
      <c r="AI4054" s="6"/>
      <c r="AJ4054" s="6"/>
      <c r="AK4054" s="6"/>
      <c r="AL4054" s="6"/>
      <c r="AM4054" s="6"/>
    </row>
    <row r="4055">
      <c r="A4055" s="6"/>
      <c r="B4055" s="6"/>
      <c r="C4055" s="6"/>
      <c r="D4055" s="6"/>
      <c r="E4055" s="6"/>
      <c r="F4055" s="6"/>
      <c r="G4055" s="6"/>
      <c r="H4055" s="6"/>
      <c r="I4055" s="6"/>
      <c r="J4055" s="6"/>
      <c r="K4055" s="6"/>
      <c r="L4055" s="6"/>
      <c r="M4055" s="6"/>
      <c r="N4055" s="6"/>
      <c r="O4055" s="6"/>
      <c r="P4055" s="6"/>
      <c r="Q4055" s="6"/>
      <c r="R4055" s="6"/>
      <c r="S4055" s="6"/>
      <c r="T4055" s="6"/>
      <c r="U4055" s="6"/>
      <c r="V4055" s="6"/>
      <c r="W4055" s="6"/>
      <c r="X4055" s="6"/>
      <c r="Y4055" s="6"/>
      <c r="Z4055" s="6"/>
      <c r="AA4055" s="6"/>
      <c r="AB4055" s="6"/>
      <c r="AC4055" s="6"/>
      <c r="AD4055" s="6"/>
      <c r="AE4055" s="6"/>
      <c r="AF4055" s="6"/>
      <c r="AG4055" s="6"/>
      <c r="AH4055" s="6"/>
      <c r="AI4055" s="6"/>
      <c r="AJ4055" s="6"/>
      <c r="AK4055" s="6"/>
      <c r="AL4055" s="6"/>
      <c r="AM4055" s="6"/>
    </row>
    <row r="4056">
      <c r="A4056" s="6"/>
      <c r="B4056" s="6"/>
      <c r="C4056" s="6"/>
      <c r="D4056" s="6"/>
      <c r="E4056" s="6"/>
      <c r="F4056" s="6"/>
      <c r="G4056" s="6"/>
      <c r="H4056" s="6"/>
      <c r="I4056" s="6"/>
      <c r="J4056" s="6"/>
      <c r="K4056" s="6"/>
      <c r="L4056" s="6"/>
      <c r="M4056" s="6"/>
      <c r="N4056" s="6"/>
      <c r="O4056" s="6"/>
      <c r="P4056" s="6"/>
      <c r="Q4056" s="6"/>
      <c r="R4056" s="6"/>
      <c r="S4056" s="6"/>
      <c r="T4056" s="6"/>
      <c r="U4056" s="6"/>
      <c r="V4056" s="6"/>
      <c r="W4056" s="6"/>
      <c r="X4056" s="6"/>
      <c r="Y4056" s="6"/>
      <c r="Z4056" s="6"/>
      <c r="AA4056" s="6"/>
      <c r="AB4056" s="6"/>
      <c r="AC4056" s="6"/>
      <c r="AD4056" s="6"/>
      <c r="AE4056" s="6"/>
      <c r="AF4056" s="6"/>
      <c r="AG4056" s="6"/>
      <c r="AH4056" s="6"/>
      <c r="AI4056" s="6"/>
      <c r="AJ4056" s="6"/>
      <c r="AK4056" s="6"/>
      <c r="AL4056" s="6"/>
      <c r="AM4056" s="6"/>
    </row>
    <row r="4057">
      <c r="A4057" s="6"/>
      <c r="B4057" s="6"/>
      <c r="C4057" s="6"/>
      <c r="D4057" s="6"/>
      <c r="E4057" s="6"/>
      <c r="F4057" s="6"/>
      <c r="G4057" s="6"/>
      <c r="H4057" s="6"/>
      <c r="I4057" s="6"/>
      <c r="J4057" s="6"/>
      <c r="K4057" s="6"/>
      <c r="L4057" s="6"/>
      <c r="M4057" s="6"/>
      <c r="N4057" s="6"/>
      <c r="O4057" s="6"/>
      <c r="P4057" s="6"/>
      <c r="Q4057" s="6"/>
      <c r="R4057" s="6"/>
      <c r="S4057" s="6"/>
      <c r="T4057" s="6"/>
      <c r="U4057" s="6"/>
      <c r="V4057" s="6"/>
      <c r="W4057" s="6"/>
      <c r="X4057" s="6"/>
      <c r="Y4057" s="6"/>
      <c r="Z4057" s="6"/>
      <c r="AA4057" s="6"/>
      <c r="AB4057" s="6"/>
      <c r="AC4057" s="6"/>
      <c r="AD4057" s="6"/>
      <c r="AE4057" s="6"/>
      <c r="AF4057" s="6"/>
      <c r="AG4057" s="6"/>
      <c r="AH4057" s="6"/>
      <c r="AI4057" s="6"/>
      <c r="AJ4057" s="6"/>
      <c r="AK4057" s="6"/>
      <c r="AL4057" s="6"/>
      <c r="AM4057" s="6"/>
    </row>
    <row r="4058">
      <c r="A4058" s="6"/>
      <c r="B4058" s="6"/>
      <c r="C4058" s="6"/>
      <c r="D4058" s="6"/>
      <c r="E4058" s="6"/>
      <c r="F4058" s="6"/>
      <c r="G4058" s="6"/>
      <c r="H4058" s="6"/>
      <c r="I4058" s="6"/>
      <c r="J4058" s="6"/>
      <c r="K4058" s="6"/>
      <c r="L4058" s="6"/>
      <c r="M4058" s="6"/>
      <c r="N4058" s="6"/>
      <c r="O4058" s="6"/>
      <c r="P4058" s="6"/>
      <c r="Q4058" s="6"/>
      <c r="R4058" s="6"/>
      <c r="S4058" s="6"/>
      <c r="T4058" s="6"/>
      <c r="U4058" s="6"/>
      <c r="V4058" s="6"/>
      <c r="W4058" s="6"/>
      <c r="X4058" s="6"/>
      <c r="Y4058" s="6"/>
      <c r="Z4058" s="6"/>
      <c r="AA4058" s="6"/>
      <c r="AB4058" s="6"/>
      <c r="AC4058" s="6"/>
      <c r="AD4058" s="6"/>
      <c r="AE4058" s="6"/>
      <c r="AF4058" s="6"/>
      <c r="AG4058" s="6"/>
      <c r="AH4058" s="6"/>
      <c r="AI4058" s="6"/>
      <c r="AJ4058" s="6"/>
      <c r="AK4058" s="6"/>
      <c r="AL4058" s="6"/>
      <c r="AM4058" s="6"/>
    </row>
    <row r="4059">
      <c r="A4059" s="6"/>
      <c r="B4059" s="6"/>
      <c r="C4059" s="6"/>
      <c r="D4059" s="6"/>
      <c r="E4059" s="6"/>
      <c r="F4059" s="6"/>
      <c r="G4059" s="6"/>
      <c r="H4059" s="6"/>
      <c r="I4059" s="6"/>
      <c r="J4059" s="6"/>
      <c r="K4059" s="6"/>
      <c r="L4059" s="6"/>
      <c r="M4059" s="6"/>
      <c r="N4059" s="6"/>
      <c r="O4059" s="6"/>
      <c r="P4059" s="6"/>
      <c r="Q4059" s="6"/>
      <c r="R4059" s="6"/>
      <c r="S4059" s="6"/>
      <c r="T4059" s="6"/>
      <c r="U4059" s="6"/>
      <c r="V4059" s="6"/>
      <c r="W4059" s="6"/>
      <c r="X4059" s="6"/>
      <c r="Y4059" s="6"/>
      <c r="Z4059" s="6"/>
      <c r="AA4059" s="6"/>
      <c r="AB4059" s="6"/>
      <c r="AC4059" s="6"/>
      <c r="AD4059" s="6"/>
      <c r="AE4059" s="6"/>
      <c r="AF4059" s="6"/>
      <c r="AG4059" s="6"/>
      <c r="AH4059" s="6"/>
      <c r="AI4059" s="6"/>
      <c r="AJ4059" s="6"/>
      <c r="AK4059" s="6"/>
      <c r="AL4059" s="6"/>
      <c r="AM4059" s="6"/>
    </row>
    <row r="4060">
      <c r="A4060" s="6"/>
      <c r="B4060" s="6"/>
      <c r="C4060" s="6"/>
      <c r="D4060" s="6"/>
      <c r="E4060" s="6"/>
      <c r="F4060" s="6"/>
      <c r="G4060" s="6"/>
      <c r="H4060" s="6"/>
      <c r="I4060" s="6"/>
      <c r="J4060" s="6"/>
      <c r="K4060" s="6"/>
      <c r="L4060" s="6"/>
      <c r="M4060" s="6"/>
      <c r="N4060" s="6"/>
      <c r="O4060" s="6"/>
      <c r="P4060" s="6"/>
      <c r="Q4060" s="6"/>
      <c r="R4060" s="6"/>
      <c r="S4060" s="6"/>
      <c r="T4060" s="6"/>
      <c r="U4060" s="6"/>
      <c r="V4060" s="6"/>
      <c r="W4060" s="6"/>
      <c r="X4060" s="6"/>
      <c r="Y4060" s="6"/>
      <c r="Z4060" s="6"/>
      <c r="AA4060" s="6"/>
      <c r="AB4060" s="6"/>
      <c r="AC4060" s="6"/>
      <c r="AD4060" s="6"/>
      <c r="AE4060" s="6"/>
      <c r="AF4060" s="6"/>
      <c r="AG4060" s="6"/>
      <c r="AH4060" s="6"/>
      <c r="AI4060" s="6"/>
      <c r="AJ4060" s="6"/>
      <c r="AK4060" s="6"/>
      <c r="AL4060" s="6"/>
      <c r="AM4060" s="6"/>
    </row>
    <row r="4061">
      <c r="A4061" s="6"/>
      <c r="B4061" s="6"/>
      <c r="C4061" s="6"/>
      <c r="D4061" s="6"/>
      <c r="E4061" s="6"/>
      <c r="F4061" s="6"/>
      <c r="G4061" s="6"/>
      <c r="H4061" s="6"/>
      <c r="I4061" s="6"/>
      <c r="J4061" s="6"/>
      <c r="K4061" s="6"/>
      <c r="L4061" s="6"/>
      <c r="M4061" s="6"/>
      <c r="N4061" s="6"/>
      <c r="O4061" s="6"/>
      <c r="P4061" s="6"/>
      <c r="Q4061" s="6"/>
      <c r="R4061" s="6"/>
      <c r="S4061" s="6"/>
      <c r="T4061" s="6"/>
      <c r="U4061" s="6"/>
      <c r="V4061" s="6"/>
      <c r="W4061" s="6"/>
      <c r="X4061" s="6"/>
      <c r="Y4061" s="6"/>
      <c r="Z4061" s="6"/>
      <c r="AA4061" s="6"/>
      <c r="AB4061" s="6"/>
      <c r="AC4061" s="6"/>
      <c r="AD4061" s="6"/>
      <c r="AE4061" s="6"/>
      <c r="AF4061" s="6"/>
      <c r="AG4061" s="6"/>
      <c r="AH4061" s="6"/>
      <c r="AI4061" s="6"/>
      <c r="AJ4061" s="6"/>
      <c r="AK4061" s="6"/>
      <c r="AL4061" s="6"/>
      <c r="AM4061" s="6"/>
    </row>
    <row r="4062">
      <c r="A4062" s="6"/>
      <c r="B4062" s="6"/>
      <c r="C4062" s="6"/>
      <c r="D4062" s="6"/>
      <c r="E4062" s="6"/>
      <c r="F4062" s="6"/>
      <c r="G4062" s="6"/>
      <c r="H4062" s="6"/>
      <c r="I4062" s="6"/>
      <c r="J4062" s="6"/>
      <c r="K4062" s="6"/>
      <c r="L4062" s="6"/>
      <c r="M4062" s="6"/>
      <c r="N4062" s="6"/>
      <c r="O4062" s="6"/>
      <c r="P4062" s="6"/>
      <c r="Q4062" s="6"/>
      <c r="R4062" s="6"/>
      <c r="S4062" s="6"/>
      <c r="T4062" s="6"/>
      <c r="U4062" s="6"/>
      <c r="V4062" s="6"/>
      <c r="W4062" s="6"/>
      <c r="X4062" s="6"/>
      <c r="Y4062" s="6"/>
      <c r="Z4062" s="6"/>
      <c r="AA4062" s="6"/>
      <c r="AB4062" s="6"/>
      <c r="AC4062" s="6"/>
      <c r="AD4062" s="6"/>
      <c r="AE4062" s="6"/>
      <c r="AF4062" s="6"/>
      <c r="AG4062" s="6"/>
      <c r="AH4062" s="6"/>
      <c r="AI4062" s="6"/>
      <c r="AJ4062" s="6"/>
      <c r="AK4062" s="6"/>
      <c r="AL4062" s="6"/>
      <c r="AM4062" s="6"/>
    </row>
    <row r="4063">
      <c r="A4063" s="6"/>
      <c r="B4063" s="6"/>
      <c r="C4063" s="6"/>
      <c r="D4063" s="6"/>
      <c r="E4063" s="6"/>
      <c r="F4063" s="6"/>
      <c r="G4063" s="6"/>
      <c r="H4063" s="6"/>
      <c r="I4063" s="6"/>
      <c r="J4063" s="6"/>
      <c r="K4063" s="6"/>
      <c r="L4063" s="6"/>
      <c r="M4063" s="6"/>
      <c r="N4063" s="6"/>
      <c r="O4063" s="6"/>
      <c r="P4063" s="6"/>
      <c r="Q4063" s="6"/>
      <c r="R4063" s="6"/>
      <c r="S4063" s="6"/>
      <c r="T4063" s="6"/>
      <c r="U4063" s="6"/>
      <c r="V4063" s="6"/>
      <c r="W4063" s="6"/>
      <c r="X4063" s="6"/>
      <c r="Y4063" s="6"/>
      <c r="Z4063" s="6"/>
      <c r="AA4063" s="6"/>
      <c r="AB4063" s="6"/>
      <c r="AC4063" s="6"/>
      <c r="AD4063" s="6"/>
      <c r="AE4063" s="6"/>
      <c r="AF4063" s="6"/>
      <c r="AG4063" s="6"/>
      <c r="AH4063" s="6"/>
      <c r="AI4063" s="6"/>
      <c r="AJ4063" s="6"/>
      <c r="AK4063" s="6"/>
      <c r="AL4063" s="6"/>
      <c r="AM4063" s="6"/>
    </row>
    <row r="4064">
      <c r="A4064" s="6"/>
      <c r="B4064" s="6"/>
      <c r="C4064" s="6"/>
      <c r="D4064" s="6"/>
      <c r="E4064" s="6"/>
      <c r="F4064" s="6"/>
      <c r="G4064" s="6"/>
      <c r="H4064" s="6"/>
      <c r="I4064" s="6"/>
      <c r="J4064" s="6"/>
      <c r="K4064" s="6"/>
      <c r="L4064" s="6"/>
      <c r="M4064" s="6"/>
      <c r="N4064" s="6"/>
      <c r="O4064" s="6"/>
      <c r="P4064" s="6"/>
      <c r="Q4064" s="6"/>
      <c r="R4064" s="6"/>
      <c r="S4064" s="6"/>
      <c r="T4064" s="6"/>
      <c r="U4064" s="6"/>
      <c r="V4064" s="6"/>
      <c r="W4064" s="6"/>
      <c r="X4064" s="6"/>
      <c r="Y4064" s="6"/>
      <c r="Z4064" s="6"/>
      <c r="AA4064" s="6"/>
      <c r="AB4064" s="6"/>
      <c r="AC4064" s="6"/>
      <c r="AD4064" s="6"/>
      <c r="AE4064" s="6"/>
      <c r="AF4064" s="6"/>
      <c r="AG4064" s="6"/>
      <c r="AH4064" s="6"/>
      <c r="AI4064" s="6"/>
      <c r="AJ4064" s="6"/>
      <c r="AK4064" s="6"/>
      <c r="AL4064" s="6"/>
      <c r="AM4064" s="6"/>
    </row>
    <row r="4065">
      <c r="A4065" s="6"/>
      <c r="B4065" s="6"/>
      <c r="C4065" s="6"/>
      <c r="D4065" s="6"/>
      <c r="E4065" s="6"/>
      <c r="F4065" s="6"/>
      <c r="G4065" s="6"/>
      <c r="H4065" s="6"/>
      <c r="I4065" s="6"/>
      <c r="J4065" s="6"/>
      <c r="K4065" s="6"/>
      <c r="L4065" s="6"/>
      <c r="M4065" s="6"/>
      <c r="N4065" s="6"/>
      <c r="O4065" s="6"/>
      <c r="P4065" s="6"/>
      <c r="Q4065" s="6"/>
      <c r="R4065" s="6"/>
      <c r="S4065" s="6"/>
      <c r="T4065" s="6"/>
      <c r="U4065" s="6"/>
      <c r="V4065" s="6"/>
      <c r="W4065" s="6"/>
      <c r="X4065" s="6"/>
      <c r="Y4065" s="6"/>
      <c r="Z4065" s="6"/>
      <c r="AA4065" s="6"/>
      <c r="AB4065" s="6"/>
      <c r="AC4065" s="6"/>
      <c r="AD4065" s="6"/>
      <c r="AE4065" s="6"/>
      <c r="AF4065" s="6"/>
      <c r="AG4065" s="6"/>
      <c r="AH4065" s="6"/>
      <c r="AI4065" s="6"/>
      <c r="AJ4065" s="6"/>
      <c r="AK4065" s="6"/>
      <c r="AL4065" s="6"/>
      <c r="AM4065" s="6"/>
    </row>
    <row r="4066">
      <c r="A4066" s="6"/>
      <c r="B4066" s="6"/>
      <c r="C4066" s="6"/>
      <c r="D4066" s="6"/>
      <c r="E4066" s="6"/>
      <c r="F4066" s="6"/>
      <c r="G4066" s="6"/>
      <c r="H4066" s="6"/>
      <c r="I4066" s="6"/>
      <c r="J4066" s="6"/>
      <c r="K4066" s="6"/>
      <c r="L4066" s="6"/>
      <c r="M4066" s="6"/>
      <c r="N4066" s="6"/>
      <c r="O4066" s="6"/>
      <c r="P4066" s="6"/>
      <c r="Q4066" s="6"/>
      <c r="R4066" s="6"/>
      <c r="S4066" s="6"/>
      <c r="T4066" s="6"/>
      <c r="U4066" s="6"/>
      <c r="V4066" s="6"/>
      <c r="W4066" s="6"/>
      <c r="X4066" s="6"/>
      <c r="Y4066" s="6"/>
      <c r="Z4066" s="6"/>
      <c r="AA4066" s="6"/>
      <c r="AB4066" s="6"/>
      <c r="AC4066" s="6"/>
      <c r="AD4066" s="6"/>
      <c r="AE4066" s="6"/>
      <c r="AF4066" s="6"/>
      <c r="AG4066" s="6"/>
      <c r="AH4066" s="6"/>
      <c r="AI4066" s="6"/>
      <c r="AJ4066" s="6"/>
      <c r="AK4066" s="6"/>
      <c r="AL4066" s="6"/>
      <c r="AM4066" s="6"/>
    </row>
    <row r="4067">
      <c r="A4067" s="6"/>
      <c r="B4067" s="6"/>
      <c r="C4067" s="6"/>
      <c r="D4067" s="6"/>
      <c r="E4067" s="6"/>
      <c r="F4067" s="6"/>
      <c r="G4067" s="6"/>
      <c r="H4067" s="6"/>
      <c r="I4067" s="6"/>
      <c r="J4067" s="6"/>
      <c r="K4067" s="6"/>
      <c r="L4067" s="6"/>
      <c r="M4067" s="6"/>
      <c r="N4067" s="6"/>
      <c r="O4067" s="6"/>
      <c r="P4067" s="6"/>
      <c r="Q4067" s="6"/>
      <c r="R4067" s="6"/>
      <c r="S4067" s="6"/>
      <c r="T4067" s="6"/>
      <c r="U4067" s="6"/>
      <c r="V4067" s="6"/>
      <c r="W4067" s="6"/>
      <c r="X4067" s="6"/>
      <c r="Y4067" s="6"/>
      <c r="Z4067" s="6"/>
      <c r="AA4067" s="6"/>
      <c r="AB4067" s="6"/>
      <c r="AC4067" s="6"/>
      <c r="AD4067" s="6"/>
      <c r="AE4067" s="6"/>
      <c r="AF4067" s="6"/>
      <c r="AG4067" s="6"/>
      <c r="AH4067" s="6"/>
      <c r="AI4067" s="6"/>
      <c r="AJ4067" s="6"/>
      <c r="AK4067" s="6"/>
      <c r="AL4067" s="6"/>
      <c r="AM4067" s="6"/>
    </row>
    <row r="4068">
      <c r="A4068" s="6"/>
      <c r="B4068" s="6"/>
      <c r="C4068" s="6"/>
      <c r="D4068" s="6"/>
      <c r="E4068" s="6"/>
      <c r="F4068" s="6"/>
      <c r="G4068" s="6"/>
      <c r="H4068" s="6"/>
      <c r="I4068" s="6"/>
      <c r="J4068" s="6"/>
      <c r="K4068" s="6"/>
      <c r="L4068" s="6"/>
      <c r="M4068" s="6"/>
      <c r="N4068" s="6"/>
      <c r="O4068" s="6"/>
      <c r="P4068" s="6"/>
      <c r="Q4068" s="6"/>
      <c r="R4068" s="6"/>
      <c r="S4068" s="6"/>
      <c r="T4068" s="6"/>
      <c r="U4068" s="6"/>
      <c r="V4068" s="6"/>
      <c r="W4068" s="6"/>
      <c r="X4068" s="6"/>
      <c r="Y4068" s="6"/>
      <c r="Z4068" s="6"/>
      <c r="AA4068" s="6"/>
      <c r="AB4068" s="6"/>
      <c r="AC4068" s="6"/>
      <c r="AD4068" s="6"/>
      <c r="AE4068" s="6"/>
      <c r="AF4068" s="6"/>
      <c r="AG4068" s="6"/>
      <c r="AH4068" s="6"/>
      <c r="AI4068" s="6"/>
      <c r="AJ4068" s="6"/>
      <c r="AK4068" s="6"/>
      <c r="AL4068" s="6"/>
      <c r="AM4068" s="6"/>
    </row>
    <row r="4069">
      <c r="A4069" s="6"/>
      <c r="B4069" s="6"/>
      <c r="C4069" s="6"/>
      <c r="D4069" s="6"/>
      <c r="E4069" s="6"/>
      <c r="F4069" s="6"/>
      <c r="G4069" s="6"/>
      <c r="H4069" s="6"/>
      <c r="I4069" s="6"/>
      <c r="J4069" s="6"/>
      <c r="K4069" s="6"/>
      <c r="L4069" s="6"/>
      <c r="M4069" s="6"/>
      <c r="N4069" s="6"/>
      <c r="O4069" s="6"/>
      <c r="P4069" s="6"/>
      <c r="Q4069" s="6"/>
      <c r="R4069" s="6"/>
      <c r="S4069" s="6"/>
      <c r="T4069" s="6"/>
      <c r="U4069" s="6"/>
      <c r="V4069" s="6"/>
      <c r="W4069" s="6"/>
      <c r="X4069" s="6"/>
      <c r="Y4069" s="6"/>
      <c r="Z4069" s="6"/>
      <c r="AA4069" s="6"/>
      <c r="AB4069" s="6"/>
      <c r="AC4069" s="6"/>
      <c r="AD4069" s="6"/>
      <c r="AE4069" s="6"/>
      <c r="AF4069" s="6"/>
      <c r="AG4069" s="6"/>
      <c r="AH4069" s="6"/>
      <c r="AI4069" s="6"/>
      <c r="AJ4069" s="6"/>
      <c r="AK4069" s="6"/>
      <c r="AL4069" s="6"/>
      <c r="AM4069" s="6"/>
    </row>
    <row r="4070">
      <c r="A4070" s="6"/>
      <c r="B4070" s="6"/>
      <c r="C4070" s="6"/>
      <c r="D4070" s="6"/>
      <c r="E4070" s="6"/>
      <c r="F4070" s="6"/>
      <c r="G4070" s="6"/>
      <c r="H4070" s="6"/>
      <c r="I4070" s="6"/>
      <c r="J4070" s="6"/>
      <c r="K4070" s="6"/>
      <c r="L4070" s="6"/>
      <c r="M4070" s="6"/>
      <c r="N4070" s="6"/>
      <c r="O4070" s="6"/>
      <c r="P4070" s="6"/>
      <c r="Q4070" s="6"/>
      <c r="R4070" s="6"/>
      <c r="S4070" s="6"/>
      <c r="T4070" s="6"/>
      <c r="U4070" s="6"/>
      <c r="V4070" s="6"/>
      <c r="W4070" s="6"/>
      <c r="X4070" s="6"/>
      <c r="Y4070" s="6"/>
      <c r="Z4070" s="6"/>
      <c r="AA4070" s="6"/>
      <c r="AB4070" s="6"/>
      <c r="AC4070" s="6"/>
      <c r="AD4070" s="6"/>
      <c r="AE4070" s="6"/>
      <c r="AF4070" s="6"/>
      <c r="AG4070" s="6"/>
      <c r="AH4070" s="6"/>
      <c r="AI4070" s="6"/>
      <c r="AJ4070" s="6"/>
      <c r="AK4070" s="6"/>
      <c r="AL4070" s="6"/>
      <c r="AM4070" s="6"/>
    </row>
    <row r="4071">
      <c r="A4071" s="6"/>
      <c r="B4071" s="6"/>
      <c r="C4071" s="6"/>
      <c r="D4071" s="6"/>
      <c r="E4071" s="6"/>
      <c r="F4071" s="6"/>
      <c r="G4071" s="6"/>
      <c r="H4071" s="6"/>
      <c r="I4071" s="6"/>
      <c r="J4071" s="6"/>
      <c r="K4071" s="6"/>
      <c r="L4071" s="6"/>
      <c r="M4071" s="6"/>
      <c r="N4071" s="6"/>
      <c r="O4071" s="6"/>
      <c r="P4071" s="6"/>
      <c r="Q4071" s="6"/>
      <c r="R4071" s="6"/>
      <c r="S4071" s="6"/>
      <c r="T4071" s="6"/>
      <c r="U4071" s="6"/>
      <c r="V4071" s="6"/>
      <c r="W4071" s="6"/>
      <c r="X4071" s="6"/>
      <c r="Y4071" s="6"/>
      <c r="Z4071" s="6"/>
      <c r="AA4071" s="6"/>
      <c r="AB4071" s="6"/>
      <c r="AC4071" s="6"/>
      <c r="AD4071" s="6"/>
      <c r="AE4071" s="6"/>
      <c r="AF4071" s="6"/>
      <c r="AG4071" s="6"/>
      <c r="AH4071" s="6"/>
      <c r="AI4071" s="6"/>
      <c r="AJ4071" s="6"/>
      <c r="AK4071" s="6"/>
      <c r="AL4071" s="6"/>
      <c r="AM4071" s="6"/>
    </row>
    <row r="4072">
      <c r="A4072" s="6"/>
      <c r="B4072" s="6"/>
      <c r="C4072" s="6"/>
      <c r="D4072" s="6"/>
      <c r="E4072" s="6"/>
      <c r="F4072" s="6"/>
      <c r="G4072" s="6"/>
      <c r="H4072" s="6"/>
      <c r="I4072" s="6"/>
      <c r="J4072" s="6"/>
      <c r="K4072" s="6"/>
      <c r="L4072" s="6"/>
      <c r="M4072" s="6"/>
      <c r="N4072" s="6"/>
      <c r="O4072" s="6"/>
      <c r="P4072" s="6"/>
      <c r="Q4072" s="6"/>
      <c r="R4072" s="6"/>
      <c r="S4072" s="6"/>
      <c r="T4072" s="6"/>
      <c r="U4072" s="6"/>
      <c r="V4072" s="6"/>
      <c r="W4072" s="6"/>
      <c r="X4072" s="6"/>
      <c r="Y4072" s="6"/>
      <c r="Z4072" s="6"/>
      <c r="AA4072" s="6"/>
      <c r="AB4072" s="6"/>
      <c r="AC4072" s="6"/>
      <c r="AD4072" s="6"/>
      <c r="AE4072" s="6"/>
      <c r="AF4072" s="6"/>
      <c r="AG4072" s="6"/>
      <c r="AH4072" s="6"/>
      <c r="AI4072" s="6"/>
      <c r="AJ4072" s="6"/>
      <c r="AK4072" s="6"/>
      <c r="AL4072" s="6"/>
      <c r="AM4072" s="6"/>
    </row>
    <row r="4073">
      <c r="A4073" s="6"/>
      <c r="B4073" s="6"/>
      <c r="C4073" s="6"/>
      <c r="D4073" s="6"/>
      <c r="E4073" s="6"/>
      <c r="F4073" s="6"/>
      <c r="G4073" s="6"/>
      <c r="H4073" s="6"/>
      <c r="I4073" s="6"/>
      <c r="J4073" s="6"/>
      <c r="K4073" s="6"/>
      <c r="L4073" s="6"/>
      <c r="M4073" s="6"/>
      <c r="N4073" s="6"/>
      <c r="O4073" s="6"/>
      <c r="P4073" s="6"/>
      <c r="Q4073" s="6"/>
      <c r="R4073" s="6"/>
      <c r="S4073" s="6"/>
      <c r="T4073" s="6"/>
      <c r="U4073" s="6"/>
      <c r="V4073" s="6"/>
      <c r="W4073" s="6"/>
      <c r="X4073" s="6"/>
      <c r="Y4073" s="6"/>
      <c r="Z4073" s="6"/>
      <c r="AA4073" s="6"/>
      <c r="AB4073" s="6"/>
      <c r="AC4073" s="6"/>
      <c r="AD4073" s="6"/>
      <c r="AE4073" s="6"/>
      <c r="AF4073" s="6"/>
      <c r="AG4073" s="6"/>
      <c r="AH4073" s="6"/>
      <c r="AI4073" s="6"/>
      <c r="AJ4073" s="6"/>
      <c r="AK4073" s="6"/>
      <c r="AL4073" s="6"/>
      <c r="AM4073" s="6"/>
    </row>
    <row r="4074">
      <c r="A4074" s="6"/>
      <c r="B4074" s="6"/>
      <c r="C4074" s="6"/>
      <c r="D4074" s="6"/>
      <c r="E4074" s="6"/>
      <c r="F4074" s="6"/>
      <c r="G4074" s="6"/>
      <c r="H4074" s="6"/>
      <c r="I4074" s="6"/>
      <c r="J4074" s="6"/>
      <c r="K4074" s="6"/>
      <c r="L4074" s="6"/>
      <c r="M4074" s="6"/>
      <c r="N4074" s="6"/>
      <c r="O4074" s="6"/>
      <c r="P4074" s="6"/>
      <c r="Q4074" s="6"/>
      <c r="R4074" s="6"/>
      <c r="S4074" s="6"/>
      <c r="T4074" s="6"/>
      <c r="U4074" s="6"/>
      <c r="V4074" s="6"/>
      <c r="W4074" s="6"/>
      <c r="X4074" s="6"/>
      <c r="Y4074" s="6"/>
      <c r="Z4074" s="6"/>
      <c r="AA4074" s="6"/>
      <c r="AB4074" s="6"/>
      <c r="AC4074" s="6"/>
      <c r="AD4074" s="6"/>
      <c r="AE4074" s="6"/>
      <c r="AF4074" s="6"/>
      <c r="AG4074" s="6"/>
      <c r="AH4074" s="6"/>
      <c r="AI4074" s="6"/>
      <c r="AJ4074" s="6"/>
      <c r="AK4074" s="6"/>
      <c r="AL4074" s="6"/>
      <c r="AM4074" s="6"/>
    </row>
    <row r="4075">
      <c r="A4075" s="6"/>
      <c r="B4075" s="6"/>
      <c r="C4075" s="6"/>
      <c r="D4075" s="6"/>
      <c r="E4075" s="6"/>
      <c r="F4075" s="6"/>
      <c r="G4075" s="6"/>
      <c r="H4075" s="6"/>
      <c r="I4075" s="6"/>
      <c r="J4075" s="6"/>
      <c r="K4075" s="6"/>
      <c r="L4075" s="6"/>
      <c r="M4075" s="6"/>
      <c r="N4075" s="6"/>
      <c r="O4075" s="6"/>
      <c r="P4075" s="6"/>
      <c r="Q4075" s="6"/>
      <c r="R4075" s="6"/>
      <c r="S4075" s="6"/>
      <c r="T4075" s="6"/>
      <c r="U4075" s="6"/>
      <c r="V4075" s="6"/>
      <c r="W4075" s="6"/>
      <c r="X4075" s="6"/>
      <c r="Y4075" s="6"/>
      <c r="Z4075" s="6"/>
      <c r="AA4075" s="6"/>
      <c r="AB4075" s="6"/>
      <c r="AC4075" s="6"/>
      <c r="AD4075" s="6"/>
      <c r="AE4075" s="6"/>
      <c r="AF4075" s="6"/>
      <c r="AG4075" s="6"/>
      <c r="AH4075" s="6"/>
      <c r="AI4075" s="6"/>
      <c r="AJ4075" s="6"/>
      <c r="AK4075" s="6"/>
      <c r="AL4075" s="6"/>
      <c r="AM4075" s="6"/>
    </row>
    <row r="4076">
      <c r="A4076" s="6"/>
      <c r="B4076" s="6"/>
      <c r="C4076" s="6"/>
      <c r="D4076" s="6"/>
      <c r="E4076" s="6"/>
      <c r="F4076" s="6"/>
      <c r="G4076" s="6"/>
      <c r="H4076" s="6"/>
      <c r="I4076" s="6"/>
      <c r="J4076" s="6"/>
      <c r="K4076" s="6"/>
      <c r="L4076" s="6"/>
      <c r="M4076" s="6"/>
      <c r="N4076" s="6"/>
      <c r="O4076" s="6"/>
      <c r="P4076" s="6"/>
      <c r="Q4076" s="6"/>
      <c r="R4076" s="6"/>
      <c r="S4076" s="6"/>
      <c r="T4076" s="6"/>
      <c r="U4076" s="6"/>
      <c r="V4076" s="6"/>
      <c r="W4076" s="6"/>
      <c r="X4076" s="6"/>
      <c r="Y4076" s="6"/>
      <c r="Z4076" s="6"/>
      <c r="AA4076" s="6"/>
      <c r="AB4076" s="6"/>
      <c r="AC4076" s="6"/>
      <c r="AD4076" s="6"/>
      <c r="AE4076" s="6"/>
      <c r="AF4076" s="6"/>
      <c r="AG4076" s="6"/>
      <c r="AH4076" s="6"/>
      <c r="AI4076" s="6"/>
      <c r="AJ4076" s="6"/>
      <c r="AK4076" s="6"/>
      <c r="AL4076" s="6"/>
      <c r="AM4076" s="6"/>
    </row>
    <row r="4077">
      <c r="A4077" s="6"/>
      <c r="B4077" s="6"/>
      <c r="C4077" s="6"/>
      <c r="D4077" s="6"/>
      <c r="E4077" s="6"/>
      <c r="F4077" s="6"/>
      <c r="G4077" s="6"/>
      <c r="H4077" s="6"/>
      <c r="I4077" s="6"/>
      <c r="J4077" s="6"/>
      <c r="K4077" s="6"/>
      <c r="L4077" s="6"/>
      <c r="M4077" s="6"/>
      <c r="N4077" s="6"/>
      <c r="O4077" s="6"/>
      <c r="P4077" s="6"/>
      <c r="Q4077" s="6"/>
      <c r="R4077" s="6"/>
      <c r="S4077" s="6"/>
      <c r="T4077" s="6"/>
      <c r="U4077" s="6"/>
      <c r="V4077" s="6"/>
      <c r="W4077" s="6"/>
      <c r="X4077" s="6"/>
      <c r="Y4077" s="6"/>
      <c r="Z4077" s="6"/>
      <c r="AA4077" s="6"/>
      <c r="AB4077" s="6"/>
      <c r="AC4077" s="6"/>
      <c r="AD4077" s="6"/>
      <c r="AE4077" s="6"/>
      <c r="AF4077" s="6"/>
      <c r="AG4077" s="6"/>
      <c r="AH4077" s="6"/>
      <c r="AI4077" s="6"/>
      <c r="AJ4077" s="6"/>
      <c r="AK4077" s="6"/>
      <c r="AL4077" s="6"/>
      <c r="AM4077" s="6"/>
    </row>
    <row r="4078">
      <c r="A4078" s="6"/>
      <c r="B4078" s="6"/>
      <c r="C4078" s="6"/>
      <c r="D4078" s="6"/>
      <c r="E4078" s="6"/>
      <c r="F4078" s="6"/>
      <c r="G4078" s="6"/>
      <c r="H4078" s="6"/>
      <c r="I4078" s="6"/>
      <c r="J4078" s="6"/>
      <c r="K4078" s="6"/>
      <c r="L4078" s="6"/>
      <c r="M4078" s="6"/>
      <c r="N4078" s="6"/>
      <c r="O4078" s="6"/>
      <c r="P4078" s="6"/>
      <c r="Q4078" s="6"/>
      <c r="R4078" s="6"/>
      <c r="S4078" s="6"/>
      <c r="T4078" s="6"/>
      <c r="U4078" s="6"/>
      <c r="V4078" s="6"/>
      <c r="W4078" s="6"/>
      <c r="X4078" s="6"/>
      <c r="Y4078" s="6"/>
      <c r="Z4078" s="6"/>
      <c r="AA4078" s="6"/>
      <c r="AB4078" s="6"/>
      <c r="AC4078" s="6"/>
      <c r="AD4078" s="6"/>
      <c r="AE4078" s="6"/>
      <c r="AF4078" s="6"/>
      <c r="AG4078" s="6"/>
      <c r="AH4078" s="6"/>
      <c r="AI4078" s="6"/>
      <c r="AJ4078" s="6"/>
      <c r="AK4078" s="6"/>
      <c r="AL4078" s="6"/>
      <c r="AM4078" s="6"/>
    </row>
    <row r="4079">
      <c r="A4079" s="6"/>
      <c r="B4079" s="6"/>
      <c r="C4079" s="6"/>
      <c r="D4079" s="6"/>
      <c r="E4079" s="6"/>
      <c r="F4079" s="6"/>
      <c r="G4079" s="6"/>
      <c r="H4079" s="6"/>
      <c r="I4079" s="6"/>
      <c r="J4079" s="6"/>
      <c r="K4079" s="6"/>
      <c r="L4079" s="6"/>
      <c r="M4079" s="6"/>
      <c r="N4079" s="6"/>
      <c r="O4079" s="6"/>
      <c r="P4079" s="6"/>
      <c r="Q4079" s="6"/>
      <c r="R4079" s="6"/>
      <c r="S4079" s="6"/>
      <c r="T4079" s="6"/>
      <c r="U4079" s="6"/>
      <c r="V4079" s="6"/>
      <c r="W4079" s="6"/>
      <c r="X4079" s="6"/>
      <c r="Y4079" s="6"/>
      <c r="Z4079" s="6"/>
      <c r="AA4079" s="6"/>
      <c r="AB4079" s="6"/>
      <c r="AC4079" s="6"/>
      <c r="AD4079" s="6"/>
      <c r="AE4079" s="6"/>
      <c r="AF4079" s="6"/>
      <c r="AG4079" s="6"/>
      <c r="AH4079" s="6"/>
      <c r="AI4079" s="6"/>
      <c r="AJ4079" s="6"/>
      <c r="AK4079" s="6"/>
      <c r="AL4079" s="6"/>
      <c r="AM4079" s="6"/>
    </row>
    <row r="4080">
      <c r="A4080" s="6"/>
      <c r="B4080" s="6"/>
      <c r="C4080" s="6"/>
      <c r="D4080" s="6"/>
      <c r="E4080" s="6"/>
      <c r="F4080" s="6"/>
      <c r="G4080" s="6"/>
      <c r="H4080" s="6"/>
      <c r="I4080" s="6"/>
      <c r="J4080" s="6"/>
      <c r="K4080" s="6"/>
      <c r="L4080" s="6"/>
      <c r="M4080" s="6"/>
      <c r="N4080" s="6"/>
      <c r="O4080" s="6"/>
      <c r="P4080" s="6"/>
      <c r="Q4080" s="6"/>
      <c r="R4080" s="6"/>
      <c r="S4080" s="6"/>
      <c r="T4080" s="6"/>
      <c r="U4080" s="6"/>
      <c r="V4080" s="6"/>
      <c r="W4080" s="6"/>
      <c r="X4080" s="6"/>
      <c r="Y4080" s="6"/>
      <c r="Z4080" s="6"/>
      <c r="AA4080" s="6"/>
      <c r="AB4080" s="6"/>
      <c r="AC4080" s="6"/>
      <c r="AD4080" s="6"/>
      <c r="AE4080" s="6"/>
      <c r="AF4080" s="6"/>
      <c r="AG4080" s="6"/>
      <c r="AH4080" s="6"/>
      <c r="AI4080" s="6"/>
      <c r="AJ4080" s="6"/>
      <c r="AK4080" s="6"/>
      <c r="AL4080" s="6"/>
      <c r="AM4080" s="6"/>
    </row>
    <row r="4081">
      <c r="A4081" s="6"/>
      <c r="B4081" s="6"/>
      <c r="C4081" s="6"/>
      <c r="D4081" s="6"/>
      <c r="E4081" s="6"/>
      <c r="F4081" s="6"/>
      <c r="G4081" s="6"/>
      <c r="H4081" s="6"/>
      <c r="I4081" s="6"/>
      <c r="J4081" s="6"/>
      <c r="K4081" s="6"/>
      <c r="L4081" s="6"/>
      <c r="M4081" s="6"/>
      <c r="N4081" s="6"/>
      <c r="O4081" s="6"/>
      <c r="P4081" s="6"/>
      <c r="Q4081" s="6"/>
      <c r="R4081" s="6"/>
      <c r="S4081" s="6"/>
      <c r="T4081" s="6"/>
      <c r="U4081" s="6"/>
      <c r="V4081" s="6"/>
      <c r="W4081" s="6"/>
      <c r="X4081" s="6"/>
      <c r="Y4081" s="6"/>
      <c r="Z4081" s="6"/>
      <c r="AA4081" s="6"/>
      <c r="AB4081" s="6"/>
      <c r="AC4081" s="6"/>
      <c r="AD4081" s="6"/>
      <c r="AE4081" s="6"/>
      <c r="AF4081" s="6"/>
      <c r="AG4081" s="6"/>
      <c r="AH4081" s="6"/>
      <c r="AI4081" s="6"/>
      <c r="AJ4081" s="6"/>
      <c r="AK4081" s="6"/>
      <c r="AL4081" s="6"/>
      <c r="AM4081" s="6"/>
    </row>
    <row r="4082">
      <c r="A4082" s="6"/>
      <c r="B4082" s="6"/>
      <c r="C4082" s="6"/>
      <c r="D4082" s="6"/>
      <c r="E4082" s="6"/>
      <c r="F4082" s="6"/>
      <c r="G4082" s="6"/>
      <c r="H4082" s="6"/>
      <c r="I4082" s="6"/>
      <c r="J4082" s="6"/>
      <c r="K4082" s="6"/>
      <c r="L4082" s="6"/>
      <c r="M4082" s="6"/>
      <c r="N4082" s="6"/>
      <c r="O4082" s="6"/>
      <c r="P4082" s="6"/>
      <c r="Q4082" s="6"/>
      <c r="R4082" s="6"/>
      <c r="S4082" s="6"/>
      <c r="T4082" s="6"/>
      <c r="U4082" s="6"/>
      <c r="V4082" s="6"/>
      <c r="W4082" s="6"/>
      <c r="X4082" s="6"/>
      <c r="Y4082" s="6"/>
      <c r="Z4082" s="6"/>
      <c r="AA4082" s="6"/>
      <c r="AB4082" s="6"/>
      <c r="AC4082" s="6"/>
      <c r="AD4082" s="6"/>
      <c r="AE4082" s="6"/>
      <c r="AF4082" s="6"/>
      <c r="AG4082" s="6"/>
      <c r="AH4082" s="6"/>
      <c r="AI4082" s="6"/>
      <c r="AJ4082" s="6"/>
      <c r="AK4082" s="6"/>
      <c r="AL4082" s="6"/>
      <c r="AM4082" s="6"/>
    </row>
    <row r="4083">
      <c r="A4083" s="6"/>
      <c r="B4083" s="6"/>
      <c r="C4083" s="6"/>
      <c r="D4083" s="6"/>
      <c r="E4083" s="6"/>
      <c r="F4083" s="6"/>
      <c r="G4083" s="6"/>
      <c r="H4083" s="6"/>
      <c r="I4083" s="6"/>
      <c r="J4083" s="6"/>
      <c r="K4083" s="6"/>
      <c r="L4083" s="6"/>
      <c r="M4083" s="6"/>
      <c r="N4083" s="6"/>
      <c r="O4083" s="6"/>
      <c r="P4083" s="6"/>
      <c r="Q4083" s="6"/>
      <c r="R4083" s="6"/>
      <c r="S4083" s="6"/>
      <c r="T4083" s="6"/>
      <c r="U4083" s="6"/>
      <c r="V4083" s="6"/>
      <c r="W4083" s="6"/>
      <c r="X4083" s="6"/>
      <c r="Y4083" s="6"/>
      <c r="Z4083" s="6"/>
      <c r="AA4083" s="6"/>
      <c r="AB4083" s="6"/>
      <c r="AC4083" s="6"/>
      <c r="AD4083" s="6"/>
      <c r="AE4083" s="6"/>
      <c r="AF4083" s="6"/>
      <c r="AG4083" s="6"/>
      <c r="AH4083" s="6"/>
      <c r="AI4083" s="6"/>
      <c r="AJ4083" s="6"/>
      <c r="AK4083" s="6"/>
      <c r="AL4083" s="6"/>
      <c r="AM4083" s="6"/>
    </row>
    <row r="4084">
      <c r="A4084" s="6"/>
      <c r="B4084" s="6"/>
      <c r="C4084" s="6"/>
      <c r="D4084" s="6"/>
      <c r="E4084" s="6"/>
      <c r="F4084" s="6"/>
      <c r="G4084" s="6"/>
      <c r="H4084" s="6"/>
      <c r="I4084" s="6"/>
      <c r="J4084" s="6"/>
      <c r="K4084" s="6"/>
      <c r="L4084" s="6"/>
      <c r="M4084" s="6"/>
      <c r="N4084" s="6"/>
      <c r="O4084" s="6"/>
      <c r="P4084" s="6"/>
      <c r="Q4084" s="6"/>
      <c r="R4084" s="6"/>
      <c r="S4084" s="6"/>
      <c r="T4084" s="6"/>
      <c r="U4084" s="6"/>
      <c r="V4084" s="6"/>
      <c r="W4084" s="6"/>
      <c r="X4084" s="6"/>
      <c r="Y4084" s="6"/>
      <c r="Z4084" s="6"/>
      <c r="AA4084" s="6"/>
      <c r="AB4084" s="6"/>
      <c r="AC4084" s="6"/>
      <c r="AD4084" s="6"/>
      <c r="AE4084" s="6"/>
      <c r="AF4084" s="6"/>
      <c r="AG4084" s="6"/>
      <c r="AH4084" s="6"/>
      <c r="AI4084" s="6"/>
      <c r="AJ4084" s="6"/>
      <c r="AK4084" s="6"/>
      <c r="AL4084" s="6"/>
      <c r="AM4084" s="6"/>
    </row>
    <row r="4085">
      <c r="A4085" s="6"/>
      <c r="B4085" s="6"/>
      <c r="C4085" s="6"/>
      <c r="D4085" s="6"/>
      <c r="E4085" s="6"/>
      <c r="F4085" s="6"/>
      <c r="G4085" s="6"/>
      <c r="H4085" s="6"/>
      <c r="I4085" s="6"/>
      <c r="J4085" s="6"/>
      <c r="K4085" s="6"/>
      <c r="L4085" s="6"/>
      <c r="M4085" s="6"/>
      <c r="N4085" s="6"/>
      <c r="O4085" s="6"/>
      <c r="P4085" s="6"/>
      <c r="Q4085" s="6"/>
      <c r="R4085" s="6"/>
      <c r="S4085" s="6"/>
      <c r="T4085" s="6"/>
      <c r="U4085" s="6"/>
      <c r="V4085" s="6"/>
      <c r="W4085" s="6"/>
      <c r="X4085" s="6"/>
      <c r="Y4085" s="6"/>
      <c r="Z4085" s="6"/>
      <c r="AA4085" s="6"/>
      <c r="AB4085" s="6"/>
      <c r="AC4085" s="6"/>
      <c r="AD4085" s="6"/>
      <c r="AE4085" s="6"/>
      <c r="AF4085" s="6"/>
      <c r="AG4085" s="6"/>
      <c r="AH4085" s="6"/>
      <c r="AI4085" s="6"/>
      <c r="AJ4085" s="6"/>
      <c r="AK4085" s="6"/>
      <c r="AL4085" s="6"/>
      <c r="AM4085" s="6"/>
    </row>
    <row r="4086">
      <c r="A4086" s="6"/>
      <c r="B4086" s="6"/>
      <c r="C4086" s="6"/>
      <c r="D4086" s="6"/>
      <c r="E4086" s="6"/>
      <c r="F4086" s="6"/>
      <c r="G4086" s="6"/>
      <c r="H4086" s="6"/>
      <c r="I4086" s="6"/>
      <c r="J4086" s="6"/>
      <c r="K4086" s="6"/>
      <c r="L4086" s="6"/>
      <c r="M4086" s="6"/>
      <c r="N4086" s="6"/>
      <c r="O4086" s="6"/>
      <c r="P4086" s="6"/>
      <c r="Q4086" s="6"/>
      <c r="R4086" s="6"/>
      <c r="S4086" s="6"/>
      <c r="T4086" s="6"/>
      <c r="U4086" s="6"/>
      <c r="V4086" s="6"/>
      <c r="W4086" s="6"/>
      <c r="X4086" s="6"/>
      <c r="Y4086" s="6"/>
      <c r="Z4086" s="6"/>
      <c r="AA4086" s="6"/>
      <c r="AB4086" s="6"/>
      <c r="AC4086" s="6"/>
      <c r="AD4086" s="6"/>
      <c r="AE4086" s="6"/>
      <c r="AF4086" s="6"/>
      <c r="AG4086" s="6"/>
      <c r="AH4086" s="6"/>
      <c r="AI4086" s="6"/>
      <c r="AJ4086" s="6"/>
      <c r="AK4086" s="6"/>
      <c r="AL4086" s="6"/>
      <c r="AM4086" s="6"/>
    </row>
    <row r="4087">
      <c r="A4087" s="6"/>
      <c r="B4087" s="6"/>
      <c r="C4087" s="6"/>
      <c r="D4087" s="6"/>
      <c r="E4087" s="6"/>
      <c r="F4087" s="6"/>
      <c r="G4087" s="6"/>
      <c r="H4087" s="6"/>
      <c r="I4087" s="6"/>
      <c r="J4087" s="6"/>
      <c r="K4087" s="6"/>
      <c r="L4087" s="6"/>
      <c r="M4087" s="6"/>
      <c r="N4087" s="6"/>
      <c r="O4087" s="6"/>
      <c r="P4087" s="6"/>
      <c r="Q4087" s="6"/>
      <c r="R4087" s="6"/>
      <c r="S4087" s="6"/>
      <c r="T4087" s="6"/>
      <c r="U4087" s="6"/>
      <c r="V4087" s="6"/>
      <c r="W4087" s="6"/>
      <c r="X4087" s="6"/>
      <c r="Y4087" s="6"/>
      <c r="Z4087" s="6"/>
      <c r="AA4087" s="6"/>
      <c r="AB4087" s="6"/>
      <c r="AC4087" s="6"/>
      <c r="AD4087" s="6"/>
      <c r="AE4087" s="6"/>
      <c r="AF4087" s="6"/>
      <c r="AG4087" s="6"/>
      <c r="AH4087" s="6"/>
      <c r="AI4087" s="6"/>
      <c r="AJ4087" s="6"/>
      <c r="AK4087" s="6"/>
      <c r="AL4087" s="6"/>
      <c r="AM4087" s="6"/>
    </row>
    <row r="4088">
      <c r="A4088" s="6"/>
      <c r="B4088" s="6"/>
      <c r="C4088" s="6"/>
      <c r="D4088" s="6"/>
      <c r="E4088" s="6"/>
      <c r="F4088" s="6"/>
      <c r="G4088" s="6"/>
      <c r="H4088" s="6"/>
      <c r="I4088" s="6"/>
      <c r="J4088" s="6"/>
      <c r="K4088" s="6"/>
      <c r="L4088" s="6"/>
      <c r="M4088" s="6"/>
      <c r="N4088" s="6"/>
      <c r="O4088" s="6"/>
      <c r="P4088" s="6"/>
      <c r="Q4088" s="6"/>
      <c r="R4088" s="6"/>
      <c r="S4088" s="6"/>
      <c r="T4088" s="6"/>
      <c r="U4088" s="6"/>
      <c r="V4088" s="6"/>
      <c r="W4088" s="6"/>
      <c r="X4088" s="6"/>
      <c r="Y4088" s="6"/>
      <c r="Z4088" s="6"/>
      <c r="AA4088" s="6"/>
      <c r="AB4088" s="6"/>
      <c r="AC4088" s="6"/>
      <c r="AD4088" s="6"/>
      <c r="AE4088" s="6"/>
      <c r="AF4088" s="6"/>
      <c r="AG4088" s="6"/>
      <c r="AH4088" s="6"/>
      <c r="AI4088" s="6"/>
      <c r="AJ4088" s="6"/>
      <c r="AK4088" s="6"/>
      <c r="AL4088" s="6"/>
      <c r="AM4088" s="6"/>
    </row>
    <row r="4089">
      <c r="A4089" s="6"/>
      <c r="B4089" s="6"/>
      <c r="C4089" s="6"/>
      <c r="D4089" s="6"/>
      <c r="E4089" s="6"/>
      <c r="F4089" s="6"/>
      <c r="G4089" s="6"/>
      <c r="H4089" s="6"/>
      <c r="I4089" s="6"/>
      <c r="J4089" s="6"/>
      <c r="K4089" s="6"/>
      <c r="L4089" s="6"/>
      <c r="M4089" s="6"/>
      <c r="N4089" s="6"/>
      <c r="O4089" s="6"/>
      <c r="P4089" s="6"/>
      <c r="Q4089" s="6"/>
      <c r="R4089" s="6"/>
      <c r="S4089" s="6"/>
      <c r="T4089" s="6"/>
      <c r="U4089" s="6"/>
      <c r="V4089" s="6"/>
      <c r="W4089" s="6"/>
      <c r="X4089" s="6"/>
      <c r="Y4089" s="6"/>
      <c r="Z4089" s="6"/>
      <c r="AA4089" s="6"/>
      <c r="AB4089" s="6"/>
      <c r="AC4089" s="6"/>
      <c r="AD4089" s="6"/>
      <c r="AE4089" s="6"/>
      <c r="AF4089" s="6"/>
      <c r="AG4089" s="6"/>
      <c r="AH4089" s="6"/>
      <c r="AI4089" s="6"/>
      <c r="AJ4089" s="6"/>
      <c r="AK4089" s="6"/>
      <c r="AL4089" s="6"/>
      <c r="AM4089" s="6"/>
    </row>
    <row r="4090">
      <c r="A4090" s="6"/>
      <c r="B4090" s="6"/>
      <c r="C4090" s="6"/>
      <c r="D4090" s="6"/>
      <c r="E4090" s="6"/>
      <c r="F4090" s="6"/>
      <c r="G4090" s="6"/>
      <c r="H4090" s="6"/>
      <c r="I4090" s="6"/>
      <c r="J4090" s="6"/>
      <c r="K4090" s="6"/>
      <c r="L4090" s="6"/>
      <c r="M4090" s="6"/>
      <c r="N4090" s="6"/>
      <c r="O4090" s="6"/>
      <c r="P4090" s="6"/>
      <c r="Q4090" s="6"/>
      <c r="R4090" s="6"/>
      <c r="S4090" s="6"/>
      <c r="T4090" s="6"/>
      <c r="U4090" s="6"/>
      <c r="V4090" s="6"/>
      <c r="W4090" s="6"/>
      <c r="X4090" s="6"/>
      <c r="Y4090" s="6"/>
      <c r="Z4090" s="6"/>
      <c r="AA4090" s="6"/>
      <c r="AB4090" s="6"/>
      <c r="AC4090" s="6"/>
      <c r="AD4090" s="6"/>
      <c r="AE4090" s="6"/>
      <c r="AF4090" s="6"/>
      <c r="AG4090" s="6"/>
      <c r="AH4090" s="6"/>
      <c r="AI4090" s="6"/>
      <c r="AJ4090" s="6"/>
      <c r="AK4090" s="6"/>
      <c r="AL4090" s="6"/>
      <c r="AM4090" s="6"/>
    </row>
    <row r="4091">
      <c r="A4091" s="6"/>
      <c r="B4091" s="6"/>
      <c r="C4091" s="6"/>
      <c r="D4091" s="6"/>
      <c r="E4091" s="6"/>
      <c r="F4091" s="6"/>
      <c r="G4091" s="6"/>
      <c r="H4091" s="6"/>
      <c r="I4091" s="6"/>
      <c r="J4091" s="6"/>
      <c r="K4091" s="6"/>
      <c r="L4091" s="6"/>
      <c r="M4091" s="6"/>
      <c r="N4091" s="6"/>
      <c r="O4091" s="6"/>
      <c r="P4091" s="6"/>
      <c r="Q4091" s="6"/>
      <c r="R4091" s="6"/>
      <c r="S4091" s="6"/>
      <c r="T4091" s="6"/>
      <c r="U4091" s="6"/>
      <c r="V4091" s="6"/>
      <c r="W4091" s="6"/>
      <c r="X4091" s="6"/>
      <c r="Y4091" s="6"/>
      <c r="Z4091" s="6"/>
      <c r="AA4091" s="6"/>
      <c r="AB4091" s="6"/>
      <c r="AC4091" s="6"/>
      <c r="AD4091" s="6"/>
      <c r="AE4091" s="6"/>
      <c r="AF4091" s="6"/>
      <c r="AG4091" s="6"/>
      <c r="AH4091" s="6"/>
      <c r="AI4091" s="6"/>
      <c r="AJ4091" s="6"/>
      <c r="AK4091" s="6"/>
      <c r="AL4091" s="6"/>
      <c r="AM4091" s="6"/>
    </row>
    <row r="4092">
      <c r="A4092" s="6"/>
      <c r="B4092" s="6"/>
      <c r="C4092" s="6"/>
      <c r="D4092" s="6"/>
      <c r="E4092" s="6"/>
      <c r="F4092" s="6"/>
      <c r="G4092" s="6"/>
      <c r="H4092" s="6"/>
      <c r="I4092" s="6"/>
      <c r="J4092" s="6"/>
      <c r="K4092" s="6"/>
      <c r="L4092" s="6"/>
      <c r="M4092" s="6"/>
      <c r="N4092" s="6"/>
      <c r="O4092" s="6"/>
      <c r="P4092" s="6"/>
      <c r="Q4092" s="6"/>
      <c r="R4092" s="6"/>
      <c r="S4092" s="6"/>
      <c r="T4092" s="6"/>
      <c r="U4092" s="6"/>
      <c r="V4092" s="6"/>
      <c r="W4092" s="6"/>
      <c r="X4092" s="6"/>
      <c r="Y4092" s="6"/>
      <c r="Z4092" s="6"/>
      <c r="AA4092" s="6"/>
      <c r="AB4092" s="6"/>
      <c r="AC4092" s="6"/>
      <c r="AD4092" s="6"/>
      <c r="AE4092" s="6"/>
      <c r="AF4092" s="6"/>
      <c r="AG4092" s="6"/>
      <c r="AH4092" s="6"/>
      <c r="AI4092" s="6"/>
      <c r="AJ4092" s="6"/>
      <c r="AK4092" s="6"/>
      <c r="AL4092" s="6"/>
      <c r="AM4092" s="6"/>
    </row>
    <row r="4093">
      <c r="A4093" s="6"/>
      <c r="B4093" s="6"/>
      <c r="C4093" s="6"/>
      <c r="D4093" s="6"/>
      <c r="E4093" s="6"/>
      <c r="F4093" s="6"/>
      <c r="G4093" s="6"/>
      <c r="H4093" s="6"/>
      <c r="I4093" s="6"/>
      <c r="J4093" s="6"/>
      <c r="K4093" s="6"/>
      <c r="L4093" s="6"/>
      <c r="M4093" s="6"/>
      <c r="N4093" s="6"/>
      <c r="O4093" s="6"/>
      <c r="P4093" s="6"/>
      <c r="Q4093" s="6"/>
      <c r="R4093" s="6"/>
      <c r="S4093" s="6"/>
      <c r="T4093" s="6"/>
      <c r="U4093" s="6"/>
      <c r="V4093" s="6"/>
      <c r="W4093" s="6"/>
      <c r="X4093" s="6"/>
      <c r="Y4093" s="6"/>
      <c r="Z4093" s="6"/>
      <c r="AA4093" s="6"/>
      <c r="AB4093" s="6"/>
      <c r="AC4093" s="6"/>
      <c r="AD4093" s="6"/>
      <c r="AE4093" s="6"/>
      <c r="AF4093" s="6"/>
      <c r="AG4093" s="6"/>
      <c r="AH4093" s="6"/>
      <c r="AI4093" s="6"/>
      <c r="AJ4093" s="6"/>
      <c r="AK4093" s="6"/>
      <c r="AL4093" s="6"/>
      <c r="AM4093" s="6"/>
    </row>
    <row r="4094">
      <c r="A4094" s="6"/>
      <c r="B4094" s="6"/>
      <c r="C4094" s="6"/>
      <c r="D4094" s="6"/>
      <c r="E4094" s="6"/>
      <c r="F4094" s="6"/>
      <c r="G4094" s="6"/>
      <c r="H4094" s="6"/>
      <c r="I4094" s="6"/>
      <c r="J4094" s="6"/>
      <c r="K4094" s="6"/>
      <c r="L4094" s="6"/>
      <c r="M4094" s="6"/>
      <c r="N4094" s="6"/>
      <c r="O4094" s="6"/>
      <c r="P4094" s="6"/>
      <c r="Q4094" s="6"/>
      <c r="R4094" s="6"/>
      <c r="S4094" s="6"/>
      <c r="T4094" s="6"/>
      <c r="U4094" s="6"/>
      <c r="V4094" s="6"/>
      <c r="W4094" s="6"/>
      <c r="X4094" s="6"/>
      <c r="Y4094" s="6"/>
      <c r="Z4094" s="6"/>
      <c r="AA4094" s="6"/>
      <c r="AB4094" s="6"/>
      <c r="AC4094" s="6"/>
      <c r="AD4094" s="6"/>
      <c r="AE4094" s="6"/>
      <c r="AF4094" s="6"/>
      <c r="AG4094" s="6"/>
      <c r="AH4094" s="6"/>
      <c r="AI4094" s="6"/>
      <c r="AJ4094" s="6"/>
      <c r="AK4094" s="6"/>
      <c r="AL4094" s="6"/>
      <c r="AM4094" s="6"/>
    </row>
    <row r="4095">
      <c r="A4095" s="6"/>
      <c r="B4095" s="6"/>
      <c r="C4095" s="6"/>
      <c r="D4095" s="6"/>
      <c r="E4095" s="6"/>
      <c r="F4095" s="6"/>
      <c r="G4095" s="6"/>
      <c r="H4095" s="6"/>
      <c r="I4095" s="6"/>
      <c r="J4095" s="6"/>
      <c r="K4095" s="6"/>
      <c r="L4095" s="6"/>
      <c r="M4095" s="6"/>
      <c r="N4095" s="6"/>
      <c r="O4095" s="6"/>
      <c r="P4095" s="6"/>
      <c r="Q4095" s="6"/>
      <c r="R4095" s="6"/>
      <c r="S4095" s="6"/>
      <c r="T4095" s="6"/>
      <c r="U4095" s="6"/>
      <c r="V4095" s="6"/>
      <c r="W4095" s="6"/>
      <c r="X4095" s="6"/>
      <c r="Y4095" s="6"/>
      <c r="Z4095" s="6"/>
      <c r="AA4095" s="6"/>
      <c r="AB4095" s="6"/>
      <c r="AC4095" s="6"/>
      <c r="AD4095" s="6"/>
      <c r="AE4095" s="6"/>
      <c r="AF4095" s="6"/>
      <c r="AG4095" s="6"/>
      <c r="AH4095" s="6"/>
      <c r="AI4095" s="6"/>
      <c r="AJ4095" s="6"/>
      <c r="AK4095" s="6"/>
      <c r="AL4095" s="6"/>
      <c r="AM4095" s="6"/>
    </row>
    <row r="4096">
      <c r="A4096" s="6"/>
      <c r="B4096" s="6"/>
      <c r="C4096" s="6"/>
      <c r="D4096" s="6"/>
      <c r="E4096" s="6"/>
      <c r="F4096" s="6"/>
      <c r="G4096" s="6"/>
      <c r="H4096" s="6"/>
      <c r="I4096" s="6"/>
      <c r="J4096" s="6"/>
      <c r="K4096" s="6"/>
      <c r="L4096" s="6"/>
      <c r="M4096" s="6"/>
      <c r="N4096" s="6"/>
      <c r="O4096" s="6"/>
      <c r="P4096" s="6"/>
      <c r="Q4096" s="6"/>
      <c r="R4096" s="6"/>
      <c r="S4096" s="6"/>
      <c r="T4096" s="6"/>
      <c r="U4096" s="6"/>
      <c r="V4096" s="6"/>
      <c r="W4096" s="6"/>
      <c r="X4096" s="6"/>
      <c r="Y4096" s="6"/>
      <c r="Z4096" s="6"/>
      <c r="AA4096" s="6"/>
      <c r="AB4096" s="6"/>
      <c r="AC4096" s="6"/>
      <c r="AD4096" s="6"/>
      <c r="AE4096" s="6"/>
      <c r="AF4096" s="6"/>
      <c r="AG4096" s="6"/>
      <c r="AH4096" s="6"/>
      <c r="AI4096" s="6"/>
      <c r="AJ4096" s="6"/>
      <c r="AK4096" s="6"/>
      <c r="AL4096" s="6"/>
      <c r="AM4096" s="6"/>
    </row>
    <row r="4097">
      <c r="A4097" s="6"/>
      <c r="B4097" s="6"/>
      <c r="C4097" s="6"/>
      <c r="D4097" s="6"/>
      <c r="E4097" s="6"/>
      <c r="F4097" s="6"/>
      <c r="G4097" s="6"/>
      <c r="H4097" s="6"/>
      <c r="I4097" s="6"/>
      <c r="J4097" s="6"/>
      <c r="K4097" s="6"/>
      <c r="L4097" s="6"/>
      <c r="M4097" s="6"/>
      <c r="N4097" s="6"/>
      <c r="O4097" s="6"/>
      <c r="P4097" s="6"/>
      <c r="Q4097" s="6"/>
      <c r="R4097" s="6"/>
      <c r="S4097" s="6"/>
      <c r="T4097" s="6"/>
      <c r="U4097" s="6"/>
      <c r="V4097" s="6"/>
      <c r="W4097" s="6"/>
      <c r="X4097" s="6"/>
      <c r="Y4097" s="6"/>
      <c r="Z4097" s="6"/>
      <c r="AA4097" s="6"/>
      <c r="AB4097" s="6"/>
      <c r="AC4097" s="6"/>
      <c r="AD4097" s="6"/>
      <c r="AE4097" s="6"/>
      <c r="AF4097" s="6"/>
      <c r="AG4097" s="6"/>
      <c r="AH4097" s="6"/>
      <c r="AI4097" s="6"/>
      <c r="AJ4097" s="6"/>
      <c r="AK4097" s="6"/>
      <c r="AL4097" s="6"/>
      <c r="AM4097" s="6"/>
    </row>
    <row r="4098">
      <c r="A4098" s="6"/>
      <c r="B4098" s="6"/>
      <c r="C4098" s="6"/>
      <c r="D4098" s="6"/>
      <c r="E4098" s="6"/>
      <c r="F4098" s="6"/>
      <c r="G4098" s="6"/>
      <c r="H4098" s="6"/>
      <c r="I4098" s="6"/>
      <c r="J4098" s="6"/>
      <c r="K4098" s="6"/>
      <c r="L4098" s="6"/>
      <c r="M4098" s="6"/>
      <c r="N4098" s="6"/>
      <c r="O4098" s="6"/>
      <c r="P4098" s="6"/>
      <c r="Q4098" s="6"/>
      <c r="R4098" s="6"/>
      <c r="S4098" s="6"/>
      <c r="T4098" s="6"/>
      <c r="U4098" s="6"/>
      <c r="V4098" s="6"/>
      <c r="W4098" s="6"/>
      <c r="X4098" s="6"/>
      <c r="Y4098" s="6"/>
      <c r="Z4098" s="6"/>
      <c r="AA4098" s="6"/>
      <c r="AB4098" s="6"/>
      <c r="AC4098" s="6"/>
      <c r="AD4098" s="6"/>
      <c r="AE4098" s="6"/>
      <c r="AF4098" s="6"/>
      <c r="AG4098" s="6"/>
      <c r="AH4098" s="6"/>
      <c r="AI4098" s="6"/>
      <c r="AJ4098" s="6"/>
      <c r="AK4098" s="6"/>
      <c r="AL4098" s="6"/>
      <c r="AM4098" s="6"/>
    </row>
    <row r="4099">
      <c r="A4099" s="6"/>
      <c r="B4099" s="6"/>
      <c r="C4099" s="6"/>
      <c r="D4099" s="6"/>
      <c r="E4099" s="6"/>
      <c r="F4099" s="6"/>
      <c r="G4099" s="6"/>
      <c r="H4099" s="6"/>
      <c r="I4099" s="6"/>
      <c r="J4099" s="6"/>
      <c r="K4099" s="6"/>
      <c r="L4099" s="6"/>
      <c r="M4099" s="6"/>
      <c r="N4099" s="6"/>
      <c r="O4099" s="6"/>
      <c r="P4099" s="6"/>
      <c r="Q4099" s="6"/>
      <c r="R4099" s="6"/>
      <c r="S4099" s="6"/>
      <c r="T4099" s="6"/>
      <c r="U4099" s="6"/>
      <c r="V4099" s="6"/>
      <c r="W4099" s="6"/>
      <c r="X4099" s="6"/>
      <c r="Y4099" s="6"/>
      <c r="Z4099" s="6"/>
      <c r="AA4099" s="6"/>
      <c r="AB4099" s="6"/>
      <c r="AC4099" s="6"/>
      <c r="AD4099" s="6"/>
      <c r="AE4099" s="6"/>
      <c r="AF4099" s="6"/>
      <c r="AG4099" s="6"/>
      <c r="AH4099" s="6"/>
      <c r="AI4099" s="6"/>
      <c r="AJ4099" s="6"/>
      <c r="AK4099" s="6"/>
      <c r="AL4099" s="6"/>
      <c r="AM4099" s="6"/>
    </row>
    <row r="4100">
      <c r="A4100" s="6"/>
      <c r="B4100" s="6"/>
      <c r="C4100" s="6"/>
      <c r="D4100" s="6"/>
      <c r="E4100" s="6"/>
      <c r="F4100" s="6"/>
      <c r="G4100" s="6"/>
      <c r="H4100" s="6"/>
      <c r="I4100" s="6"/>
      <c r="J4100" s="6"/>
      <c r="K4100" s="6"/>
      <c r="L4100" s="6"/>
      <c r="M4100" s="6"/>
      <c r="N4100" s="6"/>
      <c r="O4100" s="6"/>
      <c r="P4100" s="6"/>
      <c r="Q4100" s="6"/>
      <c r="R4100" s="6"/>
      <c r="S4100" s="6"/>
      <c r="T4100" s="6"/>
      <c r="U4100" s="6"/>
      <c r="V4100" s="6"/>
      <c r="W4100" s="6"/>
      <c r="X4100" s="6"/>
      <c r="Y4100" s="6"/>
      <c r="Z4100" s="6"/>
      <c r="AA4100" s="6"/>
      <c r="AB4100" s="6"/>
      <c r="AC4100" s="6"/>
      <c r="AD4100" s="6"/>
      <c r="AE4100" s="6"/>
      <c r="AF4100" s="6"/>
      <c r="AG4100" s="6"/>
      <c r="AH4100" s="6"/>
      <c r="AI4100" s="6"/>
      <c r="AJ4100" s="6"/>
      <c r="AK4100" s="6"/>
      <c r="AL4100" s="6"/>
      <c r="AM4100" s="6"/>
    </row>
    <row r="4101">
      <c r="A4101" s="6"/>
      <c r="B4101" s="6"/>
      <c r="C4101" s="6"/>
      <c r="D4101" s="6"/>
      <c r="E4101" s="6"/>
      <c r="F4101" s="6"/>
      <c r="G4101" s="6"/>
      <c r="H4101" s="6"/>
      <c r="I4101" s="6"/>
      <c r="J4101" s="6"/>
      <c r="K4101" s="6"/>
      <c r="L4101" s="6"/>
      <c r="M4101" s="6"/>
      <c r="N4101" s="6"/>
      <c r="O4101" s="6"/>
      <c r="P4101" s="6"/>
      <c r="Q4101" s="6"/>
      <c r="R4101" s="6"/>
      <c r="S4101" s="6"/>
      <c r="T4101" s="6"/>
      <c r="U4101" s="6"/>
      <c r="V4101" s="6"/>
      <c r="W4101" s="6"/>
      <c r="X4101" s="6"/>
      <c r="Y4101" s="6"/>
      <c r="Z4101" s="6"/>
      <c r="AA4101" s="6"/>
      <c r="AB4101" s="6"/>
      <c r="AC4101" s="6"/>
      <c r="AD4101" s="6"/>
      <c r="AE4101" s="6"/>
      <c r="AF4101" s="6"/>
      <c r="AG4101" s="6"/>
      <c r="AH4101" s="6"/>
      <c r="AI4101" s="6"/>
      <c r="AJ4101" s="6"/>
      <c r="AK4101" s="6"/>
      <c r="AL4101" s="6"/>
      <c r="AM4101" s="6"/>
    </row>
    <row r="4102">
      <c r="A4102" s="6"/>
      <c r="B4102" s="6"/>
      <c r="C4102" s="6"/>
      <c r="D4102" s="6"/>
      <c r="E4102" s="6"/>
      <c r="F4102" s="6"/>
      <c r="G4102" s="6"/>
      <c r="H4102" s="6"/>
      <c r="I4102" s="6"/>
      <c r="J4102" s="6"/>
      <c r="K4102" s="6"/>
      <c r="L4102" s="6"/>
      <c r="M4102" s="6"/>
      <c r="N4102" s="6"/>
      <c r="O4102" s="6"/>
      <c r="P4102" s="6"/>
      <c r="Q4102" s="6"/>
      <c r="R4102" s="6"/>
      <c r="S4102" s="6"/>
      <c r="T4102" s="6"/>
      <c r="U4102" s="6"/>
      <c r="V4102" s="6"/>
      <c r="W4102" s="6"/>
      <c r="X4102" s="6"/>
      <c r="Y4102" s="6"/>
      <c r="Z4102" s="6"/>
      <c r="AA4102" s="6"/>
      <c r="AB4102" s="6"/>
      <c r="AC4102" s="6"/>
      <c r="AD4102" s="6"/>
      <c r="AE4102" s="6"/>
      <c r="AF4102" s="6"/>
      <c r="AG4102" s="6"/>
      <c r="AH4102" s="6"/>
      <c r="AI4102" s="6"/>
      <c r="AJ4102" s="6"/>
      <c r="AK4102" s="6"/>
      <c r="AL4102" s="6"/>
      <c r="AM4102" s="6"/>
    </row>
    <row r="4103">
      <c r="A4103" s="6"/>
      <c r="B4103" s="6"/>
      <c r="C4103" s="6"/>
      <c r="D4103" s="6"/>
      <c r="E4103" s="6"/>
      <c r="F4103" s="6"/>
      <c r="G4103" s="6"/>
      <c r="H4103" s="6"/>
      <c r="I4103" s="6"/>
      <c r="J4103" s="6"/>
      <c r="K4103" s="6"/>
      <c r="L4103" s="6"/>
      <c r="M4103" s="6"/>
      <c r="N4103" s="6"/>
      <c r="O4103" s="6"/>
      <c r="P4103" s="6"/>
      <c r="Q4103" s="6"/>
      <c r="R4103" s="6"/>
      <c r="S4103" s="6"/>
      <c r="T4103" s="6"/>
      <c r="U4103" s="6"/>
      <c r="V4103" s="6"/>
      <c r="W4103" s="6"/>
      <c r="X4103" s="6"/>
      <c r="Y4103" s="6"/>
      <c r="Z4103" s="6"/>
      <c r="AA4103" s="6"/>
      <c r="AB4103" s="6"/>
      <c r="AC4103" s="6"/>
      <c r="AD4103" s="6"/>
      <c r="AE4103" s="6"/>
      <c r="AF4103" s="6"/>
      <c r="AG4103" s="6"/>
      <c r="AH4103" s="6"/>
      <c r="AI4103" s="6"/>
      <c r="AJ4103" s="6"/>
      <c r="AK4103" s="6"/>
      <c r="AL4103" s="6"/>
      <c r="AM4103" s="6"/>
    </row>
    <row r="4104">
      <c r="A4104" s="6"/>
      <c r="B4104" s="6"/>
      <c r="C4104" s="6"/>
      <c r="D4104" s="6"/>
      <c r="E4104" s="6"/>
      <c r="F4104" s="6"/>
      <c r="G4104" s="6"/>
      <c r="H4104" s="6"/>
      <c r="I4104" s="6"/>
      <c r="J4104" s="6"/>
      <c r="K4104" s="6"/>
      <c r="L4104" s="6"/>
      <c r="M4104" s="6"/>
      <c r="N4104" s="6"/>
      <c r="O4104" s="6"/>
      <c r="P4104" s="6"/>
      <c r="Q4104" s="6"/>
      <c r="R4104" s="6"/>
      <c r="S4104" s="6"/>
      <c r="T4104" s="6"/>
      <c r="U4104" s="6"/>
      <c r="V4104" s="6"/>
      <c r="W4104" s="6"/>
      <c r="X4104" s="6"/>
      <c r="Y4104" s="6"/>
      <c r="Z4104" s="6"/>
      <c r="AA4104" s="6"/>
      <c r="AB4104" s="6"/>
      <c r="AC4104" s="6"/>
      <c r="AD4104" s="6"/>
      <c r="AE4104" s="6"/>
      <c r="AF4104" s="6"/>
      <c r="AG4104" s="6"/>
      <c r="AH4104" s="6"/>
      <c r="AI4104" s="6"/>
      <c r="AJ4104" s="6"/>
      <c r="AK4104" s="6"/>
      <c r="AL4104" s="6"/>
      <c r="AM4104" s="6"/>
    </row>
    <row r="4105">
      <c r="A4105" s="6"/>
      <c r="B4105" s="6"/>
      <c r="C4105" s="6"/>
      <c r="D4105" s="6"/>
      <c r="E4105" s="6"/>
      <c r="F4105" s="6"/>
      <c r="G4105" s="6"/>
      <c r="H4105" s="6"/>
      <c r="I4105" s="6"/>
      <c r="J4105" s="6"/>
      <c r="K4105" s="6"/>
      <c r="L4105" s="6"/>
      <c r="M4105" s="6"/>
      <c r="N4105" s="6"/>
      <c r="O4105" s="6"/>
      <c r="P4105" s="6"/>
      <c r="Q4105" s="6"/>
      <c r="R4105" s="6"/>
      <c r="S4105" s="6"/>
      <c r="T4105" s="6"/>
      <c r="U4105" s="6"/>
      <c r="V4105" s="6"/>
      <c r="W4105" s="6"/>
      <c r="X4105" s="6"/>
      <c r="Y4105" s="6"/>
      <c r="Z4105" s="6"/>
      <c r="AA4105" s="6"/>
      <c r="AB4105" s="6"/>
      <c r="AC4105" s="6"/>
      <c r="AD4105" s="6"/>
      <c r="AE4105" s="6"/>
      <c r="AF4105" s="6"/>
      <c r="AG4105" s="6"/>
      <c r="AH4105" s="6"/>
      <c r="AI4105" s="6"/>
      <c r="AJ4105" s="6"/>
      <c r="AK4105" s="6"/>
      <c r="AL4105" s="6"/>
      <c r="AM4105" s="6"/>
    </row>
    <row r="4106">
      <c r="A4106" s="6"/>
      <c r="B4106" s="6"/>
      <c r="C4106" s="6"/>
      <c r="D4106" s="6"/>
      <c r="E4106" s="6"/>
      <c r="F4106" s="6"/>
      <c r="G4106" s="6"/>
      <c r="H4106" s="6"/>
      <c r="I4106" s="6"/>
      <c r="J4106" s="6"/>
      <c r="K4106" s="6"/>
      <c r="L4106" s="6"/>
      <c r="M4106" s="6"/>
      <c r="N4106" s="6"/>
      <c r="O4106" s="6"/>
      <c r="P4106" s="6"/>
      <c r="Q4106" s="6"/>
      <c r="R4106" s="6"/>
      <c r="S4106" s="6"/>
      <c r="T4106" s="6"/>
      <c r="U4106" s="6"/>
      <c r="V4106" s="6"/>
      <c r="W4106" s="6"/>
      <c r="X4106" s="6"/>
      <c r="Y4106" s="6"/>
      <c r="Z4106" s="6"/>
      <c r="AA4106" s="6"/>
      <c r="AB4106" s="6"/>
      <c r="AC4106" s="6"/>
      <c r="AD4106" s="6"/>
      <c r="AE4106" s="6"/>
      <c r="AF4106" s="6"/>
      <c r="AG4106" s="6"/>
      <c r="AH4106" s="6"/>
      <c r="AI4106" s="6"/>
      <c r="AJ4106" s="6"/>
      <c r="AK4106" s="6"/>
      <c r="AL4106" s="6"/>
      <c r="AM4106" s="6"/>
    </row>
    <row r="4107">
      <c r="A4107" s="6"/>
      <c r="B4107" s="6"/>
      <c r="C4107" s="6"/>
      <c r="D4107" s="6"/>
      <c r="E4107" s="6"/>
      <c r="F4107" s="6"/>
      <c r="G4107" s="6"/>
      <c r="H4107" s="6"/>
      <c r="I4107" s="6"/>
      <c r="J4107" s="6"/>
      <c r="K4107" s="6"/>
      <c r="L4107" s="6"/>
      <c r="M4107" s="6"/>
      <c r="N4107" s="6"/>
      <c r="O4107" s="6"/>
      <c r="P4107" s="6"/>
      <c r="Q4107" s="6"/>
      <c r="R4107" s="6"/>
      <c r="S4107" s="6"/>
      <c r="T4107" s="6"/>
      <c r="U4107" s="6"/>
      <c r="V4107" s="6"/>
      <c r="W4107" s="6"/>
      <c r="X4107" s="6"/>
      <c r="Y4107" s="6"/>
      <c r="Z4107" s="6"/>
      <c r="AA4107" s="6"/>
      <c r="AB4107" s="6"/>
      <c r="AC4107" s="6"/>
      <c r="AD4107" s="6"/>
      <c r="AE4107" s="6"/>
      <c r="AF4107" s="6"/>
      <c r="AG4107" s="6"/>
      <c r="AH4107" s="6"/>
      <c r="AI4107" s="6"/>
      <c r="AJ4107" s="6"/>
      <c r="AK4107" s="6"/>
      <c r="AL4107" s="6"/>
      <c r="AM4107" s="6"/>
    </row>
    <row r="4108">
      <c r="A4108" s="6"/>
      <c r="B4108" s="6"/>
      <c r="C4108" s="6"/>
      <c r="D4108" s="6"/>
      <c r="E4108" s="6"/>
      <c r="F4108" s="6"/>
      <c r="G4108" s="6"/>
      <c r="H4108" s="6"/>
      <c r="I4108" s="6"/>
      <c r="J4108" s="6"/>
      <c r="K4108" s="6"/>
      <c r="L4108" s="6"/>
      <c r="M4108" s="6"/>
      <c r="N4108" s="6"/>
      <c r="O4108" s="6"/>
      <c r="P4108" s="6"/>
      <c r="Q4108" s="6"/>
      <c r="R4108" s="6"/>
      <c r="S4108" s="6"/>
      <c r="T4108" s="6"/>
      <c r="U4108" s="6"/>
      <c r="V4108" s="6"/>
      <c r="W4108" s="6"/>
      <c r="X4108" s="6"/>
      <c r="Y4108" s="6"/>
      <c r="Z4108" s="6"/>
      <c r="AA4108" s="6"/>
      <c r="AB4108" s="6"/>
      <c r="AC4108" s="6"/>
      <c r="AD4108" s="6"/>
      <c r="AE4108" s="6"/>
      <c r="AF4108" s="6"/>
      <c r="AG4108" s="6"/>
      <c r="AH4108" s="6"/>
      <c r="AI4108" s="6"/>
      <c r="AJ4108" s="6"/>
      <c r="AK4108" s="6"/>
      <c r="AL4108" s="6"/>
      <c r="AM4108" s="6"/>
    </row>
    <row r="4109">
      <c r="A4109" s="6"/>
      <c r="B4109" s="6"/>
      <c r="C4109" s="6"/>
      <c r="D4109" s="6"/>
      <c r="E4109" s="6"/>
      <c r="F4109" s="6"/>
      <c r="G4109" s="6"/>
      <c r="H4109" s="6"/>
      <c r="I4109" s="6"/>
      <c r="J4109" s="6"/>
      <c r="K4109" s="6"/>
      <c r="L4109" s="6"/>
      <c r="M4109" s="6"/>
      <c r="N4109" s="6"/>
      <c r="O4109" s="6"/>
      <c r="P4109" s="6"/>
      <c r="Q4109" s="6"/>
      <c r="R4109" s="6"/>
      <c r="S4109" s="6"/>
      <c r="T4109" s="6"/>
      <c r="U4109" s="6"/>
      <c r="V4109" s="6"/>
      <c r="W4109" s="6"/>
      <c r="X4109" s="6"/>
      <c r="Y4109" s="6"/>
      <c r="Z4109" s="6"/>
      <c r="AA4109" s="6"/>
      <c r="AB4109" s="6"/>
      <c r="AC4109" s="6"/>
      <c r="AD4109" s="6"/>
      <c r="AE4109" s="6"/>
      <c r="AF4109" s="6"/>
      <c r="AG4109" s="6"/>
      <c r="AH4109" s="6"/>
      <c r="AI4109" s="6"/>
      <c r="AJ4109" s="6"/>
      <c r="AK4109" s="6"/>
      <c r="AL4109" s="6"/>
      <c r="AM4109" s="6"/>
    </row>
    <row r="4110">
      <c r="A4110" s="6"/>
      <c r="B4110" s="6"/>
      <c r="C4110" s="6"/>
      <c r="D4110" s="6"/>
      <c r="E4110" s="6"/>
      <c r="F4110" s="6"/>
      <c r="G4110" s="6"/>
      <c r="H4110" s="6"/>
      <c r="I4110" s="6"/>
      <c r="J4110" s="6"/>
      <c r="K4110" s="6"/>
      <c r="L4110" s="6"/>
      <c r="M4110" s="6"/>
      <c r="N4110" s="6"/>
      <c r="O4110" s="6"/>
      <c r="P4110" s="6"/>
      <c r="Q4110" s="6"/>
      <c r="R4110" s="6"/>
      <c r="S4110" s="6"/>
      <c r="T4110" s="6"/>
      <c r="U4110" s="6"/>
      <c r="V4110" s="6"/>
      <c r="W4110" s="6"/>
      <c r="X4110" s="6"/>
      <c r="Y4110" s="6"/>
      <c r="Z4110" s="6"/>
      <c r="AA4110" s="6"/>
      <c r="AB4110" s="6"/>
      <c r="AC4110" s="6"/>
      <c r="AD4110" s="6"/>
      <c r="AE4110" s="6"/>
      <c r="AF4110" s="6"/>
      <c r="AG4110" s="6"/>
      <c r="AH4110" s="6"/>
      <c r="AI4110" s="6"/>
      <c r="AJ4110" s="6"/>
      <c r="AK4110" s="6"/>
      <c r="AL4110" s="6"/>
      <c r="AM4110" s="6"/>
    </row>
    <row r="4111">
      <c r="A4111" s="6"/>
      <c r="B4111" s="6"/>
      <c r="C4111" s="6"/>
      <c r="D4111" s="6"/>
      <c r="E4111" s="6"/>
      <c r="F4111" s="6"/>
      <c r="G4111" s="6"/>
      <c r="H4111" s="6"/>
      <c r="I4111" s="6"/>
      <c r="J4111" s="6"/>
      <c r="K4111" s="6"/>
      <c r="L4111" s="6"/>
      <c r="M4111" s="6"/>
      <c r="N4111" s="6"/>
      <c r="O4111" s="6"/>
      <c r="P4111" s="6"/>
      <c r="Q4111" s="6"/>
      <c r="R4111" s="6"/>
      <c r="S4111" s="6"/>
      <c r="T4111" s="6"/>
      <c r="U4111" s="6"/>
      <c r="V4111" s="6"/>
      <c r="W4111" s="6"/>
      <c r="X4111" s="6"/>
      <c r="Y4111" s="6"/>
      <c r="Z4111" s="6"/>
      <c r="AA4111" s="6"/>
      <c r="AB4111" s="6"/>
      <c r="AC4111" s="6"/>
      <c r="AD4111" s="6"/>
      <c r="AE4111" s="6"/>
      <c r="AF4111" s="6"/>
      <c r="AG4111" s="6"/>
      <c r="AH4111" s="6"/>
      <c r="AI4111" s="6"/>
      <c r="AJ4111" s="6"/>
      <c r="AK4111" s="6"/>
      <c r="AL4111" s="6"/>
      <c r="AM4111" s="6"/>
    </row>
    <row r="4112">
      <c r="A4112" s="6"/>
      <c r="B4112" s="6"/>
      <c r="C4112" s="6"/>
      <c r="D4112" s="6"/>
      <c r="E4112" s="6"/>
      <c r="F4112" s="6"/>
      <c r="G4112" s="6"/>
      <c r="H4112" s="6"/>
      <c r="I4112" s="6"/>
      <c r="J4112" s="6"/>
      <c r="K4112" s="6"/>
      <c r="L4112" s="6"/>
      <c r="M4112" s="6"/>
      <c r="N4112" s="6"/>
      <c r="O4112" s="6"/>
      <c r="P4112" s="6"/>
      <c r="Q4112" s="6"/>
      <c r="R4112" s="6"/>
      <c r="S4112" s="6"/>
      <c r="T4112" s="6"/>
      <c r="U4112" s="6"/>
      <c r="V4112" s="6"/>
      <c r="W4112" s="6"/>
      <c r="X4112" s="6"/>
      <c r="Y4112" s="6"/>
      <c r="Z4112" s="6"/>
      <c r="AA4112" s="6"/>
      <c r="AB4112" s="6"/>
      <c r="AC4112" s="6"/>
      <c r="AD4112" s="6"/>
      <c r="AE4112" s="6"/>
      <c r="AF4112" s="6"/>
      <c r="AG4112" s="6"/>
      <c r="AH4112" s="6"/>
      <c r="AI4112" s="6"/>
      <c r="AJ4112" s="6"/>
      <c r="AK4112" s="6"/>
      <c r="AL4112" s="6"/>
      <c r="AM4112" s="6"/>
    </row>
    <row r="4113">
      <c r="A4113" s="6"/>
      <c r="B4113" s="6"/>
      <c r="C4113" s="6"/>
      <c r="D4113" s="6"/>
      <c r="E4113" s="6"/>
      <c r="F4113" s="6"/>
      <c r="G4113" s="6"/>
      <c r="H4113" s="6"/>
      <c r="I4113" s="6"/>
      <c r="J4113" s="6"/>
      <c r="K4113" s="6"/>
      <c r="L4113" s="6"/>
      <c r="M4113" s="6"/>
      <c r="N4113" s="6"/>
      <c r="O4113" s="6"/>
      <c r="P4113" s="6"/>
      <c r="Q4113" s="6"/>
      <c r="R4113" s="6"/>
      <c r="S4113" s="6"/>
      <c r="T4113" s="6"/>
      <c r="U4113" s="6"/>
      <c r="V4113" s="6"/>
      <c r="W4113" s="6"/>
      <c r="X4113" s="6"/>
      <c r="Y4113" s="6"/>
      <c r="Z4113" s="6"/>
      <c r="AA4113" s="6"/>
      <c r="AB4113" s="6"/>
      <c r="AC4113" s="6"/>
      <c r="AD4113" s="6"/>
      <c r="AE4113" s="6"/>
      <c r="AF4113" s="6"/>
      <c r="AG4113" s="6"/>
      <c r="AH4113" s="6"/>
      <c r="AI4113" s="6"/>
      <c r="AJ4113" s="6"/>
      <c r="AK4113" s="6"/>
      <c r="AL4113" s="6"/>
      <c r="AM4113" s="6"/>
    </row>
    <row r="4114">
      <c r="A4114" s="6"/>
      <c r="B4114" s="6"/>
      <c r="C4114" s="6"/>
      <c r="D4114" s="6"/>
      <c r="E4114" s="6"/>
      <c r="F4114" s="6"/>
      <c r="G4114" s="6"/>
      <c r="H4114" s="6"/>
      <c r="I4114" s="6"/>
      <c r="J4114" s="6"/>
      <c r="K4114" s="6"/>
      <c r="L4114" s="6"/>
      <c r="M4114" s="6"/>
      <c r="N4114" s="6"/>
      <c r="O4114" s="6"/>
      <c r="P4114" s="6"/>
      <c r="Q4114" s="6"/>
      <c r="R4114" s="6"/>
      <c r="S4114" s="6"/>
      <c r="T4114" s="6"/>
      <c r="U4114" s="6"/>
      <c r="V4114" s="6"/>
      <c r="W4114" s="6"/>
      <c r="X4114" s="6"/>
      <c r="Y4114" s="6"/>
      <c r="Z4114" s="6"/>
      <c r="AA4114" s="6"/>
      <c r="AB4114" s="6"/>
      <c r="AC4114" s="6"/>
      <c r="AD4114" s="6"/>
      <c r="AE4114" s="6"/>
      <c r="AF4114" s="6"/>
      <c r="AG4114" s="6"/>
      <c r="AH4114" s="6"/>
      <c r="AI4114" s="6"/>
      <c r="AJ4114" s="6"/>
      <c r="AK4114" s="6"/>
      <c r="AL4114" s="6"/>
      <c r="AM4114" s="6"/>
    </row>
    <row r="4115">
      <c r="A4115" s="6"/>
      <c r="B4115" s="6"/>
      <c r="C4115" s="6"/>
      <c r="D4115" s="6"/>
      <c r="E4115" s="6"/>
      <c r="F4115" s="6"/>
      <c r="G4115" s="6"/>
      <c r="H4115" s="6"/>
      <c r="I4115" s="6"/>
      <c r="J4115" s="6"/>
      <c r="K4115" s="6"/>
      <c r="L4115" s="6"/>
      <c r="M4115" s="6"/>
      <c r="N4115" s="6"/>
      <c r="O4115" s="6"/>
      <c r="P4115" s="6"/>
      <c r="Q4115" s="6"/>
      <c r="R4115" s="6"/>
      <c r="S4115" s="6"/>
      <c r="T4115" s="6"/>
      <c r="U4115" s="6"/>
      <c r="V4115" s="6"/>
      <c r="W4115" s="6"/>
      <c r="X4115" s="6"/>
      <c r="Y4115" s="6"/>
      <c r="Z4115" s="6"/>
      <c r="AA4115" s="6"/>
      <c r="AB4115" s="6"/>
      <c r="AC4115" s="6"/>
      <c r="AD4115" s="6"/>
      <c r="AE4115" s="6"/>
      <c r="AF4115" s="6"/>
      <c r="AG4115" s="6"/>
      <c r="AH4115" s="6"/>
      <c r="AI4115" s="6"/>
      <c r="AJ4115" s="6"/>
      <c r="AK4115" s="6"/>
      <c r="AL4115" s="6"/>
      <c r="AM4115" s="6"/>
    </row>
    <row r="4116">
      <c r="A4116" s="6"/>
      <c r="B4116" s="6"/>
      <c r="C4116" s="6"/>
      <c r="D4116" s="6"/>
      <c r="E4116" s="6"/>
      <c r="F4116" s="6"/>
      <c r="G4116" s="6"/>
      <c r="H4116" s="6"/>
      <c r="I4116" s="6"/>
      <c r="J4116" s="6"/>
      <c r="K4116" s="6"/>
      <c r="L4116" s="6"/>
      <c r="M4116" s="6"/>
      <c r="N4116" s="6"/>
      <c r="O4116" s="6"/>
      <c r="P4116" s="6"/>
      <c r="Q4116" s="6"/>
      <c r="R4116" s="6"/>
      <c r="S4116" s="6"/>
      <c r="T4116" s="6"/>
      <c r="U4116" s="6"/>
      <c r="V4116" s="6"/>
      <c r="W4116" s="6"/>
      <c r="X4116" s="6"/>
      <c r="Y4116" s="6"/>
      <c r="Z4116" s="6"/>
      <c r="AA4116" s="6"/>
      <c r="AB4116" s="6"/>
      <c r="AC4116" s="6"/>
      <c r="AD4116" s="6"/>
      <c r="AE4116" s="6"/>
      <c r="AF4116" s="6"/>
      <c r="AG4116" s="6"/>
      <c r="AH4116" s="6"/>
      <c r="AI4116" s="6"/>
      <c r="AJ4116" s="6"/>
      <c r="AK4116" s="6"/>
      <c r="AL4116" s="6"/>
      <c r="AM4116" s="6"/>
    </row>
    <row r="4117">
      <c r="A4117" s="6"/>
      <c r="B4117" s="6"/>
      <c r="C4117" s="6"/>
      <c r="D4117" s="6"/>
      <c r="E4117" s="6"/>
      <c r="F4117" s="6"/>
      <c r="G4117" s="6"/>
      <c r="H4117" s="6"/>
      <c r="I4117" s="6"/>
      <c r="J4117" s="6"/>
      <c r="K4117" s="6"/>
      <c r="L4117" s="6"/>
      <c r="M4117" s="6"/>
      <c r="N4117" s="6"/>
      <c r="O4117" s="6"/>
      <c r="P4117" s="6"/>
      <c r="Q4117" s="6"/>
      <c r="R4117" s="6"/>
      <c r="S4117" s="6"/>
      <c r="T4117" s="6"/>
      <c r="U4117" s="6"/>
      <c r="V4117" s="6"/>
      <c r="W4117" s="6"/>
      <c r="X4117" s="6"/>
      <c r="Y4117" s="6"/>
      <c r="Z4117" s="6"/>
      <c r="AA4117" s="6"/>
      <c r="AB4117" s="6"/>
      <c r="AC4117" s="6"/>
      <c r="AD4117" s="6"/>
      <c r="AE4117" s="6"/>
      <c r="AF4117" s="6"/>
      <c r="AG4117" s="6"/>
      <c r="AH4117" s="6"/>
      <c r="AI4117" s="6"/>
      <c r="AJ4117" s="6"/>
      <c r="AK4117" s="6"/>
      <c r="AL4117" s="6"/>
      <c r="AM4117" s="6"/>
    </row>
    <row r="4118">
      <c r="A4118" s="6"/>
      <c r="B4118" s="6"/>
      <c r="C4118" s="6"/>
      <c r="D4118" s="6"/>
      <c r="E4118" s="6"/>
      <c r="F4118" s="6"/>
      <c r="G4118" s="6"/>
      <c r="H4118" s="6"/>
      <c r="I4118" s="6"/>
      <c r="J4118" s="6"/>
      <c r="K4118" s="6"/>
      <c r="L4118" s="6"/>
      <c r="M4118" s="6"/>
      <c r="N4118" s="6"/>
      <c r="O4118" s="6"/>
      <c r="P4118" s="6"/>
      <c r="Q4118" s="6"/>
      <c r="R4118" s="6"/>
      <c r="S4118" s="6"/>
      <c r="T4118" s="6"/>
      <c r="U4118" s="6"/>
      <c r="V4118" s="6"/>
      <c r="W4118" s="6"/>
      <c r="X4118" s="6"/>
      <c r="Y4118" s="6"/>
      <c r="Z4118" s="6"/>
      <c r="AA4118" s="6"/>
      <c r="AB4118" s="6"/>
      <c r="AC4118" s="6"/>
      <c r="AD4118" s="6"/>
      <c r="AE4118" s="6"/>
      <c r="AF4118" s="6"/>
      <c r="AG4118" s="6"/>
      <c r="AH4118" s="6"/>
      <c r="AI4118" s="6"/>
      <c r="AJ4118" s="6"/>
      <c r="AK4118" s="6"/>
      <c r="AL4118" s="6"/>
      <c r="AM4118" s="6"/>
    </row>
    <row r="4119">
      <c r="A4119" s="6"/>
      <c r="B4119" s="6"/>
      <c r="C4119" s="6"/>
      <c r="D4119" s="6"/>
      <c r="E4119" s="6"/>
      <c r="F4119" s="6"/>
      <c r="G4119" s="6"/>
      <c r="H4119" s="6"/>
      <c r="I4119" s="6"/>
      <c r="J4119" s="6"/>
      <c r="K4119" s="6"/>
      <c r="L4119" s="6"/>
      <c r="M4119" s="6"/>
      <c r="N4119" s="6"/>
      <c r="O4119" s="6"/>
      <c r="P4119" s="6"/>
      <c r="Q4119" s="6"/>
      <c r="R4119" s="6"/>
      <c r="S4119" s="6"/>
      <c r="T4119" s="6"/>
      <c r="U4119" s="6"/>
      <c r="V4119" s="6"/>
      <c r="W4119" s="6"/>
      <c r="X4119" s="6"/>
      <c r="Y4119" s="6"/>
      <c r="Z4119" s="6"/>
      <c r="AA4119" s="6"/>
      <c r="AB4119" s="6"/>
      <c r="AC4119" s="6"/>
      <c r="AD4119" s="6"/>
      <c r="AE4119" s="6"/>
      <c r="AF4119" s="6"/>
      <c r="AG4119" s="6"/>
      <c r="AH4119" s="6"/>
      <c r="AI4119" s="6"/>
      <c r="AJ4119" s="6"/>
      <c r="AK4119" s="6"/>
      <c r="AL4119" s="6"/>
      <c r="AM4119" s="6"/>
    </row>
    <row r="4120">
      <c r="A4120" s="6"/>
      <c r="B4120" s="6"/>
      <c r="C4120" s="6"/>
      <c r="D4120" s="6"/>
      <c r="E4120" s="6"/>
      <c r="F4120" s="6"/>
      <c r="G4120" s="6"/>
      <c r="H4120" s="6"/>
      <c r="I4120" s="6"/>
      <c r="J4120" s="6"/>
      <c r="K4120" s="6"/>
      <c r="L4120" s="6"/>
      <c r="M4120" s="6"/>
      <c r="N4120" s="6"/>
      <c r="O4120" s="6"/>
      <c r="P4120" s="6"/>
      <c r="Q4120" s="6"/>
      <c r="R4120" s="6"/>
      <c r="S4120" s="6"/>
      <c r="T4120" s="6"/>
      <c r="U4120" s="6"/>
      <c r="V4120" s="6"/>
      <c r="W4120" s="6"/>
      <c r="X4120" s="6"/>
      <c r="Y4120" s="6"/>
      <c r="Z4120" s="6"/>
      <c r="AA4120" s="6"/>
      <c r="AB4120" s="6"/>
      <c r="AC4120" s="6"/>
      <c r="AD4120" s="6"/>
      <c r="AE4120" s="6"/>
      <c r="AF4120" s="6"/>
      <c r="AG4120" s="6"/>
      <c r="AH4120" s="6"/>
      <c r="AI4120" s="6"/>
      <c r="AJ4120" s="6"/>
      <c r="AK4120" s="6"/>
      <c r="AL4120" s="6"/>
      <c r="AM4120" s="6"/>
    </row>
    <row r="4121">
      <c r="A4121" s="6"/>
      <c r="B4121" s="6"/>
      <c r="C4121" s="6"/>
      <c r="D4121" s="6"/>
      <c r="E4121" s="6"/>
      <c r="F4121" s="6"/>
      <c r="G4121" s="6"/>
      <c r="H4121" s="6"/>
      <c r="I4121" s="6"/>
      <c r="J4121" s="6"/>
      <c r="K4121" s="6"/>
      <c r="L4121" s="6"/>
      <c r="M4121" s="6"/>
      <c r="N4121" s="6"/>
      <c r="O4121" s="6"/>
      <c r="P4121" s="6"/>
      <c r="Q4121" s="6"/>
      <c r="R4121" s="6"/>
      <c r="S4121" s="6"/>
      <c r="T4121" s="6"/>
      <c r="U4121" s="6"/>
      <c r="V4121" s="6"/>
      <c r="W4121" s="6"/>
      <c r="X4121" s="6"/>
      <c r="Y4121" s="6"/>
      <c r="Z4121" s="6"/>
      <c r="AA4121" s="6"/>
      <c r="AB4121" s="6"/>
      <c r="AC4121" s="6"/>
      <c r="AD4121" s="6"/>
      <c r="AE4121" s="6"/>
      <c r="AF4121" s="6"/>
      <c r="AG4121" s="6"/>
      <c r="AH4121" s="6"/>
      <c r="AI4121" s="6"/>
      <c r="AJ4121" s="6"/>
      <c r="AK4121" s="6"/>
      <c r="AL4121" s="6"/>
      <c r="AM4121" s="6"/>
    </row>
    <row r="4122">
      <c r="A4122" s="6"/>
      <c r="B4122" s="6"/>
      <c r="C4122" s="6"/>
      <c r="D4122" s="6"/>
      <c r="E4122" s="6"/>
      <c r="F4122" s="6"/>
      <c r="G4122" s="6"/>
      <c r="H4122" s="6"/>
      <c r="I4122" s="6"/>
      <c r="J4122" s="6"/>
      <c r="K4122" s="6"/>
      <c r="L4122" s="6"/>
      <c r="M4122" s="6"/>
      <c r="N4122" s="6"/>
      <c r="O4122" s="6"/>
      <c r="P4122" s="6"/>
      <c r="Q4122" s="6"/>
      <c r="R4122" s="6"/>
      <c r="S4122" s="6"/>
      <c r="T4122" s="6"/>
      <c r="U4122" s="6"/>
      <c r="V4122" s="6"/>
      <c r="W4122" s="6"/>
      <c r="X4122" s="6"/>
      <c r="Y4122" s="6"/>
      <c r="Z4122" s="6"/>
      <c r="AA4122" s="6"/>
      <c r="AB4122" s="6"/>
      <c r="AC4122" s="6"/>
      <c r="AD4122" s="6"/>
      <c r="AE4122" s="6"/>
      <c r="AF4122" s="6"/>
      <c r="AG4122" s="6"/>
      <c r="AH4122" s="6"/>
      <c r="AI4122" s="6"/>
      <c r="AJ4122" s="6"/>
      <c r="AK4122" s="6"/>
      <c r="AL4122" s="6"/>
      <c r="AM4122" s="6"/>
    </row>
    <row r="4123">
      <c r="A4123" s="6"/>
      <c r="B4123" s="6"/>
      <c r="C4123" s="6"/>
      <c r="D4123" s="6"/>
      <c r="E4123" s="6"/>
      <c r="F4123" s="6"/>
      <c r="G4123" s="6"/>
      <c r="H4123" s="6"/>
      <c r="I4123" s="6"/>
      <c r="J4123" s="6"/>
      <c r="K4123" s="6"/>
      <c r="L4123" s="6"/>
      <c r="M4123" s="6"/>
      <c r="N4123" s="6"/>
      <c r="O4123" s="6"/>
      <c r="P4123" s="6"/>
      <c r="Q4123" s="6"/>
      <c r="R4123" s="6"/>
      <c r="S4123" s="6"/>
      <c r="T4123" s="6"/>
      <c r="U4123" s="6"/>
      <c r="V4123" s="6"/>
      <c r="W4123" s="6"/>
      <c r="X4123" s="6"/>
      <c r="Y4123" s="6"/>
      <c r="Z4123" s="6"/>
      <c r="AA4123" s="6"/>
      <c r="AB4123" s="6"/>
      <c r="AC4123" s="6"/>
      <c r="AD4123" s="6"/>
      <c r="AE4123" s="6"/>
      <c r="AF4123" s="6"/>
      <c r="AG4123" s="6"/>
      <c r="AH4123" s="6"/>
      <c r="AI4123" s="6"/>
      <c r="AJ4123" s="6"/>
      <c r="AK4123" s="6"/>
      <c r="AL4123" s="6"/>
      <c r="AM4123" s="6"/>
    </row>
    <row r="4124">
      <c r="A4124" s="6"/>
      <c r="B4124" s="6"/>
      <c r="C4124" s="6"/>
      <c r="D4124" s="6"/>
      <c r="E4124" s="6"/>
      <c r="F4124" s="6"/>
      <c r="G4124" s="6"/>
      <c r="H4124" s="6"/>
      <c r="I4124" s="6"/>
      <c r="J4124" s="6"/>
      <c r="K4124" s="6"/>
      <c r="L4124" s="6"/>
      <c r="M4124" s="6"/>
      <c r="N4124" s="6"/>
      <c r="O4124" s="6"/>
      <c r="P4124" s="6"/>
      <c r="Q4124" s="6"/>
      <c r="R4124" s="6"/>
      <c r="S4124" s="6"/>
      <c r="T4124" s="6"/>
      <c r="U4124" s="6"/>
      <c r="V4124" s="6"/>
      <c r="W4124" s="6"/>
      <c r="X4124" s="6"/>
      <c r="Y4124" s="6"/>
      <c r="Z4124" s="6"/>
      <c r="AA4124" s="6"/>
      <c r="AB4124" s="6"/>
      <c r="AC4124" s="6"/>
      <c r="AD4124" s="6"/>
      <c r="AE4124" s="6"/>
      <c r="AF4124" s="6"/>
      <c r="AG4124" s="6"/>
      <c r="AH4124" s="6"/>
      <c r="AI4124" s="6"/>
      <c r="AJ4124" s="6"/>
      <c r="AK4124" s="6"/>
      <c r="AL4124" s="6"/>
      <c r="AM4124" s="6"/>
    </row>
    <row r="4125">
      <c r="A4125" s="6"/>
      <c r="B4125" s="6"/>
      <c r="C4125" s="6"/>
      <c r="D4125" s="6"/>
      <c r="E4125" s="6"/>
      <c r="F4125" s="6"/>
      <c r="G4125" s="6"/>
      <c r="H4125" s="6"/>
      <c r="I4125" s="6"/>
      <c r="J4125" s="6"/>
      <c r="K4125" s="6"/>
      <c r="L4125" s="6"/>
      <c r="M4125" s="6"/>
      <c r="N4125" s="6"/>
      <c r="O4125" s="6"/>
      <c r="P4125" s="6"/>
      <c r="Q4125" s="6"/>
      <c r="R4125" s="6"/>
      <c r="S4125" s="6"/>
      <c r="T4125" s="6"/>
      <c r="U4125" s="6"/>
      <c r="V4125" s="6"/>
      <c r="W4125" s="6"/>
      <c r="X4125" s="6"/>
      <c r="Y4125" s="6"/>
      <c r="Z4125" s="6"/>
      <c r="AA4125" s="6"/>
      <c r="AB4125" s="6"/>
      <c r="AC4125" s="6"/>
      <c r="AD4125" s="6"/>
      <c r="AE4125" s="6"/>
      <c r="AF4125" s="6"/>
      <c r="AG4125" s="6"/>
      <c r="AH4125" s="6"/>
      <c r="AI4125" s="6"/>
      <c r="AJ4125" s="6"/>
      <c r="AK4125" s="6"/>
      <c r="AL4125" s="6"/>
      <c r="AM4125" s="6"/>
    </row>
    <row r="4126">
      <c r="A4126" s="6"/>
      <c r="B4126" s="6"/>
      <c r="C4126" s="6"/>
      <c r="D4126" s="6"/>
      <c r="E4126" s="6"/>
      <c r="F4126" s="6"/>
      <c r="G4126" s="6"/>
      <c r="H4126" s="6"/>
      <c r="I4126" s="6"/>
      <c r="J4126" s="6"/>
      <c r="K4126" s="6"/>
      <c r="L4126" s="6"/>
      <c r="M4126" s="6"/>
      <c r="N4126" s="6"/>
      <c r="O4126" s="6"/>
      <c r="P4126" s="6"/>
      <c r="Q4126" s="6"/>
      <c r="R4126" s="6"/>
      <c r="S4126" s="6"/>
      <c r="T4126" s="6"/>
      <c r="U4126" s="6"/>
      <c r="V4126" s="6"/>
      <c r="W4126" s="6"/>
      <c r="X4126" s="6"/>
      <c r="Y4126" s="6"/>
      <c r="Z4126" s="6"/>
      <c r="AA4126" s="6"/>
      <c r="AB4126" s="6"/>
      <c r="AC4126" s="6"/>
      <c r="AD4126" s="6"/>
      <c r="AE4126" s="6"/>
      <c r="AF4126" s="6"/>
      <c r="AG4126" s="6"/>
      <c r="AH4126" s="6"/>
      <c r="AI4126" s="6"/>
      <c r="AJ4126" s="6"/>
      <c r="AK4126" s="6"/>
      <c r="AL4126" s="6"/>
      <c r="AM4126" s="6"/>
    </row>
    <row r="4127">
      <c r="A4127" s="6"/>
      <c r="B4127" s="6"/>
      <c r="C4127" s="6"/>
      <c r="D4127" s="6"/>
      <c r="E4127" s="6"/>
      <c r="F4127" s="6"/>
      <c r="G4127" s="6"/>
      <c r="H4127" s="6"/>
      <c r="I4127" s="6"/>
      <c r="J4127" s="6"/>
      <c r="K4127" s="6"/>
      <c r="L4127" s="6"/>
      <c r="M4127" s="6"/>
      <c r="N4127" s="6"/>
      <c r="O4127" s="6"/>
      <c r="P4127" s="6"/>
      <c r="Q4127" s="6"/>
      <c r="R4127" s="6"/>
      <c r="S4127" s="6"/>
      <c r="T4127" s="6"/>
      <c r="U4127" s="6"/>
      <c r="V4127" s="6"/>
      <c r="W4127" s="6"/>
      <c r="X4127" s="6"/>
      <c r="Y4127" s="6"/>
      <c r="Z4127" s="6"/>
      <c r="AA4127" s="6"/>
      <c r="AB4127" s="6"/>
      <c r="AC4127" s="6"/>
      <c r="AD4127" s="6"/>
      <c r="AE4127" s="6"/>
      <c r="AF4127" s="6"/>
      <c r="AG4127" s="6"/>
      <c r="AH4127" s="6"/>
      <c r="AI4127" s="6"/>
      <c r="AJ4127" s="6"/>
      <c r="AK4127" s="6"/>
      <c r="AL4127" s="6"/>
      <c r="AM4127" s="6"/>
    </row>
    <row r="4128">
      <c r="A4128" s="6"/>
      <c r="B4128" s="6"/>
      <c r="C4128" s="6"/>
      <c r="D4128" s="6"/>
      <c r="E4128" s="6"/>
      <c r="F4128" s="6"/>
      <c r="G4128" s="6"/>
      <c r="H4128" s="6"/>
      <c r="I4128" s="6"/>
      <c r="J4128" s="6"/>
      <c r="K4128" s="6"/>
      <c r="L4128" s="6"/>
      <c r="M4128" s="6"/>
      <c r="N4128" s="6"/>
      <c r="O4128" s="6"/>
      <c r="P4128" s="6"/>
      <c r="Q4128" s="6"/>
      <c r="R4128" s="6"/>
      <c r="S4128" s="6"/>
      <c r="T4128" s="6"/>
      <c r="U4128" s="6"/>
      <c r="V4128" s="6"/>
      <c r="W4128" s="6"/>
      <c r="X4128" s="6"/>
      <c r="Y4128" s="6"/>
      <c r="Z4128" s="6"/>
      <c r="AA4128" s="6"/>
      <c r="AB4128" s="6"/>
      <c r="AC4128" s="6"/>
      <c r="AD4128" s="6"/>
      <c r="AE4128" s="6"/>
      <c r="AF4128" s="6"/>
      <c r="AG4128" s="6"/>
      <c r="AH4128" s="6"/>
      <c r="AI4128" s="6"/>
      <c r="AJ4128" s="6"/>
      <c r="AK4128" s="6"/>
      <c r="AL4128" s="6"/>
      <c r="AM4128" s="6"/>
    </row>
    <row r="4129">
      <c r="A4129" s="6"/>
      <c r="B4129" s="6"/>
      <c r="C4129" s="6"/>
      <c r="D4129" s="6"/>
      <c r="E4129" s="6"/>
      <c r="F4129" s="6"/>
      <c r="G4129" s="6"/>
      <c r="H4129" s="6"/>
      <c r="I4129" s="6"/>
      <c r="J4129" s="6"/>
      <c r="K4129" s="6"/>
      <c r="L4129" s="6"/>
      <c r="M4129" s="6"/>
      <c r="N4129" s="6"/>
      <c r="O4129" s="6"/>
      <c r="P4129" s="6"/>
      <c r="Q4129" s="6"/>
      <c r="R4129" s="6"/>
      <c r="S4129" s="6"/>
      <c r="T4129" s="6"/>
      <c r="U4129" s="6"/>
      <c r="V4129" s="6"/>
      <c r="W4129" s="6"/>
      <c r="X4129" s="6"/>
      <c r="Y4129" s="6"/>
      <c r="Z4129" s="6"/>
      <c r="AA4129" s="6"/>
      <c r="AB4129" s="6"/>
      <c r="AC4129" s="6"/>
      <c r="AD4129" s="6"/>
      <c r="AE4129" s="6"/>
      <c r="AF4129" s="6"/>
      <c r="AG4129" s="6"/>
      <c r="AH4129" s="6"/>
      <c r="AI4129" s="6"/>
      <c r="AJ4129" s="6"/>
      <c r="AK4129" s="6"/>
      <c r="AL4129" s="6"/>
      <c r="AM4129" s="6"/>
    </row>
    <row r="4130">
      <c r="A4130" s="6"/>
      <c r="B4130" s="6"/>
      <c r="C4130" s="6"/>
      <c r="D4130" s="6"/>
      <c r="E4130" s="6"/>
      <c r="F4130" s="6"/>
      <c r="G4130" s="6"/>
      <c r="H4130" s="6"/>
      <c r="I4130" s="6"/>
      <c r="J4130" s="6"/>
      <c r="K4130" s="6"/>
      <c r="L4130" s="6"/>
      <c r="M4130" s="6"/>
      <c r="N4130" s="6"/>
      <c r="O4130" s="6"/>
      <c r="P4130" s="6"/>
      <c r="Q4130" s="6"/>
      <c r="R4130" s="6"/>
      <c r="S4130" s="6"/>
      <c r="T4130" s="6"/>
      <c r="U4130" s="6"/>
      <c r="V4130" s="6"/>
      <c r="W4130" s="6"/>
      <c r="X4130" s="6"/>
      <c r="Y4130" s="6"/>
      <c r="Z4130" s="6"/>
      <c r="AA4130" s="6"/>
      <c r="AB4130" s="6"/>
      <c r="AC4130" s="6"/>
      <c r="AD4130" s="6"/>
      <c r="AE4130" s="6"/>
      <c r="AF4130" s="6"/>
      <c r="AG4130" s="6"/>
      <c r="AH4130" s="6"/>
      <c r="AI4130" s="6"/>
      <c r="AJ4130" s="6"/>
      <c r="AK4130" s="6"/>
      <c r="AL4130" s="6"/>
      <c r="AM4130" s="6"/>
    </row>
    <row r="4131">
      <c r="A4131" s="6"/>
      <c r="B4131" s="6"/>
      <c r="C4131" s="6"/>
      <c r="D4131" s="6"/>
      <c r="E4131" s="6"/>
      <c r="F4131" s="6"/>
      <c r="G4131" s="6"/>
      <c r="H4131" s="6"/>
      <c r="I4131" s="6"/>
      <c r="J4131" s="6"/>
      <c r="K4131" s="6"/>
      <c r="L4131" s="6"/>
      <c r="M4131" s="6"/>
      <c r="N4131" s="6"/>
      <c r="O4131" s="6"/>
      <c r="P4131" s="6"/>
      <c r="Q4131" s="6"/>
      <c r="R4131" s="6"/>
      <c r="S4131" s="6"/>
      <c r="T4131" s="6"/>
      <c r="U4131" s="6"/>
      <c r="V4131" s="6"/>
      <c r="W4131" s="6"/>
      <c r="X4131" s="6"/>
      <c r="Y4131" s="6"/>
      <c r="Z4131" s="6"/>
      <c r="AA4131" s="6"/>
      <c r="AB4131" s="6"/>
      <c r="AC4131" s="6"/>
      <c r="AD4131" s="6"/>
      <c r="AE4131" s="6"/>
      <c r="AF4131" s="6"/>
      <c r="AG4131" s="6"/>
      <c r="AH4131" s="6"/>
      <c r="AI4131" s="6"/>
      <c r="AJ4131" s="6"/>
      <c r="AK4131" s="6"/>
      <c r="AL4131" s="6"/>
      <c r="AM4131" s="6"/>
    </row>
    <row r="4132">
      <c r="A4132" s="6"/>
      <c r="B4132" s="6"/>
      <c r="C4132" s="6"/>
      <c r="D4132" s="6"/>
      <c r="E4132" s="6"/>
      <c r="F4132" s="6"/>
      <c r="G4132" s="6"/>
      <c r="H4132" s="6"/>
      <c r="I4132" s="6"/>
      <c r="J4132" s="6"/>
      <c r="K4132" s="6"/>
      <c r="L4132" s="6"/>
      <c r="M4132" s="6"/>
      <c r="N4132" s="6"/>
      <c r="O4132" s="6"/>
      <c r="P4132" s="6"/>
      <c r="Q4132" s="6"/>
      <c r="R4132" s="6"/>
      <c r="S4132" s="6"/>
      <c r="T4132" s="6"/>
      <c r="U4132" s="6"/>
      <c r="V4132" s="6"/>
      <c r="W4132" s="6"/>
      <c r="X4132" s="6"/>
      <c r="Y4132" s="6"/>
      <c r="Z4132" s="6"/>
      <c r="AA4132" s="6"/>
      <c r="AB4132" s="6"/>
      <c r="AC4132" s="6"/>
      <c r="AD4132" s="6"/>
      <c r="AE4132" s="6"/>
      <c r="AF4132" s="6"/>
      <c r="AG4132" s="6"/>
      <c r="AH4132" s="6"/>
      <c r="AI4132" s="6"/>
      <c r="AJ4132" s="6"/>
      <c r="AK4132" s="6"/>
      <c r="AL4132" s="6"/>
      <c r="AM4132" s="6"/>
    </row>
    <row r="4133">
      <c r="A4133" s="6"/>
      <c r="B4133" s="6"/>
      <c r="C4133" s="6"/>
      <c r="D4133" s="6"/>
      <c r="E4133" s="6"/>
      <c r="F4133" s="6"/>
      <c r="G4133" s="6"/>
      <c r="H4133" s="6"/>
      <c r="I4133" s="6"/>
      <c r="J4133" s="6"/>
      <c r="K4133" s="6"/>
      <c r="L4133" s="6"/>
      <c r="M4133" s="6"/>
      <c r="N4133" s="6"/>
      <c r="O4133" s="6"/>
      <c r="P4133" s="6"/>
      <c r="Q4133" s="6"/>
      <c r="R4133" s="6"/>
      <c r="S4133" s="6"/>
      <c r="T4133" s="6"/>
      <c r="U4133" s="6"/>
      <c r="V4133" s="6"/>
      <c r="W4133" s="6"/>
      <c r="X4133" s="6"/>
      <c r="Y4133" s="6"/>
      <c r="Z4133" s="6"/>
      <c r="AA4133" s="6"/>
      <c r="AB4133" s="6"/>
      <c r="AC4133" s="6"/>
      <c r="AD4133" s="6"/>
      <c r="AE4133" s="6"/>
      <c r="AF4133" s="6"/>
      <c r="AG4133" s="6"/>
      <c r="AH4133" s="6"/>
      <c r="AI4133" s="6"/>
      <c r="AJ4133" s="6"/>
      <c r="AK4133" s="6"/>
      <c r="AL4133" s="6"/>
      <c r="AM4133" s="6"/>
    </row>
    <row r="4134">
      <c r="A4134" s="6"/>
      <c r="B4134" s="6"/>
      <c r="C4134" s="6"/>
      <c r="D4134" s="6"/>
      <c r="E4134" s="6"/>
      <c r="F4134" s="6"/>
      <c r="G4134" s="6"/>
      <c r="H4134" s="6"/>
      <c r="I4134" s="6"/>
      <c r="J4134" s="6"/>
      <c r="K4134" s="6"/>
      <c r="L4134" s="6"/>
      <c r="M4134" s="6"/>
      <c r="N4134" s="6"/>
      <c r="O4134" s="6"/>
      <c r="P4134" s="6"/>
      <c r="Q4134" s="6"/>
      <c r="R4134" s="6"/>
      <c r="S4134" s="6"/>
      <c r="T4134" s="6"/>
      <c r="U4134" s="6"/>
      <c r="V4134" s="6"/>
      <c r="W4134" s="6"/>
      <c r="X4134" s="6"/>
      <c r="Y4134" s="6"/>
      <c r="Z4134" s="6"/>
      <c r="AA4134" s="6"/>
      <c r="AB4134" s="6"/>
      <c r="AC4134" s="6"/>
      <c r="AD4134" s="6"/>
      <c r="AE4134" s="6"/>
      <c r="AF4134" s="6"/>
      <c r="AG4134" s="6"/>
      <c r="AH4134" s="6"/>
      <c r="AI4134" s="6"/>
      <c r="AJ4134" s="6"/>
      <c r="AK4134" s="6"/>
      <c r="AL4134" s="6"/>
      <c r="AM4134" s="6"/>
    </row>
    <row r="4135">
      <c r="A4135" s="6"/>
      <c r="B4135" s="6"/>
      <c r="C4135" s="6"/>
      <c r="D4135" s="6"/>
      <c r="E4135" s="6"/>
      <c r="F4135" s="6"/>
      <c r="G4135" s="6"/>
      <c r="H4135" s="6"/>
      <c r="I4135" s="6"/>
      <c r="J4135" s="6"/>
      <c r="K4135" s="6"/>
      <c r="L4135" s="6"/>
      <c r="M4135" s="6"/>
      <c r="N4135" s="6"/>
      <c r="O4135" s="6"/>
      <c r="P4135" s="6"/>
      <c r="Q4135" s="6"/>
      <c r="R4135" s="6"/>
      <c r="S4135" s="6"/>
      <c r="T4135" s="6"/>
      <c r="U4135" s="6"/>
      <c r="V4135" s="6"/>
      <c r="W4135" s="6"/>
      <c r="X4135" s="6"/>
      <c r="Y4135" s="6"/>
      <c r="Z4135" s="6"/>
      <c r="AA4135" s="6"/>
      <c r="AB4135" s="6"/>
      <c r="AC4135" s="6"/>
      <c r="AD4135" s="6"/>
      <c r="AE4135" s="6"/>
      <c r="AF4135" s="6"/>
      <c r="AG4135" s="6"/>
      <c r="AH4135" s="6"/>
      <c r="AI4135" s="6"/>
      <c r="AJ4135" s="6"/>
      <c r="AK4135" s="6"/>
      <c r="AL4135" s="6"/>
      <c r="AM4135" s="6"/>
    </row>
    <row r="4136">
      <c r="A4136" s="6"/>
      <c r="B4136" s="6"/>
      <c r="C4136" s="6"/>
      <c r="D4136" s="6"/>
      <c r="E4136" s="6"/>
      <c r="F4136" s="6"/>
      <c r="G4136" s="6"/>
      <c r="H4136" s="6"/>
      <c r="I4136" s="6"/>
      <c r="J4136" s="6"/>
      <c r="K4136" s="6"/>
      <c r="L4136" s="6"/>
      <c r="M4136" s="6"/>
      <c r="N4136" s="6"/>
      <c r="O4136" s="6"/>
      <c r="P4136" s="6"/>
      <c r="Q4136" s="6"/>
      <c r="R4136" s="6"/>
      <c r="S4136" s="6"/>
      <c r="T4136" s="6"/>
      <c r="U4136" s="6"/>
      <c r="V4136" s="6"/>
      <c r="W4136" s="6"/>
      <c r="X4136" s="6"/>
      <c r="Y4136" s="6"/>
      <c r="Z4136" s="6"/>
      <c r="AA4136" s="6"/>
      <c r="AB4136" s="6"/>
      <c r="AC4136" s="6"/>
      <c r="AD4136" s="6"/>
      <c r="AE4136" s="6"/>
      <c r="AF4136" s="6"/>
      <c r="AG4136" s="6"/>
      <c r="AH4136" s="6"/>
      <c r="AI4136" s="6"/>
      <c r="AJ4136" s="6"/>
      <c r="AK4136" s="6"/>
      <c r="AL4136" s="6"/>
      <c r="AM4136" s="6"/>
    </row>
    <row r="4137">
      <c r="A4137" s="6"/>
      <c r="B4137" s="6"/>
      <c r="C4137" s="6"/>
      <c r="D4137" s="6"/>
      <c r="E4137" s="6"/>
      <c r="F4137" s="6"/>
      <c r="G4137" s="6"/>
      <c r="H4137" s="6"/>
      <c r="I4137" s="6"/>
      <c r="J4137" s="6"/>
      <c r="K4137" s="6"/>
      <c r="L4137" s="6"/>
      <c r="M4137" s="6"/>
      <c r="N4137" s="6"/>
      <c r="O4137" s="6"/>
      <c r="P4137" s="6"/>
      <c r="Q4137" s="6"/>
      <c r="R4137" s="6"/>
      <c r="S4137" s="6"/>
      <c r="T4137" s="6"/>
      <c r="U4137" s="6"/>
      <c r="V4137" s="6"/>
      <c r="W4137" s="6"/>
      <c r="X4137" s="6"/>
      <c r="Y4137" s="6"/>
      <c r="Z4137" s="6"/>
      <c r="AA4137" s="6"/>
      <c r="AB4137" s="6"/>
      <c r="AC4137" s="6"/>
      <c r="AD4137" s="6"/>
      <c r="AE4137" s="6"/>
      <c r="AF4137" s="6"/>
      <c r="AG4137" s="6"/>
      <c r="AH4137" s="6"/>
      <c r="AI4137" s="6"/>
      <c r="AJ4137" s="6"/>
      <c r="AK4137" s="6"/>
      <c r="AL4137" s="6"/>
      <c r="AM4137" s="6"/>
    </row>
    <row r="4138">
      <c r="A4138" s="6"/>
      <c r="B4138" s="6"/>
      <c r="C4138" s="6"/>
      <c r="D4138" s="6"/>
      <c r="E4138" s="6"/>
      <c r="F4138" s="6"/>
      <c r="G4138" s="6"/>
      <c r="H4138" s="6"/>
      <c r="I4138" s="6"/>
      <c r="J4138" s="6"/>
      <c r="K4138" s="6"/>
      <c r="L4138" s="6"/>
      <c r="M4138" s="6"/>
      <c r="N4138" s="6"/>
      <c r="O4138" s="6"/>
      <c r="P4138" s="6"/>
      <c r="Q4138" s="6"/>
      <c r="R4138" s="6"/>
      <c r="S4138" s="6"/>
      <c r="T4138" s="6"/>
      <c r="U4138" s="6"/>
      <c r="V4138" s="6"/>
      <c r="W4138" s="6"/>
      <c r="X4138" s="6"/>
      <c r="Y4138" s="6"/>
      <c r="Z4138" s="6"/>
      <c r="AA4138" s="6"/>
      <c r="AB4138" s="6"/>
      <c r="AC4138" s="6"/>
      <c r="AD4138" s="6"/>
      <c r="AE4138" s="6"/>
      <c r="AF4138" s="6"/>
      <c r="AG4138" s="6"/>
      <c r="AH4138" s="6"/>
      <c r="AI4138" s="6"/>
      <c r="AJ4138" s="6"/>
      <c r="AK4138" s="6"/>
      <c r="AL4138" s="6"/>
      <c r="AM4138" s="6"/>
    </row>
    <row r="4139">
      <c r="A4139" s="6"/>
      <c r="B4139" s="6"/>
      <c r="C4139" s="6"/>
      <c r="D4139" s="6"/>
      <c r="E4139" s="6"/>
      <c r="F4139" s="6"/>
      <c r="G4139" s="6"/>
      <c r="H4139" s="6"/>
      <c r="I4139" s="6"/>
      <c r="J4139" s="6"/>
      <c r="K4139" s="6"/>
      <c r="L4139" s="6"/>
      <c r="M4139" s="6"/>
      <c r="N4139" s="6"/>
      <c r="O4139" s="6"/>
      <c r="P4139" s="6"/>
      <c r="Q4139" s="6"/>
      <c r="R4139" s="6"/>
      <c r="S4139" s="6"/>
      <c r="T4139" s="6"/>
      <c r="U4139" s="6"/>
      <c r="V4139" s="6"/>
      <c r="W4139" s="6"/>
      <c r="X4139" s="6"/>
      <c r="Y4139" s="6"/>
      <c r="Z4139" s="6"/>
      <c r="AA4139" s="6"/>
      <c r="AB4139" s="6"/>
      <c r="AC4139" s="6"/>
      <c r="AD4139" s="6"/>
      <c r="AE4139" s="6"/>
      <c r="AF4139" s="6"/>
      <c r="AG4139" s="6"/>
      <c r="AH4139" s="6"/>
      <c r="AI4139" s="6"/>
      <c r="AJ4139" s="6"/>
      <c r="AK4139" s="6"/>
      <c r="AL4139" s="6"/>
      <c r="AM4139" s="6"/>
    </row>
    <row r="4140">
      <c r="A4140" s="6"/>
      <c r="B4140" s="6"/>
      <c r="C4140" s="6"/>
      <c r="D4140" s="6"/>
      <c r="E4140" s="6"/>
      <c r="F4140" s="6"/>
      <c r="G4140" s="6"/>
      <c r="H4140" s="6"/>
      <c r="I4140" s="6"/>
      <c r="J4140" s="6"/>
      <c r="K4140" s="6"/>
      <c r="L4140" s="6"/>
      <c r="M4140" s="6"/>
      <c r="N4140" s="6"/>
      <c r="O4140" s="6"/>
      <c r="P4140" s="6"/>
      <c r="Q4140" s="6"/>
      <c r="R4140" s="6"/>
      <c r="S4140" s="6"/>
      <c r="T4140" s="6"/>
      <c r="U4140" s="6"/>
      <c r="V4140" s="6"/>
      <c r="W4140" s="6"/>
      <c r="X4140" s="6"/>
      <c r="Y4140" s="6"/>
      <c r="Z4140" s="6"/>
      <c r="AA4140" s="6"/>
      <c r="AB4140" s="6"/>
      <c r="AC4140" s="6"/>
      <c r="AD4140" s="6"/>
      <c r="AE4140" s="6"/>
      <c r="AF4140" s="6"/>
      <c r="AG4140" s="6"/>
      <c r="AH4140" s="6"/>
      <c r="AI4140" s="6"/>
      <c r="AJ4140" s="6"/>
      <c r="AK4140" s="6"/>
      <c r="AL4140" s="6"/>
      <c r="AM4140" s="6"/>
    </row>
    <row r="4141">
      <c r="A4141" s="6"/>
      <c r="B4141" s="6"/>
      <c r="C4141" s="6"/>
      <c r="D4141" s="6"/>
      <c r="E4141" s="6"/>
      <c r="F4141" s="6"/>
      <c r="G4141" s="6"/>
      <c r="H4141" s="6"/>
      <c r="I4141" s="6"/>
      <c r="J4141" s="6"/>
      <c r="K4141" s="6"/>
      <c r="L4141" s="6"/>
      <c r="M4141" s="6"/>
      <c r="N4141" s="6"/>
      <c r="O4141" s="6"/>
      <c r="P4141" s="6"/>
      <c r="Q4141" s="6"/>
      <c r="R4141" s="6"/>
      <c r="S4141" s="6"/>
      <c r="T4141" s="6"/>
      <c r="U4141" s="6"/>
      <c r="V4141" s="6"/>
      <c r="W4141" s="6"/>
      <c r="X4141" s="6"/>
      <c r="Y4141" s="6"/>
      <c r="Z4141" s="6"/>
      <c r="AA4141" s="6"/>
      <c r="AB4141" s="6"/>
      <c r="AC4141" s="6"/>
      <c r="AD4141" s="6"/>
      <c r="AE4141" s="6"/>
      <c r="AF4141" s="6"/>
      <c r="AG4141" s="6"/>
      <c r="AH4141" s="6"/>
      <c r="AI4141" s="6"/>
      <c r="AJ4141" s="6"/>
      <c r="AK4141" s="6"/>
      <c r="AL4141" s="6"/>
      <c r="AM4141" s="6"/>
    </row>
    <row r="4142">
      <c r="A4142" s="6"/>
      <c r="B4142" s="6"/>
      <c r="C4142" s="6"/>
      <c r="D4142" s="6"/>
      <c r="E4142" s="6"/>
      <c r="F4142" s="6"/>
      <c r="G4142" s="6"/>
      <c r="H4142" s="6"/>
      <c r="I4142" s="6"/>
      <c r="J4142" s="6"/>
      <c r="K4142" s="6"/>
      <c r="L4142" s="6"/>
      <c r="M4142" s="6"/>
      <c r="N4142" s="6"/>
      <c r="O4142" s="6"/>
      <c r="P4142" s="6"/>
      <c r="Q4142" s="6"/>
      <c r="R4142" s="6"/>
      <c r="S4142" s="6"/>
      <c r="T4142" s="6"/>
      <c r="U4142" s="6"/>
      <c r="V4142" s="6"/>
      <c r="W4142" s="6"/>
      <c r="X4142" s="6"/>
      <c r="Y4142" s="6"/>
      <c r="Z4142" s="6"/>
      <c r="AA4142" s="6"/>
      <c r="AB4142" s="6"/>
      <c r="AC4142" s="6"/>
      <c r="AD4142" s="6"/>
      <c r="AE4142" s="6"/>
      <c r="AF4142" s="6"/>
      <c r="AG4142" s="6"/>
      <c r="AH4142" s="6"/>
      <c r="AI4142" s="6"/>
      <c r="AJ4142" s="6"/>
      <c r="AK4142" s="6"/>
      <c r="AL4142" s="6"/>
      <c r="AM4142" s="6"/>
    </row>
    <row r="4143">
      <c r="A4143" s="6"/>
      <c r="B4143" s="6"/>
      <c r="C4143" s="6"/>
      <c r="D4143" s="6"/>
      <c r="E4143" s="6"/>
      <c r="F4143" s="6"/>
      <c r="G4143" s="6"/>
      <c r="H4143" s="6"/>
      <c r="I4143" s="6"/>
      <c r="J4143" s="6"/>
      <c r="K4143" s="6"/>
      <c r="L4143" s="6"/>
      <c r="M4143" s="6"/>
      <c r="N4143" s="6"/>
      <c r="O4143" s="6"/>
      <c r="P4143" s="6"/>
      <c r="Q4143" s="6"/>
      <c r="R4143" s="6"/>
      <c r="S4143" s="6"/>
      <c r="T4143" s="6"/>
      <c r="U4143" s="6"/>
      <c r="V4143" s="6"/>
      <c r="W4143" s="6"/>
      <c r="X4143" s="6"/>
      <c r="Y4143" s="6"/>
      <c r="Z4143" s="6"/>
      <c r="AA4143" s="6"/>
      <c r="AB4143" s="6"/>
      <c r="AC4143" s="6"/>
      <c r="AD4143" s="6"/>
      <c r="AE4143" s="6"/>
      <c r="AF4143" s="6"/>
      <c r="AG4143" s="6"/>
      <c r="AH4143" s="6"/>
      <c r="AI4143" s="6"/>
      <c r="AJ4143" s="6"/>
      <c r="AK4143" s="6"/>
      <c r="AL4143" s="6"/>
      <c r="AM4143" s="6"/>
    </row>
    <row r="4144">
      <c r="A4144" s="6"/>
      <c r="B4144" s="6"/>
      <c r="C4144" s="6"/>
      <c r="D4144" s="6"/>
      <c r="E4144" s="6"/>
      <c r="F4144" s="6"/>
      <c r="G4144" s="6"/>
      <c r="H4144" s="6"/>
      <c r="I4144" s="6"/>
      <c r="J4144" s="6"/>
      <c r="K4144" s="6"/>
      <c r="L4144" s="6"/>
      <c r="M4144" s="6"/>
      <c r="N4144" s="6"/>
      <c r="O4144" s="6"/>
      <c r="P4144" s="6"/>
      <c r="Q4144" s="6"/>
      <c r="R4144" s="6"/>
      <c r="S4144" s="6"/>
      <c r="T4144" s="6"/>
      <c r="U4144" s="6"/>
      <c r="V4144" s="6"/>
      <c r="W4144" s="6"/>
      <c r="X4144" s="6"/>
      <c r="Y4144" s="6"/>
      <c r="Z4144" s="6"/>
      <c r="AA4144" s="6"/>
      <c r="AB4144" s="6"/>
      <c r="AC4144" s="6"/>
      <c r="AD4144" s="6"/>
      <c r="AE4144" s="6"/>
      <c r="AF4144" s="6"/>
      <c r="AG4144" s="6"/>
      <c r="AH4144" s="6"/>
      <c r="AI4144" s="6"/>
      <c r="AJ4144" s="6"/>
      <c r="AK4144" s="6"/>
      <c r="AL4144" s="6"/>
      <c r="AM4144" s="6"/>
    </row>
    <row r="4145">
      <c r="A4145" s="6"/>
      <c r="B4145" s="6"/>
      <c r="C4145" s="6"/>
      <c r="D4145" s="6"/>
      <c r="E4145" s="6"/>
      <c r="F4145" s="6"/>
      <c r="G4145" s="6"/>
      <c r="H4145" s="6"/>
      <c r="I4145" s="6"/>
      <c r="J4145" s="6"/>
      <c r="K4145" s="6"/>
      <c r="L4145" s="6"/>
      <c r="M4145" s="6"/>
      <c r="N4145" s="6"/>
      <c r="O4145" s="6"/>
      <c r="P4145" s="6"/>
      <c r="Q4145" s="6"/>
      <c r="R4145" s="6"/>
      <c r="S4145" s="6"/>
      <c r="T4145" s="6"/>
      <c r="U4145" s="6"/>
      <c r="V4145" s="6"/>
      <c r="W4145" s="6"/>
      <c r="X4145" s="6"/>
      <c r="Y4145" s="6"/>
      <c r="Z4145" s="6"/>
      <c r="AA4145" s="6"/>
      <c r="AB4145" s="6"/>
      <c r="AC4145" s="6"/>
      <c r="AD4145" s="6"/>
      <c r="AE4145" s="6"/>
      <c r="AF4145" s="6"/>
      <c r="AG4145" s="6"/>
      <c r="AH4145" s="6"/>
      <c r="AI4145" s="6"/>
      <c r="AJ4145" s="6"/>
      <c r="AK4145" s="6"/>
      <c r="AL4145" s="6"/>
      <c r="AM4145" s="6"/>
    </row>
    <row r="4146">
      <c r="A4146" s="6"/>
      <c r="B4146" s="6"/>
      <c r="C4146" s="6"/>
      <c r="D4146" s="6"/>
      <c r="E4146" s="6"/>
      <c r="F4146" s="6"/>
      <c r="G4146" s="6"/>
      <c r="H4146" s="6"/>
      <c r="I4146" s="6"/>
      <c r="J4146" s="6"/>
      <c r="K4146" s="6"/>
      <c r="L4146" s="6"/>
      <c r="M4146" s="6"/>
      <c r="N4146" s="6"/>
      <c r="O4146" s="6"/>
      <c r="P4146" s="6"/>
      <c r="Q4146" s="6"/>
      <c r="R4146" s="6"/>
      <c r="S4146" s="6"/>
      <c r="T4146" s="6"/>
      <c r="U4146" s="6"/>
      <c r="V4146" s="6"/>
      <c r="W4146" s="6"/>
      <c r="X4146" s="6"/>
      <c r="Y4146" s="6"/>
      <c r="Z4146" s="6"/>
      <c r="AA4146" s="6"/>
      <c r="AB4146" s="6"/>
      <c r="AC4146" s="6"/>
      <c r="AD4146" s="6"/>
      <c r="AE4146" s="6"/>
      <c r="AF4146" s="6"/>
      <c r="AG4146" s="6"/>
      <c r="AH4146" s="6"/>
      <c r="AI4146" s="6"/>
      <c r="AJ4146" s="6"/>
      <c r="AK4146" s="6"/>
      <c r="AL4146" s="6"/>
      <c r="AM4146" s="6"/>
    </row>
    <row r="4147">
      <c r="A4147" s="6"/>
      <c r="B4147" s="6"/>
      <c r="C4147" s="6"/>
      <c r="D4147" s="6"/>
      <c r="E4147" s="6"/>
      <c r="F4147" s="6"/>
      <c r="G4147" s="6"/>
      <c r="H4147" s="6"/>
      <c r="I4147" s="6"/>
      <c r="J4147" s="6"/>
      <c r="K4147" s="6"/>
      <c r="L4147" s="6"/>
      <c r="M4147" s="6"/>
      <c r="N4147" s="6"/>
      <c r="O4147" s="6"/>
      <c r="P4147" s="6"/>
      <c r="Q4147" s="6"/>
      <c r="R4147" s="6"/>
      <c r="S4147" s="6"/>
      <c r="T4147" s="6"/>
      <c r="U4147" s="6"/>
      <c r="V4147" s="6"/>
      <c r="W4147" s="6"/>
      <c r="X4147" s="6"/>
      <c r="Y4147" s="6"/>
      <c r="Z4147" s="6"/>
      <c r="AA4147" s="6"/>
      <c r="AB4147" s="6"/>
      <c r="AC4147" s="6"/>
      <c r="AD4147" s="6"/>
      <c r="AE4147" s="6"/>
      <c r="AF4147" s="6"/>
      <c r="AG4147" s="6"/>
      <c r="AH4147" s="6"/>
      <c r="AI4147" s="6"/>
      <c r="AJ4147" s="6"/>
      <c r="AK4147" s="6"/>
      <c r="AL4147" s="6"/>
      <c r="AM4147" s="6"/>
    </row>
    <row r="4148">
      <c r="A4148" s="6"/>
      <c r="B4148" s="6"/>
      <c r="C4148" s="6"/>
      <c r="D4148" s="6"/>
      <c r="E4148" s="6"/>
      <c r="F4148" s="6"/>
      <c r="G4148" s="6"/>
      <c r="H4148" s="6"/>
      <c r="I4148" s="6"/>
      <c r="J4148" s="6"/>
      <c r="K4148" s="6"/>
      <c r="L4148" s="6"/>
      <c r="M4148" s="6"/>
      <c r="N4148" s="6"/>
      <c r="O4148" s="6"/>
      <c r="P4148" s="6"/>
      <c r="Q4148" s="6"/>
      <c r="R4148" s="6"/>
      <c r="S4148" s="6"/>
      <c r="T4148" s="6"/>
      <c r="U4148" s="6"/>
      <c r="V4148" s="6"/>
      <c r="W4148" s="6"/>
      <c r="X4148" s="6"/>
      <c r="Y4148" s="6"/>
      <c r="Z4148" s="6"/>
      <c r="AA4148" s="6"/>
      <c r="AB4148" s="6"/>
      <c r="AC4148" s="6"/>
      <c r="AD4148" s="6"/>
      <c r="AE4148" s="6"/>
      <c r="AF4148" s="6"/>
      <c r="AG4148" s="6"/>
      <c r="AH4148" s="6"/>
      <c r="AI4148" s="6"/>
      <c r="AJ4148" s="6"/>
      <c r="AK4148" s="6"/>
      <c r="AL4148" s="6"/>
      <c r="AM4148" s="6"/>
    </row>
    <row r="4149">
      <c r="A4149" s="6"/>
      <c r="B4149" s="6"/>
      <c r="C4149" s="6"/>
      <c r="D4149" s="6"/>
      <c r="E4149" s="6"/>
      <c r="F4149" s="6"/>
      <c r="G4149" s="6"/>
      <c r="H4149" s="6"/>
      <c r="I4149" s="6"/>
      <c r="J4149" s="6"/>
      <c r="K4149" s="6"/>
      <c r="L4149" s="6"/>
      <c r="M4149" s="6"/>
      <c r="N4149" s="6"/>
      <c r="O4149" s="6"/>
      <c r="P4149" s="6"/>
      <c r="Q4149" s="6"/>
      <c r="R4149" s="6"/>
      <c r="S4149" s="6"/>
      <c r="T4149" s="6"/>
      <c r="U4149" s="6"/>
      <c r="V4149" s="6"/>
      <c r="W4149" s="6"/>
      <c r="X4149" s="6"/>
      <c r="Y4149" s="6"/>
      <c r="Z4149" s="6"/>
      <c r="AA4149" s="6"/>
      <c r="AB4149" s="6"/>
      <c r="AC4149" s="6"/>
      <c r="AD4149" s="6"/>
      <c r="AE4149" s="6"/>
      <c r="AF4149" s="6"/>
      <c r="AG4149" s="6"/>
      <c r="AH4149" s="6"/>
      <c r="AI4149" s="6"/>
      <c r="AJ4149" s="6"/>
      <c r="AK4149" s="6"/>
      <c r="AL4149" s="6"/>
      <c r="AM4149" s="6"/>
    </row>
    <row r="4150">
      <c r="A4150" s="6"/>
      <c r="B4150" s="6"/>
      <c r="C4150" s="6"/>
      <c r="D4150" s="6"/>
      <c r="E4150" s="6"/>
      <c r="F4150" s="6"/>
      <c r="G4150" s="6"/>
      <c r="H4150" s="6"/>
      <c r="I4150" s="6"/>
      <c r="J4150" s="6"/>
      <c r="K4150" s="6"/>
      <c r="L4150" s="6"/>
      <c r="M4150" s="6"/>
      <c r="N4150" s="6"/>
      <c r="O4150" s="6"/>
      <c r="P4150" s="6"/>
      <c r="Q4150" s="6"/>
      <c r="R4150" s="6"/>
      <c r="S4150" s="6"/>
      <c r="T4150" s="6"/>
      <c r="U4150" s="6"/>
      <c r="V4150" s="6"/>
      <c r="W4150" s="6"/>
      <c r="X4150" s="6"/>
      <c r="Y4150" s="6"/>
      <c r="Z4150" s="6"/>
      <c r="AA4150" s="6"/>
      <c r="AB4150" s="6"/>
      <c r="AC4150" s="6"/>
      <c r="AD4150" s="6"/>
      <c r="AE4150" s="6"/>
      <c r="AF4150" s="6"/>
      <c r="AG4150" s="6"/>
      <c r="AH4150" s="6"/>
      <c r="AI4150" s="6"/>
      <c r="AJ4150" s="6"/>
      <c r="AK4150" s="6"/>
      <c r="AL4150" s="6"/>
      <c r="AM4150" s="6"/>
    </row>
    <row r="4151">
      <c r="A4151" s="6"/>
      <c r="B4151" s="6"/>
      <c r="C4151" s="6"/>
      <c r="D4151" s="6"/>
      <c r="E4151" s="6"/>
      <c r="F4151" s="6"/>
      <c r="G4151" s="6"/>
      <c r="H4151" s="6"/>
      <c r="I4151" s="6"/>
      <c r="J4151" s="6"/>
      <c r="K4151" s="6"/>
      <c r="L4151" s="6"/>
      <c r="M4151" s="6"/>
      <c r="N4151" s="6"/>
      <c r="O4151" s="6"/>
      <c r="P4151" s="6"/>
      <c r="Q4151" s="6"/>
      <c r="R4151" s="6"/>
      <c r="S4151" s="6"/>
      <c r="T4151" s="6"/>
      <c r="U4151" s="6"/>
      <c r="V4151" s="6"/>
      <c r="W4151" s="6"/>
      <c r="X4151" s="6"/>
      <c r="Y4151" s="6"/>
      <c r="Z4151" s="6"/>
      <c r="AA4151" s="6"/>
      <c r="AB4151" s="6"/>
      <c r="AC4151" s="6"/>
      <c r="AD4151" s="6"/>
      <c r="AE4151" s="6"/>
      <c r="AF4151" s="6"/>
      <c r="AG4151" s="6"/>
      <c r="AH4151" s="6"/>
      <c r="AI4151" s="6"/>
      <c r="AJ4151" s="6"/>
      <c r="AK4151" s="6"/>
      <c r="AL4151" s="6"/>
      <c r="AM4151" s="6"/>
    </row>
    <row r="4152">
      <c r="A4152" s="6"/>
      <c r="B4152" s="6"/>
      <c r="C4152" s="6"/>
      <c r="D4152" s="6"/>
      <c r="E4152" s="6"/>
      <c r="F4152" s="6"/>
      <c r="G4152" s="6"/>
      <c r="H4152" s="6"/>
      <c r="I4152" s="6"/>
      <c r="J4152" s="6"/>
      <c r="K4152" s="6"/>
      <c r="L4152" s="6"/>
      <c r="M4152" s="6"/>
      <c r="N4152" s="6"/>
      <c r="O4152" s="6"/>
      <c r="P4152" s="6"/>
      <c r="Q4152" s="6"/>
      <c r="R4152" s="6"/>
      <c r="S4152" s="6"/>
      <c r="T4152" s="6"/>
      <c r="U4152" s="6"/>
      <c r="V4152" s="6"/>
      <c r="W4152" s="6"/>
      <c r="X4152" s="6"/>
      <c r="Y4152" s="6"/>
      <c r="Z4152" s="6"/>
      <c r="AA4152" s="6"/>
      <c r="AB4152" s="6"/>
      <c r="AC4152" s="6"/>
      <c r="AD4152" s="6"/>
      <c r="AE4152" s="6"/>
      <c r="AF4152" s="6"/>
      <c r="AG4152" s="6"/>
      <c r="AH4152" s="6"/>
      <c r="AI4152" s="6"/>
      <c r="AJ4152" s="6"/>
      <c r="AK4152" s="6"/>
      <c r="AL4152" s="6"/>
      <c r="AM4152" s="6"/>
    </row>
    <row r="4153">
      <c r="A4153" s="6"/>
      <c r="B4153" s="6"/>
      <c r="C4153" s="6"/>
      <c r="D4153" s="6"/>
      <c r="E4153" s="6"/>
      <c r="F4153" s="6"/>
      <c r="G4153" s="6"/>
      <c r="H4153" s="6"/>
      <c r="I4153" s="6"/>
      <c r="J4153" s="6"/>
      <c r="K4153" s="6"/>
      <c r="L4153" s="6"/>
      <c r="M4153" s="6"/>
      <c r="N4153" s="6"/>
      <c r="O4153" s="6"/>
      <c r="P4153" s="6"/>
      <c r="Q4153" s="6"/>
      <c r="R4153" s="6"/>
      <c r="S4153" s="6"/>
      <c r="T4153" s="6"/>
      <c r="U4153" s="6"/>
      <c r="V4153" s="6"/>
      <c r="W4153" s="6"/>
      <c r="X4153" s="6"/>
      <c r="Y4153" s="6"/>
      <c r="Z4153" s="6"/>
      <c r="AA4153" s="6"/>
      <c r="AB4153" s="6"/>
      <c r="AC4153" s="6"/>
      <c r="AD4153" s="6"/>
      <c r="AE4153" s="6"/>
      <c r="AF4153" s="6"/>
      <c r="AG4153" s="6"/>
      <c r="AH4153" s="6"/>
      <c r="AI4153" s="6"/>
      <c r="AJ4153" s="6"/>
      <c r="AK4153" s="6"/>
      <c r="AL4153" s="6"/>
      <c r="AM4153" s="6"/>
    </row>
    <row r="4154">
      <c r="A4154" s="6"/>
      <c r="B4154" s="6"/>
      <c r="C4154" s="6"/>
      <c r="D4154" s="6"/>
      <c r="E4154" s="6"/>
      <c r="F4154" s="6"/>
      <c r="G4154" s="6"/>
      <c r="H4154" s="6"/>
      <c r="I4154" s="6"/>
      <c r="J4154" s="6"/>
      <c r="K4154" s="6"/>
      <c r="L4154" s="6"/>
      <c r="M4154" s="6"/>
      <c r="N4154" s="6"/>
      <c r="O4154" s="6"/>
      <c r="P4154" s="6"/>
      <c r="Q4154" s="6"/>
      <c r="R4154" s="6"/>
      <c r="S4154" s="6"/>
      <c r="T4154" s="6"/>
      <c r="U4154" s="6"/>
      <c r="V4154" s="6"/>
      <c r="W4154" s="6"/>
      <c r="X4154" s="6"/>
      <c r="Y4154" s="6"/>
      <c r="Z4154" s="6"/>
      <c r="AA4154" s="6"/>
      <c r="AB4154" s="6"/>
      <c r="AC4154" s="6"/>
      <c r="AD4154" s="6"/>
      <c r="AE4154" s="6"/>
      <c r="AF4154" s="6"/>
      <c r="AG4154" s="6"/>
      <c r="AH4154" s="6"/>
      <c r="AI4154" s="6"/>
      <c r="AJ4154" s="6"/>
      <c r="AK4154" s="6"/>
      <c r="AL4154" s="6"/>
      <c r="AM4154" s="6"/>
    </row>
    <row r="4155">
      <c r="A4155" s="6"/>
      <c r="B4155" s="6"/>
      <c r="C4155" s="6"/>
      <c r="D4155" s="6"/>
      <c r="E4155" s="6"/>
      <c r="F4155" s="6"/>
      <c r="G4155" s="6"/>
      <c r="H4155" s="6"/>
      <c r="I4155" s="6"/>
      <c r="J4155" s="6"/>
      <c r="K4155" s="6"/>
      <c r="L4155" s="6"/>
      <c r="M4155" s="6"/>
      <c r="N4155" s="6"/>
      <c r="O4155" s="6"/>
      <c r="P4155" s="6"/>
      <c r="Q4155" s="6"/>
      <c r="R4155" s="6"/>
      <c r="S4155" s="6"/>
      <c r="T4155" s="6"/>
      <c r="U4155" s="6"/>
      <c r="V4155" s="6"/>
      <c r="W4155" s="6"/>
      <c r="X4155" s="6"/>
      <c r="Y4155" s="6"/>
      <c r="Z4155" s="6"/>
      <c r="AA4155" s="6"/>
      <c r="AB4155" s="6"/>
      <c r="AC4155" s="6"/>
      <c r="AD4155" s="6"/>
      <c r="AE4155" s="6"/>
      <c r="AF4155" s="6"/>
      <c r="AG4155" s="6"/>
      <c r="AH4155" s="6"/>
      <c r="AI4155" s="6"/>
      <c r="AJ4155" s="6"/>
      <c r="AK4155" s="6"/>
      <c r="AL4155" s="6"/>
      <c r="AM4155" s="6"/>
    </row>
    <row r="4156">
      <c r="A4156" s="6"/>
      <c r="B4156" s="6"/>
      <c r="C4156" s="6"/>
      <c r="D4156" s="6"/>
      <c r="E4156" s="6"/>
      <c r="F4156" s="6"/>
      <c r="G4156" s="6"/>
      <c r="H4156" s="6"/>
      <c r="I4156" s="6"/>
      <c r="J4156" s="6"/>
      <c r="K4156" s="6"/>
      <c r="L4156" s="6"/>
      <c r="M4156" s="6"/>
      <c r="N4156" s="6"/>
      <c r="O4156" s="6"/>
      <c r="P4156" s="6"/>
      <c r="Q4156" s="6"/>
      <c r="R4156" s="6"/>
      <c r="S4156" s="6"/>
      <c r="T4156" s="6"/>
      <c r="U4156" s="6"/>
      <c r="V4156" s="6"/>
      <c r="W4156" s="6"/>
      <c r="X4156" s="6"/>
      <c r="Y4156" s="6"/>
      <c r="Z4156" s="6"/>
      <c r="AA4156" s="6"/>
      <c r="AB4156" s="6"/>
      <c r="AC4156" s="6"/>
      <c r="AD4156" s="6"/>
      <c r="AE4156" s="6"/>
      <c r="AF4156" s="6"/>
      <c r="AG4156" s="6"/>
      <c r="AH4156" s="6"/>
      <c r="AI4156" s="6"/>
      <c r="AJ4156" s="6"/>
      <c r="AK4156" s="6"/>
      <c r="AL4156" s="6"/>
      <c r="AM4156" s="6"/>
    </row>
    <row r="4157">
      <c r="A4157" s="6"/>
      <c r="B4157" s="6"/>
      <c r="C4157" s="6"/>
      <c r="D4157" s="6"/>
      <c r="E4157" s="6"/>
      <c r="F4157" s="6"/>
      <c r="G4157" s="6"/>
      <c r="H4157" s="6"/>
      <c r="I4157" s="6"/>
      <c r="J4157" s="6"/>
      <c r="K4157" s="6"/>
      <c r="L4157" s="6"/>
      <c r="M4157" s="6"/>
      <c r="N4157" s="6"/>
      <c r="O4157" s="6"/>
      <c r="P4157" s="6"/>
      <c r="Q4157" s="6"/>
      <c r="R4157" s="6"/>
      <c r="S4157" s="6"/>
      <c r="T4157" s="6"/>
      <c r="U4157" s="6"/>
      <c r="V4157" s="6"/>
      <c r="W4157" s="6"/>
      <c r="X4157" s="6"/>
      <c r="Y4157" s="6"/>
      <c r="Z4157" s="6"/>
      <c r="AA4157" s="6"/>
      <c r="AB4157" s="6"/>
      <c r="AC4157" s="6"/>
      <c r="AD4157" s="6"/>
      <c r="AE4157" s="6"/>
      <c r="AF4157" s="6"/>
      <c r="AG4157" s="6"/>
      <c r="AH4157" s="6"/>
      <c r="AI4157" s="6"/>
      <c r="AJ4157" s="6"/>
      <c r="AK4157" s="6"/>
      <c r="AL4157" s="6"/>
      <c r="AM4157" s="6"/>
    </row>
    <row r="4158">
      <c r="A4158" s="6"/>
      <c r="B4158" s="6"/>
      <c r="C4158" s="6"/>
      <c r="D4158" s="6"/>
      <c r="E4158" s="6"/>
      <c r="F4158" s="6"/>
      <c r="G4158" s="6"/>
      <c r="H4158" s="6"/>
      <c r="I4158" s="6"/>
      <c r="J4158" s="6"/>
      <c r="K4158" s="6"/>
      <c r="L4158" s="6"/>
      <c r="M4158" s="6"/>
      <c r="N4158" s="6"/>
      <c r="O4158" s="6"/>
      <c r="P4158" s="6"/>
      <c r="Q4158" s="6"/>
      <c r="R4158" s="6"/>
      <c r="S4158" s="6"/>
      <c r="T4158" s="6"/>
      <c r="U4158" s="6"/>
      <c r="V4158" s="6"/>
      <c r="W4158" s="6"/>
      <c r="X4158" s="6"/>
      <c r="Y4158" s="6"/>
      <c r="Z4158" s="6"/>
      <c r="AA4158" s="6"/>
      <c r="AB4158" s="6"/>
      <c r="AC4158" s="6"/>
      <c r="AD4158" s="6"/>
      <c r="AE4158" s="6"/>
      <c r="AF4158" s="6"/>
      <c r="AG4158" s="6"/>
      <c r="AH4158" s="6"/>
      <c r="AI4158" s="6"/>
      <c r="AJ4158" s="6"/>
      <c r="AK4158" s="6"/>
      <c r="AL4158" s="6"/>
      <c r="AM4158" s="6"/>
    </row>
    <row r="4159">
      <c r="A4159" s="6"/>
      <c r="B4159" s="6"/>
      <c r="C4159" s="6"/>
      <c r="D4159" s="6"/>
      <c r="E4159" s="6"/>
      <c r="F4159" s="6"/>
      <c r="G4159" s="6"/>
      <c r="H4159" s="6"/>
      <c r="I4159" s="6"/>
      <c r="J4159" s="6"/>
      <c r="K4159" s="6"/>
      <c r="L4159" s="6"/>
      <c r="M4159" s="6"/>
      <c r="N4159" s="6"/>
      <c r="O4159" s="6"/>
      <c r="P4159" s="6"/>
      <c r="Q4159" s="6"/>
      <c r="R4159" s="6"/>
      <c r="S4159" s="6"/>
      <c r="T4159" s="6"/>
      <c r="U4159" s="6"/>
      <c r="V4159" s="6"/>
      <c r="W4159" s="6"/>
      <c r="X4159" s="6"/>
      <c r="Y4159" s="6"/>
      <c r="Z4159" s="6"/>
      <c r="AA4159" s="6"/>
      <c r="AB4159" s="6"/>
      <c r="AC4159" s="6"/>
      <c r="AD4159" s="6"/>
      <c r="AE4159" s="6"/>
      <c r="AF4159" s="6"/>
      <c r="AG4159" s="6"/>
      <c r="AH4159" s="6"/>
      <c r="AI4159" s="6"/>
      <c r="AJ4159" s="6"/>
      <c r="AK4159" s="6"/>
      <c r="AL4159" s="6"/>
      <c r="AM4159" s="6"/>
    </row>
    <row r="4160">
      <c r="A4160" s="6"/>
      <c r="B4160" s="6"/>
      <c r="C4160" s="6"/>
      <c r="D4160" s="6"/>
      <c r="E4160" s="6"/>
      <c r="F4160" s="6"/>
      <c r="G4160" s="6"/>
      <c r="H4160" s="6"/>
      <c r="I4160" s="6"/>
      <c r="J4160" s="6"/>
      <c r="K4160" s="6"/>
      <c r="L4160" s="6"/>
      <c r="M4160" s="6"/>
      <c r="N4160" s="6"/>
      <c r="O4160" s="6"/>
      <c r="P4160" s="6"/>
      <c r="Q4160" s="6"/>
      <c r="R4160" s="6"/>
      <c r="S4160" s="6"/>
      <c r="T4160" s="6"/>
      <c r="U4160" s="6"/>
      <c r="V4160" s="6"/>
      <c r="W4160" s="6"/>
      <c r="X4160" s="6"/>
      <c r="Y4160" s="6"/>
      <c r="Z4160" s="6"/>
      <c r="AA4160" s="6"/>
      <c r="AB4160" s="6"/>
      <c r="AC4160" s="6"/>
      <c r="AD4160" s="6"/>
      <c r="AE4160" s="6"/>
      <c r="AF4160" s="6"/>
      <c r="AG4160" s="6"/>
      <c r="AH4160" s="6"/>
      <c r="AI4160" s="6"/>
      <c r="AJ4160" s="6"/>
      <c r="AK4160" s="6"/>
      <c r="AL4160" s="6"/>
      <c r="AM4160" s="6"/>
    </row>
    <row r="4161">
      <c r="A4161" s="6"/>
      <c r="B4161" s="6"/>
      <c r="C4161" s="6"/>
      <c r="D4161" s="6"/>
      <c r="E4161" s="6"/>
      <c r="F4161" s="6"/>
      <c r="G4161" s="6"/>
      <c r="H4161" s="6"/>
      <c r="I4161" s="6"/>
      <c r="J4161" s="6"/>
      <c r="K4161" s="6"/>
      <c r="L4161" s="6"/>
      <c r="M4161" s="6"/>
      <c r="N4161" s="6"/>
      <c r="O4161" s="6"/>
      <c r="P4161" s="6"/>
      <c r="Q4161" s="6"/>
      <c r="R4161" s="6"/>
      <c r="S4161" s="6"/>
      <c r="T4161" s="6"/>
      <c r="U4161" s="6"/>
      <c r="V4161" s="6"/>
      <c r="W4161" s="6"/>
      <c r="X4161" s="6"/>
      <c r="Y4161" s="6"/>
      <c r="Z4161" s="6"/>
      <c r="AA4161" s="6"/>
      <c r="AB4161" s="6"/>
      <c r="AC4161" s="6"/>
      <c r="AD4161" s="6"/>
      <c r="AE4161" s="6"/>
      <c r="AF4161" s="6"/>
      <c r="AG4161" s="6"/>
      <c r="AH4161" s="6"/>
      <c r="AI4161" s="6"/>
      <c r="AJ4161" s="6"/>
      <c r="AK4161" s="6"/>
      <c r="AL4161" s="6"/>
      <c r="AM4161" s="6"/>
    </row>
    <row r="4162">
      <c r="A4162" s="6"/>
      <c r="B4162" s="6"/>
      <c r="C4162" s="6"/>
      <c r="D4162" s="6"/>
      <c r="E4162" s="6"/>
      <c r="F4162" s="6"/>
      <c r="G4162" s="6"/>
      <c r="H4162" s="6"/>
      <c r="I4162" s="6"/>
      <c r="J4162" s="6"/>
      <c r="K4162" s="6"/>
      <c r="L4162" s="6"/>
      <c r="M4162" s="6"/>
      <c r="N4162" s="6"/>
      <c r="O4162" s="6"/>
      <c r="P4162" s="6"/>
      <c r="Q4162" s="6"/>
      <c r="R4162" s="6"/>
      <c r="S4162" s="6"/>
      <c r="T4162" s="6"/>
      <c r="U4162" s="6"/>
      <c r="V4162" s="6"/>
      <c r="W4162" s="6"/>
      <c r="X4162" s="6"/>
      <c r="Y4162" s="6"/>
      <c r="Z4162" s="6"/>
      <c r="AA4162" s="6"/>
      <c r="AB4162" s="6"/>
      <c r="AC4162" s="6"/>
      <c r="AD4162" s="6"/>
      <c r="AE4162" s="6"/>
      <c r="AF4162" s="6"/>
      <c r="AG4162" s="6"/>
      <c r="AH4162" s="6"/>
      <c r="AI4162" s="6"/>
      <c r="AJ4162" s="6"/>
      <c r="AK4162" s="6"/>
      <c r="AL4162" s="6"/>
      <c r="AM4162" s="6"/>
    </row>
    <row r="4163">
      <c r="A4163" s="6"/>
      <c r="B4163" s="6"/>
      <c r="C4163" s="6"/>
      <c r="D4163" s="6"/>
      <c r="E4163" s="6"/>
      <c r="F4163" s="6"/>
      <c r="G4163" s="6"/>
      <c r="H4163" s="6"/>
      <c r="I4163" s="6"/>
      <c r="J4163" s="6"/>
      <c r="K4163" s="6"/>
      <c r="L4163" s="6"/>
      <c r="M4163" s="6"/>
      <c r="N4163" s="6"/>
      <c r="O4163" s="6"/>
      <c r="P4163" s="6"/>
      <c r="Q4163" s="6"/>
      <c r="R4163" s="6"/>
      <c r="S4163" s="6"/>
      <c r="T4163" s="6"/>
      <c r="U4163" s="6"/>
      <c r="V4163" s="6"/>
      <c r="W4163" s="6"/>
      <c r="X4163" s="6"/>
      <c r="Y4163" s="6"/>
      <c r="Z4163" s="6"/>
      <c r="AA4163" s="6"/>
      <c r="AB4163" s="6"/>
      <c r="AC4163" s="6"/>
      <c r="AD4163" s="6"/>
      <c r="AE4163" s="6"/>
      <c r="AF4163" s="6"/>
      <c r="AG4163" s="6"/>
      <c r="AH4163" s="6"/>
      <c r="AI4163" s="6"/>
      <c r="AJ4163" s="6"/>
      <c r="AK4163" s="6"/>
      <c r="AL4163" s="6"/>
      <c r="AM4163" s="6"/>
    </row>
    <row r="4164">
      <c r="A4164" s="6"/>
      <c r="B4164" s="6"/>
      <c r="C4164" s="6"/>
      <c r="D4164" s="6"/>
      <c r="E4164" s="6"/>
      <c r="F4164" s="6"/>
      <c r="G4164" s="6"/>
      <c r="H4164" s="6"/>
      <c r="I4164" s="6"/>
      <c r="J4164" s="6"/>
      <c r="K4164" s="6"/>
      <c r="L4164" s="6"/>
      <c r="M4164" s="6"/>
      <c r="N4164" s="6"/>
      <c r="O4164" s="6"/>
      <c r="P4164" s="6"/>
      <c r="Q4164" s="6"/>
      <c r="R4164" s="6"/>
      <c r="S4164" s="6"/>
      <c r="T4164" s="6"/>
      <c r="U4164" s="6"/>
      <c r="V4164" s="6"/>
      <c r="W4164" s="6"/>
      <c r="X4164" s="6"/>
      <c r="Y4164" s="6"/>
      <c r="Z4164" s="6"/>
      <c r="AA4164" s="6"/>
      <c r="AB4164" s="6"/>
      <c r="AC4164" s="6"/>
      <c r="AD4164" s="6"/>
      <c r="AE4164" s="6"/>
      <c r="AF4164" s="6"/>
      <c r="AG4164" s="6"/>
      <c r="AH4164" s="6"/>
      <c r="AI4164" s="6"/>
      <c r="AJ4164" s="6"/>
      <c r="AK4164" s="6"/>
      <c r="AL4164" s="6"/>
      <c r="AM4164" s="6"/>
    </row>
    <row r="4165">
      <c r="A4165" s="6"/>
      <c r="B4165" s="6"/>
      <c r="C4165" s="6"/>
      <c r="D4165" s="6"/>
      <c r="E4165" s="6"/>
      <c r="F4165" s="6"/>
      <c r="G4165" s="6"/>
      <c r="H4165" s="6"/>
      <c r="I4165" s="6"/>
      <c r="J4165" s="6"/>
      <c r="K4165" s="6"/>
      <c r="L4165" s="6"/>
      <c r="M4165" s="6"/>
      <c r="N4165" s="6"/>
      <c r="O4165" s="6"/>
      <c r="P4165" s="6"/>
      <c r="Q4165" s="6"/>
      <c r="R4165" s="6"/>
      <c r="S4165" s="6"/>
      <c r="T4165" s="6"/>
      <c r="U4165" s="6"/>
      <c r="V4165" s="6"/>
      <c r="W4165" s="6"/>
      <c r="X4165" s="6"/>
      <c r="Y4165" s="6"/>
      <c r="Z4165" s="6"/>
      <c r="AA4165" s="6"/>
      <c r="AB4165" s="6"/>
      <c r="AC4165" s="6"/>
      <c r="AD4165" s="6"/>
      <c r="AE4165" s="6"/>
      <c r="AF4165" s="6"/>
      <c r="AG4165" s="6"/>
      <c r="AH4165" s="6"/>
      <c r="AI4165" s="6"/>
      <c r="AJ4165" s="6"/>
      <c r="AK4165" s="6"/>
      <c r="AL4165" s="6"/>
      <c r="AM4165" s="6"/>
    </row>
    <row r="4166">
      <c r="A4166" s="6"/>
      <c r="B4166" s="6"/>
      <c r="C4166" s="6"/>
      <c r="D4166" s="6"/>
      <c r="E4166" s="6"/>
      <c r="F4166" s="6"/>
      <c r="G4166" s="6"/>
      <c r="H4166" s="6"/>
      <c r="I4166" s="6"/>
      <c r="J4166" s="6"/>
      <c r="K4166" s="6"/>
      <c r="L4166" s="6"/>
      <c r="M4166" s="6"/>
      <c r="N4166" s="6"/>
      <c r="O4166" s="6"/>
      <c r="P4166" s="6"/>
      <c r="Q4166" s="6"/>
      <c r="R4166" s="6"/>
      <c r="S4166" s="6"/>
      <c r="T4166" s="6"/>
      <c r="U4166" s="6"/>
      <c r="V4166" s="6"/>
      <c r="W4166" s="6"/>
      <c r="X4166" s="6"/>
      <c r="Y4166" s="6"/>
      <c r="Z4166" s="6"/>
      <c r="AA4166" s="6"/>
      <c r="AB4166" s="6"/>
      <c r="AC4166" s="6"/>
      <c r="AD4166" s="6"/>
      <c r="AE4166" s="6"/>
      <c r="AF4166" s="6"/>
      <c r="AG4166" s="6"/>
      <c r="AH4166" s="6"/>
      <c r="AI4166" s="6"/>
      <c r="AJ4166" s="6"/>
      <c r="AK4166" s="6"/>
      <c r="AL4166" s="6"/>
      <c r="AM4166" s="6"/>
    </row>
    <row r="4167">
      <c r="A4167" s="6"/>
      <c r="B4167" s="6"/>
      <c r="C4167" s="6"/>
      <c r="D4167" s="6"/>
      <c r="E4167" s="6"/>
      <c r="F4167" s="6"/>
      <c r="G4167" s="6"/>
      <c r="H4167" s="6"/>
      <c r="I4167" s="6"/>
      <c r="J4167" s="6"/>
      <c r="K4167" s="6"/>
      <c r="L4167" s="6"/>
      <c r="M4167" s="6"/>
      <c r="N4167" s="6"/>
      <c r="O4167" s="6"/>
      <c r="P4167" s="6"/>
      <c r="Q4167" s="6"/>
      <c r="R4167" s="6"/>
      <c r="S4167" s="6"/>
      <c r="T4167" s="6"/>
      <c r="U4167" s="6"/>
      <c r="V4167" s="6"/>
      <c r="W4167" s="6"/>
      <c r="X4167" s="6"/>
      <c r="Y4167" s="6"/>
      <c r="Z4167" s="6"/>
      <c r="AA4167" s="6"/>
      <c r="AB4167" s="6"/>
      <c r="AC4167" s="6"/>
      <c r="AD4167" s="6"/>
      <c r="AE4167" s="6"/>
      <c r="AF4167" s="6"/>
      <c r="AG4167" s="6"/>
      <c r="AH4167" s="6"/>
      <c r="AI4167" s="6"/>
      <c r="AJ4167" s="6"/>
      <c r="AK4167" s="6"/>
      <c r="AL4167" s="6"/>
      <c r="AM4167" s="6"/>
    </row>
    <row r="4168">
      <c r="A4168" s="6"/>
      <c r="B4168" s="6"/>
      <c r="C4168" s="6"/>
      <c r="D4168" s="6"/>
      <c r="E4168" s="6"/>
      <c r="F4168" s="6"/>
      <c r="G4168" s="6"/>
      <c r="H4168" s="6"/>
      <c r="I4168" s="6"/>
      <c r="J4168" s="6"/>
      <c r="K4168" s="6"/>
      <c r="L4168" s="6"/>
      <c r="M4168" s="6"/>
      <c r="N4168" s="6"/>
      <c r="O4168" s="6"/>
      <c r="P4168" s="6"/>
      <c r="Q4168" s="6"/>
      <c r="R4168" s="6"/>
      <c r="S4168" s="6"/>
      <c r="T4168" s="6"/>
      <c r="U4168" s="6"/>
      <c r="V4168" s="6"/>
      <c r="W4168" s="6"/>
      <c r="X4168" s="6"/>
      <c r="Y4168" s="6"/>
      <c r="Z4168" s="6"/>
      <c r="AA4168" s="6"/>
      <c r="AB4168" s="6"/>
      <c r="AC4168" s="6"/>
      <c r="AD4168" s="6"/>
      <c r="AE4168" s="6"/>
      <c r="AF4168" s="6"/>
      <c r="AG4168" s="6"/>
      <c r="AH4168" s="6"/>
      <c r="AI4168" s="6"/>
      <c r="AJ4168" s="6"/>
      <c r="AK4168" s="6"/>
      <c r="AL4168" s="6"/>
      <c r="AM4168" s="6"/>
    </row>
    <row r="4169">
      <c r="A4169" s="6"/>
      <c r="B4169" s="6"/>
      <c r="C4169" s="6"/>
      <c r="D4169" s="6"/>
      <c r="E4169" s="6"/>
      <c r="F4169" s="6"/>
      <c r="G4169" s="6"/>
      <c r="H4169" s="6"/>
      <c r="I4169" s="6"/>
      <c r="J4169" s="6"/>
      <c r="K4169" s="6"/>
      <c r="L4169" s="6"/>
      <c r="M4169" s="6"/>
      <c r="N4169" s="6"/>
      <c r="O4169" s="6"/>
      <c r="P4169" s="6"/>
      <c r="Q4169" s="6"/>
      <c r="R4169" s="6"/>
      <c r="S4169" s="6"/>
      <c r="T4169" s="6"/>
      <c r="U4169" s="6"/>
      <c r="V4169" s="6"/>
      <c r="W4169" s="6"/>
      <c r="X4169" s="6"/>
      <c r="Y4169" s="6"/>
      <c r="Z4169" s="6"/>
      <c r="AA4169" s="6"/>
      <c r="AB4169" s="6"/>
      <c r="AC4169" s="6"/>
      <c r="AD4169" s="6"/>
      <c r="AE4169" s="6"/>
      <c r="AF4169" s="6"/>
      <c r="AG4169" s="6"/>
      <c r="AH4169" s="6"/>
      <c r="AI4169" s="6"/>
      <c r="AJ4169" s="6"/>
      <c r="AK4169" s="6"/>
      <c r="AL4169" s="6"/>
      <c r="AM4169" s="6"/>
    </row>
    <row r="4170">
      <c r="A4170" s="6"/>
      <c r="B4170" s="6"/>
      <c r="C4170" s="6"/>
      <c r="D4170" s="6"/>
      <c r="E4170" s="6"/>
      <c r="F4170" s="6"/>
      <c r="G4170" s="6"/>
      <c r="H4170" s="6"/>
      <c r="I4170" s="6"/>
      <c r="J4170" s="6"/>
      <c r="K4170" s="6"/>
      <c r="L4170" s="6"/>
      <c r="M4170" s="6"/>
      <c r="N4170" s="6"/>
      <c r="O4170" s="6"/>
      <c r="P4170" s="6"/>
      <c r="Q4170" s="6"/>
      <c r="R4170" s="6"/>
      <c r="S4170" s="6"/>
      <c r="T4170" s="6"/>
      <c r="U4170" s="6"/>
      <c r="V4170" s="6"/>
      <c r="W4170" s="6"/>
      <c r="X4170" s="6"/>
      <c r="Y4170" s="6"/>
      <c r="Z4170" s="6"/>
      <c r="AA4170" s="6"/>
      <c r="AB4170" s="6"/>
      <c r="AC4170" s="6"/>
      <c r="AD4170" s="6"/>
      <c r="AE4170" s="6"/>
      <c r="AF4170" s="6"/>
      <c r="AG4170" s="6"/>
      <c r="AH4170" s="6"/>
      <c r="AI4170" s="6"/>
      <c r="AJ4170" s="6"/>
      <c r="AK4170" s="6"/>
      <c r="AL4170" s="6"/>
      <c r="AM4170" s="6"/>
    </row>
    <row r="4171">
      <c r="A4171" s="6"/>
      <c r="B4171" s="6"/>
      <c r="C4171" s="6"/>
      <c r="D4171" s="6"/>
      <c r="E4171" s="6"/>
      <c r="F4171" s="6"/>
      <c r="G4171" s="6"/>
      <c r="H4171" s="6"/>
      <c r="I4171" s="6"/>
      <c r="J4171" s="6"/>
      <c r="K4171" s="6"/>
      <c r="L4171" s="6"/>
      <c r="M4171" s="6"/>
      <c r="N4171" s="6"/>
      <c r="O4171" s="6"/>
      <c r="P4171" s="6"/>
      <c r="Q4171" s="6"/>
      <c r="R4171" s="6"/>
      <c r="S4171" s="6"/>
      <c r="T4171" s="6"/>
      <c r="U4171" s="6"/>
      <c r="V4171" s="6"/>
      <c r="W4171" s="6"/>
      <c r="X4171" s="6"/>
      <c r="Y4171" s="6"/>
      <c r="Z4171" s="6"/>
      <c r="AA4171" s="6"/>
      <c r="AB4171" s="6"/>
      <c r="AC4171" s="6"/>
      <c r="AD4171" s="6"/>
      <c r="AE4171" s="6"/>
      <c r="AF4171" s="6"/>
      <c r="AG4171" s="6"/>
      <c r="AH4171" s="6"/>
      <c r="AI4171" s="6"/>
      <c r="AJ4171" s="6"/>
      <c r="AK4171" s="6"/>
      <c r="AL4171" s="6"/>
      <c r="AM4171" s="6"/>
    </row>
    <row r="4172">
      <c r="A4172" s="6"/>
      <c r="B4172" s="6"/>
      <c r="C4172" s="6"/>
      <c r="D4172" s="6"/>
      <c r="E4172" s="6"/>
      <c r="F4172" s="6"/>
      <c r="G4172" s="6"/>
      <c r="H4172" s="6"/>
      <c r="I4172" s="6"/>
      <c r="J4172" s="6"/>
      <c r="K4172" s="6"/>
      <c r="L4172" s="6"/>
      <c r="M4172" s="6"/>
      <c r="N4172" s="6"/>
      <c r="O4172" s="6"/>
      <c r="P4172" s="6"/>
      <c r="Q4172" s="6"/>
      <c r="R4172" s="6"/>
      <c r="S4172" s="6"/>
      <c r="T4172" s="6"/>
      <c r="U4172" s="6"/>
      <c r="V4172" s="6"/>
      <c r="W4172" s="6"/>
      <c r="X4172" s="6"/>
      <c r="Y4172" s="6"/>
      <c r="Z4172" s="6"/>
      <c r="AA4172" s="6"/>
      <c r="AB4172" s="6"/>
      <c r="AC4172" s="6"/>
      <c r="AD4172" s="6"/>
      <c r="AE4172" s="6"/>
      <c r="AF4172" s="6"/>
      <c r="AG4172" s="6"/>
      <c r="AH4172" s="6"/>
      <c r="AI4172" s="6"/>
      <c r="AJ4172" s="6"/>
      <c r="AK4172" s="6"/>
      <c r="AL4172" s="6"/>
      <c r="AM4172" s="6"/>
    </row>
    <row r="4173">
      <c r="A4173" s="6"/>
      <c r="B4173" s="6"/>
      <c r="C4173" s="6"/>
      <c r="D4173" s="6"/>
      <c r="E4173" s="6"/>
      <c r="F4173" s="6"/>
      <c r="G4173" s="6"/>
      <c r="H4173" s="6"/>
      <c r="I4173" s="6"/>
      <c r="J4173" s="6"/>
      <c r="K4173" s="6"/>
      <c r="L4173" s="6"/>
      <c r="M4173" s="6"/>
      <c r="N4173" s="6"/>
      <c r="O4173" s="6"/>
      <c r="P4173" s="6"/>
      <c r="Q4173" s="6"/>
      <c r="R4173" s="6"/>
      <c r="S4173" s="6"/>
      <c r="T4173" s="6"/>
      <c r="U4173" s="6"/>
      <c r="V4173" s="6"/>
      <c r="W4173" s="6"/>
      <c r="X4173" s="6"/>
      <c r="Y4173" s="6"/>
      <c r="Z4173" s="6"/>
      <c r="AA4173" s="6"/>
      <c r="AB4173" s="6"/>
      <c r="AC4173" s="6"/>
      <c r="AD4173" s="6"/>
      <c r="AE4173" s="6"/>
      <c r="AF4173" s="6"/>
      <c r="AG4173" s="6"/>
      <c r="AH4173" s="6"/>
      <c r="AI4173" s="6"/>
      <c r="AJ4173" s="6"/>
      <c r="AK4173" s="6"/>
      <c r="AL4173" s="6"/>
      <c r="AM4173" s="6"/>
    </row>
    <row r="4174">
      <c r="A4174" s="6"/>
      <c r="B4174" s="6"/>
      <c r="C4174" s="6"/>
      <c r="D4174" s="6"/>
      <c r="E4174" s="6"/>
      <c r="F4174" s="6"/>
      <c r="G4174" s="6"/>
      <c r="H4174" s="6"/>
      <c r="I4174" s="6"/>
      <c r="J4174" s="6"/>
      <c r="K4174" s="6"/>
      <c r="L4174" s="6"/>
      <c r="M4174" s="6"/>
      <c r="N4174" s="6"/>
      <c r="O4174" s="6"/>
      <c r="P4174" s="6"/>
      <c r="Q4174" s="6"/>
      <c r="R4174" s="6"/>
      <c r="S4174" s="6"/>
      <c r="T4174" s="6"/>
      <c r="U4174" s="6"/>
      <c r="V4174" s="6"/>
      <c r="W4174" s="6"/>
      <c r="X4174" s="6"/>
      <c r="Y4174" s="6"/>
      <c r="Z4174" s="6"/>
      <c r="AA4174" s="6"/>
      <c r="AB4174" s="6"/>
      <c r="AC4174" s="6"/>
      <c r="AD4174" s="6"/>
      <c r="AE4174" s="6"/>
      <c r="AF4174" s="6"/>
      <c r="AG4174" s="6"/>
      <c r="AH4174" s="6"/>
      <c r="AI4174" s="6"/>
      <c r="AJ4174" s="6"/>
      <c r="AK4174" s="6"/>
      <c r="AL4174" s="6"/>
      <c r="AM4174" s="6"/>
    </row>
    <row r="4175">
      <c r="A4175" s="6"/>
      <c r="B4175" s="6"/>
      <c r="C4175" s="6"/>
      <c r="D4175" s="6"/>
      <c r="E4175" s="6"/>
      <c r="F4175" s="6"/>
      <c r="G4175" s="6"/>
      <c r="H4175" s="6"/>
      <c r="I4175" s="6"/>
      <c r="J4175" s="6"/>
      <c r="K4175" s="6"/>
      <c r="L4175" s="6"/>
      <c r="M4175" s="6"/>
      <c r="N4175" s="6"/>
      <c r="O4175" s="6"/>
      <c r="P4175" s="6"/>
      <c r="Q4175" s="6"/>
      <c r="R4175" s="6"/>
      <c r="S4175" s="6"/>
      <c r="T4175" s="6"/>
      <c r="U4175" s="6"/>
      <c r="V4175" s="6"/>
      <c r="W4175" s="6"/>
      <c r="X4175" s="6"/>
      <c r="Y4175" s="6"/>
      <c r="Z4175" s="6"/>
      <c r="AA4175" s="6"/>
      <c r="AB4175" s="6"/>
      <c r="AC4175" s="6"/>
      <c r="AD4175" s="6"/>
      <c r="AE4175" s="6"/>
      <c r="AF4175" s="6"/>
      <c r="AG4175" s="6"/>
      <c r="AH4175" s="6"/>
      <c r="AI4175" s="6"/>
      <c r="AJ4175" s="6"/>
      <c r="AK4175" s="6"/>
      <c r="AL4175" s="6"/>
      <c r="AM4175" s="6"/>
    </row>
    <row r="4176">
      <c r="A4176" s="6"/>
      <c r="B4176" s="6"/>
      <c r="C4176" s="6"/>
      <c r="D4176" s="6"/>
      <c r="E4176" s="6"/>
      <c r="F4176" s="6"/>
      <c r="G4176" s="6"/>
      <c r="H4176" s="6"/>
      <c r="I4176" s="6"/>
      <c r="J4176" s="6"/>
      <c r="K4176" s="6"/>
      <c r="L4176" s="6"/>
      <c r="M4176" s="6"/>
      <c r="N4176" s="6"/>
      <c r="O4176" s="6"/>
      <c r="P4176" s="6"/>
      <c r="Q4176" s="6"/>
      <c r="R4176" s="6"/>
      <c r="S4176" s="6"/>
      <c r="T4176" s="6"/>
      <c r="U4176" s="6"/>
      <c r="V4176" s="6"/>
      <c r="W4176" s="6"/>
      <c r="X4176" s="6"/>
      <c r="Y4176" s="6"/>
      <c r="Z4176" s="6"/>
      <c r="AA4176" s="6"/>
      <c r="AB4176" s="6"/>
      <c r="AC4176" s="6"/>
      <c r="AD4176" s="6"/>
      <c r="AE4176" s="6"/>
      <c r="AF4176" s="6"/>
      <c r="AG4176" s="6"/>
      <c r="AH4176" s="6"/>
      <c r="AI4176" s="6"/>
      <c r="AJ4176" s="6"/>
      <c r="AK4176" s="6"/>
      <c r="AL4176" s="6"/>
      <c r="AM4176" s="6"/>
    </row>
    <row r="4177">
      <c r="A4177" s="6"/>
      <c r="B4177" s="6"/>
      <c r="C4177" s="6"/>
      <c r="D4177" s="6"/>
      <c r="E4177" s="6"/>
      <c r="F4177" s="6"/>
      <c r="G4177" s="6"/>
      <c r="H4177" s="6"/>
      <c r="I4177" s="6"/>
      <c r="J4177" s="6"/>
      <c r="K4177" s="6"/>
      <c r="L4177" s="6"/>
      <c r="M4177" s="6"/>
      <c r="N4177" s="6"/>
      <c r="O4177" s="6"/>
      <c r="P4177" s="6"/>
      <c r="Q4177" s="6"/>
      <c r="R4177" s="6"/>
      <c r="S4177" s="6"/>
      <c r="T4177" s="6"/>
      <c r="U4177" s="6"/>
      <c r="V4177" s="6"/>
      <c r="W4177" s="6"/>
      <c r="X4177" s="6"/>
      <c r="Y4177" s="6"/>
      <c r="Z4177" s="6"/>
      <c r="AA4177" s="6"/>
      <c r="AB4177" s="6"/>
      <c r="AC4177" s="6"/>
      <c r="AD4177" s="6"/>
      <c r="AE4177" s="6"/>
      <c r="AF4177" s="6"/>
      <c r="AG4177" s="6"/>
      <c r="AH4177" s="6"/>
      <c r="AI4177" s="6"/>
      <c r="AJ4177" s="6"/>
      <c r="AK4177" s="6"/>
      <c r="AL4177" s="6"/>
      <c r="AM4177" s="6"/>
    </row>
    <row r="4178">
      <c r="A4178" s="6"/>
      <c r="B4178" s="6"/>
      <c r="C4178" s="6"/>
      <c r="D4178" s="6"/>
      <c r="E4178" s="6"/>
      <c r="F4178" s="6"/>
      <c r="G4178" s="6"/>
      <c r="H4178" s="6"/>
      <c r="I4178" s="6"/>
      <c r="J4178" s="6"/>
      <c r="K4178" s="6"/>
      <c r="L4178" s="6"/>
      <c r="M4178" s="6"/>
      <c r="N4178" s="6"/>
      <c r="O4178" s="6"/>
      <c r="P4178" s="6"/>
      <c r="Q4178" s="6"/>
      <c r="R4178" s="6"/>
      <c r="S4178" s="6"/>
      <c r="T4178" s="6"/>
      <c r="U4178" s="6"/>
      <c r="V4178" s="6"/>
      <c r="W4178" s="6"/>
      <c r="X4178" s="6"/>
      <c r="Y4178" s="6"/>
      <c r="Z4178" s="6"/>
      <c r="AA4178" s="6"/>
      <c r="AB4178" s="6"/>
      <c r="AC4178" s="6"/>
      <c r="AD4178" s="6"/>
      <c r="AE4178" s="6"/>
      <c r="AF4178" s="6"/>
      <c r="AG4178" s="6"/>
      <c r="AH4178" s="6"/>
      <c r="AI4178" s="6"/>
      <c r="AJ4178" s="6"/>
      <c r="AK4178" s="6"/>
      <c r="AL4178" s="6"/>
      <c r="AM4178" s="6"/>
    </row>
    <row r="4179">
      <c r="A4179" s="6"/>
      <c r="B4179" s="6"/>
      <c r="C4179" s="6"/>
      <c r="D4179" s="6"/>
      <c r="E4179" s="6"/>
      <c r="F4179" s="6"/>
      <c r="G4179" s="6"/>
      <c r="H4179" s="6"/>
      <c r="I4179" s="6"/>
      <c r="J4179" s="6"/>
      <c r="K4179" s="6"/>
      <c r="L4179" s="6"/>
      <c r="M4179" s="6"/>
      <c r="N4179" s="6"/>
      <c r="O4179" s="6"/>
      <c r="P4179" s="6"/>
      <c r="Q4179" s="6"/>
      <c r="R4179" s="6"/>
      <c r="S4179" s="6"/>
      <c r="T4179" s="6"/>
      <c r="U4179" s="6"/>
      <c r="V4179" s="6"/>
      <c r="W4179" s="6"/>
      <c r="X4179" s="6"/>
      <c r="Y4179" s="6"/>
      <c r="Z4179" s="6"/>
      <c r="AA4179" s="6"/>
      <c r="AB4179" s="6"/>
      <c r="AC4179" s="6"/>
      <c r="AD4179" s="6"/>
      <c r="AE4179" s="6"/>
      <c r="AF4179" s="6"/>
      <c r="AG4179" s="6"/>
      <c r="AH4179" s="6"/>
      <c r="AI4179" s="6"/>
      <c r="AJ4179" s="6"/>
      <c r="AK4179" s="6"/>
      <c r="AL4179" s="6"/>
      <c r="AM4179" s="6"/>
    </row>
    <row r="4180">
      <c r="A4180" s="6"/>
      <c r="B4180" s="6"/>
      <c r="C4180" s="6"/>
      <c r="D4180" s="6"/>
      <c r="E4180" s="6"/>
      <c r="F4180" s="6"/>
      <c r="G4180" s="6"/>
      <c r="H4180" s="6"/>
      <c r="I4180" s="6"/>
      <c r="J4180" s="6"/>
      <c r="K4180" s="6"/>
      <c r="L4180" s="6"/>
      <c r="M4180" s="6"/>
      <c r="N4180" s="6"/>
      <c r="O4180" s="6"/>
      <c r="P4180" s="6"/>
      <c r="Q4180" s="6"/>
      <c r="R4180" s="6"/>
      <c r="S4180" s="6"/>
      <c r="T4180" s="6"/>
      <c r="U4180" s="6"/>
      <c r="V4180" s="6"/>
      <c r="W4180" s="6"/>
      <c r="X4180" s="6"/>
      <c r="Y4180" s="6"/>
      <c r="Z4180" s="6"/>
      <c r="AA4180" s="6"/>
      <c r="AB4180" s="6"/>
      <c r="AC4180" s="6"/>
      <c r="AD4180" s="6"/>
      <c r="AE4180" s="6"/>
      <c r="AF4180" s="6"/>
      <c r="AG4180" s="6"/>
      <c r="AH4180" s="6"/>
      <c r="AI4180" s="6"/>
      <c r="AJ4180" s="6"/>
      <c r="AK4180" s="6"/>
      <c r="AL4180" s="6"/>
      <c r="AM4180" s="6"/>
    </row>
    <row r="4181">
      <c r="A4181" s="6"/>
      <c r="B4181" s="6"/>
      <c r="C4181" s="6"/>
      <c r="D4181" s="6"/>
      <c r="E4181" s="6"/>
      <c r="F4181" s="6"/>
      <c r="G4181" s="6"/>
      <c r="H4181" s="6"/>
      <c r="I4181" s="6"/>
      <c r="J4181" s="6"/>
      <c r="K4181" s="6"/>
      <c r="L4181" s="6"/>
      <c r="M4181" s="6"/>
      <c r="N4181" s="6"/>
      <c r="O4181" s="6"/>
      <c r="P4181" s="6"/>
      <c r="Q4181" s="6"/>
      <c r="R4181" s="6"/>
      <c r="S4181" s="6"/>
      <c r="T4181" s="6"/>
      <c r="U4181" s="6"/>
      <c r="V4181" s="6"/>
      <c r="W4181" s="6"/>
      <c r="X4181" s="6"/>
      <c r="Y4181" s="6"/>
      <c r="Z4181" s="6"/>
      <c r="AA4181" s="6"/>
      <c r="AB4181" s="6"/>
      <c r="AC4181" s="6"/>
      <c r="AD4181" s="6"/>
      <c r="AE4181" s="6"/>
      <c r="AF4181" s="6"/>
      <c r="AG4181" s="6"/>
      <c r="AH4181" s="6"/>
      <c r="AI4181" s="6"/>
      <c r="AJ4181" s="6"/>
      <c r="AK4181" s="6"/>
      <c r="AL4181" s="6"/>
      <c r="AM4181" s="6"/>
    </row>
    <row r="4182">
      <c r="A4182" s="6"/>
      <c r="B4182" s="6"/>
      <c r="C4182" s="6"/>
      <c r="D4182" s="6"/>
      <c r="E4182" s="6"/>
      <c r="F4182" s="6"/>
      <c r="G4182" s="6"/>
      <c r="H4182" s="6"/>
      <c r="I4182" s="6"/>
      <c r="J4182" s="6"/>
      <c r="K4182" s="6"/>
      <c r="L4182" s="6"/>
      <c r="M4182" s="6"/>
      <c r="N4182" s="6"/>
      <c r="O4182" s="6"/>
      <c r="P4182" s="6"/>
      <c r="Q4182" s="6"/>
      <c r="R4182" s="6"/>
      <c r="S4182" s="6"/>
      <c r="T4182" s="6"/>
      <c r="U4182" s="6"/>
      <c r="V4182" s="6"/>
      <c r="W4182" s="6"/>
      <c r="X4182" s="6"/>
      <c r="Y4182" s="6"/>
      <c r="Z4182" s="6"/>
      <c r="AA4182" s="6"/>
      <c r="AB4182" s="6"/>
      <c r="AC4182" s="6"/>
      <c r="AD4182" s="6"/>
      <c r="AE4182" s="6"/>
      <c r="AF4182" s="6"/>
      <c r="AG4182" s="6"/>
      <c r="AH4182" s="6"/>
      <c r="AI4182" s="6"/>
      <c r="AJ4182" s="6"/>
      <c r="AK4182" s="6"/>
      <c r="AL4182" s="6"/>
      <c r="AM4182" s="6"/>
    </row>
    <row r="4183">
      <c r="A4183" s="6"/>
      <c r="B4183" s="6"/>
      <c r="C4183" s="6"/>
      <c r="D4183" s="6"/>
      <c r="E4183" s="6"/>
      <c r="F4183" s="6"/>
      <c r="G4183" s="6"/>
      <c r="H4183" s="6"/>
      <c r="I4183" s="6"/>
      <c r="J4183" s="6"/>
      <c r="K4183" s="6"/>
      <c r="L4183" s="6"/>
      <c r="M4183" s="6"/>
      <c r="N4183" s="6"/>
      <c r="O4183" s="6"/>
      <c r="P4183" s="6"/>
      <c r="Q4183" s="6"/>
      <c r="R4183" s="6"/>
      <c r="S4183" s="6"/>
      <c r="T4183" s="6"/>
      <c r="U4183" s="6"/>
      <c r="V4183" s="6"/>
      <c r="W4183" s="6"/>
      <c r="X4183" s="6"/>
      <c r="Y4183" s="6"/>
      <c r="Z4183" s="6"/>
      <c r="AA4183" s="6"/>
      <c r="AB4183" s="6"/>
      <c r="AC4183" s="6"/>
      <c r="AD4183" s="6"/>
      <c r="AE4183" s="6"/>
      <c r="AF4183" s="6"/>
      <c r="AG4183" s="6"/>
      <c r="AH4183" s="6"/>
      <c r="AI4183" s="6"/>
      <c r="AJ4183" s="6"/>
      <c r="AK4183" s="6"/>
      <c r="AL4183" s="6"/>
      <c r="AM4183" s="6"/>
    </row>
    <row r="4184">
      <c r="A4184" s="6"/>
      <c r="B4184" s="6"/>
      <c r="C4184" s="6"/>
      <c r="D4184" s="6"/>
      <c r="E4184" s="6"/>
      <c r="F4184" s="6"/>
      <c r="G4184" s="6"/>
      <c r="H4184" s="6"/>
      <c r="I4184" s="6"/>
      <c r="J4184" s="6"/>
      <c r="K4184" s="6"/>
      <c r="L4184" s="6"/>
      <c r="M4184" s="6"/>
      <c r="N4184" s="6"/>
      <c r="O4184" s="6"/>
      <c r="P4184" s="6"/>
      <c r="Q4184" s="6"/>
      <c r="R4184" s="6"/>
      <c r="S4184" s="6"/>
      <c r="T4184" s="6"/>
      <c r="U4184" s="6"/>
      <c r="V4184" s="6"/>
      <c r="W4184" s="6"/>
      <c r="X4184" s="6"/>
      <c r="Y4184" s="6"/>
      <c r="Z4184" s="6"/>
      <c r="AA4184" s="6"/>
      <c r="AB4184" s="6"/>
      <c r="AC4184" s="6"/>
      <c r="AD4184" s="6"/>
      <c r="AE4184" s="6"/>
      <c r="AF4184" s="6"/>
      <c r="AG4184" s="6"/>
      <c r="AH4184" s="6"/>
      <c r="AI4184" s="6"/>
      <c r="AJ4184" s="6"/>
      <c r="AK4184" s="6"/>
      <c r="AL4184" s="6"/>
      <c r="AM4184" s="6"/>
    </row>
    <row r="4185">
      <c r="A4185" s="6"/>
      <c r="B4185" s="6"/>
      <c r="C4185" s="6"/>
      <c r="D4185" s="6"/>
      <c r="E4185" s="6"/>
      <c r="F4185" s="6"/>
      <c r="G4185" s="6"/>
      <c r="H4185" s="6"/>
      <c r="I4185" s="6"/>
      <c r="J4185" s="6"/>
      <c r="K4185" s="6"/>
      <c r="L4185" s="6"/>
      <c r="M4185" s="6"/>
      <c r="N4185" s="6"/>
      <c r="O4185" s="6"/>
      <c r="P4185" s="6"/>
      <c r="Q4185" s="6"/>
      <c r="R4185" s="6"/>
      <c r="S4185" s="6"/>
      <c r="T4185" s="6"/>
      <c r="U4185" s="6"/>
      <c r="V4185" s="6"/>
      <c r="W4185" s="6"/>
      <c r="X4185" s="6"/>
      <c r="Y4185" s="6"/>
      <c r="Z4185" s="6"/>
      <c r="AA4185" s="6"/>
      <c r="AB4185" s="6"/>
      <c r="AC4185" s="6"/>
      <c r="AD4185" s="6"/>
      <c r="AE4185" s="6"/>
      <c r="AF4185" s="6"/>
      <c r="AG4185" s="6"/>
      <c r="AH4185" s="6"/>
      <c r="AI4185" s="6"/>
      <c r="AJ4185" s="6"/>
      <c r="AK4185" s="6"/>
      <c r="AL4185" s="6"/>
      <c r="AM4185" s="6"/>
    </row>
    <row r="4186">
      <c r="A4186" s="6"/>
      <c r="B4186" s="6"/>
      <c r="C4186" s="6"/>
      <c r="D4186" s="6"/>
      <c r="E4186" s="6"/>
      <c r="F4186" s="6"/>
      <c r="G4186" s="6"/>
      <c r="H4186" s="6"/>
      <c r="I4186" s="6"/>
      <c r="J4186" s="6"/>
      <c r="K4186" s="6"/>
      <c r="L4186" s="6"/>
      <c r="M4186" s="6"/>
      <c r="N4186" s="6"/>
      <c r="O4186" s="6"/>
      <c r="P4186" s="6"/>
      <c r="Q4186" s="6"/>
      <c r="R4186" s="6"/>
      <c r="S4186" s="6"/>
      <c r="T4186" s="6"/>
      <c r="U4186" s="6"/>
      <c r="V4186" s="6"/>
      <c r="W4186" s="6"/>
      <c r="X4186" s="6"/>
      <c r="Y4186" s="6"/>
      <c r="Z4186" s="6"/>
      <c r="AA4186" s="6"/>
      <c r="AB4186" s="6"/>
      <c r="AC4186" s="6"/>
      <c r="AD4186" s="6"/>
      <c r="AE4186" s="6"/>
      <c r="AF4186" s="6"/>
      <c r="AG4186" s="6"/>
      <c r="AH4186" s="6"/>
      <c r="AI4186" s="6"/>
      <c r="AJ4186" s="6"/>
      <c r="AK4186" s="6"/>
      <c r="AL4186" s="6"/>
      <c r="AM4186" s="6"/>
    </row>
    <row r="4187">
      <c r="A4187" s="6"/>
      <c r="B4187" s="6"/>
      <c r="C4187" s="6"/>
      <c r="D4187" s="6"/>
      <c r="E4187" s="6"/>
      <c r="F4187" s="6"/>
      <c r="G4187" s="6"/>
      <c r="H4187" s="6"/>
      <c r="I4187" s="6"/>
      <c r="J4187" s="6"/>
      <c r="K4187" s="6"/>
      <c r="L4187" s="6"/>
      <c r="M4187" s="6"/>
      <c r="N4187" s="6"/>
      <c r="O4187" s="6"/>
      <c r="P4187" s="6"/>
      <c r="Q4187" s="6"/>
      <c r="R4187" s="6"/>
      <c r="S4187" s="6"/>
      <c r="T4187" s="6"/>
      <c r="U4187" s="6"/>
      <c r="V4187" s="6"/>
      <c r="W4187" s="6"/>
      <c r="X4187" s="6"/>
      <c r="Y4187" s="6"/>
      <c r="Z4187" s="6"/>
      <c r="AA4187" s="6"/>
      <c r="AB4187" s="6"/>
      <c r="AC4187" s="6"/>
      <c r="AD4187" s="6"/>
      <c r="AE4187" s="6"/>
      <c r="AF4187" s="6"/>
      <c r="AG4187" s="6"/>
      <c r="AH4187" s="6"/>
      <c r="AI4187" s="6"/>
      <c r="AJ4187" s="6"/>
      <c r="AK4187" s="6"/>
      <c r="AL4187" s="6"/>
      <c r="AM4187" s="6"/>
    </row>
    <row r="4188">
      <c r="A4188" s="6"/>
      <c r="B4188" s="6"/>
      <c r="C4188" s="6"/>
      <c r="D4188" s="6"/>
      <c r="E4188" s="6"/>
      <c r="F4188" s="6"/>
      <c r="G4188" s="6"/>
      <c r="H4188" s="6"/>
      <c r="I4188" s="6"/>
      <c r="J4188" s="6"/>
      <c r="K4188" s="6"/>
      <c r="L4188" s="6"/>
      <c r="M4188" s="6"/>
      <c r="N4188" s="6"/>
      <c r="O4188" s="6"/>
      <c r="P4188" s="6"/>
      <c r="Q4188" s="6"/>
      <c r="R4188" s="6"/>
      <c r="S4188" s="6"/>
      <c r="T4188" s="6"/>
      <c r="U4188" s="6"/>
      <c r="V4188" s="6"/>
      <c r="W4188" s="6"/>
      <c r="X4188" s="6"/>
      <c r="Y4188" s="6"/>
      <c r="Z4188" s="6"/>
      <c r="AA4188" s="6"/>
      <c r="AB4188" s="6"/>
      <c r="AC4188" s="6"/>
      <c r="AD4188" s="6"/>
      <c r="AE4188" s="6"/>
      <c r="AF4188" s="6"/>
      <c r="AG4188" s="6"/>
      <c r="AH4188" s="6"/>
      <c r="AI4188" s="6"/>
      <c r="AJ4188" s="6"/>
      <c r="AK4188" s="6"/>
      <c r="AL4188" s="6"/>
      <c r="AM4188" s="6"/>
    </row>
    <row r="4189">
      <c r="A4189" s="6"/>
      <c r="B4189" s="6"/>
      <c r="C4189" s="6"/>
      <c r="D4189" s="6"/>
      <c r="E4189" s="6"/>
      <c r="F4189" s="6"/>
      <c r="G4189" s="6"/>
      <c r="H4189" s="6"/>
      <c r="I4189" s="6"/>
      <c r="J4189" s="6"/>
      <c r="K4189" s="6"/>
      <c r="L4189" s="6"/>
      <c r="M4189" s="6"/>
      <c r="N4189" s="6"/>
      <c r="O4189" s="6"/>
      <c r="P4189" s="6"/>
      <c r="Q4189" s="6"/>
      <c r="R4189" s="6"/>
      <c r="S4189" s="6"/>
      <c r="T4189" s="6"/>
      <c r="U4189" s="6"/>
      <c r="V4189" s="6"/>
      <c r="W4189" s="6"/>
      <c r="X4189" s="6"/>
      <c r="Y4189" s="6"/>
      <c r="Z4189" s="6"/>
      <c r="AA4189" s="6"/>
      <c r="AB4189" s="6"/>
      <c r="AC4189" s="6"/>
      <c r="AD4189" s="6"/>
      <c r="AE4189" s="6"/>
      <c r="AF4189" s="6"/>
      <c r="AG4189" s="6"/>
      <c r="AH4189" s="6"/>
      <c r="AI4189" s="6"/>
      <c r="AJ4189" s="6"/>
      <c r="AK4189" s="6"/>
      <c r="AL4189" s="6"/>
      <c r="AM4189" s="6"/>
    </row>
    <row r="4190">
      <c r="A4190" s="6"/>
      <c r="B4190" s="6"/>
      <c r="C4190" s="6"/>
      <c r="D4190" s="6"/>
      <c r="E4190" s="6"/>
      <c r="F4190" s="6"/>
      <c r="G4190" s="6"/>
      <c r="H4190" s="6"/>
      <c r="I4190" s="6"/>
      <c r="J4190" s="6"/>
      <c r="K4190" s="6"/>
      <c r="L4190" s="6"/>
      <c r="M4190" s="6"/>
      <c r="N4190" s="6"/>
      <c r="O4190" s="6"/>
      <c r="P4190" s="6"/>
      <c r="Q4190" s="6"/>
      <c r="R4190" s="6"/>
      <c r="S4190" s="6"/>
      <c r="T4190" s="6"/>
      <c r="U4190" s="6"/>
      <c r="V4190" s="6"/>
      <c r="W4190" s="6"/>
      <c r="X4190" s="6"/>
      <c r="Y4190" s="6"/>
      <c r="Z4190" s="6"/>
      <c r="AA4190" s="6"/>
      <c r="AB4190" s="6"/>
      <c r="AC4190" s="6"/>
      <c r="AD4190" s="6"/>
      <c r="AE4190" s="6"/>
      <c r="AF4190" s="6"/>
      <c r="AG4190" s="6"/>
      <c r="AH4190" s="6"/>
      <c r="AI4190" s="6"/>
      <c r="AJ4190" s="6"/>
      <c r="AK4190" s="6"/>
      <c r="AL4190" s="6"/>
      <c r="AM4190" s="6"/>
    </row>
    <row r="4191">
      <c r="A4191" s="6"/>
      <c r="B4191" s="6"/>
      <c r="C4191" s="6"/>
      <c r="D4191" s="6"/>
      <c r="E4191" s="6"/>
      <c r="F4191" s="6"/>
      <c r="G4191" s="6"/>
      <c r="H4191" s="6"/>
      <c r="I4191" s="6"/>
      <c r="J4191" s="6"/>
      <c r="K4191" s="6"/>
      <c r="L4191" s="6"/>
      <c r="M4191" s="6"/>
      <c r="N4191" s="6"/>
      <c r="O4191" s="6"/>
      <c r="P4191" s="6"/>
      <c r="Q4191" s="6"/>
      <c r="R4191" s="6"/>
      <c r="S4191" s="6"/>
      <c r="T4191" s="6"/>
      <c r="U4191" s="6"/>
      <c r="V4191" s="6"/>
      <c r="W4191" s="6"/>
      <c r="X4191" s="6"/>
      <c r="Y4191" s="6"/>
      <c r="Z4191" s="6"/>
      <c r="AA4191" s="6"/>
      <c r="AB4191" s="6"/>
      <c r="AC4191" s="6"/>
      <c r="AD4191" s="6"/>
      <c r="AE4191" s="6"/>
      <c r="AF4191" s="6"/>
      <c r="AG4191" s="6"/>
      <c r="AH4191" s="6"/>
      <c r="AI4191" s="6"/>
      <c r="AJ4191" s="6"/>
      <c r="AK4191" s="6"/>
      <c r="AL4191" s="6"/>
      <c r="AM4191" s="6"/>
    </row>
    <row r="4192">
      <c r="A4192" s="6"/>
      <c r="B4192" s="6"/>
      <c r="C4192" s="6"/>
      <c r="D4192" s="6"/>
      <c r="E4192" s="6"/>
      <c r="F4192" s="6"/>
      <c r="G4192" s="6"/>
      <c r="H4192" s="6"/>
      <c r="I4192" s="6"/>
      <c r="J4192" s="6"/>
      <c r="K4192" s="6"/>
      <c r="L4192" s="6"/>
      <c r="M4192" s="6"/>
      <c r="N4192" s="6"/>
      <c r="O4192" s="6"/>
      <c r="P4192" s="6"/>
      <c r="Q4192" s="6"/>
      <c r="R4192" s="6"/>
      <c r="S4192" s="6"/>
      <c r="T4192" s="6"/>
      <c r="U4192" s="6"/>
      <c r="V4192" s="6"/>
      <c r="W4192" s="6"/>
      <c r="X4192" s="6"/>
      <c r="Y4192" s="6"/>
      <c r="Z4192" s="6"/>
      <c r="AA4192" s="6"/>
      <c r="AB4192" s="6"/>
      <c r="AC4192" s="6"/>
      <c r="AD4192" s="6"/>
      <c r="AE4192" s="6"/>
      <c r="AF4192" s="6"/>
      <c r="AG4192" s="6"/>
      <c r="AH4192" s="6"/>
      <c r="AI4192" s="6"/>
      <c r="AJ4192" s="6"/>
      <c r="AK4192" s="6"/>
      <c r="AL4192" s="6"/>
      <c r="AM4192" s="6"/>
    </row>
    <row r="4193">
      <c r="A4193" s="6"/>
      <c r="B4193" s="6"/>
      <c r="C4193" s="6"/>
      <c r="D4193" s="6"/>
      <c r="E4193" s="6"/>
      <c r="F4193" s="6"/>
      <c r="G4193" s="6"/>
      <c r="H4193" s="6"/>
      <c r="I4193" s="6"/>
      <c r="J4193" s="6"/>
      <c r="K4193" s="6"/>
      <c r="L4193" s="6"/>
      <c r="M4193" s="6"/>
      <c r="N4193" s="6"/>
      <c r="O4193" s="6"/>
      <c r="P4193" s="6"/>
      <c r="Q4193" s="6"/>
      <c r="R4193" s="6"/>
      <c r="S4193" s="6"/>
      <c r="T4193" s="6"/>
      <c r="U4193" s="6"/>
      <c r="V4193" s="6"/>
      <c r="W4193" s="6"/>
      <c r="X4193" s="6"/>
      <c r="Y4193" s="6"/>
      <c r="Z4193" s="6"/>
      <c r="AA4193" s="6"/>
      <c r="AB4193" s="6"/>
      <c r="AC4193" s="6"/>
      <c r="AD4193" s="6"/>
      <c r="AE4193" s="6"/>
      <c r="AF4193" s="6"/>
      <c r="AG4193" s="6"/>
      <c r="AH4193" s="6"/>
      <c r="AI4193" s="6"/>
      <c r="AJ4193" s="6"/>
      <c r="AK4193" s="6"/>
      <c r="AL4193" s="6"/>
      <c r="AM4193" s="6"/>
    </row>
    <row r="4194">
      <c r="A4194" s="6"/>
      <c r="B4194" s="6"/>
      <c r="C4194" s="6"/>
      <c r="D4194" s="6"/>
      <c r="E4194" s="6"/>
      <c r="F4194" s="6"/>
      <c r="G4194" s="6"/>
      <c r="H4194" s="6"/>
      <c r="I4194" s="6"/>
      <c r="J4194" s="6"/>
      <c r="K4194" s="6"/>
      <c r="L4194" s="6"/>
      <c r="M4194" s="6"/>
      <c r="N4194" s="6"/>
      <c r="O4194" s="6"/>
      <c r="P4194" s="6"/>
      <c r="Q4194" s="6"/>
      <c r="R4194" s="6"/>
      <c r="S4194" s="6"/>
      <c r="T4194" s="6"/>
      <c r="U4194" s="6"/>
      <c r="V4194" s="6"/>
      <c r="W4194" s="6"/>
      <c r="X4194" s="6"/>
      <c r="Y4194" s="6"/>
      <c r="Z4194" s="6"/>
      <c r="AA4194" s="6"/>
      <c r="AB4194" s="6"/>
      <c r="AC4194" s="6"/>
      <c r="AD4194" s="6"/>
      <c r="AE4194" s="6"/>
      <c r="AF4194" s="6"/>
      <c r="AG4194" s="6"/>
      <c r="AH4194" s="6"/>
      <c r="AI4194" s="6"/>
      <c r="AJ4194" s="6"/>
      <c r="AK4194" s="6"/>
      <c r="AL4194" s="6"/>
      <c r="AM4194" s="6"/>
    </row>
    <row r="4195">
      <c r="A4195" s="6"/>
      <c r="B4195" s="6"/>
      <c r="C4195" s="6"/>
      <c r="D4195" s="6"/>
      <c r="E4195" s="6"/>
      <c r="F4195" s="6"/>
      <c r="G4195" s="6"/>
      <c r="H4195" s="6"/>
      <c r="I4195" s="6"/>
      <c r="J4195" s="6"/>
      <c r="K4195" s="6"/>
      <c r="L4195" s="6"/>
      <c r="M4195" s="6"/>
      <c r="N4195" s="6"/>
      <c r="O4195" s="6"/>
      <c r="P4195" s="6"/>
      <c r="Q4195" s="6"/>
      <c r="R4195" s="6"/>
      <c r="S4195" s="6"/>
      <c r="T4195" s="6"/>
      <c r="U4195" s="6"/>
      <c r="V4195" s="6"/>
      <c r="W4195" s="6"/>
      <c r="X4195" s="6"/>
      <c r="Y4195" s="6"/>
      <c r="Z4195" s="6"/>
      <c r="AA4195" s="6"/>
      <c r="AB4195" s="6"/>
      <c r="AC4195" s="6"/>
      <c r="AD4195" s="6"/>
      <c r="AE4195" s="6"/>
      <c r="AF4195" s="6"/>
      <c r="AG4195" s="6"/>
      <c r="AH4195" s="6"/>
      <c r="AI4195" s="6"/>
      <c r="AJ4195" s="6"/>
      <c r="AK4195" s="6"/>
      <c r="AL4195" s="6"/>
      <c r="AM4195" s="6"/>
    </row>
    <row r="4196">
      <c r="A4196" s="6"/>
      <c r="B4196" s="6"/>
      <c r="C4196" s="6"/>
      <c r="D4196" s="6"/>
      <c r="E4196" s="6"/>
      <c r="F4196" s="6"/>
      <c r="G4196" s="6"/>
      <c r="H4196" s="6"/>
      <c r="I4196" s="6"/>
      <c r="J4196" s="6"/>
      <c r="K4196" s="6"/>
      <c r="L4196" s="6"/>
      <c r="M4196" s="6"/>
      <c r="N4196" s="6"/>
      <c r="O4196" s="6"/>
      <c r="P4196" s="6"/>
      <c r="Q4196" s="6"/>
      <c r="R4196" s="6"/>
      <c r="S4196" s="6"/>
      <c r="T4196" s="6"/>
      <c r="U4196" s="6"/>
      <c r="V4196" s="6"/>
      <c r="W4196" s="6"/>
      <c r="X4196" s="6"/>
      <c r="Y4196" s="6"/>
      <c r="Z4196" s="6"/>
      <c r="AA4196" s="6"/>
      <c r="AB4196" s="6"/>
      <c r="AC4196" s="6"/>
      <c r="AD4196" s="6"/>
      <c r="AE4196" s="6"/>
      <c r="AF4196" s="6"/>
      <c r="AG4196" s="6"/>
      <c r="AH4196" s="6"/>
      <c r="AI4196" s="6"/>
      <c r="AJ4196" s="6"/>
      <c r="AK4196" s="6"/>
      <c r="AL4196" s="6"/>
      <c r="AM4196" s="6"/>
    </row>
    <row r="4197">
      <c r="A4197" s="6"/>
      <c r="B4197" s="6"/>
      <c r="C4197" s="6"/>
      <c r="D4197" s="6"/>
      <c r="E4197" s="6"/>
      <c r="F4197" s="6"/>
      <c r="G4197" s="6"/>
      <c r="H4197" s="6"/>
      <c r="I4197" s="6"/>
      <c r="J4197" s="6"/>
      <c r="K4197" s="6"/>
      <c r="L4197" s="6"/>
      <c r="M4197" s="6"/>
      <c r="N4197" s="6"/>
      <c r="O4197" s="6"/>
      <c r="P4197" s="6"/>
      <c r="Q4197" s="6"/>
      <c r="R4197" s="6"/>
      <c r="S4197" s="6"/>
      <c r="T4197" s="6"/>
      <c r="U4197" s="6"/>
      <c r="V4197" s="6"/>
      <c r="W4197" s="6"/>
      <c r="X4197" s="6"/>
      <c r="Y4197" s="6"/>
      <c r="Z4197" s="6"/>
      <c r="AA4197" s="6"/>
      <c r="AB4197" s="6"/>
      <c r="AC4197" s="6"/>
      <c r="AD4197" s="6"/>
      <c r="AE4197" s="6"/>
      <c r="AF4197" s="6"/>
      <c r="AG4197" s="6"/>
      <c r="AH4197" s="6"/>
      <c r="AI4197" s="6"/>
      <c r="AJ4197" s="6"/>
      <c r="AK4197" s="6"/>
      <c r="AL4197" s="6"/>
      <c r="AM4197" s="6"/>
    </row>
    <row r="4198">
      <c r="A4198" s="6"/>
      <c r="B4198" s="6"/>
      <c r="C4198" s="6"/>
      <c r="D4198" s="6"/>
      <c r="E4198" s="6"/>
      <c r="F4198" s="6"/>
      <c r="G4198" s="6"/>
      <c r="H4198" s="6"/>
      <c r="I4198" s="6"/>
      <c r="J4198" s="6"/>
      <c r="K4198" s="6"/>
      <c r="L4198" s="6"/>
      <c r="M4198" s="6"/>
      <c r="N4198" s="6"/>
      <c r="O4198" s="6"/>
      <c r="P4198" s="6"/>
      <c r="Q4198" s="6"/>
      <c r="R4198" s="6"/>
      <c r="S4198" s="6"/>
      <c r="T4198" s="6"/>
      <c r="U4198" s="6"/>
      <c r="V4198" s="6"/>
      <c r="W4198" s="6"/>
      <c r="X4198" s="6"/>
      <c r="Y4198" s="6"/>
      <c r="Z4198" s="6"/>
      <c r="AA4198" s="6"/>
      <c r="AB4198" s="6"/>
      <c r="AC4198" s="6"/>
      <c r="AD4198" s="6"/>
      <c r="AE4198" s="6"/>
      <c r="AF4198" s="6"/>
      <c r="AG4198" s="6"/>
      <c r="AH4198" s="6"/>
      <c r="AI4198" s="6"/>
      <c r="AJ4198" s="6"/>
      <c r="AK4198" s="6"/>
      <c r="AL4198" s="6"/>
      <c r="AM4198" s="6"/>
    </row>
    <row r="4199">
      <c r="A4199" s="6"/>
      <c r="B4199" s="6"/>
      <c r="C4199" s="6"/>
      <c r="D4199" s="6"/>
      <c r="E4199" s="6"/>
      <c r="F4199" s="6"/>
      <c r="G4199" s="6"/>
      <c r="H4199" s="6"/>
      <c r="I4199" s="6"/>
      <c r="J4199" s="6"/>
      <c r="K4199" s="6"/>
      <c r="L4199" s="6"/>
      <c r="M4199" s="6"/>
      <c r="N4199" s="6"/>
      <c r="O4199" s="6"/>
      <c r="P4199" s="6"/>
      <c r="Q4199" s="6"/>
      <c r="R4199" s="6"/>
      <c r="S4199" s="6"/>
      <c r="T4199" s="6"/>
      <c r="U4199" s="6"/>
      <c r="V4199" s="6"/>
      <c r="W4199" s="6"/>
      <c r="X4199" s="6"/>
      <c r="Y4199" s="6"/>
      <c r="Z4199" s="6"/>
      <c r="AA4199" s="6"/>
      <c r="AB4199" s="6"/>
      <c r="AC4199" s="6"/>
      <c r="AD4199" s="6"/>
      <c r="AE4199" s="6"/>
      <c r="AF4199" s="6"/>
      <c r="AG4199" s="6"/>
      <c r="AH4199" s="6"/>
      <c r="AI4199" s="6"/>
      <c r="AJ4199" s="6"/>
      <c r="AK4199" s="6"/>
      <c r="AL4199" s="6"/>
      <c r="AM4199" s="6"/>
    </row>
    <row r="4200">
      <c r="A4200" s="6"/>
      <c r="B4200" s="6"/>
      <c r="C4200" s="6"/>
      <c r="D4200" s="6"/>
      <c r="E4200" s="6"/>
      <c r="F4200" s="6"/>
      <c r="G4200" s="6"/>
      <c r="H4200" s="6"/>
      <c r="I4200" s="6"/>
      <c r="J4200" s="6"/>
      <c r="K4200" s="6"/>
      <c r="L4200" s="6"/>
      <c r="M4200" s="6"/>
      <c r="N4200" s="6"/>
      <c r="O4200" s="6"/>
      <c r="P4200" s="6"/>
      <c r="Q4200" s="6"/>
      <c r="R4200" s="6"/>
      <c r="S4200" s="6"/>
      <c r="T4200" s="6"/>
      <c r="U4200" s="6"/>
      <c r="V4200" s="6"/>
      <c r="W4200" s="6"/>
      <c r="X4200" s="6"/>
      <c r="Y4200" s="6"/>
      <c r="Z4200" s="6"/>
      <c r="AA4200" s="6"/>
      <c r="AB4200" s="6"/>
      <c r="AC4200" s="6"/>
      <c r="AD4200" s="6"/>
      <c r="AE4200" s="6"/>
      <c r="AF4200" s="6"/>
      <c r="AG4200" s="6"/>
      <c r="AH4200" s="6"/>
      <c r="AI4200" s="6"/>
      <c r="AJ4200" s="6"/>
      <c r="AK4200" s="6"/>
      <c r="AL4200" s="6"/>
      <c r="AM4200" s="6"/>
    </row>
    <row r="4201">
      <c r="A4201" s="6"/>
      <c r="B4201" s="6"/>
      <c r="C4201" s="6"/>
      <c r="D4201" s="6"/>
      <c r="E4201" s="6"/>
      <c r="F4201" s="6"/>
      <c r="G4201" s="6"/>
      <c r="H4201" s="6"/>
      <c r="I4201" s="6"/>
      <c r="J4201" s="6"/>
      <c r="K4201" s="6"/>
      <c r="L4201" s="6"/>
      <c r="M4201" s="6"/>
      <c r="N4201" s="6"/>
      <c r="O4201" s="6"/>
      <c r="P4201" s="6"/>
      <c r="Q4201" s="6"/>
      <c r="R4201" s="6"/>
      <c r="S4201" s="6"/>
      <c r="T4201" s="6"/>
      <c r="U4201" s="6"/>
      <c r="V4201" s="6"/>
      <c r="W4201" s="6"/>
      <c r="X4201" s="6"/>
      <c r="Y4201" s="6"/>
      <c r="Z4201" s="6"/>
      <c r="AA4201" s="6"/>
      <c r="AB4201" s="6"/>
      <c r="AC4201" s="6"/>
      <c r="AD4201" s="6"/>
      <c r="AE4201" s="6"/>
      <c r="AF4201" s="6"/>
      <c r="AG4201" s="6"/>
      <c r="AH4201" s="6"/>
      <c r="AI4201" s="6"/>
      <c r="AJ4201" s="6"/>
      <c r="AK4201" s="6"/>
      <c r="AL4201" s="6"/>
      <c r="AM4201" s="6"/>
    </row>
    <row r="4202">
      <c r="A4202" s="6"/>
      <c r="B4202" s="6"/>
      <c r="C4202" s="6"/>
      <c r="D4202" s="6"/>
      <c r="E4202" s="6"/>
      <c r="F4202" s="6"/>
      <c r="G4202" s="6"/>
      <c r="H4202" s="6"/>
      <c r="I4202" s="6"/>
      <c r="J4202" s="6"/>
      <c r="K4202" s="6"/>
      <c r="L4202" s="6"/>
      <c r="M4202" s="6"/>
      <c r="N4202" s="6"/>
      <c r="O4202" s="6"/>
      <c r="P4202" s="6"/>
      <c r="Q4202" s="6"/>
      <c r="R4202" s="6"/>
      <c r="S4202" s="6"/>
      <c r="T4202" s="6"/>
      <c r="U4202" s="6"/>
      <c r="V4202" s="6"/>
      <c r="W4202" s="6"/>
      <c r="X4202" s="6"/>
      <c r="Y4202" s="6"/>
      <c r="Z4202" s="6"/>
      <c r="AA4202" s="6"/>
      <c r="AB4202" s="6"/>
      <c r="AC4202" s="6"/>
      <c r="AD4202" s="6"/>
      <c r="AE4202" s="6"/>
      <c r="AF4202" s="6"/>
      <c r="AG4202" s="6"/>
      <c r="AH4202" s="6"/>
      <c r="AI4202" s="6"/>
      <c r="AJ4202" s="6"/>
      <c r="AK4202" s="6"/>
      <c r="AL4202" s="6"/>
      <c r="AM4202" s="6"/>
    </row>
    <row r="4203">
      <c r="A4203" s="6"/>
      <c r="B4203" s="6"/>
      <c r="C4203" s="6"/>
      <c r="D4203" s="6"/>
      <c r="E4203" s="6"/>
      <c r="F4203" s="6"/>
      <c r="G4203" s="6"/>
      <c r="H4203" s="6"/>
      <c r="I4203" s="6"/>
      <c r="J4203" s="6"/>
      <c r="K4203" s="6"/>
      <c r="L4203" s="6"/>
      <c r="M4203" s="6"/>
      <c r="N4203" s="6"/>
      <c r="O4203" s="6"/>
      <c r="P4203" s="6"/>
      <c r="Q4203" s="6"/>
      <c r="R4203" s="6"/>
      <c r="S4203" s="6"/>
      <c r="T4203" s="6"/>
      <c r="U4203" s="6"/>
      <c r="V4203" s="6"/>
      <c r="W4203" s="6"/>
      <c r="X4203" s="6"/>
      <c r="Y4203" s="6"/>
      <c r="Z4203" s="6"/>
      <c r="AA4203" s="6"/>
      <c r="AB4203" s="6"/>
      <c r="AC4203" s="6"/>
      <c r="AD4203" s="6"/>
      <c r="AE4203" s="6"/>
      <c r="AF4203" s="6"/>
      <c r="AG4203" s="6"/>
      <c r="AH4203" s="6"/>
      <c r="AI4203" s="6"/>
      <c r="AJ4203" s="6"/>
      <c r="AK4203" s="6"/>
      <c r="AL4203" s="6"/>
      <c r="AM4203" s="6"/>
    </row>
    <row r="4204">
      <c r="A4204" s="6"/>
      <c r="B4204" s="6"/>
      <c r="C4204" s="6"/>
      <c r="D4204" s="6"/>
      <c r="E4204" s="6"/>
      <c r="F4204" s="6"/>
      <c r="G4204" s="6"/>
      <c r="H4204" s="6"/>
      <c r="I4204" s="6"/>
      <c r="J4204" s="6"/>
      <c r="K4204" s="6"/>
      <c r="L4204" s="6"/>
      <c r="M4204" s="6"/>
      <c r="N4204" s="6"/>
      <c r="O4204" s="6"/>
      <c r="P4204" s="6"/>
      <c r="Q4204" s="6"/>
      <c r="R4204" s="6"/>
      <c r="S4204" s="6"/>
      <c r="T4204" s="6"/>
      <c r="U4204" s="6"/>
      <c r="V4204" s="6"/>
      <c r="W4204" s="6"/>
      <c r="X4204" s="6"/>
      <c r="Y4204" s="6"/>
      <c r="Z4204" s="6"/>
      <c r="AA4204" s="6"/>
      <c r="AB4204" s="6"/>
      <c r="AC4204" s="6"/>
      <c r="AD4204" s="6"/>
      <c r="AE4204" s="6"/>
      <c r="AF4204" s="6"/>
      <c r="AG4204" s="6"/>
      <c r="AH4204" s="6"/>
      <c r="AI4204" s="6"/>
      <c r="AJ4204" s="6"/>
      <c r="AK4204" s="6"/>
      <c r="AL4204" s="6"/>
      <c r="AM4204" s="6"/>
    </row>
    <row r="4205">
      <c r="A4205" s="6"/>
      <c r="B4205" s="6"/>
      <c r="C4205" s="6"/>
      <c r="D4205" s="6"/>
      <c r="E4205" s="6"/>
      <c r="F4205" s="6"/>
      <c r="G4205" s="6"/>
      <c r="H4205" s="6"/>
      <c r="I4205" s="6"/>
      <c r="J4205" s="6"/>
      <c r="K4205" s="6"/>
      <c r="L4205" s="6"/>
      <c r="M4205" s="6"/>
      <c r="N4205" s="6"/>
      <c r="O4205" s="6"/>
      <c r="P4205" s="6"/>
      <c r="Q4205" s="6"/>
      <c r="R4205" s="6"/>
      <c r="S4205" s="6"/>
      <c r="T4205" s="6"/>
      <c r="U4205" s="6"/>
      <c r="V4205" s="6"/>
      <c r="W4205" s="6"/>
      <c r="X4205" s="6"/>
      <c r="Y4205" s="6"/>
      <c r="Z4205" s="6"/>
      <c r="AA4205" s="6"/>
      <c r="AB4205" s="6"/>
      <c r="AC4205" s="6"/>
      <c r="AD4205" s="6"/>
      <c r="AE4205" s="6"/>
      <c r="AF4205" s="6"/>
      <c r="AG4205" s="6"/>
      <c r="AH4205" s="6"/>
      <c r="AI4205" s="6"/>
      <c r="AJ4205" s="6"/>
      <c r="AK4205" s="6"/>
      <c r="AL4205" s="6"/>
      <c r="AM4205" s="6"/>
    </row>
    <row r="4206">
      <c r="A4206" s="6"/>
      <c r="B4206" s="6"/>
      <c r="C4206" s="6"/>
      <c r="D4206" s="6"/>
      <c r="E4206" s="6"/>
      <c r="F4206" s="6"/>
      <c r="G4206" s="6"/>
      <c r="H4206" s="6"/>
      <c r="I4206" s="6"/>
      <c r="J4206" s="6"/>
      <c r="K4206" s="6"/>
      <c r="L4206" s="6"/>
      <c r="M4206" s="6"/>
      <c r="N4206" s="6"/>
      <c r="O4206" s="6"/>
      <c r="P4206" s="6"/>
      <c r="Q4206" s="6"/>
      <c r="R4206" s="6"/>
      <c r="S4206" s="6"/>
      <c r="T4206" s="6"/>
      <c r="U4206" s="6"/>
      <c r="V4206" s="6"/>
      <c r="W4206" s="6"/>
      <c r="X4206" s="6"/>
      <c r="Y4206" s="6"/>
      <c r="Z4206" s="6"/>
      <c r="AA4206" s="6"/>
      <c r="AB4206" s="6"/>
      <c r="AC4206" s="6"/>
      <c r="AD4206" s="6"/>
      <c r="AE4206" s="6"/>
      <c r="AF4206" s="6"/>
      <c r="AG4206" s="6"/>
      <c r="AH4206" s="6"/>
      <c r="AI4206" s="6"/>
      <c r="AJ4206" s="6"/>
      <c r="AK4206" s="6"/>
      <c r="AL4206" s="6"/>
      <c r="AM4206" s="6"/>
    </row>
    <row r="4207">
      <c r="A4207" s="6"/>
      <c r="B4207" s="6"/>
      <c r="C4207" s="6"/>
      <c r="D4207" s="6"/>
      <c r="E4207" s="6"/>
      <c r="F4207" s="6"/>
      <c r="G4207" s="6"/>
      <c r="H4207" s="6"/>
      <c r="I4207" s="6"/>
      <c r="J4207" s="6"/>
      <c r="K4207" s="6"/>
      <c r="L4207" s="6"/>
      <c r="M4207" s="6"/>
      <c r="N4207" s="6"/>
      <c r="O4207" s="6"/>
      <c r="P4207" s="6"/>
      <c r="Q4207" s="6"/>
      <c r="R4207" s="6"/>
      <c r="S4207" s="6"/>
      <c r="T4207" s="6"/>
      <c r="U4207" s="6"/>
      <c r="V4207" s="6"/>
      <c r="W4207" s="6"/>
      <c r="X4207" s="6"/>
      <c r="Y4207" s="6"/>
      <c r="Z4207" s="6"/>
      <c r="AA4207" s="6"/>
      <c r="AB4207" s="6"/>
      <c r="AC4207" s="6"/>
      <c r="AD4207" s="6"/>
      <c r="AE4207" s="6"/>
      <c r="AF4207" s="6"/>
      <c r="AG4207" s="6"/>
      <c r="AH4207" s="6"/>
      <c r="AI4207" s="6"/>
      <c r="AJ4207" s="6"/>
      <c r="AK4207" s="6"/>
      <c r="AL4207" s="6"/>
      <c r="AM4207" s="6"/>
    </row>
    <row r="4208">
      <c r="A4208" s="6"/>
      <c r="B4208" s="6"/>
      <c r="C4208" s="6"/>
      <c r="D4208" s="6"/>
      <c r="E4208" s="6"/>
      <c r="F4208" s="6"/>
      <c r="G4208" s="6"/>
      <c r="H4208" s="6"/>
      <c r="I4208" s="6"/>
      <c r="J4208" s="6"/>
      <c r="K4208" s="6"/>
      <c r="L4208" s="6"/>
      <c r="M4208" s="6"/>
      <c r="N4208" s="6"/>
      <c r="O4208" s="6"/>
      <c r="P4208" s="6"/>
      <c r="Q4208" s="6"/>
      <c r="R4208" s="6"/>
      <c r="S4208" s="6"/>
      <c r="T4208" s="6"/>
      <c r="U4208" s="6"/>
      <c r="V4208" s="6"/>
      <c r="W4208" s="6"/>
      <c r="X4208" s="6"/>
      <c r="Y4208" s="6"/>
      <c r="Z4208" s="6"/>
      <c r="AA4208" s="6"/>
      <c r="AB4208" s="6"/>
      <c r="AC4208" s="6"/>
      <c r="AD4208" s="6"/>
      <c r="AE4208" s="6"/>
      <c r="AF4208" s="6"/>
      <c r="AG4208" s="6"/>
      <c r="AH4208" s="6"/>
      <c r="AI4208" s="6"/>
      <c r="AJ4208" s="6"/>
      <c r="AK4208" s="6"/>
      <c r="AL4208" s="6"/>
      <c r="AM4208" s="6"/>
    </row>
    <row r="4209">
      <c r="A4209" s="6"/>
      <c r="B4209" s="6"/>
      <c r="C4209" s="6"/>
      <c r="D4209" s="6"/>
      <c r="E4209" s="6"/>
      <c r="F4209" s="6"/>
      <c r="G4209" s="6"/>
      <c r="H4209" s="6"/>
      <c r="I4209" s="6"/>
      <c r="J4209" s="6"/>
      <c r="K4209" s="6"/>
      <c r="L4209" s="6"/>
      <c r="M4209" s="6"/>
      <c r="N4209" s="6"/>
      <c r="O4209" s="6"/>
      <c r="P4209" s="6"/>
      <c r="Q4209" s="6"/>
      <c r="R4209" s="6"/>
      <c r="S4209" s="6"/>
      <c r="T4209" s="6"/>
      <c r="U4209" s="6"/>
      <c r="V4209" s="6"/>
      <c r="W4209" s="6"/>
      <c r="X4209" s="6"/>
      <c r="Y4209" s="6"/>
      <c r="Z4209" s="6"/>
      <c r="AA4209" s="6"/>
      <c r="AB4209" s="6"/>
      <c r="AC4209" s="6"/>
      <c r="AD4209" s="6"/>
      <c r="AE4209" s="6"/>
      <c r="AF4209" s="6"/>
      <c r="AG4209" s="6"/>
      <c r="AH4209" s="6"/>
      <c r="AI4209" s="6"/>
      <c r="AJ4209" s="6"/>
      <c r="AK4209" s="6"/>
      <c r="AL4209" s="6"/>
      <c r="AM4209" s="6"/>
    </row>
    <row r="4210">
      <c r="A4210" s="6"/>
      <c r="B4210" s="6"/>
      <c r="C4210" s="6"/>
      <c r="D4210" s="6"/>
      <c r="E4210" s="6"/>
      <c r="F4210" s="6"/>
      <c r="G4210" s="6"/>
      <c r="H4210" s="6"/>
      <c r="I4210" s="6"/>
      <c r="J4210" s="6"/>
      <c r="K4210" s="6"/>
      <c r="L4210" s="6"/>
      <c r="M4210" s="6"/>
      <c r="N4210" s="6"/>
      <c r="O4210" s="6"/>
      <c r="P4210" s="6"/>
      <c r="Q4210" s="6"/>
      <c r="R4210" s="6"/>
      <c r="S4210" s="6"/>
      <c r="T4210" s="6"/>
      <c r="U4210" s="6"/>
      <c r="V4210" s="6"/>
      <c r="W4210" s="6"/>
      <c r="X4210" s="6"/>
      <c r="Y4210" s="6"/>
      <c r="Z4210" s="6"/>
      <c r="AA4210" s="6"/>
      <c r="AB4210" s="6"/>
      <c r="AC4210" s="6"/>
      <c r="AD4210" s="6"/>
      <c r="AE4210" s="6"/>
      <c r="AF4210" s="6"/>
      <c r="AG4210" s="6"/>
      <c r="AH4210" s="6"/>
      <c r="AI4210" s="6"/>
      <c r="AJ4210" s="6"/>
      <c r="AK4210" s="6"/>
      <c r="AL4210" s="6"/>
      <c r="AM4210" s="6"/>
    </row>
    <row r="4211">
      <c r="A4211" s="6"/>
      <c r="B4211" s="6"/>
      <c r="C4211" s="6"/>
      <c r="D4211" s="6"/>
      <c r="E4211" s="6"/>
      <c r="F4211" s="6"/>
      <c r="G4211" s="6"/>
      <c r="H4211" s="6"/>
      <c r="I4211" s="6"/>
      <c r="J4211" s="6"/>
      <c r="K4211" s="6"/>
      <c r="L4211" s="6"/>
      <c r="M4211" s="6"/>
      <c r="N4211" s="6"/>
      <c r="O4211" s="6"/>
      <c r="P4211" s="6"/>
      <c r="Q4211" s="6"/>
      <c r="R4211" s="6"/>
      <c r="S4211" s="6"/>
      <c r="T4211" s="6"/>
      <c r="U4211" s="6"/>
      <c r="V4211" s="6"/>
      <c r="W4211" s="6"/>
      <c r="X4211" s="6"/>
      <c r="Y4211" s="6"/>
      <c r="Z4211" s="6"/>
      <c r="AA4211" s="6"/>
      <c r="AB4211" s="6"/>
      <c r="AC4211" s="6"/>
      <c r="AD4211" s="6"/>
      <c r="AE4211" s="6"/>
      <c r="AF4211" s="6"/>
      <c r="AG4211" s="6"/>
      <c r="AH4211" s="6"/>
      <c r="AI4211" s="6"/>
      <c r="AJ4211" s="6"/>
      <c r="AK4211" s="6"/>
      <c r="AL4211" s="6"/>
      <c r="AM4211" s="6"/>
    </row>
    <row r="4212">
      <c r="A4212" s="6"/>
      <c r="B4212" s="6"/>
      <c r="C4212" s="6"/>
      <c r="D4212" s="6"/>
      <c r="E4212" s="6"/>
      <c r="F4212" s="6"/>
      <c r="G4212" s="6"/>
      <c r="H4212" s="6"/>
      <c r="I4212" s="6"/>
      <c r="J4212" s="6"/>
      <c r="K4212" s="6"/>
      <c r="L4212" s="6"/>
      <c r="M4212" s="6"/>
      <c r="N4212" s="6"/>
      <c r="O4212" s="6"/>
      <c r="P4212" s="6"/>
      <c r="Q4212" s="6"/>
      <c r="R4212" s="6"/>
      <c r="S4212" s="6"/>
      <c r="T4212" s="6"/>
      <c r="U4212" s="6"/>
      <c r="V4212" s="6"/>
      <c r="W4212" s="6"/>
      <c r="X4212" s="6"/>
      <c r="Y4212" s="6"/>
      <c r="Z4212" s="6"/>
      <c r="AA4212" s="6"/>
      <c r="AB4212" s="6"/>
      <c r="AC4212" s="6"/>
      <c r="AD4212" s="6"/>
      <c r="AE4212" s="6"/>
      <c r="AF4212" s="6"/>
      <c r="AG4212" s="6"/>
      <c r="AH4212" s="6"/>
      <c r="AI4212" s="6"/>
      <c r="AJ4212" s="6"/>
      <c r="AK4212" s="6"/>
      <c r="AL4212" s="6"/>
      <c r="AM4212" s="6"/>
    </row>
    <row r="4213">
      <c r="A4213" s="6"/>
      <c r="B4213" s="6"/>
      <c r="C4213" s="6"/>
      <c r="D4213" s="6"/>
      <c r="E4213" s="6"/>
      <c r="F4213" s="6"/>
      <c r="G4213" s="6"/>
      <c r="H4213" s="6"/>
      <c r="I4213" s="6"/>
      <c r="J4213" s="6"/>
      <c r="K4213" s="6"/>
      <c r="L4213" s="6"/>
      <c r="M4213" s="6"/>
      <c r="N4213" s="6"/>
      <c r="O4213" s="6"/>
      <c r="P4213" s="6"/>
      <c r="Q4213" s="6"/>
      <c r="R4213" s="6"/>
      <c r="S4213" s="6"/>
      <c r="T4213" s="6"/>
      <c r="U4213" s="6"/>
      <c r="V4213" s="6"/>
      <c r="W4213" s="6"/>
      <c r="X4213" s="6"/>
      <c r="Y4213" s="6"/>
      <c r="Z4213" s="6"/>
      <c r="AA4213" s="6"/>
      <c r="AB4213" s="6"/>
      <c r="AC4213" s="6"/>
      <c r="AD4213" s="6"/>
      <c r="AE4213" s="6"/>
      <c r="AF4213" s="6"/>
      <c r="AG4213" s="6"/>
      <c r="AH4213" s="6"/>
      <c r="AI4213" s="6"/>
      <c r="AJ4213" s="6"/>
      <c r="AK4213" s="6"/>
      <c r="AL4213" s="6"/>
      <c r="AM4213" s="6"/>
    </row>
    <row r="4214">
      <c r="A4214" s="6"/>
      <c r="B4214" s="6"/>
      <c r="C4214" s="6"/>
      <c r="D4214" s="6"/>
      <c r="E4214" s="6"/>
      <c r="F4214" s="6"/>
      <c r="G4214" s="6"/>
      <c r="H4214" s="6"/>
      <c r="I4214" s="6"/>
      <c r="J4214" s="6"/>
      <c r="K4214" s="6"/>
      <c r="L4214" s="6"/>
      <c r="M4214" s="6"/>
      <c r="N4214" s="6"/>
      <c r="O4214" s="6"/>
      <c r="P4214" s="6"/>
      <c r="Q4214" s="6"/>
      <c r="R4214" s="6"/>
      <c r="S4214" s="6"/>
      <c r="T4214" s="6"/>
      <c r="U4214" s="6"/>
      <c r="V4214" s="6"/>
      <c r="W4214" s="6"/>
      <c r="X4214" s="6"/>
      <c r="Y4214" s="6"/>
      <c r="Z4214" s="6"/>
      <c r="AA4214" s="6"/>
      <c r="AB4214" s="6"/>
      <c r="AC4214" s="6"/>
      <c r="AD4214" s="6"/>
      <c r="AE4214" s="6"/>
      <c r="AF4214" s="6"/>
      <c r="AG4214" s="6"/>
      <c r="AH4214" s="6"/>
      <c r="AI4214" s="6"/>
      <c r="AJ4214" s="6"/>
      <c r="AK4214" s="6"/>
      <c r="AL4214" s="6"/>
      <c r="AM4214" s="6"/>
    </row>
    <row r="4215">
      <c r="A4215" s="6"/>
      <c r="B4215" s="6"/>
      <c r="C4215" s="6"/>
      <c r="D4215" s="6"/>
      <c r="E4215" s="6"/>
      <c r="F4215" s="6"/>
      <c r="G4215" s="6"/>
      <c r="H4215" s="6"/>
      <c r="I4215" s="6"/>
      <c r="J4215" s="6"/>
      <c r="K4215" s="6"/>
      <c r="L4215" s="6"/>
      <c r="M4215" s="6"/>
      <c r="N4215" s="6"/>
      <c r="O4215" s="6"/>
      <c r="P4215" s="6"/>
      <c r="Q4215" s="6"/>
      <c r="R4215" s="6"/>
      <c r="S4215" s="6"/>
      <c r="T4215" s="6"/>
      <c r="U4215" s="6"/>
      <c r="V4215" s="6"/>
      <c r="W4215" s="6"/>
      <c r="X4215" s="6"/>
      <c r="Y4215" s="6"/>
      <c r="Z4215" s="6"/>
      <c r="AA4215" s="6"/>
      <c r="AB4215" s="6"/>
      <c r="AC4215" s="6"/>
      <c r="AD4215" s="6"/>
      <c r="AE4215" s="6"/>
      <c r="AF4215" s="6"/>
      <c r="AG4215" s="6"/>
      <c r="AH4215" s="6"/>
      <c r="AI4215" s="6"/>
      <c r="AJ4215" s="6"/>
      <c r="AK4215" s="6"/>
      <c r="AL4215" s="6"/>
      <c r="AM4215" s="6"/>
    </row>
    <row r="4216">
      <c r="A4216" s="6"/>
      <c r="B4216" s="6"/>
      <c r="C4216" s="6"/>
      <c r="D4216" s="6"/>
      <c r="E4216" s="6"/>
      <c r="F4216" s="6"/>
      <c r="G4216" s="6"/>
      <c r="H4216" s="6"/>
      <c r="I4216" s="6"/>
      <c r="J4216" s="6"/>
      <c r="K4216" s="6"/>
      <c r="L4216" s="6"/>
      <c r="M4216" s="6"/>
      <c r="N4216" s="6"/>
      <c r="O4216" s="6"/>
      <c r="P4216" s="6"/>
      <c r="Q4216" s="6"/>
      <c r="R4216" s="6"/>
      <c r="S4216" s="6"/>
      <c r="T4216" s="6"/>
      <c r="U4216" s="6"/>
      <c r="V4216" s="6"/>
      <c r="W4216" s="6"/>
      <c r="X4216" s="6"/>
      <c r="Y4216" s="6"/>
      <c r="Z4216" s="6"/>
      <c r="AA4216" s="6"/>
      <c r="AB4216" s="6"/>
      <c r="AC4216" s="6"/>
      <c r="AD4216" s="6"/>
      <c r="AE4216" s="6"/>
      <c r="AF4216" s="6"/>
      <c r="AG4216" s="6"/>
      <c r="AH4216" s="6"/>
      <c r="AI4216" s="6"/>
      <c r="AJ4216" s="6"/>
      <c r="AK4216" s="6"/>
      <c r="AL4216" s="6"/>
      <c r="AM4216" s="6"/>
    </row>
    <row r="4217">
      <c r="A4217" s="6"/>
      <c r="B4217" s="6"/>
      <c r="C4217" s="6"/>
      <c r="D4217" s="6"/>
      <c r="E4217" s="6"/>
      <c r="F4217" s="6"/>
      <c r="G4217" s="6"/>
      <c r="H4217" s="6"/>
      <c r="I4217" s="6"/>
      <c r="J4217" s="6"/>
      <c r="K4217" s="6"/>
      <c r="L4217" s="6"/>
      <c r="M4217" s="6"/>
      <c r="N4217" s="6"/>
      <c r="O4217" s="6"/>
      <c r="P4217" s="6"/>
      <c r="Q4217" s="6"/>
      <c r="R4217" s="6"/>
      <c r="S4217" s="6"/>
      <c r="T4217" s="6"/>
      <c r="U4217" s="6"/>
      <c r="V4217" s="6"/>
      <c r="W4217" s="6"/>
      <c r="X4217" s="6"/>
      <c r="Y4217" s="6"/>
      <c r="Z4217" s="6"/>
      <c r="AA4217" s="6"/>
      <c r="AB4217" s="6"/>
      <c r="AC4217" s="6"/>
      <c r="AD4217" s="6"/>
      <c r="AE4217" s="6"/>
      <c r="AF4217" s="6"/>
      <c r="AG4217" s="6"/>
      <c r="AH4217" s="6"/>
      <c r="AI4217" s="6"/>
      <c r="AJ4217" s="6"/>
      <c r="AK4217" s="6"/>
      <c r="AL4217" s="6"/>
      <c r="AM4217" s="6"/>
    </row>
    <row r="4218">
      <c r="A4218" s="6"/>
      <c r="B4218" s="6"/>
      <c r="C4218" s="6"/>
      <c r="D4218" s="6"/>
      <c r="E4218" s="6"/>
      <c r="F4218" s="6"/>
      <c r="G4218" s="6"/>
      <c r="H4218" s="6"/>
      <c r="I4218" s="6"/>
      <c r="J4218" s="6"/>
      <c r="K4218" s="6"/>
      <c r="L4218" s="6"/>
      <c r="M4218" s="6"/>
      <c r="N4218" s="6"/>
      <c r="O4218" s="6"/>
      <c r="P4218" s="6"/>
      <c r="Q4218" s="6"/>
      <c r="R4218" s="6"/>
      <c r="S4218" s="6"/>
      <c r="T4218" s="6"/>
      <c r="U4218" s="6"/>
      <c r="V4218" s="6"/>
      <c r="W4218" s="6"/>
      <c r="X4218" s="6"/>
      <c r="Y4218" s="6"/>
      <c r="Z4218" s="6"/>
      <c r="AA4218" s="6"/>
      <c r="AB4218" s="6"/>
      <c r="AC4218" s="6"/>
      <c r="AD4218" s="6"/>
      <c r="AE4218" s="6"/>
      <c r="AF4218" s="6"/>
      <c r="AG4218" s="6"/>
      <c r="AH4218" s="6"/>
      <c r="AI4218" s="6"/>
      <c r="AJ4218" s="6"/>
      <c r="AK4218" s="6"/>
      <c r="AL4218" s="6"/>
      <c r="AM4218" s="6"/>
    </row>
    <row r="4219">
      <c r="A4219" s="6"/>
      <c r="B4219" s="6"/>
      <c r="C4219" s="6"/>
      <c r="D4219" s="6"/>
      <c r="E4219" s="6"/>
      <c r="F4219" s="6"/>
      <c r="G4219" s="6"/>
      <c r="H4219" s="6"/>
      <c r="I4219" s="6"/>
      <c r="J4219" s="6"/>
      <c r="K4219" s="6"/>
      <c r="L4219" s="6"/>
      <c r="M4219" s="6"/>
      <c r="N4219" s="6"/>
      <c r="O4219" s="6"/>
      <c r="P4219" s="6"/>
      <c r="Q4219" s="6"/>
      <c r="R4219" s="6"/>
      <c r="S4219" s="6"/>
      <c r="T4219" s="6"/>
      <c r="U4219" s="6"/>
      <c r="V4219" s="6"/>
      <c r="W4219" s="6"/>
      <c r="X4219" s="6"/>
      <c r="Y4219" s="6"/>
      <c r="Z4219" s="6"/>
      <c r="AA4219" s="6"/>
      <c r="AB4219" s="6"/>
      <c r="AC4219" s="6"/>
      <c r="AD4219" s="6"/>
      <c r="AE4219" s="6"/>
      <c r="AF4219" s="6"/>
      <c r="AG4219" s="6"/>
      <c r="AH4219" s="6"/>
      <c r="AI4219" s="6"/>
      <c r="AJ4219" s="6"/>
      <c r="AK4219" s="6"/>
      <c r="AL4219" s="6"/>
      <c r="AM4219" s="6"/>
    </row>
    <row r="4220">
      <c r="A4220" s="6"/>
      <c r="B4220" s="6"/>
      <c r="C4220" s="6"/>
      <c r="D4220" s="6"/>
      <c r="E4220" s="6"/>
      <c r="F4220" s="6"/>
      <c r="G4220" s="6"/>
      <c r="H4220" s="6"/>
      <c r="I4220" s="6"/>
      <c r="J4220" s="6"/>
      <c r="K4220" s="6"/>
      <c r="L4220" s="6"/>
      <c r="M4220" s="6"/>
      <c r="N4220" s="6"/>
      <c r="O4220" s="6"/>
      <c r="P4220" s="6"/>
      <c r="Q4220" s="6"/>
      <c r="R4220" s="6"/>
      <c r="S4220" s="6"/>
      <c r="T4220" s="6"/>
      <c r="U4220" s="6"/>
      <c r="V4220" s="6"/>
      <c r="W4220" s="6"/>
      <c r="X4220" s="6"/>
      <c r="Y4220" s="6"/>
      <c r="Z4220" s="6"/>
      <c r="AA4220" s="6"/>
      <c r="AB4220" s="6"/>
      <c r="AC4220" s="6"/>
      <c r="AD4220" s="6"/>
      <c r="AE4220" s="6"/>
      <c r="AF4220" s="6"/>
      <c r="AG4220" s="6"/>
      <c r="AH4220" s="6"/>
      <c r="AI4220" s="6"/>
      <c r="AJ4220" s="6"/>
      <c r="AK4220" s="6"/>
      <c r="AL4220" s="6"/>
      <c r="AM4220" s="6"/>
    </row>
    <row r="4221">
      <c r="A4221" s="6"/>
      <c r="B4221" s="6"/>
      <c r="C4221" s="6"/>
      <c r="D4221" s="6"/>
      <c r="E4221" s="6"/>
      <c r="F4221" s="6"/>
      <c r="G4221" s="6"/>
      <c r="H4221" s="6"/>
      <c r="I4221" s="6"/>
      <c r="J4221" s="6"/>
      <c r="K4221" s="6"/>
      <c r="L4221" s="6"/>
      <c r="M4221" s="6"/>
      <c r="N4221" s="6"/>
      <c r="O4221" s="6"/>
      <c r="P4221" s="6"/>
      <c r="Q4221" s="6"/>
      <c r="R4221" s="6"/>
      <c r="S4221" s="6"/>
      <c r="T4221" s="6"/>
      <c r="U4221" s="6"/>
      <c r="V4221" s="6"/>
      <c r="W4221" s="6"/>
      <c r="X4221" s="6"/>
      <c r="Y4221" s="6"/>
      <c r="Z4221" s="6"/>
      <c r="AA4221" s="6"/>
      <c r="AB4221" s="6"/>
      <c r="AC4221" s="6"/>
      <c r="AD4221" s="6"/>
      <c r="AE4221" s="6"/>
      <c r="AF4221" s="6"/>
      <c r="AG4221" s="6"/>
      <c r="AH4221" s="6"/>
      <c r="AI4221" s="6"/>
      <c r="AJ4221" s="6"/>
      <c r="AK4221" s="6"/>
      <c r="AL4221" s="6"/>
      <c r="AM4221" s="6"/>
    </row>
    <row r="4222">
      <c r="A4222" s="6"/>
      <c r="B4222" s="6"/>
      <c r="C4222" s="6"/>
      <c r="D4222" s="6"/>
      <c r="E4222" s="6"/>
      <c r="F4222" s="6"/>
      <c r="G4222" s="6"/>
      <c r="H4222" s="6"/>
      <c r="I4222" s="6"/>
      <c r="J4222" s="6"/>
      <c r="K4222" s="6"/>
      <c r="L4222" s="6"/>
      <c r="M4222" s="6"/>
      <c r="N4222" s="6"/>
      <c r="O4222" s="6"/>
      <c r="P4222" s="6"/>
      <c r="Q4222" s="6"/>
      <c r="R4222" s="6"/>
      <c r="S4222" s="6"/>
      <c r="T4222" s="6"/>
      <c r="U4222" s="6"/>
      <c r="V4222" s="6"/>
      <c r="W4222" s="6"/>
      <c r="X4222" s="6"/>
      <c r="Y4222" s="6"/>
      <c r="Z4222" s="6"/>
      <c r="AA4222" s="6"/>
      <c r="AB4222" s="6"/>
      <c r="AC4222" s="6"/>
      <c r="AD4222" s="6"/>
      <c r="AE4222" s="6"/>
      <c r="AF4222" s="6"/>
      <c r="AG4222" s="6"/>
      <c r="AH4222" s="6"/>
      <c r="AI4222" s="6"/>
      <c r="AJ4222" s="6"/>
      <c r="AK4222" s="6"/>
      <c r="AL4222" s="6"/>
      <c r="AM4222" s="6"/>
    </row>
    <row r="4223">
      <c r="A4223" s="6"/>
      <c r="B4223" s="6"/>
      <c r="C4223" s="6"/>
      <c r="D4223" s="6"/>
      <c r="E4223" s="6"/>
      <c r="F4223" s="6"/>
      <c r="G4223" s="6"/>
      <c r="H4223" s="6"/>
      <c r="I4223" s="6"/>
      <c r="J4223" s="6"/>
      <c r="K4223" s="6"/>
      <c r="L4223" s="6"/>
      <c r="M4223" s="6"/>
      <c r="N4223" s="6"/>
      <c r="O4223" s="6"/>
      <c r="P4223" s="6"/>
      <c r="Q4223" s="6"/>
      <c r="R4223" s="6"/>
      <c r="S4223" s="6"/>
      <c r="T4223" s="6"/>
      <c r="U4223" s="6"/>
      <c r="V4223" s="6"/>
      <c r="W4223" s="6"/>
      <c r="X4223" s="6"/>
      <c r="Y4223" s="6"/>
      <c r="Z4223" s="6"/>
      <c r="AA4223" s="6"/>
      <c r="AB4223" s="6"/>
      <c r="AC4223" s="6"/>
      <c r="AD4223" s="6"/>
      <c r="AE4223" s="6"/>
      <c r="AF4223" s="6"/>
      <c r="AG4223" s="6"/>
      <c r="AH4223" s="6"/>
      <c r="AI4223" s="6"/>
      <c r="AJ4223" s="6"/>
      <c r="AK4223" s="6"/>
      <c r="AL4223" s="6"/>
      <c r="AM4223" s="6"/>
    </row>
    <row r="4224">
      <c r="A4224" s="6"/>
      <c r="B4224" s="6"/>
      <c r="C4224" s="6"/>
      <c r="D4224" s="6"/>
      <c r="E4224" s="6"/>
      <c r="F4224" s="6"/>
      <c r="G4224" s="6"/>
      <c r="H4224" s="6"/>
      <c r="I4224" s="6"/>
      <c r="J4224" s="6"/>
      <c r="K4224" s="6"/>
      <c r="L4224" s="6"/>
      <c r="M4224" s="6"/>
      <c r="N4224" s="6"/>
      <c r="O4224" s="6"/>
      <c r="P4224" s="6"/>
      <c r="Q4224" s="6"/>
      <c r="R4224" s="6"/>
      <c r="S4224" s="6"/>
      <c r="T4224" s="6"/>
      <c r="U4224" s="6"/>
      <c r="V4224" s="6"/>
      <c r="W4224" s="6"/>
      <c r="X4224" s="6"/>
      <c r="Y4224" s="6"/>
      <c r="Z4224" s="6"/>
      <c r="AA4224" s="6"/>
      <c r="AB4224" s="6"/>
      <c r="AC4224" s="6"/>
      <c r="AD4224" s="6"/>
      <c r="AE4224" s="6"/>
      <c r="AF4224" s="6"/>
      <c r="AG4224" s="6"/>
      <c r="AH4224" s="6"/>
      <c r="AI4224" s="6"/>
      <c r="AJ4224" s="6"/>
      <c r="AK4224" s="6"/>
      <c r="AL4224" s="6"/>
      <c r="AM4224" s="6"/>
    </row>
    <row r="4225">
      <c r="A4225" s="6"/>
      <c r="B4225" s="6"/>
      <c r="C4225" s="6"/>
      <c r="D4225" s="6"/>
      <c r="E4225" s="6"/>
      <c r="F4225" s="6"/>
      <c r="G4225" s="6"/>
      <c r="H4225" s="6"/>
      <c r="I4225" s="6"/>
      <c r="J4225" s="6"/>
      <c r="K4225" s="6"/>
      <c r="L4225" s="6"/>
      <c r="M4225" s="6"/>
      <c r="N4225" s="6"/>
      <c r="O4225" s="6"/>
      <c r="P4225" s="6"/>
      <c r="Q4225" s="6"/>
      <c r="R4225" s="6"/>
      <c r="S4225" s="6"/>
      <c r="T4225" s="6"/>
      <c r="U4225" s="6"/>
      <c r="V4225" s="6"/>
      <c r="W4225" s="6"/>
      <c r="X4225" s="6"/>
      <c r="Y4225" s="6"/>
      <c r="Z4225" s="6"/>
      <c r="AA4225" s="6"/>
      <c r="AB4225" s="6"/>
      <c r="AC4225" s="6"/>
      <c r="AD4225" s="6"/>
      <c r="AE4225" s="6"/>
      <c r="AF4225" s="6"/>
      <c r="AG4225" s="6"/>
      <c r="AH4225" s="6"/>
      <c r="AI4225" s="6"/>
      <c r="AJ4225" s="6"/>
      <c r="AK4225" s="6"/>
      <c r="AL4225" s="6"/>
      <c r="AM4225" s="6"/>
    </row>
    <row r="4226">
      <c r="A4226" s="6"/>
      <c r="B4226" s="6"/>
      <c r="C4226" s="6"/>
      <c r="D4226" s="6"/>
      <c r="E4226" s="6"/>
      <c r="F4226" s="6"/>
      <c r="G4226" s="6"/>
      <c r="H4226" s="6"/>
      <c r="I4226" s="6"/>
      <c r="J4226" s="6"/>
      <c r="K4226" s="6"/>
      <c r="L4226" s="6"/>
      <c r="M4226" s="6"/>
      <c r="N4226" s="6"/>
      <c r="O4226" s="6"/>
      <c r="P4226" s="6"/>
      <c r="Q4226" s="6"/>
      <c r="R4226" s="6"/>
      <c r="S4226" s="6"/>
      <c r="T4226" s="6"/>
      <c r="U4226" s="6"/>
      <c r="V4226" s="6"/>
      <c r="W4226" s="6"/>
      <c r="X4226" s="6"/>
      <c r="Y4226" s="6"/>
      <c r="Z4226" s="6"/>
      <c r="AA4226" s="6"/>
      <c r="AB4226" s="6"/>
      <c r="AC4226" s="6"/>
      <c r="AD4226" s="6"/>
      <c r="AE4226" s="6"/>
      <c r="AF4226" s="6"/>
      <c r="AG4226" s="6"/>
      <c r="AH4226" s="6"/>
      <c r="AI4226" s="6"/>
      <c r="AJ4226" s="6"/>
      <c r="AK4226" s="6"/>
      <c r="AL4226" s="6"/>
      <c r="AM4226" s="6"/>
    </row>
    <row r="4227">
      <c r="A4227" s="6"/>
      <c r="B4227" s="6"/>
      <c r="C4227" s="6"/>
      <c r="D4227" s="6"/>
      <c r="E4227" s="6"/>
      <c r="F4227" s="6"/>
      <c r="G4227" s="6"/>
      <c r="H4227" s="6"/>
      <c r="I4227" s="6"/>
      <c r="J4227" s="6"/>
      <c r="K4227" s="6"/>
      <c r="L4227" s="6"/>
      <c r="M4227" s="6"/>
      <c r="N4227" s="6"/>
      <c r="O4227" s="6"/>
      <c r="P4227" s="6"/>
      <c r="Q4227" s="6"/>
      <c r="R4227" s="6"/>
      <c r="S4227" s="6"/>
      <c r="T4227" s="6"/>
      <c r="U4227" s="6"/>
      <c r="V4227" s="6"/>
      <c r="W4227" s="6"/>
      <c r="X4227" s="6"/>
      <c r="Y4227" s="6"/>
      <c r="Z4227" s="6"/>
      <c r="AA4227" s="6"/>
      <c r="AB4227" s="6"/>
      <c r="AC4227" s="6"/>
      <c r="AD4227" s="6"/>
      <c r="AE4227" s="6"/>
      <c r="AF4227" s="6"/>
      <c r="AG4227" s="6"/>
      <c r="AH4227" s="6"/>
      <c r="AI4227" s="6"/>
      <c r="AJ4227" s="6"/>
      <c r="AK4227" s="6"/>
      <c r="AL4227" s="6"/>
      <c r="AM4227" s="6"/>
    </row>
    <row r="4228">
      <c r="A4228" s="6"/>
      <c r="B4228" s="6"/>
      <c r="C4228" s="6"/>
      <c r="D4228" s="6"/>
      <c r="E4228" s="6"/>
      <c r="F4228" s="6"/>
      <c r="G4228" s="6"/>
      <c r="H4228" s="6"/>
      <c r="I4228" s="6"/>
      <c r="J4228" s="6"/>
      <c r="K4228" s="6"/>
      <c r="L4228" s="6"/>
      <c r="M4228" s="6"/>
      <c r="N4228" s="6"/>
      <c r="O4228" s="6"/>
      <c r="P4228" s="6"/>
      <c r="Q4228" s="6"/>
      <c r="R4228" s="6"/>
      <c r="S4228" s="6"/>
      <c r="T4228" s="6"/>
      <c r="U4228" s="6"/>
      <c r="V4228" s="6"/>
      <c r="W4228" s="6"/>
      <c r="X4228" s="6"/>
      <c r="Y4228" s="6"/>
      <c r="Z4228" s="6"/>
      <c r="AA4228" s="6"/>
      <c r="AB4228" s="6"/>
      <c r="AC4228" s="6"/>
      <c r="AD4228" s="6"/>
      <c r="AE4228" s="6"/>
      <c r="AF4228" s="6"/>
      <c r="AG4228" s="6"/>
      <c r="AH4228" s="6"/>
      <c r="AI4228" s="6"/>
      <c r="AJ4228" s="6"/>
      <c r="AK4228" s="6"/>
      <c r="AL4228" s="6"/>
      <c r="AM4228" s="6"/>
    </row>
    <row r="4229">
      <c r="A4229" s="6"/>
      <c r="B4229" s="6"/>
      <c r="C4229" s="6"/>
      <c r="D4229" s="6"/>
      <c r="E4229" s="6"/>
      <c r="F4229" s="6"/>
      <c r="G4229" s="6"/>
      <c r="H4229" s="6"/>
      <c r="I4229" s="6"/>
      <c r="J4229" s="6"/>
      <c r="K4229" s="6"/>
      <c r="L4229" s="6"/>
      <c r="M4229" s="6"/>
      <c r="N4229" s="6"/>
      <c r="O4229" s="6"/>
      <c r="P4229" s="6"/>
      <c r="Q4229" s="6"/>
      <c r="R4229" s="6"/>
      <c r="S4229" s="6"/>
      <c r="T4229" s="6"/>
      <c r="U4229" s="6"/>
      <c r="V4229" s="6"/>
      <c r="W4229" s="6"/>
      <c r="X4229" s="6"/>
      <c r="Y4229" s="6"/>
      <c r="Z4229" s="6"/>
      <c r="AA4229" s="6"/>
      <c r="AB4229" s="6"/>
      <c r="AC4229" s="6"/>
      <c r="AD4229" s="6"/>
      <c r="AE4229" s="6"/>
      <c r="AF4229" s="6"/>
      <c r="AG4229" s="6"/>
      <c r="AH4229" s="6"/>
      <c r="AI4229" s="6"/>
      <c r="AJ4229" s="6"/>
      <c r="AK4229" s="6"/>
      <c r="AL4229" s="6"/>
      <c r="AM4229" s="6"/>
    </row>
    <row r="4230">
      <c r="A4230" s="6"/>
      <c r="B4230" s="6"/>
      <c r="C4230" s="6"/>
      <c r="D4230" s="6"/>
      <c r="E4230" s="6"/>
      <c r="F4230" s="6"/>
      <c r="G4230" s="6"/>
      <c r="H4230" s="6"/>
      <c r="I4230" s="6"/>
      <c r="J4230" s="6"/>
      <c r="K4230" s="6"/>
      <c r="L4230" s="6"/>
      <c r="M4230" s="6"/>
      <c r="N4230" s="6"/>
      <c r="O4230" s="6"/>
      <c r="P4230" s="6"/>
      <c r="Q4230" s="6"/>
      <c r="R4230" s="6"/>
      <c r="S4230" s="6"/>
      <c r="T4230" s="6"/>
      <c r="U4230" s="6"/>
      <c r="V4230" s="6"/>
      <c r="W4230" s="6"/>
      <c r="X4230" s="6"/>
      <c r="Y4230" s="6"/>
      <c r="Z4230" s="6"/>
      <c r="AA4230" s="6"/>
      <c r="AB4230" s="6"/>
      <c r="AC4230" s="6"/>
      <c r="AD4230" s="6"/>
      <c r="AE4230" s="6"/>
      <c r="AF4230" s="6"/>
      <c r="AG4230" s="6"/>
      <c r="AH4230" s="6"/>
      <c r="AI4230" s="6"/>
      <c r="AJ4230" s="6"/>
      <c r="AK4230" s="6"/>
      <c r="AL4230" s="6"/>
      <c r="AM4230" s="6"/>
    </row>
    <row r="4231">
      <c r="A4231" s="6"/>
      <c r="B4231" s="6"/>
      <c r="C4231" s="6"/>
      <c r="D4231" s="6"/>
      <c r="E4231" s="6"/>
      <c r="F4231" s="6"/>
      <c r="G4231" s="6"/>
      <c r="H4231" s="6"/>
      <c r="I4231" s="6"/>
      <c r="J4231" s="6"/>
      <c r="K4231" s="6"/>
      <c r="L4231" s="6"/>
      <c r="M4231" s="6"/>
      <c r="N4231" s="6"/>
      <c r="O4231" s="6"/>
      <c r="P4231" s="6"/>
      <c r="Q4231" s="6"/>
      <c r="R4231" s="6"/>
      <c r="S4231" s="6"/>
      <c r="T4231" s="6"/>
      <c r="U4231" s="6"/>
      <c r="V4231" s="6"/>
      <c r="W4231" s="6"/>
      <c r="X4231" s="6"/>
      <c r="Y4231" s="6"/>
      <c r="Z4231" s="6"/>
      <c r="AA4231" s="6"/>
      <c r="AB4231" s="6"/>
      <c r="AC4231" s="6"/>
      <c r="AD4231" s="6"/>
      <c r="AE4231" s="6"/>
      <c r="AF4231" s="6"/>
      <c r="AG4231" s="6"/>
      <c r="AH4231" s="6"/>
      <c r="AI4231" s="6"/>
      <c r="AJ4231" s="6"/>
      <c r="AK4231" s="6"/>
      <c r="AL4231" s="6"/>
      <c r="AM4231" s="6"/>
    </row>
    <row r="4232">
      <c r="A4232" s="6"/>
      <c r="B4232" s="6"/>
      <c r="C4232" s="6"/>
      <c r="D4232" s="6"/>
      <c r="E4232" s="6"/>
      <c r="F4232" s="6"/>
      <c r="G4232" s="6"/>
      <c r="H4232" s="6"/>
      <c r="I4232" s="6"/>
      <c r="J4232" s="6"/>
      <c r="K4232" s="6"/>
      <c r="L4232" s="6"/>
      <c r="M4232" s="6"/>
      <c r="N4232" s="6"/>
      <c r="O4232" s="6"/>
      <c r="P4232" s="6"/>
      <c r="Q4232" s="6"/>
      <c r="R4232" s="6"/>
      <c r="S4232" s="6"/>
      <c r="T4232" s="6"/>
      <c r="U4232" s="6"/>
      <c r="V4232" s="6"/>
      <c r="W4232" s="6"/>
      <c r="X4232" s="6"/>
      <c r="Y4232" s="6"/>
      <c r="Z4232" s="6"/>
      <c r="AA4232" s="6"/>
      <c r="AB4232" s="6"/>
      <c r="AC4232" s="6"/>
      <c r="AD4232" s="6"/>
      <c r="AE4232" s="6"/>
      <c r="AF4232" s="6"/>
      <c r="AG4232" s="6"/>
      <c r="AH4232" s="6"/>
      <c r="AI4232" s="6"/>
      <c r="AJ4232" s="6"/>
      <c r="AK4232" s="6"/>
      <c r="AL4232" s="6"/>
      <c r="AM4232" s="6"/>
    </row>
    <row r="4233">
      <c r="A4233" s="6"/>
      <c r="B4233" s="6"/>
      <c r="C4233" s="6"/>
      <c r="D4233" s="6"/>
      <c r="E4233" s="6"/>
      <c r="F4233" s="6"/>
      <c r="G4233" s="6"/>
      <c r="H4233" s="6"/>
      <c r="I4233" s="6"/>
      <c r="J4233" s="6"/>
      <c r="K4233" s="6"/>
      <c r="L4233" s="6"/>
      <c r="M4233" s="6"/>
      <c r="N4233" s="6"/>
      <c r="O4233" s="6"/>
      <c r="P4233" s="6"/>
      <c r="Q4233" s="6"/>
      <c r="R4233" s="6"/>
      <c r="S4233" s="6"/>
      <c r="T4233" s="6"/>
      <c r="U4233" s="6"/>
      <c r="V4233" s="6"/>
      <c r="W4233" s="6"/>
      <c r="X4233" s="6"/>
      <c r="Y4233" s="6"/>
      <c r="Z4233" s="6"/>
      <c r="AA4233" s="6"/>
      <c r="AB4233" s="6"/>
      <c r="AC4233" s="6"/>
      <c r="AD4233" s="6"/>
      <c r="AE4233" s="6"/>
      <c r="AF4233" s="6"/>
      <c r="AG4233" s="6"/>
      <c r="AH4233" s="6"/>
      <c r="AI4233" s="6"/>
      <c r="AJ4233" s="6"/>
      <c r="AK4233" s="6"/>
      <c r="AL4233" s="6"/>
      <c r="AM4233" s="6"/>
    </row>
    <row r="4234">
      <c r="A4234" s="6"/>
      <c r="B4234" s="6"/>
      <c r="C4234" s="6"/>
      <c r="D4234" s="6"/>
      <c r="E4234" s="6"/>
      <c r="F4234" s="6"/>
      <c r="G4234" s="6"/>
      <c r="H4234" s="6"/>
      <c r="I4234" s="6"/>
      <c r="J4234" s="6"/>
      <c r="K4234" s="6"/>
      <c r="L4234" s="6"/>
      <c r="M4234" s="6"/>
      <c r="N4234" s="6"/>
      <c r="O4234" s="6"/>
      <c r="P4234" s="6"/>
      <c r="Q4234" s="6"/>
      <c r="R4234" s="6"/>
      <c r="S4234" s="6"/>
      <c r="T4234" s="6"/>
      <c r="U4234" s="6"/>
      <c r="V4234" s="6"/>
      <c r="W4234" s="6"/>
      <c r="X4234" s="6"/>
      <c r="Y4234" s="6"/>
      <c r="Z4234" s="6"/>
      <c r="AA4234" s="6"/>
      <c r="AB4234" s="6"/>
      <c r="AC4234" s="6"/>
      <c r="AD4234" s="6"/>
      <c r="AE4234" s="6"/>
      <c r="AF4234" s="6"/>
      <c r="AG4234" s="6"/>
      <c r="AH4234" s="6"/>
      <c r="AI4234" s="6"/>
      <c r="AJ4234" s="6"/>
      <c r="AK4234" s="6"/>
      <c r="AL4234" s="6"/>
      <c r="AM4234" s="6"/>
    </row>
    <row r="4235">
      <c r="A4235" s="6"/>
      <c r="B4235" s="6"/>
      <c r="C4235" s="6"/>
      <c r="D4235" s="6"/>
      <c r="E4235" s="6"/>
      <c r="F4235" s="6"/>
      <c r="G4235" s="6"/>
      <c r="H4235" s="6"/>
      <c r="I4235" s="6"/>
      <c r="J4235" s="6"/>
      <c r="K4235" s="6"/>
      <c r="L4235" s="6"/>
      <c r="M4235" s="6"/>
      <c r="N4235" s="6"/>
      <c r="O4235" s="6"/>
      <c r="P4235" s="6"/>
      <c r="Q4235" s="6"/>
      <c r="R4235" s="6"/>
      <c r="S4235" s="6"/>
      <c r="T4235" s="6"/>
      <c r="U4235" s="6"/>
      <c r="V4235" s="6"/>
      <c r="W4235" s="6"/>
      <c r="X4235" s="6"/>
      <c r="Y4235" s="6"/>
      <c r="Z4235" s="6"/>
      <c r="AA4235" s="6"/>
      <c r="AB4235" s="6"/>
      <c r="AC4235" s="6"/>
      <c r="AD4235" s="6"/>
      <c r="AE4235" s="6"/>
      <c r="AF4235" s="6"/>
      <c r="AG4235" s="6"/>
      <c r="AH4235" s="6"/>
      <c r="AI4235" s="6"/>
      <c r="AJ4235" s="6"/>
      <c r="AK4235" s="6"/>
      <c r="AL4235" s="6"/>
      <c r="AM4235" s="6"/>
    </row>
    <row r="4236">
      <c r="A4236" s="6"/>
      <c r="B4236" s="6"/>
      <c r="C4236" s="6"/>
      <c r="D4236" s="6"/>
      <c r="E4236" s="6"/>
      <c r="F4236" s="6"/>
      <c r="G4236" s="6"/>
      <c r="H4236" s="6"/>
      <c r="I4236" s="6"/>
      <c r="J4236" s="6"/>
      <c r="K4236" s="6"/>
      <c r="L4236" s="6"/>
      <c r="M4236" s="6"/>
      <c r="N4236" s="6"/>
      <c r="O4236" s="6"/>
      <c r="P4236" s="6"/>
      <c r="Q4236" s="6"/>
      <c r="R4236" s="6"/>
      <c r="S4236" s="6"/>
      <c r="T4236" s="6"/>
      <c r="U4236" s="6"/>
      <c r="V4236" s="6"/>
      <c r="W4236" s="6"/>
      <c r="X4236" s="6"/>
      <c r="Y4236" s="6"/>
      <c r="Z4236" s="6"/>
      <c r="AA4236" s="6"/>
      <c r="AB4236" s="6"/>
      <c r="AC4236" s="6"/>
      <c r="AD4236" s="6"/>
      <c r="AE4236" s="6"/>
      <c r="AF4236" s="6"/>
      <c r="AG4236" s="6"/>
      <c r="AH4236" s="6"/>
      <c r="AI4236" s="6"/>
      <c r="AJ4236" s="6"/>
      <c r="AK4236" s="6"/>
      <c r="AL4236" s="6"/>
      <c r="AM4236" s="6"/>
    </row>
    <row r="4237">
      <c r="A4237" s="6"/>
      <c r="B4237" s="6"/>
      <c r="C4237" s="6"/>
      <c r="D4237" s="6"/>
      <c r="E4237" s="6"/>
      <c r="F4237" s="6"/>
      <c r="G4237" s="6"/>
      <c r="H4237" s="6"/>
      <c r="I4237" s="6"/>
      <c r="J4237" s="6"/>
      <c r="K4237" s="6"/>
      <c r="L4237" s="6"/>
      <c r="M4237" s="6"/>
      <c r="N4237" s="6"/>
      <c r="O4237" s="6"/>
      <c r="P4237" s="6"/>
      <c r="Q4237" s="6"/>
      <c r="R4237" s="6"/>
      <c r="S4237" s="6"/>
      <c r="T4237" s="6"/>
      <c r="U4237" s="6"/>
      <c r="V4237" s="6"/>
      <c r="W4237" s="6"/>
      <c r="X4237" s="6"/>
      <c r="Y4237" s="6"/>
      <c r="Z4237" s="6"/>
      <c r="AA4237" s="6"/>
      <c r="AB4237" s="6"/>
      <c r="AC4237" s="6"/>
      <c r="AD4237" s="6"/>
      <c r="AE4237" s="6"/>
      <c r="AF4237" s="6"/>
      <c r="AG4237" s="6"/>
      <c r="AH4237" s="6"/>
      <c r="AI4237" s="6"/>
      <c r="AJ4237" s="6"/>
      <c r="AK4237" s="6"/>
      <c r="AL4237" s="6"/>
      <c r="AM4237" s="6"/>
    </row>
    <row r="4238">
      <c r="A4238" s="6"/>
      <c r="B4238" s="6"/>
      <c r="C4238" s="6"/>
      <c r="D4238" s="6"/>
      <c r="E4238" s="6"/>
      <c r="F4238" s="6"/>
      <c r="G4238" s="6"/>
      <c r="H4238" s="6"/>
      <c r="I4238" s="6"/>
      <c r="J4238" s="6"/>
      <c r="K4238" s="6"/>
      <c r="L4238" s="6"/>
      <c r="M4238" s="6"/>
      <c r="N4238" s="6"/>
      <c r="O4238" s="6"/>
      <c r="P4238" s="6"/>
      <c r="Q4238" s="6"/>
      <c r="R4238" s="6"/>
      <c r="S4238" s="6"/>
      <c r="T4238" s="6"/>
      <c r="U4238" s="6"/>
      <c r="V4238" s="6"/>
      <c r="W4238" s="6"/>
      <c r="X4238" s="6"/>
      <c r="Y4238" s="6"/>
      <c r="Z4238" s="6"/>
      <c r="AA4238" s="6"/>
      <c r="AB4238" s="6"/>
      <c r="AC4238" s="6"/>
      <c r="AD4238" s="6"/>
      <c r="AE4238" s="6"/>
      <c r="AF4238" s="6"/>
      <c r="AG4238" s="6"/>
      <c r="AH4238" s="6"/>
      <c r="AI4238" s="6"/>
      <c r="AJ4238" s="6"/>
      <c r="AK4238" s="6"/>
      <c r="AL4238" s="6"/>
      <c r="AM4238" s="6"/>
    </row>
    <row r="4239">
      <c r="A4239" s="6"/>
      <c r="B4239" s="6"/>
      <c r="C4239" s="6"/>
      <c r="D4239" s="6"/>
      <c r="E4239" s="6"/>
      <c r="F4239" s="6"/>
      <c r="G4239" s="6"/>
      <c r="H4239" s="6"/>
      <c r="I4239" s="6"/>
      <c r="J4239" s="6"/>
      <c r="K4239" s="6"/>
      <c r="L4239" s="6"/>
      <c r="M4239" s="6"/>
      <c r="N4239" s="6"/>
      <c r="O4239" s="6"/>
      <c r="P4239" s="6"/>
      <c r="Q4239" s="6"/>
      <c r="R4239" s="6"/>
      <c r="S4239" s="6"/>
      <c r="T4239" s="6"/>
      <c r="U4239" s="6"/>
      <c r="V4239" s="6"/>
      <c r="W4239" s="6"/>
      <c r="X4239" s="6"/>
      <c r="Y4239" s="6"/>
      <c r="Z4239" s="6"/>
      <c r="AA4239" s="6"/>
      <c r="AB4239" s="6"/>
      <c r="AC4239" s="6"/>
      <c r="AD4239" s="6"/>
      <c r="AE4239" s="6"/>
      <c r="AF4239" s="6"/>
      <c r="AG4239" s="6"/>
      <c r="AH4239" s="6"/>
      <c r="AI4239" s="6"/>
      <c r="AJ4239" s="6"/>
      <c r="AK4239" s="6"/>
      <c r="AL4239" s="6"/>
      <c r="AM4239" s="6"/>
    </row>
    <row r="4240">
      <c r="A4240" s="6"/>
      <c r="B4240" s="6"/>
      <c r="C4240" s="6"/>
      <c r="D4240" s="6"/>
      <c r="E4240" s="6"/>
      <c r="F4240" s="6"/>
      <c r="G4240" s="6"/>
      <c r="H4240" s="6"/>
      <c r="I4240" s="6"/>
      <c r="J4240" s="6"/>
      <c r="K4240" s="6"/>
      <c r="L4240" s="6"/>
      <c r="M4240" s="6"/>
      <c r="N4240" s="6"/>
      <c r="O4240" s="6"/>
      <c r="P4240" s="6"/>
      <c r="Q4240" s="6"/>
      <c r="R4240" s="6"/>
      <c r="S4240" s="6"/>
      <c r="T4240" s="6"/>
      <c r="U4240" s="6"/>
      <c r="V4240" s="6"/>
      <c r="W4240" s="6"/>
      <c r="X4240" s="6"/>
      <c r="Y4240" s="6"/>
      <c r="Z4240" s="6"/>
      <c r="AA4240" s="6"/>
      <c r="AB4240" s="6"/>
      <c r="AC4240" s="6"/>
      <c r="AD4240" s="6"/>
      <c r="AE4240" s="6"/>
      <c r="AF4240" s="6"/>
      <c r="AG4240" s="6"/>
      <c r="AH4240" s="6"/>
      <c r="AI4240" s="6"/>
      <c r="AJ4240" s="6"/>
      <c r="AK4240" s="6"/>
      <c r="AL4240" s="6"/>
      <c r="AM4240" s="6"/>
    </row>
    <row r="4241">
      <c r="A4241" s="6"/>
      <c r="B4241" s="6"/>
      <c r="C4241" s="6"/>
      <c r="D4241" s="6"/>
      <c r="E4241" s="6"/>
      <c r="F4241" s="6"/>
      <c r="G4241" s="6"/>
      <c r="H4241" s="6"/>
      <c r="I4241" s="6"/>
      <c r="J4241" s="6"/>
      <c r="K4241" s="6"/>
      <c r="L4241" s="6"/>
      <c r="M4241" s="6"/>
      <c r="N4241" s="6"/>
      <c r="O4241" s="6"/>
      <c r="P4241" s="6"/>
      <c r="Q4241" s="6"/>
      <c r="R4241" s="6"/>
      <c r="S4241" s="6"/>
      <c r="T4241" s="6"/>
      <c r="U4241" s="6"/>
      <c r="V4241" s="6"/>
      <c r="W4241" s="6"/>
      <c r="X4241" s="6"/>
      <c r="Y4241" s="6"/>
      <c r="Z4241" s="6"/>
      <c r="AA4241" s="6"/>
      <c r="AB4241" s="6"/>
      <c r="AC4241" s="6"/>
      <c r="AD4241" s="6"/>
      <c r="AE4241" s="6"/>
      <c r="AF4241" s="6"/>
      <c r="AG4241" s="6"/>
      <c r="AH4241" s="6"/>
      <c r="AI4241" s="6"/>
      <c r="AJ4241" s="6"/>
      <c r="AK4241" s="6"/>
      <c r="AL4241" s="6"/>
      <c r="AM4241" s="6"/>
    </row>
    <row r="4242">
      <c r="A4242" s="6"/>
      <c r="B4242" s="6"/>
      <c r="C4242" s="6"/>
      <c r="D4242" s="6"/>
      <c r="E4242" s="6"/>
      <c r="F4242" s="6"/>
      <c r="G4242" s="6"/>
      <c r="H4242" s="6"/>
      <c r="I4242" s="6"/>
      <c r="J4242" s="6"/>
      <c r="K4242" s="6"/>
      <c r="L4242" s="6"/>
      <c r="M4242" s="6"/>
      <c r="N4242" s="6"/>
      <c r="O4242" s="6"/>
      <c r="P4242" s="6"/>
      <c r="Q4242" s="6"/>
      <c r="R4242" s="6"/>
      <c r="S4242" s="6"/>
      <c r="T4242" s="6"/>
      <c r="U4242" s="6"/>
      <c r="V4242" s="6"/>
      <c r="W4242" s="6"/>
      <c r="X4242" s="6"/>
      <c r="Y4242" s="6"/>
      <c r="Z4242" s="6"/>
      <c r="AA4242" s="6"/>
      <c r="AB4242" s="6"/>
      <c r="AC4242" s="6"/>
      <c r="AD4242" s="6"/>
      <c r="AE4242" s="6"/>
      <c r="AF4242" s="6"/>
      <c r="AG4242" s="6"/>
      <c r="AH4242" s="6"/>
      <c r="AI4242" s="6"/>
      <c r="AJ4242" s="6"/>
      <c r="AK4242" s="6"/>
      <c r="AL4242" s="6"/>
      <c r="AM4242" s="6"/>
    </row>
    <row r="4243">
      <c r="A4243" s="6"/>
      <c r="B4243" s="6"/>
      <c r="C4243" s="6"/>
      <c r="D4243" s="6"/>
      <c r="E4243" s="6"/>
      <c r="F4243" s="6"/>
      <c r="G4243" s="6"/>
      <c r="H4243" s="6"/>
      <c r="I4243" s="6"/>
      <c r="J4243" s="6"/>
      <c r="K4243" s="6"/>
      <c r="L4243" s="6"/>
      <c r="M4243" s="6"/>
      <c r="N4243" s="6"/>
      <c r="O4243" s="6"/>
      <c r="P4243" s="6"/>
      <c r="Q4243" s="6"/>
      <c r="R4243" s="6"/>
      <c r="S4243" s="6"/>
      <c r="T4243" s="6"/>
      <c r="U4243" s="6"/>
      <c r="V4243" s="6"/>
      <c r="W4243" s="6"/>
      <c r="X4243" s="6"/>
      <c r="Y4243" s="6"/>
      <c r="Z4243" s="6"/>
      <c r="AA4243" s="6"/>
      <c r="AB4243" s="6"/>
      <c r="AC4243" s="6"/>
      <c r="AD4243" s="6"/>
      <c r="AE4243" s="6"/>
      <c r="AF4243" s="6"/>
      <c r="AG4243" s="6"/>
      <c r="AH4243" s="6"/>
      <c r="AI4243" s="6"/>
      <c r="AJ4243" s="6"/>
      <c r="AK4243" s="6"/>
      <c r="AL4243" s="6"/>
      <c r="AM4243" s="6"/>
    </row>
    <row r="4244">
      <c r="A4244" s="6"/>
      <c r="B4244" s="6"/>
      <c r="C4244" s="6"/>
      <c r="D4244" s="6"/>
      <c r="E4244" s="6"/>
      <c r="F4244" s="6"/>
      <c r="G4244" s="6"/>
      <c r="H4244" s="6"/>
      <c r="I4244" s="6"/>
      <c r="J4244" s="6"/>
      <c r="K4244" s="6"/>
      <c r="L4244" s="6"/>
      <c r="M4244" s="6"/>
      <c r="N4244" s="6"/>
      <c r="O4244" s="6"/>
      <c r="P4244" s="6"/>
      <c r="Q4244" s="6"/>
      <c r="R4244" s="6"/>
      <c r="S4244" s="6"/>
      <c r="T4244" s="6"/>
      <c r="U4244" s="6"/>
      <c r="V4244" s="6"/>
      <c r="W4244" s="6"/>
      <c r="X4244" s="6"/>
      <c r="Y4244" s="6"/>
      <c r="Z4244" s="6"/>
      <c r="AA4244" s="6"/>
      <c r="AB4244" s="6"/>
      <c r="AC4244" s="6"/>
      <c r="AD4244" s="6"/>
      <c r="AE4244" s="6"/>
      <c r="AF4244" s="6"/>
      <c r="AG4244" s="6"/>
      <c r="AH4244" s="6"/>
      <c r="AI4244" s="6"/>
      <c r="AJ4244" s="6"/>
      <c r="AK4244" s="6"/>
      <c r="AL4244" s="6"/>
      <c r="AM4244" s="6"/>
    </row>
    <row r="4245">
      <c r="A4245" s="6"/>
      <c r="B4245" s="6"/>
      <c r="C4245" s="6"/>
      <c r="D4245" s="6"/>
      <c r="E4245" s="6"/>
      <c r="F4245" s="6"/>
      <c r="G4245" s="6"/>
      <c r="H4245" s="6"/>
      <c r="I4245" s="6"/>
      <c r="J4245" s="6"/>
      <c r="K4245" s="6"/>
      <c r="L4245" s="6"/>
      <c r="M4245" s="6"/>
      <c r="N4245" s="6"/>
      <c r="O4245" s="6"/>
      <c r="P4245" s="6"/>
      <c r="Q4245" s="6"/>
      <c r="R4245" s="6"/>
      <c r="S4245" s="6"/>
      <c r="T4245" s="6"/>
      <c r="U4245" s="6"/>
      <c r="V4245" s="6"/>
      <c r="W4245" s="6"/>
      <c r="X4245" s="6"/>
      <c r="Y4245" s="6"/>
      <c r="Z4245" s="6"/>
      <c r="AA4245" s="6"/>
      <c r="AB4245" s="6"/>
      <c r="AC4245" s="6"/>
      <c r="AD4245" s="6"/>
      <c r="AE4245" s="6"/>
      <c r="AF4245" s="6"/>
      <c r="AG4245" s="6"/>
      <c r="AH4245" s="6"/>
      <c r="AI4245" s="6"/>
      <c r="AJ4245" s="6"/>
      <c r="AK4245" s="6"/>
      <c r="AL4245" s="6"/>
      <c r="AM4245" s="6"/>
    </row>
    <row r="4246">
      <c r="A4246" s="6"/>
      <c r="B4246" s="6"/>
      <c r="C4246" s="6"/>
      <c r="D4246" s="6"/>
      <c r="E4246" s="6"/>
      <c r="F4246" s="6"/>
      <c r="G4246" s="6"/>
      <c r="H4246" s="6"/>
      <c r="I4246" s="6"/>
      <c r="J4246" s="6"/>
      <c r="K4246" s="6"/>
      <c r="L4246" s="6"/>
      <c r="M4246" s="6"/>
      <c r="N4246" s="6"/>
      <c r="O4246" s="6"/>
      <c r="P4246" s="6"/>
      <c r="Q4246" s="6"/>
      <c r="R4246" s="6"/>
      <c r="S4246" s="6"/>
      <c r="T4246" s="6"/>
      <c r="U4246" s="6"/>
      <c r="V4246" s="6"/>
      <c r="W4246" s="6"/>
      <c r="X4246" s="6"/>
      <c r="Y4246" s="6"/>
      <c r="Z4246" s="6"/>
      <c r="AA4246" s="6"/>
      <c r="AB4246" s="6"/>
      <c r="AC4246" s="6"/>
      <c r="AD4246" s="6"/>
      <c r="AE4246" s="6"/>
      <c r="AF4246" s="6"/>
      <c r="AG4246" s="6"/>
      <c r="AH4246" s="6"/>
      <c r="AI4246" s="6"/>
      <c r="AJ4246" s="6"/>
      <c r="AK4246" s="6"/>
      <c r="AL4246" s="6"/>
      <c r="AM4246" s="6"/>
    </row>
    <row r="4247">
      <c r="A4247" s="6"/>
      <c r="B4247" s="6"/>
      <c r="C4247" s="6"/>
      <c r="D4247" s="6"/>
      <c r="E4247" s="6"/>
      <c r="F4247" s="6"/>
      <c r="G4247" s="6"/>
      <c r="H4247" s="6"/>
      <c r="I4247" s="6"/>
      <c r="J4247" s="6"/>
      <c r="K4247" s="6"/>
      <c r="L4247" s="6"/>
      <c r="M4247" s="6"/>
      <c r="N4247" s="6"/>
      <c r="O4247" s="6"/>
      <c r="P4247" s="6"/>
      <c r="Q4247" s="6"/>
      <c r="R4247" s="6"/>
      <c r="S4247" s="6"/>
      <c r="T4247" s="6"/>
      <c r="U4247" s="6"/>
      <c r="V4247" s="6"/>
      <c r="W4247" s="6"/>
      <c r="X4247" s="6"/>
      <c r="Y4247" s="6"/>
      <c r="Z4247" s="6"/>
      <c r="AA4247" s="6"/>
      <c r="AB4247" s="6"/>
      <c r="AC4247" s="6"/>
      <c r="AD4247" s="6"/>
      <c r="AE4247" s="6"/>
      <c r="AF4247" s="6"/>
      <c r="AG4247" s="6"/>
      <c r="AH4247" s="6"/>
      <c r="AI4247" s="6"/>
      <c r="AJ4247" s="6"/>
      <c r="AK4247" s="6"/>
      <c r="AL4247" s="6"/>
      <c r="AM4247" s="6"/>
    </row>
    <row r="4248">
      <c r="A4248" s="6"/>
      <c r="B4248" s="6"/>
      <c r="C4248" s="6"/>
      <c r="D4248" s="6"/>
      <c r="E4248" s="6"/>
      <c r="F4248" s="6"/>
      <c r="G4248" s="6"/>
      <c r="H4248" s="6"/>
      <c r="I4248" s="6"/>
      <c r="J4248" s="6"/>
      <c r="K4248" s="6"/>
      <c r="L4248" s="6"/>
      <c r="M4248" s="6"/>
      <c r="N4248" s="6"/>
      <c r="O4248" s="6"/>
      <c r="P4248" s="6"/>
      <c r="Q4248" s="6"/>
      <c r="R4248" s="6"/>
      <c r="S4248" s="6"/>
      <c r="T4248" s="6"/>
      <c r="U4248" s="6"/>
      <c r="V4248" s="6"/>
      <c r="W4248" s="6"/>
      <c r="X4248" s="6"/>
      <c r="Y4248" s="6"/>
      <c r="Z4248" s="6"/>
      <c r="AA4248" s="6"/>
      <c r="AB4248" s="6"/>
      <c r="AC4248" s="6"/>
      <c r="AD4248" s="6"/>
      <c r="AE4248" s="6"/>
      <c r="AF4248" s="6"/>
      <c r="AG4248" s="6"/>
      <c r="AH4248" s="6"/>
      <c r="AI4248" s="6"/>
      <c r="AJ4248" s="6"/>
      <c r="AK4248" s="6"/>
      <c r="AL4248" s="6"/>
      <c r="AM4248" s="6"/>
    </row>
    <row r="4249">
      <c r="A4249" s="6"/>
      <c r="B4249" s="6"/>
      <c r="C4249" s="6"/>
      <c r="D4249" s="6"/>
      <c r="E4249" s="6"/>
      <c r="F4249" s="6"/>
      <c r="G4249" s="6"/>
      <c r="H4249" s="6"/>
      <c r="I4249" s="6"/>
      <c r="J4249" s="6"/>
      <c r="K4249" s="6"/>
      <c r="L4249" s="6"/>
      <c r="M4249" s="6"/>
      <c r="N4249" s="6"/>
      <c r="O4249" s="6"/>
      <c r="P4249" s="6"/>
      <c r="Q4249" s="6"/>
      <c r="R4249" s="6"/>
      <c r="S4249" s="6"/>
      <c r="T4249" s="6"/>
      <c r="U4249" s="6"/>
      <c r="V4249" s="6"/>
      <c r="W4249" s="6"/>
      <c r="X4249" s="6"/>
      <c r="Y4249" s="6"/>
      <c r="Z4249" s="6"/>
      <c r="AA4249" s="6"/>
      <c r="AB4249" s="6"/>
      <c r="AC4249" s="6"/>
      <c r="AD4249" s="6"/>
      <c r="AE4249" s="6"/>
      <c r="AF4249" s="6"/>
      <c r="AG4249" s="6"/>
      <c r="AH4249" s="6"/>
      <c r="AI4249" s="6"/>
      <c r="AJ4249" s="6"/>
      <c r="AK4249" s="6"/>
      <c r="AL4249" s="6"/>
      <c r="AM4249" s="6"/>
    </row>
    <row r="4250">
      <c r="A4250" s="6"/>
      <c r="B4250" s="6"/>
      <c r="C4250" s="6"/>
      <c r="D4250" s="6"/>
      <c r="E4250" s="6"/>
      <c r="F4250" s="6"/>
      <c r="G4250" s="6"/>
      <c r="H4250" s="6"/>
      <c r="I4250" s="6"/>
      <c r="J4250" s="6"/>
      <c r="K4250" s="6"/>
      <c r="L4250" s="6"/>
      <c r="M4250" s="6"/>
      <c r="N4250" s="6"/>
      <c r="O4250" s="6"/>
      <c r="P4250" s="6"/>
      <c r="Q4250" s="6"/>
      <c r="R4250" s="6"/>
      <c r="S4250" s="6"/>
      <c r="T4250" s="6"/>
      <c r="U4250" s="6"/>
      <c r="V4250" s="6"/>
      <c r="W4250" s="6"/>
      <c r="X4250" s="6"/>
      <c r="Y4250" s="6"/>
      <c r="Z4250" s="6"/>
      <c r="AA4250" s="6"/>
      <c r="AB4250" s="6"/>
      <c r="AC4250" s="6"/>
      <c r="AD4250" s="6"/>
      <c r="AE4250" s="6"/>
      <c r="AF4250" s="6"/>
      <c r="AG4250" s="6"/>
      <c r="AH4250" s="6"/>
      <c r="AI4250" s="6"/>
      <c r="AJ4250" s="6"/>
      <c r="AK4250" s="6"/>
      <c r="AL4250" s="6"/>
      <c r="AM4250" s="6"/>
    </row>
    <row r="4251">
      <c r="A4251" s="6"/>
      <c r="B4251" s="6"/>
      <c r="C4251" s="6"/>
      <c r="D4251" s="6"/>
      <c r="E4251" s="6"/>
      <c r="F4251" s="6"/>
      <c r="G4251" s="6"/>
      <c r="H4251" s="6"/>
      <c r="I4251" s="6"/>
      <c r="J4251" s="6"/>
      <c r="K4251" s="6"/>
      <c r="L4251" s="6"/>
      <c r="M4251" s="6"/>
      <c r="N4251" s="6"/>
      <c r="O4251" s="6"/>
      <c r="P4251" s="6"/>
      <c r="Q4251" s="6"/>
      <c r="R4251" s="6"/>
      <c r="S4251" s="6"/>
      <c r="T4251" s="6"/>
      <c r="U4251" s="6"/>
      <c r="V4251" s="6"/>
      <c r="W4251" s="6"/>
      <c r="X4251" s="6"/>
      <c r="Y4251" s="6"/>
      <c r="Z4251" s="6"/>
      <c r="AA4251" s="6"/>
      <c r="AB4251" s="6"/>
      <c r="AC4251" s="6"/>
      <c r="AD4251" s="6"/>
      <c r="AE4251" s="6"/>
      <c r="AF4251" s="6"/>
      <c r="AG4251" s="6"/>
      <c r="AH4251" s="6"/>
      <c r="AI4251" s="6"/>
      <c r="AJ4251" s="6"/>
      <c r="AK4251" s="6"/>
      <c r="AL4251" s="6"/>
      <c r="AM4251" s="6"/>
    </row>
    <row r="4252">
      <c r="A4252" s="6"/>
      <c r="B4252" s="6"/>
      <c r="C4252" s="6"/>
      <c r="D4252" s="6"/>
      <c r="E4252" s="6"/>
      <c r="F4252" s="6"/>
      <c r="G4252" s="6"/>
      <c r="H4252" s="6"/>
      <c r="I4252" s="6"/>
      <c r="J4252" s="6"/>
      <c r="K4252" s="6"/>
      <c r="L4252" s="6"/>
      <c r="M4252" s="6"/>
      <c r="N4252" s="6"/>
      <c r="O4252" s="6"/>
      <c r="P4252" s="6"/>
      <c r="Q4252" s="6"/>
      <c r="R4252" s="6"/>
      <c r="S4252" s="6"/>
      <c r="T4252" s="6"/>
      <c r="U4252" s="6"/>
      <c r="V4252" s="6"/>
      <c r="W4252" s="6"/>
      <c r="X4252" s="6"/>
      <c r="Y4252" s="6"/>
      <c r="Z4252" s="6"/>
      <c r="AA4252" s="6"/>
      <c r="AB4252" s="6"/>
      <c r="AC4252" s="6"/>
      <c r="AD4252" s="6"/>
      <c r="AE4252" s="6"/>
      <c r="AF4252" s="6"/>
      <c r="AG4252" s="6"/>
      <c r="AH4252" s="6"/>
      <c r="AI4252" s="6"/>
      <c r="AJ4252" s="6"/>
      <c r="AK4252" s="6"/>
      <c r="AL4252" s="6"/>
      <c r="AM4252" s="6"/>
    </row>
    <row r="4253">
      <c r="A4253" s="6"/>
      <c r="B4253" s="6"/>
      <c r="C4253" s="6"/>
      <c r="D4253" s="6"/>
      <c r="E4253" s="6"/>
      <c r="F4253" s="6"/>
      <c r="G4253" s="6"/>
      <c r="H4253" s="6"/>
      <c r="I4253" s="6"/>
      <c r="J4253" s="6"/>
      <c r="K4253" s="6"/>
      <c r="L4253" s="6"/>
      <c r="M4253" s="6"/>
      <c r="N4253" s="6"/>
      <c r="O4253" s="6"/>
      <c r="P4253" s="6"/>
      <c r="Q4253" s="6"/>
      <c r="R4253" s="6"/>
      <c r="S4253" s="6"/>
      <c r="T4253" s="6"/>
      <c r="U4253" s="6"/>
      <c r="V4253" s="6"/>
      <c r="W4253" s="6"/>
      <c r="X4253" s="6"/>
      <c r="Y4253" s="6"/>
      <c r="Z4253" s="6"/>
      <c r="AA4253" s="6"/>
      <c r="AB4253" s="6"/>
      <c r="AC4253" s="6"/>
      <c r="AD4253" s="6"/>
      <c r="AE4253" s="6"/>
      <c r="AF4253" s="6"/>
      <c r="AG4253" s="6"/>
      <c r="AH4253" s="6"/>
      <c r="AI4253" s="6"/>
      <c r="AJ4253" s="6"/>
      <c r="AK4253" s="6"/>
      <c r="AL4253" s="6"/>
      <c r="AM4253" s="6"/>
    </row>
    <row r="4254">
      <c r="A4254" s="6"/>
      <c r="B4254" s="6"/>
      <c r="C4254" s="6"/>
      <c r="D4254" s="6"/>
      <c r="E4254" s="6"/>
      <c r="F4254" s="6"/>
      <c r="G4254" s="6"/>
      <c r="H4254" s="6"/>
      <c r="I4254" s="6"/>
      <c r="J4254" s="6"/>
      <c r="K4254" s="6"/>
      <c r="L4254" s="6"/>
      <c r="M4254" s="6"/>
      <c r="N4254" s="6"/>
      <c r="O4254" s="6"/>
      <c r="P4254" s="6"/>
      <c r="Q4254" s="6"/>
      <c r="R4254" s="6"/>
      <c r="S4254" s="6"/>
      <c r="T4254" s="6"/>
      <c r="U4254" s="6"/>
      <c r="V4254" s="6"/>
      <c r="W4254" s="6"/>
      <c r="X4254" s="6"/>
      <c r="Y4254" s="6"/>
      <c r="Z4254" s="6"/>
      <c r="AA4254" s="6"/>
      <c r="AB4254" s="6"/>
      <c r="AC4254" s="6"/>
      <c r="AD4254" s="6"/>
      <c r="AE4254" s="6"/>
      <c r="AF4254" s="6"/>
      <c r="AG4254" s="6"/>
      <c r="AH4254" s="6"/>
      <c r="AI4254" s="6"/>
      <c r="AJ4254" s="6"/>
      <c r="AK4254" s="6"/>
      <c r="AL4254" s="6"/>
      <c r="AM4254" s="6"/>
    </row>
    <row r="4255">
      <c r="A4255" s="6"/>
      <c r="B4255" s="6"/>
      <c r="C4255" s="6"/>
      <c r="D4255" s="6"/>
      <c r="E4255" s="6"/>
      <c r="F4255" s="6"/>
      <c r="G4255" s="6"/>
      <c r="H4255" s="6"/>
      <c r="I4255" s="6"/>
      <c r="J4255" s="6"/>
      <c r="K4255" s="6"/>
      <c r="L4255" s="6"/>
      <c r="M4255" s="6"/>
      <c r="N4255" s="6"/>
      <c r="O4255" s="6"/>
      <c r="P4255" s="6"/>
      <c r="Q4255" s="6"/>
      <c r="R4255" s="6"/>
      <c r="S4255" s="6"/>
      <c r="T4255" s="6"/>
      <c r="U4255" s="6"/>
      <c r="V4255" s="6"/>
      <c r="W4255" s="6"/>
      <c r="X4255" s="6"/>
      <c r="Y4255" s="6"/>
      <c r="Z4255" s="6"/>
      <c r="AA4255" s="6"/>
      <c r="AB4255" s="6"/>
      <c r="AC4255" s="6"/>
      <c r="AD4255" s="6"/>
      <c r="AE4255" s="6"/>
      <c r="AF4255" s="6"/>
      <c r="AG4255" s="6"/>
      <c r="AH4255" s="6"/>
      <c r="AI4255" s="6"/>
      <c r="AJ4255" s="6"/>
      <c r="AK4255" s="6"/>
      <c r="AL4255" s="6"/>
      <c r="AM4255" s="6"/>
    </row>
    <row r="4256">
      <c r="A4256" s="6"/>
      <c r="B4256" s="6"/>
      <c r="C4256" s="6"/>
      <c r="D4256" s="6"/>
      <c r="E4256" s="6"/>
      <c r="F4256" s="6"/>
      <c r="G4256" s="6"/>
      <c r="H4256" s="6"/>
      <c r="I4256" s="6"/>
      <c r="J4256" s="6"/>
      <c r="K4256" s="6"/>
      <c r="L4256" s="6"/>
      <c r="M4256" s="6"/>
      <c r="N4256" s="6"/>
      <c r="O4256" s="6"/>
      <c r="P4256" s="6"/>
      <c r="Q4256" s="6"/>
      <c r="R4256" s="6"/>
      <c r="S4256" s="6"/>
      <c r="T4256" s="6"/>
      <c r="U4256" s="6"/>
      <c r="V4256" s="6"/>
      <c r="W4256" s="6"/>
      <c r="X4256" s="6"/>
      <c r="Y4256" s="6"/>
      <c r="Z4256" s="6"/>
      <c r="AA4256" s="6"/>
      <c r="AB4256" s="6"/>
      <c r="AC4256" s="6"/>
      <c r="AD4256" s="6"/>
      <c r="AE4256" s="6"/>
      <c r="AF4256" s="6"/>
      <c r="AG4256" s="6"/>
      <c r="AH4256" s="6"/>
      <c r="AI4256" s="6"/>
      <c r="AJ4256" s="6"/>
      <c r="AK4256" s="6"/>
      <c r="AL4256" s="6"/>
      <c r="AM4256" s="6"/>
    </row>
    <row r="4257">
      <c r="A4257" s="6"/>
      <c r="B4257" s="6"/>
      <c r="C4257" s="6"/>
      <c r="D4257" s="6"/>
      <c r="E4257" s="6"/>
      <c r="F4257" s="6"/>
      <c r="G4257" s="6"/>
      <c r="H4257" s="6"/>
      <c r="I4257" s="6"/>
      <c r="J4257" s="6"/>
      <c r="K4257" s="6"/>
      <c r="L4257" s="6"/>
      <c r="M4257" s="6"/>
      <c r="N4257" s="6"/>
      <c r="O4257" s="6"/>
      <c r="P4257" s="6"/>
      <c r="Q4257" s="6"/>
      <c r="R4257" s="6"/>
      <c r="S4257" s="6"/>
      <c r="T4257" s="6"/>
      <c r="U4257" s="6"/>
      <c r="V4257" s="6"/>
      <c r="W4257" s="6"/>
      <c r="X4257" s="6"/>
      <c r="Y4257" s="6"/>
      <c r="Z4257" s="6"/>
      <c r="AA4257" s="6"/>
      <c r="AB4257" s="6"/>
      <c r="AC4257" s="6"/>
      <c r="AD4257" s="6"/>
      <c r="AE4257" s="6"/>
      <c r="AF4257" s="6"/>
      <c r="AG4257" s="6"/>
      <c r="AH4257" s="6"/>
      <c r="AI4257" s="6"/>
      <c r="AJ4257" s="6"/>
      <c r="AK4257" s="6"/>
      <c r="AL4257" s="6"/>
      <c r="AM4257" s="6"/>
    </row>
    <row r="4258">
      <c r="A4258" s="6"/>
      <c r="B4258" s="6"/>
      <c r="C4258" s="6"/>
      <c r="D4258" s="6"/>
      <c r="E4258" s="6"/>
      <c r="F4258" s="6"/>
      <c r="G4258" s="6"/>
      <c r="H4258" s="6"/>
      <c r="I4258" s="6"/>
      <c r="J4258" s="6"/>
      <c r="K4258" s="6"/>
      <c r="L4258" s="6"/>
      <c r="M4258" s="6"/>
      <c r="N4258" s="6"/>
      <c r="O4258" s="6"/>
      <c r="P4258" s="6"/>
      <c r="Q4258" s="6"/>
      <c r="R4258" s="6"/>
      <c r="S4258" s="6"/>
      <c r="T4258" s="6"/>
      <c r="U4258" s="6"/>
      <c r="V4258" s="6"/>
      <c r="W4258" s="6"/>
      <c r="X4258" s="6"/>
      <c r="Y4258" s="6"/>
      <c r="Z4258" s="6"/>
      <c r="AA4258" s="6"/>
      <c r="AB4258" s="6"/>
      <c r="AC4258" s="6"/>
      <c r="AD4258" s="6"/>
      <c r="AE4258" s="6"/>
      <c r="AF4258" s="6"/>
      <c r="AG4258" s="6"/>
      <c r="AH4258" s="6"/>
      <c r="AI4258" s="6"/>
      <c r="AJ4258" s="6"/>
      <c r="AK4258" s="6"/>
      <c r="AL4258" s="6"/>
      <c r="AM4258" s="6"/>
    </row>
    <row r="4259">
      <c r="A4259" s="6"/>
      <c r="B4259" s="6"/>
      <c r="C4259" s="6"/>
      <c r="D4259" s="6"/>
      <c r="E4259" s="6"/>
      <c r="F4259" s="6"/>
      <c r="G4259" s="6"/>
      <c r="H4259" s="6"/>
      <c r="I4259" s="6"/>
      <c r="J4259" s="6"/>
      <c r="K4259" s="6"/>
      <c r="L4259" s="6"/>
      <c r="M4259" s="6"/>
      <c r="N4259" s="6"/>
      <c r="O4259" s="6"/>
      <c r="P4259" s="6"/>
      <c r="Q4259" s="6"/>
      <c r="R4259" s="6"/>
      <c r="S4259" s="6"/>
      <c r="T4259" s="6"/>
      <c r="U4259" s="6"/>
      <c r="V4259" s="6"/>
      <c r="W4259" s="6"/>
      <c r="X4259" s="6"/>
      <c r="Y4259" s="6"/>
      <c r="Z4259" s="6"/>
      <c r="AA4259" s="6"/>
      <c r="AB4259" s="6"/>
      <c r="AC4259" s="6"/>
      <c r="AD4259" s="6"/>
      <c r="AE4259" s="6"/>
      <c r="AF4259" s="6"/>
      <c r="AG4259" s="6"/>
      <c r="AH4259" s="6"/>
      <c r="AI4259" s="6"/>
      <c r="AJ4259" s="6"/>
      <c r="AK4259" s="6"/>
      <c r="AL4259" s="6"/>
      <c r="AM4259" s="6"/>
    </row>
    <row r="4260">
      <c r="A4260" s="6"/>
      <c r="B4260" s="6"/>
      <c r="C4260" s="6"/>
      <c r="D4260" s="6"/>
      <c r="E4260" s="6"/>
      <c r="F4260" s="6"/>
      <c r="G4260" s="6"/>
      <c r="H4260" s="6"/>
      <c r="I4260" s="6"/>
      <c r="J4260" s="6"/>
      <c r="K4260" s="6"/>
      <c r="L4260" s="6"/>
      <c r="M4260" s="6"/>
      <c r="N4260" s="6"/>
      <c r="O4260" s="6"/>
      <c r="P4260" s="6"/>
      <c r="Q4260" s="6"/>
      <c r="R4260" s="6"/>
      <c r="S4260" s="6"/>
      <c r="T4260" s="6"/>
      <c r="U4260" s="6"/>
      <c r="V4260" s="6"/>
      <c r="W4260" s="6"/>
      <c r="X4260" s="6"/>
      <c r="Y4260" s="6"/>
      <c r="Z4260" s="6"/>
      <c r="AA4260" s="6"/>
      <c r="AB4260" s="6"/>
      <c r="AC4260" s="6"/>
      <c r="AD4260" s="6"/>
      <c r="AE4260" s="6"/>
      <c r="AF4260" s="6"/>
      <c r="AG4260" s="6"/>
      <c r="AH4260" s="6"/>
      <c r="AI4260" s="6"/>
      <c r="AJ4260" s="6"/>
      <c r="AK4260" s="6"/>
      <c r="AL4260" s="6"/>
      <c r="AM4260" s="6"/>
    </row>
    <row r="4261">
      <c r="A4261" s="6"/>
      <c r="B4261" s="6"/>
      <c r="C4261" s="6"/>
      <c r="D4261" s="6"/>
      <c r="E4261" s="6"/>
      <c r="F4261" s="6"/>
      <c r="G4261" s="6"/>
      <c r="H4261" s="6"/>
      <c r="I4261" s="6"/>
      <c r="J4261" s="6"/>
      <c r="K4261" s="6"/>
      <c r="L4261" s="6"/>
      <c r="M4261" s="6"/>
      <c r="N4261" s="6"/>
      <c r="O4261" s="6"/>
      <c r="P4261" s="6"/>
      <c r="Q4261" s="6"/>
      <c r="R4261" s="6"/>
      <c r="S4261" s="6"/>
      <c r="T4261" s="6"/>
      <c r="U4261" s="6"/>
      <c r="V4261" s="6"/>
      <c r="W4261" s="6"/>
      <c r="X4261" s="6"/>
      <c r="Y4261" s="6"/>
      <c r="Z4261" s="6"/>
      <c r="AA4261" s="6"/>
      <c r="AB4261" s="6"/>
      <c r="AC4261" s="6"/>
      <c r="AD4261" s="6"/>
      <c r="AE4261" s="6"/>
      <c r="AF4261" s="6"/>
      <c r="AG4261" s="6"/>
      <c r="AH4261" s="6"/>
      <c r="AI4261" s="6"/>
      <c r="AJ4261" s="6"/>
      <c r="AK4261" s="6"/>
      <c r="AL4261" s="6"/>
      <c r="AM4261" s="6"/>
    </row>
    <row r="4262">
      <c r="A4262" s="6"/>
      <c r="B4262" s="6"/>
      <c r="C4262" s="6"/>
      <c r="D4262" s="6"/>
      <c r="E4262" s="6"/>
      <c r="F4262" s="6"/>
      <c r="G4262" s="6"/>
      <c r="H4262" s="6"/>
      <c r="I4262" s="6"/>
      <c r="J4262" s="6"/>
      <c r="K4262" s="6"/>
      <c r="L4262" s="6"/>
      <c r="M4262" s="6"/>
      <c r="N4262" s="6"/>
      <c r="O4262" s="6"/>
      <c r="P4262" s="6"/>
      <c r="Q4262" s="6"/>
      <c r="R4262" s="6"/>
      <c r="S4262" s="6"/>
      <c r="T4262" s="6"/>
      <c r="U4262" s="6"/>
      <c r="V4262" s="6"/>
      <c r="W4262" s="6"/>
      <c r="X4262" s="6"/>
      <c r="Y4262" s="6"/>
      <c r="Z4262" s="6"/>
      <c r="AA4262" s="6"/>
      <c r="AB4262" s="6"/>
      <c r="AC4262" s="6"/>
      <c r="AD4262" s="6"/>
      <c r="AE4262" s="6"/>
      <c r="AF4262" s="6"/>
      <c r="AG4262" s="6"/>
      <c r="AH4262" s="6"/>
      <c r="AI4262" s="6"/>
      <c r="AJ4262" s="6"/>
      <c r="AK4262" s="6"/>
      <c r="AL4262" s="6"/>
      <c r="AM4262" s="6"/>
    </row>
    <row r="4263">
      <c r="A4263" s="6"/>
      <c r="B4263" s="6"/>
      <c r="C4263" s="6"/>
      <c r="D4263" s="6"/>
      <c r="E4263" s="6"/>
      <c r="F4263" s="6"/>
      <c r="G4263" s="6"/>
      <c r="H4263" s="6"/>
      <c r="I4263" s="6"/>
      <c r="J4263" s="6"/>
      <c r="K4263" s="6"/>
      <c r="L4263" s="6"/>
      <c r="M4263" s="6"/>
      <c r="N4263" s="6"/>
      <c r="O4263" s="6"/>
      <c r="P4263" s="6"/>
      <c r="Q4263" s="6"/>
      <c r="R4263" s="6"/>
      <c r="S4263" s="6"/>
      <c r="T4263" s="6"/>
      <c r="U4263" s="6"/>
      <c r="V4263" s="6"/>
      <c r="W4263" s="6"/>
      <c r="X4263" s="6"/>
      <c r="Y4263" s="6"/>
      <c r="Z4263" s="6"/>
      <c r="AA4263" s="6"/>
      <c r="AB4263" s="6"/>
      <c r="AC4263" s="6"/>
      <c r="AD4263" s="6"/>
      <c r="AE4263" s="6"/>
      <c r="AF4263" s="6"/>
      <c r="AG4263" s="6"/>
      <c r="AH4263" s="6"/>
      <c r="AI4263" s="6"/>
      <c r="AJ4263" s="6"/>
      <c r="AK4263" s="6"/>
      <c r="AL4263" s="6"/>
      <c r="AM4263" s="6"/>
    </row>
    <row r="4264">
      <c r="A4264" s="6"/>
      <c r="B4264" s="6"/>
      <c r="C4264" s="6"/>
      <c r="D4264" s="6"/>
      <c r="E4264" s="6"/>
      <c r="F4264" s="6"/>
      <c r="G4264" s="6"/>
      <c r="H4264" s="6"/>
      <c r="I4264" s="6"/>
      <c r="J4264" s="6"/>
      <c r="K4264" s="6"/>
      <c r="L4264" s="6"/>
      <c r="M4264" s="6"/>
      <c r="N4264" s="6"/>
      <c r="O4264" s="6"/>
      <c r="P4264" s="6"/>
      <c r="Q4264" s="6"/>
      <c r="R4264" s="6"/>
      <c r="S4264" s="6"/>
      <c r="T4264" s="6"/>
      <c r="U4264" s="6"/>
      <c r="V4264" s="6"/>
      <c r="W4264" s="6"/>
      <c r="X4264" s="6"/>
      <c r="Y4264" s="6"/>
      <c r="Z4264" s="6"/>
      <c r="AA4264" s="6"/>
      <c r="AB4264" s="6"/>
      <c r="AC4264" s="6"/>
      <c r="AD4264" s="6"/>
      <c r="AE4264" s="6"/>
      <c r="AF4264" s="6"/>
      <c r="AG4264" s="6"/>
      <c r="AH4264" s="6"/>
      <c r="AI4264" s="6"/>
      <c r="AJ4264" s="6"/>
      <c r="AK4264" s="6"/>
      <c r="AL4264" s="6"/>
      <c r="AM4264" s="6"/>
    </row>
    <row r="4265">
      <c r="A4265" s="6"/>
      <c r="B4265" s="6"/>
      <c r="C4265" s="6"/>
      <c r="D4265" s="6"/>
      <c r="E4265" s="6"/>
      <c r="F4265" s="6"/>
      <c r="G4265" s="6"/>
      <c r="H4265" s="6"/>
      <c r="I4265" s="6"/>
      <c r="J4265" s="6"/>
      <c r="K4265" s="6"/>
      <c r="L4265" s="6"/>
      <c r="M4265" s="6"/>
      <c r="N4265" s="6"/>
      <c r="O4265" s="6"/>
      <c r="P4265" s="6"/>
      <c r="Q4265" s="6"/>
      <c r="R4265" s="6"/>
      <c r="S4265" s="6"/>
      <c r="T4265" s="6"/>
      <c r="U4265" s="6"/>
      <c r="V4265" s="6"/>
      <c r="W4265" s="6"/>
      <c r="X4265" s="6"/>
      <c r="Y4265" s="6"/>
      <c r="Z4265" s="6"/>
      <c r="AA4265" s="6"/>
      <c r="AB4265" s="6"/>
      <c r="AC4265" s="6"/>
      <c r="AD4265" s="6"/>
      <c r="AE4265" s="6"/>
      <c r="AF4265" s="6"/>
      <c r="AG4265" s="6"/>
      <c r="AH4265" s="6"/>
      <c r="AI4265" s="6"/>
      <c r="AJ4265" s="6"/>
      <c r="AK4265" s="6"/>
      <c r="AL4265" s="6"/>
      <c r="AM4265" s="6"/>
    </row>
    <row r="4266">
      <c r="A4266" s="6"/>
      <c r="B4266" s="6"/>
      <c r="C4266" s="6"/>
      <c r="D4266" s="6"/>
      <c r="E4266" s="6"/>
      <c r="F4266" s="6"/>
      <c r="G4266" s="6"/>
      <c r="H4266" s="6"/>
      <c r="I4266" s="6"/>
      <c r="J4266" s="6"/>
      <c r="K4266" s="6"/>
      <c r="L4266" s="6"/>
      <c r="M4266" s="6"/>
      <c r="N4266" s="6"/>
      <c r="O4266" s="6"/>
      <c r="P4266" s="6"/>
      <c r="Q4266" s="6"/>
      <c r="R4266" s="6"/>
      <c r="S4266" s="6"/>
      <c r="T4266" s="6"/>
      <c r="U4266" s="6"/>
      <c r="V4266" s="6"/>
      <c r="W4266" s="6"/>
      <c r="X4266" s="6"/>
      <c r="Y4266" s="6"/>
      <c r="Z4266" s="6"/>
      <c r="AA4266" s="6"/>
      <c r="AB4266" s="6"/>
      <c r="AC4266" s="6"/>
      <c r="AD4266" s="6"/>
      <c r="AE4266" s="6"/>
      <c r="AF4266" s="6"/>
      <c r="AG4266" s="6"/>
      <c r="AH4266" s="6"/>
      <c r="AI4266" s="6"/>
      <c r="AJ4266" s="6"/>
      <c r="AK4266" s="6"/>
      <c r="AL4266" s="6"/>
      <c r="AM4266" s="6"/>
    </row>
    <row r="4267">
      <c r="A4267" s="6"/>
      <c r="B4267" s="6"/>
      <c r="C4267" s="6"/>
      <c r="D4267" s="6"/>
      <c r="E4267" s="6"/>
      <c r="F4267" s="6"/>
      <c r="G4267" s="6"/>
      <c r="H4267" s="6"/>
      <c r="I4267" s="6"/>
      <c r="J4267" s="6"/>
      <c r="K4267" s="6"/>
      <c r="L4267" s="6"/>
      <c r="M4267" s="6"/>
      <c r="N4267" s="6"/>
      <c r="O4267" s="6"/>
      <c r="P4267" s="6"/>
      <c r="Q4267" s="6"/>
      <c r="R4267" s="6"/>
      <c r="S4267" s="6"/>
      <c r="T4267" s="6"/>
      <c r="U4267" s="6"/>
      <c r="V4267" s="6"/>
      <c r="W4267" s="6"/>
      <c r="X4267" s="6"/>
      <c r="Y4267" s="6"/>
      <c r="Z4267" s="6"/>
      <c r="AA4267" s="6"/>
      <c r="AB4267" s="6"/>
      <c r="AC4267" s="6"/>
      <c r="AD4267" s="6"/>
      <c r="AE4267" s="6"/>
      <c r="AF4267" s="6"/>
      <c r="AG4267" s="6"/>
      <c r="AH4267" s="6"/>
      <c r="AI4267" s="6"/>
      <c r="AJ4267" s="6"/>
      <c r="AK4267" s="6"/>
      <c r="AL4267" s="6"/>
      <c r="AM4267" s="6"/>
    </row>
    <row r="4268">
      <c r="A4268" s="6"/>
      <c r="B4268" s="6"/>
      <c r="C4268" s="6"/>
      <c r="D4268" s="6"/>
      <c r="E4268" s="6"/>
      <c r="F4268" s="6"/>
      <c r="G4268" s="6"/>
      <c r="H4268" s="6"/>
      <c r="I4268" s="6"/>
      <c r="J4268" s="6"/>
      <c r="K4268" s="6"/>
      <c r="L4268" s="6"/>
      <c r="M4268" s="6"/>
      <c r="N4268" s="6"/>
      <c r="O4268" s="6"/>
      <c r="P4268" s="6"/>
      <c r="Q4268" s="6"/>
      <c r="R4268" s="6"/>
      <c r="S4268" s="6"/>
      <c r="T4268" s="6"/>
      <c r="U4268" s="6"/>
      <c r="V4268" s="6"/>
      <c r="W4268" s="6"/>
      <c r="X4268" s="6"/>
      <c r="Y4268" s="6"/>
      <c r="Z4268" s="6"/>
      <c r="AA4268" s="6"/>
      <c r="AB4268" s="6"/>
      <c r="AC4268" s="6"/>
      <c r="AD4268" s="6"/>
      <c r="AE4268" s="6"/>
      <c r="AF4268" s="6"/>
      <c r="AG4268" s="6"/>
      <c r="AH4268" s="6"/>
      <c r="AI4268" s="6"/>
      <c r="AJ4268" s="6"/>
      <c r="AK4268" s="6"/>
      <c r="AL4268" s="6"/>
      <c r="AM4268" s="6"/>
    </row>
    <row r="4269">
      <c r="A4269" s="6"/>
      <c r="B4269" s="6"/>
      <c r="C4269" s="6"/>
      <c r="D4269" s="6"/>
      <c r="E4269" s="6"/>
      <c r="F4269" s="6"/>
      <c r="G4269" s="6"/>
      <c r="H4269" s="6"/>
      <c r="I4269" s="6"/>
      <c r="J4269" s="6"/>
      <c r="K4269" s="6"/>
      <c r="L4269" s="6"/>
      <c r="M4269" s="6"/>
      <c r="N4269" s="6"/>
      <c r="O4269" s="6"/>
      <c r="P4269" s="6"/>
      <c r="Q4269" s="6"/>
      <c r="R4269" s="6"/>
      <c r="S4269" s="6"/>
      <c r="T4269" s="6"/>
      <c r="U4269" s="6"/>
      <c r="V4269" s="6"/>
      <c r="W4269" s="6"/>
      <c r="X4269" s="6"/>
      <c r="Y4269" s="6"/>
      <c r="Z4269" s="6"/>
      <c r="AA4269" s="6"/>
      <c r="AB4269" s="6"/>
      <c r="AC4269" s="6"/>
      <c r="AD4269" s="6"/>
      <c r="AE4269" s="6"/>
      <c r="AF4269" s="6"/>
      <c r="AG4269" s="6"/>
      <c r="AH4269" s="6"/>
      <c r="AI4269" s="6"/>
      <c r="AJ4269" s="6"/>
      <c r="AK4269" s="6"/>
      <c r="AL4269" s="6"/>
      <c r="AM4269" s="6"/>
    </row>
    <row r="4270">
      <c r="A4270" s="6"/>
      <c r="B4270" s="6"/>
      <c r="C4270" s="6"/>
      <c r="D4270" s="6"/>
      <c r="E4270" s="6"/>
      <c r="F4270" s="6"/>
      <c r="G4270" s="6"/>
      <c r="H4270" s="6"/>
      <c r="I4270" s="6"/>
      <c r="J4270" s="6"/>
      <c r="K4270" s="6"/>
      <c r="L4270" s="6"/>
      <c r="M4270" s="6"/>
      <c r="N4270" s="6"/>
      <c r="O4270" s="6"/>
      <c r="P4270" s="6"/>
      <c r="Q4270" s="6"/>
      <c r="R4270" s="6"/>
      <c r="S4270" s="6"/>
      <c r="T4270" s="6"/>
      <c r="U4270" s="6"/>
      <c r="V4270" s="6"/>
      <c r="W4270" s="6"/>
      <c r="X4270" s="6"/>
      <c r="Y4270" s="6"/>
      <c r="Z4270" s="6"/>
      <c r="AA4270" s="6"/>
      <c r="AB4270" s="6"/>
      <c r="AC4270" s="6"/>
      <c r="AD4270" s="6"/>
      <c r="AE4270" s="6"/>
      <c r="AF4270" s="6"/>
      <c r="AG4270" s="6"/>
      <c r="AH4270" s="6"/>
      <c r="AI4270" s="6"/>
      <c r="AJ4270" s="6"/>
      <c r="AK4270" s="6"/>
      <c r="AL4270" s="6"/>
      <c r="AM4270" s="6"/>
    </row>
    <row r="4271">
      <c r="A4271" s="6"/>
      <c r="B4271" s="6"/>
      <c r="C4271" s="6"/>
      <c r="D4271" s="6"/>
      <c r="E4271" s="6"/>
      <c r="F4271" s="6"/>
      <c r="G4271" s="6"/>
      <c r="H4271" s="6"/>
      <c r="I4271" s="6"/>
      <c r="J4271" s="6"/>
      <c r="K4271" s="6"/>
      <c r="L4271" s="6"/>
      <c r="M4271" s="6"/>
      <c r="N4271" s="6"/>
      <c r="O4271" s="6"/>
      <c r="P4271" s="6"/>
      <c r="Q4271" s="6"/>
      <c r="R4271" s="6"/>
      <c r="S4271" s="6"/>
      <c r="T4271" s="6"/>
      <c r="U4271" s="6"/>
      <c r="V4271" s="6"/>
      <c r="W4271" s="6"/>
      <c r="X4271" s="6"/>
      <c r="Y4271" s="6"/>
      <c r="Z4271" s="6"/>
      <c r="AA4271" s="6"/>
      <c r="AB4271" s="6"/>
      <c r="AC4271" s="6"/>
      <c r="AD4271" s="6"/>
      <c r="AE4271" s="6"/>
      <c r="AF4271" s="6"/>
      <c r="AG4271" s="6"/>
      <c r="AH4271" s="6"/>
      <c r="AI4271" s="6"/>
      <c r="AJ4271" s="6"/>
      <c r="AK4271" s="6"/>
      <c r="AL4271" s="6"/>
      <c r="AM4271" s="6"/>
    </row>
    <row r="4272">
      <c r="A4272" s="6"/>
      <c r="B4272" s="6"/>
      <c r="C4272" s="6"/>
      <c r="D4272" s="6"/>
      <c r="E4272" s="6"/>
      <c r="F4272" s="6"/>
      <c r="G4272" s="6"/>
      <c r="H4272" s="6"/>
      <c r="I4272" s="6"/>
      <c r="J4272" s="6"/>
      <c r="K4272" s="6"/>
      <c r="L4272" s="6"/>
      <c r="M4272" s="6"/>
      <c r="N4272" s="6"/>
      <c r="O4272" s="6"/>
      <c r="P4272" s="6"/>
      <c r="Q4272" s="6"/>
      <c r="R4272" s="6"/>
      <c r="S4272" s="6"/>
      <c r="T4272" s="6"/>
      <c r="U4272" s="6"/>
      <c r="V4272" s="6"/>
      <c r="W4272" s="6"/>
      <c r="X4272" s="6"/>
      <c r="Y4272" s="6"/>
      <c r="Z4272" s="6"/>
      <c r="AA4272" s="6"/>
      <c r="AB4272" s="6"/>
      <c r="AC4272" s="6"/>
      <c r="AD4272" s="6"/>
      <c r="AE4272" s="6"/>
      <c r="AF4272" s="6"/>
      <c r="AG4272" s="6"/>
      <c r="AH4272" s="6"/>
      <c r="AI4272" s="6"/>
      <c r="AJ4272" s="6"/>
      <c r="AK4272" s="6"/>
      <c r="AL4272" s="6"/>
      <c r="AM4272" s="6"/>
    </row>
    <row r="4273">
      <c r="A4273" s="6"/>
      <c r="B4273" s="6"/>
      <c r="C4273" s="6"/>
      <c r="D4273" s="6"/>
      <c r="E4273" s="6"/>
      <c r="F4273" s="6"/>
      <c r="G4273" s="6"/>
      <c r="H4273" s="6"/>
      <c r="I4273" s="6"/>
      <c r="J4273" s="6"/>
      <c r="K4273" s="6"/>
      <c r="L4273" s="6"/>
      <c r="M4273" s="6"/>
      <c r="N4273" s="6"/>
      <c r="O4273" s="6"/>
      <c r="P4273" s="6"/>
      <c r="Q4273" s="6"/>
      <c r="R4273" s="6"/>
      <c r="S4273" s="6"/>
      <c r="T4273" s="6"/>
      <c r="U4273" s="6"/>
      <c r="V4273" s="6"/>
      <c r="W4273" s="6"/>
      <c r="X4273" s="6"/>
      <c r="Y4273" s="6"/>
      <c r="Z4273" s="6"/>
      <c r="AA4273" s="6"/>
      <c r="AB4273" s="6"/>
      <c r="AC4273" s="6"/>
      <c r="AD4273" s="6"/>
      <c r="AE4273" s="6"/>
      <c r="AF4273" s="6"/>
      <c r="AG4273" s="6"/>
      <c r="AH4273" s="6"/>
      <c r="AI4273" s="6"/>
      <c r="AJ4273" s="6"/>
      <c r="AK4273" s="6"/>
      <c r="AL4273" s="6"/>
      <c r="AM4273" s="6"/>
    </row>
    <row r="4274">
      <c r="A4274" s="6"/>
      <c r="B4274" s="6"/>
      <c r="C4274" s="6"/>
      <c r="D4274" s="6"/>
      <c r="E4274" s="6"/>
      <c r="F4274" s="6"/>
      <c r="G4274" s="6"/>
      <c r="H4274" s="6"/>
      <c r="I4274" s="6"/>
      <c r="J4274" s="6"/>
      <c r="K4274" s="6"/>
      <c r="L4274" s="6"/>
      <c r="M4274" s="6"/>
      <c r="N4274" s="6"/>
      <c r="O4274" s="6"/>
      <c r="P4274" s="6"/>
      <c r="Q4274" s="6"/>
      <c r="R4274" s="6"/>
      <c r="S4274" s="6"/>
      <c r="T4274" s="6"/>
      <c r="U4274" s="6"/>
      <c r="V4274" s="6"/>
      <c r="W4274" s="6"/>
      <c r="X4274" s="6"/>
      <c r="Y4274" s="6"/>
      <c r="Z4274" s="6"/>
      <c r="AA4274" s="6"/>
      <c r="AB4274" s="6"/>
      <c r="AC4274" s="6"/>
      <c r="AD4274" s="6"/>
      <c r="AE4274" s="6"/>
      <c r="AF4274" s="6"/>
      <c r="AG4274" s="6"/>
      <c r="AH4274" s="6"/>
      <c r="AI4274" s="6"/>
      <c r="AJ4274" s="6"/>
      <c r="AK4274" s="6"/>
      <c r="AL4274" s="6"/>
      <c r="AM4274" s="6"/>
    </row>
    <row r="4275">
      <c r="A4275" s="6"/>
      <c r="B4275" s="6"/>
      <c r="C4275" s="6"/>
      <c r="D4275" s="6"/>
      <c r="E4275" s="6"/>
      <c r="F4275" s="6"/>
      <c r="G4275" s="6"/>
      <c r="H4275" s="6"/>
      <c r="I4275" s="6"/>
      <c r="J4275" s="6"/>
      <c r="K4275" s="6"/>
      <c r="L4275" s="6"/>
      <c r="M4275" s="6"/>
      <c r="N4275" s="6"/>
      <c r="O4275" s="6"/>
      <c r="P4275" s="6"/>
      <c r="Q4275" s="6"/>
      <c r="R4275" s="6"/>
      <c r="S4275" s="6"/>
      <c r="T4275" s="6"/>
      <c r="U4275" s="6"/>
      <c r="V4275" s="6"/>
      <c r="W4275" s="6"/>
      <c r="X4275" s="6"/>
      <c r="Y4275" s="6"/>
      <c r="Z4275" s="6"/>
      <c r="AA4275" s="6"/>
      <c r="AB4275" s="6"/>
      <c r="AC4275" s="6"/>
      <c r="AD4275" s="6"/>
      <c r="AE4275" s="6"/>
      <c r="AF4275" s="6"/>
      <c r="AG4275" s="6"/>
      <c r="AH4275" s="6"/>
      <c r="AI4275" s="6"/>
      <c r="AJ4275" s="6"/>
      <c r="AK4275" s="6"/>
      <c r="AL4275" s="6"/>
      <c r="AM4275" s="6"/>
    </row>
    <row r="4276">
      <c r="A4276" s="6"/>
      <c r="B4276" s="6"/>
      <c r="C4276" s="6"/>
      <c r="D4276" s="6"/>
      <c r="E4276" s="6"/>
      <c r="F4276" s="6"/>
      <c r="G4276" s="6"/>
      <c r="H4276" s="6"/>
      <c r="I4276" s="6"/>
      <c r="J4276" s="6"/>
      <c r="K4276" s="6"/>
      <c r="L4276" s="6"/>
      <c r="M4276" s="6"/>
      <c r="N4276" s="6"/>
      <c r="O4276" s="6"/>
      <c r="P4276" s="6"/>
      <c r="Q4276" s="6"/>
      <c r="R4276" s="6"/>
      <c r="S4276" s="6"/>
      <c r="T4276" s="6"/>
      <c r="U4276" s="6"/>
      <c r="V4276" s="6"/>
      <c r="W4276" s="6"/>
      <c r="X4276" s="6"/>
      <c r="Y4276" s="6"/>
      <c r="Z4276" s="6"/>
      <c r="AA4276" s="6"/>
      <c r="AB4276" s="6"/>
      <c r="AC4276" s="6"/>
      <c r="AD4276" s="6"/>
      <c r="AE4276" s="6"/>
      <c r="AF4276" s="6"/>
      <c r="AG4276" s="6"/>
      <c r="AH4276" s="6"/>
      <c r="AI4276" s="6"/>
      <c r="AJ4276" s="6"/>
      <c r="AK4276" s="6"/>
      <c r="AL4276" s="6"/>
      <c r="AM4276" s="6"/>
    </row>
    <row r="4277">
      <c r="A4277" s="6"/>
      <c r="B4277" s="6"/>
      <c r="C4277" s="6"/>
      <c r="D4277" s="6"/>
      <c r="E4277" s="6"/>
      <c r="F4277" s="6"/>
      <c r="G4277" s="6"/>
      <c r="H4277" s="6"/>
      <c r="I4277" s="6"/>
      <c r="J4277" s="6"/>
      <c r="K4277" s="6"/>
      <c r="L4277" s="6"/>
      <c r="M4277" s="6"/>
      <c r="N4277" s="6"/>
      <c r="O4277" s="6"/>
      <c r="P4277" s="6"/>
      <c r="Q4277" s="6"/>
      <c r="R4277" s="6"/>
      <c r="S4277" s="6"/>
      <c r="T4277" s="6"/>
      <c r="U4277" s="6"/>
      <c r="V4277" s="6"/>
      <c r="W4277" s="6"/>
      <c r="X4277" s="6"/>
      <c r="Y4277" s="6"/>
      <c r="Z4277" s="6"/>
      <c r="AA4277" s="6"/>
      <c r="AB4277" s="6"/>
      <c r="AC4277" s="6"/>
      <c r="AD4277" s="6"/>
      <c r="AE4277" s="6"/>
      <c r="AF4277" s="6"/>
      <c r="AG4277" s="6"/>
      <c r="AH4277" s="6"/>
      <c r="AI4277" s="6"/>
      <c r="AJ4277" s="6"/>
      <c r="AK4277" s="6"/>
      <c r="AL4277" s="6"/>
      <c r="AM4277" s="6"/>
    </row>
    <row r="4278">
      <c r="A4278" s="6"/>
      <c r="B4278" s="6"/>
      <c r="C4278" s="6"/>
      <c r="D4278" s="6"/>
      <c r="E4278" s="6"/>
      <c r="F4278" s="6"/>
      <c r="G4278" s="6"/>
      <c r="H4278" s="6"/>
      <c r="I4278" s="6"/>
      <c r="J4278" s="6"/>
      <c r="K4278" s="6"/>
      <c r="L4278" s="6"/>
      <c r="M4278" s="6"/>
      <c r="N4278" s="6"/>
      <c r="O4278" s="6"/>
      <c r="P4278" s="6"/>
      <c r="Q4278" s="6"/>
      <c r="R4278" s="6"/>
      <c r="S4278" s="6"/>
      <c r="T4278" s="6"/>
      <c r="U4278" s="6"/>
      <c r="V4278" s="6"/>
      <c r="W4278" s="6"/>
      <c r="X4278" s="6"/>
      <c r="Y4278" s="6"/>
      <c r="Z4278" s="6"/>
      <c r="AA4278" s="6"/>
      <c r="AB4278" s="6"/>
      <c r="AC4278" s="6"/>
      <c r="AD4278" s="6"/>
      <c r="AE4278" s="6"/>
      <c r="AF4278" s="6"/>
      <c r="AG4278" s="6"/>
      <c r="AH4278" s="6"/>
      <c r="AI4278" s="6"/>
      <c r="AJ4278" s="6"/>
      <c r="AK4278" s="6"/>
      <c r="AL4278" s="6"/>
      <c r="AM4278" s="6"/>
    </row>
    <row r="4279">
      <c r="A4279" s="6"/>
      <c r="B4279" s="6"/>
      <c r="C4279" s="6"/>
      <c r="D4279" s="6"/>
      <c r="E4279" s="6"/>
      <c r="F4279" s="6"/>
      <c r="G4279" s="6"/>
      <c r="H4279" s="6"/>
      <c r="I4279" s="6"/>
      <c r="J4279" s="6"/>
      <c r="K4279" s="6"/>
      <c r="L4279" s="6"/>
      <c r="M4279" s="6"/>
      <c r="N4279" s="6"/>
      <c r="O4279" s="6"/>
      <c r="P4279" s="6"/>
      <c r="Q4279" s="6"/>
      <c r="R4279" s="6"/>
      <c r="S4279" s="6"/>
      <c r="T4279" s="6"/>
      <c r="U4279" s="6"/>
      <c r="V4279" s="6"/>
      <c r="W4279" s="6"/>
      <c r="X4279" s="6"/>
      <c r="Y4279" s="6"/>
      <c r="Z4279" s="6"/>
      <c r="AA4279" s="6"/>
      <c r="AB4279" s="6"/>
      <c r="AC4279" s="6"/>
      <c r="AD4279" s="6"/>
      <c r="AE4279" s="6"/>
      <c r="AF4279" s="6"/>
      <c r="AG4279" s="6"/>
      <c r="AH4279" s="6"/>
      <c r="AI4279" s="6"/>
      <c r="AJ4279" s="6"/>
      <c r="AK4279" s="6"/>
      <c r="AL4279" s="6"/>
      <c r="AM4279" s="6"/>
    </row>
    <row r="4280">
      <c r="A4280" s="6"/>
      <c r="B4280" s="6"/>
      <c r="C4280" s="6"/>
      <c r="D4280" s="6"/>
      <c r="E4280" s="6"/>
      <c r="F4280" s="6"/>
      <c r="G4280" s="6"/>
      <c r="H4280" s="6"/>
      <c r="I4280" s="6"/>
      <c r="J4280" s="6"/>
      <c r="K4280" s="6"/>
      <c r="L4280" s="6"/>
      <c r="M4280" s="6"/>
      <c r="N4280" s="6"/>
      <c r="O4280" s="6"/>
      <c r="P4280" s="6"/>
      <c r="Q4280" s="6"/>
      <c r="R4280" s="6"/>
      <c r="S4280" s="6"/>
      <c r="T4280" s="6"/>
      <c r="U4280" s="6"/>
      <c r="V4280" s="6"/>
      <c r="W4280" s="6"/>
      <c r="X4280" s="6"/>
      <c r="Y4280" s="6"/>
      <c r="Z4280" s="6"/>
      <c r="AA4280" s="6"/>
      <c r="AB4280" s="6"/>
      <c r="AC4280" s="6"/>
      <c r="AD4280" s="6"/>
      <c r="AE4280" s="6"/>
      <c r="AF4280" s="6"/>
      <c r="AG4280" s="6"/>
      <c r="AH4280" s="6"/>
      <c r="AI4280" s="6"/>
      <c r="AJ4280" s="6"/>
      <c r="AK4280" s="6"/>
      <c r="AL4280" s="6"/>
      <c r="AM4280" s="6"/>
    </row>
    <row r="4281">
      <c r="A4281" s="6"/>
      <c r="B4281" s="6"/>
      <c r="C4281" s="6"/>
      <c r="D4281" s="6"/>
      <c r="E4281" s="6"/>
      <c r="F4281" s="6"/>
      <c r="G4281" s="6"/>
      <c r="H4281" s="6"/>
      <c r="I4281" s="6"/>
      <c r="J4281" s="6"/>
      <c r="K4281" s="6"/>
      <c r="L4281" s="6"/>
      <c r="M4281" s="6"/>
      <c r="N4281" s="6"/>
      <c r="O4281" s="6"/>
      <c r="P4281" s="6"/>
      <c r="Q4281" s="6"/>
      <c r="R4281" s="6"/>
      <c r="S4281" s="6"/>
      <c r="T4281" s="6"/>
      <c r="U4281" s="6"/>
      <c r="V4281" s="6"/>
      <c r="W4281" s="6"/>
      <c r="X4281" s="6"/>
      <c r="Y4281" s="6"/>
      <c r="Z4281" s="6"/>
      <c r="AA4281" s="6"/>
      <c r="AB4281" s="6"/>
      <c r="AC4281" s="6"/>
      <c r="AD4281" s="6"/>
      <c r="AE4281" s="6"/>
      <c r="AF4281" s="6"/>
      <c r="AG4281" s="6"/>
      <c r="AH4281" s="6"/>
      <c r="AI4281" s="6"/>
      <c r="AJ4281" s="6"/>
      <c r="AK4281" s="6"/>
      <c r="AL4281" s="6"/>
      <c r="AM4281" s="6"/>
    </row>
    <row r="4282">
      <c r="A4282" s="6"/>
      <c r="B4282" s="6"/>
      <c r="C4282" s="6"/>
      <c r="D4282" s="6"/>
      <c r="E4282" s="6"/>
      <c r="F4282" s="6"/>
      <c r="G4282" s="6"/>
      <c r="H4282" s="6"/>
      <c r="I4282" s="6"/>
      <c r="J4282" s="6"/>
      <c r="K4282" s="6"/>
      <c r="L4282" s="6"/>
      <c r="M4282" s="6"/>
      <c r="N4282" s="6"/>
      <c r="O4282" s="6"/>
      <c r="P4282" s="6"/>
      <c r="Q4282" s="6"/>
      <c r="R4282" s="6"/>
      <c r="S4282" s="6"/>
      <c r="T4282" s="6"/>
      <c r="U4282" s="6"/>
      <c r="V4282" s="6"/>
      <c r="W4282" s="6"/>
      <c r="X4282" s="6"/>
      <c r="Y4282" s="6"/>
      <c r="Z4282" s="6"/>
      <c r="AA4282" s="6"/>
      <c r="AB4282" s="6"/>
      <c r="AC4282" s="6"/>
      <c r="AD4282" s="6"/>
      <c r="AE4282" s="6"/>
      <c r="AF4282" s="6"/>
      <c r="AG4282" s="6"/>
      <c r="AH4282" s="6"/>
      <c r="AI4282" s="6"/>
      <c r="AJ4282" s="6"/>
      <c r="AK4282" s="6"/>
      <c r="AL4282" s="6"/>
      <c r="AM4282" s="6"/>
    </row>
    <row r="4283">
      <c r="A4283" s="6"/>
      <c r="B4283" s="6"/>
      <c r="C4283" s="6"/>
      <c r="D4283" s="6"/>
      <c r="E4283" s="6"/>
      <c r="F4283" s="6"/>
      <c r="G4283" s="6"/>
      <c r="H4283" s="6"/>
      <c r="I4283" s="6"/>
      <c r="J4283" s="6"/>
      <c r="K4283" s="6"/>
      <c r="L4283" s="6"/>
      <c r="M4283" s="6"/>
      <c r="N4283" s="6"/>
      <c r="O4283" s="6"/>
      <c r="P4283" s="6"/>
      <c r="Q4283" s="6"/>
      <c r="R4283" s="6"/>
      <c r="S4283" s="6"/>
      <c r="T4283" s="6"/>
      <c r="U4283" s="6"/>
      <c r="V4283" s="6"/>
      <c r="W4283" s="6"/>
      <c r="X4283" s="6"/>
      <c r="Y4283" s="6"/>
      <c r="Z4283" s="6"/>
      <c r="AA4283" s="6"/>
      <c r="AB4283" s="6"/>
      <c r="AC4283" s="6"/>
      <c r="AD4283" s="6"/>
      <c r="AE4283" s="6"/>
      <c r="AF4283" s="6"/>
      <c r="AG4283" s="6"/>
      <c r="AH4283" s="6"/>
      <c r="AI4283" s="6"/>
      <c r="AJ4283" s="6"/>
      <c r="AK4283" s="6"/>
      <c r="AL4283" s="6"/>
      <c r="AM4283" s="6"/>
    </row>
    <row r="4284">
      <c r="A4284" s="6"/>
      <c r="B4284" s="6"/>
      <c r="C4284" s="6"/>
      <c r="D4284" s="6"/>
      <c r="E4284" s="6"/>
      <c r="F4284" s="6"/>
      <c r="G4284" s="6"/>
      <c r="H4284" s="6"/>
      <c r="I4284" s="6"/>
      <c r="J4284" s="6"/>
      <c r="K4284" s="6"/>
      <c r="L4284" s="6"/>
      <c r="M4284" s="6"/>
      <c r="N4284" s="6"/>
      <c r="O4284" s="6"/>
      <c r="P4284" s="6"/>
      <c r="Q4284" s="6"/>
      <c r="R4284" s="6"/>
      <c r="S4284" s="6"/>
      <c r="T4284" s="6"/>
      <c r="U4284" s="6"/>
      <c r="V4284" s="6"/>
      <c r="W4284" s="6"/>
      <c r="X4284" s="6"/>
      <c r="Y4284" s="6"/>
      <c r="Z4284" s="6"/>
      <c r="AA4284" s="6"/>
      <c r="AB4284" s="6"/>
      <c r="AC4284" s="6"/>
      <c r="AD4284" s="6"/>
      <c r="AE4284" s="6"/>
      <c r="AF4284" s="6"/>
      <c r="AG4284" s="6"/>
      <c r="AH4284" s="6"/>
      <c r="AI4284" s="6"/>
      <c r="AJ4284" s="6"/>
      <c r="AK4284" s="6"/>
      <c r="AL4284" s="6"/>
      <c r="AM4284" s="6"/>
    </row>
    <row r="4285">
      <c r="A4285" s="6"/>
      <c r="B4285" s="6"/>
      <c r="C4285" s="6"/>
      <c r="D4285" s="6"/>
      <c r="E4285" s="6"/>
      <c r="F4285" s="6"/>
      <c r="G4285" s="6"/>
      <c r="H4285" s="6"/>
      <c r="I4285" s="6"/>
      <c r="J4285" s="6"/>
      <c r="K4285" s="6"/>
      <c r="L4285" s="6"/>
      <c r="M4285" s="6"/>
      <c r="N4285" s="6"/>
      <c r="O4285" s="6"/>
      <c r="P4285" s="6"/>
      <c r="Q4285" s="6"/>
      <c r="R4285" s="6"/>
      <c r="S4285" s="6"/>
      <c r="T4285" s="6"/>
      <c r="U4285" s="6"/>
      <c r="V4285" s="6"/>
      <c r="W4285" s="6"/>
      <c r="X4285" s="6"/>
      <c r="Y4285" s="6"/>
      <c r="Z4285" s="6"/>
      <c r="AA4285" s="6"/>
      <c r="AB4285" s="6"/>
      <c r="AC4285" s="6"/>
      <c r="AD4285" s="6"/>
      <c r="AE4285" s="6"/>
      <c r="AF4285" s="6"/>
      <c r="AG4285" s="6"/>
      <c r="AH4285" s="6"/>
      <c r="AI4285" s="6"/>
      <c r="AJ4285" s="6"/>
      <c r="AK4285" s="6"/>
      <c r="AL4285" s="6"/>
      <c r="AM4285" s="6"/>
    </row>
    <row r="4286">
      <c r="A4286" s="6"/>
      <c r="B4286" s="6"/>
      <c r="C4286" s="6"/>
      <c r="D4286" s="6"/>
      <c r="E4286" s="6"/>
      <c r="F4286" s="6"/>
      <c r="G4286" s="6"/>
      <c r="H4286" s="6"/>
      <c r="I4286" s="6"/>
      <c r="J4286" s="6"/>
      <c r="K4286" s="6"/>
      <c r="L4286" s="6"/>
      <c r="M4286" s="6"/>
      <c r="N4286" s="6"/>
      <c r="O4286" s="6"/>
      <c r="P4286" s="6"/>
      <c r="Q4286" s="6"/>
      <c r="R4286" s="6"/>
      <c r="S4286" s="6"/>
      <c r="T4286" s="6"/>
      <c r="U4286" s="6"/>
      <c r="V4286" s="6"/>
      <c r="W4286" s="6"/>
      <c r="X4286" s="6"/>
      <c r="Y4286" s="6"/>
      <c r="Z4286" s="6"/>
      <c r="AA4286" s="6"/>
      <c r="AB4286" s="6"/>
      <c r="AC4286" s="6"/>
      <c r="AD4286" s="6"/>
      <c r="AE4286" s="6"/>
      <c r="AF4286" s="6"/>
      <c r="AG4286" s="6"/>
      <c r="AH4286" s="6"/>
      <c r="AI4286" s="6"/>
      <c r="AJ4286" s="6"/>
      <c r="AK4286" s="6"/>
      <c r="AL4286" s="6"/>
      <c r="AM4286" s="6"/>
    </row>
    <row r="4287">
      <c r="A4287" s="6"/>
      <c r="B4287" s="6"/>
      <c r="C4287" s="6"/>
      <c r="D4287" s="6"/>
      <c r="E4287" s="6"/>
      <c r="F4287" s="6"/>
      <c r="G4287" s="6"/>
      <c r="H4287" s="6"/>
      <c r="I4287" s="6"/>
      <c r="J4287" s="6"/>
      <c r="K4287" s="6"/>
      <c r="L4287" s="6"/>
      <c r="M4287" s="6"/>
      <c r="N4287" s="6"/>
      <c r="O4287" s="6"/>
      <c r="P4287" s="6"/>
      <c r="Q4287" s="6"/>
      <c r="R4287" s="6"/>
      <c r="S4287" s="6"/>
      <c r="T4287" s="6"/>
      <c r="U4287" s="6"/>
      <c r="V4287" s="6"/>
      <c r="W4287" s="6"/>
      <c r="X4287" s="6"/>
      <c r="Y4287" s="6"/>
      <c r="Z4287" s="6"/>
      <c r="AA4287" s="6"/>
      <c r="AB4287" s="6"/>
      <c r="AC4287" s="6"/>
      <c r="AD4287" s="6"/>
      <c r="AE4287" s="6"/>
      <c r="AF4287" s="6"/>
      <c r="AG4287" s="6"/>
      <c r="AH4287" s="6"/>
      <c r="AI4287" s="6"/>
      <c r="AJ4287" s="6"/>
      <c r="AK4287" s="6"/>
      <c r="AL4287" s="6"/>
      <c r="AM4287" s="6"/>
    </row>
    <row r="4288">
      <c r="A4288" s="6"/>
      <c r="B4288" s="6"/>
      <c r="C4288" s="6"/>
      <c r="D4288" s="6"/>
      <c r="E4288" s="6"/>
      <c r="F4288" s="6"/>
      <c r="G4288" s="6"/>
      <c r="H4288" s="6"/>
      <c r="I4288" s="6"/>
      <c r="J4288" s="6"/>
      <c r="K4288" s="6"/>
      <c r="L4288" s="6"/>
      <c r="M4288" s="6"/>
      <c r="N4288" s="6"/>
      <c r="O4288" s="6"/>
      <c r="P4288" s="6"/>
      <c r="Q4288" s="6"/>
      <c r="R4288" s="6"/>
      <c r="S4288" s="6"/>
      <c r="T4288" s="6"/>
      <c r="U4288" s="6"/>
      <c r="V4288" s="6"/>
      <c r="W4288" s="6"/>
      <c r="X4288" s="6"/>
      <c r="Y4288" s="6"/>
      <c r="Z4288" s="6"/>
      <c r="AA4288" s="6"/>
      <c r="AB4288" s="6"/>
      <c r="AC4288" s="6"/>
      <c r="AD4288" s="6"/>
      <c r="AE4288" s="6"/>
      <c r="AF4288" s="6"/>
      <c r="AG4288" s="6"/>
      <c r="AH4288" s="6"/>
      <c r="AI4288" s="6"/>
      <c r="AJ4288" s="6"/>
      <c r="AK4288" s="6"/>
      <c r="AL4288" s="6"/>
      <c r="AM4288" s="6"/>
    </row>
    <row r="4289">
      <c r="A4289" s="6"/>
      <c r="B4289" s="6"/>
      <c r="C4289" s="6"/>
      <c r="D4289" s="6"/>
      <c r="E4289" s="6"/>
      <c r="F4289" s="6"/>
      <c r="G4289" s="6"/>
      <c r="H4289" s="6"/>
      <c r="I4289" s="6"/>
      <c r="J4289" s="6"/>
      <c r="K4289" s="6"/>
      <c r="L4289" s="6"/>
      <c r="M4289" s="6"/>
      <c r="N4289" s="6"/>
      <c r="O4289" s="6"/>
      <c r="P4289" s="6"/>
      <c r="Q4289" s="6"/>
      <c r="R4289" s="6"/>
      <c r="S4289" s="6"/>
      <c r="T4289" s="6"/>
      <c r="U4289" s="6"/>
      <c r="V4289" s="6"/>
      <c r="W4289" s="6"/>
      <c r="X4289" s="6"/>
      <c r="Y4289" s="6"/>
      <c r="Z4289" s="6"/>
      <c r="AA4289" s="6"/>
      <c r="AB4289" s="6"/>
      <c r="AC4289" s="6"/>
      <c r="AD4289" s="6"/>
      <c r="AE4289" s="6"/>
      <c r="AF4289" s="6"/>
      <c r="AG4289" s="6"/>
      <c r="AH4289" s="6"/>
      <c r="AI4289" s="6"/>
      <c r="AJ4289" s="6"/>
      <c r="AK4289" s="6"/>
      <c r="AL4289" s="6"/>
      <c r="AM4289" s="6"/>
    </row>
    <row r="4290">
      <c r="A4290" s="6"/>
      <c r="B4290" s="6"/>
      <c r="C4290" s="6"/>
      <c r="D4290" s="6"/>
      <c r="E4290" s="6"/>
      <c r="F4290" s="6"/>
      <c r="G4290" s="6"/>
      <c r="H4290" s="6"/>
      <c r="I4290" s="6"/>
      <c r="J4290" s="6"/>
      <c r="K4290" s="6"/>
      <c r="L4290" s="6"/>
      <c r="M4290" s="6"/>
      <c r="N4290" s="6"/>
      <c r="O4290" s="6"/>
      <c r="P4290" s="6"/>
      <c r="Q4290" s="6"/>
      <c r="R4290" s="6"/>
      <c r="S4290" s="6"/>
      <c r="T4290" s="6"/>
      <c r="U4290" s="6"/>
      <c r="V4290" s="6"/>
      <c r="W4290" s="6"/>
      <c r="X4290" s="6"/>
      <c r="Y4290" s="6"/>
      <c r="Z4290" s="6"/>
      <c r="AA4290" s="6"/>
      <c r="AB4290" s="6"/>
      <c r="AC4290" s="6"/>
      <c r="AD4290" s="6"/>
      <c r="AE4290" s="6"/>
      <c r="AF4290" s="6"/>
      <c r="AG4290" s="6"/>
      <c r="AH4290" s="6"/>
      <c r="AI4290" s="6"/>
      <c r="AJ4290" s="6"/>
      <c r="AK4290" s="6"/>
      <c r="AL4290" s="6"/>
      <c r="AM4290" s="6"/>
    </row>
    <row r="4291">
      <c r="A4291" s="6"/>
      <c r="B4291" s="6"/>
      <c r="C4291" s="6"/>
      <c r="D4291" s="6"/>
      <c r="E4291" s="6"/>
      <c r="F4291" s="6"/>
      <c r="G4291" s="6"/>
      <c r="H4291" s="6"/>
      <c r="I4291" s="6"/>
      <c r="J4291" s="6"/>
      <c r="K4291" s="6"/>
      <c r="L4291" s="6"/>
      <c r="M4291" s="6"/>
      <c r="N4291" s="6"/>
      <c r="O4291" s="6"/>
      <c r="P4291" s="6"/>
      <c r="Q4291" s="6"/>
      <c r="R4291" s="6"/>
      <c r="S4291" s="6"/>
      <c r="T4291" s="6"/>
      <c r="U4291" s="6"/>
      <c r="V4291" s="6"/>
      <c r="W4291" s="6"/>
      <c r="X4291" s="6"/>
      <c r="Y4291" s="6"/>
      <c r="Z4291" s="6"/>
      <c r="AA4291" s="6"/>
      <c r="AB4291" s="6"/>
      <c r="AC4291" s="6"/>
      <c r="AD4291" s="6"/>
      <c r="AE4291" s="6"/>
      <c r="AF4291" s="6"/>
      <c r="AG4291" s="6"/>
      <c r="AH4291" s="6"/>
      <c r="AI4291" s="6"/>
      <c r="AJ4291" s="6"/>
      <c r="AK4291" s="6"/>
      <c r="AL4291" s="6"/>
      <c r="AM4291" s="6"/>
    </row>
    <row r="4292">
      <c r="A4292" s="6"/>
      <c r="B4292" s="6"/>
      <c r="C4292" s="6"/>
      <c r="D4292" s="6"/>
      <c r="E4292" s="6"/>
      <c r="F4292" s="6"/>
      <c r="G4292" s="6"/>
      <c r="H4292" s="6"/>
      <c r="I4292" s="6"/>
      <c r="J4292" s="6"/>
      <c r="K4292" s="6"/>
      <c r="L4292" s="6"/>
      <c r="M4292" s="6"/>
      <c r="N4292" s="6"/>
      <c r="O4292" s="6"/>
      <c r="P4292" s="6"/>
      <c r="Q4292" s="6"/>
      <c r="R4292" s="6"/>
      <c r="S4292" s="6"/>
      <c r="T4292" s="6"/>
      <c r="U4292" s="6"/>
      <c r="V4292" s="6"/>
      <c r="W4292" s="6"/>
      <c r="X4292" s="6"/>
      <c r="Y4292" s="6"/>
      <c r="Z4292" s="6"/>
      <c r="AA4292" s="6"/>
      <c r="AB4292" s="6"/>
      <c r="AC4292" s="6"/>
      <c r="AD4292" s="6"/>
      <c r="AE4292" s="6"/>
      <c r="AF4292" s="6"/>
      <c r="AG4292" s="6"/>
      <c r="AH4292" s="6"/>
      <c r="AI4292" s="6"/>
      <c r="AJ4292" s="6"/>
      <c r="AK4292" s="6"/>
      <c r="AL4292" s="6"/>
      <c r="AM4292" s="6"/>
    </row>
    <row r="4293">
      <c r="A4293" s="6"/>
      <c r="B4293" s="6"/>
      <c r="C4293" s="6"/>
      <c r="D4293" s="6"/>
      <c r="E4293" s="6"/>
      <c r="F4293" s="6"/>
      <c r="G4293" s="6"/>
      <c r="H4293" s="6"/>
      <c r="I4293" s="6"/>
      <c r="J4293" s="6"/>
      <c r="K4293" s="6"/>
      <c r="L4293" s="6"/>
      <c r="M4293" s="6"/>
      <c r="N4293" s="6"/>
      <c r="O4293" s="6"/>
      <c r="P4293" s="6"/>
      <c r="Q4293" s="6"/>
      <c r="R4293" s="6"/>
      <c r="S4293" s="6"/>
      <c r="T4293" s="6"/>
      <c r="U4293" s="6"/>
      <c r="V4293" s="6"/>
      <c r="W4293" s="6"/>
      <c r="X4293" s="6"/>
      <c r="Y4293" s="6"/>
      <c r="Z4293" s="6"/>
      <c r="AA4293" s="6"/>
      <c r="AB4293" s="6"/>
      <c r="AC4293" s="6"/>
      <c r="AD4293" s="6"/>
      <c r="AE4293" s="6"/>
      <c r="AF4293" s="6"/>
      <c r="AG4293" s="6"/>
      <c r="AH4293" s="6"/>
      <c r="AI4293" s="6"/>
      <c r="AJ4293" s="6"/>
      <c r="AK4293" s="6"/>
      <c r="AL4293" s="6"/>
      <c r="AM4293" s="6"/>
    </row>
    <row r="4294">
      <c r="A4294" s="6"/>
      <c r="B4294" s="6"/>
      <c r="C4294" s="6"/>
      <c r="D4294" s="6"/>
      <c r="E4294" s="6"/>
      <c r="F4294" s="6"/>
      <c r="G4294" s="6"/>
      <c r="H4294" s="6"/>
      <c r="I4294" s="6"/>
      <c r="J4294" s="6"/>
      <c r="K4294" s="6"/>
      <c r="L4294" s="6"/>
      <c r="M4294" s="6"/>
      <c r="N4294" s="6"/>
      <c r="O4294" s="6"/>
      <c r="P4294" s="6"/>
      <c r="Q4294" s="6"/>
      <c r="R4294" s="6"/>
      <c r="S4294" s="6"/>
      <c r="T4294" s="6"/>
      <c r="U4294" s="6"/>
      <c r="V4294" s="6"/>
      <c r="W4294" s="6"/>
      <c r="X4294" s="6"/>
      <c r="Y4294" s="6"/>
      <c r="Z4294" s="6"/>
      <c r="AA4294" s="6"/>
      <c r="AB4294" s="6"/>
      <c r="AC4294" s="6"/>
      <c r="AD4294" s="6"/>
      <c r="AE4294" s="6"/>
      <c r="AF4294" s="6"/>
      <c r="AG4294" s="6"/>
      <c r="AH4294" s="6"/>
      <c r="AI4294" s="6"/>
      <c r="AJ4294" s="6"/>
      <c r="AK4294" s="6"/>
      <c r="AL4294" s="6"/>
      <c r="AM4294" s="6"/>
    </row>
    <row r="4295">
      <c r="A4295" s="6"/>
      <c r="B4295" s="6"/>
      <c r="C4295" s="6"/>
      <c r="D4295" s="6"/>
      <c r="E4295" s="6"/>
      <c r="F4295" s="6"/>
      <c r="G4295" s="6"/>
      <c r="H4295" s="6"/>
      <c r="I4295" s="6"/>
      <c r="J4295" s="6"/>
      <c r="K4295" s="6"/>
      <c r="L4295" s="6"/>
      <c r="M4295" s="6"/>
      <c r="N4295" s="6"/>
      <c r="O4295" s="6"/>
      <c r="P4295" s="6"/>
      <c r="Q4295" s="6"/>
      <c r="R4295" s="6"/>
      <c r="S4295" s="6"/>
      <c r="T4295" s="6"/>
      <c r="U4295" s="6"/>
      <c r="V4295" s="6"/>
      <c r="W4295" s="6"/>
      <c r="X4295" s="6"/>
      <c r="Y4295" s="6"/>
      <c r="Z4295" s="6"/>
      <c r="AA4295" s="6"/>
      <c r="AB4295" s="6"/>
      <c r="AC4295" s="6"/>
      <c r="AD4295" s="6"/>
      <c r="AE4295" s="6"/>
      <c r="AF4295" s="6"/>
      <c r="AG4295" s="6"/>
      <c r="AH4295" s="6"/>
      <c r="AI4295" s="6"/>
      <c r="AJ4295" s="6"/>
      <c r="AK4295" s="6"/>
      <c r="AL4295" s="6"/>
      <c r="AM4295" s="6"/>
    </row>
    <row r="4296">
      <c r="A4296" s="6"/>
      <c r="B4296" s="6"/>
      <c r="C4296" s="6"/>
      <c r="D4296" s="6"/>
      <c r="E4296" s="6"/>
      <c r="F4296" s="6"/>
      <c r="G4296" s="6"/>
      <c r="H4296" s="6"/>
      <c r="I4296" s="6"/>
      <c r="J4296" s="6"/>
      <c r="K4296" s="6"/>
      <c r="L4296" s="6"/>
      <c r="M4296" s="6"/>
      <c r="N4296" s="6"/>
      <c r="O4296" s="6"/>
      <c r="P4296" s="6"/>
      <c r="Q4296" s="6"/>
      <c r="R4296" s="6"/>
      <c r="S4296" s="6"/>
      <c r="T4296" s="6"/>
      <c r="U4296" s="6"/>
      <c r="V4296" s="6"/>
      <c r="W4296" s="6"/>
      <c r="X4296" s="6"/>
      <c r="Y4296" s="6"/>
      <c r="Z4296" s="6"/>
      <c r="AA4296" s="6"/>
      <c r="AB4296" s="6"/>
      <c r="AC4296" s="6"/>
      <c r="AD4296" s="6"/>
      <c r="AE4296" s="6"/>
      <c r="AF4296" s="6"/>
      <c r="AG4296" s="6"/>
      <c r="AH4296" s="6"/>
      <c r="AI4296" s="6"/>
      <c r="AJ4296" s="6"/>
      <c r="AK4296" s="6"/>
      <c r="AL4296" s="6"/>
      <c r="AM4296" s="6"/>
    </row>
    <row r="4297">
      <c r="A4297" s="6"/>
      <c r="B4297" s="6"/>
      <c r="C4297" s="6"/>
      <c r="D4297" s="6"/>
      <c r="E4297" s="6"/>
      <c r="F4297" s="6"/>
      <c r="G4297" s="6"/>
      <c r="H4297" s="6"/>
      <c r="I4297" s="6"/>
      <c r="J4297" s="6"/>
      <c r="K4297" s="6"/>
      <c r="L4297" s="6"/>
      <c r="M4297" s="6"/>
      <c r="N4297" s="6"/>
      <c r="O4297" s="6"/>
      <c r="P4297" s="6"/>
      <c r="Q4297" s="6"/>
      <c r="R4297" s="6"/>
      <c r="S4297" s="6"/>
      <c r="T4297" s="6"/>
      <c r="U4297" s="6"/>
      <c r="V4297" s="6"/>
      <c r="W4297" s="6"/>
      <c r="X4297" s="6"/>
      <c r="Y4297" s="6"/>
      <c r="Z4297" s="6"/>
      <c r="AA4297" s="6"/>
      <c r="AB4297" s="6"/>
      <c r="AC4297" s="6"/>
      <c r="AD4297" s="6"/>
      <c r="AE4297" s="6"/>
      <c r="AF4297" s="6"/>
      <c r="AG4297" s="6"/>
      <c r="AH4297" s="6"/>
      <c r="AI4297" s="6"/>
      <c r="AJ4297" s="6"/>
      <c r="AK4297" s="6"/>
      <c r="AL4297" s="6"/>
      <c r="AM4297" s="6"/>
    </row>
    <row r="4298">
      <c r="A4298" s="6"/>
      <c r="B4298" s="6"/>
      <c r="C4298" s="6"/>
      <c r="D4298" s="6"/>
      <c r="E4298" s="6"/>
      <c r="F4298" s="6"/>
      <c r="G4298" s="6"/>
      <c r="H4298" s="6"/>
      <c r="I4298" s="6"/>
      <c r="J4298" s="6"/>
      <c r="K4298" s="6"/>
      <c r="L4298" s="6"/>
      <c r="M4298" s="6"/>
      <c r="N4298" s="6"/>
      <c r="O4298" s="6"/>
      <c r="P4298" s="6"/>
      <c r="Q4298" s="6"/>
      <c r="R4298" s="6"/>
      <c r="S4298" s="6"/>
      <c r="T4298" s="6"/>
      <c r="U4298" s="6"/>
      <c r="V4298" s="6"/>
      <c r="W4298" s="6"/>
      <c r="X4298" s="6"/>
      <c r="Y4298" s="6"/>
      <c r="Z4298" s="6"/>
      <c r="AA4298" s="6"/>
      <c r="AB4298" s="6"/>
      <c r="AC4298" s="6"/>
      <c r="AD4298" s="6"/>
      <c r="AE4298" s="6"/>
      <c r="AF4298" s="6"/>
      <c r="AG4298" s="6"/>
      <c r="AH4298" s="6"/>
      <c r="AI4298" s="6"/>
      <c r="AJ4298" s="6"/>
      <c r="AK4298" s="6"/>
      <c r="AL4298" s="6"/>
      <c r="AM4298" s="6"/>
    </row>
    <row r="4299">
      <c r="A4299" s="6"/>
      <c r="B4299" s="6"/>
      <c r="C4299" s="6"/>
      <c r="D4299" s="6"/>
      <c r="E4299" s="6"/>
      <c r="F4299" s="6"/>
      <c r="G4299" s="6"/>
      <c r="H4299" s="6"/>
      <c r="I4299" s="6"/>
      <c r="J4299" s="6"/>
      <c r="K4299" s="6"/>
      <c r="L4299" s="6"/>
      <c r="M4299" s="6"/>
      <c r="N4299" s="6"/>
      <c r="O4299" s="6"/>
      <c r="P4299" s="6"/>
      <c r="Q4299" s="6"/>
      <c r="R4299" s="6"/>
      <c r="S4299" s="6"/>
      <c r="T4299" s="6"/>
      <c r="U4299" s="6"/>
      <c r="V4299" s="6"/>
      <c r="W4299" s="6"/>
      <c r="X4299" s="6"/>
      <c r="Y4299" s="6"/>
      <c r="Z4299" s="6"/>
      <c r="AA4299" s="6"/>
      <c r="AB4299" s="6"/>
      <c r="AC4299" s="6"/>
      <c r="AD4299" s="6"/>
      <c r="AE4299" s="6"/>
      <c r="AF4299" s="6"/>
      <c r="AG4299" s="6"/>
      <c r="AH4299" s="6"/>
      <c r="AI4299" s="6"/>
      <c r="AJ4299" s="6"/>
      <c r="AK4299" s="6"/>
      <c r="AL4299" s="6"/>
      <c r="AM4299" s="6"/>
    </row>
    <row r="4300">
      <c r="A4300" s="6"/>
      <c r="B4300" s="6"/>
      <c r="C4300" s="6"/>
      <c r="D4300" s="6"/>
      <c r="E4300" s="6"/>
      <c r="F4300" s="6"/>
      <c r="G4300" s="6"/>
      <c r="H4300" s="6"/>
      <c r="I4300" s="6"/>
      <c r="J4300" s="6"/>
      <c r="K4300" s="6"/>
      <c r="L4300" s="6"/>
      <c r="M4300" s="6"/>
      <c r="N4300" s="6"/>
      <c r="O4300" s="6"/>
      <c r="P4300" s="6"/>
      <c r="Q4300" s="6"/>
      <c r="R4300" s="6"/>
      <c r="S4300" s="6"/>
      <c r="T4300" s="6"/>
      <c r="U4300" s="6"/>
      <c r="V4300" s="6"/>
      <c r="W4300" s="6"/>
      <c r="X4300" s="6"/>
      <c r="Y4300" s="6"/>
      <c r="Z4300" s="6"/>
      <c r="AA4300" s="6"/>
      <c r="AB4300" s="6"/>
      <c r="AC4300" s="6"/>
      <c r="AD4300" s="6"/>
      <c r="AE4300" s="6"/>
      <c r="AF4300" s="6"/>
      <c r="AG4300" s="6"/>
      <c r="AH4300" s="6"/>
      <c r="AI4300" s="6"/>
      <c r="AJ4300" s="6"/>
      <c r="AK4300" s="6"/>
      <c r="AL4300" s="6"/>
      <c r="AM4300" s="6"/>
    </row>
    <row r="4301">
      <c r="A4301" s="6"/>
      <c r="B4301" s="6"/>
      <c r="C4301" s="6"/>
      <c r="D4301" s="6"/>
      <c r="E4301" s="6"/>
      <c r="F4301" s="6"/>
      <c r="G4301" s="6"/>
      <c r="H4301" s="6"/>
      <c r="I4301" s="6"/>
      <c r="J4301" s="6"/>
      <c r="K4301" s="6"/>
      <c r="L4301" s="6"/>
      <c r="M4301" s="6"/>
      <c r="N4301" s="6"/>
      <c r="O4301" s="6"/>
      <c r="P4301" s="6"/>
      <c r="Q4301" s="6"/>
      <c r="R4301" s="6"/>
      <c r="S4301" s="6"/>
      <c r="T4301" s="6"/>
      <c r="U4301" s="6"/>
      <c r="V4301" s="6"/>
      <c r="W4301" s="6"/>
      <c r="X4301" s="6"/>
      <c r="Y4301" s="6"/>
      <c r="Z4301" s="6"/>
      <c r="AA4301" s="6"/>
      <c r="AB4301" s="6"/>
      <c r="AC4301" s="6"/>
      <c r="AD4301" s="6"/>
      <c r="AE4301" s="6"/>
      <c r="AF4301" s="6"/>
      <c r="AG4301" s="6"/>
      <c r="AH4301" s="6"/>
      <c r="AI4301" s="6"/>
      <c r="AJ4301" s="6"/>
      <c r="AK4301" s="6"/>
      <c r="AL4301" s="6"/>
      <c r="AM4301" s="6"/>
    </row>
    <row r="4302">
      <c r="A4302" s="6"/>
      <c r="B4302" s="6"/>
      <c r="C4302" s="6"/>
      <c r="D4302" s="6"/>
      <c r="E4302" s="6"/>
      <c r="F4302" s="6"/>
      <c r="G4302" s="6"/>
      <c r="H4302" s="6"/>
      <c r="I4302" s="6"/>
      <c r="J4302" s="6"/>
      <c r="K4302" s="6"/>
      <c r="L4302" s="6"/>
      <c r="M4302" s="6"/>
      <c r="N4302" s="6"/>
      <c r="O4302" s="6"/>
      <c r="P4302" s="6"/>
      <c r="Q4302" s="6"/>
      <c r="R4302" s="6"/>
      <c r="S4302" s="6"/>
      <c r="T4302" s="6"/>
      <c r="U4302" s="6"/>
      <c r="V4302" s="6"/>
      <c r="W4302" s="6"/>
      <c r="X4302" s="6"/>
      <c r="Y4302" s="6"/>
      <c r="Z4302" s="6"/>
      <c r="AA4302" s="6"/>
      <c r="AB4302" s="6"/>
      <c r="AC4302" s="6"/>
      <c r="AD4302" s="6"/>
      <c r="AE4302" s="6"/>
      <c r="AF4302" s="6"/>
      <c r="AG4302" s="6"/>
      <c r="AH4302" s="6"/>
      <c r="AI4302" s="6"/>
      <c r="AJ4302" s="6"/>
      <c r="AK4302" s="6"/>
      <c r="AL4302" s="6"/>
      <c r="AM4302" s="6"/>
    </row>
    <row r="4303">
      <c r="A4303" s="6"/>
      <c r="B4303" s="6"/>
      <c r="C4303" s="6"/>
      <c r="D4303" s="6"/>
      <c r="E4303" s="6"/>
      <c r="F4303" s="6"/>
      <c r="G4303" s="6"/>
      <c r="H4303" s="6"/>
      <c r="I4303" s="6"/>
      <c r="J4303" s="6"/>
      <c r="K4303" s="6"/>
      <c r="L4303" s="6"/>
      <c r="M4303" s="6"/>
      <c r="N4303" s="6"/>
      <c r="O4303" s="6"/>
      <c r="P4303" s="6"/>
      <c r="Q4303" s="6"/>
      <c r="R4303" s="6"/>
      <c r="S4303" s="6"/>
      <c r="T4303" s="6"/>
      <c r="U4303" s="6"/>
      <c r="V4303" s="6"/>
      <c r="W4303" s="6"/>
      <c r="X4303" s="6"/>
      <c r="Y4303" s="6"/>
      <c r="Z4303" s="6"/>
      <c r="AA4303" s="6"/>
      <c r="AB4303" s="6"/>
      <c r="AC4303" s="6"/>
      <c r="AD4303" s="6"/>
      <c r="AE4303" s="6"/>
      <c r="AF4303" s="6"/>
      <c r="AG4303" s="6"/>
      <c r="AH4303" s="6"/>
      <c r="AI4303" s="6"/>
      <c r="AJ4303" s="6"/>
      <c r="AK4303" s="6"/>
      <c r="AL4303" s="6"/>
      <c r="AM4303" s="6"/>
    </row>
    <row r="4304">
      <c r="A4304" s="6"/>
      <c r="B4304" s="6"/>
      <c r="C4304" s="6"/>
      <c r="D4304" s="6"/>
      <c r="E4304" s="6"/>
      <c r="F4304" s="6"/>
      <c r="G4304" s="6"/>
      <c r="H4304" s="6"/>
      <c r="I4304" s="6"/>
      <c r="J4304" s="6"/>
      <c r="K4304" s="6"/>
      <c r="L4304" s="6"/>
      <c r="M4304" s="6"/>
      <c r="N4304" s="6"/>
      <c r="O4304" s="6"/>
      <c r="P4304" s="6"/>
      <c r="Q4304" s="6"/>
      <c r="R4304" s="6"/>
      <c r="S4304" s="6"/>
      <c r="T4304" s="6"/>
      <c r="U4304" s="6"/>
      <c r="V4304" s="6"/>
      <c r="W4304" s="6"/>
      <c r="X4304" s="6"/>
      <c r="Y4304" s="6"/>
      <c r="Z4304" s="6"/>
      <c r="AA4304" s="6"/>
      <c r="AB4304" s="6"/>
      <c r="AC4304" s="6"/>
      <c r="AD4304" s="6"/>
      <c r="AE4304" s="6"/>
      <c r="AF4304" s="6"/>
      <c r="AG4304" s="6"/>
      <c r="AH4304" s="6"/>
      <c r="AI4304" s="6"/>
      <c r="AJ4304" s="6"/>
      <c r="AK4304" s="6"/>
      <c r="AL4304" s="6"/>
      <c r="AM4304" s="6"/>
    </row>
    <row r="4305">
      <c r="A4305" s="6"/>
      <c r="B4305" s="6"/>
      <c r="C4305" s="6"/>
      <c r="D4305" s="6"/>
      <c r="E4305" s="6"/>
      <c r="F4305" s="6"/>
      <c r="G4305" s="6"/>
      <c r="H4305" s="6"/>
      <c r="I4305" s="6"/>
      <c r="J4305" s="6"/>
      <c r="K4305" s="6"/>
      <c r="L4305" s="6"/>
      <c r="M4305" s="6"/>
      <c r="N4305" s="6"/>
      <c r="O4305" s="6"/>
      <c r="P4305" s="6"/>
      <c r="Q4305" s="6"/>
      <c r="R4305" s="6"/>
      <c r="S4305" s="6"/>
      <c r="T4305" s="6"/>
      <c r="U4305" s="6"/>
      <c r="V4305" s="6"/>
      <c r="W4305" s="6"/>
      <c r="X4305" s="6"/>
      <c r="Y4305" s="6"/>
      <c r="Z4305" s="6"/>
      <c r="AA4305" s="6"/>
      <c r="AB4305" s="6"/>
      <c r="AC4305" s="6"/>
      <c r="AD4305" s="6"/>
      <c r="AE4305" s="6"/>
      <c r="AF4305" s="6"/>
      <c r="AG4305" s="6"/>
      <c r="AH4305" s="6"/>
      <c r="AI4305" s="6"/>
      <c r="AJ4305" s="6"/>
      <c r="AK4305" s="6"/>
      <c r="AL4305" s="6"/>
      <c r="AM4305" s="6"/>
    </row>
    <row r="4306">
      <c r="A4306" s="6"/>
      <c r="B4306" s="6"/>
      <c r="C4306" s="6"/>
      <c r="D4306" s="6"/>
      <c r="E4306" s="6"/>
      <c r="F4306" s="6"/>
      <c r="G4306" s="6"/>
      <c r="H4306" s="6"/>
      <c r="I4306" s="6"/>
      <c r="J4306" s="6"/>
      <c r="K4306" s="6"/>
      <c r="L4306" s="6"/>
      <c r="M4306" s="6"/>
      <c r="N4306" s="6"/>
      <c r="O4306" s="6"/>
      <c r="P4306" s="6"/>
      <c r="Q4306" s="6"/>
      <c r="R4306" s="6"/>
      <c r="S4306" s="6"/>
      <c r="T4306" s="6"/>
      <c r="U4306" s="6"/>
      <c r="V4306" s="6"/>
      <c r="W4306" s="6"/>
      <c r="X4306" s="6"/>
      <c r="Y4306" s="6"/>
      <c r="Z4306" s="6"/>
      <c r="AA4306" s="6"/>
      <c r="AB4306" s="6"/>
      <c r="AC4306" s="6"/>
      <c r="AD4306" s="6"/>
      <c r="AE4306" s="6"/>
      <c r="AF4306" s="6"/>
      <c r="AG4306" s="6"/>
      <c r="AH4306" s="6"/>
      <c r="AI4306" s="6"/>
      <c r="AJ4306" s="6"/>
      <c r="AK4306" s="6"/>
      <c r="AL4306" s="6"/>
      <c r="AM4306" s="6"/>
    </row>
    <row r="4307">
      <c r="A4307" s="6"/>
      <c r="B4307" s="6"/>
      <c r="C4307" s="6"/>
      <c r="D4307" s="6"/>
      <c r="E4307" s="6"/>
      <c r="F4307" s="6"/>
      <c r="G4307" s="6"/>
      <c r="H4307" s="6"/>
      <c r="I4307" s="6"/>
      <c r="J4307" s="6"/>
      <c r="K4307" s="6"/>
      <c r="L4307" s="6"/>
      <c r="M4307" s="6"/>
      <c r="N4307" s="6"/>
      <c r="O4307" s="6"/>
      <c r="P4307" s="6"/>
      <c r="Q4307" s="6"/>
      <c r="R4307" s="6"/>
      <c r="S4307" s="6"/>
      <c r="T4307" s="6"/>
      <c r="U4307" s="6"/>
      <c r="V4307" s="6"/>
      <c r="W4307" s="6"/>
      <c r="X4307" s="6"/>
      <c r="Y4307" s="6"/>
      <c r="Z4307" s="6"/>
      <c r="AA4307" s="6"/>
      <c r="AB4307" s="6"/>
      <c r="AC4307" s="6"/>
      <c r="AD4307" s="6"/>
      <c r="AE4307" s="6"/>
      <c r="AF4307" s="6"/>
      <c r="AG4307" s="6"/>
      <c r="AH4307" s="6"/>
      <c r="AI4307" s="6"/>
      <c r="AJ4307" s="6"/>
      <c r="AK4307" s="6"/>
      <c r="AL4307" s="6"/>
      <c r="AM4307" s="6"/>
    </row>
    <row r="4308">
      <c r="A4308" s="6"/>
      <c r="B4308" s="6"/>
      <c r="C4308" s="6"/>
      <c r="D4308" s="6"/>
      <c r="E4308" s="6"/>
      <c r="F4308" s="6"/>
      <c r="G4308" s="6"/>
      <c r="H4308" s="6"/>
      <c r="I4308" s="6"/>
      <c r="J4308" s="6"/>
      <c r="K4308" s="6"/>
      <c r="L4308" s="6"/>
      <c r="M4308" s="6"/>
      <c r="N4308" s="6"/>
      <c r="O4308" s="6"/>
      <c r="P4308" s="6"/>
      <c r="Q4308" s="6"/>
      <c r="R4308" s="6"/>
      <c r="S4308" s="6"/>
      <c r="T4308" s="6"/>
      <c r="U4308" s="6"/>
      <c r="V4308" s="6"/>
      <c r="W4308" s="6"/>
      <c r="X4308" s="6"/>
      <c r="Y4308" s="6"/>
      <c r="Z4308" s="6"/>
      <c r="AA4308" s="6"/>
      <c r="AB4308" s="6"/>
      <c r="AC4308" s="6"/>
      <c r="AD4308" s="6"/>
      <c r="AE4308" s="6"/>
      <c r="AF4308" s="6"/>
      <c r="AG4308" s="6"/>
      <c r="AH4308" s="6"/>
      <c r="AI4308" s="6"/>
      <c r="AJ4308" s="6"/>
      <c r="AK4308" s="6"/>
      <c r="AL4308" s="6"/>
      <c r="AM4308" s="6"/>
    </row>
    <row r="4309">
      <c r="A4309" s="6"/>
      <c r="B4309" s="6"/>
      <c r="C4309" s="6"/>
      <c r="D4309" s="6"/>
      <c r="E4309" s="6"/>
      <c r="F4309" s="6"/>
      <c r="G4309" s="6"/>
      <c r="H4309" s="6"/>
      <c r="I4309" s="6"/>
      <c r="J4309" s="6"/>
      <c r="K4309" s="6"/>
      <c r="L4309" s="6"/>
      <c r="M4309" s="6"/>
      <c r="N4309" s="6"/>
      <c r="O4309" s="6"/>
      <c r="P4309" s="6"/>
      <c r="Q4309" s="6"/>
      <c r="R4309" s="6"/>
      <c r="S4309" s="6"/>
      <c r="T4309" s="6"/>
      <c r="U4309" s="6"/>
      <c r="V4309" s="6"/>
      <c r="W4309" s="6"/>
      <c r="X4309" s="6"/>
      <c r="Y4309" s="6"/>
      <c r="Z4309" s="6"/>
      <c r="AA4309" s="6"/>
      <c r="AB4309" s="6"/>
      <c r="AC4309" s="6"/>
      <c r="AD4309" s="6"/>
      <c r="AE4309" s="6"/>
      <c r="AF4309" s="6"/>
      <c r="AG4309" s="6"/>
      <c r="AH4309" s="6"/>
      <c r="AI4309" s="6"/>
      <c r="AJ4309" s="6"/>
      <c r="AK4309" s="6"/>
      <c r="AL4309" s="6"/>
      <c r="AM4309" s="6"/>
    </row>
    <row r="4310">
      <c r="A4310" s="6"/>
      <c r="B4310" s="6"/>
      <c r="C4310" s="6"/>
      <c r="D4310" s="6"/>
      <c r="E4310" s="6"/>
      <c r="F4310" s="6"/>
      <c r="G4310" s="6"/>
      <c r="H4310" s="6"/>
      <c r="I4310" s="6"/>
      <c r="J4310" s="6"/>
      <c r="K4310" s="6"/>
      <c r="L4310" s="6"/>
      <c r="M4310" s="6"/>
      <c r="N4310" s="6"/>
      <c r="O4310" s="6"/>
      <c r="P4310" s="6"/>
      <c r="Q4310" s="6"/>
      <c r="R4310" s="6"/>
      <c r="S4310" s="6"/>
      <c r="T4310" s="6"/>
      <c r="U4310" s="6"/>
      <c r="V4310" s="6"/>
      <c r="W4310" s="6"/>
      <c r="X4310" s="6"/>
      <c r="Y4310" s="6"/>
      <c r="Z4310" s="6"/>
      <c r="AA4310" s="6"/>
      <c r="AB4310" s="6"/>
      <c r="AC4310" s="6"/>
      <c r="AD4310" s="6"/>
      <c r="AE4310" s="6"/>
      <c r="AF4310" s="6"/>
      <c r="AG4310" s="6"/>
      <c r="AH4310" s="6"/>
      <c r="AI4310" s="6"/>
      <c r="AJ4310" s="6"/>
      <c r="AK4310" s="6"/>
      <c r="AL4310" s="6"/>
      <c r="AM4310" s="6"/>
    </row>
    <row r="4311">
      <c r="A4311" s="6"/>
      <c r="B4311" s="6"/>
      <c r="C4311" s="6"/>
      <c r="D4311" s="6"/>
      <c r="E4311" s="6"/>
      <c r="F4311" s="6"/>
      <c r="G4311" s="6"/>
      <c r="H4311" s="6"/>
      <c r="I4311" s="6"/>
      <c r="J4311" s="6"/>
      <c r="K4311" s="6"/>
      <c r="L4311" s="6"/>
      <c r="M4311" s="6"/>
      <c r="N4311" s="6"/>
      <c r="O4311" s="6"/>
      <c r="P4311" s="6"/>
      <c r="Q4311" s="6"/>
      <c r="R4311" s="6"/>
      <c r="S4311" s="6"/>
      <c r="T4311" s="6"/>
      <c r="U4311" s="6"/>
      <c r="V4311" s="6"/>
      <c r="W4311" s="6"/>
      <c r="X4311" s="6"/>
      <c r="Y4311" s="6"/>
      <c r="Z4311" s="6"/>
      <c r="AA4311" s="6"/>
      <c r="AB4311" s="6"/>
      <c r="AC4311" s="6"/>
      <c r="AD4311" s="6"/>
      <c r="AE4311" s="6"/>
      <c r="AF4311" s="6"/>
      <c r="AG4311" s="6"/>
      <c r="AH4311" s="6"/>
      <c r="AI4311" s="6"/>
      <c r="AJ4311" s="6"/>
      <c r="AK4311" s="6"/>
      <c r="AL4311" s="6"/>
      <c r="AM4311" s="6"/>
    </row>
    <row r="4312">
      <c r="A4312" s="6"/>
      <c r="B4312" s="6"/>
      <c r="C4312" s="6"/>
      <c r="D4312" s="6"/>
      <c r="E4312" s="6"/>
      <c r="F4312" s="6"/>
      <c r="G4312" s="6"/>
      <c r="H4312" s="6"/>
      <c r="I4312" s="6"/>
      <c r="J4312" s="6"/>
      <c r="K4312" s="6"/>
      <c r="L4312" s="6"/>
      <c r="M4312" s="6"/>
      <c r="N4312" s="6"/>
      <c r="O4312" s="6"/>
      <c r="P4312" s="6"/>
      <c r="Q4312" s="6"/>
      <c r="R4312" s="6"/>
      <c r="S4312" s="6"/>
      <c r="T4312" s="6"/>
      <c r="U4312" s="6"/>
      <c r="V4312" s="6"/>
      <c r="W4312" s="6"/>
      <c r="X4312" s="6"/>
      <c r="Y4312" s="6"/>
      <c r="Z4312" s="6"/>
      <c r="AA4312" s="6"/>
      <c r="AB4312" s="6"/>
      <c r="AC4312" s="6"/>
      <c r="AD4312" s="6"/>
      <c r="AE4312" s="6"/>
      <c r="AF4312" s="6"/>
      <c r="AG4312" s="6"/>
      <c r="AH4312" s="6"/>
      <c r="AI4312" s="6"/>
      <c r="AJ4312" s="6"/>
      <c r="AK4312" s="6"/>
      <c r="AL4312" s="6"/>
      <c r="AM4312" s="6"/>
    </row>
    <row r="4313">
      <c r="A4313" s="6"/>
      <c r="B4313" s="6"/>
      <c r="C4313" s="6"/>
      <c r="D4313" s="6"/>
      <c r="E4313" s="6"/>
      <c r="F4313" s="6"/>
      <c r="G4313" s="6"/>
      <c r="H4313" s="6"/>
      <c r="I4313" s="6"/>
      <c r="J4313" s="6"/>
      <c r="K4313" s="6"/>
      <c r="L4313" s="6"/>
      <c r="M4313" s="6"/>
      <c r="N4313" s="6"/>
      <c r="O4313" s="6"/>
      <c r="P4313" s="6"/>
      <c r="Q4313" s="6"/>
      <c r="R4313" s="6"/>
      <c r="S4313" s="6"/>
      <c r="T4313" s="6"/>
      <c r="U4313" s="6"/>
      <c r="V4313" s="6"/>
      <c r="W4313" s="6"/>
      <c r="X4313" s="6"/>
      <c r="Y4313" s="6"/>
      <c r="Z4313" s="6"/>
      <c r="AA4313" s="6"/>
      <c r="AB4313" s="6"/>
      <c r="AC4313" s="6"/>
      <c r="AD4313" s="6"/>
      <c r="AE4313" s="6"/>
      <c r="AF4313" s="6"/>
      <c r="AG4313" s="6"/>
      <c r="AH4313" s="6"/>
      <c r="AI4313" s="6"/>
      <c r="AJ4313" s="6"/>
      <c r="AK4313" s="6"/>
      <c r="AL4313" s="6"/>
      <c r="AM4313" s="6"/>
    </row>
    <row r="4314">
      <c r="A4314" s="6"/>
      <c r="B4314" s="6"/>
      <c r="C4314" s="6"/>
      <c r="D4314" s="6"/>
      <c r="E4314" s="6"/>
      <c r="F4314" s="6"/>
      <c r="G4314" s="6"/>
      <c r="H4314" s="6"/>
      <c r="I4314" s="6"/>
      <c r="J4314" s="6"/>
      <c r="K4314" s="6"/>
      <c r="L4314" s="6"/>
      <c r="M4314" s="6"/>
      <c r="N4314" s="6"/>
      <c r="O4314" s="6"/>
      <c r="P4314" s="6"/>
      <c r="Q4314" s="6"/>
      <c r="R4314" s="6"/>
      <c r="S4314" s="6"/>
      <c r="T4314" s="6"/>
      <c r="U4314" s="6"/>
      <c r="V4314" s="6"/>
      <c r="W4314" s="6"/>
      <c r="X4314" s="6"/>
      <c r="Y4314" s="6"/>
      <c r="Z4314" s="6"/>
      <c r="AA4314" s="6"/>
      <c r="AB4314" s="6"/>
      <c r="AC4314" s="6"/>
      <c r="AD4314" s="6"/>
      <c r="AE4314" s="6"/>
      <c r="AF4314" s="6"/>
      <c r="AG4314" s="6"/>
      <c r="AH4314" s="6"/>
      <c r="AI4314" s="6"/>
      <c r="AJ4314" s="6"/>
      <c r="AK4314" s="6"/>
      <c r="AL4314" s="6"/>
      <c r="AM4314" s="6"/>
    </row>
    <row r="4315">
      <c r="A4315" s="6"/>
      <c r="B4315" s="6"/>
      <c r="C4315" s="6"/>
      <c r="D4315" s="6"/>
      <c r="E4315" s="6"/>
      <c r="F4315" s="6"/>
      <c r="G4315" s="6"/>
      <c r="H4315" s="6"/>
      <c r="I4315" s="6"/>
      <c r="J4315" s="6"/>
      <c r="K4315" s="6"/>
      <c r="L4315" s="6"/>
      <c r="M4315" s="6"/>
      <c r="N4315" s="6"/>
      <c r="O4315" s="6"/>
      <c r="P4315" s="6"/>
      <c r="Q4315" s="6"/>
      <c r="R4315" s="6"/>
      <c r="S4315" s="6"/>
      <c r="T4315" s="6"/>
      <c r="U4315" s="6"/>
      <c r="V4315" s="6"/>
      <c r="W4315" s="6"/>
      <c r="X4315" s="6"/>
      <c r="Y4315" s="6"/>
      <c r="Z4315" s="6"/>
      <c r="AA4315" s="6"/>
      <c r="AB4315" s="6"/>
      <c r="AC4315" s="6"/>
      <c r="AD4315" s="6"/>
      <c r="AE4315" s="6"/>
      <c r="AF4315" s="6"/>
      <c r="AG4315" s="6"/>
      <c r="AH4315" s="6"/>
      <c r="AI4315" s="6"/>
      <c r="AJ4315" s="6"/>
      <c r="AK4315" s="6"/>
      <c r="AL4315" s="6"/>
      <c r="AM4315" s="6"/>
    </row>
    <row r="4316">
      <c r="A4316" s="6"/>
      <c r="B4316" s="6"/>
      <c r="C4316" s="6"/>
      <c r="D4316" s="6"/>
      <c r="E4316" s="6"/>
      <c r="F4316" s="6"/>
      <c r="G4316" s="6"/>
      <c r="H4316" s="6"/>
      <c r="I4316" s="6"/>
      <c r="J4316" s="6"/>
      <c r="K4316" s="6"/>
      <c r="L4316" s="6"/>
      <c r="M4316" s="6"/>
      <c r="N4316" s="6"/>
      <c r="O4316" s="6"/>
      <c r="P4316" s="6"/>
      <c r="Q4316" s="6"/>
      <c r="R4316" s="6"/>
      <c r="S4316" s="6"/>
      <c r="T4316" s="6"/>
      <c r="U4316" s="6"/>
      <c r="V4316" s="6"/>
      <c r="W4316" s="6"/>
      <c r="X4316" s="6"/>
      <c r="Y4316" s="6"/>
      <c r="Z4316" s="6"/>
      <c r="AA4316" s="6"/>
      <c r="AB4316" s="6"/>
      <c r="AC4316" s="6"/>
      <c r="AD4316" s="6"/>
      <c r="AE4316" s="6"/>
      <c r="AF4316" s="6"/>
      <c r="AG4316" s="6"/>
      <c r="AH4316" s="6"/>
      <c r="AI4316" s="6"/>
      <c r="AJ4316" s="6"/>
      <c r="AK4316" s="6"/>
      <c r="AL4316" s="6"/>
      <c r="AM4316" s="6"/>
    </row>
    <row r="4317">
      <c r="A4317" s="6"/>
      <c r="B4317" s="6"/>
      <c r="C4317" s="6"/>
      <c r="D4317" s="6"/>
      <c r="E4317" s="6"/>
      <c r="F4317" s="6"/>
      <c r="G4317" s="6"/>
      <c r="H4317" s="6"/>
      <c r="I4317" s="6"/>
      <c r="J4317" s="6"/>
      <c r="K4317" s="6"/>
      <c r="L4317" s="6"/>
      <c r="M4317" s="6"/>
      <c r="N4317" s="6"/>
      <c r="O4317" s="6"/>
      <c r="P4317" s="6"/>
      <c r="Q4317" s="6"/>
      <c r="R4317" s="6"/>
      <c r="S4317" s="6"/>
      <c r="T4317" s="6"/>
      <c r="U4317" s="6"/>
      <c r="V4317" s="6"/>
      <c r="W4317" s="6"/>
      <c r="X4317" s="6"/>
      <c r="Y4317" s="6"/>
      <c r="Z4317" s="6"/>
      <c r="AA4317" s="6"/>
      <c r="AB4317" s="6"/>
      <c r="AC4317" s="6"/>
      <c r="AD4317" s="6"/>
      <c r="AE4317" s="6"/>
      <c r="AF4317" s="6"/>
      <c r="AG4317" s="6"/>
      <c r="AH4317" s="6"/>
      <c r="AI4317" s="6"/>
      <c r="AJ4317" s="6"/>
      <c r="AK4317" s="6"/>
      <c r="AL4317" s="6"/>
      <c r="AM4317" s="6"/>
    </row>
    <row r="4318">
      <c r="A4318" s="6"/>
      <c r="B4318" s="6"/>
      <c r="C4318" s="6"/>
      <c r="D4318" s="6"/>
      <c r="E4318" s="6"/>
      <c r="F4318" s="6"/>
      <c r="G4318" s="6"/>
      <c r="H4318" s="6"/>
      <c r="I4318" s="6"/>
      <c r="J4318" s="6"/>
      <c r="K4318" s="6"/>
      <c r="L4318" s="6"/>
      <c r="M4318" s="6"/>
      <c r="N4318" s="6"/>
      <c r="O4318" s="6"/>
      <c r="P4318" s="6"/>
      <c r="Q4318" s="6"/>
      <c r="R4318" s="6"/>
      <c r="S4318" s="6"/>
      <c r="T4318" s="6"/>
      <c r="U4318" s="6"/>
      <c r="V4318" s="6"/>
      <c r="W4318" s="6"/>
      <c r="X4318" s="6"/>
      <c r="Y4318" s="6"/>
      <c r="Z4318" s="6"/>
      <c r="AA4318" s="6"/>
      <c r="AB4318" s="6"/>
      <c r="AC4318" s="6"/>
      <c r="AD4318" s="6"/>
      <c r="AE4318" s="6"/>
      <c r="AF4318" s="6"/>
      <c r="AG4318" s="6"/>
      <c r="AH4318" s="6"/>
      <c r="AI4318" s="6"/>
      <c r="AJ4318" s="6"/>
      <c r="AK4318" s="6"/>
      <c r="AL4318" s="6"/>
      <c r="AM4318" s="6"/>
    </row>
    <row r="4319">
      <c r="A4319" s="6"/>
      <c r="B4319" s="6"/>
      <c r="C4319" s="6"/>
      <c r="D4319" s="6"/>
      <c r="E4319" s="6"/>
      <c r="F4319" s="6"/>
      <c r="G4319" s="6"/>
      <c r="H4319" s="6"/>
      <c r="I4319" s="6"/>
      <c r="J4319" s="6"/>
      <c r="K4319" s="6"/>
      <c r="L4319" s="6"/>
      <c r="M4319" s="6"/>
      <c r="N4319" s="6"/>
      <c r="O4319" s="6"/>
      <c r="P4319" s="6"/>
      <c r="Q4319" s="6"/>
      <c r="R4319" s="6"/>
      <c r="S4319" s="6"/>
      <c r="T4319" s="6"/>
      <c r="U4319" s="6"/>
      <c r="V4319" s="6"/>
      <c r="W4319" s="6"/>
      <c r="X4319" s="6"/>
      <c r="Y4319" s="6"/>
      <c r="Z4319" s="6"/>
      <c r="AA4319" s="6"/>
      <c r="AB4319" s="6"/>
      <c r="AC4319" s="6"/>
      <c r="AD4319" s="6"/>
      <c r="AE4319" s="6"/>
      <c r="AF4319" s="6"/>
      <c r="AG4319" s="6"/>
      <c r="AH4319" s="6"/>
      <c r="AI4319" s="6"/>
      <c r="AJ4319" s="6"/>
      <c r="AK4319" s="6"/>
      <c r="AL4319" s="6"/>
      <c r="AM4319" s="6"/>
    </row>
    <row r="4320">
      <c r="A4320" s="6"/>
      <c r="B4320" s="6"/>
      <c r="C4320" s="6"/>
      <c r="D4320" s="6"/>
      <c r="E4320" s="6"/>
      <c r="F4320" s="6"/>
      <c r="G4320" s="6"/>
      <c r="H4320" s="6"/>
      <c r="I4320" s="6"/>
      <c r="J4320" s="6"/>
      <c r="K4320" s="6"/>
      <c r="L4320" s="6"/>
      <c r="M4320" s="6"/>
      <c r="N4320" s="6"/>
      <c r="O4320" s="6"/>
      <c r="P4320" s="6"/>
      <c r="Q4320" s="6"/>
      <c r="R4320" s="6"/>
      <c r="S4320" s="6"/>
      <c r="T4320" s="6"/>
      <c r="U4320" s="6"/>
      <c r="V4320" s="6"/>
      <c r="W4320" s="6"/>
      <c r="X4320" s="6"/>
      <c r="Y4320" s="6"/>
      <c r="Z4320" s="6"/>
      <c r="AA4320" s="6"/>
      <c r="AB4320" s="6"/>
      <c r="AC4320" s="6"/>
      <c r="AD4320" s="6"/>
      <c r="AE4320" s="6"/>
      <c r="AF4320" s="6"/>
      <c r="AG4320" s="6"/>
      <c r="AH4320" s="6"/>
      <c r="AI4320" s="6"/>
      <c r="AJ4320" s="6"/>
      <c r="AK4320" s="6"/>
      <c r="AL4320" s="6"/>
      <c r="AM4320" s="6"/>
    </row>
    <row r="4321">
      <c r="A4321" s="6"/>
      <c r="B4321" s="6"/>
      <c r="C4321" s="6"/>
      <c r="D4321" s="6"/>
      <c r="E4321" s="6"/>
      <c r="F4321" s="6"/>
      <c r="G4321" s="6"/>
      <c r="H4321" s="6"/>
      <c r="I4321" s="6"/>
      <c r="J4321" s="6"/>
      <c r="K4321" s="6"/>
      <c r="L4321" s="6"/>
      <c r="M4321" s="6"/>
      <c r="N4321" s="6"/>
      <c r="O4321" s="6"/>
      <c r="P4321" s="6"/>
      <c r="Q4321" s="6"/>
      <c r="R4321" s="6"/>
      <c r="S4321" s="6"/>
      <c r="T4321" s="6"/>
      <c r="U4321" s="6"/>
      <c r="V4321" s="6"/>
      <c r="W4321" s="6"/>
      <c r="X4321" s="6"/>
      <c r="Y4321" s="6"/>
      <c r="Z4321" s="6"/>
      <c r="AA4321" s="6"/>
      <c r="AB4321" s="6"/>
      <c r="AC4321" s="6"/>
      <c r="AD4321" s="6"/>
      <c r="AE4321" s="6"/>
      <c r="AF4321" s="6"/>
      <c r="AG4321" s="6"/>
      <c r="AH4321" s="6"/>
      <c r="AI4321" s="6"/>
      <c r="AJ4321" s="6"/>
      <c r="AK4321" s="6"/>
      <c r="AL4321" s="6"/>
      <c r="AM4321" s="6"/>
    </row>
    <row r="4322">
      <c r="A4322" s="6"/>
      <c r="B4322" s="6"/>
      <c r="C4322" s="6"/>
      <c r="D4322" s="6"/>
      <c r="E4322" s="6"/>
      <c r="F4322" s="6"/>
      <c r="G4322" s="6"/>
      <c r="H4322" s="6"/>
      <c r="I4322" s="6"/>
      <c r="J4322" s="6"/>
      <c r="K4322" s="6"/>
      <c r="L4322" s="6"/>
      <c r="M4322" s="6"/>
      <c r="N4322" s="6"/>
      <c r="O4322" s="6"/>
      <c r="P4322" s="6"/>
      <c r="Q4322" s="6"/>
      <c r="R4322" s="6"/>
      <c r="S4322" s="6"/>
      <c r="T4322" s="6"/>
      <c r="U4322" s="6"/>
      <c r="V4322" s="6"/>
      <c r="W4322" s="6"/>
      <c r="X4322" s="6"/>
      <c r="Y4322" s="6"/>
      <c r="Z4322" s="6"/>
      <c r="AA4322" s="6"/>
      <c r="AB4322" s="6"/>
      <c r="AC4322" s="6"/>
      <c r="AD4322" s="6"/>
      <c r="AE4322" s="6"/>
      <c r="AF4322" s="6"/>
      <c r="AG4322" s="6"/>
      <c r="AH4322" s="6"/>
      <c r="AI4322" s="6"/>
      <c r="AJ4322" s="6"/>
      <c r="AK4322" s="6"/>
      <c r="AL4322" s="6"/>
      <c r="AM4322" s="6"/>
    </row>
    <row r="4323">
      <c r="A4323" s="6"/>
      <c r="B4323" s="6"/>
      <c r="C4323" s="6"/>
      <c r="D4323" s="6"/>
      <c r="E4323" s="6"/>
      <c r="F4323" s="6"/>
      <c r="G4323" s="6"/>
      <c r="H4323" s="6"/>
      <c r="I4323" s="6"/>
      <c r="J4323" s="6"/>
      <c r="K4323" s="6"/>
      <c r="L4323" s="6"/>
      <c r="M4323" s="6"/>
      <c r="N4323" s="6"/>
      <c r="O4323" s="6"/>
      <c r="P4323" s="6"/>
      <c r="Q4323" s="6"/>
      <c r="R4323" s="6"/>
      <c r="S4323" s="6"/>
      <c r="T4323" s="6"/>
      <c r="U4323" s="6"/>
      <c r="V4323" s="6"/>
      <c r="W4323" s="6"/>
      <c r="X4323" s="6"/>
      <c r="Y4323" s="6"/>
      <c r="Z4323" s="6"/>
      <c r="AA4323" s="6"/>
      <c r="AB4323" s="6"/>
      <c r="AC4323" s="6"/>
      <c r="AD4323" s="6"/>
      <c r="AE4323" s="6"/>
      <c r="AF4323" s="6"/>
      <c r="AG4323" s="6"/>
      <c r="AH4323" s="6"/>
      <c r="AI4323" s="6"/>
      <c r="AJ4323" s="6"/>
      <c r="AK4323" s="6"/>
      <c r="AL4323" s="6"/>
      <c r="AM4323" s="6"/>
    </row>
    <row r="4324">
      <c r="A4324" s="6"/>
      <c r="B4324" s="6"/>
      <c r="C4324" s="6"/>
      <c r="D4324" s="6"/>
      <c r="E4324" s="6"/>
      <c r="F4324" s="6"/>
      <c r="G4324" s="6"/>
      <c r="H4324" s="6"/>
      <c r="I4324" s="6"/>
      <c r="J4324" s="6"/>
      <c r="K4324" s="6"/>
      <c r="L4324" s="6"/>
      <c r="M4324" s="6"/>
      <c r="N4324" s="6"/>
      <c r="O4324" s="6"/>
      <c r="P4324" s="6"/>
      <c r="Q4324" s="6"/>
      <c r="R4324" s="6"/>
      <c r="S4324" s="6"/>
      <c r="T4324" s="6"/>
      <c r="U4324" s="6"/>
      <c r="V4324" s="6"/>
      <c r="W4324" s="6"/>
      <c r="X4324" s="6"/>
      <c r="Y4324" s="6"/>
      <c r="Z4324" s="6"/>
      <c r="AA4324" s="6"/>
      <c r="AB4324" s="6"/>
      <c r="AC4324" s="6"/>
      <c r="AD4324" s="6"/>
      <c r="AE4324" s="6"/>
      <c r="AF4324" s="6"/>
      <c r="AG4324" s="6"/>
      <c r="AH4324" s="6"/>
      <c r="AI4324" s="6"/>
      <c r="AJ4324" s="6"/>
      <c r="AK4324" s="6"/>
      <c r="AL4324" s="6"/>
      <c r="AM4324" s="6"/>
    </row>
    <row r="4325">
      <c r="A4325" s="6"/>
      <c r="B4325" s="6"/>
      <c r="C4325" s="6"/>
      <c r="D4325" s="6"/>
      <c r="E4325" s="6"/>
      <c r="F4325" s="6"/>
      <c r="G4325" s="6"/>
      <c r="H4325" s="6"/>
      <c r="I4325" s="6"/>
      <c r="J4325" s="6"/>
      <c r="K4325" s="6"/>
      <c r="L4325" s="6"/>
      <c r="M4325" s="6"/>
      <c r="N4325" s="6"/>
      <c r="O4325" s="6"/>
      <c r="P4325" s="6"/>
      <c r="Q4325" s="6"/>
      <c r="R4325" s="6"/>
      <c r="S4325" s="6"/>
      <c r="T4325" s="6"/>
      <c r="U4325" s="6"/>
      <c r="V4325" s="6"/>
      <c r="W4325" s="6"/>
      <c r="X4325" s="6"/>
      <c r="Y4325" s="6"/>
      <c r="Z4325" s="6"/>
      <c r="AA4325" s="6"/>
      <c r="AB4325" s="6"/>
      <c r="AC4325" s="6"/>
      <c r="AD4325" s="6"/>
      <c r="AE4325" s="6"/>
      <c r="AF4325" s="6"/>
      <c r="AG4325" s="6"/>
      <c r="AH4325" s="6"/>
      <c r="AI4325" s="6"/>
      <c r="AJ4325" s="6"/>
      <c r="AK4325" s="6"/>
      <c r="AL4325" s="6"/>
      <c r="AM4325" s="6"/>
    </row>
    <row r="4326">
      <c r="A4326" s="6"/>
      <c r="B4326" s="6"/>
      <c r="C4326" s="6"/>
      <c r="D4326" s="6"/>
      <c r="E4326" s="6"/>
      <c r="F4326" s="6"/>
      <c r="G4326" s="6"/>
      <c r="H4326" s="6"/>
      <c r="I4326" s="6"/>
      <c r="J4326" s="6"/>
      <c r="K4326" s="6"/>
      <c r="L4326" s="6"/>
      <c r="M4326" s="6"/>
      <c r="N4326" s="6"/>
      <c r="O4326" s="6"/>
      <c r="P4326" s="6"/>
      <c r="Q4326" s="6"/>
      <c r="R4326" s="6"/>
      <c r="S4326" s="6"/>
      <c r="T4326" s="6"/>
      <c r="U4326" s="6"/>
      <c r="V4326" s="6"/>
      <c r="W4326" s="6"/>
      <c r="X4326" s="6"/>
      <c r="Y4326" s="6"/>
      <c r="Z4326" s="6"/>
      <c r="AA4326" s="6"/>
      <c r="AB4326" s="6"/>
      <c r="AC4326" s="6"/>
      <c r="AD4326" s="6"/>
      <c r="AE4326" s="6"/>
      <c r="AF4326" s="6"/>
      <c r="AG4326" s="6"/>
      <c r="AH4326" s="6"/>
      <c r="AI4326" s="6"/>
      <c r="AJ4326" s="6"/>
      <c r="AK4326" s="6"/>
      <c r="AL4326" s="6"/>
      <c r="AM4326" s="6"/>
    </row>
    <row r="4327">
      <c r="A4327" s="6"/>
      <c r="B4327" s="6"/>
      <c r="C4327" s="6"/>
      <c r="D4327" s="6"/>
      <c r="E4327" s="6"/>
      <c r="F4327" s="6"/>
      <c r="G4327" s="6"/>
      <c r="H4327" s="6"/>
      <c r="I4327" s="6"/>
      <c r="J4327" s="6"/>
      <c r="K4327" s="6"/>
      <c r="L4327" s="6"/>
      <c r="M4327" s="6"/>
      <c r="N4327" s="6"/>
      <c r="O4327" s="6"/>
      <c r="P4327" s="6"/>
      <c r="Q4327" s="6"/>
      <c r="R4327" s="6"/>
      <c r="S4327" s="6"/>
      <c r="T4327" s="6"/>
      <c r="U4327" s="6"/>
      <c r="V4327" s="6"/>
      <c r="W4327" s="6"/>
      <c r="X4327" s="6"/>
      <c r="Y4327" s="6"/>
      <c r="Z4327" s="6"/>
      <c r="AA4327" s="6"/>
      <c r="AB4327" s="6"/>
      <c r="AC4327" s="6"/>
      <c r="AD4327" s="6"/>
      <c r="AE4327" s="6"/>
      <c r="AF4327" s="6"/>
      <c r="AG4327" s="6"/>
      <c r="AH4327" s="6"/>
      <c r="AI4327" s="6"/>
      <c r="AJ4327" s="6"/>
      <c r="AK4327" s="6"/>
      <c r="AL4327" s="6"/>
      <c r="AM4327" s="6"/>
    </row>
    <row r="4328">
      <c r="A4328" s="6"/>
      <c r="B4328" s="6"/>
      <c r="C4328" s="6"/>
      <c r="D4328" s="6"/>
      <c r="E4328" s="6"/>
      <c r="F4328" s="6"/>
      <c r="G4328" s="6"/>
      <c r="H4328" s="6"/>
      <c r="I4328" s="6"/>
      <c r="J4328" s="6"/>
      <c r="K4328" s="6"/>
      <c r="L4328" s="6"/>
      <c r="M4328" s="6"/>
      <c r="N4328" s="6"/>
      <c r="O4328" s="6"/>
      <c r="P4328" s="6"/>
      <c r="Q4328" s="6"/>
      <c r="R4328" s="6"/>
      <c r="S4328" s="6"/>
      <c r="T4328" s="6"/>
      <c r="U4328" s="6"/>
      <c r="V4328" s="6"/>
      <c r="W4328" s="6"/>
      <c r="X4328" s="6"/>
      <c r="Y4328" s="6"/>
      <c r="Z4328" s="6"/>
      <c r="AA4328" s="6"/>
      <c r="AB4328" s="6"/>
      <c r="AC4328" s="6"/>
      <c r="AD4328" s="6"/>
      <c r="AE4328" s="6"/>
      <c r="AF4328" s="6"/>
      <c r="AG4328" s="6"/>
      <c r="AH4328" s="6"/>
      <c r="AI4328" s="6"/>
      <c r="AJ4328" s="6"/>
      <c r="AK4328" s="6"/>
      <c r="AL4328" s="6"/>
      <c r="AM4328" s="6"/>
    </row>
    <row r="4329">
      <c r="A4329" s="6"/>
      <c r="B4329" s="6"/>
      <c r="C4329" s="6"/>
      <c r="D4329" s="6"/>
      <c r="E4329" s="6"/>
      <c r="F4329" s="6"/>
      <c r="G4329" s="6"/>
      <c r="H4329" s="6"/>
      <c r="I4329" s="6"/>
      <c r="J4329" s="6"/>
      <c r="K4329" s="6"/>
      <c r="L4329" s="6"/>
      <c r="M4329" s="6"/>
      <c r="N4329" s="6"/>
      <c r="O4329" s="6"/>
      <c r="P4329" s="6"/>
      <c r="Q4329" s="6"/>
      <c r="R4329" s="6"/>
      <c r="S4329" s="6"/>
      <c r="T4329" s="6"/>
      <c r="U4329" s="6"/>
      <c r="V4329" s="6"/>
      <c r="W4329" s="6"/>
      <c r="X4329" s="6"/>
      <c r="Y4329" s="6"/>
      <c r="Z4329" s="6"/>
      <c r="AA4329" s="6"/>
      <c r="AB4329" s="6"/>
      <c r="AC4329" s="6"/>
      <c r="AD4329" s="6"/>
      <c r="AE4329" s="6"/>
      <c r="AF4329" s="6"/>
      <c r="AG4329" s="6"/>
      <c r="AH4329" s="6"/>
      <c r="AI4329" s="6"/>
      <c r="AJ4329" s="6"/>
      <c r="AK4329" s="6"/>
      <c r="AL4329" s="6"/>
      <c r="AM4329" s="6"/>
    </row>
    <row r="4330">
      <c r="A4330" s="6"/>
      <c r="B4330" s="6"/>
      <c r="C4330" s="6"/>
      <c r="D4330" s="6"/>
      <c r="E4330" s="6"/>
      <c r="F4330" s="6"/>
      <c r="G4330" s="6"/>
      <c r="H4330" s="6"/>
      <c r="I4330" s="6"/>
      <c r="J4330" s="6"/>
      <c r="K4330" s="6"/>
      <c r="L4330" s="6"/>
      <c r="M4330" s="6"/>
      <c r="N4330" s="6"/>
      <c r="O4330" s="6"/>
      <c r="P4330" s="6"/>
      <c r="Q4330" s="6"/>
      <c r="R4330" s="6"/>
      <c r="S4330" s="6"/>
      <c r="T4330" s="6"/>
      <c r="U4330" s="6"/>
      <c r="V4330" s="6"/>
      <c r="W4330" s="6"/>
      <c r="X4330" s="6"/>
      <c r="Y4330" s="6"/>
      <c r="Z4330" s="6"/>
      <c r="AA4330" s="6"/>
      <c r="AB4330" s="6"/>
      <c r="AC4330" s="6"/>
      <c r="AD4330" s="6"/>
      <c r="AE4330" s="6"/>
      <c r="AF4330" s="6"/>
      <c r="AG4330" s="6"/>
      <c r="AH4330" s="6"/>
      <c r="AI4330" s="6"/>
      <c r="AJ4330" s="6"/>
      <c r="AK4330" s="6"/>
      <c r="AL4330" s="6"/>
      <c r="AM4330" s="6"/>
    </row>
    <row r="4331">
      <c r="A4331" s="6"/>
      <c r="B4331" s="6"/>
      <c r="C4331" s="6"/>
      <c r="D4331" s="6"/>
      <c r="E4331" s="6"/>
      <c r="F4331" s="6"/>
      <c r="G4331" s="6"/>
      <c r="H4331" s="6"/>
      <c r="I4331" s="6"/>
      <c r="J4331" s="6"/>
      <c r="K4331" s="6"/>
      <c r="L4331" s="6"/>
      <c r="M4331" s="6"/>
      <c r="N4331" s="6"/>
      <c r="O4331" s="6"/>
      <c r="P4331" s="6"/>
      <c r="Q4331" s="6"/>
      <c r="R4331" s="6"/>
      <c r="S4331" s="6"/>
      <c r="T4331" s="6"/>
      <c r="U4331" s="6"/>
      <c r="V4331" s="6"/>
      <c r="W4331" s="6"/>
      <c r="X4331" s="6"/>
      <c r="Y4331" s="6"/>
      <c r="Z4331" s="6"/>
      <c r="AA4331" s="6"/>
      <c r="AB4331" s="6"/>
      <c r="AC4331" s="6"/>
      <c r="AD4331" s="6"/>
      <c r="AE4331" s="6"/>
      <c r="AF4331" s="6"/>
      <c r="AG4331" s="6"/>
      <c r="AH4331" s="6"/>
      <c r="AI4331" s="6"/>
      <c r="AJ4331" s="6"/>
      <c r="AK4331" s="6"/>
      <c r="AL4331" s="6"/>
      <c r="AM4331" s="6"/>
    </row>
    <row r="4332">
      <c r="A4332" s="6"/>
      <c r="B4332" s="6"/>
      <c r="C4332" s="6"/>
      <c r="D4332" s="6"/>
      <c r="E4332" s="6"/>
      <c r="F4332" s="6"/>
      <c r="G4332" s="6"/>
      <c r="H4332" s="6"/>
      <c r="I4332" s="6"/>
      <c r="J4332" s="6"/>
      <c r="K4332" s="6"/>
      <c r="L4332" s="6"/>
      <c r="M4332" s="6"/>
      <c r="N4332" s="6"/>
      <c r="O4332" s="6"/>
      <c r="P4332" s="6"/>
      <c r="Q4332" s="6"/>
      <c r="R4332" s="6"/>
      <c r="S4332" s="6"/>
      <c r="T4332" s="6"/>
      <c r="U4332" s="6"/>
      <c r="V4332" s="6"/>
      <c r="W4332" s="6"/>
      <c r="X4332" s="6"/>
      <c r="Y4332" s="6"/>
      <c r="Z4332" s="6"/>
      <c r="AA4332" s="6"/>
      <c r="AB4332" s="6"/>
      <c r="AC4332" s="6"/>
      <c r="AD4332" s="6"/>
      <c r="AE4332" s="6"/>
      <c r="AF4332" s="6"/>
      <c r="AG4332" s="6"/>
      <c r="AH4332" s="6"/>
      <c r="AI4332" s="6"/>
      <c r="AJ4332" s="6"/>
      <c r="AK4332" s="6"/>
      <c r="AL4332" s="6"/>
      <c r="AM4332" s="6"/>
    </row>
    <row r="4333">
      <c r="A4333" s="6"/>
      <c r="B4333" s="6"/>
      <c r="C4333" s="6"/>
      <c r="D4333" s="6"/>
      <c r="E4333" s="6"/>
      <c r="F4333" s="6"/>
      <c r="G4333" s="6"/>
      <c r="H4333" s="6"/>
      <c r="I4333" s="6"/>
      <c r="J4333" s="6"/>
      <c r="K4333" s="6"/>
      <c r="L4333" s="6"/>
      <c r="M4333" s="6"/>
      <c r="N4333" s="6"/>
      <c r="O4333" s="6"/>
      <c r="P4333" s="6"/>
      <c r="Q4333" s="6"/>
      <c r="R4333" s="6"/>
      <c r="S4333" s="6"/>
      <c r="T4333" s="6"/>
      <c r="U4333" s="6"/>
      <c r="V4333" s="6"/>
      <c r="W4333" s="6"/>
      <c r="X4333" s="6"/>
      <c r="Y4333" s="6"/>
      <c r="Z4333" s="6"/>
      <c r="AA4333" s="6"/>
      <c r="AB4333" s="6"/>
      <c r="AC4333" s="6"/>
      <c r="AD4333" s="6"/>
      <c r="AE4333" s="6"/>
      <c r="AF4333" s="6"/>
      <c r="AG4333" s="6"/>
      <c r="AH4333" s="6"/>
      <c r="AI4333" s="6"/>
      <c r="AJ4333" s="6"/>
      <c r="AK4333" s="6"/>
      <c r="AL4333" s="6"/>
      <c r="AM4333" s="6"/>
    </row>
    <row r="4334">
      <c r="A4334" s="6"/>
      <c r="B4334" s="6"/>
      <c r="C4334" s="6"/>
      <c r="D4334" s="6"/>
      <c r="E4334" s="6"/>
      <c r="F4334" s="6"/>
      <c r="G4334" s="6"/>
      <c r="H4334" s="6"/>
      <c r="I4334" s="6"/>
      <c r="J4334" s="6"/>
      <c r="K4334" s="6"/>
      <c r="L4334" s="6"/>
      <c r="M4334" s="6"/>
      <c r="N4334" s="6"/>
      <c r="O4334" s="6"/>
      <c r="P4334" s="6"/>
      <c r="Q4334" s="6"/>
      <c r="R4334" s="6"/>
      <c r="S4334" s="6"/>
      <c r="T4334" s="6"/>
      <c r="U4334" s="6"/>
      <c r="V4334" s="6"/>
      <c r="W4334" s="6"/>
      <c r="X4334" s="6"/>
      <c r="Y4334" s="6"/>
      <c r="Z4334" s="6"/>
      <c r="AA4334" s="6"/>
      <c r="AB4334" s="6"/>
      <c r="AC4334" s="6"/>
      <c r="AD4334" s="6"/>
      <c r="AE4334" s="6"/>
      <c r="AF4334" s="6"/>
      <c r="AG4334" s="6"/>
      <c r="AH4334" s="6"/>
      <c r="AI4334" s="6"/>
      <c r="AJ4334" s="6"/>
      <c r="AK4334" s="6"/>
      <c r="AL4334" s="6"/>
      <c r="AM4334" s="6"/>
    </row>
    <row r="4335">
      <c r="A4335" s="6"/>
      <c r="B4335" s="6"/>
      <c r="C4335" s="6"/>
      <c r="D4335" s="6"/>
      <c r="E4335" s="6"/>
      <c r="F4335" s="6"/>
      <c r="G4335" s="6"/>
      <c r="H4335" s="6"/>
      <c r="I4335" s="6"/>
      <c r="J4335" s="6"/>
      <c r="K4335" s="6"/>
      <c r="L4335" s="6"/>
      <c r="M4335" s="6"/>
      <c r="N4335" s="6"/>
      <c r="O4335" s="6"/>
      <c r="P4335" s="6"/>
      <c r="Q4335" s="6"/>
      <c r="R4335" s="6"/>
      <c r="S4335" s="6"/>
      <c r="T4335" s="6"/>
      <c r="U4335" s="6"/>
      <c r="V4335" s="6"/>
      <c r="W4335" s="6"/>
      <c r="X4335" s="6"/>
      <c r="Y4335" s="6"/>
      <c r="Z4335" s="6"/>
      <c r="AA4335" s="6"/>
      <c r="AB4335" s="6"/>
      <c r="AC4335" s="6"/>
      <c r="AD4335" s="6"/>
      <c r="AE4335" s="6"/>
      <c r="AF4335" s="6"/>
      <c r="AG4335" s="6"/>
      <c r="AH4335" s="6"/>
      <c r="AI4335" s="6"/>
      <c r="AJ4335" s="6"/>
      <c r="AK4335" s="6"/>
      <c r="AL4335" s="6"/>
      <c r="AM4335" s="6"/>
    </row>
    <row r="4336">
      <c r="A4336" s="6"/>
      <c r="B4336" s="6"/>
      <c r="C4336" s="6"/>
      <c r="D4336" s="6"/>
      <c r="E4336" s="6"/>
      <c r="F4336" s="6"/>
      <c r="G4336" s="6"/>
      <c r="H4336" s="6"/>
      <c r="I4336" s="6"/>
      <c r="J4336" s="6"/>
      <c r="K4336" s="6"/>
      <c r="L4336" s="6"/>
      <c r="M4336" s="6"/>
      <c r="N4336" s="6"/>
      <c r="O4336" s="6"/>
      <c r="P4336" s="6"/>
      <c r="Q4336" s="6"/>
      <c r="R4336" s="6"/>
      <c r="S4336" s="6"/>
      <c r="T4336" s="6"/>
      <c r="U4336" s="6"/>
      <c r="V4336" s="6"/>
      <c r="W4336" s="6"/>
      <c r="X4336" s="6"/>
      <c r="Y4336" s="6"/>
      <c r="Z4336" s="6"/>
      <c r="AA4336" s="6"/>
      <c r="AB4336" s="6"/>
      <c r="AC4336" s="6"/>
      <c r="AD4336" s="6"/>
      <c r="AE4336" s="6"/>
      <c r="AF4336" s="6"/>
      <c r="AG4336" s="6"/>
      <c r="AH4336" s="6"/>
      <c r="AI4336" s="6"/>
      <c r="AJ4336" s="6"/>
      <c r="AK4336" s="6"/>
      <c r="AL4336" s="6"/>
      <c r="AM4336" s="6"/>
    </row>
    <row r="4337">
      <c r="A4337" s="6"/>
      <c r="B4337" s="6"/>
      <c r="C4337" s="6"/>
      <c r="D4337" s="6"/>
      <c r="E4337" s="6"/>
      <c r="F4337" s="6"/>
      <c r="G4337" s="6"/>
      <c r="H4337" s="6"/>
      <c r="I4337" s="6"/>
      <c r="J4337" s="6"/>
      <c r="K4337" s="6"/>
      <c r="L4337" s="6"/>
      <c r="M4337" s="6"/>
      <c r="N4337" s="6"/>
      <c r="O4337" s="6"/>
      <c r="P4337" s="6"/>
      <c r="Q4337" s="6"/>
      <c r="R4337" s="6"/>
      <c r="S4337" s="6"/>
      <c r="T4337" s="6"/>
      <c r="U4337" s="6"/>
      <c r="V4337" s="6"/>
      <c r="W4337" s="6"/>
      <c r="X4337" s="6"/>
      <c r="Y4337" s="6"/>
      <c r="Z4337" s="6"/>
      <c r="AA4337" s="6"/>
      <c r="AB4337" s="6"/>
      <c r="AC4337" s="6"/>
      <c r="AD4337" s="6"/>
      <c r="AE4337" s="6"/>
      <c r="AF4337" s="6"/>
      <c r="AG4337" s="6"/>
      <c r="AH4337" s="6"/>
      <c r="AI4337" s="6"/>
      <c r="AJ4337" s="6"/>
      <c r="AK4337" s="6"/>
      <c r="AL4337" s="6"/>
      <c r="AM4337" s="6"/>
    </row>
    <row r="4338">
      <c r="A4338" s="6"/>
      <c r="B4338" s="6"/>
      <c r="C4338" s="6"/>
      <c r="D4338" s="6"/>
      <c r="E4338" s="6"/>
      <c r="F4338" s="6"/>
      <c r="G4338" s="6"/>
      <c r="H4338" s="6"/>
      <c r="I4338" s="6"/>
      <c r="J4338" s="6"/>
      <c r="K4338" s="6"/>
      <c r="L4338" s="6"/>
      <c r="M4338" s="6"/>
      <c r="N4338" s="6"/>
      <c r="O4338" s="6"/>
      <c r="P4338" s="6"/>
      <c r="Q4338" s="6"/>
      <c r="R4338" s="6"/>
      <c r="S4338" s="6"/>
      <c r="T4338" s="6"/>
      <c r="U4338" s="6"/>
      <c r="V4338" s="6"/>
      <c r="W4338" s="6"/>
      <c r="X4338" s="6"/>
      <c r="Y4338" s="6"/>
      <c r="Z4338" s="6"/>
      <c r="AA4338" s="6"/>
      <c r="AB4338" s="6"/>
      <c r="AC4338" s="6"/>
      <c r="AD4338" s="6"/>
      <c r="AE4338" s="6"/>
      <c r="AF4338" s="6"/>
      <c r="AG4338" s="6"/>
      <c r="AH4338" s="6"/>
      <c r="AI4338" s="6"/>
      <c r="AJ4338" s="6"/>
      <c r="AK4338" s="6"/>
      <c r="AL4338" s="6"/>
      <c r="AM4338" s="6"/>
    </row>
    <row r="4339">
      <c r="A4339" s="6"/>
      <c r="B4339" s="6"/>
      <c r="C4339" s="6"/>
      <c r="D4339" s="6"/>
      <c r="E4339" s="6"/>
      <c r="F4339" s="6"/>
      <c r="G4339" s="6"/>
      <c r="H4339" s="6"/>
      <c r="I4339" s="6"/>
      <c r="J4339" s="6"/>
      <c r="K4339" s="6"/>
      <c r="L4339" s="6"/>
      <c r="M4339" s="6"/>
      <c r="N4339" s="6"/>
      <c r="O4339" s="6"/>
      <c r="P4339" s="6"/>
      <c r="Q4339" s="6"/>
      <c r="R4339" s="6"/>
      <c r="S4339" s="6"/>
      <c r="T4339" s="6"/>
      <c r="U4339" s="6"/>
      <c r="V4339" s="6"/>
      <c r="W4339" s="6"/>
      <c r="X4339" s="6"/>
      <c r="Y4339" s="6"/>
      <c r="Z4339" s="6"/>
      <c r="AA4339" s="6"/>
      <c r="AB4339" s="6"/>
      <c r="AC4339" s="6"/>
      <c r="AD4339" s="6"/>
      <c r="AE4339" s="6"/>
      <c r="AF4339" s="6"/>
      <c r="AG4339" s="6"/>
      <c r="AH4339" s="6"/>
      <c r="AI4339" s="6"/>
      <c r="AJ4339" s="6"/>
      <c r="AK4339" s="6"/>
      <c r="AL4339" s="6"/>
      <c r="AM4339" s="6"/>
    </row>
    <row r="4340">
      <c r="A4340" s="6"/>
      <c r="B4340" s="6"/>
      <c r="C4340" s="6"/>
      <c r="D4340" s="6"/>
      <c r="E4340" s="6"/>
      <c r="F4340" s="6"/>
      <c r="G4340" s="6"/>
      <c r="H4340" s="6"/>
      <c r="I4340" s="6"/>
      <c r="J4340" s="6"/>
      <c r="K4340" s="6"/>
      <c r="L4340" s="6"/>
      <c r="M4340" s="6"/>
      <c r="N4340" s="6"/>
      <c r="O4340" s="6"/>
      <c r="P4340" s="6"/>
      <c r="Q4340" s="6"/>
      <c r="R4340" s="6"/>
      <c r="S4340" s="6"/>
      <c r="T4340" s="6"/>
      <c r="U4340" s="6"/>
      <c r="V4340" s="6"/>
      <c r="W4340" s="6"/>
      <c r="X4340" s="6"/>
      <c r="Y4340" s="6"/>
      <c r="Z4340" s="6"/>
      <c r="AA4340" s="6"/>
      <c r="AB4340" s="6"/>
      <c r="AC4340" s="6"/>
      <c r="AD4340" s="6"/>
      <c r="AE4340" s="6"/>
      <c r="AF4340" s="6"/>
      <c r="AG4340" s="6"/>
      <c r="AH4340" s="6"/>
      <c r="AI4340" s="6"/>
      <c r="AJ4340" s="6"/>
      <c r="AK4340" s="6"/>
      <c r="AL4340" s="6"/>
      <c r="AM4340" s="6"/>
    </row>
    <row r="4341">
      <c r="A4341" s="6"/>
      <c r="B4341" s="6"/>
      <c r="C4341" s="6"/>
      <c r="D4341" s="6"/>
      <c r="E4341" s="6"/>
      <c r="F4341" s="6"/>
      <c r="G4341" s="6"/>
      <c r="H4341" s="6"/>
      <c r="I4341" s="6"/>
      <c r="J4341" s="6"/>
      <c r="K4341" s="6"/>
      <c r="L4341" s="6"/>
      <c r="M4341" s="6"/>
      <c r="N4341" s="6"/>
      <c r="O4341" s="6"/>
      <c r="P4341" s="6"/>
      <c r="Q4341" s="6"/>
      <c r="R4341" s="6"/>
      <c r="S4341" s="6"/>
      <c r="T4341" s="6"/>
      <c r="U4341" s="6"/>
      <c r="V4341" s="6"/>
      <c r="W4341" s="6"/>
      <c r="X4341" s="6"/>
      <c r="Y4341" s="6"/>
      <c r="Z4341" s="6"/>
      <c r="AA4341" s="6"/>
      <c r="AB4341" s="6"/>
      <c r="AC4341" s="6"/>
      <c r="AD4341" s="6"/>
      <c r="AE4341" s="6"/>
      <c r="AF4341" s="6"/>
      <c r="AG4341" s="6"/>
      <c r="AH4341" s="6"/>
      <c r="AI4341" s="6"/>
      <c r="AJ4341" s="6"/>
      <c r="AK4341" s="6"/>
      <c r="AL4341" s="6"/>
      <c r="AM4341" s="6"/>
    </row>
    <row r="4342">
      <c r="A4342" s="6"/>
      <c r="B4342" s="6"/>
      <c r="C4342" s="6"/>
      <c r="D4342" s="6"/>
      <c r="E4342" s="6"/>
      <c r="F4342" s="6"/>
      <c r="G4342" s="6"/>
      <c r="H4342" s="6"/>
      <c r="I4342" s="6"/>
      <c r="J4342" s="6"/>
      <c r="K4342" s="6"/>
      <c r="L4342" s="6"/>
      <c r="M4342" s="6"/>
      <c r="N4342" s="6"/>
      <c r="O4342" s="6"/>
      <c r="P4342" s="6"/>
      <c r="Q4342" s="6"/>
      <c r="R4342" s="6"/>
      <c r="S4342" s="6"/>
      <c r="T4342" s="6"/>
      <c r="U4342" s="6"/>
      <c r="V4342" s="6"/>
      <c r="W4342" s="6"/>
      <c r="X4342" s="6"/>
      <c r="Y4342" s="6"/>
      <c r="Z4342" s="6"/>
      <c r="AA4342" s="6"/>
      <c r="AB4342" s="6"/>
      <c r="AC4342" s="6"/>
      <c r="AD4342" s="6"/>
      <c r="AE4342" s="6"/>
      <c r="AF4342" s="6"/>
      <c r="AG4342" s="6"/>
      <c r="AH4342" s="6"/>
      <c r="AI4342" s="6"/>
      <c r="AJ4342" s="6"/>
      <c r="AK4342" s="6"/>
      <c r="AL4342" s="6"/>
      <c r="AM4342" s="6"/>
    </row>
    <row r="4343">
      <c r="A4343" s="6"/>
      <c r="B4343" s="6"/>
      <c r="C4343" s="6"/>
      <c r="D4343" s="6"/>
      <c r="E4343" s="6"/>
      <c r="F4343" s="6"/>
      <c r="G4343" s="6"/>
      <c r="H4343" s="6"/>
      <c r="I4343" s="6"/>
      <c r="J4343" s="6"/>
      <c r="K4343" s="6"/>
      <c r="L4343" s="6"/>
      <c r="M4343" s="6"/>
      <c r="N4343" s="6"/>
      <c r="O4343" s="6"/>
      <c r="P4343" s="6"/>
      <c r="Q4343" s="6"/>
      <c r="R4343" s="6"/>
      <c r="S4343" s="6"/>
      <c r="T4343" s="6"/>
      <c r="U4343" s="6"/>
      <c r="V4343" s="6"/>
      <c r="W4343" s="6"/>
      <c r="X4343" s="6"/>
      <c r="Y4343" s="6"/>
      <c r="Z4343" s="6"/>
      <c r="AA4343" s="6"/>
      <c r="AB4343" s="6"/>
      <c r="AC4343" s="6"/>
      <c r="AD4343" s="6"/>
      <c r="AE4343" s="6"/>
      <c r="AF4343" s="6"/>
      <c r="AG4343" s="6"/>
      <c r="AH4343" s="6"/>
      <c r="AI4343" s="6"/>
      <c r="AJ4343" s="6"/>
      <c r="AK4343" s="6"/>
      <c r="AL4343" s="6"/>
      <c r="AM4343" s="6"/>
    </row>
    <row r="4344">
      <c r="A4344" s="6"/>
      <c r="B4344" s="6"/>
      <c r="C4344" s="6"/>
      <c r="D4344" s="6"/>
      <c r="E4344" s="6"/>
      <c r="F4344" s="6"/>
      <c r="G4344" s="6"/>
      <c r="H4344" s="6"/>
      <c r="I4344" s="6"/>
      <c r="J4344" s="6"/>
      <c r="K4344" s="6"/>
      <c r="L4344" s="6"/>
      <c r="M4344" s="6"/>
      <c r="N4344" s="6"/>
      <c r="O4344" s="6"/>
      <c r="P4344" s="6"/>
      <c r="Q4344" s="6"/>
      <c r="R4344" s="6"/>
      <c r="S4344" s="6"/>
      <c r="T4344" s="6"/>
      <c r="U4344" s="6"/>
      <c r="V4344" s="6"/>
      <c r="W4344" s="6"/>
      <c r="X4344" s="6"/>
      <c r="Y4344" s="6"/>
      <c r="Z4344" s="6"/>
      <c r="AA4344" s="6"/>
      <c r="AB4344" s="6"/>
      <c r="AC4344" s="6"/>
      <c r="AD4344" s="6"/>
      <c r="AE4344" s="6"/>
      <c r="AF4344" s="6"/>
      <c r="AG4344" s="6"/>
      <c r="AH4344" s="6"/>
      <c r="AI4344" s="6"/>
      <c r="AJ4344" s="6"/>
      <c r="AK4344" s="6"/>
      <c r="AL4344" s="6"/>
      <c r="AM4344" s="6"/>
    </row>
    <row r="4345">
      <c r="A4345" s="6"/>
      <c r="B4345" s="6"/>
      <c r="C4345" s="6"/>
      <c r="D4345" s="6"/>
      <c r="E4345" s="6"/>
      <c r="F4345" s="6"/>
      <c r="G4345" s="6"/>
      <c r="H4345" s="6"/>
      <c r="I4345" s="6"/>
      <c r="J4345" s="6"/>
      <c r="K4345" s="6"/>
      <c r="L4345" s="6"/>
      <c r="M4345" s="6"/>
      <c r="N4345" s="6"/>
      <c r="O4345" s="6"/>
      <c r="P4345" s="6"/>
      <c r="Q4345" s="6"/>
      <c r="R4345" s="6"/>
      <c r="S4345" s="6"/>
      <c r="T4345" s="6"/>
      <c r="U4345" s="6"/>
      <c r="V4345" s="6"/>
      <c r="W4345" s="6"/>
      <c r="X4345" s="6"/>
      <c r="Y4345" s="6"/>
      <c r="Z4345" s="6"/>
      <c r="AA4345" s="6"/>
      <c r="AB4345" s="6"/>
      <c r="AC4345" s="6"/>
      <c r="AD4345" s="6"/>
      <c r="AE4345" s="6"/>
      <c r="AF4345" s="6"/>
      <c r="AG4345" s="6"/>
      <c r="AH4345" s="6"/>
      <c r="AI4345" s="6"/>
      <c r="AJ4345" s="6"/>
      <c r="AK4345" s="6"/>
      <c r="AL4345" s="6"/>
      <c r="AM4345" s="6"/>
    </row>
    <row r="4346">
      <c r="A4346" s="6"/>
      <c r="B4346" s="6"/>
      <c r="C4346" s="6"/>
      <c r="D4346" s="6"/>
      <c r="E4346" s="6"/>
      <c r="F4346" s="6"/>
      <c r="G4346" s="6"/>
      <c r="H4346" s="6"/>
      <c r="I4346" s="6"/>
      <c r="J4346" s="6"/>
      <c r="K4346" s="6"/>
      <c r="L4346" s="6"/>
      <c r="M4346" s="6"/>
      <c r="N4346" s="6"/>
      <c r="O4346" s="6"/>
      <c r="P4346" s="6"/>
      <c r="Q4346" s="6"/>
      <c r="R4346" s="6"/>
      <c r="S4346" s="6"/>
      <c r="T4346" s="6"/>
      <c r="U4346" s="6"/>
      <c r="V4346" s="6"/>
      <c r="W4346" s="6"/>
      <c r="X4346" s="6"/>
      <c r="Y4346" s="6"/>
      <c r="Z4346" s="6"/>
      <c r="AA4346" s="6"/>
      <c r="AB4346" s="6"/>
      <c r="AC4346" s="6"/>
      <c r="AD4346" s="6"/>
      <c r="AE4346" s="6"/>
      <c r="AF4346" s="6"/>
      <c r="AG4346" s="6"/>
      <c r="AH4346" s="6"/>
      <c r="AI4346" s="6"/>
      <c r="AJ4346" s="6"/>
      <c r="AK4346" s="6"/>
      <c r="AL4346" s="6"/>
      <c r="AM4346" s="6"/>
    </row>
    <row r="4347">
      <c r="A4347" s="6"/>
      <c r="B4347" s="6"/>
      <c r="C4347" s="6"/>
      <c r="D4347" s="6"/>
      <c r="E4347" s="6"/>
      <c r="F4347" s="6"/>
      <c r="G4347" s="6"/>
      <c r="H4347" s="6"/>
      <c r="I4347" s="6"/>
      <c r="J4347" s="6"/>
      <c r="K4347" s="6"/>
      <c r="L4347" s="6"/>
      <c r="M4347" s="6"/>
      <c r="N4347" s="6"/>
      <c r="O4347" s="6"/>
      <c r="P4347" s="6"/>
      <c r="Q4347" s="6"/>
      <c r="R4347" s="6"/>
      <c r="S4347" s="6"/>
      <c r="T4347" s="6"/>
      <c r="U4347" s="6"/>
      <c r="V4347" s="6"/>
      <c r="W4347" s="6"/>
      <c r="X4347" s="6"/>
      <c r="Y4347" s="6"/>
      <c r="Z4347" s="6"/>
      <c r="AA4347" s="6"/>
      <c r="AB4347" s="6"/>
      <c r="AC4347" s="6"/>
      <c r="AD4347" s="6"/>
      <c r="AE4347" s="6"/>
      <c r="AF4347" s="6"/>
      <c r="AG4347" s="6"/>
      <c r="AH4347" s="6"/>
      <c r="AI4347" s="6"/>
      <c r="AJ4347" s="6"/>
      <c r="AK4347" s="6"/>
      <c r="AL4347" s="6"/>
      <c r="AM4347" s="6"/>
    </row>
    <row r="4348">
      <c r="A4348" s="6"/>
      <c r="B4348" s="6"/>
      <c r="C4348" s="6"/>
      <c r="D4348" s="6"/>
      <c r="E4348" s="6"/>
      <c r="F4348" s="6"/>
      <c r="G4348" s="6"/>
      <c r="H4348" s="6"/>
      <c r="I4348" s="6"/>
      <c r="J4348" s="6"/>
      <c r="K4348" s="6"/>
      <c r="L4348" s="6"/>
      <c r="M4348" s="6"/>
      <c r="N4348" s="6"/>
      <c r="O4348" s="6"/>
      <c r="P4348" s="6"/>
      <c r="Q4348" s="6"/>
      <c r="R4348" s="6"/>
      <c r="S4348" s="6"/>
      <c r="T4348" s="6"/>
      <c r="U4348" s="6"/>
      <c r="V4348" s="6"/>
      <c r="W4348" s="6"/>
      <c r="X4348" s="6"/>
      <c r="Y4348" s="6"/>
      <c r="Z4348" s="6"/>
      <c r="AA4348" s="6"/>
      <c r="AB4348" s="6"/>
      <c r="AC4348" s="6"/>
      <c r="AD4348" s="6"/>
      <c r="AE4348" s="6"/>
      <c r="AF4348" s="6"/>
      <c r="AG4348" s="6"/>
      <c r="AH4348" s="6"/>
      <c r="AI4348" s="6"/>
      <c r="AJ4348" s="6"/>
      <c r="AK4348" s="6"/>
      <c r="AL4348" s="6"/>
      <c r="AM4348" s="6"/>
    </row>
    <row r="4349">
      <c r="A4349" s="6"/>
      <c r="B4349" s="6"/>
      <c r="C4349" s="6"/>
      <c r="D4349" s="6"/>
      <c r="E4349" s="6"/>
      <c r="F4349" s="6"/>
      <c r="G4349" s="6"/>
      <c r="H4349" s="6"/>
      <c r="I4349" s="6"/>
      <c r="J4349" s="6"/>
      <c r="K4349" s="6"/>
      <c r="L4349" s="6"/>
      <c r="M4349" s="6"/>
      <c r="N4349" s="6"/>
      <c r="O4349" s="6"/>
      <c r="P4349" s="6"/>
      <c r="Q4349" s="6"/>
      <c r="R4349" s="6"/>
      <c r="S4349" s="6"/>
      <c r="T4349" s="6"/>
      <c r="U4349" s="6"/>
      <c r="V4349" s="6"/>
      <c r="W4349" s="6"/>
      <c r="X4349" s="6"/>
      <c r="Y4349" s="6"/>
      <c r="Z4349" s="6"/>
      <c r="AA4349" s="6"/>
      <c r="AB4349" s="6"/>
      <c r="AC4349" s="6"/>
      <c r="AD4349" s="6"/>
      <c r="AE4349" s="6"/>
      <c r="AF4349" s="6"/>
      <c r="AG4349" s="6"/>
      <c r="AH4349" s="6"/>
      <c r="AI4349" s="6"/>
      <c r="AJ4349" s="6"/>
      <c r="AK4349" s="6"/>
      <c r="AL4349" s="6"/>
      <c r="AM4349" s="6"/>
    </row>
    <row r="4350">
      <c r="A4350" s="6"/>
      <c r="B4350" s="6"/>
      <c r="C4350" s="6"/>
      <c r="D4350" s="6"/>
      <c r="E4350" s="6"/>
      <c r="F4350" s="6"/>
      <c r="G4350" s="6"/>
      <c r="H4350" s="6"/>
      <c r="I4350" s="6"/>
      <c r="J4350" s="6"/>
      <c r="K4350" s="6"/>
      <c r="L4350" s="6"/>
      <c r="M4350" s="6"/>
      <c r="N4350" s="6"/>
      <c r="O4350" s="6"/>
      <c r="P4350" s="6"/>
      <c r="Q4350" s="6"/>
      <c r="R4350" s="6"/>
      <c r="S4350" s="6"/>
      <c r="T4350" s="6"/>
      <c r="U4350" s="6"/>
      <c r="V4350" s="6"/>
      <c r="W4350" s="6"/>
      <c r="X4350" s="6"/>
      <c r="Y4350" s="6"/>
      <c r="Z4350" s="6"/>
      <c r="AA4350" s="6"/>
      <c r="AB4350" s="6"/>
      <c r="AC4350" s="6"/>
      <c r="AD4350" s="6"/>
      <c r="AE4350" s="6"/>
      <c r="AF4350" s="6"/>
      <c r="AG4350" s="6"/>
      <c r="AH4350" s="6"/>
      <c r="AI4350" s="6"/>
      <c r="AJ4350" s="6"/>
      <c r="AK4350" s="6"/>
      <c r="AL4350" s="6"/>
      <c r="AM4350" s="6"/>
    </row>
    <row r="4351">
      <c r="A4351" s="6"/>
      <c r="B4351" s="6"/>
      <c r="C4351" s="6"/>
      <c r="D4351" s="6"/>
      <c r="E4351" s="6"/>
      <c r="F4351" s="6"/>
      <c r="G4351" s="6"/>
      <c r="H4351" s="6"/>
      <c r="I4351" s="6"/>
      <c r="J4351" s="6"/>
      <c r="K4351" s="6"/>
      <c r="L4351" s="6"/>
      <c r="M4351" s="6"/>
      <c r="N4351" s="6"/>
      <c r="O4351" s="6"/>
      <c r="P4351" s="6"/>
      <c r="Q4351" s="6"/>
      <c r="R4351" s="6"/>
      <c r="S4351" s="6"/>
      <c r="T4351" s="6"/>
      <c r="U4351" s="6"/>
      <c r="V4351" s="6"/>
      <c r="W4351" s="6"/>
      <c r="X4351" s="6"/>
      <c r="Y4351" s="6"/>
      <c r="Z4351" s="6"/>
      <c r="AA4351" s="6"/>
      <c r="AB4351" s="6"/>
      <c r="AC4351" s="6"/>
      <c r="AD4351" s="6"/>
      <c r="AE4351" s="6"/>
      <c r="AF4351" s="6"/>
      <c r="AG4351" s="6"/>
      <c r="AH4351" s="6"/>
      <c r="AI4351" s="6"/>
      <c r="AJ4351" s="6"/>
      <c r="AK4351" s="6"/>
      <c r="AL4351" s="6"/>
      <c r="AM4351" s="6"/>
    </row>
    <row r="4352">
      <c r="A4352" s="6"/>
      <c r="B4352" s="6"/>
      <c r="C4352" s="6"/>
      <c r="D4352" s="6"/>
      <c r="E4352" s="6"/>
      <c r="F4352" s="6"/>
      <c r="G4352" s="6"/>
      <c r="H4352" s="6"/>
      <c r="I4352" s="6"/>
      <c r="J4352" s="6"/>
      <c r="K4352" s="6"/>
      <c r="L4352" s="6"/>
      <c r="M4352" s="6"/>
      <c r="N4352" s="6"/>
      <c r="O4352" s="6"/>
      <c r="P4352" s="6"/>
      <c r="Q4352" s="6"/>
      <c r="R4352" s="6"/>
      <c r="S4352" s="6"/>
      <c r="T4352" s="6"/>
      <c r="U4352" s="6"/>
      <c r="V4352" s="6"/>
      <c r="W4352" s="6"/>
      <c r="X4352" s="6"/>
      <c r="Y4352" s="6"/>
      <c r="Z4352" s="6"/>
      <c r="AA4352" s="6"/>
      <c r="AB4352" s="6"/>
      <c r="AC4352" s="6"/>
      <c r="AD4352" s="6"/>
      <c r="AE4352" s="6"/>
      <c r="AF4352" s="6"/>
      <c r="AG4352" s="6"/>
      <c r="AH4352" s="6"/>
      <c r="AI4352" s="6"/>
      <c r="AJ4352" s="6"/>
      <c r="AK4352" s="6"/>
      <c r="AL4352" s="6"/>
      <c r="AM4352" s="6"/>
    </row>
    <row r="4353">
      <c r="A4353" s="6"/>
      <c r="B4353" s="6"/>
      <c r="C4353" s="6"/>
      <c r="D4353" s="6"/>
      <c r="E4353" s="6"/>
      <c r="F4353" s="6"/>
      <c r="G4353" s="6"/>
      <c r="H4353" s="6"/>
      <c r="I4353" s="6"/>
      <c r="J4353" s="6"/>
      <c r="K4353" s="6"/>
      <c r="L4353" s="6"/>
      <c r="M4353" s="6"/>
      <c r="N4353" s="6"/>
      <c r="O4353" s="6"/>
      <c r="P4353" s="6"/>
      <c r="Q4353" s="6"/>
      <c r="R4353" s="6"/>
      <c r="S4353" s="6"/>
      <c r="T4353" s="6"/>
      <c r="U4353" s="6"/>
      <c r="V4353" s="6"/>
      <c r="W4353" s="6"/>
      <c r="X4353" s="6"/>
      <c r="Y4353" s="6"/>
      <c r="Z4353" s="6"/>
      <c r="AA4353" s="6"/>
      <c r="AB4353" s="6"/>
      <c r="AC4353" s="6"/>
      <c r="AD4353" s="6"/>
      <c r="AE4353" s="6"/>
      <c r="AF4353" s="6"/>
      <c r="AG4353" s="6"/>
      <c r="AH4353" s="6"/>
      <c r="AI4353" s="6"/>
      <c r="AJ4353" s="6"/>
      <c r="AK4353" s="6"/>
      <c r="AL4353" s="6"/>
      <c r="AM4353" s="6"/>
    </row>
    <row r="4354">
      <c r="A4354" s="6"/>
      <c r="B4354" s="6"/>
      <c r="C4354" s="6"/>
      <c r="D4354" s="6"/>
      <c r="E4354" s="6"/>
      <c r="F4354" s="6"/>
      <c r="G4354" s="6"/>
      <c r="H4354" s="6"/>
      <c r="I4354" s="6"/>
      <c r="J4354" s="6"/>
      <c r="K4354" s="6"/>
      <c r="L4354" s="6"/>
      <c r="M4354" s="6"/>
      <c r="N4354" s="6"/>
      <c r="O4354" s="6"/>
      <c r="P4354" s="6"/>
      <c r="Q4354" s="6"/>
      <c r="R4354" s="6"/>
      <c r="S4354" s="6"/>
      <c r="T4354" s="6"/>
      <c r="U4354" s="6"/>
      <c r="V4354" s="6"/>
      <c r="W4354" s="6"/>
      <c r="X4354" s="6"/>
      <c r="Y4354" s="6"/>
      <c r="Z4354" s="6"/>
      <c r="AA4354" s="6"/>
      <c r="AB4354" s="6"/>
      <c r="AC4354" s="6"/>
      <c r="AD4354" s="6"/>
      <c r="AE4354" s="6"/>
      <c r="AF4354" s="6"/>
      <c r="AG4354" s="6"/>
      <c r="AH4354" s="6"/>
      <c r="AI4354" s="6"/>
      <c r="AJ4354" s="6"/>
      <c r="AK4354" s="6"/>
      <c r="AL4354" s="6"/>
      <c r="AM4354" s="6"/>
    </row>
    <row r="4355">
      <c r="A4355" s="6"/>
      <c r="B4355" s="6"/>
      <c r="C4355" s="6"/>
      <c r="D4355" s="6"/>
      <c r="E4355" s="6"/>
      <c r="F4355" s="6"/>
      <c r="G4355" s="6"/>
      <c r="H4355" s="6"/>
      <c r="I4355" s="6"/>
      <c r="J4355" s="6"/>
      <c r="K4355" s="6"/>
      <c r="L4355" s="6"/>
      <c r="M4355" s="6"/>
      <c r="N4355" s="6"/>
      <c r="O4355" s="6"/>
      <c r="P4355" s="6"/>
      <c r="Q4355" s="6"/>
      <c r="R4355" s="6"/>
      <c r="S4355" s="6"/>
      <c r="T4355" s="6"/>
      <c r="U4355" s="6"/>
      <c r="V4355" s="6"/>
      <c r="W4355" s="6"/>
      <c r="X4355" s="6"/>
      <c r="Y4355" s="6"/>
      <c r="Z4355" s="6"/>
      <c r="AA4355" s="6"/>
      <c r="AB4355" s="6"/>
      <c r="AC4355" s="6"/>
      <c r="AD4355" s="6"/>
      <c r="AE4355" s="6"/>
      <c r="AF4355" s="6"/>
      <c r="AG4355" s="6"/>
      <c r="AH4355" s="6"/>
      <c r="AI4355" s="6"/>
      <c r="AJ4355" s="6"/>
      <c r="AK4355" s="6"/>
      <c r="AL4355" s="6"/>
      <c r="AM4355" s="6"/>
    </row>
    <row r="4356">
      <c r="A4356" s="6"/>
      <c r="B4356" s="6"/>
      <c r="C4356" s="6"/>
      <c r="D4356" s="6"/>
      <c r="E4356" s="6"/>
      <c r="F4356" s="6"/>
      <c r="G4356" s="6"/>
      <c r="H4356" s="6"/>
      <c r="I4356" s="6"/>
      <c r="J4356" s="6"/>
      <c r="K4356" s="6"/>
      <c r="L4356" s="6"/>
      <c r="M4356" s="6"/>
      <c r="N4356" s="6"/>
      <c r="O4356" s="6"/>
      <c r="P4356" s="6"/>
      <c r="Q4356" s="6"/>
      <c r="R4356" s="6"/>
      <c r="S4356" s="6"/>
      <c r="T4356" s="6"/>
      <c r="U4356" s="6"/>
      <c r="V4356" s="6"/>
      <c r="W4356" s="6"/>
      <c r="X4356" s="6"/>
      <c r="Y4356" s="6"/>
      <c r="Z4356" s="6"/>
      <c r="AA4356" s="6"/>
      <c r="AB4356" s="6"/>
      <c r="AC4356" s="6"/>
      <c r="AD4356" s="6"/>
      <c r="AE4356" s="6"/>
      <c r="AF4356" s="6"/>
      <c r="AG4356" s="6"/>
      <c r="AH4356" s="6"/>
      <c r="AI4356" s="6"/>
      <c r="AJ4356" s="6"/>
      <c r="AK4356" s="6"/>
      <c r="AL4356" s="6"/>
      <c r="AM4356" s="6"/>
    </row>
    <row r="4357">
      <c r="A4357" s="6"/>
      <c r="B4357" s="6"/>
      <c r="C4357" s="6"/>
      <c r="D4357" s="6"/>
      <c r="E4357" s="6"/>
      <c r="F4357" s="6"/>
      <c r="G4357" s="6"/>
      <c r="H4357" s="6"/>
      <c r="I4357" s="6"/>
      <c r="J4357" s="6"/>
      <c r="K4357" s="6"/>
      <c r="L4357" s="6"/>
      <c r="M4357" s="6"/>
      <c r="N4357" s="6"/>
      <c r="O4357" s="6"/>
      <c r="P4357" s="6"/>
      <c r="Q4357" s="6"/>
      <c r="R4357" s="6"/>
      <c r="S4357" s="6"/>
      <c r="T4357" s="6"/>
      <c r="U4357" s="6"/>
      <c r="V4357" s="6"/>
      <c r="W4357" s="6"/>
      <c r="X4357" s="6"/>
      <c r="Y4357" s="6"/>
      <c r="Z4357" s="6"/>
      <c r="AA4357" s="6"/>
      <c r="AB4357" s="6"/>
      <c r="AC4357" s="6"/>
      <c r="AD4357" s="6"/>
      <c r="AE4357" s="6"/>
      <c r="AF4357" s="6"/>
      <c r="AG4357" s="6"/>
      <c r="AH4357" s="6"/>
      <c r="AI4357" s="6"/>
      <c r="AJ4357" s="6"/>
      <c r="AK4357" s="6"/>
      <c r="AL4357" s="6"/>
      <c r="AM4357" s="6"/>
    </row>
    <row r="4358">
      <c r="A4358" s="6"/>
      <c r="B4358" s="6"/>
      <c r="C4358" s="6"/>
      <c r="D4358" s="6"/>
      <c r="E4358" s="6"/>
      <c r="F4358" s="6"/>
      <c r="G4358" s="6"/>
      <c r="H4358" s="6"/>
      <c r="I4358" s="6"/>
      <c r="J4358" s="6"/>
      <c r="K4358" s="6"/>
      <c r="L4358" s="6"/>
      <c r="M4358" s="6"/>
      <c r="N4358" s="6"/>
      <c r="O4358" s="6"/>
      <c r="P4358" s="6"/>
      <c r="Q4358" s="6"/>
      <c r="R4358" s="6"/>
      <c r="S4358" s="6"/>
      <c r="T4358" s="6"/>
      <c r="U4358" s="6"/>
      <c r="V4358" s="6"/>
      <c r="W4358" s="6"/>
      <c r="X4358" s="6"/>
      <c r="Y4358" s="6"/>
      <c r="Z4358" s="6"/>
      <c r="AA4358" s="6"/>
      <c r="AB4358" s="6"/>
      <c r="AC4358" s="6"/>
      <c r="AD4358" s="6"/>
      <c r="AE4358" s="6"/>
      <c r="AF4358" s="6"/>
      <c r="AG4358" s="6"/>
      <c r="AH4358" s="6"/>
      <c r="AI4358" s="6"/>
      <c r="AJ4358" s="6"/>
      <c r="AK4358" s="6"/>
      <c r="AL4358" s="6"/>
      <c r="AM4358" s="6"/>
    </row>
    <row r="4359">
      <c r="A4359" s="6"/>
      <c r="B4359" s="6"/>
      <c r="C4359" s="6"/>
      <c r="D4359" s="6"/>
      <c r="E4359" s="6"/>
      <c r="F4359" s="6"/>
      <c r="G4359" s="6"/>
      <c r="H4359" s="6"/>
      <c r="I4359" s="6"/>
      <c r="J4359" s="6"/>
      <c r="K4359" s="6"/>
      <c r="L4359" s="6"/>
      <c r="M4359" s="6"/>
      <c r="N4359" s="6"/>
      <c r="O4359" s="6"/>
      <c r="P4359" s="6"/>
      <c r="Q4359" s="6"/>
      <c r="R4359" s="6"/>
      <c r="S4359" s="6"/>
      <c r="T4359" s="6"/>
      <c r="U4359" s="6"/>
      <c r="V4359" s="6"/>
      <c r="W4359" s="6"/>
      <c r="X4359" s="6"/>
      <c r="Y4359" s="6"/>
      <c r="Z4359" s="6"/>
      <c r="AA4359" s="6"/>
      <c r="AB4359" s="6"/>
      <c r="AC4359" s="6"/>
      <c r="AD4359" s="6"/>
      <c r="AE4359" s="6"/>
      <c r="AF4359" s="6"/>
      <c r="AG4359" s="6"/>
      <c r="AH4359" s="6"/>
      <c r="AI4359" s="6"/>
      <c r="AJ4359" s="6"/>
      <c r="AK4359" s="6"/>
      <c r="AL4359" s="6"/>
      <c r="AM4359" s="6"/>
    </row>
    <row r="4360">
      <c r="A4360" s="6"/>
      <c r="B4360" s="6"/>
      <c r="C4360" s="6"/>
      <c r="D4360" s="6"/>
      <c r="E4360" s="6"/>
      <c r="F4360" s="6"/>
      <c r="G4360" s="6"/>
      <c r="H4360" s="6"/>
      <c r="I4360" s="6"/>
      <c r="J4360" s="6"/>
      <c r="K4360" s="6"/>
      <c r="L4360" s="6"/>
      <c r="M4360" s="6"/>
      <c r="N4360" s="6"/>
      <c r="O4360" s="6"/>
      <c r="P4360" s="6"/>
      <c r="Q4360" s="6"/>
      <c r="R4360" s="6"/>
      <c r="S4360" s="6"/>
      <c r="T4360" s="6"/>
      <c r="U4360" s="6"/>
      <c r="V4360" s="6"/>
      <c r="W4360" s="6"/>
      <c r="X4360" s="6"/>
      <c r="Y4360" s="6"/>
      <c r="Z4360" s="6"/>
      <c r="AA4360" s="6"/>
      <c r="AB4360" s="6"/>
      <c r="AC4360" s="6"/>
      <c r="AD4360" s="6"/>
      <c r="AE4360" s="6"/>
      <c r="AF4360" s="6"/>
      <c r="AG4360" s="6"/>
      <c r="AH4360" s="6"/>
      <c r="AI4360" s="6"/>
      <c r="AJ4360" s="6"/>
      <c r="AK4360" s="6"/>
      <c r="AL4360" s="6"/>
      <c r="AM4360" s="6"/>
    </row>
    <row r="4361">
      <c r="A4361" s="6"/>
      <c r="B4361" s="6"/>
      <c r="C4361" s="6"/>
      <c r="D4361" s="6"/>
      <c r="E4361" s="6"/>
      <c r="F4361" s="6"/>
      <c r="G4361" s="6"/>
      <c r="H4361" s="6"/>
      <c r="I4361" s="6"/>
      <c r="J4361" s="6"/>
      <c r="K4361" s="6"/>
      <c r="L4361" s="6"/>
      <c r="M4361" s="6"/>
      <c r="N4361" s="6"/>
      <c r="O4361" s="6"/>
      <c r="P4361" s="6"/>
      <c r="Q4361" s="6"/>
      <c r="R4361" s="6"/>
      <c r="S4361" s="6"/>
      <c r="T4361" s="6"/>
      <c r="U4361" s="6"/>
      <c r="V4361" s="6"/>
      <c r="W4361" s="6"/>
      <c r="X4361" s="6"/>
      <c r="Y4361" s="6"/>
      <c r="Z4361" s="6"/>
      <c r="AA4361" s="6"/>
      <c r="AB4361" s="6"/>
      <c r="AC4361" s="6"/>
      <c r="AD4361" s="6"/>
      <c r="AE4361" s="6"/>
      <c r="AF4361" s="6"/>
      <c r="AG4361" s="6"/>
      <c r="AH4361" s="6"/>
      <c r="AI4361" s="6"/>
      <c r="AJ4361" s="6"/>
      <c r="AK4361" s="6"/>
      <c r="AL4361" s="6"/>
      <c r="AM4361" s="6"/>
    </row>
    <row r="4362">
      <c r="A4362" s="6"/>
      <c r="B4362" s="6"/>
      <c r="C4362" s="6"/>
      <c r="D4362" s="6"/>
      <c r="E4362" s="6"/>
      <c r="F4362" s="6"/>
      <c r="G4362" s="6"/>
      <c r="H4362" s="6"/>
      <c r="I4362" s="6"/>
      <c r="J4362" s="6"/>
      <c r="K4362" s="6"/>
      <c r="L4362" s="6"/>
      <c r="M4362" s="6"/>
      <c r="N4362" s="6"/>
      <c r="O4362" s="6"/>
      <c r="P4362" s="6"/>
      <c r="Q4362" s="6"/>
      <c r="R4362" s="6"/>
      <c r="S4362" s="6"/>
      <c r="T4362" s="6"/>
      <c r="U4362" s="6"/>
      <c r="V4362" s="6"/>
      <c r="W4362" s="6"/>
      <c r="X4362" s="6"/>
      <c r="Y4362" s="6"/>
      <c r="Z4362" s="6"/>
      <c r="AA4362" s="6"/>
      <c r="AB4362" s="6"/>
      <c r="AC4362" s="6"/>
      <c r="AD4362" s="6"/>
      <c r="AE4362" s="6"/>
      <c r="AF4362" s="6"/>
      <c r="AG4362" s="6"/>
      <c r="AH4362" s="6"/>
      <c r="AI4362" s="6"/>
      <c r="AJ4362" s="6"/>
      <c r="AK4362" s="6"/>
      <c r="AL4362" s="6"/>
      <c r="AM4362" s="6"/>
    </row>
    <row r="4363">
      <c r="A4363" s="6"/>
      <c r="B4363" s="6"/>
      <c r="C4363" s="6"/>
      <c r="D4363" s="6"/>
      <c r="E4363" s="6"/>
      <c r="F4363" s="6"/>
      <c r="G4363" s="6"/>
      <c r="H4363" s="6"/>
      <c r="I4363" s="6"/>
      <c r="J4363" s="6"/>
      <c r="K4363" s="6"/>
      <c r="L4363" s="6"/>
      <c r="M4363" s="6"/>
      <c r="N4363" s="6"/>
      <c r="O4363" s="6"/>
      <c r="P4363" s="6"/>
      <c r="Q4363" s="6"/>
      <c r="R4363" s="6"/>
      <c r="S4363" s="6"/>
      <c r="T4363" s="6"/>
      <c r="U4363" s="6"/>
      <c r="V4363" s="6"/>
      <c r="W4363" s="6"/>
      <c r="X4363" s="6"/>
      <c r="Y4363" s="6"/>
      <c r="Z4363" s="6"/>
      <c r="AA4363" s="6"/>
      <c r="AB4363" s="6"/>
      <c r="AC4363" s="6"/>
      <c r="AD4363" s="6"/>
      <c r="AE4363" s="6"/>
      <c r="AF4363" s="6"/>
      <c r="AG4363" s="6"/>
      <c r="AH4363" s="6"/>
      <c r="AI4363" s="6"/>
      <c r="AJ4363" s="6"/>
      <c r="AK4363" s="6"/>
      <c r="AL4363" s="6"/>
      <c r="AM4363" s="6"/>
    </row>
    <row r="4364">
      <c r="A4364" s="6"/>
      <c r="B4364" s="6"/>
      <c r="C4364" s="6"/>
      <c r="D4364" s="6"/>
      <c r="E4364" s="6"/>
      <c r="F4364" s="6"/>
      <c r="G4364" s="6"/>
      <c r="H4364" s="6"/>
      <c r="I4364" s="6"/>
      <c r="J4364" s="6"/>
      <c r="K4364" s="6"/>
      <c r="L4364" s="6"/>
      <c r="M4364" s="6"/>
      <c r="N4364" s="6"/>
      <c r="O4364" s="6"/>
      <c r="P4364" s="6"/>
      <c r="Q4364" s="6"/>
      <c r="R4364" s="6"/>
      <c r="S4364" s="6"/>
      <c r="T4364" s="6"/>
      <c r="U4364" s="6"/>
      <c r="V4364" s="6"/>
      <c r="W4364" s="6"/>
      <c r="X4364" s="6"/>
      <c r="Y4364" s="6"/>
      <c r="Z4364" s="6"/>
      <c r="AA4364" s="6"/>
      <c r="AB4364" s="6"/>
      <c r="AC4364" s="6"/>
      <c r="AD4364" s="6"/>
      <c r="AE4364" s="6"/>
      <c r="AF4364" s="6"/>
      <c r="AG4364" s="6"/>
      <c r="AH4364" s="6"/>
      <c r="AI4364" s="6"/>
      <c r="AJ4364" s="6"/>
      <c r="AK4364" s="6"/>
      <c r="AL4364" s="6"/>
      <c r="AM4364" s="6"/>
    </row>
    <row r="4365">
      <c r="A4365" s="6"/>
      <c r="B4365" s="6"/>
      <c r="C4365" s="6"/>
      <c r="D4365" s="6"/>
      <c r="E4365" s="6"/>
      <c r="F4365" s="6"/>
      <c r="G4365" s="6"/>
      <c r="H4365" s="6"/>
      <c r="I4365" s="6"/>
      <c r="J4365" s="6"/>
      <c r="K4365" s="6"/>
      <c r="L4365" s="6"/>
      <c r="M4365" s="6"/>
      <c r="N4365" s="6"/>
      <c r="O4365" s="6"/>
      <c r="P4365" s="6"/>
      <c r="Q4365" s="6"/>
      <c r="R4365" s="6"/>
      <c r="S4365" s="6"/>
      <c r="T4365" s="6"/>
      <c r="U4365" s="6"/>
      <c r="V4365" s="6"/>
      <c r="W4365" s="6"/>
      <c r="X4365" s="6"/>
      <c r="Y4365" s="6"/>
      <c r="Z4365" s="6"/>
      <c r="AA4365" s="6"/>
      <c r="AB4365" s="6"/>
      <c r="AC4365" s="6"/>
      <c r="AD4365" s="6"/>
      <c r="AE4365" s="6"/>
      <c r="AF4365" s="6"/>
      <c r="AG4365" s="6"/>
      <c r="AH4365" s="6"/>
      <c r="AI4365" s="6"/>
      <c r="AJ4365" s="6"/>
      <c r="AK4365" s="6"/>
      <c r="AL4365" s="6"/>
      <c r="AM4365" s="6"/>
    </row>
    <row r="4366">
      <c r="A4366" s="6"/>
      <c r="B4366" s="6"/>
      <c r="C4366" s="6"/>
      <c r="D4366" s="6"/>
      <c r="E4366" s="6"/>
      <c r="F4366" s="6"/>
      <c r="G4366" s="6"/>
      <c r="H4366" s="6"/>
      <c r="I4366" s="6"/>
      <c r="J4366" s="6"/>
      <c r="K4366" s="6"/>
      <c r="L4366" s="6"/>
      <c r="M4366" s="6"/>
      <c r="N4366" s="6"/>
      <c r="O4366" s="6"/>
      <c r="P4366" s="6"/>
      <c r="Q4366" s="6"/>
      <c r="R4366" s="6"/>
      <c r="S4366" s="6"/>
      <c r="T4366" s="6"/>
      <c r="U4366" s="6"/>
      <c r="V4366" s="6"/>
      <c r="W4366" s="6"/>
      <c r="X4366" s="6"/>
      <c r="Y4366" s="6"/>
      <c r="Z4366" s="6"/>
      <c r="AA4366" s="6"/>
      <c r="AB4366" s="6"/>
      <c r="AC4366" s="6"/>
      <c r="AD4366" s="6"/>
      <c r="AE4366" s="6"/>
      <c r="AF4366" s="6"/>
      <c r="AG4366" s="6"/>
      <c r="AH4366" s="6"/>
      <c r="AI4366" s="6"/>
      <c r="AJ4366" s="6"/>
      <c r="AK4366" s="6"/>
      <c r="AL4366" s="6"/>
      <c r="AM4366" s="6"/>
    </row>
    <row r="4367">
      <c r="A4367" s="6"/>
      <c r="B4367" s="6"/>
      <c r="C4367" s="6"/>
      <c r="D4367" s="6"/>
      <c r="E4367" s="6"/>
      <c r="F4367" s="6"/>
      <c r="G4367" s="6"/>
      <c r="H4367" s="6"/>
      <c r="I4367" s="6"/>
      <c r="J4367" s="6"/>
      <c r="K4367" s="6"/>
      <c r="L4367" s="6"/>
      <c r="M4367" s="6"/>
      <c r="N4367" s="6"/>
      <c r="O4367" s="6"/>
      <c r="P4367" s="6"/>
      <c r="Q4367" s="6"/>
      <c r="R4367" s="6"/>
      <c r="S4367" s="6"/>
      <c r="T4367" s="6"/>
      <c r="U4367" s="6"/>
      <c r="V4367" s="6"/>
      <c r="W4367" s="6"/>
      <c r="X4367" s="6"/>
      <c r="Y4367" s="6"/>
      <c r="Z4367" s="6"/>
      <c r="AA4367" s="6"/>
      <c r="AB4367" s="6"/>
      <c r="AC4367" s="6"/>
      <c r="AD4367" s="6"/>
      <c r="AE4367" s="6"/>
      <c r="AF4367" s="6"/>
      <c r="AG4367" s="6"/>
      <c r="AH4367" s="6"/>
      <c r="AI4367" s="6"/>
      <c r="AJ4367" s="6"/>
      <c r="AK4367" s="6"/>
      <c r="AL4367" s="6"/>
      <c r="AM4367" s="6"/>
    </row>
    <row r="4368">
      <c r="A4368" s="6"/>
      <c r="B4368" s="6"/>
      <c r="C4368" s="6"/>
      <c r="D4368" s="6"/>
      <c r="E4368" s="6"/>
      <c r="F4368" s="6"/>
      <c r="G4368" s="6"/>
      <c r="H4368" s="6"/>
      <c r="I4368" s="6"/>
      <c r="J4368" s="6"/>
      <c r="K4368" s="6"/>
      <c r="L4368" s="6"/>
      <c r="M4368" s="6"/>
      <c r="N4368" s="6"/>
      <c r="O4368" s="6"/>
      <c r="P4368" s="6"/>
      <c r="Q4368" s="6"/>
      <c r="R4368" s="6"/>
      <c r="S4368" s="6"/>
      <c r="T4368" s="6"/>
      <c r="U4368" s="6"/>
      <c r="V4368" s="6"/>
      <c r="W4368" s="6"/>
      <c r="X4368" s="6"/>
      <c r="Y4368" s="6"/>
      <c r="Z4368" s="6"/>
      <c r="AA4368" s="6"/>
      <c r="AB4368" s="6"/>
      <c r="AC4368" s="6"/>
      <c r="AD4368" s="6"/>
      <c r="AE4368" s="6"/>
      <c r="AF4368" s="6"/>
      <c r="AG4368" s="6"/>
      <c r="AH4368" s="6"/>
      <c r="AI4368" s="6"/>
      <c r="AJ4368" s="6"/>
      <c r="AK4368" s="6"/>
      <c r="AL4368" s="6"/>
      <c r="AM4368" s="6"/>
    </row>
    <row r="4369">
      <c r="A4369" s="6"/>
      <c r="B4369" s="6"/>
      <c r="C4369" s="6"/>
      <c r="D4369" s="6"/>
      <c r="E4369" s="6"/>
      <c r="F4369" s="6"/>
      <c r="G4369" s="6"/>
      <c r="H4369" s="6"/>
      <c r="I4369" s="6"/>
      <c r="J4369" s="6"/>
      <c r="K4369" s="6"/>
      <c r="L4369" s="6"/>
      <c r="M4369" s="6"/>
      <c r="N4369" s="6"/>
      <c r="O4369" s="6"/>
      <c r="P4369" s="6"/>
      <c r="Q4369" s="6"/>
      <c r="R4369" s="6"/>
      <c r="S4369" s="6"/>
      <c r="T4369" s="6"/>
      <c r="U4369" s="6"/>
      <c r="V4369" s="6"/>
      <c r="W4369" s="6"/>
      <c r="X4369" s="6"/>
      <c r="Y4369" s="6"/>
      <c r="Z4369" s="6"/>
      <c r="AA4369" s="6"/>
      <c r="AB4369" s="6"/>
      <c r="AC4369" s="6"/>
      <c r="AD4369" s="6"/>
      <c r="AE4369" s="6"/>
      <c r="AF4369" s="6"/>
      <c r="AG4369" s="6"/>
      <c r="AH4369" s="6"/>
      <c r="AI4369" s="6"/>
      <c r="AJ4369" s="6"/>
      <c r="AK4369" s="6"/>
      <c r="AL4369" s="6"/>
      <c r="AM4369" s="6"/>
    </row>
    <row r="4370">
      <c r="A4370" s="6"/>
      <c r="B4370" s="6"/>
      <c r="C4370" s="6"/>
      <c r="D4370" s="6"/>
      <c r="E4370" s="6"/>
      <c r="F4370" s="6"/>
      <c r="G4370" s="6"/>
      <c r="H4370" s="6"/>
      <c r="I4370" s="6"/>
      <c r="J4370" s="6"/>
      <c r="K4370" s="6"/>
      <c r="L4370" s="6"/>
      <c r="M4370" s="6"/>
      <c r="N4370" s="6"/>
      <c r="O4370" s="6"/>
      <c r="P4370" s="6"/>
      <c r="Q4370" s="6"/>
      <c r="R4370" s="6"/>
      <c r="S4370" s="6"/>
      <c r="T4370" s="6"/>
      <c r="U4370" s="6"/>
      <c r="V4370" s="6"/>
      <c r="W4370" s="6"/>
      <c r="X4370" s="6"/>
      <c r="Y4370" s="6"/>
      <c r="Z4370" s="6"/>
      <c r="AA4370" s="6"/>
      <c r="AB4370" s="6"/>
      <c r="AC4370" s="6"/>
      <c r="AD4370" s="6"/>
      <c r="AE4370" s="6"/>
      <c r="AF4370" s="6"/>
      <c r="AG4370" s="6"/>
      <c r="AH4370" s="6"/>
      <c r="AI4370" s="6"/>
      <c r="AJ4370" s="6"/>
      <c r="AK4370" s="6"/>
      <c r="AL4370" s="6"/>
      <c r="AM4370" s="6"/>
    </row>
    <row r="4371">
      <c r="A4371" s="6"/>
      <c r="B4371" s="6"/>
      <c r="C4371" s="6"/>
      <c r="D4371" s="6"/>
      <c r="E4371" s="6"/>
      <c r="F4371" s="6"/>
      <c r="G4371" s="6"/>
      <c r="H4371" s="6"/>
      <c r="I4371" s="6"/>
      <c r="J4371" s="6"/>
      <c r="K4371" s="6"/>
      <c r="L4371" s="6"/>
      <c r="M4371" s="6"/>
      <c r="N4371" s="6"/>
      <c r="O4371" s="6"/>
      <c r="P4371" s="6"/>
      <c r="Q4371" s="6"/>
      <c r="R4371" s="6"/>
      <c r="S4371" s="6"/>
      <c r="T4371" s="6"/>
      <c r="U4371" s="6"/>
      <c r="V4371" s="6"/>
      <c r="W4371" s="6"/>
      <c r="X4371" s="6"/>
      <c r="Y4371" s="6"/>
      <c r="Z4371" s="6"/>
      <c r="AA4371" s="6"/>
      <c r="AB4371" s="6"/>
      <c r="AC4371" s="6"/>
      <c r="AD4371" s="6"/>
      <c r="AE4371" s="6"/>
      <c r="AF4371" s="6"/>
      <c r="AG4371" s="6"/>
      <c r="AH4371" s="6"/>
      <c r="AI4371" s="6"/>
      <c r="AJ4371" s="6"/>
      <c r="AK4371" s="6"/>
      <c r="AL4371" s="6"/>
      <c r="AM4371" s="6"/>
    </row>
    <row r="4372">
      <c r="A4372" s="6"/>
      <c r="B4372" s="6"/>
      <c r="C4372" s="6"/>
      <c r="D4372" s="6"/>
      <c r="E4372" s="6"/>
      <c r="F4372" s="6"/>
      <c r="G4372" s="6"/>
      <c r="H4372" s="6"/>
      <c r="I4372" s="6"/>
      <c r="J4372" s="6"/>
      <c r="K4372" s="6"/>
      <c r="L4372" s="6"/>
      <c r="M4372" s="6"/>
      <c r="N4372" s="6"/>
      <c r="O4372" s="6"/>
      <c r="P4372" s="6"/>
      <c r="Q4372" s="6"/>
      <c r="R4372" s="6"/>
      <c r="S4372" s="6"/>
      <c r="T4372" s="6"/>
      <c r="U4372" s="6"/>
      <c r="V4372" s="6"/>
      <c r="W4372" s="6"/>
      <c r="X4372" s="6"/>
      <c r="Y4372" s="6"/>
      <c r="Z4372" s="6"/>
      <c r="AA4372" s="6"/>
      <c r="AB4372" s="6"/>
      <c r="AC4372" s="6"/>
      <c r="AD4372" s="6"/>
      <c r="AE4372" s="6"/>
      <c r="AF4372" s="6"/>
      <c r="AG4372" s="6"/>
      <c r="AH4372" s="6"/>
      <c r="AI4372" s="6"/>
      <c r="AJ4372" s="6"/>
      <c r="AK4372" s="6"/>
      <c r="AL4372" s="6"/>
      <c r="AM4372" s="6"/>
    </row>
    <row r="4373">
      <c r="A4373" s="6"/>
      <c r="B4373" s="6"/>
      <c r="C4373" s="6"/>
      <c r="D4373" s="6"/>
      <c r="E4373" s="6"/>
      <c r="F4373" s="6"/>
      <c r="G4373" s="6"/>
      <c r="H4373" s="6"/>
      <c r="I4373" s="6"/>
      <c r="J4373" s="6"/>
      <c r="K4373" s="6"/>
      <c r="L4373" s="6"/>
      <c r="M4373" s="6"/>
      <c r="N4373" s="6"/>
      <c r="O4373" s="6"/>
      <c r="P4373" s="6"/>
      <c r="Q4373" s="6"/>
      <c r="R4373" s="6"/>
      <c r="S4373" s="6"/>
      <c r="T4373" s="6"/>
      <c r="U4373" s="6"/>
      <c r="V4373" s="6"/>
      <c r="W4373" s="6"/>
      <c r="X4373" s="6"/>
      <c r="Y4373" s="6"/>
      <c r="Z4373" s="6"/>
      <c r="AA4373" s="6"/>
      <c r="AB4373" s="6"/>
      <c r="AC4373" s="6"/>
      <c r="AD4373" s="6"/>
      <c r="AE4373" s="6"/>
      <c r="AF4373" s="6"/>
      <c r="AG4373" s="6"/>
      <c r="AH4373" s="6"/>
      <c r="AI4373" s="6"/>
      <c r="AJ4373" s="6"/>
      <c r="AK4373" s="6"/>
      <c r="AL4373" s="6"/>
      <c r="AM4373" s="6"/>
    </row>
    <row r="4374">
      <c r="A4374" s="6"/>
      <c r="B4374" s="6"/>
      <c r="C4374" s="6"/>
      <c r="D4374" s="6"/>
      <c r="E4374" s="6"/>
      <c r="F4374" s="6"/>
      <c r="G4374" s="6"/>
      <c r="H4374" s="6"/>
      <c r="I4374" s="6"/>
      <c r="J4374" s="6"/>
      <c r="K4374" s="6"/>
      <c r="L4374" s="6"/>
      <c r="M4374" s="6"/>
      <c r="N4374" s="6"/>
      <c r="O4374" s="6"/>
      <c r="P4374" s="6"/>
      <c r="Q4374" s="6"/>
      <c r="R4374" s="6"/>
      <c r="S4374" s="6"/>
      <c r="T4374" s="6"/>
      <c r="U4374" s="6"/>
      <c r="V4374" s="6"/>
      <c r="W4374" s="6"/>
      <c r="X4374" s="6"/>
      <c r="Y4374" s="6"/>
      <c r="Z4374" s="6"/>
      <c r="AA4374" s="6"/>
      <c r="AB4374" s="6"/>
      <c r="AC4374" s="6"/>
      <c r="AD4374" s="6"/>
      <c r="AE4374" s="6"/>
      <c r="AF4374" s="6"/>
      <c r="AG4374" s="6"/>
      <c r="AH4374" s="6"/>
      <c r="AI4374" s="6"/>
      <c r="AJ4374" s="6"/>
      <c r="AK4374" s="6"/>
      <c r="AL4374" s="6"/>
      <c r="AM4374" s="6"/>
    </row>
    <row r="4375">
      <c r="A4375" s="6"/>
      <c r="B4375" s="6"/>
      <c r="C4375" s="6"/>
      <c r="D4375" s="6"/>
      <c r="E4375" s="6"/>
      <c r="F4375" s="6"/>
      <c r="G4375" s="6"/>
      <c r="H4375" s="6"/>
      <c r="I4375" s="6"/>
      <c r="J4375" s="6"/>
      <c r="K4375" s="6"/>
      <c r="L4375" s="6"/>
      <c r="M4375" s="6"/>
      <c r="N4375" s="6"/>
      <c r="O4375" s="6"/>
      <c r="P4375" s="6"/>
      <c r="Q4375" s="6"/>
      <c r="R4375" s="6"/>
      <c r="S4375" s="6"/>
      <c r="T4375" s="6"/>
      <c r="U4375" s="6"/>
      <c r="V4375" s="6"/>
      <c r="W4375" s="6"/>
      <c r="X4375" s="6"/>
      <c r="Y4375" s="6"/>
      <c r="Z4375" s="6"/>
      <c r="AA4375" s="6"/>
      <c r="AB4375" s="6"/>
      <c r="AC4375" s="6"/>
      <c r="AD4375" s="6"/>
      <c r="AE4375" s="6"/>
      <c r="AF4375" s="6"/>
      <c r="AG4375" s="6"/>
      <c r="AH4375" s="6"/>
      <c r="AI4375" s="6"/>
      <c r="AJ4375" s="6"/>
      <c r="AK4375" s="6"/>
      <c r="AL4375" s="6"/>
      <c r="AM4375" s="6"/>
    </row>
    <row r="4376">
      <c r="A4376" s="6"/>
      <c r="B4376" s="6"/>
      <c r="C4376" s="6"/>
      <c r="D4376" s="6"/>
      <c r="E4376" s="6"/>
      <c r="F4376" s="6"/>
      <c r="G4376" s="6"/>
      <c r="H4376" s="6"/>
      <c r="I4376" s="6"/>
      <c r="J4376" s="6"/>
      <c r="K4376" s="6"/>
      <c r="L4376" s="6"/>
      <c r="M4376" s="6"/>
      <c r="N4376" s="6"/>
      <c r="O4376" s="6"/>
      <c r="P4376" s="6"/>
      <c r="Q4376" s="6"/>
      <c r="R4376" s="6"/>
      <c r="S4376" s="6"/>
      <c r="T4376" s="6"/>
      <c r="U4376" s="6"/>
      <c r="V4376" s="6"/>
      <c r="W4376" s="6"/>
      <c r="X4376" s="6"/>
      <c r="Y4376" s="6"/>
      <c r="Z4376" s="6"/>
      <c r="AA4376" s="6"/>
      <c r="AB4376" s="6"/>
      <c r="AC4376" s="6"/>
      <c r="AD4376" s="6"/>
      <c r="AE4376" s="6"/>
      <c r="AF4376" s="6"/>
      <c r="AG4376" s="6"/>
      <c r="AH4376" s="6"/>
      <c r="AI4376" s="6"/>
      <c r="AJ4376" s="6"/>
      <c r="AK4376" s="6"/>
      <c r="AL4376" s="6"/>
      <c r="AM4376" s="6"/>
    </row>
    <row r="4377">
      <c r="A4377" s="6"/>
      <c r="B4377" s="6"/>
      <c r="C4377" s="6"/>
      <c r="D4377" s="6"/>
      <c r="E4377" s="6"/>
      <c r="F4377" s="6"/>
      <c r="G4377" s="6"/>
      <c r="H4377" s="6"/>
      <c r="I4377" s="6"/>
      <c r="J4377" s="6"/>
      <c r="K4377" s="6"/>
      <c r="L4377" s="6"/>
      <c r="M4377" s="6"/>
      <c r="N4377" s="6"/>
      <c r="O4377" s="6"/>
      <c r="P4377" s="6"/>
      <c r="Q4377" s="6"/>
      <c r="R4377" s="6"/>
      <c r="S4377" s="6"/>
      <c r="T4377" s="6"/>
      <c r="U4377" s="6"/>
      <c r="V4377" s="6"/>
      <c r="W4377" s="6"/>
      <c r="X4377" s="6"/>
      <c r="Y4377" s="6"/>
      <c r="Z4377" s="6"/>
      <c r="AA4377" s="6"/>
      <c r="AB4377" s="6"/>
      <c r="AC4377" s="6"/>
      <c r="AD4377" s="6"/>
      <c r="AE4377" s="6"/>
      <c r="AF4377" s="6"/>
      <c r="AG4377" s="6"/>
      <c r="AH4377" s="6"/>
      <c r="AI4377" s="6"/>
      <c r="AJ4377" s="6"/>
      <c r="AK4377" s="6"/>
      <c r="AL4377" s="6"/>
      <c r="AM4377" s="6"/>
    </row>
    <row r="4378">
      <c r="A4378" s="6"/>
      <c r="B4378" s="6"/>
      <c r="C4378" s="6"/>
      <c r="D4378" s="6"/>
      <c r="E4378" s="6"/>
      <c r="F4378" s="6"/>
      <c r="G4378" s="6"/>
      <c r="H4378" s="6"/>
      <c r="I4378" s="6"/>
      <c r="J4378" s="6"/>
      <c r="K4378" s="6"/>
      <c r="L4378" s="6"/>
      <c r="M4378" s="6"/>
      <c r="N4378" s="6"/>
      <c r="O4378" s="6"/>
      <c r="P4378" s="6"/>
      <c r="Q4378" s="6"/>
      <c r="R4378" s="6"/>
      <c r="S4378" s="6"/>
      <c r="T4378" s="6"/>
      <c r="U4378" s="6"/>
      <c r="V4378" s="6"/>
      <c r="W4378" s="6"/>
      <c r="X4378" s="6"/>
      <c r="Y4378" s="6"/>
      <c r="Z4378" s="6"/>
      <c r="AA4378" s="6"/>
      <c r="AB4378" s="6"/>
      <c r="AC4378" s="6"/>
      <c r="AD4378" s="6"/>
      <c r="AE4378" s="6"/>
      <c r="AF4378" s="6"/>
      <c r="AG4378" s="6"/>
      <c r="AH4378" s="6"/>
      <c r="AI4378" s="6"/>
      <c r="AJ4378" s="6"/>
      <c r="AK4378" s="6"/>
      <c r="AL4378" s="6"/>
      <c r="AM4378" s="6"/>
    </row>
    <row r="4379">
      <c r="A4379" s="6"/>
      <c r="B4379" s="6"/>
      <c r="C4379" s="6"/>
      <c r="D4379" s="6"/>
      <c r="E4379" s="6"/>
      <c r="F4379" s="6"/>
      <c r="G4379" s="6"/>
      <c r="H4379" s="6"/>
      <c r="I4379" s="6"/>
      <c r="J4379" s="6"/>
      <c r="K4379" s="6"/>
      <c r="L4379" s="6"/>
      <c r="M4379" s="6"/>
      <c r="N4379" s="6"/>
      <c r="O4379" s="6"/>
      <c r="P4379" s="6"/>
      <c r="Q4379" s="6"/>
      <c r="R4379" s="6"/>
      <c r="S4379" s="6"/>
      <c r="T4379" s="6"/>
      <c r="U4379" s="6"/>
      <c r="V4379" s="6"/>
      <c r="W4379" s="6"/>
      <c r="X4379" s="6"/>
      <c r="Y4379" s="6"/>
      <c r="Z4379" s="6"/>
      <c r="AA4379" s="6"/>
      <c r="AB4379" s="6"/>
      <c r="AC4379" s="6"/>
      <c r="AD4379" s="6"/>
      <c r="AE4379" s="6"/>
      <c r="AF4379" s="6"/>
      <c r="AG4379" s="6"/>
      <c r="AH4379" s="6"/>
      <c r="AI4379" s="6"/>
      <c r="AJ4379" s="6"/>
      <c r="AK4379" s="6"/>
      <c r="AL4379" s="6"/>
      <c r="AM4379" s="6"/>
    </row>
    <row r="4380">
      <c r="A4380" s="6"/>
      <c r="B4380" s="6"/>
      <c r="C4380" s="6"/>
      <c r="D4380" s="6"/>
      <c r="E4380" s="6"/>
      <c r="F4380" s="6"/>
      <c r="G4380" s="6"/>
      <c r="H4380" s="6"/>
      <c r="I4380" s="6"/>
      <c r="J4380" s="6"/>
      <c r="K4380" s="6"/>
      <c r="L4380" s="6"/>
      <c r="M4380" s="6"/>
      <c r="N4380" s="6"/>
      <c r="O4380" s="6"/>
      <c r="P4380" s="6"/>
      <c r="Q4380" s="6"/>
      <c r="R4380" s="6"/>
      <c r="S4380" s="6"/>
      <c r="T4380" s="6"/>
      <c r="U4380" s="6"/>
      <c r="V4380" s="6"/>
      <c r="W4380" s="6"/>
      <c r="X4380" s="6"/>
      <c r="Y4380" s="6"/>
      <c r="Z4380" s="6"/>
      <c r="AA4380" s="6"/>
      <c r="AB4380" s="6"/>
      <c r="AC4380" s="6"/>
      <c r="AD4380" s="6"/>
      <c r="AE4380" s="6"/>
      <c r="AF4380" s="6"/>
      <c r="AG4380" s="6"/>
      <c r="AH4380" s="6"/>
      <c r="AI4380" s="6"/>
      <c r="AJ4380" s="6"/>
      <c r="AK4380" s="6"/>
      <c r="AL4380" s="6"/>
      <c r="AM4380" s="6"/>
    </row>
    <row r="4381">
      <c r="A4381" s="6"/>
      <c r="B4381" s="6"/>
      <c r="C4381" s="6"/>
      <c r="D4381" s="6"/>
      <c r="E4381" s="6"/>
      <c r="F4381" s="6"/>
      <c r="G4381" s="6"/>
      <c r="H4381" s="6"/>
      <c r="I4381" s="6"/>
      <c r="J4381" s="6"/>
      <c r="K4381" s="6"/>
      <c r="L4381" s="6"/>
      <c r="M4381" s="6"/>
      <c r="N4381" s="6"/>
      <c r="O4381" s="6"/>
      <c r="P4381" s="6"/>
      <c r="Q4381" s="6"/>
      <c r="R4381" s="6"/>
      <c r="S4381" s="6"/>
      <c r="T4381" s="6"/>
      <c r="U4381" s="6"/>
      <c r="V4381" s="6"/>
      <c r="W4381" s="6"/>
      <c r="X4381" s="6"/>
      <c r="Y4381" s="6"/>
      <c r="Z4381" s="6"/>
      <c r="AA4381" s="6"/>
      <c r="AB4381" s="6"/>
      <c r="AC4381" s="6"/>
      <c r="AD4381" s="6"/>
      <c r="AE4381" s="6"/>
      <c r="AF4381" s="6"/>
      <c r="AG4381" s="6"/>
      <c r="AH4381" s="6"/>
      <c r="AI4381" s="6"/>
      <c r="AJ4381" s="6"/>
      <c r="AK4381" s="6"/>
      <c r="AL4381" s="6"/>
      <c r="AM4381" s="6"/>
    </row>
    <row r="4382">
      <c r="A4382" s="6"/>
      <c r="B4382" s="6"/>
      <c r="C4382" s="6"/>
      <c r="D4382" s="6"/>
      <c r="E4382" s="6"/>
      <c r="F4382" s="6"/>
      <c r="G4382" s="6"/>
      <c r="H4382" s="6"/>
      <c r="I4382" s="6"/>
      <c r="J4382" s="6"/>
      <c r="K4382" s="6"/>
      <c r="L4382" s="6"/>
      <c r="M4382" s="6"/>
      <c r="N4382" s="6"/>
      <c r="O4382" s="6"/>
      <c r="P4382" s="6"/>
      <c r="Q4382" s="6"/>
      <c r="R4382" s="6"/>
      <c r="S4382" s="6"/>
      <c r="T4382" s="6"/>
      <c r="U4382" s="6"/>
      <c r="V4382" s="6"/>
      <c r="W4382" s="6"/>
      <c r="X4382" s="6"/>
      <c r="Y4382" s="6"/>
      <c r="Z4382" s="6"/>
      <c r="AA4382" s="6"/>
      <c r="AB4382" s="6"/>
      <c r="AC4382" s="6"/>
      <c r="AD4382" s="6"/>
      <c r="AE4382" s="6"/>
      <c r="AF4382" s="6"/>
      <c r="AG4382" s="6"/>
      <c r="AH4382" s="6"/>
      <c r="AI4382" s="6"/>
      <c r="AJ4382" s="6"/>
      <c r="AK4382" s="6"/>
      <c r="AL4382" s="6"/>
      <c r="AM4382" s="6"/>
    </row>
    <row r="4383">
      <c r="A4383" s="6"/>
      <c r="B4383" s="6"/>
      <c r="C4383" s="6"/>
      <c r="D4383" s="6"/>
      <c r="E4383" s="6"/>
      <c r="F4383" s="6"/>
      <c r="G4383" s="6"/>
      <c r="H4383" s="6"/>
      <c r="I4383" s="6"/>
      <c r="J4383" s="6"/>
      <c r="K4383" s="6"/>
      <c r="L4383" s="6"/>
      <c r="M4383" s="6"/>
      <c r="N4383" s="6"/>
      <c r="O4383" s="6"/>
      <c r="P4383" s="6"/>
      <c r="Q4383" s="6"/>
      <c r="R4383" s="6"/>
      <c r="S4383" s="6"/>
      <c r="T4383" s="6"/>
      <c r="U4383" s="6"/>
      <c r="V4383" s="6"/>
      <c r="W4383" s="6"/>
      <c r="X4383" s="6"/>
      <c r="Y4383" s="6"/>
      <c r="Z4383" s="6"/>
      <c r="AA4383" s="6"/>
      <c r="AB4383" s="6"/>
      <c r="AC4383" s="6"/>
      <c r="AD4383" s="6"/>
      <c r="AE4383" s="6"/>
      <c r="AF4383" s="6"/>
      <c r="AG4383" s="6"/>
      <c r="AH4383" s="6"/>
      <c r="AI4383" s="6"/>
      <c r="AJ4383" s="6"/>
      <c r="AK4383" s="6"/>
      <c r="AL4383" s="6"/>
      <c r="AM4383" s="6"/>
    </row>
    <row r="4384">
      <c r="A4384" s="6"/>
      <c r="B4384" s="6"/>
      <c r="C4384" s="6"/>
      <c r="D4384" s="6"/>
      <c r="E4384" s="6"/>
      <c r="F4384" s="6"/>
      <c r="G4384" s="6"/>
      <c r="H4384" s="6"/>
      <c r="I4384" s="6"/>
      <c r="J4384" s="6"/>
      <c r="K4384" s="6"/>
      <c r="L4384" s="6"/>
      <c r="M4384" s="6"/>
      <c r="N4384" s="6"/>
      <c r="O4384" s="6"/>
      <c r="P4384" s="6"/>
      <c r="Q4384" s="6"/>
      <c r="R4384" s="6"/>
      <c r="S4384" s="6"/>
      <c r="T4384" s="6"/>
      <c r="U4384" s="6"/>
      <c r="V4384" s="6"/>
      <c r="W4384" s="6"/>
      <c r="X4384" s="6"/>
      <c r="Y4384" s="6"/>
      <c r="Z4384" s="6"/>
      <c r="AA4384" s="6"/>
      <c r="AB4384" s="6"/>
      <c r="AC4384" s="6"/>
      <c r="AD4384" s="6"/>
      <c r="AE4384" s="6"/>
      <c r="AF4384" s="6"/>
      <c r="AG4384" s="6"/>
      <c r="AH4384" s="6"/>
      <c r="AI4384" s="6"/>
      <c r="AJ4384" s="6"/>
      <c r="AK4384" s="6"/>
      <c r="AL4384" s="6"/>
      <c r="AM4384" s="6"/>
    </row>
    <row r="4385">
      <c r="A4385" s="6"/>
      <c r="B4385" s="6"/>
      <c r="C4385" s="6"/>
      <c r="D4385" s="6"/>
      <c r="E4385" s="6"/>
      <c r="F4385" s="6"/>
      <c r="G4385" s="6"/>
      <c r="H4385" s="6"/>
      <c r="I4385" s="6"/>
      <c r="J4385" s="6"/>
      <c r="K4385" s="6"/>
      <c r="L4385" s="6"/>
      <c r="M4385" s="6"/>
      <c r="N4385" s="6"/>
      <c r="O4385" s="6"/>
      <c r="P4385" s="6"/>
      <c r="Q4385" s="6"/>
      <c r="R4385" s="6"/>
      <c r="S4385" s="6"/>
      <c r="T4385" s="6"/>
      <c r="U4385" s="6"/>
      <c r="V4385" s="6"/>
      <c r="W4385" s="6"/>
      <c r="X4385" s="6"/>
      <c r="Y4385" s="6"/>
      <c r="Z4385" s="6"/>
      <c r="AA4385" s="6"/>
      <c r="AB4385" s="6"/>
      <c r="AC4385" s="6"/>
      <c r="AD4385" s="6"/>
      <c r="AE4385" s="6"/>
      <c r="AF4385" s="6"/>
      <c r="AG4385" s="6"/>
      <c r="AH4385" s="6"/>
      <c r="AI4385" s="6"/>
      <c r="AJ4385" s="6"/>
      <c r="AK4385" s="6"/>
      <c r="AL4385" s="6"/>
      <c r="AM4385" s="6"/>
    </row>
    <row r="4386">
      <c r="A4386" s="6"/>
      <c r="B4386" s="6"/>
      <c r="C4386" s="6"/>
      <c r="D4386" s="6"/>
      <c r="E4386" s="6"/>
      <c r="F4386" s="6"/>
      <c r="G4386" s="6"/>
      <c r="H4386" s="6"/>
      <c r="I4386" s="6"/>
      <c r="J4386" s="6"/>
      <c r="K4386" s="6"/>
      <c r="L4386" s="6"/>
      <c r="M4386" s="6"/>
      <c r="N4386" s="6"/>
      <c r="O4386" s="6"/>
      <c r="P4386" s="6"/>
      <c r="Q4386" s="6"/>
      <c r="R4386" s="6"/>
      <c r="S4386" s="6"/>
      <c r="T4386" s="6"/>
      <c r="U4386" s="6"/>
      <c r="V4386" s="6"/>
      <c r="W4386" s="6"/>
      <c r="X4386" s="6"/>
      <c r="Y4386" s="6"/>
      <c r="Z4386" s="6"/>
      <c r="AA4386" s="6"/>
      <c r="AB4386" s="6"/>
      <c r="AC4386" s="6"/>
      <c r="AD4386" s="6"/>
      <c r="AE4386" s="6"/>
      <c r="AF4386" s="6"/>
      <c r="AG4386" s="6"/>
      <c r="AH4386" s="6"/>
      <c r="AI4386" s="6"/>
      <c r="AJ4386" s="6"/>
      <c r="AK4386" s="6"/>
      <c r="AL4386" s="6"/>
      <c r="AM4386" s="6"/>
    </row>
    <row r="4387">
      <c r="A4387" s="6"/>
      <c r="B4387" s="6"/>
      <c r="C4387" s="6"/>
      <c r="D4387" s="6"/>
      <c r="E4387" s="6"/>
      <c r="F4387" s="6"/>
      <c r="G4387" s="6"/>
      <c r="H4387" s="6"/>
      <c r="I4387" s="6"/>
      <c r="J4387" s="6"/>
      <c r="K4387" s="6"/>
      <c r="L4387" s="6"/>
      <c r="M4387" s="6"/>
      <c r="N4387" s="6"/>
      <c r="O4387" s="6"/>
      <c r="P4387" s="6"/>
      <c r="Q4387" s="6"/>
      <c r="R4387" s="6"/>
      <c r="S4387" s="6"/>
      <c r="T4387" s="6"/>
      <c r="U4387" s="6"/>
      <c r="V4387" s="6"/>
      <c r="W4387" s="6"/>
      <c r="X4387" s="6"/>
      <c r="Y4387" s="6"/>
      <c r="Z4387" s="6"/>
      <c r="AA4387" s="6"/>
      <c r="AB4387" s="6"/>
      <c r="AC4387" s="6"/>
      <c r="AD4387" s="6"/>
      <c r="AE4387" s="6"/>
      <c r="AF4387" s="6"/>
      <c r="AG4387" s="6"/>
      <c r="AH4387" s="6"/>
      <c r="AI4387" s="6"/>
      <c r="AJ4387" s="6"/>
      <c r="AK4387" s="6"/>
      <c r="AL4387" s="6"/>
      <c r="AM4387" s="6"/>
    </row>
    <row r="4388">
      <c r="A4388" s="6"/>
      <c r="B4388" s="6"/>
      <c r="C4388" s="6"/>
      <c r="D4388" s="6"/>
      <c r="E4388" s="6"/>
      <c r="F4388" s="6"/>
      <c r="G4388" s="6"/>
      <c r="H4388" s="6"/>
      <c r="I4388" s="6"/>
      <c r="J4388" s="6"/>
      <c r="K4388" s="6"/>
      <c r="L4388" s="6"/>
      <c r="M4388" s="6"/>
      <c r="N4388" s="6"/>
      <c r="O4388" s="6"/>
      <c r="P4388" s="6"/>
      <c r="Q4388" s="6"/>
      <c r="R4388" s="6"/>
      <c r="S4388" s="6"/>
      <c r="T4388" s="6"/>
      <c r="U4388" s="6"/>
      <c r="V4388" s="6"/>
      <c r="W4388" s="6"/>
      <c r="X4388" s="6"/>
      <c r="Y4388" s="6"/>
      <c r="Z4388" s="6"/>
      <c r="AA4388" s="6"/>
      <c r="AB4388" s="6"/>
      <c r="AC4388" s="6"/>
      <c r="AD4388" s="6"/>
      <c r="AE4388" s="6"/>
      <c r="AF4388" s="6"/>
      <c r="AG4388" s="6"/>
      <c r="AH4388" s="6"/>
      <c r="AI4388" s="6"/>
      <c r="AJ4388" s="6"/>
      <c r="AK4388" s="6"/>
      <c r="AL4388" s="6"/>
      <c r="AM4388" s="6"/>
    </row>
    <row r="4389">
      <c r="A4389" s="6"/>
      <c r="B4389" s="6"/>
      <c r="C4389" s="6"/>
      <c r="D4389" s="6"/>
      <c r="E4389" s="6"/>
      <c r="F4389" s="6"/>
      <c r="G4389" s="6"/>
      <c r="H4389" s="6"/>
      <c r="I4389" s="6"/>
      <c r="J4389" s="6"/>
      <c r="K4389" s="6"/>
      <c r="L4389" s="6"/>
      <c r="M4389" s="6"/>
      <c r="N4389" s="6"/>
      <c r="O4389" s="6"/>
      <c r="P4389" s="6"/>
      <c r="Q4389" s="6"/>
      <c r="R4389" s="6"/>
      <c r="S4389" s="6"/>
      <c r="T4389" s="6"/>
      <c r="U4389" s="6"/>
      <c r="V4389" s="6"/>
      <c r="W4389" s="6"/>
      <c r="X4389" s="6"/>
      <c r="Y4389" s="6"/>
      <c r="Z4389" s="6"/>
      <c r="AA4389" s="6"/>
      <c r="AB4389" s="6"/>
      <c r="AC4389" s="6"/>
      <c r="AD4389" s="6"/>
      <c r="AE4389" s="6"/>
      <c r="AF4389" s="6"/>
      <c r="AG4389" s="6"/>
      <c r="AH4389" s="6"/>
      <c r="AI4389" s="6"/>
      <c r="AJ4389" s="6"/>
      <c r="AK4389" s="6"/>
      <c r="AL4389" s="6"/>
      <c r="AM4389" s="6"/>
    </row>
    <row r="4390">
      <c r="A4390" s="6"/>
      <c r="B4390" s="6"/>
      <c r="C4390" s="6"/>
      <c r="D4390" s="6"/>
      <c r="E4390" s="6"/>
      <c r="F4390" s="6"/>
      <c r="G4390" s="6"/>
      <c r="H4390" s="6"/>
      <c r="I4390" s="6"/>
      <c r="J4390" s="6"/>
      <c r="K4390" s="6"/>
      <c r="L4390" s="6"/>
      <c r="M4390" s="6"/>
      <c r="N4390" s="6"/>
      <c r="O4390" s="6"/>
      <c r="P4390" s="6"/>
      <c r="Q4390" s="6"/>
      <c r="R4390" s="6"/>
      <c r="S4390" s="6"/>
      <c r="T4390" s="6"/>
      <c r="U4390" s="6"/>
      <c r="V4390" s="6"/>
      <c r="W4390" s="6"/>
      <c r="X4390" s="6"/>
      <c r="Y4390" s="6"/>
      <c r="Z4390" s="6"/>
      <c r="AA4390" s="6"/>
      <c r="AB4390" s="6"/>
      <c r="AC4390" s="6"/>
      <c r="AD4390" s="6"/>
      <c r="AE4390" s="6"/>
      <c r="AF4390" s="6"/>
      <c r="AG4390" s="6"/>
      <c r="AH4390" s="6"/>
      <c r="AI4390" s="6"/>
      <c r="AJ4390" s="6"/>
      <c r="AK4390" s="6"/>
      <c r="AL4390" s="6"/>
      <c r="AM4390" s="6"/>
    </row>
    <row r="4391">
      <c r="A4391" s="6"/>
      <c r="B4391" s="6"/>
      <c r="C4391" s="6"/>
      <c r="D4391" s="6"/>
      <c r="E4391" s="6"/>
      <c r="F4391" s="6"/>
      <c r="G4391" s="6"/>
      <c r="H4391" s="6"/>
      <c r="I4391" s="6"/>
      <c r="J4391" s="6"/>
      <c r="K4391" s="6"/>
      <c r="L4391" s="6"/>
      <c r="M4391" s="6"/>
      <c r="N4391" s="6"/>
      <c r="O4391" s="6"/>
      <c r="P4391" s="6"/>
      <c r="Q4391" s="6"/>
      <c r="R4391" s="6"/>
      <c r="S4391" s="6"/>
      <c r="T4391" s="6"/>
      <c r="U4391" s="6"/>
      <c r="V4391" s="6"/>
      <c r="W4391" s="6"/>
      <c r="X4391" s="6"/>
      <c r="Y4391" s="6"/>
      <c r="Z4391" s="6"/>
      <c r="AA4391" s="6"/>
      <c r="AB4391" s="6"/>
      <c r="AC4391" s="6"/>
      <c r="AD4391" s="6"/>
      <c r="AE4391" s="6"/>
      <c r="AF4391" s="6"/>
      <c r="AG4391" s="6"/>
      <c r="AH4391" s="6"/>
      <c r="AI4391" s="6"/>
      <c r="AJ4391" s="6"/>
      <c r="AK4391" s="6"/>
      <c r="AL4391" s="6"/>
      <c r="AM4391" s="6"/>
    </row>
    <row r="4392">
      <c r="A4392" s="6"/>
      <c r="B4392" s="6"/>
      <c r="C4392" s="6"/>
      <c r="D4392" s="6"/>
      <c r="E4392" s="6"/>
      <c r="F4392" s="6"/>
      <c r="G4392" s="6"/>
      <c r="H4392" s="6"/>
      <c r="I4392" s="6"/>
      <c r="J4392" s="6"/>
      <c r="K4392" s="6"/>
      <c r="L4392" s="6"/>
      <c r="M4392" s="6"/>
      <c r="N4392" s="6"/>
      <c r="O4392" s="6"/>
      <c r="P4392" s="6"/>
      <c r="Q4392" s="6"/>
      <c r="R4392" s="6"/>
      <c r="S4392" s="6"/>
      <c r="T4392" s="6"/>
      <c r="U4392" s="6"/>
      <c r="V4392" s="6"/>
      <c r="W4392" s="6"/>
      <c r="X4392" s="6"/>
      <c r="Y4392" s="6"/>
      <c r="Z4392" s="6"/>
      <c r="AA4392" s="6"/>
      <c r="AB4392" s="6"/>
      <c r="AC4392" s="6"/>
      <c r="AD4392" s="6"/>
      <c r="AE4392" s="6"/>
      <c r="AF4392" s="6"/>
      <c r="AG4392" s="6"/>
      <c r="AH4392" s="6"/>
      <c r="AI4392" s="6"/>
      <c r="AJ4392" s="6"/>
      <c r="AK4392" s="6"/>
      <c r="AL4392" s="6"/>
      <c r="AM4392" s="6"/>
    </row>
    <row r="4393">
      <c r="A4393" s="6"/>
      <c r="B4393" s="6"/>
      <c r="C4393" s="6"/>
      <c r="D4393" s="6"/>
      <c r="E4393" s="6"/>
      <c r="F4393" s="6"/>
      <c r="G4393" s="6"/>
      <c r="H4393" s="6"/>
      <c r="I4393" s="6"/>
      <c r="J4393" s="6"/>
      <c r="K4393" s="6"/>
      <c r="L4393" s="6"/>
      <c r="M4393" s="6"/>
      <c r="N4393" s="6"/>
      <c r="O4393" s="6"/>
      <c r="P4393" s="6"/>
      <c r="Q4393" s="6"/>
      <c r="R4393" s="6"/>
      <c r="S4393" s="6"/>
      <c r="T4393" s="6"/>
      <c r="U4393" s="6"/>
      <c r="V4393" s="6"/>
      <c r="W4393" s="6"/>
      <c r="X4393" s="6"/>
      <c r="Y4393" s="6"/>
      <c r="Z4393" s="6"/>
      <c r="AA4393" s="6"/>
      <c r="AB4393" s="6"/>
      <c r="AC4393" s="6"/>
      <c r="AD4393" s="6"/>
      <c r="AE4393" s="6"/>
      <c r="AF4393" s="6"/>
      <c r="AG4393" s="6"/>
      <c r="AH4393" s="6"/>
      <c r="AI4393" s="6"/>
      <c r="AJ4393" s="6"/>
      <c r="AK4393" s="6"/>
      <c r="AL4393" s="6"/>
      <c r="AM4393" s="6"/>
    </row>
    <row r="4394">
      <c r="A4394" s="6"/>
      <c r="B4394" s="6"/>
      <c r="C4394" s="6"/>
      <c r="D4394" s="6"/>
      <c r="E4394" s="6"/>
      <c r="F4394" s="6"/>
      <c r="G4394" s="6"/>
      <c r="H4394" s="6"/>
      <c r="I4394" s="6"/>
      <c r="J4394" s="6"/>
      <c r="K4394" s="6"/>
      <c r="L4394" s="6"/>
      <c r="M4394" s="6"/>
      <c r="N4394" s="6"/>
      <c r="O4394" s="6"/>
      <c r="P4394" s="6"/>
      <c r="Q4394" s="6"/>
      <c r="R4394" s="6"/>
      <c r="S4394" s="6"/>
      <c r="T4394" s="6"/>
      <c r="U4394" s="6"/>
      <c r="V4394" s="6"/>
      <c r="W4394" s="6"/>
      <c r="X4394" s="6"/>
      <c r="Y4394" s="6"/>
      <c r="Z4394" s="6"/>
      <c r="AA4394" s="6"/>
      <c r="AB4394" s="6"/>
      <c r="AC4394" s="6"/>
      <c r="AD4394" s="6"/>
      <c r="AE4394" s="6"/>
      <c r="AF4394" s="6"/>
      <c r="AG4394" s="6"/>
      <c r="AH4394" s="6"/>
      <c r="AI4394" s="6"/>
      <c r="AJ4394" s="6"/>
      <c r="AK4394" s="6"/>
      <c r="AL4394" s="6"/>
      <c r="AM4394" s="6"/>
    </row>
    <row r="4395">
      <c r="A4395" s="6"/>
      <c r="B4395" s="6"/>
      <c r="C4395" s="6"/>
      <c r="D4395" s="6"/>
      <c r="E4395" s="6"/>
      <c r="F4395" s="6"/>
      <c r="G4395" s="6"/>
      <c r="H4395" s="6"/>
      <c r="I4395" s="6"/>
      <c r="J4395" s="6"/>
      <c r="K4395" s="6"/>
      <c r="L4395" s="6"/>
      <c r="M4395" s="6"/>
      <c r="N4395" s="6"/>
      <c r="O4395" s="6"/>
      <c r="P4395" s="6"/>
      <c r="Q4395" s="6"/>
      <c r="R4395" s="6"/>
      <c r="S4395" s="6"/>
      <c r="T4395" s="6"/>
      <c r="U4395" s="6"/>
      <c r="V4395" s="6"/>
      <c r="W4395" s="6"/>
      <c r="X4395" s="6"/>
      <c r="Y4395" s="6"/>
      <c r="Z4395" s="6"/>
      <c r="AA4395" s="6"/>
      <c r="AB4395" s="6"/>
      <c r="AC4395" s="6"/>
      <c r="AD4395" s="6"/>
      <c r="AE4395" s="6"/>
      <c r="AF4395" s="6"/>
      <c r="AG4395" s="6"/>
      <c r="AH4395" s="6"/>
      <c r="AI4395" s="6"/>
      <c r="AJ4395" s="6"/>
      <c r="AK4395" s="6"/>
      <c r="AL4395" s="6"/>
      <c r="AM4395" s="6"/>
    </row>
    <row r="4396">
      <c r="A4396" s="6"/>
      <c r="B4396" s="6"/>
      <c r="C4396" s="6"/>
      <c r="D4396" s="6"/>
      <c r="E4396" s="6"/>
      <c r="F4396" s="6"/>
      <c r="G4396" s="6"/>
      <c r="H4396" s="6"/>
      <c r="I4396" s="6"/>
      <c r="J4396" s="6"/>
      <c r="K4396" s="6"/>
      <c r="L4396" s="6"/>
      <c r="M4396" s="6"/>
      <c r="N4396" s="6"/>
      <c r="O4396" s="6"/>
      <c r="P4396" s="6"/>
      <c r="Q4396" s="6"/>
      <c r="R4396" s="6"/>
      <c r="S4396" s="6"/>
      <c r="T4396" s="6"/>
      <c r="U4396" s="6"/>
      <c r="V4396" s="6"/>
      <c r="W4396" s="6"/>
      <c r="X4396" s="6"/>
      <c r="Y4396" s="6"/>
      <c r="Z4396" s="6"/>
      <c r="AA4396" s="6"/>
      <c r="AB4396" s="6"/>
      <c r="AC4396" s="6"/>
      <c r="AD4396" s="6"/>
      <c r="AE4396" s="6"/>
      <c r="AF4396" s="6"/>
      <c r="AG4396" s="6"/>
      <c r="AH4396" s="6"/>
      <c r="AI4396" s="6"/>
      <c r="AJ4396" s="6"/>
      <c r="AK4396" s="6"/>
      <c r="AL4396" s="6"/>
      <c r="AM4396" s="6"/>
    </row>
    <row r="4397">
      <c r="A4397" s="6"/>
      <c r="B4397" s="6"/>
      <c r="C4397" s="6"/>
      <c r="D4397" s="6"/>
      <c r="E4397" s="6"/>
      <c r="F4397" s="6"/>
      <c r="G4397" s="6"/>
      <c r="H4397" s="6"/>
      <c r="I4397" s="6"/>
      <c r="J4397" s="6"/>
      <c r="K4397" s="6"/>
      <c r="L4397" s="6"/>
      <c r="M4397" s="6"/>
      <c r="N4397" s="6"/>
      <c r="O4397" s="6"/>
      <c r="P4397" s="6"/>
      <c r="Q4397" s="6"/>
      <c r="R4397" s="6"/>
      <c r="S4397" s="6"/>
      <c r="T4397" s="6"/>
      <c r="U4397" s="6"/>
      <c r="V4397" s="6"/>
      <c r="W4397" s="6"/>
      <c r="X4397" s="6"/>
      <c r="Y4397" s="6"/>
      <c r="Z4397" s="6"/>
      <c r="AA4397" s="6"/>
      <c r="AB4397" s="6"/>
      <c r="AC4397" s="6"/>
      <c r="AD4397" s="6"/>
      <c r="AE4397" s="6"/>
      <c r="AF4397" s="6"/>
      <c r="AG4397" s="6"/>
      <c r="AH4397" s="6"/>
      <c r="AI4397" s="6"/>
      <c r="AJ4397" s="6"/>
      <c r="AK4397" s="6"/>
      <c r="AL4397" s="6"/>
      <c r="AM4397" s="6"/>
    </row>
    <row r="4398">
      <c r="A4398" s="6"/>
      <c r="B4398" s="6"/>
      <c r="C4398" s="6"/>
      <c r="D4398" s="6"/>
      <c r="E4398" s="6"/>
      <c r="F4398" s="6"/>
      <c r="G4398" s="6"/>
      <c r="H4398" s="6"/>
      <c r="I4398" s="6"/>
      <c r="J4398" s="6"/>
      <c r="K4398" s="6"/>
      <c r="L4398" s="6"/>
      <c r="M4398" s="6"/>
      <c r="N4398" s="6"/>
      <c r="O4398" s="6"/>
      <c r="P4398" s="6"/>
      <c r="Q4398" s="6"/>
      <c r="R4398" s="6"/>
      <c r="S4398" s="6"/>
      <c r="T4398" s="6"/>
      <c r="U4398" s="6"/>
      <c r="V4398" s="6"/>
      <c r="W4398" s="6"/>
      <c r="X4398" s="6"/>
      <c r="Y4398" s="6"/>
      <c r="Z4398" s="6"/>
      <c r="AA4398" s="6"/>
      <c r="AB4398" s="6"/>
      <c r="AC4398" s="6"/>
      <c r="AD4398" s="6"/>
      <c r="AE4398" s="6"/>
      <c r="AF4398" s="6"/>
      <c r="AG4398" s="6"/>
      <c r="AH4398" s="6"/>
      <c r="AI4398" s="6"/>
      <c r="AJ4398" s="6"/>
      <c r="AK4398" s="6"/>
      <c r="AL4398" s="6"/>
      <c r="AM4398" s="6"/>
    </row>
    <row r="4399">
      <c r="A4399" s="6"/>
      <c r="B4399" s="6"/>
      <c r="C4399" s="6"/>
      <c r="D4399" s="6"/>
      <c r="E4399" s="6"/>
      <c r="F4399" s="6"/>
      <c r="G4399" s="6"/>
      <c r="H4399" s="6"/>
      <c r="I4399" s="6"/>
      <c r="J4399" s="6"/>
      <c r="K4399" s="6"/>
      <c r="L4399" s="6"/>
      <c r="M4399" s="6"/>
      <c r="N4399" s="6"/>
      <c r="O4399" s="6"/>
      <c r="P4399" s="6"/>
      <c r="Q4399" s="6"/>
      <c r="R4399" s="6"/>
      <c r="S4399" s="6"/>
      <c r="T4399" s="6"/>
      <c r="U4399" s="6"/>
      <c r="V4399" s="6"/>
      <c r="W4399" s="6"/>
      <c r="X4399" s="6"/>
      <c r="Y4399" s="6"/>
      <c r="Z4399" s="6"/>
      <c r="AA4399" s="6"/>
      <c r="AB4399" s="6"/>
      <c r="AC4399" s="6"/>
      <c r="AD4399" s="6"/>
      <c r="AE4399" s="6"/>
      <c r="AF4399" s="6"/>
      <c r="AG4399" s="6"/>
      <c r="AH4399" s="6"/>
      <c r="AI4399" s="6"/>
      <c r="AJ4399" s="6"/>
      <c r="AK4399" s="6"/>
      <c r="AL4399" s="6"/>
      <c r="AM4399" s="6"/>
    </row>
    <row r="4400">
      <c r="A4400" s="6"/>
      <c r="B4400" s="6"/>
      <c r="C4400" s="6"/>
      <c r="D4400" s="6"/>
      <c r="E4400" s="6"/>
      <c r="F4400" s="6"/>
      <c r="G4400" s="6"/>
      <c r="H4400" s="6"/>
      <c r="I4400" s="6"/>
      <c r="J4400" s="6"/>
      <c r="K4400" s="6"/>
      <c r="L4400" s="6"/>
      <c r="M4400" s="6"/>
      <c r="N4400" s="6"/>
      <c r="O4400" s="6"/>
      <c r="P4400" s="6"/>
      <c r="Q4400" s="6"/>
      <c r="R4400" s="6"/>
      <c r="S4400" s="6"/>
      <c r="T4400" s="6"/>
      <c r="U4400" s="6"/>
      <c r="V4400" s="6"/>
      <c r="W4400" s="6"/>
      <c r="X4400" s="6"/>
      <c r="Y4400" s="6"/>
      <c r="Z4400" s="6"/>
      <c r="AA4400" s="6"/>
      <c r="AB4400" s="6"/>
      <c r="AC4400" s="6"/>
      <c r="AD4400" s="6"/>
      <c r="AE4400" s="6"/>
      <c r="AF4400" s="6"/>
      <c r="AG4400" s="6"/>
      <c r="AH4400" s="6"/>
      <c r="AI4400" s="6"/>
      <c r="AJ4400" s="6"/>
      <c r="AK4400" s="6"/>
      <c r="AL4400" s="6"/>
      <c r="AM4400" s="6"/>
    </row>
    <row r="4401">
      <c r="A4401" s="6"/>
      <c r="B4401" s="6"/>
      <c r="C4401" s="6"/>
      <c r="D4401" s="6"/>
      <c r="E4401" s="6"/>
      <c r="F4401" s="6"/>
      <c r="G4401" s="6"/>
      <c r="H4401" s="6"/>
      <c r="I4401" s="6"/>
      <c r="J4401" s="6"/>
      <c r="K4401" s="6"/>
      <c r="L4401" s="6"/>
      <c r="M4401" s="6"/>
      <c r="N4401" s="6"/>
      <c r="O4401" s="6"/>
      <c r="P4401" s="6"/>
      <c r="Q4401" s="6"/>
      <c r="R4401" s="6"/>
      <c r="S4401" s="6"/>
      <c r="T4401" s="6"/>
      <c r="U4401" s="6"/>
      <c r="V4401" s="6"/>
      <c r="W4401" s="6"/>
      <c r="X4401" s="6"/>
      <c r="Y4401" s="6"/>
      <c r="Z4401" s="6"/>
      <c r="AA4401" s="6"/>
      <c r="AB4401" s="6"/>
      <c r="AC4401" s="6"/>
      <c r="AD4401" s="6"/>
      <c r="AE4401" s="6"/>
      <c r="AF4401" s="6"/>
      <c r="AG4401" s="6"/>
      <c r="AH4401" s="6"/>
      <c r="AI4401" s="6"/>
      <c r="AJ4401" s="6"/>
      <c r="AK4401" s="6"/>
      <c r="AL4401" s="6"/>
      <c r="AM4401" s="6"/>
    </row>
    <row r="4402">
      <c r="A4402" s="6"/>
      <c r="B4402" s="6"/>
      <c r="C4402" s="6"/>
      <c r="D4402" s="6"/>
      <c r="E4402" s="6"/>
      <c r="F4402" s="6"/>
      <c r="G4402" s="6"/>
      <c r="H4402" s="6"/>
      <c r="I4402" s="6"/>
      <c r="J4402" s="6"/>
      <c r="K4402" s="6"/>
      <c r="L4402" s="6"/>
      <c r="M4402" s="6"/>
      <c r="N4402" s="6"/>
      <c r="O4402" s="6"/>
      <c r="P4402" s="6"/>
      <c r="Q4402" s="6"/>
      <c r="R4402" s="6"/>
      <c r="S4402" s="6"/>
      <c r="T4402" s="6"/>
      <c r="U4402" s="6"/>
      <c r="V4402" s="6"/>
      <c r="W4402" s="6"/>
      <c r="X4402" s="6"/>
      <c r="Y4402" s="6"/>
      <c r="Z4402" s="6"/>
      <c r="AA4402" s="6"/>
      <c r="AB4402" s="6"/>
      <c r="AC4402" s="6"/>
      <c r="AD4402" s="6"/>
      <c r="AE4402" s="6"/>
      <c r="AF4402" s="6"/>
      <c r="AG4402" s="6"/>
      <c r="AH4402" s="6"/>
      <c r="AI4402" s="6"/>
      <c r="AJ4402" s="6"/>
      <c r="AK4402" s="6"/>
      <c r="AL4402" s="6"/>
      <c r="AM4402" s="6"/>
    </row>
    <row r="4403">
      <c r="A4403" s="6"/>
      <c r="B4403" s="6"/>
      <c r="C4403" s="6"/>
      <c r="D4403" s="6"/>
      <c r="E4403" s="6"/>
      <c r="F4403" s="6"/>
      <c r="G4403" s="6"/>
      <c r="H4403" s="6"/>
      <c r="I4403" s="6"/>
      <c r="J4403" s="6"/>
      <c r="K4403" s="6"/>
      <c r="L4403" s="6"/>
      <c r="M4403" s="6"/>
      <c r="N4403" s="6"/>
      <c r="O4403" s="6"/>
      <c r="P4403" s="6"/>
      <c r="Q4403" s="6"/>
      <c r="R4403" s="6"/>
      <c r="S4403" s="6"/>
      <c r="T4403" s="6"/>
      <c r="U4403" s="6"/>
      <c r="V4403" s="6"/>
      <c r="W4403" s="6"/>
      <c r="X4403" s="6"/>
      <c r="Y4403" s="6"/>
      <c r="Z4403" s="6"/>
      <c r="AA4403" s="6"/>
      <c r="AB4403" s="6"/>
      <c r="AC4403" s="6"/>
      <c r="AD4403" s="6"/>
      <c r="AE4403" s="6"/>
      <c r="AF4403" s="6"/>
      <c r="AG4403" s="6"/>
      <c r="AH4403" s="6"/>
      <c r="AI4403" s="6"/>
      <c r="AJ4403" s="6"/>
      <c r="AK4403" s="6"/>
      <c r="AL4403" s="6"/>
      <c r="AM4403" s="6"/>
    </row>
    <row r="4404">
      <c r="A4404" s="6"/>
      <c r="B4404" s="6"/>
      <c r="C4404" s="6"/>
      <c r="D4404" s="6"/>
      <c r="E4404" s="6"/>
      <c r="F4404" s="6"/>
      <c r="G4404" s="6"/>
      <c r="H4404" s="6"/>
      <c r="I4404" s="6"/>
      <c r="J4404" s="6"/>
      <c r="K4404" s="6"/>
      <c r="L4404" s="6"/>
      <c r="M4404" s="6"/>
      <c r="N4404" s="6"/>
      <c r="O4404" s="6"/>
      <c r="P4404" s="6"/>
      <c r="Q4404" s="6"/>
      <c r="R4404" s="6"/>
      <c r="S4404" s="6"/>
      <c r="T4404" s="6"/>
      <c r="U4404" s="6"/>
      <c r="V4404" s="6"/>
      <c r="W4404" s="6"/>
      <c r="X4404" s="6"/>
      <c r="Y4404" s="6"/>
      <c r="Z4404" s="6"/>
      <c r="AA4404" s="6"/>
      <c r="AB4404" s="6"/>
      <c r="AC4404" s="6"/>
      <c r="AD4404" s="6"/>
      <c r="AE4404" s="6"/>
      <c r="AF4404" s="6"/>
      <c r="AG4404" s="6"/>
      <c r="AH4404" s="6"/>
      <c r="AI4404" s="6"/>
      <c r="AJ4404" s="6"/>
      <c r="AK4404" s="6"/>
      <c r="AL4404" s="6"/>
      <c r="AM4404" s="6"/>
    </row>
    <row r="4405">
      <c r="A4405" s="6"/>
      <c r="B4405" s="6"/>
      <c r="C4405" s="6"/>
      <c r="D4405" s="6"/>
      <c r="E4405" s="6"/>
      <c r="F4405" s="6"/>
      <c r="G4405" s="6"/>
      <c r="H4405" s="6"/>
      <c r="I4405" s="6"/>
      <c r="J4405" s="6"/>
      <c r="K4405" s="6"/>
      <c r="L4405" s="6"/>
      <c r="M4405" s="6"/>
      <c r="N4405" s="6"/>
      <c r="O4405" s="6"/>
      <c r="P4405" s="6"/>
      <c r="Q4405" s="6"/>
      <c r="R4405" s="6"/>
      <c r="S4405" s="6"/>
      <c r="T4405" s="6"/>
      <c r="U4405" s="6"/>
      <c r="V4405" s="6"/>
      <c r="W4405" s="6"/>
      <c r="X4405" s="6"/>
      <c r="Y4405" s="6"/>
      <c r="Z4405" s="6"/>
      <c r="AA4405" s="6"/>
      <c r="AB4405" s="6"/>
      <c r="AC4405" s="6"/>
      <c r="AD4405" s="6"/>
      <c r="AE4405" s="6"/>
      <c r="AF4405" s="6"/>
      <c r="AG4405" s="6"/>
      <c r="AH4405" s="6"/>
      <c r="AI4405" s="6"/>
      <c r="AJ4405" s="6"/>
      <c r="AK4405" s="6"/>
      <c r="AL4405" s="6"/>
      <c r="AM4405" s="6"/>
    </row>
    <row r="4406">
      <c r="A4406" s="6"/>
      <c r="B4406" s="6"/>
      <c r="C4406" s="6"/>
      <c r="D4406" s="6"/>
      <c r="E4406" s="6"/>
      <c r="F4406" s="6"/>
      <c r="G4406" s="6"/>
      <c r="H4406" s="6"/>
      <c r="I4406" s="6"/>
      <c r="J4406" s="6"/>
      <c r="K4406" s="6"/>
      <c r="L4406" s="6"/>
      <c r="M4406" s="6"/>
      <c r="N4406" s="6"/>
      <c r="O4406" s="6"/>
      <c r="P4406" s="6"/>
      <c r="Q4406" s="6"/>
      <c r="R4406" s="6"/>
      <c r="S4406" s="6"/>
      <c r="T4406" s="6"/>
      <c r="U4406" s="6"/>
      <c r="V4406" s="6"/>
      <c r="W4406" s="6"/>
      <c r="X4406" s="6"/>
      <c r="Y4406" s="6"/>
      <c r="Z4406" s="6"/>
      <c r="AA4406" s="6"/>
      <c r="AB4406" s="6"/>
      <c r="AC4406" s="6"/>
      <c r="AD4406" s="6"/>
      <c r="AE4406" s="6"/>
      <c r="AF4406" s="6"/>
      <c r="AG4406" s="6"/>
      <c r="AH4406" s="6"/>
      <c r="AI4406" s="6"/>
      <c r="AJ4406" s="6"/>
      <c r="AK4406" s="6"/>
      <c r="AL4406" s="6"/>
      <c r="AM4406" s="6"/>
    </row>
    <row r="4407">
      <c r="A4407" s="6"/>
      <c r="B4407" s="6"/>
      <c r="C4407" s="6"/>
      <c r="D4407" s="6"/>
      <c r="E4407" s="6"/>
      <c r="F4407" s="6"/>
      <c r="G4407" s="6"/>
      <c r="H4407" s="6"/>
      <c r="I4407" s="6"/>
      <c r="J4407" s="6"/>
      <c r="K4407" s="6"/>
      <c r="L4407" s="6"/>
      <c r="M4407" s="6"/>
      <c r="N4407" s="6"/>
      <c r="O4407" s="6"/>
      <c r="P4407" s="6"/>
      <c r="Q4407" s="6"/>
      <c r="R4407" s="6"/>
      <c r="S4407" s="6"/>
      <c r="T4407" s="6"/>
      <c r="U4407" s="6"/>
      <c r="V4407" s="6"/>
      <c r="W4407" s="6"/>
      <c r="X4407" s="6"/>
      <c r="Y4407" s="6"/>
      <c r="Z4407" s="6"/>
      <c r="AA4407" s="6"/>
      <c r="AB4407" s="6"/>
      <c r="AC4407" s="6"/>
      <c r="AD4407" s="6"/>
      <c r="AE4407" s="6"/>
      <c r="AF4407" s="6"/>
      <c r="AG4407" s="6"/>
      <c r="AH4407" s="6"/>
      <c r="AI4407" s="6"/>
      <c r="AJ4407" s="6"/>
      <c r="AK4407" s="6"/>
      <c r="AL4407" s="6"/>
      <c r="AM4407" s="6"/>
    </row>
    <row r="4408">
      <c r="A4408" s="6"/>
      <c r="B4408" s="6"/>
      <c r="C4408" s="6"/>
      <c r="D4408" s="6"/>
      <c r="E4408" s="6"/>
      <c r="F4408" s="6"/>
      <c r="G4408" s="6"/>
      <c r="H4408" s="6"/>
      <c r="I4408" s="6"/>
      <c r="J4408" s="6"/>
      <c r="K4408" s="6"/>
      <c r="L4408" s="6"/>
      <c r="M4408" s="6"/>
      <c r="N4408" s="6"/>
      <c r="O4408" s="6"/>
      <c r="P4408" s="6"/>
      <c r="Q4408" s="6"/>
      <c r="R4408" s="6"/>
      <c r="S4408" s="6"/>
      <c r="T4408" s="6"/>
      <c r="U4408" s="6"/>
      <c r="V4408" s="6"/>
      <c r="W4408" s="6"/>
      <c r="X4408" s="6"/>
      <c r="Y4408" s="6"/>
      <c r="Z4408" s="6"/>
      <c r="AA4408" s="6"/>
      <c r="AB4408" s="6"/>
      <c r="AC4408" s="6"/>
      <c r="AD4408" s="6"/>
      <c r="AE4408" s="6"/>
      <c r="AF4408" s="6"/>
      <c r="AG4408" s="6"/>
      <c r="AH4408" s="6"/>
      <c r="AI4408" s="6"/>
      <c r="AJ4408" s="6"/>
      <c r="AK4408" s="6"/>
      <c r="AL4408" s="6"/>
      <c r="AM4408" s="6"/>
    </row>
    <row r="4409">
      <c r="A4409" s="6"/>
      <c r="B4409" s="6"/>
      <c r="C4409" s="6"/>
      <c r="D4409" s="6"/>
      <c r="E4409" s="6"/>
      <c r="F4409" s="6"/>
      <c r="G4409" s="6"/>
      <c r="H4409" s="6"/>
      <c r="I4409" s="6"/>
      <c r="J4409" s="6"/>
      <c r="K4409" s="6"/>
      <c r="L4409" s="6"/>
      <c r="M4409" s="6"/>
      <c r="N4409" s="6"/>
      <c r="O4409" s="6"/>
      <c r="P4409" s="6"/>
      <c r="Q4409" s="6"/>
      <c r="R4409" s="6"/>
      <c r="S4409" s="6"/>
      <c r="T4409" s="6"/>
      <c r="U4409" s="6"/>
      <c r="V4409" s="6"/>
      <c r="W4409" s="6"/>
      <c r="X4409" s="6"/>
      <c r="Y4409" s="6"/>
      <c r="Z4409" s="6"/>
      <c r="AA4409" s="6"/>
      <c r="AB4409" s="6"/>
      <c r="AC4409" s="6"/>
      <c r="AD4409" s="6"/>
      <c r="AE4409" s="6"/>
      <c r="AF4409" s="6"/>
      <c r="AG4409" s="6"/>
      <c r="AH4409" s="6"/>
      <c r="AI4409" s="6"/>
      <c r="AJ4409" s="6"/>
      <c r="AK4409" s="6"/>
      <c r="AL4409" s="6"/>
      <c r="AM4409" s="6"/>
    </row>
    <row r="4410">
      <c r="A4410" s="6"/>
      <c r="B4410" s="6"/>
      <c r="C4410" s="6"/>
      <c r="D4410" s="6"/>
      <c r="E4410" s="6"/>
      <c r="F4410" s="6"/>
      <c r="G4410" s="6"/>
      <c r="H4410" s="6"/>
      <c r="I4410" s="6"/>
      <c r="J4410" s="6"/>
      <c r="K4410" s="6"/>
      <c r="L4410" s="6"/>
      <c r="M4410" s="6"/>
      <c r="N4410" s="6"/>
      <c r="O4410" s="6"/>
      <c r="P4410" s="6"/>
      <c r="Q4410" s="6"/>
      <c r="R4410" s="6"/>
      <c r="S4410" s="6"/>
      <c r="T4410" s="6"/>
      <c r="U4410" s="6"/>
      <c r="V4410" s="6"/>
      <c r="W4410" s="6"/>
      <c r="X4410" s="6"/>
      <c r="Y4410" s="6"/>
      <c r="Z4410" s="6"/>
      <c r="AA4410" s="6"/>
      <c r="AB4410" s="6"/>
      <c r="AC4410" s="6"/>
      <c r="AD4410" s="6"/>
      <c r="AE4410" s="6"/>
      <c r="AF4410" s="6"/>
      <c r="AG4410" s="6"/>
      <c r="AH4410" s="6"/>
      <c r="AI4410" s="6"/>
      <c r="AJ4410" s="6"/>
      <c r="AK4410" s="6"/>
      <c r="AL4410" s="6"/>
      <c r="AM4410" s="6"/>
    </row>
    <row r="4411">
      <c r="A4411" s="6"/>
      <c r="B4411" s="6"/>
      <c r="C4411" s="6"/>
      <c r="D4411" s="6"/>
      <c r="E4411" s="6"/>
      <c r="F4411" s="6"/>
      <c r="G4411" s="6"/>
      <c r="H4411" s="6"/>
      <c r="I4411" s="6"/>
      <c r="J4411" s="6"/>
      <c r="K4411" s="6"/>
      <c r="L4411" s="6"/>
      <c r="M4411" s="6"/>
      <c r="N4411" s="6"/>
      <c r="O4411" s="6"/>
      <c r="P4411" s="6"/>
      <c r="Q4411" s="6"/>
      <c r="R4411" s="6"/>
      <c r="S4411" s="6"/>
      <c r="T4411" s="6"/>
      <c r="U4411" s="6"/>
      <c r="V4411" s="6"/>
      <c r="W4411" s="6"/>
      <c r="X4411" s="6"/>
      <c r="Y4411" s="6"/>
      <c r="Z4411" s="6"/>
      <c r="AA4411" s="6"/>
      <c r="AB4411" s="6"/>
      <c r="AC4411" s="6"/>
      <c r="AD4411" s="6"/>
      <c r="AE4411" s="6"/>
      <c r="AF4411" s="6"/>
      <c r="AG4411" s="6"/>
      <c r="AH4411" s="6"/>
      <c r="AI4411" s="6"/>
      <c r="AJ4411" s="6"/>
      <c r="AK4411" s="6"/>
      <c r="AL4411" s="6"/>
      <c r="AM4411" s="6"/>
    </row>
    <row r="4412">
      <c r="A4412" s="6"/>
      <c r="B4412" s="6"/>
      <c r="C4412" s="6"/>
      <c r="D4412" s="6"/>
      <c r="E4412" s="6"/>
      <c r="F4412" s="6"/>
      <c r="G4412" s="6"/>
      <c r="H4412" s="6"/>
      <c r="I4412" s="6"/>
      <c r="J4412" s="6"/>
      <c r="K4412" s="6"/>
      <c r="L4412" s="6"/>
      <c r="M4412" s="6"/>
      <c r="N4412" s="6"/>
      <c r="O4412" s="6"/>
      <c r="P4412" s="6"/>
      <c r="Q4412" s="6"/>
      <c r="R4412" s="6"/>
      <c r="S4412" s="6"/>
      <c r="T4412" s="6"/>
      <c r="U4412" s="6"/>
      <c r="V4412" s="6"/>
      <c r="W4412" s="6"/>
      <c r="X4412" s="6"/>
      <c r="Y4412" s="6"/>
      <c r="Z4412" s="6"/>
      <c r="AA4412" s="6"/>
      <c r="AB4412" s="6"/>
      <c r="AC4412" s="6"/>
      <c r="AD4412" s="6"/>
      <c r="AE4412" s="6"/>
      <c r="AF4412" s="6"/>
      <c r="AG4412" s="6"/>
      <c r="AH4412" s="6"/>
      <c r="AI4412" s="6"/>
      <c r="AJ4412" s="6"/>
      <c r="AK4412" s="6"/>
      <c r="AL4412" s="6"/>
      <c r="AM4412" s="6"/>
    </row>
    <row r="4413">
      <c r="A4413" s="6"/>
      <c r="B4413" s="6"/>
      <c r="C4413" s="6"/>
      <c r="D4413" s="6"/>
      <c r="E4413" s="6"/>
      <c r="F4413" s="6"/>
      <c r="G4413" s="6"/>
      <c r="H4413" s="6"/>
      <c r="I4413" s="6"/>
      <c r="J4413" s="6"/>
      <c r="K4413" s="6"/>
      <c r="L4413" s="6"/>
      <c r="M4413" s="6"/>
      <c r="N4413" s="6"/>
      <c r="O4413" s="6"/>
      <c r="P4413" s="6"/>
      <c r="Q4413" s="6"/>
      <c r="R4413" s="6"/>
      <c r="S4413" s="6"/>
      <c r="T4413" s="6"/>
      <c r="U4413" s="6"/>
      <c r="V4413" s="6"/>
      <c r="W4413" s="6"/>
      <c r="X4413" s="6"/>
      <c r="Y4413" s="6"/>
      <c r="Z4413" s="6"/>
      <c r="AA4413" s="6"/>
      <c r="AB4413" s="6"/>
      <c r="AC4413" s="6"/>
      <c r="AD4413" s="6"/>
      <c r="AE4413" s="6"/>
      <c r="AF4413" s="6"/>
      <c r="AG4413" s="6"/>
      <c r="AH4413" s="6"/>
      <c r="AI4413" s="6"/>
      <c r="AJ4413" s="6"/>
      <c r="AK4413" s="6"/>
      <c r="AL4413" s="6"/>
      <c r="AM4413" s="6"/>
    </row>
    <row r="4414">
      <c r="A4414" s="6"/>
      <c r="B4414" s="6"/>
      <c r="C4414" s="6"/>
      <c r="D4414" s="6"/>
      <c r="E4414" s="6"/>
      <c r="F4414" s="6"/>
      <c r="G4414" s="6"/>
      <c r="H4414" s="6"/>
      <c r="I4414" s="6"/>
      <c r="J4414" s="6"/>
      <c r="K4414" s="6"/>
      <c r="L4414" s="6"/>
      <c r="M4414" s="6"/>
      <c r="N4414" s="6"/>
      <c r="O4414" s="6"/>
      <c r="P4414" s="6"/>
      <c r="Q4414" s="6"/>
      <c r="R4414" s="6"/>
      <c r="S4414" s="6"/>
      <c r="T4414" s="6"/>
      <c r="U4414" s="6"/>
      <c r="V4414" s="6"/>
      <c r="W4414" s="6"/>
      <c r="X4414" s="6"/>
      <c r="Y4414" s="6"/>
      <c r="Z4414" s="6"/>
      <c r="AA4414" s="6"/>
      <c r="AB4414" s="6"/>
      <c r="AC4414" s="6"/>
      <c r="AD4414" s="6"/>
      <c r="AE4414" s="6"/>
      <c r="AF4414" s="6"/>
      <c r="AG4414" s="6"/>
      <c r="AH4414" s="6"/>
      <c r="AI4414" s="6"/>
      <c r="AJ4414" s="6"/>
      <c r="AK4414" s="6"/>
      <c r="AL4414" s="6"/>
      <c r="AM4414" s="6"/>
    </row>
    <row r="4415">
      <c r="A4415" s="6"/>
      <c r="B4415" s="6"/>
      <c r="C4415" s="6"/>
      <c r="D4415" s="6"/>
      <c r="E4415" s="6"/>
      <c r="F4415" s="6"/>
      <c r="G4415" s="6"/>
      <c r="H4415" s="6"/>
      <c r="I4415" s="6"/>
      <c r="J4415" s="6"/>
      <c r="K4415" s="6"/>
      <c r="L4415" s="6"/>
      <c r="M4415" s="6"/>
      <c r="N4415" s="6"/>
      <c r="O4415" s="6"/>
      <c r="P4415" s="6"/>
      <c r="Q4415" s="6"/>
      <c r="R4415" s="6"/>
      <c r="S4415" s="6"/>
      <c r="T4415" s="6"/>
      <c r="U4415" s="6"/>
      <c r="V4415" s="6"/>
      <c r="W4415" s="6"/>
      <c r="X4415" s="6"/>
      <c r="Y4415" s="6"/>
      <c r="Z4415" s="6"/>
      <c r="AA4415" s="6"/>
      <c r="AB4415" s="6"/>
      <c r="AC4415" s="6"/>
      <c r="AD4415" s="6"/>
      <c r="AE4415" s="6"/>
      <c r="AF4415" s="6"/>
      <c r="AG4415" s="6"/>
      <c r="AH4415" s="6"/>
      <c r="AI4415" s="6"/>
      <c r="AJ4415" s="6"/>
      <c r="AK4415" s="6"/>
      <c r="AL4415" s="6"/>
      <c r="AM4415" s="6"/>
    </row>
    <row r="4416">
      <c r="A4416" s="6"/>
      <c r="B4416" s="6"/>
      <c r="C4416" s="6"/>
      <c r="D4416" s="6"/>
      <c r="E4416" s="6"/>
      <c r="F4416" s="6"/>
      <c r="G4416" s="6"/>
      <c r="H4416" s="6"/>
      <c r="I4416" s="6"/>
      <c r="J4416" s="6"/>
      <c r="K4416" s="6"/>
      <c r="L4416" s="6"/>
      <c r="M4416" s="6"/>
      <c r="N4416" s="6"/>
      <c r="O4416" s="6"/>
      <c r="P4416" s="6"/>
      <c r="Q4416" s="6"/>
      <c r="R4416" s="6"/>
      <c r="S4416" s="6"/>
      <c r="T4416" s="6"/>
      <c r="U4416" s="6"/>
      <c r="V4416" s="6"/>
      <c r="W4416" s="6"/>
      <c r="X4416" s="6"/>
      <c r="Y4416" s="6"/>
      <c r="Z4416" s="6"/>
      <c r="AA4416" s="6"/>
      <c r="AB4416" s="6"/>
      <c r="AC4416" s="6"/>
      <c r="AD4416" s="6"/>
      <c r="AE4416" s="6"/>
      <c r="AF4416" s="6"/>
      <c r="AG4416" s="6"/>
      <c r="AH4416" s="6"/>
      <c r="AI4416" s="6"/>
      <c r="AJ4416" s="6"/>
      <c r="AK4416" s="6"/>
      <c r="AL4416" s="6"/>
      <c r="AM4416" s="6"/>
    </row>
    <row r="4417">
      <c r="A4417" s="6"/>
      <c r="B4417" s="6"/>
      <c r="C4417" s="6"/>
      <c r="D4417" s="6"/>
      <c r="E4417" s="6"/>
      <c r="F4417" s="6"/>
      <c r="G4417" s="6"/>
      <c r="H4417" s="6"/>
      <c r="I4417" s="6"/>
      <c r="J4417" s="6"/>
      <c r="K4417" s="6"/>
      <c r="L4417" s="6"/>
      <c r="M4417" s="6"/>
      <c r="N4417" s="6"/>
      <c r="O4417" s="6"/>
      <c r="P4417" s="6"/>
      <c r="Q4417" s="6"/>
      <c r="R4417" s="6"/>
      <c r="S4417" s="6"/>
      <c r="T4417" s="6"/>
      <c r="U4417" s="6"/>
      <c r="V4417" s="6"/>
      <c r="W4417" s="6"/>
      <c r="X4417" s="6"/>
      <c r="Y4417" s="6"/>
      <c r="Z4417" s="6"/>
      <c r="AA4417" s="6"/>
      <c r="AB4417" s="6"/>
      <c r="AC4417" s="6"/>
      <c r="AD4417" s="6"/>
      <c r="AE4417" s="6"/>
      <c r="AF4417" s="6"/>
      <c r="AG4417" s="6"/>
      <c r="AH4417" s="6"/>
      <c r="AI4417" s="6"/>
      <c r="AJ4417" s="6"/>
      <c r="AK4417" s="6"/>
      <c r="AL4417" s="6"/>
      <c r="AM4417" s="6"/>
    </row>
    <row r="4418">
      <c r="A4418" s="6"/>
      <c r="B4418" s="6"/>
      <c r="C4418" s="6"/>
      <c r="D4418" s="6"/>
      <c r="E4418" s="6"/>
      <c r="F4418" s="6"/>
      <c r="G4418" s="6"/>
      <c r="H4418" s="6"/>
      <c r="I4418" s="6"/>
      <c r="J4418" s="6"/>
      <c r="K4418" s="6"/>
      <c r="L4418" s="6"/>
      <c r="M4418" s="6"/>
      <c r="N4418" s="6"/>
      <c r="O4418" s="6"/>
      <c r="P4418" s="6"/>
      <c r="Q4418" s="6"/>
      <c r="R4418" s="6"/>
      <c r="S4418" s="6"/>
      <c r="T4418" s="6"/>
      <c r="U4418" s="6"/>
      <c r="V4418" s="6"/>
      <c r="W4418" s="6"/>
      <c r="X4418" s="6"/>
      <c r="Y4418" s="6"/>
      <c r="Z4418" s="6"/>
      <c r="AA4418" s="6"/>
      <c r="AB4418" s="6"/>
      <c r="AC4418" s="6"/>
      <c r="AD4418" s="6"/>
      <c r="AE4418" s="6"/>
      <c r="AF4418" s="6"/>
      <c r="AG4418" s="6"/>
      <c r="AH4418" s="6"/>
      <c r="AI4418" s="6"/>
      <c r="AJ4418" s="6"/>
      <c r="AK4418" s="6"/>
      <c r="AL4418" s="6"/>
      <c r="AM4418" s="6"/>
    </row>
    <row r="4419">
      <c r="A4419" s="6"/>
      <c r="B4419" s="6"/>
      <c r="C4419" s="6"/>
      <c r="D4419" s="6"/>
      <c r="E4419" s="6"/>
      <c r="F4419" s="6"/>
      <c r="G4419" s="6"/>
      <c r="H4419" s="6"/>
      <c r="I4419" s="6"/>
      <c r="J4419" s="6"/>
      <c r="K4419" s="6"/>
      <c r="L4419" s="6"/>
      <c r="M4419" s="6"/>
      <c r="N4419" s="6"/>
      <c r="O4419" s="6"/>
      <c r="P4419" s="6"/>
      <c r="Q4419" s="6"/>
      <c r="R4419" s="6"/>
      <c r="S4419" s="6"/>
      <c r="T4419" s="6"/>
      <c r="U4419" s="6"/>
      <c r="V4419" s="6"/>
      <c r="W4419" s="6"/>
      <c r="X4419" s="6"/>
      <c r="Y4419" s="6"/>
      <c r="Z4419" s="6"/>
      <c r="AA4419" s="6"/>
      <c r="AB4419" s="6"/>
      <c r="AC4419" s="6"/>
      <c r="AD4419" s="6"/>
      <c r="AE4419" s="6"/>
      <c r="AF4419" s="6"/>
      <c r="AG4419" s="6"/>
      <c r="AH4419" s="6"/>
      <c r="AI4419" s="6"/>
      <c r="AJ4419" s="6"/>
      <c r="AK4419" s="6"/>
      <c r="AL4419" s="6"/>
      <c r="AM4419" s="6"/>
    </row>
    <row r="4420">
      <c r="A4420" s="6"/>
      <c r="B4420" s="6"/>
      <c r="C4420" s="6"/>
      <c r="D4420" s="6"/>
      <c r="E4420" s="6"/>
      <c r="F4420" s="6"/>
      <c r="G4420" s="6"/>
      <c r="H4420" s="6"/>
      <c r="I4420" s="6"/>
      <c r="J4420" s="6"/>
      <c r="K4420" s="6"/>
      <c r="L4420" s="6"/>
      <c r="M4420" s="6"/>
      <c r="N4420" s="6"/>
      <c r="O4420" s="6"/>
      <c r="P4420" s="6"/>
      <c r="Q4420" s="6"/>
      <c r="R4420" s="6"/>
      <c r="S4420" s="6"/>
      <c r="T4420" s="6"/>
      <c r="U4420" s="6"/>
      <c r="V4420" s="6"/>
      <c r="W4420" s="6"/>
      <c r="X4420" s="6"/>
      <c r="Y4420" s="6"/>
      <c r="Z4420" s="6"/>
      <c r="AA4420" s="6"/>
      <c r="AB4420" s="6"/>
      <c r="AC4420" s="6"/>
      <c r="AD4420" s="6"/>
      <c r="AE4420" s="6"/>
      <c r="AF4420" s="6"/>
      <c r="AG4420" s="6"/>
      <c r="AH4420" s="6"/>
      <c r="AI4420" s="6"/>
      <c r="AJ4420" s="6"/>
      <c r="AK4420" s="6"/>
      <c r="AL4420" s="6"/>
      <c r="AM4420" s="6"/>
    </row>
    <row r="4421">
      <c r="A4421" s="6"/>
      <c r="B4421" s="6"/>
      <c r="C4421" s="6"/>
      <c r="D4421" s="6"/>
      <c r="E4421" s="6"/>
      <c r="F4421" s="6"/>
      <c r="G4421" s="6"/>
      <c r="H4421" s="6"/>
      <c r="I4421" s="6"/>
      <c r="J4421" s="6"/>
      <c r="K4421" s="6"/>
      <c r="L4421" s="6"/>
      <c r="M4421" s="6"/>
      <c r="N4421" s="6"/>
      <c r="O4421" s="6"/>
      <c r="P4421" s="6"/>
      <c r="Q4421" s="6"/>
      <c r="R4421" s="6"/>
      <c r="S4421" s="6"/>
      <c r="T4421" s="6"/>
      <c r="U4421" s="6"/>
      <c r="V4421" s="6"/>
      <c r="W4421" s="6"/>
      <c r="X4421" s="6"/>
      <c r="Y4421" s="6"/>
      <c r="Z4421" s="6"/>
      <c r="AA4421" s="6"/>
      <c r="AB4421" s="6"/>
      <c r="AC4421" s="6"/>
      <c r="AD4421" s="6"/>
      <c r="AE4421" s="6"/>
      <c r="AF4421" s="6"/>
      <c r="AG4421" s="6"/>
      <c r="AH4421" s="6"/>
      <c r="AI4421" s="6"/>
      <c r="AJ4421" s="6"/>
      <c r="AK4421" s="6"/>
      <c r="AL4421" s="6"/>
      <c r="AM4421" s="6"/>
    </row>
    <row r="4422">
      <c r="A4422" s="6"/>
      <c r="B4422" s="6"/>
      <c r="C4422" s="6"/>
      <c r="D4422" s="6"/>
      <c r="E4422" s="6"/>
      <c r="F4422" s="6"/>
      <c r="G4422" s="6"/>
      <c r="H4422" s="6"/>
      <c r="I4422" s="6"/>
      <c r="J4422" s="6"/>
      <c r="K4422" s="6"/>
      <c r="L4422" s="6"/>
      <c r="M4422" s="6"/>
      <c r="N4422" s="6"/>
      <c r="O4422" s="6"/>
      <c r="P4422" s="6"/>
      <c r="Q4422" s="6"/>
      <c r="R4422" s="6"/>
      <c r="S4422" s="6"/>
      <c r="T4422" s="6"/>
      <c r="U4422" s="6"/>
      <c r="V4422" s="6"/>
      <c r="W4422" s="6"/>
      <c r="X4422" s="6"/>
      <c r="Y4422" s="6"/>
      <c r="Z4422" s="6"/>
      <c r="AA4422" s="6"/>
      <c r="AB4422" s="6"/>
      <c r="AC4422" s="6"/>
      <c r="AD4422" s="6"/>
      <c r="AE4422" s="6"/>
      <c r="AF4422" s="6"/>
      <c r="AG4422" s="6"/>
      <c r="AH4422" s="6"/>
      <c r="AI4422" s="6"/>
      <c r="AJ4422" s="6"/>
      <c r="AK4422" s="6"/>
      <c r="AL4422" s="6"/>
      <c r="AM4422" s="6"/>
    </row>
    <row r="4423">
      <c r="A4423" s="6"/>
      <c r="B4423" s="6"/>
      <c r="C4423" s="6"/>
      <c r="D4423" s="6"/>
      <c r="E4423" s="6"/>
      <c r="F4423" s="6"/>
      <c r="G4423" s="6"/>
      <c r="H4423" s="6"/>
      <c r="I4423" s="6"/>
      <c r="J4423" s="6"/>
      <c r="K4423" s="6"/>
      <c r="L4423" s="6"/>
      <c r="M4423" s="6"/>
      <c r="N4423" s="6"/>
      <c r="O4423" s="6"/>
      <c r="P4423" s="6"/>
      <c r="Q4423" s="6"/>
      <c r="R4423" s="6"/>
      <c r="S4423" s="6"/>
      <c r="T4423" s="6"/>
      <c r="U4423" s="6"/>
      <c r="V4423" s="6"/>
      <c r="W4423" s="6"/>
      <c r="X4423" s="6"/>
      <c r="Y4423" s="6"/>
      <c r="Z4423" s="6"/>
      <c r="AA4423" s="6"/>
      <c r="AB4423" s="6"/>
      <c r="AC4423" s="6"/>
      <c r="AD4423" s="6"/>
      <c r="AE4423" s="6"/>
      <c r="AF4423" s="6"/>
      <c r="AG4423" s="6"/>
      <c r="AH4423" s="6"/>
      <c r="AI4423" s="6"/>
      <c r="AJ4423" s="6"/>
      <c r="AK4423" s="6"/>
      <c r="AL4423" s="6"/>
      <c r="AM4423" s="6"/>
    </row>
    <row r="4424">
      <c r="A4424" s="6"/>
      <c r="B4424" s="6"/>
      <c r="C4424" s="6"/>
      <c r="D4424" s="6"/>
      <c r="E4424" s="6"/>
      <c r="F4424" s="6"/>
      <c r="G4424" s="6"/>
      <c r="H4424" s="6"/>
      <c r="I4424" s="6"/>
      <c r="J4424" s="6"/>
      <c r="K4424" s="6"/>
      <c r="L4424" s="6"/>
      <c r="M4424" s="6"/>
      <c r="N4424" s="6"/>
      <c r="O4424" s="6"/>
      <c r="P4424" s="6"/>
      <c r="Q4424" s="6"/>
      <c r="R4424" s="6"/>
      <c r="S4424" s="6"/>
      <c r="T4424" s="6"/>
      <c r="U4424" s="6"/>
      <c r="V4424" s="6"/>
      <c r="W4424" s="6"/>
      <c r="X4424" s="6"/>
      <c r="Y4424" s="6"/>
      <c r="Z4424" s="6"/>
      <c r="AA4424" s="6"/>
      <c r="AB4424" s="6"/>
      <c r="AC4424" s="6"/>
      <c r="AD4424" s="6"/>
      <c r="AE4424" s="6"/>
      <c r="AF4424" s="6"/>
      <c r="AG4424" s="6"/>
      <c r="AH4424" s="6"/>
      <c r="AI4424" s="6"/>
      <c r="AJ4424" s="6"/>
      <c r="AK4424" s="6"/>
      <c r="AL4424" s="6"/>
      <c r="AM4424" s="6"/>
    </row>
    <row r="4425">
      <c r="A4425" s="6"/>
      <c r="B4425" s="6"/>
      <c r="C4425" s="6"/>
      <c r="D4425" s="6"/>
      <c r="E4425" s="6"/>
      <c r="F4425" s="6"/>
      <c r="G4425" s="6"/>
      <c r="H4425" s="6"/>
      <c r="I4425" s="6"/>
      <c r="J4425" s="6"/>
      <c r="K4425" s="6"/>
      <c r="L4425" s="6"/>
      <c r="M4425" s="6"/>
      <c r="N4425" s="6"/>
      <c r="O4425" s="6"/>
      <c r="P4425" s="6"/>
      <c r="Q4425" s="6"/>
      <c r="R4425" s="6"/>
      <c r="S4425" s="6"/>
      <c r="T4425" s="6"/>
      <c r="U4425" s="6"/>
      <c r="V4425" s="6"/>
      <c r="W4425" s="6"/>
      <c r="X4425" s="6"/>
      <c r="Y4425" s="6"/>
      <c r="Z4425" s="6"/>
      <c r="AA4425" s="6"/>
      <c r="AB4425" s="6"/>
      <c r="AC4425" s="6"/>
      <c r="AD4425" s="6"/>
      <c r="AE4425" s="6"/>
      <c r="AF4425" s="6"/>
      <c r="AG4425" s="6"/>
      <c r="AH4425" s="6"/>
      <c r="AI4425" s="6"/>
      <c r="AJ4425" s="6"/>
      <c r="AK4425" s="6"/>
      <c r="AL4425" s="6"/>
      <c r="AM4425" s="6"/>
    </row>
    <row r="4426">
      <c r="A4426" s="6"/>
      <c r="B4426" s="6"/>
      <c r="C4426" s="6"/>
      <c r="D4426" s="6"/>
      <c r="E4426" s="6"/>
      <c r="F4426" s="6"/>
      <c r="G4426" s="6"/>
      <c r="H4426" s="6"/>
      <c r="I4426" s="6"/>
      <c r="J4426" s="6"/>
      <c r="K4426" s="6"/>
      <c r="L4426" s="6"/>
      <c r="M4426" s="6"/>
      <c r="N4426" s="6"/>
      <c r="O4426" s="6"/>
      <c r="P4426" s="6"/>
      <c r="Q4426" s="6"/>
      <c r="R4426" s="6"/>
      <c r="S4426" s="6"/>
      <c r="T4426" s="6"/>
      <c r="U4426" s="6"/>
      <c r="V4426" s="6"/>
      <c r="W4426" s="6"/>
      <c r="X4426" s="6"/>
      <c r="Y4426" s="6"/>
      <c r="Z4426" s="6"/>
      <c r="AA4426" s="6"/>
      <c r="AB4426" s="6"/>
      <c r="AC4426" s="6"/>
      <c r="AD4426" s="6"/>
      <c r="AE4426" s="6"/>
      <c r="AF4426" s="6"/>
      <c r="AG4426" s="6"/>
      <c r="AH4426" s="6"/>
      <c r="AI4426" s="6"/>
      <c r="AJ4426" s="6"/>
      <c r="AK4426" s="6"/>
      <c r="AL4426" s="6"/>
      <c r="AM4426" s="6"/>
    </row>
    <row r="4427">
      <c r="A4427" s="6"/>
      <c r="B4427" s="6"/>
      <c r="C4427" s="6"/>
      <c r="D4427" s="6"/>
      <c r="E4427" s="6"/>
      <c r="F4427" s="6"/>
      <c r="G4427" s="6"/>
      <c r="H4427" s="6"/>
      <c r="I4427" s="6"/>
      <c r="J4427" s="6"/>
      <c r="K4427" s="6"/>
      <c r="L4427" s="6"/>
      <c r="M4427" s="6"/>
      <c r="N4427" s="6"/>
      <c r="O4427" s="6"/>
      <c r="P4427" s="6"/>
      <c r="Q4427" s="6"/>
      <c r="R4427" s="6"/>
      <c r="S4427" s="6"/>
      <c r="T4427" s="6"/>
      <c r="U4427" s="6"/>
      <c r="V4427" s="6"/>
      <c r="W4427" s="6"/>
      <c r="X4427" s="6"/>
      <c r="Y4427" s="6"/>
      <c r="Z4427" s="6"/>
      <c r="AA4427" s="6"/>
      <c r="AB4427" s="6"/>
      <c r="AC4427" s="6"/>
      <c r="AD4427" s="6"/>
      <c r="AE4427" s="6"/>
      <c r="AF4427" s="6"/>
      <c r="AG4427" s="6"/>
      <c r="AH4427" s="6"/>
      <c r="AI4427" s="6"/>
      <c r="AJ4427" s="6"/>
      <c r="AK4427" s="6"/>
      <c r="AL4427" s="6"/>
      <c r="AM4427" s="6"/>
    </row>
    <row r="4428">
      <c r="A4428" s="6"/>
      <c r="B4428" s="6"/>
      <c r="C4428" s="6"/>
      <c r="D4428" s="6"/>
      <c r="E4428" s="6"/>
      <c r="F4428" s="6"/>
      <c r="G4428" s="6"/>
      <c r="H4428" s="6"/>
      <c r="I4428" s="6"/>
      <c r="J4428" s="6"/>
      <c r="K4428" s="6"/>
      <c r="L4428" s="6"/>
      <c r="M4428" s="6"/>
      <c r="N4428" s="6"/>
      <c r="O4428" s="6"/>
      <c r="P4428" s="6"/>
      <c r="Q4428" s="6"/>
      <c r="R4428" s="6"/>
      <c r="S4428" s="6"/>
      <c r="T4428" s="6"/>
      <c r="U4428" s="6"/>
      <c r="V4428" s="6"/>
      <c r="W4428" s="6"/>
      <c r="X4428" s="6"/>
      <c r="Y4428" s="6"/>
      <c r="Z4428" s="6"/>
      <c r="AA4428" s="6"/>
      <c r="AB4428" s="6"/>
      <c r="AC4428" s="6"/>
      <c r="AD4428" s="6"/>
      <c r="AE4428" s="6"/>
      <c r="AF4428" s="6"/>
      <c r="AG4428" s="6"/>
      <c r="AH4428" s="6"/>
      <c r="AI4428" s="6"/>
      <c r="AJ4428" s="6"/>
      <c r="AK4428" s="6"/>
      <c r="AL4428" s="6"/>
      <c r="AM4428" s="6"/>
    </row>
    <row r="4429">
      <c r="A4429" s="6"/>
      <c r="B4429" s="6"/>
      <c r="C4429" s="6"/>
      <c r="D4429" s="6"/>
      <c r="E4429" s="6"/>
      <c r="F4429" s="6"/>
      <c r="G4429" s="6"/>
      <c r="H4429" s="6"/>
      <c r="I4429" s="6"/>
      <c r="J4429" s="6"/>
      <c r="K4429" s="6"/>
      <c r="L4429" s="6"/>
      <c r="M4429" s="6"/>
      <c r="N4429" s="6"/>
      <c r="O4429" s="6"/>
      <c r="P4429" s="6"/>
      <c r="Q4429" s="6"/>
      <c r="R4429" s="6"/>
      <c r="S4429" s="6"/>
      <c r="T4429" s="6"/>
      <c r="U4429" s="6"/>
      <c r="V4429" s="6"/>
      <c r="W4429" s="6"/>
      <c r="X4429" s="6"/>
      <c r="Y4429" s="6"/>
      <c r="Z4429" s="6"/>
      <c r="AA4429" s="6"/>
      <c r="AB4429" s="6"/>
      <c r="AC4429" s="6"/>
      <c r="AD4429" s="6"/>
      <c r="AE4429" s="6"/>
      <c r="AF4429" s="6"/>
      <c r="AG4429" s="6"/>
      <c r="AH4429" s="6"/>
      <c r="AI4429" s="6"/>
      <c r="AJ4429" s="6"/>
      <c r="AK4429" s="6"/>
      <c r="AL4429" s="6"/>
      <c r="AM4429" s="6"/>
    </row>
    <row r="4430">
      <c r="A4430" s="6"/>
      <c r="B4430" s="6"/>
      <c r="C4430" s="6"/>
      <c r="D4430" s="6"/>
      <c r="E4430" s="6"/>
      <c r="F4430" s="6"/>
      <c r="G4430" s="6"/>
      <c r="H4430" s="6"/>
      <c r="I4430" s="6"/>
      <c r="J4430" s="6"/>
      <c r="K4430" s="6"/>
      <c r="L4430" s="6"/>
      <c r="M4430" s="6"/>
      <c r="N4430" s="6"/>
      <c r="O4430" s="6"/>
      <c r="P4430" s="6"/>
      <c r="Q4430" s="6"/>
      <c r="R4430" s="6"/>
      <c r="S4430" s="6"/>
      <c r="T4430" s="6"/>
      <c r="U4430" s="6"/>
      <c r="V4430" s="6"/>
      <c r="W4430" s="6"/>
      <c r="X4430" s="6"/>
      <c r="Y4430" s="6"/>
      <c r="Z4430" s="6"/>
      <c r="AA4430" s="6"/>
      <c r="AB4430" s="6"/>
      <c r="AC4430" s="6"/>
      <c r="AD4430" s="6"/>
      <c r="AE4430" s="6"/>
      <c r="AF4430" s="6"/>
      <c r="AG4430" s="6"/>
      <c r="AH4430" s="6"/>
      <c r="AI4430" s="6"/>
      <c r="AJ4430" s="6"/>
      <c r="AK4430" s="6"/>
      <c r="AL4430" s="6"/>
      <c r="AM4430" s="6"/>
    </row>
    <row r="4431">
      <c r="A4431" s="6"/>
      <c r="B4431" s="6"/>
      <c r="C4431" s="6"/>
      <c r="D4431" s="6"/>
      <c r="E4431" s="6"/>
      <c r="F4431" s="6"/>
      <c r="G4431" s="6"/>
      <c r="H4431" s="6"/>
      <c r="I4431" s="6"/>
      <c r="J4431" s="6"/>
      <c r="K4431" s="6"/>
      <c r="L4431" s="6"/>
      <c r="M4431" s="6"/>
      <c r="N4431" s="6"/>
      <c r="O4431" s="6"/>
      <c r="P4431" s="6"/>
      <c r="Q4431" s="6"/>
      <c r="R4431" s="6"/>
      <c r="S4431" s="6"/>
      <c r="T4431" s="6"/>
      <c r="U4431" s="6"/>
      <c r="V4431" s="6"/>
      <c r="W4431" s="6"/>
      <c r="X4431" s="6"/>
      <c r="Y4431" s="6"/>
      <c r="Z4431" s="6"/>
      <c r="AA4431" s="6"/>
      <c r="AB4431" s="6"/>
      <c r="AC4431" s="6"/>
      <c r="AD4431" s="6"/>
      <c r="AE4431" s="6"/>
      <c r="AF4431" s="6"/>
      <c r="AG4431" s="6"/>
      <c r="AH4431" s="6"/>
      <c r="AI4431" s="6"/>
      <c r="AJ4431" s="6"/>
      <c r="AK4431" s="6"/>
      <c r="AL4431" s="6"/>
      <c r="AM4431" s="6"/>
    </row>
    <row r="4432">
      <c r="A4432" s="6"/>
      <c r="B4432" s="6"/>
      <c r="C4432" s="6"/>
      <c r="D4432" s="6"/>
      <c r="E4432" s="6"/>
      <c r="F4432" s="6"/>
      <c r="G4432" s="6"/>
      <c r="H4432" s="6"/>
      <c r="I4432" s="6"/>
      <c r="J4432" s="6"/>
      <c r="K4432" s="6"/>
      <c r="L4432" s="6"/>
      <c r="M4432" s="6"/>
      <c r="N4432" s="6"/>
      <c r="O4432" s="6"/>
      <c r="P4432" s="6"/>
      <c r="Q4432" s="6"/>
      <c r="R4432" s="6"/>
      <c r="S4432" s="6"/>
      <c r="T4432" s="6"/>
      <c r="U4432" s="6"/>
      <c r="V4432" s="6"/>
      <c r="W4432" s="6"/>
      <c r="X4432" s="6"/>
      <c r="Y4432" s="6"/>
      <c r="Z4432" s="6"/>
      <c r="AA4432" s="6"/>
      <c r="AB4432" s="6"/>
      <c r="AC4432" s="6"/>
      <c r="AD4432" s="6"/>
      <c r="AE4432" s="6"/>
      <c r="AF4432" s="6"/>
      <c r="AG4432" s="6"/>
      <c r="AH4432" s="6"/>
      <c r="AI4432" s="6"/>
      <c r="AJ4432" s="6"/>
      <c r="AK4432" s="6"/>
      <c r="AL4432" s="6"/>
      <c r="AM4432" s="6"/>
    </row>
    <row r="4433">
      <c r="A4433" s="6"/>
      <c r="B4433" s="6"/>
      <c r="C4433" s="6"/>
      <c r="D4433" s="6"/>
      <c r="E4433" s="6"/>
      <c r="F4433" s="6"/>
      <c r="G4433" s="6"/>
      <c r="H4433" s="6"/>
      <c r="I4433" s="6"/>
      <c r="J4433" s="6"/>
      <c r="K4433" s="6"/>
      <c r="L4433" s="6"/>
      <c r="M4433" s="6"/>
      <c r="N4433" s="6"/>
      <c r="O4433" s="6"/>
      <c r="P4433" s="6"/>
      <c r="Q4433" s="6"/>
      <c r="R4433" s="6"/>
      <c r="S4433" s="6"/>
      <c r="T4433" s="6"/>
      <c r="U4433" s="6"/>
      <c r="V4433" s="6"/>
      <c r="W4433" s="6"/>
      <c r="X4433" s="6"/>
      <c r="Y4433" s="6"/>
      <c r="Z4433" s="6"/>
      <c r="AA4433" s="6"/>
      <c r="AB4433" s="6"/>
      <c r="AC4433" s="6"/>
      <c r="AD4433" s="6"/>
      <c r="AE4433" s="6"/>
      <c r="AF4433" s="6"/>
      <c r="AG4433" s="6"/>
      <c r="AH4433" s="6"/>
      <c r="AI4433" s="6"/>
      <c r="AJ4433" s="6"/>
      <c r="AK4433" s="6"/>
      <c r="AL4433" s="6"/>
      <c r="AM4433" s="6"/>
    </row>
    <row r="4434">
      <c r="A4434" s="6"/>
      <c r="B4434" s="6"/>
      <c r="C4434" s="6"/>
      <c r="D4434" s="6"/>
      <c r="E4434" s="6"/>
      <c r="F4434" s="6"/>
      <c r="G4434" s="6"/>
      <c r="H4434" s="6"/>
      <c r="I4434" s="6"/>
      <c r="J4434" s="6"/>
      <c r="K4434" s="6"/>
      <c r="L4434" s="6"/>
      <c r="M4434" s="6"/>
      <c r="N4434" s="6"/>
      <c r="O4434" s="6"/>
      <c r="P4434" s="6"/>
      <c r="Q4434" s="6"/>
      <c r="R4434" s="6"/>
      <c r="S4434" s="6"/>
      <c r="T4434" s="6"/>
      <c r="U4434" s="6"/>
      <c r="V4434" s="6"/>
      <c r="W4434" s="6"/>
      <c r="X4434" s="6"/>
      <c r="Y4434" s="6"/>
      <c r="Z4434" s="6"/>
      <c r="AA4434" s="6"/>
      <c r="AB4434" s="6"/>
      <c r="AC4434" s="6"/>
      <c r="AD4434" s="6"/>
      <c r="AE4434" s="6"/>
      <c r="AF4434" s="6"/>
      <c r="AG4434" s="6"/>
      <c r="AH4434" s="6"/>
      <c r="AI4434" s="6"/>
      <c r="AJ4434" s="6"/>
      <c r="AK4434" s="6"/>
      <c r="AL4434" s="6"/>
      <c r="AM4434" s="6"/>
    </row>
    <row r="4435">
      <c r="A4435" s="6"/>
      <c r="B4435" s="6"/>
      <c r="C4435" s="6"/>
      <c r="D4435" s="6"/>
      <c r="E4435" s="6"/>
      <c r="F4435" s="6"/>
      <c r="G4435" s="6"/>
      <c r="H4435" s="6"/>
      <c r="I4435" s="6"/>
      <c r="J4435" s="6"/>
      <c r="K4435" s="6"/>
      <c r="L4435" s="6"/>
      <c r="M4435" s="6"/>
      <c r="N4435" s="6"/>
      <c r="O4435" s="6"/>
      <c r="P4435" s="6"/>
      <c r="Q4435" s="6"/>
      <c r="R4435" s="6"/>
      <c r="S4435" s="6"/>
      <c r="T4435" s="6"/>
      <c r="U4435" s="6"/>
      <c r="V4435" s="6"/>
      <c r="W4435" s="6"/>
      <c r="X4435" s="6"/>
      <c r="Y4435" s="6"/>
      <c r="Z4435" s="6"/>
      <c r="AA4435" s="6"/>
      <c r="AB4435" s="6"/>
      <c r="AC4435" s="6"/>
      <c r="AD4435" s="6"/>
      <c r="AE4435" s="6"/>
      <c r="AF4435" s="6"/>
      <c r="AG4435" s="6"/>
      <c r="AH4435" s="6"/>
      <c r="AI4435" s="6"/>
      <c r="AJ4435" s="6"/>
      <c r="AK4435" s="6"/>
      <c r="AL4435" s="6"/>
      <c r="AM4435" s="6"/>
    </row>
    <row r="4436">
      <c r="A4436" s="6"/>
      <c r="B4436" s="6"/>
      <c r="C4436" s="6"/>
      <c r="D4436" s="6"/>
      <c r="E4436" s="6"/>
      <c r="F4436" s="6"/>
      <c r="G4436" s="6"/>
      <c r="H4436" s="6"/>
      <c r="I4436" s="6"/>
      <c r="J4436" s="6"/>
      <c r="K4436" s="6"/>
      <c r="L4436" s="6"/>
      <c r="M4436" s="6"/>
      <c r="N4436" s="6"/>
      <c r="O4436" s="6"/>
      <c r="P4436" s="6"/>
      <c r="Q4436" s="6"/>
      <c r="R4436" s="6"/>
      <c r="S4436" s="6"/>
      <c r="T4436" s="6"/>
      <c r="U4436" s="6"/>
      <c r="V4436" s="6"/>
      <c r="W4436" s="6"/>
      <c r="X4436" s="6"/>
      <c r="Y4436" s="6"/>
      <c r="Z4436" s="6"/>
      <c r="AA4436" s="6"/>
      <c r="AB4436" s="6"/>
      <c r="AC4436" s="6"/>
      <c r="AD4436" s="6"/>
      <c r="AE4436" s="6"/>
      <c r="AF4436" s="6"/>
      <c r="AG4436" s="6"/>
      <c r="AH4436" s="6"/>
      <c r="AI4436" s="6"/>
      <c r="AJ4436" s="6"/>
      <c r="AK4436" s="6"/>
      <c r="AL4436" s="6"/>
      <c r="AM4436" s="6"/>
    </row>
    <row r="4437">
      <c r="A4437" s="6"/>
      <c r="B4437" s="6"/>
      <c r="C4437" s="6"/>
      <c r="D4437" s="6"/>
      <c r="E4437" s="6"/>
      <c r="F4437" s="6"/>
      <c r="G4437" s="6"/>
      <c r="H4437" s="6"/>
      <c r="I4437" s="6"/>
      <c r="J4437" s="6"/>
      <c r="K4437" s="6"/>
      <c r="L4437" s="6"/>
      <c r="M4437" s="6"/>
      <c r="N4437" s="6"/>
      <c r="O4437" s="6"/>
      <c r="P4437" s="6"/>
      <c r="Q4437" s="6"/>
      <c r="R4437" s="6"/>
      <c r="S4437" s="6"/>
      <c r="T4437" s="6"/>
      <c r="U4437" s="6"/>
      <c r="V4437" s="6"/>
      <c r="W4437" s="6"/>
      <c r="X4437" s="6"/>
      <c r="Y4437" s="6"/>
      <c r="Z4437" s="6"/>
      <c r="AA4437" s="6"/>
      <c r="AB4437" s="6"/>
      <c r="AC4437" s="6"/>
      <c r="AD4437" s="6"/>
      <c r="AE4437" s="6"/>
      <c r="AF4437" s="6"/>
      <c r="AG4437" s="6"/>
      <c r="AH4437" s="6"/>
      <c r="AI4437" s="6"/>
      <c r="AJ4437" s="6"/>
      <c r="AK4437" s="6"/>
      <c r="AL4437" s="6"/>
      <c r="AM4437" s="6"/>
    </row>
    <row r="4438">
      <c r="A4438" s="6"/>
      <c r="B4438" s="6"/>
      <c r="C4438" s="6"/>
      <c r="D4438" s="6"/>
      <c r="E4438" s="6"/>
      <c r="F4438" s="6"/>
      <c r="G4438" s="6"/>
      <c r="H4438" s="6"/>
      <c r="I4438" s="6"/>
      <c r="J4438" s="6"/>
      <c r="K4438" s="6"/>
      <c r="L4438" s="6"/>
      <c r="M4438" s="6"/>
      <c r="N4438" s="6"/>
      <c r="O4438" s="6"/>
      <c r="P4438" s="6"/>
      <c r="Q4438" s="6"/>
      <c r="R4438" s="6"/>
      <c r="S4438" s="6"/>
      <c r="T4438" s="6"/>
      <c r="U4438" s="6"/>
      <c r="V4438" s="6"/>
      <c r="W4438" s="6"/>
      <c r="X4438" s="6"/>
      <c r="Y4438" s="6"/>
      <c r="Z4438" s="6"/>
      <c r="AA4438" s="6"/>
      <c r="AB4438" s="6"/>
      <c r="AC4438" s="6"/>
      <c r="AD4438" s="6"/>
      <c r="AE4438" s="6"/>
      <c r="AF4438" s="6"/>
      <c r="AG4438" s="6"/>
      <c r="AH4438" s="6"/>
      <c r="AI4438" s="6"/>
      <c r="AJ4438" s="6"/>
      <c r="AK4438" s="6"/>
      <c r="AL4438" s="6"/>
      <c r="AM4438" s="6"/>
    </row>
    <row r="4439">
      <c r="A4439" s="6"/>
      <c r="B4439" s="6"/>
      <c r="C4439" s="6"/>
      <c r="D4439" s="6"/>
      <c r="E4439" s="6"/>
      <c r="F4439" s="6"/>
      <c r="G4439" s="6"/>
      <c r="H4439" s="6"/>
      <c r="I4439" s="6"/>
      <c r="J4439" s="6"/>
      <c r="K4439" s="6"/>
      <c r="L4439" s="6"/>
      <c r="M4439" s="6"/>
      <c r="N4439" s="6"/>
      <c r="O4439" s="6"/>
      <c r="P4439" s="6"/>
      <c r="Q4439" s="6"/>
      <c r="R4439" s="6"/>
      <c r="S4439" s="6"/>
      <c r="T4439" s="6"/>
      <c r="U4439" s="6"/>
      <c r="V4439" s="6"/>
      <c r="W4439" s="6"/>
      <c r="X4439" s="6"/>
      <c r="Y4439" s="6"/>
      <c r="Z4439" s="6"/>
      <c r="AA4439" s="6"/>
      <c r="AB4439" s="6"/>
      <c r="AC4439" s="6"/>
      <c r="AD4439" s="6"/>
      <c r="AE4439" s="6"/>
      <c r="AF4439" s="6"/>
      <c r="AG4439" s="6"/>
      <c r="AH4439" s="6"/>
      <c r="AI4439" s="6"/>
      <c r="AJ4439" s="6"/>
      <c r="AK4439" s="6"/>
      <c r="AL4439" s="6"/>
      <c r="AM4439" s="6"/>
    </row>
    <row r="4440">
      <c r="A4440" s="6"/>
      <c r="B4440" s="6"/>
      <c r="C4440" s="6"/>
      <c r="D4440" s="6"/>
      <c r="E4440" s="6"/>
      <c r="F4440" s="6"/>
      <c r="G4440" s="6"/>
      <c r="H4440" s="6"/>
      <c r="I4440" s="6"/>
      <c r="J4440" s="6"/>
      <c r="K4440" s="6"/>
      <c r="L4440" s="6"/>
      <c r="M4440" s="6"/>
      <c r="N4440" s="6"/>
      <c r="O4440" s="6"/>
      <c r="P4440" s="6"/>
      <c r="Q4440" s="6"/>
      <c r="R4440" s="6"/>
      <c r="S4440" s="6"/>
      <c r="T4440" s="6"/>
      <c r="U4440" s="6"/>
      <c r="V4440" s="6"/>
      <c r="W4440" s="6"/>
      <c r="X4440" s="6"/>
      <c r="Y4440" s="6"/>
      <c r="Z4440" s="6"/>
      <c r="AA4440" s="6"/>
      <c r="AB4440" s="6"/>
      <c r="AC4440" s="6"/>
      <c r="AD4440" s="6"/>
      <c r="AE4440" s="6"/>
      <c r="AF4440" s="6"/>
      <c r="AG4440" s="6"/>
      <c r="AH4440" s="6"/>
      <c r="AI4440" s="6"/>
      <c r="AJ4440" s="6"/>
      <c r="AK4440" s="6"/>
      <c r="AL4440" s="6"/>
      <c r="AM4440" s="6"/>
    </row>
    <row r="4441">
      <c r="A4441" s="6"/>
      <c r="B4441" s="6"/>
      <c r="C4441" s="6"/>
      <c r="D4441" s="6"/>
      <c r="E4441" s="6"/>
      <c r="F4441" s="6"/>
      <c r="G4441" s="6"/>
      <c r="H4441" s="6"/>
      <c r="I4441" s="6"/>
      <c r="J4441" s="6"/>
      <c r="K4441" s="6"/>
      <c r="L4441" s="6"/>
      <c r="M4441" s="6"/>
      <c r="N4441" s="6"/>
      <c r="O4441" s="6"/>
      <c r="P4441" s="6"/>
      <c r="Q4441" s="6"/>
      <c r="R4441" s="6"/>
      <c r="S4441" s="6"/>
      <c r="T4441" s="6"/>
      <c r="U4441" s="6"/>
      <c r="V4441" s="6"/>
      <c r="W4441" s="6"/>
      <c r="X4441" s="6"/>
      <c r="Y4441" s="6"/>
      <c r="Z4441" s="6"/>
      <c r="AA4441" s="6"/>
      <c r="AB4441" s="6"/>
      <c r="AC4441" s="6"/>
      <c r="AD4441" s="6"/>
      <c r="AE4441" s="6"/>
      <c r="AF4441" s="6"/>
      <c r="AG4441" s="6"/>
      <c r="AH4441" s="6"/>
      <c r="AI4441" s="6"/>
      <c r="AJ4441" s="6"/>
      <c r="AK4441" s="6"/>
      <c r="AL4441" s="6"/>
      <c r="AM4441" s="6"/>
    </row>
    <row r="4442">
      <c r="A4442" s="6"/>
      <c r="B4442" s="6"/>
      <c r="C4442" s="6"/>
      <c r="D4442" s="6"/>
      <c r="E4442" s="6"/>
      <c r="F4442" s="6"/>
      <c r="G4442" s="6"/>
      <c r="H4442" s="6"/>
      <c r="I4442" s="6"/>
      <c r="J4442" s="6"/>
      <c r="K4442" s="6"/>
      <c r="L4442" s="6"/>
      <c r="M4442" s="6"/>
      <c r="N4442" s="6"/>
      <c r="O4442" s="6"/>
      <c r="P4442" s="6"/>
      <c r="Q4442" s="6"/>
      <c r="R4442" s="6"/>
      <c r="S4442" s="6"/>
      <c r="T4442" s="6"/>
      <c r="U4442" s="6"/>
      <c r="V4442" s="6"/>
      <c r="W4442" s="6"/>
      <c r="X4442" s="6"/>
      <c r="Y4442" s="6"/>
      <c r="Z4442" s="6"/>
      <c r="AA4442" s="6"/>
      <c r="AB4442" s="6"/>
      <c r="AC4442" s="6"/>
      <c r="AD4442" s="6"/>
      <c r="AE4442" s="6"/>
      <c r="AF4442" s="6"/>
      <c r="AG4442" s="6"/>
      <c r="AH4442" s="6"/>
      <c r="AI4442" s="6"/>
      <c r="AJ4442" s="6"/>
      <c r="AK4442" s="6"/>
      <c r="AL4442" s="6"/>
      <c r="AM4442" s="6"/>
    </row>
    <row r="4443">
      <c r="A4443" s="6"/>
      <c r="B4443" s="6"/>
      <c r="C4443" s="6"/>
      <c r="D4443" s="6"/>
      <c r="E4443" s="6"/>
      <c r="F4443" s="6"/>
      <c r="G4443" s="6"/>
      <c r="H4443" s="6"/>
      <c r="I4443" s="6"/>
      <c r="J4443" s="6"/>
      <c r="K4443" s="6"/>
      <c r="L4443" s="6"/>
      <c r="M4443" s="6"/>
      <c r="N4443" s="6"/>
      <c r="O4443" s="6"/>
      <c r="P4443" s="6"/>
      <c r="Q4443" s="6"/>
      <c r="R4443" s="6"/>
      <c r="S4443" s="6"/>
      <c r="T4443" s="6"/>
      <c r="U4443" s="6"/>
      <c r="V4443" s="6"/>
      <c r="W4443" s="6"/>
      <c r="X4443" s="6"/>
      <c r="Y4443" s="6"/>
      <c r="Z4443" s="6"/>
      <c r="AA4443" s="6"/>
      <c r="AB4443" s="6"/>
      <c r="AC4443" s="6"/>
      <c r="AD4443" s="6"/>
      <c r="AE4443" s="6"/>
      <c r="AF4443" s="6"/>
      <c r="AG4443" s="6"/>
      <c r="AH4443" s="6"/>
      <c r="AI4443" s="6"/>
      <c r="AJ4443" s="6"/>
      <c r="AK4443" s="6"/>
      <c r="AL4443" s="6"/>
      <c r="AM4443" s="6"/>
    </row>
    <row r="4444">
      <c r="A4444" s="6"/>
      <c r="B4444" s="6"/>
      <c r="C4444" s="6"/>
      <c r="D4444" s="6"/>
      <c r="E4444" s="6"/>
      <c r="F4444" s="6"/>
      <c r="G4444" s="6"/>
      <c r="H4444" s="6"/>
      <c r="I4444" s="6"/>
      <c r="J4444" s="6"/>
      <c r="K4444" s="6"/>
      <c r="L4444" s="6"/>
      <c r="M4444" s="6"/>
      <c r="N4444" s="6"/>
      <c r="O4444" s="6"/>
      <c r="P4444" s="6"/>
      <c r="Q4444" s="6"/>
      <c r="R4444" s="6"/>
      <c r="S4444" s="6"/>
      <c r="T4444" s="6"/>
      <c r="U4444" s="6"/>
      <c r="V4444" s="6"/>
      <c r="W4444" s="6"/>
      <c r="X4444" s="6"/>
      <c r="Y4444" s="6"/>
      <c r="Z4444" s="6"/>
      <c r="AA4444" s="6"/>
      <c r="AB4444" s="6"/>
      <c r="AC4444" s="6"/>
      <c r="AD4444" s="6"/>
      <c r="AE4444" s="6"/>
      <c r="AF4444" s="6"/>
      <c r="AG4444" s="6"/>
      <c r="AH4444" s="6"/>
      <c r="AI4444" s="6"/>
      <c r="AJ4444" s="6"/>
      <c r="AK4444" s="6"/>
      <c r="AL4444" s="6"/>
      <c r="AM4444" s="6"/>
    </row>
    <row r="4445">
      <c r="A4445" s="6"/>
      <c r="B4445" s="6"/>
      <c r="C4445" s="6"/>
      <c r="D4445" s="6"/>
      <c r="E4445" s="6"/>
      <c r="F4445" s="6"/>
      <c r="G4445" s="6"/>
      <c r="H4445" s="6"/>
      <c r="I4445" s="6"/>
      <c r="J4445" s="6"/>
      <c r="K4445" s="6"/>
      <c r="L4445" s="6"/>
      <c r="M4445" s="6"/>
      <c r="N4445" s="6"/>
      <c r="O4445" s="6"/>
      <c r="P4445" s="6"/>
      <c r="Q4445" s="6"/>
      <c r="R4445" s="6"/>
      <c r="S4445" s="6"/>
      <c r="T4445" s="6"/>
      <c r="U4445" s="6"/>
      <c r="V4445" s="6"/>
      <c r="W4445" s="6"/>
      <c r="X4445" s="6"/>
      <c r="Y4445" s="6"/>
      <c r="Z4445" s="6"/>
      <c r="AA4445" s="6"/>
      <c r="AB4445" s="6"/>
      <c r="AC4445" s="6"/>
      <c r="AD4445" s="6"/>
      <c r="AE4445" s="6"/>
      <c r="AF4445" s="6"/>
      <c r="AG4445" s="6"/>
      <c r="AH4445" s="6"/>
      <c r="AI4445" s="6"/>
      <c r="AJ4445" s="6"/>
      <c r="AK4445" s="6"/>
      <c r="AL4445" s="6"/>
      <c r="AM4445" s="6"/>
    </row>
    <row r="4446">
      <c r="A4446" s="6"/>
      <c r="B4446" s="6"/>
      <c r="C4446" s="6"/>
      <c r="D4446" s="6"/>
      <c r="E4446" s="6"/>
      <c r="F4446" s="6"/>
      <c r="G4446" s="6"/>
      <c r="H4446" s="6"/>
      <c r="I4446" s="6"/>
      <c r="J4446" s="6"/>
      <c r="K4446" s="6"/>
      <c r="L4446" s="6"/>
      <c r="M4446" s="6"/>
      <c r="N4446" s="6"/>
      <c r="O4446" s="6"/>
      <c r="P4446" s="6"/>
      <c r="Q4446" s="6"/>
      <c r="R4446" s="6"/>
      <c r="S4446" s="6"/>
      <c r="T4446" s="6"/>
      <c r="U4446" s="6"/>
      <c r="V4446" s="6"/>
      <c r="W4446" s="6"/>
      <c r="X4446" s="6"/>
      <c r="Y4446" s="6"/>
      <c r="Z4446" s="6"/>
      <c r="AA4446" s="6"/>
      <c r="AB4446" s="6"/>
      <c r="AC4446" s="6"/>
      <c r="AD4446" s="6"/>
      <c r="AE4446" s="6"/>
      <c r="AF4446" s="6"/>
      <c r="AG4446" s="6"/>
      <c r="AH4446" s="6"/>
      <c r="AI4446" s="6"/>
      <c r="AJ4446" s="6"/>
      <c r="AK4446" s="6"/>
      <c r="AL4446" s="6"/>
      <c r="AM4446" s="6"/>
    </row>
    <row r="4447">
      <c r="A4447" s="6"/>
      <c r="B4447" s="6"/>
      <c r="C4447" s="6"/>
      <c r="D4447" s="6"/>
      <c r="E4447" s="6"/>
      <c r="F4447" s="6"/>
      <c r="G4447" s="6"/>
      <c r="H4447" s="6"/>
      <c r="I4447" s="6"/>
      <c r="J4447" s="6"/>
      <c r="K4447" s="6"/>
      <c r="L4447" s="6"/>
      <c r="M4447" s="6"/>
      <c r="N4447" s="6"/>
      <c r="O4447" s="6"/>
      <c r="P4447" s="6"/>
      <c r="Q4447" s="6"/>
      <c r="R4447" s="6"/>
      <c r="S4447" s="6"/>
      <c r="T4447" s="6"/>
      <c r="U4447" s="6"/>
      <c r="V4447" s="6"/>
      <c r="W4447" s="6"/>
      <c r="X4447" s="6"/>
      <c r="Y4447" s="6"/>
      <c r="Z4447" s="6"/>
      <c r="AA4447" s="6"/>
      <c r="AB4447" s="6"/>
      <c r="AC4447" s="6"/>
      <c r="AD4447" s="6"/>
      <c r="AE4447" s="6"/>
      <c r="AF4447" s="6"/>
      <c r="AG4447" s="6"/>
      <c r="AH4447" s="6"/>
      <c r="AI4447" s="6"/>
      <c r="AJ4447" s="6"/>
      <c r="AK4447" s="6"/>
      <c r="AL4447" s="6"/>
      <c r="AM4447" s="6"/>
    </row>
    <row r="4448">
      <c r="A4448" s="6"/>
      <c r="B4448" s="6"/>
      <c r="C4448" s="6"/>
      <c r="D4448" s="6"/>
      <c r="E4448" s="6"/>
      <c r="F4448" s="6"/>
      <c r="G4448" s="6"/>
      <c r="H4448" s="6"/>
      <c r="I4448" s="6"/>
      <c r="J4448" s="6"/>
      <c r="K4448" s="6"/>
      <c r="L4448" s="6"/>
      <c r="M4448" s="6"/>
      <c r="N4448" s="6"/>
      <c r="O4448" s="6"/>
      <c r="P4448" s="6"/>
      <c r="Q4448" s="6"/>
      <c r="R4448" s="6"/>
      <c r="S4448" s="6"/>
      <c r="T4448" s="6"/>
      <c r="U4448" s="6"/>
      <c r="V4448" s="6"/>
      <c r="W4448" s="6"/>
      <c r="X4448" s="6"/>
      <c r="Y4448" s="6"/>
      <c r="Z4448" s="6"/>
      <c r="AA4448" s="6"/>
      <c r="AB4448" s="6"/>
      <c r="AC4448" s="6"/>
      <c r="AD4448" s="6"/>
      <c r="AE4448" s="6"/>
      <c r="AF4448" s="6"/>
      <c r="AG4448" s="6"/>
      <c r="AH4448" s="6"/>
      <c r="AI4448" s="6"/>
      <c r="AJ4448" s="6"/>
      <c r="AK4448" s="6"/>
      <c r="AL4448" s="6"/>
      <c r="AM4448" s="6"/>
    </row>
    <row r="4449">
      <c r="A4449" s="6"/>
      <c r="B4449" s="6"/>
      <c r="C4449" s="6"/>
      <c r="D4449" s="6"/>
      <c r="E4449" s="6"/>
      <c r="F4449" s="6"/>
      <c r="G4449" s="6"/>
      <c r="H4449" s="6"/>
      <c r="I4449" s="6"/>
      <c r="J4449" s="6"/>
      <c r="K4449" s="6"/>
      <c r="L4449" s="6"/>
      <c r="M4449" s="6"/>
      <c r="N4449" s="6"/>
      <c r="O4449" s="6"/>
      <c r="P4449" s="6"/>
      <c r="Q4449" s="6"/>
      <c r="R4449" s="6"/>
      <c r="S4449" s="6"/>
      <c r="T4449" s="6"/>
      <c r="U4449" s="6"/>
      <c r="V4449" s="6"/>
      <c r="W4449" s="6"/>
      <c r="X4449" s="6"/>
      <c r="Y4449" s="6"/>
      <c r="Z4449" s="6"/>
      <c r="AA4449" s="6"/>
      <c r="AB4449" s="6"/>
      <c r="AC4449" s="6"/>
      <c r="AD4449" s="6"/>
      <c r="AE4449" s="6"/>
      <c r="AF4449" s="6"/>
      <c r="AG4449" s="6"/>
      <c r="AH4449" s="6"/>
      <c r="AI4449" s="6"/>
      <c r="AJ4449" s="6"/>
      <c r="AK4449" s="6"/>
      <c r="AL4449" s="6"/>
      <c r="AM4449" s="6"/>
    </row>
    <row r="4450">
      <c r="A4450" s="6"/>
      <c r="B4450" s="6"/>
      <c r="C4450" s="6"/>
      <c r="D4450" s="6"/>
      <c r="E4450" s="6"/>
      <c r="F4450" s="6"/>
      <c r="G4450" s="6"/>
      <c r="H4450" s="6"/>
      <c r="I4450" s="6"/>
      <c r="J4450" s="6"/>
      <c r="K4450" s="6"/>
      <c r="L4450" s="6"/>
      <c r="M4450" s="6"/>
      <c r="N4450" s="6"/>
      <c r="O4450" s="6"/>
      <c r="P4450" s="6"/>
      <c r="Q4450" s="6"/>
      <c r="R4450" s="6"/>
      <c r="S4450" s="6"/>
      <c r="T4450" s="6"/>
      <c r="U4450" s="6"/>
      <c r="V4450" s="6"/>
      <c r="W4450" s="6"/>
      <c r="X4450" s="6"/>
      <c r="Y4450" s="6"/>
      <c r="Z4450" s="6"/>
      <c r="AA4450" s="6"/>
      <c r="AB4450" s="6"/>
      <c r="AC4450" s="6"/>
      <c r="AD4450" s="6"/>
      <c r="AE4450" s="6"/>
      <c r="AF4450" s="6"/>
      <c r="AG4450" s="6"/>
      <c r="AH4450" s="6"/>
      <c r="AI4450" s="6"/>
      <c r="AJ4450" s="6"/>
      <c r="AK4450" s="6"/>
      <c r="AL4450" s="6"/>
      <c r="AM4450" s="6"/>
    </row>
    <row r="4451">
      <c r="A4451" s="6"/>
      <c r="B4451" s="6"/>
      <c r="C4451" s="6"/>
      <c r="D4451" s="6"/>
      <c r="E4451" s="6"/>
      <c r="F4451" s="6"/>
      <c r="G4451" s="6"/>
      <c r="H4451" s="6"/>
      <c r="I4451" s="6"/>
      <c r="J4451" s="6"/>
      <c r="K4451" s="6"/>
      <c r="L4451" s="6"/>
      <c r="M4451" s="6"/>
      <c r="N4451" s="6"/>
      <c r="O4451" s="6"/>
      <c r="P4451" s="6"/>
      <c r="Q4451" s="6"/>
      <c r="R4451" s="6"/>
      <c r="S4451" s="6"/>
      <c r="T4451" s="6"/>
      <c r="U4451" s="6"/>
      <c r="V4451" s="6"/>
      <c r="W4451" s="6"/>
      <c r="X4451" s="6"/>
      <c r="Y4451" s="6"/>
      <c r="Z4451" s="6"/>
      <c r="AA4451" s="6"/>
      <c r="AB4451" s="6"/>
      <c r="AC4451" s="6"/>
      <c r="AD4451" s="6"/>
      <c r="AE4451" s="6"/>
      <c r="AF4451" s="6"/>
      <c r="AG4451" s="6"/>
      <c r="AH4451" s="6"/>
      <c r="AI4451" s="6"/>
      <c r="AJ4451" s="6"/>
      <c r="AK4451" s="6"/>
      <c r="AL4451" s="6"/>
      <c r="AM4451" s="6"/>
    </row>
    <row r="4452">
      <c r="A4452" s="6"/>
      <c r="B4452" s="6"/>
      <c r="C4452" s="6"/>
      <c r="D4452" s="6"/>
      <c r="E4452" s="6"/>
      <c r="F4452" s="6"/>
      <c r="G4452" s="6"/>
      <c r="H4452" s="6"/>
      <c r="I4452" s="6"/>
      <c r="J4452" s="6"/>
      <c r="K4452" s="6"/>
      <c r="L4452" s="6"/>
      <c r="M4452" s="6"/>
      <c r="N4452" s="6"/>
      <c r="O4452" s="6"/>
      <c r="P4452" s="6"/>
      <c r="Q4452" s="6"/>
      <c r="R4452" s="6"/>
      <c r="S4452" s="6"/>
      <c r="T4452" s="6"/>
      <c r="U4452" s="6"/>
      <c r="V4452" s="6"/>
      <c r="W4452" s="6"/>
      <c r="X4452" s="6"/>
      <c r="Y4452" s="6"/>
      <c r="Z4452" s="6"/>
      <c r="AA4452" s="6"/>
      <c r="AB4452" s="6"/>
      <c r="AC4452" s="6"/>
      <c r="AD4452" s="6"/>
      <c r="AE4452" s="6"/>
      <c r="AF4452" s="6"/>
      <c r="AG4452" s="6"/>
      <c r="AH4452" s="6"/>
      <c r="AI4452" s="6"/>
      <c r="AJ4452" s="6"/>
      <c r="AK4452" s="6"/>
      <c r="AL4452" s="6"/>
      <c r="AM4452" s="6"/>
    </row>
    <row r="4453">
      <c r="A4453" s="6"/>
      <c r="B4453" s="6"/>
      <c r="C4453" s="6"/>
      <c r="D4453" s="6"/>
      <c r="E4453" s="6"/>
      <c r="F4453" s="6"/>
      <c r="G4453" s="6"/>
      <c r="H4453" s="6"/>
      <c r="I4453" s="6"/>
      <c r="J4453" s="6"/>
      <c r="K4453" s="6"/>
      <c r="L4453" s="6"/>
      <c r="M4453" s="6"/>
      <c r="N4453" s="6"/>
      <c r="O4453" s="6"/>
      <c r="P4453" s="6"/>
      <c r="Q4453" s="6"/>
      <c r="R4453" s="6"/>
      <c r="S4453" s="6"/>
      <c r="T4453" s="6"/>
      <c r="U4453" s="6"/>
      <c r="V4453" s="6"/>
      <c r="W4453" s="6"/>
      <c r="X4453" s="6"/>
      <c r="Y4453" s="6"/>
      <c r="Z4453" s="6"/>
      <c r="AA4453" s="6"/>
      <c r="AB4453" s="6"/>
      <c r="AC4453" s="6"/>
      <c r="AD4453" s="6"/>
      <c r="AE4453" s="6"/>
      <c r="AF4453" s="6"/>
      <c r="AG4453" s="6"/>
      <c r="AH4453" s="6"/>
      <c r="AI4453" s="6"/>
      <c r="AJ4453" s="6"/>
      <c r="AK4453" s="6"/>
      <c r="AL4453" s="6"/>
      <c r="AM4453" s="6"/>
    </row>
    <row r="4454">
      <c r="A4454" s="6"/>
      <c r="B4454" s="6"/>
      <c r="C4454" s="6"/>
      <c r="D4454" s="6"/>
      <c r="E4454" s="6"/>
      <c r="F4454" s="6"/>
      <c r="G4454" s="6"/>
      <c r="H4454" s="6"/>
      <c r="I4454" s="6"/>
      <c r="J4454" s="6"/>
      <c r="K4454" s="6"/>
      <c r="L4454" s="6"/>
      <c r="M4454" s="6"/>
      <c r="N4454" s="6"/>
      <c r="O4454" s="6"/>
      <c r="P4454" s="6"/>
      <c r="Q4454" s="6"/>
      <c r="R4454" s="6"/>
      <c r="S4454" s="6"/>
      <c r="T4454" s="6"/>
      <c r="U4454" s="6"/>
      <c r="V4454" s="6"/>
      <c r="W4454" s="6"/>
      <c r="X4454" s="6"/>
      <c r="Y4454" s="6"/>
      <c r="Z4454" s="6"/>
      <c r="AA4454" s="6"/>
      <c r="AB4454" s="6"/>
      <c r="AC4454" s="6"/>
      <c r="AD4454" s="6"/>
      <c r="AE4454" s="6"/>
      <c r="AF4454" s="6"/>
      <c r="AG4454" s="6"/>
      <c r="AH4454" s="6"/>
      <c r="AI4454" s="6"/>
      <c r="AJ4454" s="6"/>
      <c r="AK4454" s="6"/>
      <c r="AL4454" s="6"/>
      <c r="AM4454" s="6"/>
    </row>
    <row r="4455">
      <c r="A4455" s="6"/>
      <c r="B4455" s="6"/>
      <c r="C4455" s="6"/>
      <c r="D4455" s="6"/>
      <c r="E4455" s="6"/>
      <c r="F4455" s="6"/>
      <c r="G4455" s="6"/>
      <c r="H4455" s="6"/>
      <c r="I4455" s="6"/>
      <c r="J4455" s="6"/>
      <c r="K4455" s="6"/>
      <c r="L4455" s="6"/>
      <c r="M4455" s="6"/>
      <c r="N4455" s="6"/>
      <c r="O4455" s="6"/>
      <c r="P4455" s="6"/>
      <c r="Q4455" s="6"/>
      <c r="R4455" s="6"/>
      <c r="S4455" s="6"/>
      <c r="T4455" s="6"/>
      <c r="U4455" s="6"/>
      <c r="V4455" s="6"/>
      <c r="W4455" s="6"/>
      <c r="X4455" s="6"/>
      <c r="Y4455" s="6"/>
      <c r="Z4455" s="6"/>
      <c r="AA4455" s="6"/>
      <c r="AB4455" s="6"/>
      <c r="AC4455" s="6"/>
      <c r="AD4455" s="6"/>
      <c r="AE4455" s="6"/>
      <c r="AF4455" s="6"/>
      <c r="AG4455" s="6"/>
      <c r="AH4455" s="6"/>
      <c r="AI4455" s="6"/>
      <c r="AJ4455" s="6"/>
      <c r="AK4455" s="6"/>
      <c r="AL4455" s="6"/>
      <c r="AM4455" s="6"/>
    </row>
    <row r="4456">
      <c r="A4456" s="6"/>
      <c r="B4456" s="6"/>
      <c r="C4456" s="6"/>
      <c r="D4456" s="6"/>
      <c r="E4456" s="6"/>
      <c r="F4456" s="6"/>
      <c r="G4456" s="6"/>
      <c r="H4456" s="6"/>
      <c r="I4456" s="6"/>
      <c r="J4456" s="6"/>
      <c r="K4456" s="6"/>
      <c r="L4456" s="6"/>
      <c r="M4456" s="6"/>
      <c r="N4456" s="6"/>
      <c r="O4456" s="6"/>
      <c r="P4456" s="6"/>
      <c r="Q4456" s="6"/>
      <c r="R4456" s="6"/>
      <c r="S4456" s="6"/>
      <c r="T4456" s="6"/>
      <c r="U4456" s="6"/>
      <c r="V4456" s="6"/>
      <c r="W4456" s="6"/>
      <c r="X4456" s="6"/>
      <c r="Y4456" s="6"/>
      <c r="Z4456" s="6"/>
      <c r="AA4456" s="6"/>
      <c r="AB4456" s="6"/>
      <c r="AC4456" s="6"/>
      <c r="AD4456" s="6"/>
      <c r="AE4456" s="6"/>
      <c r="AF4456" s="6"/>
      <c r="AG4456" s="6"/>
      <c r="AH4456" s="6"/>
      <c r="AI4456" s="6"/>
      <c r="AJ4456" s="6"/>
      <c r="AK4456" s="6"/>
      <c r="AL4456" s="6"/>
      <c r="AM4456" s="6"/>
    </row>
    <row r="4457">
      <c r="A4457" s="6"/>
      <c r="B4457" s="6"/>
      <c r="C4457" s="6"/>
      <c r="D4457" s="6"/>
      <c r="E4457" s="6"/>
      <c r="F4457" s="6"/>
      <c r="G4457" s="6"/>
      <c r="H4457" s="6"/>
      <c r="I4457" s="6"/>
      <c r="J4457" s="6"/>
      <c r="K4457" s="6"/>
      <c r="L4457" s="6"/>
      <c r="M4457" s="6"/>
      <c r="N4457" s="6"/>
      <c r="O4457" s="6"/>
      <c r="P4457" s="6"/>
      <c r="Q4457" s="6"/>
      <c r="R4457" s="6"/>
      <c r="S4457" s="6"/>
      <c r="T4457" s="6"/>
      <c r="U4457" s="6"/>
      <c r="V4457" s="6"/>
      <c r="W4457" s="6"/>
      <c r="X4457" s="6"/>
      <c r="Y4457" s="6"/>
      <c r="Z4457" s="6"/>
      <c r="AA4457" s="6"/>
      <c r="AB4457" s="6"/>
      <c r="AC4457" s="6"/>
      <c r="AD4457" s="6"/>
      <c r="AE4457" s="6"/>
      <c r="AF4457" s="6"/>
      <c r="AG4457" s="6"/>
      <c r="AH4457" s="6"/>
      <c r="AI4457" s="6"/>
      <c r="AJ4457" s="6"/>
      <c r="AK4457" s="6"/>
      <c r="AL4457" s="6"/>
      <c r="AM4457" s="6"/>
    </row>
    <row r="4458">
      <c r="A4458" s="6"/>
      <c r="B4458" s="6"/>
      <c r="C4458" s="6"/>
      <c r="D4458" s="6"/>
      <c r="E4458" s="6"/>
      <c r="F4458" s="6"/>
      <c r="G4458" s="6"/>
      <c r="H4458" s="6"/>
      <c r="I4458" s="6"/>
      <c r="J4458" s="6"/>
      <c r="K4458" s="6"/>
      <c r="L4458" s="6"/>
      <c r="M4458" s="6"/>
      <c r="N4458" s="6"/>
      <c r="O4458" s="6"/>
      <c r="P4458" s="6"/>
      <c r="Q4458" s="6"/>
      <c r="R4458" s="6"/>
      <c r="S4458" s="6"/>
      <c r="T4458" s="6"/>
      <c r="U4458" s="6"/>
      <c r="V4458" s="6"/>
      <c r="W4458" s="6"/>
      <c r="X4458" s="6"/>
      <c r="Y4458" s="6"/>
      <c r="Z4458" s="6"/>
      <c r="AA4458" s="6"/>
      <c r="AB4458" s="6"/>
      <c r="AC4458" s="6"/>
      <c r="AD4458" s="6"/>
      <c r="AE4458" s="6"/>
      <c r="AF4458" s="6"/>
      <c r="AG4458" s="6"/>
      <c r="AH4458" s="6"/>
      <c r="AI4458" s="6"/>
      <c r="AJ4458" s="6"/>
      <c r="AK4458" s="6"/>
      <c r="AL4458" s="6"/>
      <c r="AM4458" s="6"/>
    </row>
    <row r="4459">
      <c r="A4459" s="6"/>
      <c r="B4459" s="6"/>
      <c r="C4459" s="6"/>
      <c r="D4459" s="6"/>
      <c r="E4459" s="6"/>
      <c r="F4459" s="6"/>
      <c r="G4459" s="6"/>
      <c r="H4459" s="6"/>
      <c r="I4459" s="6"/>
      <c r="J4459" s="6"/>
      <c r="K4459" s="6"/>
      <c r="L4459" s="6"/>
      <c r="M4459" s="6"/>
      <c r="N4459" s="6"/>
      <c r="O4459" s="6"/>
      <c r="P4459" s="6"/>
      <c r="Q4459" s="6"/>
      <c r="R4459" s="6"/>
      <c r="S4459" s="6"/>
      <c r="T4459" s="6"/>
      <c r="U4459" s="6"/>
      <c r="V4459" s="6"/>
      <c r="W4459" s="6"/>
      <c r="X4459" s="6"/>
      <c r="Y4459" s="6"/>
      <c r="Z4459" s="6"/>
      <c r="AA4459" s="6"/>
      <c r="AB4459" s="6"/>
      <c r="AC4459" s="6"/>
      <c r="AD4459" s="6"/>
      <c r="AE4459" s="6"/>
      <c r="AF4459" s="6"/>
      <c r="AG4459" s="6"/>
      <c r="AH4459" s="6"/>
      <c r="AI4459" s="6"/>
      <c r="AJ4459" s="6"/>
      <c r="AK4459" s="6"/>
      <c r="AL4459" s="6"/>
      <c r="AM4459" s="6"/>
    </row>
    <row r="4460">
      <c r="A4460" s="6"/>
      <c r="B4460" s="6"/>
      <c r="C4460" s="6"/>
      <c r="D4460" s="6"/>
      <c r="E4460" s="6"/>
      <c r="F4460" s="6"/>
      <c r="G4460" s="6"/>
      <c r="H4460" s="6"/>
      <c r="I4460" s="6"/>
      <c r="J4460" s="6"/>
      <c r="K4460" s="6"/>
      <c r="L4460" s="6"/>
      <c r="M4460" s="6"/>
      <c r="N4460" s="6"/>
      <c r="O4460" s="6"/>
      <c r="P4460" s="6"/>
      <c r="Q4460" s="6"/>
      <c r="R4460" s="6"/>
      <c r="S4460" s="6"/>
      <c r="T4460" s="6"/>
      <c r="U4460" s="6"/>
      <c r="V4460" s="6"/>
      <c r="W4460" s="6"/>
      <c r="X4460" s="6"/>
      <c r="Y4460" s="6"/>
      <c r="Z4460" s="6"/>
      <c r="AA4460" s="6"/>
      <c r="AB4460" s="6"/>
      <c r="AC4460" s="6"/>
      <c r="AD4460" s="6"/>
      <c r="AE4460" s="6"/>
      <c r="AF4460" s="6"/>
      <c r="AG4460" s="6"/>
      <c r="AH4460" s="6"/>
      <c r="AI4460" s="6"/>
      <c r="AJ4460" s="6"/>
      <c r="AK4460" s="6"/>
      <c r="AL4460" s="6"/>
      <c r="AM4460" s="6"/>
    </row>
    <row r="4461">
      <c r="A4461" s="6"/>
      <c r="B4461" s="6"/>
      <c r="C4461" s="6"/>
      <c r="D4461" s="6"/>
      <c r="E4461" s="6"/>
      <c r="F4461" s="6"/>
      <c r="G4461" s="6"/>
      <c r="H4461" s="6"/>
      <c r="I4461" s="6"/>
      <c r="J4461" s="6"/>
      <c r="K4461" s="6"/>
      <c r="L4461" s="6"/>
      <c r="M4461" s="6"/>
      <c r="N4461" s="6"/>
      <c r="O4461" s="6"/>
      <c r="P4461" s="6"/>
      <c r="Q4461" s="6"/>
      <c r="R4461" s="6"/>
      <c r="S4461" s="6"/>
      <c r="T4461" s="6"/>
      <c r="U4461" s="6"/>
      <c r="V4461" s="6"/>
      <c r="W4461" s="6"/>
      <c r="X4461" s="6"/>
      <c r="Y4461" s="6"/>
      <c r="Z4461" s="6"/>
      <c r="AA4461" s="6"/>
      <c r="AB4461" s="6"/>
      <c r="AC4461" s="6"/>
      <c r="AD4461" s="6"/>
      <c r="AE4461" s="6"/>
      <c r="AF4461" s="6"/>
      <c r="AG4461" s="6"/>
      <c r="AH4461" s="6"/>
      <c r="AI4461" s="6"/>
      <c r="AJ4461" s="6"/>
      <c r="AK4461" s="6"/>
      <c r="AL4461" s="6"/>
      <c r="AM4461" s="6"/>
    </row>
    <row r="4462">
      <c r="A4462" s="6"/>
      <c r="B4462" s="6"/>
      <c r="C4462" s="6"/>
      <c r="D4462" s="6"/>
      <c r="E4462" s="6"/>
      <c r="F4462" s="6"/>
      <c r="G4462" s="6"/>
      <c r="H4462" s="6"/>
      <c r="I4462" s="6"/>
      <c r="J4462" s="6"/>
      <c r="K4462" s="6"/>
      <c r="L4462" s="6"/>
      <c r="M4462" s="6"/>
      <c r="N4462" s="6"/>
      <c r="O4462" s="6"/>
      <c r="P4462" s="6"/>
      <c r="Q4462" s="6"/>
      <c r="R4462" s="6"/>
      <c r="S4462" s="6"/>
      <c r="T4462" s="6"/>
      <c r="U4462" s="6"/>
      <c r="V4462" s="6"/>
      <c r="W4462" s="6"/>
      <c r="X4462" s="6"/>
      <c r="Y4462" s="6"/>
      <c r="Z4462" s="6"/>
      <c r="AA4462" s="6"/>
      <c r="AB4462" s="6"/>
      <c r="AC4462" s="6"/>
      <c r="AD4462" s="6"/>
      <c r="AE4462" s="6"/>
      <c r="AF4462" s="6"/>
      <c r="AG4462" s="6"/>
      <c r="AH4462" s="6"/>
      <c r="AI4462" s="6"/>
      <c r="AJ4462" s="6"/>
      <c r="AK4462" s="6"/>
      <c r="AL4462" s="6"/>
      <c r="AM4462" s="6"/>
    </row>
    <row r="4463">
      <c r="A4463" s="6"/>
      <c r="B4463" s="6"/>
      <c r="C4463" s="6"/>
      <c r="D4463" s="6"/>
      <c r="E4463" s="6"/>
      <c r="F4463" s="6"/>
      <c r="G4463" s="6"/>
      <c r="H4463" s="6"/>
      <c r="I4463" s="6"/>
      <c r="J4463" s="6"/>
      <c r="K4463" s="6"/>
      <c r="L4463" s="6"/>
      <c r="M4463" s="6"/>
      <c r="N4463" s="6"/>
      <c r="O4463" s="6"/>
      <c r="P4463" s="6"/>
      <c r="Q4463" s="6"/>
      <c r="R4463" s="6"/>
      <c r="S4463" s="6"/>
      <c r="T4463" s="6"/>
      <c r="U4463" s="6"/>
      <c r="V4463" s="6"/>
      <c r="W4463" s="6"/>
      <c r="X4463" s="6"/>
      <c r="Y4463" s="6"/>
      <c r="Z4463" s="6"/>
      <c r="AA4463" s="6"/>
      <c r="AB4463" s="6"/>
      <c r="AC4463" s="6"/>
      <c r="AD4463" s="6"/>
      <c r="AE4463" s="6"/>
      <c r="AF4463" s="6"/>
      <c r="AG4463" s="6"/>
      <c r="AH4463" s="6"/>
      <c r="AI4463" s="6"/>
      <c r="AJ4463" s="6"/>
      <c r="AK4463" s="6"/>
      <c r="AL4463" s="6"/>
      <c r="AM4463" s="6"/>
    </row>
    <row r="4464">
      <c r="A4464" s="6"/>
      <c r="B4464" s="6"/>
      <c r="C4464" s="6"/>
      <c r="D4464" s="6"/>
      <c r="E4464" s="6"/>
      <c r="F4464" s="6"/>
      <c r="G4464" s="6"/>
      <c r="H4464" s="6"/>
      <c r="I4464" s="6"/>
      <c r="J4464" s="6"/>
      <c r="K4464" s="6"/>
      <c r="L4464" s="6"/>
      <c r="M4464" s="6"/>
      <c r="N4464" s="6"/>
      <c r="O4464" s="6"/>
      <c r="P4464" s="6"/>
      <c r="Q4464" s="6"/>
      <c r="R4464" s="6"/>
      <c r="S4464" s="6"/>
      <c r="T4464" s="6"/>
      <c r="U4464" s="6"/>
      <c r="V4464" s="6"/>
      <c r="W4464" s="6"/>
      <c r="X4464" s="6"/>
      <c r="Y4464" s="6"/>
      <c r="Z4464" s="6"/>
      <c r="AA4464" s="6"/>
      <c r="AB4464" s="6"/>
      <c r="AC4464" s="6"/>
      <c r="AD4464" s="6"/>
      <c r="AE4464" s="6"/>
      <c r="AF4464" s="6"/>
      <c r="AG4464" s="6"/>
      <c r="AH4464" s="6"/>
      <c r="AI4464" s="6"/>
      <c r="AJ4464" s="6"/>
      <c r="AK4464" s="6"/>
      <c r="AL4464" s="6"/>
      <c r="AM4464" s="6"/>
    </row>
    <row r="4465">
      <c r="A4465" s="6"/>
      <c r="B4465" s="6"/>
      <c r="C4465" s="6"/>
      <c r="D4465" s="6"/>
      <c r="E4465" s="6"/>
      <c r="F4465" s="6"/>
      <c r="G4465" s="6"/>
      <c r="H4465" s="6"/>
      <c r="I4465" s="6"/>
      <c r="J4465" s="6"/>
      <c r="K4465" s="6"/>
      <c r="L4465" s="6"/>
      <c r="M4465" s="6"/>
      <c r="N4465" s="6"/>
      <c r="O4465" s="6"/>
      <c r="P4465" s="6"/>
      <c r="Q4465" s="6"/>
      <c r="R4465" s="6"/>
      <c r="S4465" s="6"/>
      <c r="T4465" s="6"/>
      <c r="U4465" s="6"/>
      <c r="V4465" s="6"/>
      <c r="W4465" s="6"/>
      <c r="X4465" s="6"/>
      <c r="Y4465" s="6"/>
      <c r="Z4465" s="6"/>
      <c r="AA4465" s="6"/>
      <c r="AB4465" s="6"/>
      <c r="AC4465" s="6"/>
      <c r="AD4465" s="6"/>
      <c r="AE4465" s="6"/>
      <c r="AF4465" s="6"/>
      <c r="AG4465" s="6"/>
      <c r="AH4465" s="6"/>
      <c r="AI4465" s="6"/>
      <c r="AJ4465" s="6"/>
      <c r="AK4465" s="6"/>
      <c r="AL4465" s="6"/>
      <c r="AM4465" s="6"/>
    </row>
    <row r="4466">
      <c r="A4466" s="6"/>
      <c r="B4466" s="6"/>
      <c r="C4466" s="6"/>
      <c r="D4466" s="6"/>
      <c r="E4466" s="6"/>
      <c r="F4466" s="6"/>
      <c r="G4466" s="6"/>
      <c r="H4466" s="6"/>
      <c r="I4466" s="6"/>
      <c r="J4466" s="6"/>
      <c r="K4466" s="6"/>
      <c r="L4466" s="6"/>
      <c r="M4466" s="6"/>
      <c r="N4466" s="6"/>
      <c r="O4466" s="6"/>
      <c r="P4466" s="6"/>
      <c r="Q4466" s="6"/>
      <c r="R4466" s="6"/>
      <c r="S4466" s="6"/>
      <c r="T4466" s="6"/>
      <c r="U4466" s="6"/>
      <c r="V4466" s="6"/>
      <c r="W4466" s="6"/>
      <c r="X4466" s="6"/>
      <c r="Y4466" s="6"/>
      <c r="Z4466" s="6"/>
      <c r="AA4466" s="6"/>
      <c r="AB4466" s="6"/>
      <c r="AC4466" s="6"/>
      <c r="AD4466" s="6"/>
      <c r="AE4466" s="6"/>
      <c r="AF4466" s="6"/>
      <c r="AG4466" s="6"/>
      <c r="AH4466" s="6"/>
      <c r="AI4466" s="6"/>
      <c r="AJ4466" s="6"/>
      <c r="AK4466" s="6"/>
      <c r="AL4466" s="6"/>
      <c r="AM4466" s="6"/>
    </row>
    <row r="4467">
      <c r="A4467" s="6"/>
      <c r="B4467" s="6"/>
      <c r="C4467" s="6"/>
      <c r="D4467" s="6"/>
      <c r="E4467" s="6"/>
      <c r="F4467" s="6"/>
      <c r="G4467" s="6"/>
      <c r="H4467" s="6"/>
      <c r="I4467" s="6"/>
      <c r="J4467" s="6"/>
      <c r="K4467" s="6"/>
      <c r="L4467" s="6"/>
      <c r="M4467" s="6"/>
      <c r="N4467" s="6"/>
      <c r="O4467" s="6"/>
      <c r="P4467" s="6"/>
      <c r="Q4467" s="6"/>
      <c r="R4467" s="6"/>
      <c r="S4467" s="6"/>
      <c r="T4467" s="6"/>
      <c r="U4467" s="6"/>
      <c r="V4467" s="6"/>
      <c r="W4467" s="6"/>
      <c r="X4467" s="6"/>
      <c r="Y4467" s="6"/>
      <c r="Z4467" s="6"/>
      <c r="AA4467" s="6"/>
      <c r="AB4467" s="6"/>
      <c r="AC4467" s="6"/>
      <c r="AD4467" s="6"/>
      <c r="AE4467" s="6"/>
      <c r="AF4467" s="6"/>
      <c r="AG4467" s="6"/>
      <c r="AH4467" s="6"/>
      <c r="AI4467" s="6"/>
      <c r="AJ4467" s="6"/>
      <c r="AK4467" s="6"/>
      <c r="AL4467" s="6"/>
      <c r="AM4467" s="6"/>
    </row>
    <row r="4468">
      <c r="A4468" s="6"/>
      <c r="B4468" s="6"/>
      <c r="C4468" s="6"/>
      <c r="D4468" s="6"/>
      <c r="E4468" s="6"/>
      <c r="F4468" s="6"/>
      <c r="G4468" s="6"/>
      <c r="H4468" s="6"/>
      <c r="I4468" s="6"/>
      <c r="J4468" s="6"/>
      <c r="K4468" s="6"/>
      <c r="L4468" s="6"/>
      <c r="M4468" s="6"/>
      <c r="N4468" s="6"/>
      <c r="O4468" s="6"/>
      <c r="P4468" s="6"/>
      <c r="Q4468" s="6"/>
      <c r="R4468" s="6"/>
      <c r="S4468" s="6"/>
      <c r="T4468" s="6"/>
      <c r="U4468" s="6"/>
      <c r="V4468" s="6"/>
      <c r="W4468" s="6"/>
      <c r="X4468" s="6"/>
      <c r="Y4468" s="6"/>
      <c r="Z4468" s="6"/>
      <c r="AA4468" s="6"/>
      <c r="AB4468" s="6"/>
      <c r="AC4468" s="6"/>
      <c r="AD4468" s="6"/>
      <c r="AE4468" s="6"/>
      <c r="AF4468" s="6"/>
      <c r="AG4468" s="6"/>
      <c r="AH4468" s="6"/>
      <c r="AI4468" s="6"/>
      <c r="AJ4468" s="6"/>
      <c r="AK4468" s="6"/>
      <c r="AL4468" s="6"/>
      <c r="AM4468" s="6"/>
    </row>
    <row r="4469">
      <c r="A4469" s="6"/>
      <c r="B4469" s="6"/>
      <c r="C4469" s="6"/>
      <c r="D4469" s="6"/>
      <c r="E4469" s="6"/>
      <c r="F4469" s="6"/>
      <c r="G4469" s="6"/>
      <c r="H4469" s="6"/>
      <c r="I4469" s="6"/>
      <c r="J4469" s="6"/>
      <c r="K4469" s="6"/>
      <c r="L4469" s="6"/>
      <c r="M4469" s="6"/>
      <c r="N4469" s="6"/>
      <c r="O4469" s="6"/>
      <c r="P4469" s="6"/>
      <c r="Q4469" s="6"/>
      <c r="R4469" s="6"/>
      <c r="S4469" s="6"/>
      <c r="T4469" s="6"/>
      <c r="U4469" s="6"/>
      <c r="V4469" s="6"/>
      <c r="W4469" s="6"/>
      <c r="X4469" s="6"/>
      <c r="Y4469" s="6"/>
      <c r="Z4469" s="6"/>
      <c r="AA4469" s="6"/>
      <c r="AB4469" s="6"/>
      <c r="AC4469" s="6"/>
      <c r="AD4469" s="6"/>
      <c r="AE4469" s="6"/>
      <c r="AF4469" s="6"/>
      <c r="AG4469" s="6"/>
      <c r="AH4469" s="6"/>
      <c r="AI4469" s="6"/>
      <c r="AJ4469" s="6"/>
      <c r="AK4469" s="6"/>
      <c r="AL4469" s="6"/>
      <c r="AM4469" s="6"/>
    </row>
    <row r="4470">
      <c r="A4470" s="6"/>
      <c r="B4470" s="6"/>
      <c r="C4470" s="6"/>
      <c r="D4470" s="6"/>
      <c r="E4470" s="6"/>
      <c r="F4470" s="6"/>
      <c r="G4470" s="6"/>
      <c r="H4470" s="6"/>
      <c r="I4470" s="6"/>
      <c r="J4470" s="6"/>
      <c r="K4470" s="6"/>
      <c r="L4470" s="6"/>
      <c r="M4470" s="6"/>
      <c r="N4470" s="6"/>
      <c r="O4470" s="6"/>
      <c r="P4470" s="6"/>
      <c r="Q4470" s="6"/>
      <c r="R4470" s="6"/>
      <c r="S4470" s="6"/>
      <c r="T4470" s="6"/>
      <c r="U4470" s="6"/>
      <c r="V4470" s="6"/>
      <c r="W4470" s="6"/>
      <c r="X4470" s="6"/>
      <c r="Y4470" s="6"/>
      <c r="Z4470" s="6"/>
      <c r="AA4470" s="6"/>
      <c r="AB4470" s="6"/>
      <c r="AC4470" s="6"/>
      <c r="AD4470" s="6"/>
      <c r="AE4470" s="6"/>
      <c r="AF4470" s="6"/>
      <c r="AG4470" s="6"/>
      <c r="AH4470" s="6"/>
      <c r="AI4470" s="6"/>
      <c r="AJ4470" s="6"/>
      <c r="AK4470" s="6"/>
      <c r="AL4470" s="6"/>
      <c r="AM4470" s="6"/>
    </row>
    <row r="4471">
      <c r="A4471" s="6"/>
      <c r="B4471" s="6"/>
      <c r="C4471" s="6"/>
      <c r="D4471" s="6"/>
      <c r="E4471" s="6"/>
      <c r="F4471" s="6"/>
      <c r="G4471" s="6"/>
      <c r="H4471" s="6"/>
      <c r="I4471" s="6"/>
      <c r="J4471" s="6"/>
      <c r="K4471" s="6"/>
      <c r="L4471" s="6"/>
      <c r="M4471" s="6"/>
      <c r="N4471" s="6"/>
      <c r="O4471" s="6"/>
      <c r="P4471" s="6"/>
      <c r="Q4471" s="6"/>
      <c r="R4471" s="6"/>
      <c r="S4471" s="6"/>
      <c r="T4471" s="6"/>
      <c r="U4471" s="6"/>
      <c r="V4471" s="6"/>
      <c r="W4471" s="6"/>
      <c r="X4471" s="6"/>
      <c r="Y4471" s="6"/>
      <c r="Z4471" s="6"/>
      <c r="AA4471" s="6"/>
      <c r="AB4471" s="6"/>
      <c r="AC4471" s="6"/>
      <c r="AD4471" s="6"/>
      <c r="AE4471" s="6"/>
      <c r="AF4471" s="6"/>
      <c r="AG4471" s="6"/>
      <c r="AH4471" s="6"/>
      <c r="AI4471" s="6"/>
      <c r="AJ4471" s="6"/>
      <c r="AK4471" s="6"/>
      <c r="AL4471" s="6"/>
      <c r="AM4471" s="6"/>
    </row>
    <row r="4472">
      <c r="A4472" s="6"/>
      <c r="B4472" s="6"/>
      <c r="C4472" s="6"/>
      <c r="D4472" s="6"/>
      <c r="E4472" s="6"/>
      <c r="F4472" s="6"/>
      <c r="G4472" s="6"/>
      <c r="H4472" s="6"/>
      <c r="I4472" s="6"/>
      <c r="J4472" s="6"/>
      <c r="K4472" s="6"/>
      <c r="L4472" s="6"/>
      <c r="M4472" s="6"/>
      <c r="N4472" s="6"/>
      <c r="O4472" s="6"/>
      <c r="P4472" s="6"/>
      <c r="Q4472" s="6"/>
      <c r="R4472" s="6"/>
      <c r="S4472" s="6"/>
      <c r="T4472" s="6"/>
      <c r="U4472" s="6"/>
      <c r="V4472" s="6"/>
      <c r="W4472" s="6"/>
      <c r="X4472" s="6"/>
      <c r="Y4472" s="6"/>
      <c r="Z4472" s="6"/>
      <c r="AA4472" s="6"/>
      <c r="AB4472" s="6"/>
      <c r="AC4472" s="6"/>
      <c r="AD4472" s="6"/>
      <c r="AE4472" s="6"/>
      <c r="AF4472" s="6"/>
      <c r="AG4472" s="6"/>
      <c r="AH4472" s="6"/>
      <c r="AI4472" s="6"/>
      <c r="AJ4472" s="6"/>
      <c r="AK4472" s="6"/>
      <c r="AL4472" s="6"/>
      <c r="AM4472" s="6"/>
    </row>
    <row r="4473">
      <c r="A4473" s="6"/>
      <c r="B4473" s="6"/>
      <c r="C4473" s="6"/>
      <c r="D4473" s="6"/>
      <c r="E4473" s="6"/>
      <c r="F4473" s="6"/>
      <c r="G4473" s="6"/>
      <c r="H4473" s="6"/>
      <c r="I4473" s="6"/>
      <c r="J4473" s="6"/>
      <c r="K4473" s="6"/>
      <c r="L4473" s="6"/>
      <c r="M4473" s="6"/>
      <c r="N4473" s="6"/>
      <c r="O4473" s="6"/>
      <c r="P4473" s="6"/>
      <c r="Q4473" s="6"/>
      <c r="R4473" s="6"/>
      <c r="S4473" s="6"/>
      <c r="T4473" s="6"/>
      <c r="U4473" s="6"/>
      <c r="V4473" s="6"/>
      <c r="W4473" s="6"/>
      <c r="X4473" s="6"/>
      <c r="Y4473" s="6"/>
      <c r="Z4473" s="6"/>
      <c r="AA4473" s="6"/>
      <c r="AB4473" s="6"/>
      <c r="AC4473" s="6"/>
      <c r="AD4473" s="6"/>
      <c r="AE4473" s="6"/>
      <c r="AF4473" s="6"/>
      <c r="AG4473" s="6"/>
      <c r="AH4473" s="6"/>
      <c r="AI4473" s="6"/>
      <c r="AJ4473" s="6"/>
      <c r="AK4473" s="6"/>
      <c r="AL4473" s="6"/>
      <c r="AM4473" s="6"/>
    </row>
    <row r="4474">
      <c r="A4474" s="6"/>
      <c r="B4474" s="6"/>
      <c r="C4474" s="6"/>
      <c r="D4474" s="6"/>
      <c r="E4474" s="6"/>
      <c r="F4474" s="6"/>
      <c r="G4474" s="6"/>
      <c r="H4474" s="6"/>
      <c r="I4474" s="6"/>
      <c r="J4474" s="6"/>
      <c r="K4474" s="6"/>
      <c r="L4474" s="6"/>
      <c r="M4474" s="6"/>
      <c r="N4474" s="6"/>
      <c r="O4474" s="6"/>
      <c r="P4474" s="6"/>
      <c r="Q4474" s="6"/>
      <c r="R4474" s="6"/>
      <c r="S4474" s="6"/>
      <c r="T4474" s="6"/>
      <c r="U4474" s="6"/>
      <c r="V4474" s="6"/>
      <c r="W4474" s="6"/>
      <c r="X4474" s="6"/>
      <c r="Y4474" s="6"/>
      <c r="Z4474" s="6"/>
      <c r="AA4474" s="6"/>
      <c r="AB4474" s="6"/>
      <c r="AC4474" s="6"/>
      <c r="AD4474" s="6"/>
      <c r="AE4474" s="6"/>
      <c r="AF4474" s="6"/>
      <c r="AG4474" s="6"/>
      <c r="AH4474" s="6"/>
      <c r="AI4474" s="6"/>
      <c r="AJ4474" s="6"/>
      <c r="AK4474" s="6"/>
      <c r="AL4474" s="6"/>
      <c r="AM4474" s="6"/>
    </row>
    <row r="4475">
      <c r="A4475" s="6"/>
      <c r="B4475" s="6"/>
      <c r="C4475" s="6"/>
      <c r="D4475" s="6"/>
      <c r="E4475" s="6"/>
      <c r="F4475" s="6"/>
      <c r="G4475" s="6"/>
      <c r="H4475" s="6"/>
      <c r="I4475" s="6"/>
      <c r="J4475" s="6"/>
      <c r="K4475" s="6"/>
      <c r="L4475" s="6"/>
      <c r="M4475" s="6"/>
      <c r="N4475" s="6"/>
      <c r="O4475" s="6"/>
      <c r="P4475" s="6"/>
      <c r="Q4475" s="6"/>
      <c r="R4475" s="6"/>
      <c r="S4475" s="6"/>
      <c r="T4475" s="6"/>
      <c r="U4475" s="6"/>
      <c r="V4475" s="6"/>
      <c r="W4475" s="6"/>
      <c r="X4475" s="6"/>
      <c r="Y4475" s="6"/>
      <c r="Z4475" s="6"/>
      <c r="AA4475" s="6"/>
      <c r="AB4475" s="6"/>
      <c r="AC4475" s="6"/>
      <c r="AD4475" s="6"/>
      <c r="AE4475" s="6"/>
      <c r="AF4475" s="6"/>
      <c r="AG4475" s="6"/>
      <c r="AH4475" s="6"/>
      <c r="AI4475" s="6"/>
      <c r="AJ4475" s="6"/>
      <c r="AK4475" s="6"/>
      <c r="AL4475" s="6"/>
      <c r="AM4475" s="6"/>
    </row>
    <row r="4476">
      <c r="A4476" s="6"/>
      <c r="B4476" s="6"/>
      <c r="C4476" s="6"/>
      <c r="D4476" s="6"/>
      <c r="E4476" s="6"/>
      <c r="F4476" s="6"/>
      <c r="G4476" s="6"/>
      <c r="H4476" s="6"/>
      <c r="I4476" s="6"/>
      <c r="J4476" s="6"/>
      <c r="K4476" s="6"/>
      <c r="L4476" s="6"/>
      <c r="M4476" s="6"/>
      <c r="N4476" s="6"/>
      <c r="O4476" s="6"/>
      <c r="P4476" s="6"/>
      <c r="Q4476" s="6"/>
      <c r="R4476" s="6"/>
      <c r="S4476" s="6"/>
      <c r="T4476" s="6"/>
      <c r="U4476" s="6"/>
      <c r="V4476" s="6"/>
      <c r="W4476" s="6"/>
      <c r="X4476" s="6"/>
      <c r="Y4476" s="6"/>
      <c r="Z4476" s="6"/>
      <c r="AA4476" s="6"/>
      <c r="AB4476" s="6"/>
      <c r="AC4476" s="6"/>
      <c r="AD4476" s="6"/>
      <c r="AE4476" s="6"/>
      <c r="AF4476" s="6"/>
      <c r="AG4476" s="6"/>
      <c r="AH4476" s="6"/>
      <c r="AI4476" s="6"/>
      <c r="AJ4476" s="6"/>
      <c r="AK4476" s="6"/>
      <c r="AL4476" s="6"/>
      <c r="AM4476" s="6"/>
    </row>
    <row r="4477">
      <c r="A4477" s="6"/>
      <c r="B4477" s="6"/>
      <c r="C4477" s="6"/>
      <c r="D4477" s="6"/>
      <c r="E4477" s="6"/>
      <c r="F4477" s="6"/>
      <c r="G4477" s="6"/>
      <c r="H4477" s="6"/>
      <c r="I4477" s="6"/>
      <c r="J4477" s="6"/>
      <c r="K4477" s="6"/>
      <c r="L4477" s="6"/>
      <c r="M4477" s="6"/>
      <c r="N4477" s="6"/>
      <c r="O4477" s="6"/>
      <c r="P4477" s="6"/>
      <c r="Q4477" s="6"/>
      <c r="R4477" s="6"/>
      <c r="S4477" s="6"/>
      <c r="T4477" s="6"/>
      <c r="U4477" s="6"/>
      <c r="V4477" s="6"/>
      <c r="W4477" s="6"/>
      <c r="X4477" s="6"/>
      <c r="Y4477" s="6"/>
      <c r="Z4477" s="6"/>
      <c r="AA4477" s="6"/>
      <c r="AB4477" s="6"/>
      <c r="AC4477" s="6"/>
      <c r="AD4477" s="6"/>
      <c r="AE4477" s="6"/>
      <c r="AF4477" s="6"/>
      <c r="AG4477" s="6"/>
      <c r="AH4477" s="6"/>
      <c r="AI4477" s="6"/>
      <c r="AJ4477" s="6"/>
      <c r="AK4477" s="6"/>
      <c r="AL4477" s="6"/>
      <c r="AM4477" s="6"/>
    </row>
    <row r="4478">
      <c r="A4478" s="6"/>
      <c r="B4478" s="6"/>
      <c r="C4478" s="6"/>
      <c r="D4478" s="6"/>
      <c r="E4478" s="6"/>
      <c r="F4478" s="6"/>
      <c r="G4478" s="6"/>
      <c r="H4478" s="6"/>
      <c r="I4478" s="6"/>
      <c r="J4478" s="6"/>
      <c r="K4478" s="6"/>
      <c r="L4478" s="6"/>
      <c r="M4478" s="6"/>
      <c r="N4478" s="6"/>
      <c r="O4478" s="6"/>
      <c r="P4478" s="6"/>
      <c r="Q4478" s="6"/>
      <c r="R4478" s="6"/>
      <c r="S4478" s="6"/>
      <c r="T4478" s="6"/>
      <c r="U4478" s="6"/>
      <c r="V4478" s="6"/>
      <c r="W4478" s="6"/>
      <c r="X4478" s="6"/>
      <c r="Y4478" s="6"/>
      <c r="Z4478" s="6"/>
      <c r="AA4478" s="6"/>
      <c r="AB4478" s="6"/>
      <c r="AC4478" s="6"/>
      <c r="AD4478" s="6"/>
      <c r="AE4478" s="6"/>
      <c r="AF4478" s="6"/>
      <c r="AG4478" s="6"/>
      <c r="AH4478" s="6"/>
      <c r="AI4478" s="6"/>
      <c r="AJ4478" s="6"/>
      <c r="AK4478" s="6"/>
      <c r="AL4478" s="6"/>
      <c r="AM4478" s="6"/>
    </row>
    <row r="4479">
      <c r="A4479" s="6"/>
      <c r="B4479" s="6"/>
      <c r="C4479" s="6"/>
      <c r="D4479" s="6"/>
      <c r="E4479" s="6"/>
      <c r="F4479" s="6"/>
      <c r="G4479" s="6"/>
      <c r="H4479" s="6"/>
      <c r="I4479" s="6"/>
      <c r="J4479" s="6"/>
      <c r="K4479" s="6"/>
      <c r="L4479" s="6"/>
      <c r="M4479" s="6"/>
      <c r="N4479" s="6"/>
      <c r="O4479" s="6"/>
      <c r="P4479" s="6"/>
      <c r="Q4479" s="6"/>
      <c r="R4479" s="6"/>
      <c r="S4479" s="6"/>
      <c r="T4479" s="6"/>
      <c r="U4479" s="6"/>
      <c r="V4479" s="6"/>
      <c r="W4479" s="6"/>
      <c r="X4479" s="6"/>
      <c r="Y4479" s="6"/>
      <c r="Z4479" s="6"/>
      <c r="AA4479" s="6"/>
      <c r="AB4479" s="6"/>
      <c r="AC4479" s="6"/>
      <c r="AD4479" s="6"/>
      <c r="AE4479" s="6"/>
      <c r="AF4479" s="6"/>
      <c r="AG4479" s="6"/>
      <c r="AH4479" s="6"/>
      <c r="AI4479" s="6"/>
      <c r="AJ4479" s="6"/>
      <c r="AK4479" s="6"/>
      <c r="AL4479" s="6"/>
      <c r="AM4479" s="6"/>
    </row>
    <row r="4480">
      <c r="A4480" s="6"/>
      <c r="B4480" s="6"/>
      <c r="C4480" s="6"/>
      <c r="D4480" s="6"/>
      <c r="E4480" s="6"/>
      <c r="F4480" s="6"/>
      <c r="G4480" s="6"/>
      <c r="H4480" s="6"/>
      <c r="I4480" s="6"/>
      <c r="J4480" s="6"/>
      <c r="K4480" s="6"/>
      <c r="L4480" s="6"/>
      <c r="M4480" s="6"/>
      <c r="N4480" s="6"/>
      <c r="O4480" s="6"/>
      <c r="P4480" s="6"/>
      <c r="Q4480" s="6"/>
      <c r="R4480" s="6"/>
      <c r="S4480" s="6"/>
      <c r="T4480" s="6"/>
      <c r="U4480" s="6"/>
      <c r="V4480" s="6"/>
      <c r="W4480" s="6"/>
      <c r="X4480" s="6"/>
      <c r="Y4480" s="6"/>
      <c r="Z4480" s="6"/>
      <c r="AA4480" s="6"/>
      <c r="AB4480" s="6"/>
      <c r="AC4480" s="6"/>
      <c r="AD4480" s="6"/>
      <c r="AE4480" s="6"/>
      <c r="AF4480" s="6"/>
      <c r="AG4480" s="6"/>
      <c r="AH4480" s="6"/>
      <c r="AI4480" s="6"/>
      <c r="AJ4480" s="6"/>
      <c r="AK4480" s="6"/>
      <c r="AL4480" s="6"/>
      <c r="AM4480" s="6"/>
    </row>
    <row r="4481">
      <c r="A4481" s="6"/>
      <c r="B4481" s="6"/>
      <c r="C4481" s="6"/>
      <c r="D4481" s="6"/>
      <c r="E4481" s="6"/>
      <c r="F4481" s="6"/>
      <c r="G4481" s="6"/>
      <c r="H4481" s="6"/>
      <c r="I4481" s="6"/>
      <c r="J4481" s="6"/>
      <c r="K4481" s="6"/>
      <c r="L4481" s="6"/>
      <c r="M4481" s="6"/>
      <c r="N4481" s="6"/>
      <c r="O4481" s="6"/>
      <c r="P4481" s="6"/>
      <c r="Q4481" s="6"/>
      <c r="R4481" s="6"/>
      <c r="S4481" s="6"/>
      <c r="T4481" s="6"/>
      <c r="U4481" s="6"/>
      <c r="V4481" s="6"/>
      <c r="W4481" s="6"/>
      <c r="X4481" s="6"/>
      <c r="Y4481" s="6"/>
      <c r="Z4481" s="6"/>
      <c r="AA4481" s="6"/>
      <c r="AB4481" s="6"/>
      <c r="AC4481" s="6"/>
      <c r="AD4481" s="6"/>
      <c r="AE4481" s="6"/>
      <c r="AF4481" s="6"/>
      <c r="AG4481" s="6"/>
      <c r="AH4481" s="6"/>
      <c r="AI4481" s="6"/>
      <c r="AJ4481" s="6"/>
      <c r="AK4481" s="6"/>
      <c r="AL4481" s="6"/>
      <c r="AM4481" s="6"/>
    </row>
    <row r="4482">
      <c r="A4482" s="6"/>
      <c r="B4482" s="6"/>
      <c r="C4482" s="6"/>
      <c r="D4482" s="6"/>
      <c r="E4482" s="6"/>
      <c r="F4482" s="6"/>
      <c r="G4482" s="6"/>
      <c r="H4482" s="6"/>
      <c r="I4482" s="6"/>
      <c r="J4482" s="6"/>
      <c r="K4482" s="6"/>
      <c r="L4482" s="6"/>
      <c r="M4482" s="6"/>
      <c r="N4482" s="6"/>
      <c r="O4482" s="6"/>
      <c r="P4482" s="6"/>
      <c r="Q4482" s="6"/>
      <c r="R4482" s="6"/>
      <c r="S4482" s="6"/>
      <c r="T4482" s="6"/>
      <c r="U4482" s="6"/>
      <c r="V4482" s="6"/>
      <c r="W4482" s="6"/>
      <c r="X4482" s="6"/>
      <c r="Y4482" s="6"/>
      <c r="Z4482" s="6"/>
      <c r="AA4482" s="6"/>
      <c r="AB4482" s="6"/>
      <c r="AC4482" s="6"/>
      <c r="AD4482" s="6"/>
      <c r="AE4482" s="6"/>
      <c r="AF4482" s="6"/>
      <c r="AG4482" s="6"/>
      <c r="AH4482" s="6"/>
      <c r="AI4482" s="6"/>
      <c r="AJ4482" s="6"/>
      <c r="AK4482" s="6"/>
      <c r="AL4482" s="6"/>
      <c r="AM4482" s="6"/>
    </row>
    <row r="4483">
      <c r="A4483" s="6"/>
      <c r="B4483" s="6"/>
      <c r="C4483" s="6"/>
      <c r="D4483" s="6"/>
      <c r="E4483" s="6"/>
      <c r="F4483" s="6"/>
      <c r="G4483" s="6"/>
      <c r="H4483" s="6"/>
      <c r="I4483" s="6"/>
      <c r="J4483" s="6"/>
      <c r="K4483" s="6"/>
      <c r="L4483" s="6"/>
      <c r="M4483" s="6"/>
      <c r="N4483" s="6"/>
      <c r="O4483" s="6"/>
      <c r="P4483" s="6"/>
      <c r="Q4483" s="6"/>
      <c r="R4483" s="6"/>
      <c r="S4483" s="6"/>
      <c r="T4483" s="6"/>
      <c r="U4483" s="6"/>
      <c r="V4483" s="6"/>
      <c r="W4483" s="6"/>
      <c r="X4483" s="6"/>
      <c r="Y4483" s="6"/>
      <c r="Z4483" s="6"/>
      <c r="AA4483" s="6"/>
      <c r="AB4483" s="6"/>
      <c r="AC4483" s="6"/>
      <c r="AD4483" s="6"/>
      <c r="AE4483" s="6"/>
      <c r="AF4483" s="6"/>
      <c r="AG4483" s="6"/>
      <c r="AH4483" s="6"/>
      <c r="AI4483" s="6"/>
      <c r="AJ4483" s="6"/>
      <c r="AK4483" s="6"/>
      <c r="AL4483" s="6"/>
      <c r="AM4483" s="6"/>
    </row>
    <row r="4484">
      <c r="A4484" s="6"/>
      <c r="B4484" s="6"/>
      <c r="C4484" s="6"/>
      <c r="D4484" s="6"/>
      <c r="E4484" s="6"/>
      <c r="F4484" s="6"/>
      <c r="G4484" s="6"/>
      <c r="H4484" s="6"/>
      <c r="I4484" s="6"/>
      <c r="J4484" s="6"/>
      <c r="K4484" s="6"/>
      <c r="L4484" s="6"/>
      <c r="M4484" s="6"/>
      <c r="N4484" s="6"/>
      <c r="O4484" s="6"/>
      <c r="P4484" s="6"/>
      <c r="Q4484" s="6"/>
      <c r="R4484" s="6"/>
      <c r="S4484" s="6"/>
      <c r="T4484" s="6"/>
      <c r="U4484" s="6"/>
      <c r="V4484" s="6"/>
      <c r="W4484" s="6"/>
      <c r="X4484" s="6"/>
      <c r="Y4484" s="6"/>
      <c r="Z4484" s="6"/>
      <c r="AA4484" s="6"/>
      <c r="AB4484" s="6"/>
      <c r="AC4484" s="6"/>
      <c r="AD4484" s="6"/>
      <c r="AE4484" s="6"/>
      <c r="AF4484" s="6"/>
      <c r="AG4484" s="6"/>
      <c r="AH4484" s="6"/>
      <c r="AI4484" s="6"/>
      <c r="AJ4484" s="6"/>
      <c r="AK4484" s="6"/>
      <c r="AL4484" s="6"/>
      <c r="AM4484" s="6"/>
    </row>
    <row r="4485">
      <c r="A4485" s="6"/>
      <c r="B4485" s="6"/>
      <c r="C4485" s="6"/>
      <c r="D4485" s="6"/>
      <c r="E4485" s="6"/>
      <c r="F4485" s="6"/>
      <c r="G4485" s="6"/>
      <c r="H4485" s="6"/>
      <c r="I4485" s="6"/>
      <c r="J4485" s="6"/>
      <c r="K4485" s="6"/>
      <c r="L4485" s="6"/>
      <c r="M4485" s="6"/>
      <c r="N4485" s="6"/>
      <c r="O4485" s="6"/>
      <c r="P4485" s="6"/>
      <c r="Q4485" s="6"/>
      <c r="R4485" s="6"/>
      <c r="S4485" s="6"/>
      <c r="T4485" s="6"/>
      <c r="U4485" s="6"/>
      <c r="V4485" s="6"/>
      <c r="W4485" s="6"/>
      <c r="X4485" s="6"/>
      <c r="Y4485" s="6"/>
      <c r="Z4485" s="6"/>
      <c r="AA4485" s="6"/>
      <c r="AB4485" s="6"/>
      <c r="AC4485" s="6"/>
      <c r="AD4485" s="6"/>
      <c r="AE4485" s="6"/>
      <c r="AF4485" s="6"/>
      <c r="AG4485" s="6"/>
      <c r="AH4485" s="6"/>
      <c r="AI4485" s="6"/>
      <c r="AJ4485" s="6"/>
      <c r="AK4485" s="6"/>
      <c r="AL4485" s="6"/>
      <c r="AM4485" s="6"/>
    </row>
    <row r="4486">
      <c r="A4486" s="6"/>
      <c r="B4486" s="6"/>
      <c r="C4486" s="6"/>
      <c r="D4486" s="6"/>
      <c r="E4486" s="6"/>
      <c r="F4486" s="6"/>
      <c r="G4486" s="6"/>
      <c r="H4486" s="6"/>
      <c r="I4486" s="6"/>
      <c r="J4486" s="6"/>
      <c r="K4486" s="6"/>
      <c r="L4486" s="6"/>
      <c r="M4486" s="6"/>
      <c r="N4486" s="6"/>
      <c r="O4486" s="6"/>
      <c r="P4486" s="6"/>
      <c r="Q4486" s="6"/>
      <c r="R4486" s="6"/>
      <c r="S4486" s="6"/>
      <c r="T4486" s="6"/>
      <c r="U4486" s="6"/>
      <c r="V4486" s="6"/>
      <c r="W4486" s="6"/>
      <c r="X4486" s="6"/>
      <c r="Y4486" s="6"/>
      <c r="Z4486" s="6"/>
      <c r="AA4486" s="6"/>
      <c r="AB4486" s="6"/>
      <c r="AC4486" s="6"/>
      <c r="AD4486" s="6"/>
      <c r="AE4486" s="6"/>
      <c r="AF4486" s="6"/>
      <c r="AG4486" s="6"/>
      <c r="AH4486" s="6"/>
      <c r="AI4486" s="6"/>
      <c r="AJ4486" s="6"/>
      <c r="AK4486" s="6"/>
      <c r="AL4486" s="6"/>
      <c r="AM4486" s="6"/>
    </row>
    <row r="4487">
      <c r="A4487" s="6"/>
      <c r="B4487" s="6"/>
      <c r="C4487" s="6"/>
      <c r="D4487" s="6"/>
      <c r="E4487" s="6"/>
      <c r="F4487" s="6"/>
      <c r="G4487" s="6"/>
      <c r="H4487" s="6"/>
      <c r="I4487" s="6"/>
      <c r="J4487" s="6"/>
      <c r="K4487" s="6"/>
      <c r="L4487" s="6"/>
      <c r="M4487" s="6"/>
      <c r="N4487" s="6"/>
      <c r="O4487" s="6"/>
      <c r="P4487" s="6"/>
      <c r="Q4487" s="6"/>
      <c r="R4487" s="6"/>
      <c r="S4487" s="6"/>
      <c r="T4487" s="6"/>
      <c r="U4487" s="6"/>
      <c r="V4487" s="6"/>
      <c r="W4487" s="6"/>
      <c r="X4487" s="6"/>
      <c r="Y4487" s="6"/>
      <c r="Z4487" s="6"/>
      <c r="AA4487" s="6"/>
      <c r="AB4487" s="6"/>
      <c r="AC4487" s="6"/>
      <c r="AD4487" s="6"/>
      <c r="AE4487" s="6"/>
      <c r="AF4487" s="6"/>
      <c r="AG4487" s="6"/>
      <c r="AH4487" s="6"/>
      <c r="AI4487" s="6"/>
      <c r="AJ4487" s="6"/>
      <c r="AK4487" s="6"/>
      <c r="AL4487" s="6"/>
      <c r="AM4487" s="6"/>
    </row>
    <row r="4488">
      <c r="A4488" s="6"/>
      <c r="B4488" s="6"/>
      <c r="C4488" s="6"/>
      <c r="D4488" s="6"/>
      <c r="E4488" s="6"/>
      <c r="F4488" s="6"/>
      <c r="G4488" s="6"/>
      <c r="H4488" s="6"/>
      <c r="I4488" s="6"/>
      <c r="J4488" s="6"/>
      <c r="K4488" s="6"/>
      <c r="L4488" s="6"/>
      <c r="M4488" s="6"/>
      <c r="N4488" s="6"/>
      <c r="O4488" s="6"/>
      <c r="P4488" s="6"/>
      <c r="Q4488" s="6"/>
      <c r="R4488" s="6"/>
      <c r="S4488" s="6"/>
      <c r="T4488" s="6"/>
      <c r="U4488" s="6"/>
      <c r="V4488" s="6"/>
      <c r="W4488" s="6"/>
      <c r="X4488" s="6"/>
      <c r="Y4488" s="6"/>
      <c r="Z4488" s="6"/>
      <c r="AA4488" s="6"/>
      <c r="AB4488" s="6"/>
      <c r="AC4488" s="6"/>
      <c r="AD4488" s="6"/>
      <c r="AE4488" s="6"/>
      <c r="AF4488" s="6"/>
      <c r="AG4488" s="6"/>
      <c r="AH4488" s="6"/>
      <c r="AI4488" s="6"/>
      <c r="AJ4488" s="6"/>
      <c r="AK4488" s="6"/>
      <c r="AL4488" s="6"/>
      <c r="AM4488" s="6"/>
    </row>
    <row r="4489">
      <c r="A4489" s="6"/>
      <c r="B4489" s="6"/>
      <c r="C4489" s="6"/>
      <c r="D4489" s="6"/>
      <c r="E4489" s="6"/>
      <c r="F4489" s="6"/>
      <c r="G4489" s="6"/>
      <c r="H4489" s="6"/>
      <c r="I4489" s="6"/>
      <c r="J4489" s="6"/>
      <c r="K4489" s="6"/>
      <c r="L4489" s="6"/>
      <c r="M4489" s="6"/>
      <c r="N4489" s="6"/>
      <c r="O4489" s="6"/>
      <c r="P4489" s="6"/>
      <c r="Q4489" s="6"/>
      <c r="R4489" s="6"/>
      <c r="S4489" s="6"/>
      <c r="T4489" s="6"/>
      <c r="U4489" s="6"/>
      <c r="V4489" s="6"/>
      <c r="W4489" s="6"/>
      <c r="X4489" s="6"/>
      <c r="Y4489" s="6"/>
      <c r="Z4489" s="6"/>
      <c r="AA4489" s="6"/>
      <c r="AB4489" s="6"/>
      <c r="AC4489" s="6"/>
      <c r="AD4489" s="6"/>
      <c r="AE4489" s="6"/>
      <c r="AF4489" s="6"/>
      <c r="AG4489" s="6"/>
      <c r="AH4489" s="6"/>
      <c r="AI4489" s="6"/>
      <c r="AJ4489" s="6"/>
      <c r="AK4489" s="6"/>
      <c r="AL4489" s="6"/>
      <c r="AM4489" s="6"/>
    </row>
    <row r="4490">
      <c r="A4490" s="6"/>
      <c r="B4490" s="6"/>
      <c r="C4490" s="6"/>
      <c r="D4490" s="6"/>
      <c r="E4490" s="6"/>
      <c r="F4490" s="6"/>
      <c r="G4490" s="6"/>
      <c r="H4490" s="6"/>
      <c r="I4490" s="6"/>
      <c r="J4490" s="6"/>
      <c r="K4490" s="6"/>
      <c r="L4490" s="6"/>
      <c r="M4490" s="6"/>
      <c r="N4490" s="6"/>
      <c r="O4490" s="6"/>
      <c r="P4490" s="6"/>
      <c r="Q4490" s="6"/>
      <c r="R4490" s="6"/>
      <c r="S4490" s="6"/>
      <c r="T4490" s="6"/>
      <c r="U4490" s="6"/>
      <c r="V4490" s="6"/>
      <c r="W4490" s="6"/>
      <c r="X4490" s="6"/>
      <c r="Y4490" s="6"/>
      <c r="Z4490" s="6"/>
      <c r="AA4490" s="6"/>
      <c r="AB4490" s="6"/>
      <c r="AC4490" s="6"/>
      <c r="AD4490" s="6"/>
      <c r="AE4490" s="6"/>
      <c r="AF4490" s="6"/>
      <c r="AG4490" s="6"/>
      <c r="AH4490" s="6"/>
      <c r="AI4490" s="6"/>
      <c r="AJ4490" s="6"/>
      <c r="AK4490" s="6"/>
      <c r="AL4490" s="6"/>
      <c r="AM4490" s="6"/>
    </row>
    <row r="4491">
      <c r="A4491" s="6"/>
      <c r="B4491" s="6"/>
      <c r="C4491" s="6"/>
      <c r="D4491" s="6"/>
      <c r="E4491" s="6"/>
      <c r="F4491" s="6"/>
      <c r="G4491" s="6"/>
      <c r="H4491" s="6"/>
      <c r="I4491" s="6"/>
      <c r="J4491" s="6"/>
      <c r="K4491" s="6"/>
      <c r="L4491" s="6"/>
      <c r="M4491" s="6"/>
      <c r="N4491" s="6"/>
      <c r="O4491" s="6"/>
      <c r="P4491" s="6"/>
      <c r="Q4491" s="6"/>
      <c r="R4491" s="6"/>
      <c r="S4491" s="6"/>
      <c r="T4491" s="6"/>
      <c r="U4491" s="6"/>
      <c r="V4491" s="6"/>
      <c r="W4491" s="6"/>
      <c r="X4491" s="6"/>
      <c r="Y4491" s="6"/>
      <c r="Z4491" s="6"/>
      <c r="AA4491" s="6"/>
      <c r="AB4491" s="6"/>
      <c r="AC4491" s="6"/>
      <c r="AD4491" s="6"/>
      <c r="AE4491" s="6"/>
      <c r="AF4491" s="6"/>
      <c r="AG4491" s="6"/>
      <c r="AH4491" s="6"/>
      <c r="AI4491" s="6"/>
      <c r="AJ4491" s="6"/>
      <c r="AK4491" s="6"/>
      <c r="AL4491" s="6"/>
      <c r="AM4491" s="6"/>
    </row>
    <row r="4492">
      <c r="A4492" s="6"/>
      <c r="B4492" s="6"/>
      <c r="C4492" s="6"/>
      <c r="D4492" s="6"/>
      <c r="E4492" s="6"/>
      <c r="F4492" s="6"/>
      <c r="G4492" s="6"/>
      <c r="H4492" s="6"/>
      <c r="I4492" s="6"/>
      <c r="J4492" s="6"/>
      <c r="K4492" s="6"/>
      <c r="L4492" s="6"/>
      <c r="M4492" s="6"/>
      <c r="N4492" s="6"/>
      <c r="O4492" s="6"/>
      <c r="P4492" s="6"/>
      <c r="Q4492" s="6"/>
      <c r="R4492" s="6"/>
      <c r="S4492" s="6"/>
      <c r="T4492" s="6"/>
      <c r="U4492" s="6"/>
      <c r="V4492" s="6"/>
      <c r="W4492" s="6"/>
      <c r="X4492" s="6"/>
      <c r="Y4492" s="6"/>
      <c r="Z4492" s="6"/>
      <c r="AA4492" s="6"/>
      <c r="AB4492" s="6"/>
      <c r="AC4492" s="6"/>
      <c r="AD4492" s="6"/>
      <c r="AE4492" s="6"/>
      <c r="AF4492" s="6"/>
      <c r="AG4492" s="6"/>
      <c r="AH4492" s="6"/>
      <c r="AI4492" s="6"/>
      <c r="AJ4492" s="6"/>
      <c r="AK4492" s="6"/>
      <c r="AL4492" s="6"/>
      <c r="AM4492" s="6"/>
    </row>
    <row r="4493">
      <c r="A4493" s="6"/>
      <c r="B4493" s="6"/>
      <c r="C4493" s="6"/>
      <c r="D4493" s="6"/>
      <c r="E4493" s="6"/>
      <c r="F4493" s="6"/>
      <c r="G4493" s="6"/>
      <c r="H4493" s="6"/>
      <c r="I4493" s="6"/>
      <c r="J4493" s="6"/>
      <c r="K4493" s="6"/>
      <c r="L4493" s="6"/>
      <c r="M4493" s="6"/>
      <c r="N4493" s="6"/>
      <c r="O4493" s="6"/>
      <c r="P4493" s="6"/>
      <c r="Q4493" s="6"/>
      <c r="R4493" s="6"/>
      <c r="S4493" s="6"/>
      <c r="T4493" s="6"/>
      <c r="U4493" s="6"/>
      <c r="V4493" s="6"/>
      <c r="W4493" s="6"/>
      <c r="X4493" s="6"/>
      <c r="Y4493" s="6"/>
      <c r="Z4493" s="6"/>
      <c r="AA4493" s="6"/>
      <c r="AB4493" s="6"/>
      <c r="AC4493" s="6"/>
      <c r="AD4493" s="6"/>
      <c r="AE4493" s="6"/>
      <c r="AF4493" s="6"/>
      <c r="AG4493" s="6"/>
      <c r="AH4493" s="6"/>
      <c r="AI4493" s="6"/>
      <c r="AJ4493" s="6"/>
      <c r="AK4493" s="6"/>
      <c r="AL4493" s="6"/>
      <c r="AM4493" s="6"/>
    </row>
    <row r="4494">
      <c r="A4494" s="6"/>
      <c r="B4494" s="6"/>
      <c r="C4494" s="6"/>
      <c r="D4494" s="6"/>
      <c r="E4494" s="6"/>
      <c r="F4494" s="6"/>
      <c r="G4494" s="6"/>
      <c r="H4494" s="6"/>
      <c r="I4494" s="6"/>
      <c r="J4494" s="6"/>
      <c r="K4494" s="6"/>
      <c r="L4494" s="6"/>
      <c r="M4494" s="6"/>
      <c r="N4494" s="6"/>
      <c r="O4494" s="6"/>
      <c r="P4494" s="6"/>
      <c r="Q4494" s="6"/>
      <c r="R4494" s="6"/>
      <c r="S4494" s="6"/>
      <c r="T4494" s="6"/>
      <c r="U4494" s="6"/>
      <c r="V4494" s="6"/>
      <c r="W4494" s="6"/>
      <c r="X4494" s="6"/>
      <c r="Y4494" s="6"/>
      <c r="Z4494" s="6"/>
      <c r="AA4494" s="6"/>
      <c r="AB4494" s="6"/>
      <c r="AC4494" s="6"/>
      <c r="AD4494" s="6"/>
      <c r="AE4494" s="6"/>
      <c r="AF4494" s="6"/>
      <c r="AG4494" s="6"/>
      <c r="AH4494" s="6"/>
      <c r="AI4494" s="6"/>
      <c r="AJ4494" s="6"/>
      <c r="AK4494" s="6"/>
      <c r="AL4494" s="6"/>
      <c r="AM4494" s="6"/>
    </row>
    <row r="4495">
      <c r="A4495" s="6"/>
      <c r="B4495" s="6"/>
      <c r="C4495" s="6"/>
      <c r="D4495" s="6"/>
      <c r="E4495" s="6"/>
      <c r="F4495" s="6"/>
      <c r="G4495" s="6"/>
      <c r="H4495" s="6"/>
      <c r="I4495" s="6"/>
      <c r="J4495" s="6"/>
      <c r="K4495" s="6"/>
      <c r="L4495" s="6"/>
      <c r="M4495" s="6"/>
      <c r="N4495" s="6"/>
      <c r="O4495" s="6"/>
      <c r="P4495" s="6"/>
      <c r="Q4495" s="6"/>
      <c r="R4495" s="6"/>
      <c r="S4495" s="6"/>
      <c r="T4495" s="6"/>
      <c r="U4495" s="6"/>
      <c r="V4495" s="6"/>
      <c r="W4495" s="6"/>
      <c r="X4495" s="6"/>
      <c r="Y4495" s="6"/>
      <c r="Z4495" s="6"/>
      <c r="AA4495" s="6"/>
      <c r="AB4495" s="6"/>
      <c r="AC4495" s="6"/>
      <c r="AD4495" s="6"/>
      <c r="AE4495" s="6"/>
      <c r="AF4495" s="6"/>
      <c r="AG4495" s="6"/>
      <c r="AH4495" s="6"/>
      <c r="AI4495" s="6"/>
      <c r="AJ4495" s="6"/>
      <c r="AK4495" s="6"/>
      <c r="AL4495" s="6"/>
      <c r="AM4495" s="6"/>
    </row>
    <row r="4496">
      <c r="A4496" s="6"/>
      <c r="B4496" s="6"/>
      <c r="C4496" s="6"/>
      <c r="D4496" s="6"/>
      <c r="E4496" s="6"/>
      <c r="F4496" s="6"/>
      <c r="G4496" s="6"/>
      <c r="H4496" s="6"/>
      <c r="I4496" s="6"/>
      <c r="J4496" s="6"/>
      <c r="K4496" s="6"/>
      <c r="L4496" s="6"/>
      <c r="M4496" s="6"/>
      <c r="N4496" s="6"/>
      <c r="O4496" s="6"/>
      <c r="P4496" s="6"/>
      <c r="Q4496" s="6"/>
      <c r="R4496" s="6"/>
      <c r="S4496" s="6"/>
      <c r="T4496" s="6"/>
      <c r="U4496" s="6"/>
      <c r="V4496" s="6"/>
      <c r="W4496" s="6"/>
      <c r="X4496" s="6"/>
      <c r="Y4496" s="6"/>
      <c r="Z4496" s="6"/>
      <c r="AA4496" s="6"/>
      <c r="AB4496" s="6"/>
      <c r="AC4496" s="6"/>
      <c r="AD4496" s="6"/>
      <c r="AE4496" s="6"/>
      <c r="AF4496" s="6"/>
      <c r="AG4496" s="6"/>
      <c r="AH4496" s="6"/>
      <c r="AI4496" s="6"/>
      <c r="AJ4496" s="6"/>
      <c r="AK4496" s="6"/>
      <c r="AL4496" s="6"/>
      <c r="AM4496" s="6"/>
    </row>
    <row r="4497">
      <c r="A4497" s="6"/>
      <c r="B4497" s="6"/>
      <c r="C4497" s="6"/>
      <c r="D4497" s="6"/>
      <c r="E4497" s="6"/>
      <c r="F4497" s="6"/>
      <c r="G4497" s="6"/>
      <c r="H4497" s="6"/>
      <c r="I4497" s="6"/>
      <c r="J4497" s="6"/>
      <c r="K4497" s="6"/>
      <c r="L4497" s="6"/>
      <c r="M4497" s="6"/>
      <c r="N4497" s="6"/>
      <c r="O4497" s="6"/>
      <c r="P4497" s="6"/>
      <c r="Q4497" s="6"/>
      <c r="R4497" s="6"/>
      <c r="S4497" s="6"/>
      <c r="T4497" s="6"/>
      <c r="U4497" s="6"/>
      <c r="V4497" s="6"/>
      <c r="W4497" s="6"/>
      <c r="X4497" s="6"/>
      <c r="Y4497" s="6"/>
      <c r="Z4497" s="6"/>
      <c r="AA4497" s="6"/>
      <c r="AB4497" s="6"/>
      <c r="AC4497" s="6"/>
      <c r="AD4497" s="6"/>
      <c r="AE4497" s="6"/>
      <c r="AF4497" s="6"/>
      <c r="AG4497" s="6"/>
      <c r="AH4497" s="6"/>
      <c r="AI4497" s="6"/>
      <c r="AJ4497" s="6"/>
      <c r="AK4497" s="6"/>
      <c r="AL4497" s="6"/>
      <c r="AM4497" s="6"/>
    </row>
    <row r="4498">
      <c r="A4498" s="6"/>
      <c r="B4498" s="6"/>
      <c r="C4498" s="6"/>
      <c r="D4498" s="6"/>
      <c r="E4498" s="6"/>
      <c r="F4498" s="6"/>
      <c r="G4498" s="6"/>
      <c r="H4498" s="6"/>
      <c r="I4498" s="6"/>
      <c r="J4498" s="6"/>
      <c r="K4498" s="6"/>
      <c r="L4498" s="6"/>
      <c r="M4498" s="6"/>
      <c r="N4498" s="6"/>
      <c r="O4498" s="6"/>
      <c r="P4498" s="6"/>
      <c r="Q4498" s="6"/>
      <c r="R4498" s="6"/>
      <c r="S4498" s="6"/>
      <c r="T4498" s="6"/>
      <c r="U4498" s="6"/>
      <c r="V4498" s="6"/>
      <c r="W4498" s="6"/>
      <c r="X4498" s="6"/>
      <c r="Y4498" s="6"/>
      <c r="Z4498" s="6"/>
      <c r="AA4498" s="6"/>
      <c r="AB4498" s="6"/>
      <c r="AC4498" s="6"/>
      <c r="AD4498" s="6"/>
      <c r="AE4498" s="6"/>
      <c r="AF4498" s="6"/>
      <c r="AG4498" s="6"/>
      <c r="AH4498" s="6"/>
      <c r="AI4498" s="6"/>
      <c r="AJ4498" s="6"/>
      <c r="AK4498" s="6"/>
      <c r="AL4498" s="6"/>
      <c r="AM4498" s="6"/>
    </row>
    <row r="4499">
      <c r="A4499" s="6"/>
      <c r="B4499" s="6"/>
      <c r="C4499" s="6"/>
      <c r="D4499" s="6"/>
      <c r="E4499" s="6"/>
      <c r="F4499" s="6"/>
      <c r="G4499" s="6"/>
      <c r="H4499" s="6"/>
      <c r="I4499" s="6"/>
      <c r="J4499" s="6"/>
      <c r="K4499" s="6"/>
      <c r="L4499" s="6"/>
      <c r="M4499" s="6"/>
      <c r="N4499" s="6"/>
      <c r="O4499" s="6"/>
      <c r="P4499" s="6"/>
      <c r="Q4499" s="6"/>
      <c r="R4499" s="6"/>
      <c r="S4499" s="6"/>
      <c r="T4499" s="6"/>
      <c r="U4499" s="6"/>
      <c r="V4499" s="6"/>
      <c r="W4499" s="6"/>
      <c r="X4499" s="6"/>
      <c r="Y4499" s="6"/>
      <c r="Z4499" s="6"/>
      <c r="AA4499" s="6"/>
      <c r="AB4499" s="6"/>
      <c r="AC4499" s="6"/>
      <c r="AD4499" s="6"/>
      <c r="AE4499" s="6"/>
      <c r="AF4499" s="6"/>
      <c r="AG4499" s="6"/>
      <c r="AH4499" s="6"/>
      <c r="AI4499" s="6"/>
      <c r="AJ4499" s="6"/>
      <c r="AK4499" s="6"/>
      <c r="AL4499" s="6"/>
      <c r="AM4499" s="6"/>
    </row>
    <row r="4500">
      <c r="A4500" s="6"/>
      <c r="B4500" s="6"/>
      <c r="C4500" s="6"/>
      <c r="D4500" s="6"/>
      <c r="E4500" s="6"/>
      <c r="F4500" s="6"/>
      <c r="G4500" s="6"/>
      <c r="H4500" s="6"/>
      <c r="I4500" s="6"/>
      <c r="J4500" s="6"/>
      <c r="K4500" s="6"/>
      <c r="L4500" s="6"/>
      <c r="M4500" s="6"/>
      <c r="N4500" s="6"/>
      <c r="O4500" s="6"/>
      <c r="P4500" s="6"/>
      <c r="Q4500" s="6"/>
      <c r="R4500" s="6"/>
      <c r="S4500" s="6"/>
      <c r="T4500" s="6"/>
      <c r="U4500" s="6"/>
      <c r="V4500" s="6"/>
      <c r="W4500" s="6"/>
      <c r="X4500" s="6"/>
      <c r="Y4500" s="6"/>
      <c r="Z4500" s="6"/>
      <c r="AA4500" s="6"/>
      <c r="AB4500" s="6"/>
      <c r="AC4500" s="6"/>
      <c r="AD4500" s="6"/>
      <c r="AE4500" s="6"/>
      <c r="AF4500" s="6"/>
      <c r="AG4500" s="6"/>
      <c r="AH4500" s="6"/>
      <c r="AI4500" s="6"/>
      <c r="AJ4500" s="6"/>
      <c r="AK4500" s="6"/>
      <c r="AL4500" s="6"/>
      <c r="AM4500" s="6"/>
    </row>
    <row r="4501">
      <c r="A4501" s="6"/>
      <c r="B4501" s="6"/>
      <c r="C4501" s="6"/>
      <c r="D4501" s="6"/>
      <c r="E4501" s="6"/>
      <c r="F4501" s="6"/>
      <c r="G4501" s="6"/>
      <c r="H4501" s="6"/>
      <c r="I4501" s="6"/>
      <c r="J4501" s="6"/>
      <c r="K4501" s="6"/>
      <c r="L4501" s="6"/>
      <c r="M4501" s="6"/>
      <c r="N4501" s="6"/>
      <c r="O4501" s="6"/>
      <c r="P4501" s="6"/>
      <c r="Q4501" s="6"/>
      <c r="R4501" s="6"/>
      <c r="S4501" s="6"/>
      <c r="T4501" s="6"/>
      <c r="U4501" s="6"/>
      <c r="V4501" s="6"/>
      <c r="W4501" s="6"/>
      <c r="X4501" s="6"/>
      <c r="Y4501" s="6"/>
      <c r="Z4501" s="6"/>
      <c r="AA4501" s="6"/>
      <c r="AB4501" s="6"/>
      <c r="AC4501" s="6"/>
      <c r="AD4501" s="6"/>
      <c r="AE4501" s="6"/>
      <c r="AF4501" s="6"/>
      <c r="AG4501" s="6"/>
      <c r="AH4501" s="6"/>
      <c r="AI4501" s="6"/>
      <c r="AJ4501" s="6"/>
      <c r="AK4501" s="6"/>
      <c r="AL4501" s="6"/>
      <c r="AM4501" s="6"/>
    </row>
    <row r="4502">
      <c r="A4502" s="6"/>
      <c r="B4502" s="6"/>
      <c r="C4502" s="6"/>
      <c r="D4502" s="6"/>
      <c r="E4502" s="6"/>
      <c r="F4502" s="6"/>
      <c r="G4502" s="6"/>
      <c r="H4502" s="6"/>
      <c r="I4502" s="6"/>
      <c r="J4502" s="6"/>
      <c r="K4502" s="6"/>
      <c r="L4502" s="6"/>
      <c r="M4502" s="6"/>
      <c r="N4502" s="6"/>
      <c r="O4502" s="6"/>
      <c r="P4502" s="6"/>
      <c r="Q4502" s="6"/>
      <c r="R4502" s="6"/>
      <c r="S4502" s="6"/>
      <c r="T4502" s="6"/>
      <c r="U4502" s="6"/>
      <c r="V4502" s="6"/>
      <c r="W4502" s="6"/>
      <c r="X4502" s="6"/>
      <c r="Y4502" s="6"/>
      <c r="Z4502" s="6"/>
      <c r="AA4502" s="6"/>
      <c r="AB4502" s="6"/>
      <c r="AC4502" s="6"/>
      <c r="AD4502" s="6"/>
      <c r="AE4502" s="6"/>
      <c r="AF4502" s="6"/>
      <c r="AG4502" s="6"/>
      <c r="AH4502" s="6"/>
      <c r="AI4502" s="6"/>
      <c r="AJ4502" s="6"/>
      <c r="AK4502" s="6"/>
      <c r="AL4502" s="6"/>
      <c r="AM4502" s="6"/>
    </row>
    <row r="4503">
      <c r="A4503" s="6"/>
      <c r="B4503" s="6"/>
      <c r="C4503" s="6"/>
      <c r="D4503" s="6"/>
      <c r="E4503" s="6"/>
      <c r="F4503" s="6"/>
      <c r="G4503" s="6"/>
      <c r="H4503" s="6"/>
      <c r="I4503" s="6"/>
      <c r="J4503" s="6"/>
      <c r="K4503" s="6"/>
      <c r="L4503" s="6"/>
      <c r="M4503" s="6"/>
      <c r="N4503" s="6"/>
      <c r="O4503" s="6"/>
      <c r="P4503" s="6"/>
      <c r="Q4503" s="6"/>
      <c r="R4503" s="6"/>
      <c r="S4503" s="6"/>
      <c r="T4503" s="6"/>
      <c r="U4503" s="6"/>
      <c r="V4503" s="6"/>
      <c r="W4503" s="6"/>
      <c r="X4503" s="6"/>
      <c r="Y4503" s="6"/>
      <c r="Z4503" s="6"/>
      <c r="AA4503" s="6"/>
      <c r="AB4503" s="6"/>
      <c r="AC4503" s="6"/>
      <c r="AD4503" s="6"/>
      <c r="AE4503" s="6"/>
      <c r="AF4503" s="6"/>
      <c r="AG4503" s="6"/>
      <c r="AH4503" s="6"/>
      <c r="AI4503" s="6"/>
      <c r="AJ4503" s="6"/>
      <c r="AK4503" s="6"/>
      <c r="AL4503" s="6"/>
      <c r="AM4503" s="6"/>
    </row>
    <row r="4504">
      <c r="A4504" s="6"/>
      <c r="B4504" s="6"/>
      <c r="C4504" s="6"/>
      <c r="D4504" s="6"/>
      <c r="E4504" s="6"/>
      <c r="F4504" s="6"/>
      <c r="G4504" s="6"/>
      <c r="H4504" s="6"/>
      <c r="I4504" s="6"/>
      <c r="J4504" s="6"/>
      <c r="K4504" s="6"/>
      <c r="L4504" s="6"/>
      <c r="M4504" s="6"/>
      <c r="N4504" s="6"/>
      <c r="O4504" s="6"/>
      <c r="P4504" s="6"/>
      <c r="Q4504" s="6"/>
      <c r="R4504" s="6"/>
      <c r="S4504" s="6"/>
      <c r="T4504" s="6"/>
      <c r="U4504" s="6"/>
      <c r="V4504" s="6"/>
      <c r="W4504" s="6"/>
      <c r="X4504" s="6"/>
      <c r="Y4504" s="6"/>
      <c r="Z4504" s="6"/>
      <c r="AA4504" s="6"/>
      <c r="AB4504" s="6"/>
      <c r="AC4504" s="6"/>
      <c r="AD4504" s="6"/>
      <c r="AE4504" s="6"/>
      <c r="AF4504" s="6"/>
      <c r="AG4504" s="6"/>
      <c r="AH4504" s="6"/>
      <c r="AI4504" s="6"/>
      <c r="AJ4504" s="6"/>
      <c r="AK4504" s="6"/>
      <c r="AL4504" s="6"/>
      <c r="AM4504" s="6"/>
    </row>
    <row r="4505">
      <c r="A4505" s="6"/>
      <c r="B4505" s="6"/>
      <c r="C4505" s="6"/>
      <c r="D4505" s="6"/>
      <c r="E4505" s="6"/>
      <c r="F4505" s="6"/>
      <c r="G4505" s="6"/>
      <c r="H4505" s="6"/>
      <c r="I4505" s="6"/>
      <c r="J4505" s="6"/>
      <c r="K4505" s="6"/>
      <c r="L4505" s="6"/>
      <c r="M4505" s="6"/>
      <c r="N4505" s="6"/>
      <c r="O4505" s="6"/>
      <c r="P4505" s="6"/>
      <c r="Q4505" s="6"/>
      <c r="R4505" s="6"/>
      <c r="S4505" s="6"/>
      <c r="T4505" s="6"/>
      <c r="U4505" s="6"/>
      <c r="V4505" s="6"/>
      <c r="W4505" s="6"/>
      <c r="X4505" s="6"/>
      <c r="Y4505" s="6"/>
      <c r="Z4505" s="6"/>
      <c r="AA4505" s="6"/>
      <c r="AB4505" s="6"/>
      <c r="AC4505" s="6"/>
      <c r="AD4505" s="6"/>
      <c r="AE4505" s="6"/>
      <c r="AF4505" s="6"/>
      <c r="AG4505" s="6"/>
      <c r="AH4505" s="6"/>
      <c r="AI4505" s="6"/>
      <c r="AJ4505" s="6"/>
      <c r="AK4505" s="6"/>
      <c r="AL4505" s="6"/>
      <c r="AM4505" s="6"/>
    </row>
    <row r="4506">
      <c r="A4506" s="6"/>
      <c r="B4506" s="6"/>
      <c r="C4506" s="6"/>
      <c r="D4506" s="6"/>
      <c r="E4506" s="6"/>
      <c r="F4506" s="6"/>
      <c r="G4506" s="6"/>
      <c r="H4506" s="6"/>
      <c r="I4506" s="6"/>
      <c r="J4506" s="6"/>
      <c r="K4506" s="6"/>
      <c r="L4506" s="6"/>
      <c r="M4506" s="6"/>
      <c r="N4506" s="6"/>
      <c r="O4506" s="6"/>
      <c r="P4506" s="6"/>
      <c r="Q4506" s="6"/>
      <c r="R4506" s="6"/>
      <c r="S4506" s="6"/>
      <c r="T4506" s="6"/>
      <c r="U4506" s="6"/>
      <c r="V4506" s="6"/>
      <c r="W4506" s="6"/>
      <c r="X4506" s="6"/>
      <c r="Y4506" s="6"/>
      <c r="Z4506" s="6"/>
      <c r="AA4506" s="6"/>
      <c r="AB4506" s="6"/>
      <c r="AC4506" s="6"/>
      <c r="AD4506" s="6"/>
      <c r="AE4506" s="6"/>
      <c r="AF4506" s="6"/>
      <c r="AG4506" s="6"/>
      <c r="AH4506" s="6"/>
      <c r="AI4506" s="6"/>
      <c r="AJ4506" s="6"/>
      <c r="AK4506" s="6"/>
      <c r="AL4506" s="6"/>
      <c r="AM4506" s="6"/>
    </row>
    <row r="4507">
      <c r="A4507" s="6"/>
      <c r="B4507" s="6"/>
      <c r="C4507" s="6"/>
      <c r="D4507" s="6"/>
      <c r="E4507" s="6"/>
      <c r="F4507" s="6"/>
      <c r="G4507" s="6"/>
      <c r="H4507" s="6"/>
      <c r="I4507" s="6"/>
      <c r="J4507" s="6"/>
      <c r="K4507" s="6"/>
      <c r="L4507" s="6"/>
      <c r="M4507" s="6"/>
      <c r="N4507" s="6"/>
      <c r="O4507" s="6"/>
      <c r="P4507" s="6"/>
      <c r="Q4507" s="6"/>
      <c r="R4507" s="6"/>
      <c r="S4507" s="6"/>
      <c r="T4507" s="6"/>
      <c r="U4507" s="6"/>
      <c r="V4507" s="6"/>
      <c r="W4507" s="6"/>
      <c r="X4507" s="6"/>
      <c r="Y4507" s="6"/>
      <c r="Z4507" s="6"/>
      <c r="AA4507" s="6"/>
      <c r="AB4507" s="6"/>
      <c r="AC4507" s="6"/>
      <c r="AD4507" s="6"/>
      <c r="AE4507" s="6"/>
      <c r="AF4507" s="6"/>
      <c r="AG4507" s="6"/>
      <c r="AH4507" s="6"/>
      <c r="AI4507" s="6"/>
      <c r="AJ4507" s="6"/>
      <c r="AK4507" s="6"/>
      <c r="AL4507" s="6"/>
      <c r="AM4507" s="6"/>
    </row>
    <row r="4508">
      <c r="A4508" s="6"/>
      <c r="B4508" s="6"/>
      <c r="C4508" s="6"/>
      <c r="D4508" s="6"/>
      <c r="E4508" s="6"/>
      <c r="F4508" s="6"/>
      <c r="G4508" s="6"/>
      <c r="H4508" s="6"/>
      <c r="I4508" s="6"/>
      <c r="J4508" s="6"/>
      <c r="K4508" s="6"/>
      <c r="L4508" s="6"/>
      <c r="M4508" s="6"/>
      <c r="N4508" s="6"/>
      <c r="O4508" s="6"/>
      <c r="P4508" s="6"/>
      <c r="Q4508" s="6"/>
      <c r="R4508" s="6"/>
      <c r="S4508" s="6"/>
      <c r="T4508" s="6"/>
      <c r="U4508" s="6"/>
      <c r="V4508" s="6"/>
      <c r="W4508" s="6"/>
      <c r="X4508" s="6"/>
      <c r="Y4508" s="6"/>
      <c r="Z4508" s="6"/>
      <c r="AA4508" s="6"/>
      <c r="AB4508" s="6"/>
      <c r="AC4508" s="6"/>
      <c r="AD4508" s="6"/>
      <c r="AE4508" s="6"/>
      <c r="AF4508" s="6"/>
      <c r="AG4508" s="6"/>
      <c r="AH4508" s="6"/>
      <c r="AI4508" s="6"/>
      <c r="AJ4508" s="6"/>
      <c r="AK4508" s="6"/>
      <c r="AL4508" s="6"/>
      <c r="AM4508" s="6"/>
    </row>
    <row r="4509">
      <c r="A4509" s="6"/>
      <c r="B4509" s="6"/>
      <c r="C4509" s="6"/>
      <c r="D4509" s="6"/>
      <c r="E4509" s="6"/>
      <c r="F4509" s="6"/>
      <c r="G4509" s="6"/>
      <c r="H4509" s="6"/>
      <c r="I4509" s="6"/>
      <c r="J4509" s="6"/>
      <c r="K4509" s="6"/>
      <c r="L4509" s="6"/>
      <c r="M4509" s="6"/>
      <c r="N4509" s="6"/>
      <c r="O4509" s="6"/>
      <c r="P4509" s="6"/>
      <c r="Q4509" s="6"/>
      <c r="R4509" s="6"/>
      <c r="S4509" s="6"/>
      <c r="T4509" s="6"/>
      <c r="U4509" s="6"/>
      <c r="V4509" s="6"/>
      <c r="W4509" s="6"/>
      <c r="X4509" s="6"/>
      <c r="Y4509" s="6"/>
      <c r="Z4509" s="6"/>
      <c r="AA4509" s="6"/>
      <c r="AB4509" s="6"/>
      <c r="AC4509" s="6"/>
      <c r="AD4509" s="6"/>
      <c r="AE4509" s="6"/>
      <c r="AF4509" s="6"/>
      <c r="AG4509" s="6"/>
      <c r="AH4509" s="6"/>
      <c r="AI4509" s="6"/>
      <c r="AJ4509" s="6"/>
      <c r="AK4509" s="6"/>
      <c r="AL4509" s="6"/>
      <c r="AM4509" s="6"/>
    </row>
    <row r="4510">
      <c r="A4510" s="6"/>
      <c r="B4510" s="6"/>
      <c r="C4510" s="6"/>
      <c r="D4510" s="6"/>
      <c r="E4510" s="6"/>
      <c r="F4510" s="6"/>
      <c r="G4510" s="6"/>
      <c r="H4510" s="6"/>
      <c r="I4510" s="6"/>
      <c r="J4510" s="6"/>
      <c r="K4510" s="6"/>
      <c r="L4510" s="6"/>
      <c r="M4510" s="6"/>
      <c r="N4510" s="6"/>
      <c r="O4510" s="6"/>
      <c r="P4510" s="6"/>
      <c r="Q4510" s="6"/>
      <c r="R4510" s="6"/>
      <c r="S4510" s="6"/>
      <c r="T4510" s="6"/>
      <c r="U4510" s="6"/>
      <c r="V4510" s="6"/>
      <c r="W4510" s="6"/>
      <c r="X4510" s="6"/>
      <c r="Y4510" s="6"/>
      <c r="Z4510" s="6"/>
      <c r="AA4510" s="6"/>
      <c r="AB4510" s="6"/>
      <c r="AC4510" s="6"/>
      <c r="AD4510" s="6"/>
      <c r="AE4510" s="6"/>
      <c r="AF4510" s="6"/>
      <c r="AG4510" s="6"/>
      <c r="AH4510" s="6"/>
      <c r="AI4510" s="6"/>
      <c r="AJ4510" s="6"/>
      <c r="AK4510" s="6"/>
      <c r="AL4510" s="6"/>
      <c r="AM4510" s="6"/>
    </row>
    <row r="4511">
      <c r="A4511" s="6"/>
      <c r="B4511" s="6"/>
      <c r="C4511" s="6"/>
      <c r="D4511" s="6"/>
      <c r="E4511" s="6"/>
      <c r="F4511" s="6"/>
      <c r="G4511" s="6"/>
      <c r="H4511" s="6"/>
      <c r="I4511" s="6"/>
      <c r="J4511" s="6"/>
      <c r="K4511" s="6"/>
      <c r="L4511" s="6"/>
      <c r="M4511" s="6"/>
      <c r="N4511" s="6"/>
      <c r="O4511" s="6"/>
      <c r="P4511" s="6"/>
      <c r="Q4511" s="6"/>
      <c r="R4511" s="6"/>
      <c r="S4511" s="6"/>
      <c r="T4511" s="6"/>
      <c r="U4511" s="6"/>
      <c r="V4511" s="6"/>
      <c r="W4511" s="6"/>
      <c r="X4511" s="6"/>
      <c r="Y4511" s="6"/>
      <c r="Z4511" s="6"/>
      <c r="AA4511" s="6"/>
      <c r="AB4511" s="6"/>
      <c r="AC4511" s="6"/>
      <c r="AD4511" s="6"/>
      <c r="AE4511" s="6"/>
      <c r="AF4511" s="6"/>
      <c r="AG4511" s="6"/>
      <c r="AH4511" s="6"/>
      <c r="AI4511" s="6"/>
      <c r="AJ4511" s="6"/>
      <c r="AK4511" s="6"/>
      <c r="AL4511" s="6"/>
      <c r="AM4511" s="6"/>
    </row>
    <row r="4512">
      <c r="A4512" s="6"/>
      <c r="B4512" s="6"/>
      <c r="C4512" s="6"/>
      <c r="D4512" s="6"/>
      <c r="E4512" s="6"/>
      <c r="F4512" s="6"/>
      <c r="G4512" s="6"/>
      <c r="H4512" s="6"/>
      <c r="I4512" s="6"/>
      <c r="J4512" s="6"/>
      <c r="K4512" s="6"/>
      <c r="L4512" s="6"/>
      <c r="M4512" s="6"/>
      <c r="N4512" s="6"/>
      <c r="O4512" s="6"/>
      <c r="P4512" s="6"/>
      <c r="Q4512" s="6"/>
      <c r="R4512" s="6"/>
      <c r="S4512" s="6"/>
      <c r="T4512" s="6"/>
      <c r="U4512" s="6"/>
      <c r="V4512" s="6"/>
      <c r="W4512" s="6"/>
      <c r="X4512" s="6"/>
      <c r="Y4512" s="6"/>
      <c r="Z4512" s="6"/>
      <c r="AA4512" s="6"/>
      <c r="AB4512" s="6"/>
      <c r="AC4512" s="6"/>
      <c r="AD4512" s="6"/>
      <c r="AE4512" s="6"/>
      <c r="AF4512" s="6"/>
      <c r="AG4512" s="6"/>
      <c r="AH4512" s="6"/>
      <c r="AI4512" s="6"/>
      <c r="AJ4512" s="6"/>
      <c r="AK4512" s="6"/>
      <c r="AL4512" s="6"/>
      <c r="AM4512" s="6"/>
    </row>
    <row r="4513">
      <c r="A4513" s="6"/>
      <c r="B4513" s="6"/>
      <c r="C4513" s="6"/>
      <c r="D4513" s="6"/>
      <c r="E4513" s="6"/>
      <c r="F4513" s="6"/>
      <c r="G4513" s="6"/>
      <c r="H4513" s="6"/>
      <c r="I4513" s="6"/>
      <c r="J4513" s="6"/>
      <c r="K4513" s="6"/>
      <c r="L4513" s="6"/>
      <c r="M4513" s="6"/>
      <c r="N4513" s="6"/>
      <c r="O4513" s="6"/>
      <c r="P4513" s="6"/>
      <c r="Q4513" s="6"/>
      <c r="R4513" s="6"/>
      <c r="S4513" s="6"/>
      <c r="T4513" s="6"/>
      <c r="U4513" s="6"/>
      <c r="V4513" s="6"/>
      <c r="W4513" s="6"/>
      <c r="X4513" s="6"/>
      <c r="Y4513" s="6"/>
      <c r="Z4513" s="6"/>
      <c r="AA4513" s="6"/>
      <c r="AB4513" s="6"/>
      <c r="AC4513" s="6"/>
      <c r="AD4513" s="6"/>
      <c r="AE4513" s="6"/>
      <c r="AF4513" s="6"/>
      <c r="AG4513" s="6"/>
      <c r="AH4513" s="6"/>
      <c r="AI4513" s="6"/>
      <c r="AJ4513" s="6"/>
      <c r="AK4513" s="6"/>
      <c r="AL4513" s="6"/>
      <c r="AM4513" s="6"/>
    </row>
    <row r="4514">
      <c r="A4514" s="6"/>
      <c r="B4514" s="6"/>
      <c r="C4514" s="6"/>
      <c r="D4514" s="6"/>
      <c r="E4514" s="6"/>
      <c r="F4514" s="6"/>
      <c r="G4514" s="6"/>
      <c r="H4514" s="6"/>
      <c r="I4514" s="6"/>
      <c r="J4514" s="6"/>
      <c r="K4514" s="6"/>
      <c r="L4514" s="6"/>
      <c r="M4514" s="6"/>
      <c r="N4514" s="6"/>
      <c r="O4514" s="6"/>
      <c r="P4514" s="6"/>
      <c r="Q4514" s="6"/>
      <c r="R4514" s="6"/>
      <c r="S4514" s="6"/>
      <c r="T4514" s="6"/>
      <c r="U4514" s="6"/>
      <c r="V4514" s="6"/>
      <c r="W4514" s="6"/>
      <c r="X4514" s="6"/>
      <c r="Y4514" s="6"/>
      <c r="Z4514" s="6"/>
      <c r="AA4514" s="6"/>
      <c r="AB4514" s="6"/>
      <c r="AC4514" s="6"/>
      <c r="AD4514" s="6"/>
      <c r="AE4514" s="6"/>
      <c r="AF4514" s="6"/>
      <c r="AG4514" s="6"/>
      <c r="AH4514" s="6"/>
      <c r="AI4514" s="6"/>
      <c r="AJ4514" s="6"/>
      <c r="AK4514" s="6"/>
      <c r="AL4514" s="6"/>
      <c r="AM4514" s="6"/>
    </row>
    <row r="4515">
      <c r="A4515" s="6"/>
      <c r="B4515" s="6"/>
      <c r="C4515" s="6"/>
      <c r="D4515" s="6"/>
      <c r="E4515" s="6"/>
      <c r="F4515" s="6"/>
      <c r="G4515" s="6"/>
      <c r="H4515" s="6"/>
      <c r="I4515" s="6"/>
      <c r="J4515" s="6"/>
      <c r="K4515" s="6"/>
      <c r="L4515" s="6"/>
      <c r="M4515" s="6"/>
      <c r="N4515" s="6"/>
      <c r="O4515" s="6"/>
      <c r="P4515" s="6"/>
      <c r="Q4515" s="6"/>
      <c r="R4515" s="6"/>
      <c r="S4515" s="6"/>
      <c r="T4515" s="6"/>
      <c r="U4515" s="6"/>
      <c r="V4515" s="6"/>
      <c r="W4515" s="6"/>
      <c r="X4515" s="6"/>
      <c r="Y4515" s="6"/>
      <c r="Z4515" s="6"/>
      <c r="AA4515" s="6"/>
      <c r="AB4515" s="6"/>
      <c r="AC4515" s="6"/>
      <c r="AD4515" s="6"/>
      <c r="AE4515" s="6"/>
      <c r="AF4515" s="6"/>
      <c r="AG4515" s="6"/>
      <c r="AH4515" s="6"/>
      <c r="AI4515" s="6"/>
      <c r="AJ4515" s="6"/>
      <c r="AK4515" s="6"/>
      <c r="AL4515" s="6"/>
      <c r="AM4515" s="6"/>
    </row>
    <row r="4516">
      <c r="A4516" s="6"/>
      <c r="B4516" s="6"/>
      <c r="C4516" s="6"/>
      <c r="D4516" s="6"/>
      <c r="E4516" s="6"/>
      <c r="F4516" s="6"/>
      <c r="G4516" s="6"/>
      <c r="H4516" s="6"/>
      <c r="I4516" s="6"/>
      <c r="J4516" s="6"/>
      <c r="K4516" s="6"/>
      <c r="L4516" s="6"/>
      <c r="M4516" s="6"/>
      <c r="N4516" s="6"/>
      <c r="O4516" s="6"/>
      <c r="P4516" s="6"/>
      <c r="Q4516" s="6"/>
      <c r="R4516" s="6"/>
      <c r="S4516" s="6"/>
      <c r="T4516" s="6"/>
      <c r="U4516" s="6"/>
      <c r="V4516" s="6"/>
      <c r="W4516" s="6"/>
      <c r="X4516" s="6"/>
      <c r="Y4516" s="6"/>
      <c r="Z4516" s="6"/>
      <c r="AA4516" s="6"/>
      <c r="AB4516" s="6"/>
      <c r="AC4516" s="6"/>
      <c r="AD4516" s="6"/>
      <c r="AE4516" s="6"/>
      <c r="AF4516" s="6"/>
      <c r="AG4516" s="6"/>
      <c r="AH4516" s="6"/>
      <c r="AI4516" s="6"/>
      <c r="AJ4516" s="6"/>
      <c r="AK4516" s="6"/>
      <c r="AL4516" s="6"/>
      <c r="AM4516" s="6"/>
    </row>
    <row r="4517">
      <c r="A4517" s="6"/>
      <c r="B4517" s="6"/>
      <c r="C4517" s="6"/>
      <c r="D4517" s="6"/>
      <c r="E4517" s="6"/>
      <c r="F4517" s="6"/>
      <c r="G4517" s="6"/>
      <c r="H4517" s="6"/>
      <c r="I4517" s="6"/>
      <c r="J4517" s="6"/>
      <c r="K4517" s="6"/>
      <c r="L4517" s="6"/>
      <c r="M4517" s="6"/>
      <c r="N4517" s="6"/>
      <c r="O4517" s="6"/>
      <c r="P4517" s="6"/>
      <c r="Q4517" s="6"/>
      <c r="R4517" s="6"/>
      <c r="S4517" s="6"/>
      <c r="T4517" s="6"/>
      <c r="U4517" s="6"/>
      <c r="V4517" s="6"/>
      <c r="W4517" s="6"/>
      <c r="X4517" s="6"/>
      <c r="Y4517" s="6"/>
      <c r="Z4517" s="6"/>
      <c r="AA4517" s="6"/>
      <c r="AB4517" s="6"/>
      <c r="AC4517" s="6"/>
      <c r="AD4517" s="6"/>
      <c r="AE4517" s="6"/>
      <c r="AF4517" s="6"/>
      <c r="AG4517" s="6"/>
      <c r="AH4517" s="6"/>
      <c r="AI4517" s="6"/>
      <c r="AJ4517" s="6"/>
      <c r="AK4517" s="6"/>
      <c r="AL4517" s="6"/>
      <c r="AM4517" s="6"/>
    </row>
    <row r="4518">
      <c r="A4518" s="6"/>
      <c r="B4518" s="6"/>
      <c r="C4518" s="6"/>
      <c r="D4518" s="6"/>
      <c r="E4518" s="6"/>
      <c r="F4518" s="6"/>
      <c r="G4518" s="6"/>
      <c r="H4518" s="6"/>
      <c r="I4518" s="6"/>
      <c r="J4518" s="6"/>
      <c r="K4518" s="6"/>
      <c r="L4518" s="6"/>
      <c r="M4518" s="6"/>
      <c r="N4518" s="6"/>
      <c r="O4518" s="6"/>
      <c r="P4518" s="6"/>
      <c r="Q4518" s="6"/>
      <c r="R4518" s="6"/>
      <c r="S4518" s="6"/>
      <c r="T4518" s="6"/>
      <c r="U4518" s="6"/>
      <c r="V4518" s="6"/>
      <c r="W4518" s="6"/>
      <c r="X4518" s="6"/>
      <c r="Y4518" s="6"/>
      <c r="Z4518" s="6"/>
      <c r="AA4518" s="6"/>
      <c r="AB4518" s="6"/>
      <c r="AC4518" s="6"/>
      <c r="AD4518" s="6"/>
      <c r="AE4518" s="6"/>
      <c r="AF4518" s="6"/>
      <c r="AG4518" s="6"/>
      <c r="AH4518" s="6"/>
      <c r="AI4518" s="6"/>
      <c r="AJ4518" s="6"/>
      <c r="AK4518" s="6"/>
      <c r="AL4518" s="6"/>
      <c r="AM4518" s="6"/>
    </row>
    <row r="4519">
      <c r="A4519" s="6"/>
      <c r="B4519" s="6"/>
      <c r="C4519" s="6"/>
      <c r="D4519" s="6"/>
      <c r="E4519" s="6"/>
      <c r="F4519" s="6"/>
      <c r="G4519" s="6"/>
      <c r="H4519" s="6"/>
      <c r="I4519" s="6"/>
      <c r="J4519" s="6"/>
      <c r="K4519" s="6"/>
      <c r="L4519" s="6"/>
      <c r="M4519" s="6"/>
      <c r="N4519" s="6"/>
      <c r="O4519" s="6"/>
      <c r="P4519" s="6"/>
      <c r="Q4519" s="6"/>
      <c r="R4519" s="6"/>
      <c r="S4519" s="6"/>
      <c r="T4519" s="6"/>
      <c r="U4519" s="6"/>
      <c r="V4519" s="6"/>
      <c r="W4519" s="6"/>
      <c r="X4519" s="6"/>
      <c r="Y4519" s="6"/>
      <c r="Z4519" s="6"/>
      <c r="AA4519" s="6"/>
      <c r="AB4519" s="6"/>
      <c r="AC4519" s="6"/>
      <c r="AD4519" s="6"/>
      <c r="AE4519" s="6"/>
      <c r="AF4519" s="6"/>
      <c r="AG4519" s="6"/>
      <c r="AH4519" s="6"/>
      <c r="AI4519" s="6"/>
      <c r="AJ4519" s="6"/>
      <c r="AK4519" s="6"/>
      <c r="AL4519" s="6"/>
      <c r="AM4519" s="6"/>
    </row>
    <row r="4520">
      <c r="A4520" s="6"/>
      <c r="B4520" s="6"/>
      <c r="C4520" s="6"/>
      <c r="D4520" s="6"/>
      <c r="E4520" s="6"/>
      <c r="F4520" s="6"/>
      <c r="G4520" s="6"/>
      <c r="H4520" s="6"/>
      <c r="I4520" s="6"/>
      <c r="J4520" s="6"/>
      <c r="K4520" s="6"/>
      <c r="L4520" s="6"/>
      <c r="M4520" s="6"/>
      <c r="N4520" s="6"/>
      <c r="O4520" s="6"/>
      <c r="P4520" s="6"/>
      <c r="Q4520" s="6"/>
      <c r="R4520" s="6"/>
      <c r="S4520" s="6"/>
      <c r="T4520" s="6"/>
      <c r="U4520" s="6"/>
      <c r="V4520" s="6"/>
      <c r="W4520" s="6"/>
      <c r="X4520" s="6"/>
      <c r="Y4520" s="6"/>
      <c r="Z4520" s="6"/>
      <c r="AA4520" s="6"/>
      <c r="AB4520" s="6"/>
      <c r="AC4520" s="6"/>
      <c r="AD4520" s="6"/>
      <c r="AE4520" s="6"/>
      <c r="AF4520" s="6"/>
      <c r="AG4520" s="6"/>
      <c r="AH4520" s="6"/>
      <c r="AI4520" s="6"/>
      <c r="AJ4520" s="6"/>
      <c r="AK4520" s="6"/>
      <c r="AL4520" s="6"/>
      <c r="AM4520" s="6"/>
    </row>
    <row r="4521">
      <c r="A4521" s="6"/>
      <c r="B4521" s="6"/>
      <c r="C4521" s="6"/>
      <c r="D4521" s="6"/>
      <c r="E4521" s="6"/>
      <c r="F4521" s="6"/>
      <c r="G4521" s="6"/>
      <c r="H4521" s="6"/>
      <c r="I4521" s="6"/>
      <c r="J4521" s="6"/>
      <c r="K4521" s="6"/>
      <c r="L4521" s="6"/>
      <c r="M4521" s="6"/>
      <c r="N4521" s="6"/>
      <c r="O4521" s="6"/>
      <c r="P4521" s="6"/>
      <c r="Q4521" s="6"/>
      <c r="R4521" s="6"/>
      <c r="S4521" s="6"/>
      <c r="T4521" s="6"/>
      <c r="U4521" s="6"/>
      <c r="V4521" s="6"/>
      <c r="W4521" s="6"/>
      <c r="X4521" s="6"/>
      <c r="Y4521" s="6"/>
      <c r="Z4521" s="6"/>
      <c r="AA4521" s="6"/>
      <c r="AB4521" s="6"/>
      <c r="AC4521" s="6"/>
      <c r="AD4521" s="6"/>
      <c r="AE4521" s="6"/>
      <c r="AF4521" s="6"/>
      <c r="AG4521" s="6"/>
      <c r="AH4521" s="6"/>
      <c r="AI4521" s="6"/>
      <c r="AJ4521" s="6"/>
      <c r="AK4521" s="6"/>
      <c r="AL4521" s="6"/>
      <c r="AM4521" s="6"/>
    </row>
    <row r="4522">
      <c r="A4522" s="6"/>
      <c r="B4522" s="6"/>
      <c r="C4522" s="6"/>
      <c r="D4522" s="6"/>
      <c r="E4522" s="6"/>
      <c r="F4522" s="6"/>
      <c r="G4522" s="6"/>
      <c r="H4522" s="6"/>
      <c r="I4522" s="6"/>
      <c r="J4522" s="6"/>
      <c r="K4522" s="6"/>
      <c r="L4522" s="6"/>
      <c r="M4522" s="6"/>
      <c r="N4522" s="6"/>
      <c r="O4522" s="6"/>
      <c r="P4522" s="6"/>
      <c r="Q4522" s="6"/>
      <c r="R4522" s="6"/>
      <c r="S4522" s="6"/>
      <c r="T4522" s="6"/>
      <c r="U4522" s="6"/>
      <c r="V4522" s="6"/>
      <c r="W4522" s="6"/>
      <c r="X4522" s="6"/>
      <c r="Y4522" s="6"/>
      <c r="Z4522" s="6"/>
      <c r="AA4522" s="6"/>
      <c r="AB4522" s="6"/>
      <c r="AC4522" s="6"/>
      <c r="AD4522" s="6"/>
      <c r="AE4522" s="6"/>
      <c r="AF4522" s="6"/>
      <c r="AG4522" s="6"/>
      <c r="AH4522" s="6"/>
      <c r="AI4522" s="6"/>
      <c r="AJ4522" s="6"/>
      <c r="AK4522" s="6"/>
      <c r="AL4522" s="6"/>
      <c r="AM4522" s="6"/>
    </row>
    <row r="4523">
      <c r="A4523" s="6"/>
      <c r="B4523" s="6"/>
      <c r="C4523" s="6"/>
      <c r="D4523" s="6"/>
      <c r="E4523" s="6"/>
      <c r="F4523" s="6"/>
      <c r="G4523" s="6"/>
      <c r="H4523" s="6"/>
      <c r="I4523" s="6"/>
      <c r="J4523" s="6"/>
      <c r="K4523" s="6"/>
      <c r="L4523" s="6"/>
      <c r="M4523" s="6"/>
      <c r="N4523" s="6"/>
      <c r="O4523" s="6"/>
      <c r="P4523" s="6"/>
      <c r="Q4523" s="6"/>
      <c r="R4523" s="6"/>
      <c r="S4523" s="6"/>
      <c r="T4523" s="6"/>
      <c r="U4523" s="6"/>
      <c r="V4523" s="6"/>
      <c r="W4523" s="6"/>
      <c r="X4523" s="6"/>
      <c r="Y4523" s="6"/>
      <c r="Z4523" s="6"/>
      <c r="AA4523" s="6"/>
      <c r="AB4523" s="6"/>
      <c r="AC4523" s="6"/>
      <c r="AD4523" s="6"/>
      <c r="AE4523" s="6"/>
      <c r="AF4523" s="6"/>
      <c r="AG4523" s="6"/>
      <c r="AH4523" s="6"/>
      <c r="AI4523" s="6"/>
      <c r="AJ4523" s="6"/>
      <c r="AK4523" s="6"/>
      <c r="AL4523" s="6"/>
      <c r="AM4523" s="6"/>
    </row>
    <row r="4524">
      <c r="A4524" s="6"/>
      <c r="B4524" s="6"/>
      <c r="C4524" s="6"/>
      <c r="D4524" s="6"/>
      <c r="E4524" s="6"/>
      <c r="F4524" s="6"/>
      <c r="G4524" s="6"/>
      <c r="H4524" s="6"/>
      <c r="I4524" s="6"/>
      <c r="J4524" s="6"/>
      <c r="K4524" s="6"/>
      <c r="L4524" s="6"/>
      <c r="M4524" s="6"/>
      <c r="N4524" s="6"/>
      <c r="O4524" s="6"/>
      <c r="P4524" s="6"/>
      <c r="Q4524" s="6"/>
      <c r="R4524" s="6"/>
      <c r="S4524" s="6"/>
      <c r="T4524" s="6"/>
      <c r="U4524" s="6"/>
      <c r="V4524" s="6"/>
      <c r="W4524" s="6"/>
      <c r="X4524" s="6"/>
      <c r="Y4524" s="6"/>
      <c r="Z4524" s="6"/>
      <c r="AA4524" s="6"/>
      <c r="AB4524" s="6"/>
      <c r="AC4524" s="6"/>
      <c r="AD4524" s="6"/>
      <c r="AE4524" s="6"/>
      <c r="AF4524" s="6"/>
      <c r="AG4524" s="6"/>
      <c r="AH4524" s="6"/>
      <c r="AI4524" s="6"/>
      <c r="AJ4524" s="6"/>
      <c r="AK4524" s="6"/>
      <c r="AL4524" s="6"/>
      <c r="AM4524" s="6"/>
    </row>
    <row r="4525">
      <c r="A4525" s="6"/>
      <c r="B4525" s="6"/>
      <c r="C4525" s="6"/>
      <c r="D4525" s="6"/>
      <c r="E4525" s="6"/>
      <c r="F4525" s="6"/>
      <c r="G4525" s="6"/>
      <c r="H4525" s="6"/>
      <c r="I4525" s="6"/>
      <c r="J4525" s="6"/>
      <c r="K4525" s="6"/>
      <c r="L4525" s="6"/>
      <c r="M4525" s="6"/>
      <c r="N4525" s="6"/>
      <c r="O4525" s="6"/>
      <c r="P4525" s="6"/>
      <c r="Q4525" s="6"/>
      <c r="R4525" s="6"/>
      <c r="S4525" s="6"/>
      <c r="T4525" s="6"/>
      <c r="U4525" s="6"/>
      <c r="V4525" s="6"/>
      <c r="W4525" s="6"/>
      <c r="X4525" s="6"/>
      <c r="Y4525" s="6"/>
      <c r="Z4525" s="6"/>
      <c r="AA4525" s="6"/>
      <c r="AB4525" s="6"/>
      <c r="AC4525" s="6"/>
      <c r="AD4525" s="6"/>
      <c r="AE4525" s="6"/>
      <c r="AF4525" s="6"/>
      <c r="AG4525" s="6"/>
      <c r="AH4525" s="6"/>
      <c r="AI4525" s="6"/>
      <c r="AJ4525" s="6"/>
      <c r="AK4525" s="6"/>
      <c r="AL4525" s="6"/>
      <c r="AM4525" s="6"/>
    </row>
    <row r="4526">
      <c r="A4526" s="6"/>
      <c r="B4526" s="6"/>
      <c r="C4526" s="6"/>
      <c r="D4526" s="6"/>
      <c r="E4526" s="6"/>
      <c r="F4526" s="6"/>
      <c r="G4526" s="6"/>
      <c r="H4526" s="6"/>
      <c r="I4526" s="6"/>
      <c r="J4526" s="6"/>
      <c r="K4526" s="6"/>
      <c r="L4526" s="6"/>
      <c r="M4526" s="6"/>
      <c r="N4526" s="6"/>
      <c r="O4526" s="6"/>
      <c r="P4526" s="6"/>
      <c r="Q4526" s="6"/>
      <c r="R4526" s="6"/>
      <c r="S4526" s="6"/>
      <c r="T4526" s="6"/>
      <c r="U4526" s="6"/>
      <c r="V4526" s="6"/>
      <c r="W4526" s="6"/>
      <c r="X4526" s="6"/>
      <c r="Y4526" s="6"/>
      <c r="Z4526" s="6"/>
      <c r="AA4526" s="6"/>
      <c r="AB4526" s="6"/>
      <c r="AC4526" s="6"/>
      <c r="AD4526" s="6"/>
      <c r="AE4526" s="6"/>
      <c r="AF4526" s="6"/>
      <c r="AG4526" s="6"/>
      <c r="AH4526" s="6"/>
      <c r="AI4526" s="6"/>
      <c r="AJ4526" s="6"/>
      <c r="AK4526" s="6"/>
      <c r="AL4526" s="6"/>
      <c r="AM4526" s="6"/>
    </row>
    <row r="4527">
      <c r="A4527" s="6"/>
      <c r="B4527" s="6"/>
      <c r="C4527" s="6"/>
      <c r="D4527" s="6"/>
      <c r="E4527" s="6"/>
      <c r="F4527" s="6"/>
      <c r="G4527" s="6"/>
      <c r="H4527" s="6"/>
      <c r="I4527" s="6"/>
      <c r="J4527" s="6"/>
      <c r="K4527" s="6"/>
      <c r="L4527" s="6"/>
      <c r="M4527" s="6"/>
      <c r="N4527" s="6"/>
      <c r="O4527" s="6"/>
      <c r="P4527" s="6"/>
      <c r="Q4527" s="6"/>
      <c r="R4527" s="6"/>
      <c r="S4527" s="6"/>
      <c r="T4527" s="6"/>
      <c r="U4527" s="6"/>
      <c r="V4527" s="6"/>
      <c r="W4527" s="6"/>
      <c r="X4527" s="6"/>
      <c r="Y4527" s="6"/>
      <c r="Z4527" s="6"/>
      <c r="AA4527" s="6"/>
      <c r="AB4527" s="6"/>
      <c r="AC4527" s="6"/>
      <c r="AD4527" s="6"/>
      <c r="AE4527" s="6"/>
      <c r="AF4527" s="6"/>
      <c r="AG4527" s="6"/>
      <c r="AH4527" s="6"/>
      <c r="AI4527" s="6"/>
      <c r="AJ4527" s="6"/>
      <c r="AK4527" s="6"/>
      <c r="AL4527" s="6"/>
      <c r="AM4527" s="6"/>
    </row>
    <row r="4528">
      <c r="A4528" s="6"/>
      <c r="B4528" s="6"/>
      <c r="C4528" s="6"/>
      <c r="D4528" s="6"/>
      <c r="E4528" s="6"/>
      <c r="F4528" s="6"/>
      <c r="G4528" s="6"/>
      <c r="H4528" s="6"/>
      <c r="I4528" s="6"/>
      <c r="J4528" s="6"/>
      <c r="K4528" s="6"/>
      <c r="L4528" s="6"/>
      <c r="M4528" s="6"/>
      <c r="N4528" s="6"/>
      <c r="O4528" s="6"/>
      <c r="P4528" s="6"/>
      <c r="Q4528" s="6"/>
      <c r="R4528" s="6"/>
      <c r="S4528" s="6"/>
      <c r="T4528" s="6"/>
      <c r="U4528" s="6"/>
      <c r="V4528" s="6"/>
      <c r="W4528" s="6"/>
      <c r="X4528" s="6"/>
      <c r="Y4528" s="6"/>
      <c r="Z4528" s="6"/>
      <c r="AA4528" s="6"/>
      <c r="AB4528" s="6"/>
      <c r="AC4528" s="6"/>
      <c r="AD4528" s="6"/>
      <c r="AE4528" s="6"/>
      <c r="AF4528" s="6"/>
      <c r="AG4528" s="6"/>
      <c r="AH4528" s="6"/>
      <c r="AI4528" s="6"/>
      <c r="AJ4528" s="6"/>
      <c r="AK4528" s="6"/>
      <c r="AL4528" s="6"/>
      <c r="AM4528" s="6"/>
    </row>
    <row r="4529">
      <c r="A4529" s="6"/>
      <c r="B4529" s="6"/>
      <c r="C4529" s="6"/>
      <c r="D4529" s="6"/>
      <c r="E4529" s="6"/>
      <c r="F4529" s="6"/>
      <c r="G4529" s="6"/>
      <c r="H4529" s="6"/>
      <c r="I4529" s="6"/>
      <c r="J4529" s="6"/>
      <c r="K4529" s="6"/>
      <c r="L4529" s="6"/>
      <c r="M4529" s="6"/>
      <c r="N4529" s="6"/>
      <c r="O4529" s="6"/>
      <c r="P4529" s="6"/>
      <c r="Q4529" s="6"/>
      <c r="R4529" s="6"/>
      <c r="S4529" s="6"/>
      <c r="T4529" s="6"/>
      <c r="U4529" s="6"/>
      <c r="V4529" s="6"/>
      <c r="W4529" s="6"/>
      <c r="X4529" s="6"/>
      <c r="Y4529" s="6"/>
      <c r="Z4529" s="6"/>
      <c r="AA4529" s="6"/>
      <c r="AB4529" s="6"/>
      <c r="AC4529" s="6"/>
      <c r="AD4529" s="6"/>
      <c r="AE4529" s="6"/>
      <c r="AF4529" s="6"/>
      <c r="AG4529" s="6"/>
      <c r="AH4529" s="6"/>
      <c r="AI4529" s="6"/>
      <c r="AJ4529" s="6"/>
      <c r="AK4529" s="6"/>
      <c r="AL4529" s="6"/>
      <c r="AM4529" s="6"/>
    </row>
    <row r="4530">
      <c r="A4530" s="6"/>
      <c r="B4530" s="6"/>
      <c r="C4530" s="6"/>
      <c r="D4530" s="6"/>
      <c r="E4530" s="6"/>
      <c r="F4530" s="6"/>
      <c r="G4530" s="6"/>
      <c r="H4530" s="6"/>
      <c r="I4530" s="6"/>
      <c r="J4530" s="6"/>
      <c r="K4530" s="6"/>
      <c r="L4530" s="6"/>
      <c r="M4530" s="6"/>
      <c r="N4530" s="6"/>
      <c r="O4530" s="6"/>
      <c r="P4530" s="6"/>
      <c r="Q4530" s="6"/>
      <c r="R4530" s="6"/>
      <c r="S4530" s="6"/>
      <c r="T4530" s="6"/>
      <c r="U4530" s="6"/>
      <c r="V4530" s="6"/>
      <c r="W4530" s="6"/>
      <c r="X4530" s="6"/>
      <c r="Y4530" s="6"/>
      <c r="Z4530" s="6"/>
      <c r="AA4530" s="6"/>
      <c r="AB4530" s="6"/>
      <c r="AC4530" s="6"/>
      <c r="AD4530" s="6"/>
      <c r="AE4530" s="6"/>
      <c r="AF4530" s="6"/>
      <c r="AG4530" s="6"/>
      <c r="AH4530" s="6"/>
      <c r="AI4530" s="6"/>
      <c r="AJ4530" s="6"/>
      <c r="AK4530" s="6"/>
      <c r="AL4530" s="6"/>
      <c r="AM4530" s="6"/>
    </row>
    <row r="4531">
      <c r="A4531" s="6"/>
      <c r="B4531" s="6"/>
      <c r="C4531" s="6"/>
      <c r="D4531" s="6"/>
      <c r="E4531" s="6"/>
      <c r="F4531" s="6"/>
      <c r="G4531" s="6"/>
      <c r="H4531" s="6"/>
      <c r="I4531" s="6"/>
      <c r="J4531" s="6"/>
      <c r="K4531" s="6"/>
      <c r="L4531" s="6"/>
      <c r="M4531" s="6"/>
      <c r="N4531" s="6"/>
      <c r="O4531" s="6"/>
      <c r="P4531" s="6"/>
      <c r="Q4531" s="6"/>
      <c r="R4531" s="6"/>
      <c r="S4531" s="6"/>
      <c r="T4531" s="6"/>
      <c r="U4531" s="6"/>
      <c r="V4531" s="6"/>
      <c r="W4531" s="6"/>
      <c r="X4531" s="6"/>
      <c r="Y4531" s="6"/>
      <c r="Z4531" s="6"/>
      <c r="AA4531" s="6"/>
      <c r="AB4531" s="6"/>
      <c r="AC4531" s="6"/>
      <c r="AD4531" s="6"/>
      <c r="AE4531" s="6"/>
      <c r="AF4531" s="6"/>
      <c r="AG4531" s="6"/>
      <c r="AH4531" s="6"/>
      <c r="AI4531" s="6"/>
      <c r="AJ4531" s="6"/>
      <c r="AK4531" s="6"/>
      <c r="AL4531" s="6"/>
      <c r="AM4531" s="6"/>
    </row>
    <row r="4532">
      <c r="A4532" s="6"/>
      <c r="B4532" s="6"/>
      <c r="C4532" s="6"/>
      <c r="D4532" s="6"/>
      <c r="E4532" s="6"/>
      <c r="F4532" s="6"/>
      <c r="G4532" s="6"/>
      <c r="H4532" s="6"/>
      <c r="I4532" s="6"/>
      <c r="J4532" s="6"/>
      <c r="K4532" s="6"/>
      <c r="L4532" s="6"/>
      <c r="M4532" s="6"/>
      <c r="N4532" s="6"/>
      <c r="O4532" s="6"/>
      <c r="P4532" s="6"/>
      <c r="Q4532" s="6"/>
      <c r="R4532" s="6"/>
      <c r="S4532" s="6"/>
      <c r="T4532" s="6"/>
      <c r="U4532" s="6"/>
      <c r="V4532" s="6"/>
      <c r="W4532" s="6"/>
      <c r="X4532" s="6"/>
      <c r="Y4532" s="6"/>
      <c r="Z4532" s="6"/>
      <c r="AA4532" s="6"/>
      <c r="AB4532" s="6"/>
      <c r="AC4532" s="6"/>
      <c r="AD4532" s="6"/>
      <c r="AE4532" s="6"/>
      <c r="AF4532" s="6"/>
      <c r="AG4532" s="6"/>
      <c r="AH4532" s="6"/>
      <c r="AI4532" s="6"/>
      <c r="AJ4532" s="6"/>
      <c r="AK4532" s="6"/>
      <c r="AL4532" s="6"/>
      <c r="AM4532" s="6"/>
    </row>
    <row r="4533">
      <c r="A4533" s="6"/>
      <c r="B4533" s="6"/>
      <c r="C4533" s="6"/>
      <c r="D4533" s="6"/>
      <c r="E4533" s="6"/>
      <c r="F4533" s="6"/>
      <c r="G4533" s="6"/>
      <c r="H4533" s="6"/>
      <c r="I4533" s="6"/>
      <c r="J4533" s="6"/>
      <c r="K4533" s="6"/>
      <c r="L4533" s="6"/>
      <c r="M4533" s="6"/>
      <c r="N4533" s="6"/>
      <c r="O4533" s="6"/>
      <c r="P4533" s="6"/>
      <c r="Q4533" s="6"/>
      <c r="R4533" s="6"/>
      <c r="S4533" s="6"/>
      <c r="T4533" s="6"/>
      <c r="U4533" s="6"/>
      <c r="V4533" s="6"/>
      <c r="W4533" s="6"/>
      <c r="X4533" s="6"/>
      <c r="Y4533" s="6"/>
      <c r="Z4533" s="6"/>
      <c r="AA4533" s="6"/>
      <c r="AB4533" s="6"/>
      <c r="AC4533" s="6"/>
      <c r="AD4533" s="6"/>
      <c r="AE4533" s="6"/>
      <c r="AF4533" s="6"/>
      <c r="AG4533" s="6"/>
      <c r="AH4533" s="6"/>
      <c r="AI4533" s="6"/>
      <c r="AJ4533" s="6"/>
      <c r="AK4533" s="6"/>
      <c r="AL4533" s="6"/>
      <c r="AM4533" s="6"/>
    </row>
    <row r="4534">
      <c r="A4534" s="6"/>
      <c r="B4534" s="6"/>
      <c r="C4534" s="6"/>
      <c r="D4534" s="6"/>
      <c r="E4534" s="6"/>
      <c r="F4534" s="6"/>
      <c r="G4534" s="6"/>
      <c r="H4534" s="6"/>
      <c r="I4534" s="6"/>
      <c r="J4534" s="6"/>
      <c r="K4534" s="6"/>
      <c r="L4534" s="6"/>
      <c r="M4534" s="6"/>
      <c r="N4534" s="6"/>
      <c r="O4534" s="6"/>
      <c r="P4534" s="6"/>
      <c r="Q4534" s="6"/>
      <c r="R4534" s="6"/>
      <c r="S4534" s="6"/>
      <c r="T4534" s="6"/>
      <c r="U4534" s="6"/>
      <c r="V4534" s="6"/>
      <c r="W4534" s="6"/>
      <c r="X4534" s="6"/>
      <c r="Y4534" s="6"/>
      <c r="Z4534" s="6"/>
      <c r="AA4534" s="6"/>
      <c r="AB4534" s="6"/>
      <c r="AC4534" s="6"/>
      <c r="AD4534" s="6"/>
      <c r="AE4534" s="6"/>
      <c r="AF4534" s="6"/>
      <c r="AG4534" s="6"/>
      <c r="AH4534" s="6"/>
      <c r="AI4534" s="6"/>
      <c r="AJ4534" s="6"/>
      <c r="AK4534" s="6"/>
      <c r="AL4534" s="6"/>
      <c r="AM4534" s="6"/>
    </row>
    <row r="4535">
      <c r="A4535" s="6"/>
      <c r="B4535" s="6"/>
      <c r="C4535" s="6"/>
      <c r="D4535" s="6"/>
      <c r="E4535" s="6"/>
      <c r="F4535" s="6"/>
      <c r="G4535" s="6"/>
      <c r="H4535" s="6"/>
      <c r="I4535" s="6"/>
      <c r="J4535" s="6"/>
      <c r="K4535" s="6"/>
      <c r="L4535" s="6"/>
      <c r="M4535" s="6"/>
      <c r="N4535" s="6"/>
      <c r="O4535" s="6"/>
      <c r="P4535" s="6"/>
      <c r="Q4535" s="6"/>
      <c r="R4535" s="6"/>
      <c r="S4535" s="6"/>
      <c r="T4535" s="6"/>
      <c r="U4535" s="6"/>
      <c r="V4535" s="6"/>
      <c r="W4535" s="6"/>
      <c r="X4535" s="6"/>
      <c r="Y4535" s="6"/>
      <c r="Z4535" s="6"/>
      <c r="AA4535" s="6"/>
      <c r="AB4535" s="6"/>
      <c r="AC4535" s="6"/>
      <c r="AD4535" s="6"/>
      <c r="AE4535" s="6"/>
      <c r="AF4535" s="6"/>
      <c r="AG4535" s="6"/>
      <c r="AH4535" s="6"/>
      <c r="AI4535" s="6"/>
      <c r="AJ4535" s="6"/>
      <c r="AK4535" s="6"/>
      <c r="AL4535" s="6"/>
      <c r="AM4535" s="6"/>
    </row>
    <row r="4536">
      <c r="A4536" s="6"/>
      <c r="B4536" s="6"/>
      <c r="C4536" s="6"/>
      <c r="D4536" s="6"/>
      <c r="E4536" s="6"/>
      <c r="F4536" s="6"/>
      <c r="G4536" s="6"/>
      <c r="H4536" s="6"/>
      <c r="I4536" s="6"/>
      <c r="J4536" s="6"/>
      <c r="K4536" s="6"/>
      <c r="L4536" s="6"/>
      <c r="M4536" s="6"/>
      <c r="N4536" s="6"/>
      <c r="O4536" s="6"/>
      <c r="P4536" s="6"/>
      <c r="Q4536" s="6"/>
      <c r="R4536" s="6"/>
      <c r="S4536" s="6"/>
      <c r="T4536" s="6"/>
      <c r="U4536" s="6"/>
      <c r="V4536" s="6"/>
      <c r="W4536" s="6"/>
      <c r="X4536" s="6"/>
      <c r="Y4536" s="6"/>
      <c r="Z4536" s="6"/>
      <c r="AA4536" s="6"/>
      <c r="AB4536" s="6"/>
      <c r="AC4536" s="6"/>
      <c r="AD4536" s="6"/>
      <c r="AE4536" s="6"/>
      <c r="AF4536" s="6"/>
      <c r="AG4536" s="6"/>
      <c r="AH4536" s="6"/>
      <c r="AI4536" s="6"/>
      <c r="AJ4536" s="6"/>
      <c r="AK4536" s="6"/>
      <c r="AL4536" s="6"/>
      <c r="AM4536" s="6"/>
    </row>
    <row r="4537">
      <c r="A4537" s="6"/>
      <c r="B4537" s="6"/>
      <c r="C4537" s="6"/>
      <c r="D4537" s="6"/>
      <c r="E4537" s="6"/>
      <c r="F4537" s="6"/>
      <c r="G4537" s="6"/>
      <c r="H4537" s="6"/>
      <c r="I4537" s="6"/>
      <c r="J4537" s="6"/>
      <c r="K4537" s="6"/>
      <c r="L4537" s="6"/>
      <c r="M4537" s="6"/>
      <c r="N4537" s="6"/>
      <c r="O4537" s="6"/>
      <c r="P4537" s="6"/>
      <c r="Q4537" s="6"/>
      <c r="R4537" s="6"/>
      <c r="S4537" s="6"/>
      <c r="T4537" s="6"/>
      <c r="U4537" s="6"/>
      <c r="V4537" s="6"/>
      <c r="W4537" s="6"/>
      <c r="X4537" s="6"/>
      <c r="Y4537" s="6"/>
      <c r="Z4537" s="6"/>
      <c r="AA4537" s="6"/>
      <c r="AB4537" s="6"/>
      <c r="AC4537" s="6"/>
      <c r="AD4537" s="6"/>
      <c r="AE4537" s="6"/>
      <c r="AF4537" s="6"/>
      <c r="AG4537" s="6"/>
      <c r="AH4537" s="6"/>
      <c r="AI4537" s="6"/>
      <c r="AJ4537" s="6"/>
      <c r="AK4537" s="6"/>
      <c r="AL4537" s="6"/>
      <c r="AM4537" s="6"/>
    </row>
    <row r="4538">
      <c r="A4538" s="6"/>
      <c r="B4538" s="6"/>
      <c r="C4538" s="6"/>
      <c r="D4538" s="6"/>
      <c r="E4538" s="6"/>
      <c r="F4538" s="6"/>
      <c r="G4538" s="6"/>
      <c r="H4538" s="6"/>
      <c r="I4538" s="6"/>
      <c r="J4538" s="6"/>
      <c r="K4538" s="6"/>
      <c r="L4538" s="6"/>
      <c r="M4538" s="6"/>
      <c r="N4538" s="6"/>
      <c r="O4538" s="6"/>
      <c r="P4538" s="6"/>
      <c r="Q4538" s="6"/>
      <c r="R4538" s="6"/>
      <c r="S4538" s="6"/>
      <c r="T4538" s="6"/>
      <c r="U4538" s="6"/>
      <c r="V4538" s="6"/>
      <c r="W4538" s="6"/>
      <c r="X4538" s="6"/>
      <c r="Y4538" s="6"/>
      <c r="Z4538" s="6"/>
      <c r="AA4538" s="6"/>
      <c r="AB4538" s="6"/>
      <c r="AC4538" s="6"/>
      <c r="AD4538" s="6"/>
      <c r="AE4538" s="6"/>
      <c r="AF4538" s="6"/>
      <c r="AG4538" s="6"/>
      <c r="AH4538" s="6"/>
      <c r="AI4538" s="6"/>
      <c r="AJ4538" s="6"/>
      <c r="AK4538" s="6"/>
      <c r="AL4538" s="6"/>
      <c r="AM4538" s="6"/>
    </row>
    <row r="4539">
      <c r="A4539" s="6"/>
      <c r="B4539" s="6"/>
      <c r="C4539" s="6"/>
      <c r="D4539" s="6"/>
      <c r="E4539" s="6"/>
      <c r="F4539" s="6"/>
      <c r="G4539" s="6"/>
      <c r="H4539" s="6"/>
      <c r="I4539" s="6"/>
      <c r="J4539" s="6"/>
      <c r="K4539" s="6"/>
      <c r="L4539" s="6"/>
      <c r="M4539" s="6"/>
      <c r="N4539" s="6"/>
      <c r="O4539" s="6"/>
      <c r="P4539" s="6"/>
      <c r="Q4539" s="6"/>
      <c r="R4539" s="6"/>
      <c r="S4539" s="6"/>
      <c r="T4539" s="6"/>
      <c r="U4539" s="6"/>
      <c r="V4539" s="6"/>
      <c r="W4539" s="6"/>
      <c r="X4539" s="6"/>
      <c r="Y4539" s="6"/>
      <c r="Z4539" s="6"/>
      <c r="AA4539" s="6"/>
      <c r="AB4539" s="6"/>
      <c r="AC4539" s="6"/>
      <c r="AD4539" s="6"/>
      <c r="AE4539" s="6"/>
      <c r="AF4539" s="6"/>
      <c r="AG4539" s="6"/>
      <c r="AH4539" s="6"/>
      <c r="AI4539" s="6"/>
      <c r="AJ4539" s="6"/>
      <c r="AK4539" s="6"/>
      <c r="AL4539" s="6"/>
      <c r="AM4539" s="6"/>
    </row>
    <row r="4540">
      <c r="A4540" s="6"/>
      <c r="B4540" s="6"/>
      <c r="C4540" s="6"/>
      <c r="D4540" s="6"/>
      <c r="E4540" s="6"/>
      <c r="F4540" s="6"/>
      <c r="G4540" s="6"/>
      <c r="H4540" s="6"/>
      <c r="I4540" s="6"/>
      <c r="J4540" s="6"/>
      <c r="K4540" s="6"/>
      <c r="L4540" s="6"/>
      <c r="M4540" s="6"/>
      <c r="N4540" s="6"/>
      <c r="O4540" s="6"/>
      <c r="P4540" s="6"/>
      <c r="Q4540" s="6"/>
      <c r="R4540" s="6"/>
      <c r="S4540" s="6"/>
      <c r="T4540" s="6"/>
      <c r="U4540" s="6"/>
      <c r="V4540" s="6"/>
      <c r="W4540" s="6"/>
      <c r="X4540" s="6"/>
      <c r="Y4540" s="6"/>
      <c r="Z4540" s="6"/>
      <c r="AA4540" s="6"/>
      <c r="AB4540" s="6"/>
      <c r="AC4540" s="6"/>
      <c r="AD4540" s="6"/>
      <c r="AE4540" s="6"/>
      <c r="AF4540" s="6"/>
      <c r="AG4540" s="6"/>
      <c r="AH4540" s="6"/>
      <c r="AI4540" s="6"/>
      <c r="AJ4540" s="6"/>
      <c r="AK4540" s="6"/>
      <c r="AL4540" s="6"/>
      <c r="AM4540" s="6"/>
    </row>
    <row r="4541">
      <c r="A4541" s="6"/>
      <c r="B4541" s="6"/>
      <c r="C4541" s="6"/>
      <c r="D4541" s="6"/>
      <c r="E4541" s="6"/>
      <c r="F4541" s="6"/>
      <c r="G4541" s="6"/>
      <c r="H4541" s="6"/>
      <c r="I4541" s="6"/>
      <c r="J4541" s="6"/>
      <c r="K4541" s="6"/>
      <c r="L4541" s="6"/>
      <c r="M4541" s="6"/>
      <c r="N4541" s="6"/>
      <c r="O4541" s="6"/>
      <c r="P4541" s="6"/>
      <c r="Q4541" s="6"/>
      <c r="R4541" s="6"/>
      <c r="S4541" s="6"/>
      <c r="T4541" s="6"/>
      <c r="U4541" s="6"/>
      <c r="V4541" s="6"/>
      <c r="W4541" s="6"/>
      <c r="X4541" s="6"/>
      <c r="Y4541" s="6"/>
      <c r="Z4541" s="6"/>
      <c r="AA4541" s="6"/>
      <c r="AB4541" s="6"/>
      <c r="AC4541" s="6"/>
      <c r="AD4541" s="6"/>
      <c r="AE4541" s="6"/>
      <c r="AF4541" s="6"/>
      <c r="AG4541" s="6"/>
      <c r="AH4541" s="6"/>
      <c r="AI4541" s="6"/>
      <c r="AJ4541" s="6"/>
      <c r="AK4541" s="6"/>
      <c r="AL4541" s="6"/>
      <c r="AM4541" s="6"/>
    </row>
    <row r="4542">
      <c r="A4542" s="6"/>
      <c r="B4542" s="6"/>
      <c r="C4542" s="6"/>
      <c r="D4542" s="6"/>
      <c r="E4542" s="6"/>
      <c r="F4542" s="6"/>
      <c r="G4542" s="6"/>
      <c r="H4542" s="6"/>
      <c r="I4542" s="6"/>
      <c r="J4542" s="6"/>
      <c r="K4542" s="6"/>
      <c r="L4542" s="6"/>
      <c r="M4542" s="6"/>
      <c r="N4542" s="6"/>
      <c r="O4542" s="6"/>
      <c r="P4542" s="6"/>
      <c r="Q4542" s="6"/>
      <c r="R4542" s="6"/>
      <c r="S4542" s="6"/>
      <c r="T4542" s="6"/>
      <c r="U4542" s="6"/>
      <c r="V4542" s="6"/>
      <c r="W4542" s="6"/>
      <c r="X4542" s="6"/>
      <c r="Y4542" s="6"/>
      <c r="Z4542" s="6"/>
      <c r="AA4542" s="6"/>
      <c r="AB4542" s="6"/>
      <c r="AC4542" s="6"/>
      <c r="AD4542" s="6"/>
      <c r="AE4542" s="6"/>
      <c r="AF4542" s="6"/>
      <c r="AG4542" s="6"/>
      <c r="AH4542" s="6"/>
      <c r="AI4542" s="6"/>
      <c r="AJ4542" s="6"/>
      <c r="AK4542" s="6"/>
      <c r="AL4542" s="6"/>
      <c r="AM4542" s="6"/>
    </row>
    <row r="4543">
      <c r="A4543" s="6"/>
      <c r="B4543" s="6"/>
      <c r="C4543" s="6"/>
      <c r="D4543" s="6"/>
      <c r="E4543" s="6"/>
      <c r="F4543" s="6"/>
      <c r="G4543" s="6"/>
      <c r="H4543" s="6"/>
      <c r="I4543" s="6"/>
      <c r="J4543" s="6"/>
      <c r="K4543" s="6"/>
      <c r="L4543" s="6"/>
      <c r="M4543" s="6"/>
      <c r="N4543" s="6"/>
      <c r="O4543" s="6"/>
      <c r="P4543" s="6"/>
      <c r="Q4543" s="6"/>
      <c r="R4543" s="6"/>
      <c r="S4543" s="6"/>
      <c r="T4543" s="6"/>
      <c r="U4543" s="6"/>
      <c r="V4543" s="6"/>
      <c r="W4543" s="6"/>
      <c r="X4543" s="6"/>
      <c r="Y4543" s="6"/>
      <c r="Z4543" s="6"/>
      <c r="AA4543" s="6"/>
      <c r="AB4543" s="6"/>
      <c r="AC4543" s="6"/>
      <c r="AD4543" s="6"/>
      <c r="AE4543" s="6"/>
      <c r="AF4543" s="6"/>
      <c r="AG4543" s="6"/>
      <c r="AH4543" s="6"/>
      <c r="AI4543" s="6"/>
      <c r="AJ4543" s="6"/>
      <c r="AK4543" s="6"/>
      <c r="AL4543" s="6"/>
      <c r="AM4543" s="6"/>
    </row>
    <row r="4544">
      <c r="A4544" s="6"/>
      <c r="B4544" s="6"/>
      <c r="C4544" s="6"/>
      <c r="D4544" s="6"/>
      <c r="E4544" s="6"/>
      <c r="F4544" s="6"/>
      <c r="G4544" s="6"/>
      <c r="H4544" s="6"/>
      <c r="I4544" s="6"/>
      <c r="J4544" s="6"/>
      <c r="K4544" s="6"/>
      <c r="L4544" s="6"/>
      <c r="M4544" s="6"/>
      <c r="N4544" s="6"/>
      <c r="O4544" s="6"/>
      <c r="P4544" s="6"/>
      <c r="Q4544" s="6"/>
      <c r="R4544" s="6"/>
      <c r="S4544" s="6"/>
      <c r="T4544" s="6"/>
      <c r="U4544" s="6"/>
      <c r="V4544" s="6"/>
      <c r="W4544" s="6"/>
      <c r="X4544" s="6"/>
      <c r="Y4544" s="6"/>
      <c r="Z4544" s="6"/>
      <c r="AA4544" s="6"/>
      <c r="AB4544" s="6"/>
      <c r="AC4544" s="6"/>
      <c r="AD4544" s="6"/>
      <c r="AE4544" s="6"/>
      <c r="AF4544" s="6"/>
      <c r="AG4544" s="6"/>
      <c r="AH4544" s="6"/>
      <c r="AI4544" s="6"/>
      <c r="AJ4544" s="6"/>
      <c r="AK4544" s="6"/>
      <c r="AL4544" s="6"/>
      <c r="AM4544" s="6"/>
    </row>
    <row r="4545">
      <c r="A4545" s="6"/>
      <c r="B4545" s="6"/>
      <c r="C4545" s="6"/>
      <c r="D4545" s="6"/>
      <c r="E4545" s="6"/>
      <c r="F4545" s="6"/>
      <c r="G4545" s="6"/>
      <c r="H4545" s="6"/>
      <c r="I4545" s="6"/>
      <c r="J4545" s="6"/>
      <c r="K4545" s="6"/>
      <c r="L4545" s="6"/>
      <c r="M4545" s="6"/>
      <c r="N4545" s="6"/>
      <c r="O4545" s="6"/>
      <c r="P4545" s="6"/>
      <c r="Q4545" s="6"/>
      <c r="R4545" s="6"/>
      <c r="S4545" s="6"/>
      <c r="T4545" s="6"/>
      <c r="U4545" s="6"/>
      <c r="V4545" s="6"/>
      <c r="W4545" s="6"/>
      <c r="X4545" s="6"/>
      <c r="Y4545" s="6"/>
      <c r="Z4545" s="6"/>
      <c r="AA4545" s="6"/>
      <c r="AB4545" s="6"/>
      <c r="AC4545" s="6"/>
      <c r="AD4545" s="6"/>
      <c r="AE4545" s="6"/>
      <c r="AF4545" s="6"/>
      <c r="AG4545" s="6"/>
      <c r="AH4545" s="6"/>
      <c r="AI4545" s="6"/>
      <c r="AJ4545" s="6"/>
      <c r="AK4545" s="6"/>
      <c r="AL4545" s="6"/>
      <c r="AM4545" s="6"/>
    </row>
    <row r="4546">
      <c r="A4546" s="6"/>
      <c r="B4546" s="6"/>
      <c r="C4546" s="6"/>
      <c r="D4546" s="6"/>
      <c r="E4546" s="6"/>
      <c r="F4546" s="6"/>
      <c r="G4546" s="6"/>
      <c r="H4546" s="6"/>
      <c r="I4546" s="6"/>
      <c r="J4546" s="6"/>
      <c r="K4546" s="6"/>
      <c r="L4546" s="6"/>
      <c r="M4546" s="6"/>
      <c r="N4546" s="6"/>
      <c r="O4546" s="6"/>
      <c r="P4546" s="6"/>
      <c r="Q4546" s="6"/>
      <c r="R4546" s="6"/>
      <c r="S4546" s="6"/>
      <c r="T4546" s="6"/>
      <c r="U4546" s="6"/>
      <c r="V4546" s="6"/>
      <c r="W4546" s="6"/>
      <c r="X4546" s="6"/>
      <c r="Y4546" s="6"/>
      <c r="Z4546" s="6"/>
      <c r="AA4546" s="6"/>
      <c r="AB4546" s="6"/>
      <c r="AC4546" s="6"/>
      <c r="AD4546" s="6"/>
      <c r="AE4546" s="6"/>
      <c r="AF4546" s="6"/>
      <c r="AG4546" s="6"/>
      <c r="AH4546" s="6"/>
      <c r="AI4546" s="6"/>
      <c r="AJ4546" s="6"/>
      <c r="AK4546" s="6"/>
      <c r="AL4546" s="6"/>
      <c r="AM4546" s="6"/>
    </row>
    <row r="4547">
      <c r="A4547" s="6"/>
      <c r="B4547" s="6"/>
      <c r="C4547" s="6"/>
      <c r="D4547" s="6"/>
      <c r="E4547" s="6"/>
      <c r="F4547" s="6"/>
      <c r="G4547" s="6"/>
      <c r="H4547" s="6"/>
      <c r="I4547" s="6"/>
      <c r="J4547" s="6"/>
      <c r="K4547" s="6"/>
      <c r="L4547" s="6"/>
      <c r="M4547" s="6"/>
      <c r="N4547" s="6"/>
      <c r="O4547" s="6"/>
      <c r="P4547" s="6"/>
      <c r="Q4547" s="6"/>
      <c r="R4547" s="6"/>
      <c r="S4547" s="6"/>
      <c r="T4547" s="6"/>
      <c r="U4547" s="6"/>
      <c r="V4547" s="6"/>
      <c r="W4547" s="6"/>
      <c r="X4547" s="6"/>
      <c r="Y4547" s="6"/>
      <c r="Z4547" s="6"/>
      <c r="AA4547" s="6"/>
      <c r="AB4547" s="6"/>
      <c r="AC4547" s="6"/>
      <c r="AD4547" s="6"/>
      <c r="AE4547" s="6"/>
      <c r="AF4547" s="6"/>
      <c r="AG4547" s="6"/>
      <c r="AH4547" s="6"/>
      <c r="AI4547" s="6"/>
      <c r="AJ4547" s="6"/>
      <c r="AK4547" s="6"/>
      <c r="AL4547" s="6"/>
      <c r="AM4547" s="6"/>
    </row>
    <row r="4548">
      <c r="A4548" s="6"/>
      <c r="B4548" s="6"/>
      <c r="C4548" s="6"/>
      <c r="D4548" s="6"/>
      <c r="E4548" s="6"/>
      <c r="F4548" s="6"/>
      <c r="G4548" s="6"/>
      <c r="H4548" s="6"/>
      <c r="I4548" s="6"/>
      <c r="J4548" s="6"/>
      <c r="K4548" s="6"/>
      <c r="L4548" s="6"/>
      <c r="M4548" s="6"/>
      <c r="N4548" s="6"/>
      <c r="O4548" s="6"/>
      <c r="P4548" s="6"/>
      <c r="Q4548" s="6"/>
      <c r="R4548" s="6"/>
      <c r="S4548" s="6"/>
      <c r="T4548" s="6"/>
      <c r="U4548" s="6"/>
      <c r="V4548" s="6"/>
      <c r="W4548" s="6"/>
      <c r="X4548" s="6"/>
      <c r="Y4548" s="6"/>
      <c r="Z4548" s="6"/>
      <c r="AA4548" s="6"/>
      <c r="AB4548" s="6"/>
      <c r="AC4548" s="6"/>
      <c r="AD4548" s="6"/>
      <c r="AE4548" s="6"/>
      <c r="AF4548" s="6"/>
      <c r="AG4548" s="6"/>
      <c r="AH4548" s="6"/>
      <c r="AI4548" s="6"/>
      <c r="AJ4548" s="6"/>
      <c r="AK4548" s="6"/>
      <c r="AL4548" s="6"/>
      <c r="AM4548" s="6"/>
    </row>
    <row r="4549">
      <c r="A4549" s="6"/>
      <c r="B4549" s="6"/>
      <c r="C4549" s="6"/>
      <c r="D4549" s="6"/>
      <c r="E4549" s="6"/>
      <c r="F4549" s="6"/>
      <c r="G4549" s="6"/>
      <c r="H4549" s="6"/>
      <c r="I4549" s="6"/>
      <c r="J4549" s="6"/>
      <c r="K4549" s="6"/>
      <c r="L4549" s="6"/>
      <c r="M4549" s="6"/>
      <c r="N4549" s="6"/>
      <c r="O4549" s="6"/>
      <c r="P4549" s="6"/>
      <c r="Q4549" s="6"/>
      <c r="R4549" s="6"/>
      <c r="S4549" s="6"/>
      <c r="T4549" s="6"/>
      <c r="U4549" s="6"/>
      <c r="V4549" s="6"/>
      <c r="W4549" s="6"/>
      <c r="X4549" s="6"/>
      <c r="Y4549" s="6"/>
      <c r="Z4549" s="6"/>
      <c r="AA4549" s="6"/>
      <c r="AB4549" s="6"/>
      <c r="AC4549" s="6"/>
      <c r="AD4549" s="6"/>
      <c r="AE4549" s="6"/>
      <c r="AF4549" s="6"/>
      <c r="AG4549" s="6"/>
      <c r="AH4549" s="6"/>
      <c r="AI4549" s="6"/>
      <c r="AJ4549" s="6"/>
      <c r="AK4549" s="6"/>
      <c r="AL4549" s="6"/>
      <c r="AM4549" s="6"/>
    </row>
    <row r="4550">
      <c r="A4550" s="6"/>
      <c r="B4550" s="6"/>
      <c r="C4550" s="6"/>
      <c r="D4550" s="6"/>
      <c r="E4550" s="6"/>
      <c r="F4550" s="6"/>
      <c r="G4550" s="6"/>
      <c r="H4550" s="6"/>
      <c r="I4550" s="6"/>
      <c r="J4550" s="6"/>
      <c r="K4550" s="6"/>
      <c r="L4550" s="6"/>
      <c r="M4550" s="6"/>
      <c r="N4550" s="6"/>
      <c r="O4550" s="6"/>
      <c r="P4550" s="6"/>
      <c r="Q4550" s="6"/>
      <c r="R4550" s="6"/>
      <c r="S4550" s="6"/>
      <c r="T4550" s="6"/>
      <c r="U4550" s="6"/>
      <c r="V4550" s="6"/>
      <c r="W4550" s="6"/>
      <c r="X4550" s="6"/>
      <c r="Y4550" s="6"/>
      <c r="Z4550" s="6"/>
      <c r="AA4550" s="6"/>
      <c r="AB4550" s="6"/>
      <c r="AC4550" s="6"/>
      <c r="AD4550" s="6"/>
      <c r="AE4550" s="6"/>
      <c r="AF4550" s="6"/>
      <c r="AG4550" s="6"/>
      <c r="AH4550" s="6"/>
      <c r="AI4550" s="6"/>
      <c r="AJ4550" s="6"/>
      <c r="AK4550" s="6"/>
      <c r="AL4550" s="6"/>
      <c r="AM4550" s="6"/>
    </row>
    <row r="4551">
      <c r="A4551" s="6"/>
      <c r="B4551" s="6"/>
      <c r="C4551" s="6"/>
      <c r="D4551" s="6"/>
      <c r="E4551" s="6"/>
      <c r="F4551" s="6"/>
      <c r="G4551" s="6"/>
      <c r="H4551" s="6"/>
      <c r="I4551" s="6"/>
      <c r="J4551" s="6"/>
      <c r="K4551" s="6"/>
      <c r="L4551" s="6"/>
      <c r="M4551" s="6"/>
      <c r="N4551" s="6"/>
      <c r="O4551" s="6"/>
      <c r="P4551" s="6"/>
      <c r="Q4551" s="6"/>
      <c r="R4551" s="6"/>
      <c r="S4551" s="6"/>
      <c r="T4551" s="6"/>
      <c r="U4551" s="6"/>
      <c r="V4551" s="6"/>
      <c r="W4551" s="6"/>
      <c r="X4551" s="6"/>
      <c r="Y4551" s="6"/>
      <c r="Z4551" s="6"/>
      <c r="AA4551" s="6"/>
      <c r="AB4551" s="6"/>
      <c r="AC4551" s="6"/>
      <c r="AD4551" s="6"/>
      <c r="AE4551" s="6"/>
      <c r="AF4551" s="6"/>
      <c r="AG4551" s="6"/>
      <c r="AH4551" s="6"/>
      <c r="AI4551" s="6"/>
      <c r="AJ4551" s="6"/>
      <c r="AK4551" s="6"/>
      <c r="AL4551" s="6"/>
      <c r="AM4551" s="6"/>
    </row>
    <row r="4552">
      <c r="A4552" s="6"/>
      <c r="B4552" s="6"/>
      <c r="C4552" s="6"/>
      <c r="D4552" s="6"/>
      <c r="E4552" s="6"/>
      <c r="F4552" s="6"/>
      <c r="G4552" s="6"/>
      <c r="H4552" s="6"/>
      <c r="I4552" s="6"/>
      <c r="J4552" s="6"/>
      <c r="K4552" s="6"/>
      <c r="L4552" s="6"/>
      <c r="M4552" s="6"/>
      <c r="N4552" s="6"/>
      <c r="O4552" s="6"/>
      <c r="P4552" s="6"/>
      <c r="Q4552" s="6"/>
      <c r="R4552" s="6"/>
      <c r="S4552" s="6"/>
      <c r="T4552" s="6"/>
      <c r="U4552" s="6"/>
      <c r="V4552" s="6"/>
      <c r="W4552" s="6"/>
      <c r="X4552" s="6"/>
      <c r="Y4552" s="6"/>
      <c r="Z4552" s="6"/>
      <c r="AA4552" s="6"/>
      <c r="AB4552" s="6"/>
      <c r="AC4552" s="6"/>
      <c r="AD4552" s="6"/>
      <c r="AE4552" s="6"/>
      <c r="AF4552" s="6"/>
      <c r="AG4552" s="6"/>
      <c r="AH4552" s="6"/>
      <c r="AI4552" s="6"/>
      <c r="AJ4552" s="6"/>
      <c r="AK4552" s="6"/>
      <c r="AL4552" s="6"/>
      <c r="AM4552" s="6"/>
    </row>
    <row r="4553">
      <c r="A4553" s="6"/>
      <c r="B4553" s="6"/>
      <c r="C4553" s="6"/>
      <c r="D4553" s="6"/>
      <c r="E4553" s="6"/>
      <c r="F4553" s="6"/>
      <c r="G4553" s="6"/>
      <c r="H4553" s="6"/>
      <c r="I4553" s="6"/>
      <c r="J4553" s="6"/>
      <c r="K4553" s="6"/>
      <c r="L4553" s="6"/>
      <c r="M4553" s="6"/>
      <c r="N4553" s="6"/>
      <c r="O4553" s="6"/>
      <c r="P4553" s="6"/>
      <c r="Q4553" s="6"/>
      <c r="R4553" s="6"/>
      <c r="S4553" s="6"/>
      <c r="T4553" s="6"/>
      <c r="U4553" s="6"/>
      <c r="V4553" s="6"/>
      <c r="W4553" s="6"/>
      <c r="X4553" s="6"/>
      <c r="Y4553" s="6"/>
      <c r="Z4553" s="6"/>
      <c r="AA4553" s="6"/>
      <c r="AB4553" s="6"/>
      <c r="AC4553" s="6"/>
      <c r="AD4553" s="6"/>
      <c r="AE4553" s="6"/>
      <c r="AF4553" s="6"/>
      <c r="AG4553" s="6"/>
      <c r="AH4553" s="6"/>
      <c r="AI4553" s="6"/>
      <c r="AJ4553" s="6"/>
      <c r="AK4553" s="6"/>
      <c r="AL4553" s="6"/>
      <c r="AM4553" s="6"/>
    </row>
    <row r="4554">
      <c r="A4554" s="6"/>
      <c r="B4554" s="6"/>
      <c r="C4554" s="6"/>
      <c r="D4554" s="6"/>
      <c r="E4554" s="6"/>
      <c r="F4554" s="6"/>
      <c r="G4554" s="6"/>
      <c r="H4554" s="6"/>
      <c r="I4554" s="6"/>
      <c r="J4554" s="6"/>
      <c r="K4554" s="6"/>
      <c r="L4554" s="6"/>
      <c r="M4554" s="6"/>
      <c r="N4554" s="6"/>
      <c r="O4554" s="6"/>
      <c r="P4554" s="6"/>
      <c r="Q4554" s="6"/>
      <c r="R4554" s="6"/>
      <c r="S4554" s="6"/>
      <c r="T4554" s="6"/>
      <c r="U4554" s="6"/>
      <c r="V4554" s="6"/>
      <c r="W4554" s="6"/>
      <c r="X4554" s="6"/>
      <c r="Y4554" s="6"/>
      <c r="Z4554" s="6"/>
      <c r="AA4554" s="6"/>
      <c r="AB4554" s="6"/>
      <c r="AC4554" s="6"/>
      <c r="AD4554" s="6"/>
      <c r="AE4554" s="6"/>
      <c r="AF4554" s="6"/>
      <c r="AG4554" s="6"/>
      <c r="AH4554" s="6"/>
      <c r="AI4554" s="6"/>
      <c r="AJ4554" s="6"/>
      <c r="AK4554" s="6"/>
      <c r="AL4554" s="6"/>
      <c r="AM4554" s="6"/>
    </row>
    <row r="4555">
      <c r="A4555" s="6"/>
      <c r="B4555" s="6"/>
      <c r="C4555" s="6"/>
      <c r="D4555" s="6"/>
      <c r="E4555" s="6"/>
      <c r="F4555" s="6"/>
      <c r="G4555" s="6"/>
      <c r="H4555" s="6"/>
      <c r="I4555" s="6"/>
      <c r="J4555" s="6"/>
      <c r="K4555" s="6"/>
      <c r="L4555" s="6"/>
      <c r="M4555" s="6"/>
      <c r="N4555" s="6"/>
      <c r="O4555" s="6"/>
      <c r="P4555" s="6"/>
      <c r="Q4555" s="6"/>
      <c r="R4555" s="6"/>
      <c r="S4555" s="6"/>
      <c r="T4555" s="6"/>
      <c r="U4555" s="6"/>
      <c r="V4555" s="6"/>
      <c r="W4555" s="6"/>
      <c r="X4555" s="6"/>
      <c r="Y4555" s="6"/>
      <c r="Z4555" s="6"/>
      <c r="AA4555" s="6"/>
      <c r="AB4555" s="6"/>
      <c r="AC4555" s="6"/>
      <c r="AD4555" s="6"/>
      <c r="AE4555" s="6"/>
      <c r="AF4555" s="6"/>
      <c r="AG4555" s="6"/>
      <c r="AH4555" s="6"/>
      <c r="AI4555" s="6"/>
      <c r="AJ4555" s="6"/>
      <c r="AK4555" s="6"/>
      <c r="AL4555" s="6"/>
      <c r="AM4555" s="6"/>
    </row>
    <row r="4556">
      <c r="A4556" s="6"/>
      <c r="B4556" s="6"/>
      <c r="C4556" s="6"/>
      <c r="D4556" s="6"/>
      <c r="E4556" s="6"/>
      <c r="F4556" s="6"/>
      <c r="G4556" s="6"/>
      <c r="H4556" s="6"/>
      <c r="I4556" s="6"/>
      <c r="J4556" s="6"/>
      <c r="K4556" s="6"/>
      <c r="L4556" s="6"/>
      <c r="M4556" s="6"/>
      <c r="N4556" s="6"/>
      <c r="O4556" s="6"/>
      <c r="P4556" s="6"/>
      <c r="Q4556" s="6"/>
      <c r="R4556" s="6"/>
      <c r="S4556" s="6"/>
      <c r="T4556" s="6"/>
      <c r="U4556" s="6"/>
      <c r="V4556" s="6"/>
      <c r="W4556" s="6"/>
      <c r="X4556" s="6"/>
      <c r="Y4556" s="6"/>
      <c r="Z4556" s="6"/>
      <c r="AA4556" s="6"/>
      <c r="AB4556" s="6"/>
      <c r="AC4556" s="6"/>
      <c r="AD4556" s="6"/>
      <c r="AE4556" s="6"/>
      <c r="AF4556" s="6"/>
      <c r="AG4556" s="6"/>
      <c r="AH4556" s="6"/>
      <c r="AI4556" s="6"/>
      <c r="AJ4556" s="6"/>
      <c r="AK4556" s="6"/>
      <c r="AL4556" s="6"/>
      <c r="AM4556" s="6"/>
    </row>
    <row r="4557">
      <c r="A4557" s="6"/>
      <c r="B4557" s="6"/>
      <c r="C4557" s="6"/>
      <c r="D4557" s="6"/>
      <c r="E4557" s="6"/>
      <c r="F4557" s="6"/>
      <c r="G4557" s="6"/>
      <c r="H4557" s="6"/>
      <c r="I4557" s="6"/>
      <c r="J4557" s="6"/>
      <c r="K4557" s="6"/>
      <c r="L4557" s="6"/>
      <c r="M4557" s="6"/>
      <c r="N4557" s="6"/>
      <c r="O4557" s="6"/>
      <c r="P4557" s="6"/>
      <c r="Q4557" s="6"/>
      <c r="R4557" s="6"/>
      <c r="S4557" s="6"/>
      <c r="T4557" s="6"/>
      <c r="U4557" s="6"/>
      <c r="V4557" s="6"/>
      <c r="W4557" s="6"/>
      <c r="X4557" s="6"/>
      <c r="Y4557" s="6"/>
      <c r="Z4557" s="6"/>
      <c r="AA4557" s="6"/>
      <c r="AB4557" s="6"/>
      <c r="AC4557" s="6"/>
      <c r="AD4557" s="6"/>
      <c r="AE4557" s="6"/>
      <c r="AF4557" s="6"/>
      <c r="AG4557" s="6"/>
      <c r="AH4557" s="6"/>
      <c r="AI4557" s="6"/>
      <c r="AJ4557" s="6"/>
      <c r="AK4557" s="6"/>
      <c r="AL4557" s="6"/>
      <c r="AM4557" s="6"/>
    </row>
    <row r="4558">
      <c r="A4558" s="6"/>
      <c r="B4558" s="6"/>
      <c r="C4558" s="6"/>
      <c r="D4558" s="6"/>
      <c r="E4558" s="6"/>
      <c r="F4558" s="6"/>
      <c r="G4558" s="6"/>
      <c r="H4558" s="6"/>
      <c r="I4558" s="6"/>
      <c r="J4558" s="6"/>
      <c r="K4558" s="6"/>
      <c r="L4558" s="6"/>
      <c r="M4558" s="6"/>
      <c r="N4558" s="6"/>
      <c r="O4558" s="6"/>
      <c r="P4558" s="6"/>
      <c r="Q4558" s="6"/>
      <c r="R4558" s="6"/>
      <c r="S4558" s="6"/>
      <c r="T4558" s="6"/>
      <c r="U4558" s="6"/>
      <c r="V4558" s="6"/>
      <c r="W4558" s="6"/>
      <c r="X4558" s="6"/>
      <c r="Y4558" s="6"/>
      <c r="Z4558" s="6"/>
      <c r="AA4558" s="6"/>
      <c r="AB4558" s="6"/>
      <c r="AC4558" s="6"/>
      <c r="AD4558" s="6"/>
      <c r="AE4558" s="6"/>
      <c r="AF4558" s="6"/>
      <c r="AG4558" s="6"/>
      <c r="AH4558" s="6"/>
      <c r="AI4558" s="6"/>
      <c r="AJ4558" s="6"/>
      <c r="AK4558" s="6"/>
      <c r="AL4558" s="6"/>
      <c r="AM4558" s="6"/>
    </row>
    <row r="4559">
      <c r="A4559" s="6"/>
      <c r="B4559" s="6"/>
      <c r="C4559" s="6"/>
      <c r="D4559" s="6"/>
      <c r="E4559" s="6"/>
      <c r="F4559" s="6"/>
      <c r="G4559" s="6"/>
      <c r="H4559" s="6"/>
      <c r="I4559" s="6"/>
      <c r="J4559" s="6"/>
      <c r="K4559" s="6"/>
      <c r="L4559" s="6"/>
      <c r="M4559" s="6"/>
      <c r="N4559" s="6"/>
      <c r="O4559" s="6"/>
      <c r="P4559" s="6"/>
      <c r="Q4559" s="6"/>
      <c r="R4559" s="6"/>
      <c r="S4559" s="6"/>
      <c r="T4559" s="6"/>
      <c r="U4559" s="6"/>
      <c r="V4559" s="6"/>
      <c r="W4559" s="6"/>
      <c r="X4559" s="6"/>
      <c r="Y4559" s="6"/>
      <c r="Z4559" s="6"/>
      <c r="AA4559" s="6"/>
      <c r="AB4559" s="6"/>
      <c r="AC4559" s="6"/>
      <c r="AD4559" s="6"/>
      <c r="AE4559" s="6"/>
      <c r="AF4559" s="6"/>
      <c r="AG4559" s="6"/>
      <c r="AH4559" s="6"/>
      <c r="AI4559" s="6"/>
      <c r="AJ4559" s="6"/>
      <c r="AK4559" s="6"/>
      <c r="AL4559" s="6"/>
      <c r="AM4559" s="6"/>
    </row>
    <row r="4560">
      <c r="A4560" s="6"/>
      <c r="B4560" s="6"/>
      <c r="C4560" s="6"/>
      <c r="D4560" s="6"/>
      <c r="E4560" s="6"/>
      <c r="F4560" s="6"/>
      <c r="G4560" s="6"/>
      <c r="H4560" s="6"/>
      <c r="I4560" s="6"/>
      <c r="J4560" s="6"/>
      <c r="K4560" s="6"/>
      <c r="L4560" s="6"/>
      <c r="M4560" s="6"/>
      <c r="N4560" s="6"/>
      <c r="O4560" s="6"/>
      <c r="P4560" s="6"/>
      <c r="Q4560" s="6"/>
      <c r="R4560" s="6"/>
      <c r="S4560" s="6"/>
      <c r="T4560" s="6"/>
      <c r="U4560" s="6"/>
      <c r="V4560" s="6"/>
      <c r="W4560" s="6"/>
      <c r="X4560" s="6"/>
      <c r="Y4560" s="6"/>
      <c r="Z4560" s="6"/>
      <c r="AA4560" s="6"/>
      <c r="AB4560" s="6"/>
      <c r="AC4560" s="6"/>
      <c r="AD4560" s="6"/>
      <c r="AE4560" s="6"/>
      <c r="AF4560" s="6"/>
      <c r="AG4560" s="6"/>
      <c r="AH4560" s="6"/>
      <c r="AI4560" s="6"/>
      <c r="AJ4560" s="6"/>
      <c r="AK4560" s="6"/>
      <c r="AL4560" s="6"/>
      <c r="AM4560" s="6"/>
    </row>
    <row r="4561">
      <c r="A4561" s="6"/>
      <c r="B4561" s="6"/>
      <c r="C4561" s="6"/>
      <c r="D4561" s="6"/>
      <c r="E4561" s="6"/>
      <c r="F4561" s="6"/>
      <c r="G4561" s="6"/>
      <c r="H4561" s="6"/>
      <c r="I4561" s="6"/>
      <c r="J4561" s="6"/>
      <c r="K4561" s="6"/>
      <c r="L4561" s="6"/>
      <c r="M4561" s="6"/>
      <c r="N4561" s="6"/>
      <c r="O4561" s="6"/>
      <c r="P4561" s="6"/>
      <c r="Q4561" s="6"/>
      <c r="R4561" s="6"/>
      <c r="S4561" s="6"/>
      <c r="T4561" s="6"/>
      <c r="U4561" s="6"/>
      <c r="V4561" s="6"/>
      <c r="W4561" s="6"/>
      <c r="X4561" s="6"/>
      <c r="Y4561" s="6"/>
      <c r="Z4561" s="6"/>
      <c r="AA4561" s="6"/>
      <c r="AB4561" s="6"/>
      <c r="AC4561" s="6"/>
      <c r="AD4561" s="6"/>
      <c r="AE4561" s="6"/>
      <c r="AF4561" s="6"/>
      <c r="AG4561" s="6"/>
      <c r="AH4561" s="6"/>
      <c r="AI4561" s="6"/>
      <c r="AJ4561" s="6"/>
      <c r="AK4561" s="6"/>
      <c r="AL4561" s="6"/>
      <c r="AM4561" s="6"/>
    </row>
    <row r="4562">
      <c r="A4562" s="6"/>
      <c r="B4562" s="6"/>
      <c r="C4562" s="6"/>
      <c r="D4562" s="6"/>
      <c r="E4562" s="6"/>
      <c r="F4562" s="6"/>
      <c r="G4562" s="6"/>
      <c r="H4562" s="6"/>
      <c r="I4562" s="6"/>
      <c r="J4562" s="6"/>
      <c r="K4562" s="6"/>
      <c r="L4562" s="6"/>
      <c r="M4562" s="6"/>
      <c r="N4562" s="6"/>
      <c r="O4562" s="6"/>
      <c r="P4562" s="6"/>
      <c r="Q4562" s="6"/>
      <c r="R4562" s="6"/>
      <c r="S4562" s="6"/>
      <c r="T4562" s="6"/>
      <c r="U4562" s="6"/>
      <c r="V4562" s="6"/>
      <c r="W4562" s="6"/>
      <c r="X4562" s="6"/>
      <c r="Y4562" s="6"/>
      <c r="Z4562" s="6"/>
      <c r="AA4562" s="6"/>
      <c r="AB4562" s="6"/>
      <c r="AC4562" s="6"/>
      <c r="AD4562" s="6"/>
      <c r="AE4562" s="6"/>
      <c r="AF4562" s="6"/>
      <c r="AG4562" s="6"/>
      <c r="AH4562" s="6"/>
      <c r="AI4562" s="6"/>
      <c r="AJ4562" s="6"/>
      <c r="AK4562" s="6"/>
      <c r="AL4562" s="6"/>
      <c r="AM4562" s="6"/>
    </row>
    <row r="4563">
      <c r="A4563" s="6"/>
      <c r="B4563" s="6"/>
      <c r="C4563" s="6"/>
      <c r="D4563" s="6"/>
      <c r="E4563" s="6"/>
      <c r="F4563" s="6"/>
      <c r="G4563" s="6"/>
      <c r="H4563" s="6"/>
      <c r="I4563" s="6"/>
      <c r="J4563" s="6"/>
      <c r="K4563" s="6"/>
      <c r="L4563" s="6"/>
      <c r="M4563" s="6"/>
      <c r="N4563" s="6"/>
      <c r="O4563" s="6"/>
      <c r="P4563" s="6"/>
      <c r="Q4563" s="6"/>
      <c r="R4563" s="6"/>
      <c r="S4563" s="6"/>
      <c r="T4563" s="6"/>
      <c r="U4563" s="6"/>
      <c r="V4563" s="6"/>
      <c r="W4563" s="6"/>
      <c r="X4563" s="6"/>
      <c r="Y4563" s="6"/>
      <c r="Z4563" s="6"/>
      <c r="AA4563" s="6"/>
      <c r="AB4563" s="6"/>
      <c r="AC4563" s="6"/>
      <c r="AD4563" s="6"/>
      <c r="AE4563" s="6"/>
      <c r="AF4563" s="6"/>
      <c r="AG4563" s="6"/>
      <c r="AH4563" s="6"/>
      <c r="AI4563" s="6"/>
      <c r="AJ4563" s="6"/>
      <c r="AK4563" s="6"/>
      <c r="AL4563" s="6"/>
      <c r="AM4563" s="6"/>
    </row>
    <row r="4564">
      <c r="A4564" s="6"/>
      <c r="B4564" s="6"/>
      <c r="C4564" s="6"/>
      <c r="D4564" s="6"/>
      <c r="E4564" s="6"/>
      <c r="F4564" s="6"/>
      <c r="G4564" s="6"/>
      <c r="H4564" s="6"/>
      <c r="I4564" s="6"/>
      <c r="J4564" s="6"/>
      <c r="K4564" s="6"/>
      <c r="L4564" s="6"/>
      <c r="M4564" s="6"/>
      <c r="N4564" s="6"/>
      <c r="O4564" s="6"/>
      <c r="P4564" s="6"/>
      <c r="Q4564" s="6"/>
      <c r="R4564" s="6"/>
      <c r="S4564" s="6"/>
      <c r="T4564" s="6"/>
      <c r="U4564" s="6"/>
      <c r="V4564" s="6"/>
      <c r="W4564" s="6"/>
      <c r="X4564" s="6"/>
      <c r="Y4564" s="6"/>
      <c r="Z4564" s="6"/>
      <c r="AA4564" s="6"/>
      <c r="AB4564" s="6"/>
      <c r="AC4564" s="6"/>
      <c r="AD4564" s="6"/>
      <c r="AE4564" s="6"/>
      <c r="AF4564" s="6"/>
      <c r="AG4564" s="6"/>
      <c r="AH4564" s="6"/>
      <c r="AI4564" s="6"/>
      <c r="AJ4564" s="6"/>
      <c r="AK4564" s="6"/>
      <c r="AL4564" s="6"/>
      <c r="AM4564" s="6"/>
    </row>
    <row r="4565">
      <c r="A4565" s="6"/>
      <c r="B4565" s="6"/>
      <c r="C4565" s="6"/>
      <c r="D4565" s="6"/>
      <c r="E4565" s="6"/>
      <c r="F4565" s="6"/>
      <c r="G4565" s="6"/>
      <c r="H4565" s="6"/>
      <c r="I4565" s="6"/>
      <c r="J4565" s="6"/>
      <c r="K4565" s="6"/>
      <c r="L4565" s="6"/>
      <c r="M4565" s="6"/>
      <c r="N4565" s="6"/>
      <c r="O4565" s="6"/>
      <c r="P4565" s="6"/>
      <c r="Q4565" s="6"/>
      <c r="R4565" s="6"/>
      <c r="S4565" s="6"/>
      <c r="T4565" s="6"/>
      <c r="U4565" s="6"/>
      <c r="V4565" s="6"/>
      <c r="W4565" s="6"/>
      <c r="X4565" s="6"/>
      <c r="Y4565" s="6"/>
      <c r="Z4565" s="6"/>
      <c r="AA4565" s="6"/>
      <c r="AB4565" s="6"/>
      <c r="AC4565" s="6"/>
      <c r="AD4565" s="6"/>
      <c r="AE4565" s="6"/>
      <c r="AF4565" s="6"/>
      <c r="AG4565" s="6"/>
      <c r="AH4565" s="6"/>
      <c r="AI4565" s="6"/>
      <c r="AJ4565" s="6"/>
      <c r="AK4565" s="6"/>
      <c r="AL4565" s="6"/>
      <c r="AM4565" s="6"/>
    </row>
    <row r="4566">
      <c r="A4566" s="6"/>
      <c r="B4566" s="6"/>
      <c r="C4566" s="6"/>
      <c r="D4566" s="6"/>
      <c r="E4566" s="6"/>
      <c r="F4566" s="6"/>
      <c r="G4566" s="6"/>
      <c r="H4566" s="6"/>
      <c r="I4566" s="6"/>
      <c r="J4566" s="6"/>
      <c r="K4566" s="6"/>
      <c r="L4566" s="6"/>
      <c r="M4566" s="6"/>
      <c r="N4566" s="6"/>
      <c r="O4566" s="6"/>
      <c r="P4566" s="6"/>
      <c r="Q4566" s="6"/>
      <c r="R4566" s="6"/>
      <c r="S4566" s="6"/>
      <c r="T4566" s="6"/>
      <c r="U4566" s="6"/>
      <c r="V4566" s="6"/>
      <c r="W4566" s="6"/>
      <c r="X4566" s="6"/>
      <c r="Y4566" s="6"/>
      <c r="Z4566" s="6"/>
      <c r="AA4566" s="6"/>
      <c r="AB4566" s="6"/>
      <c r="AC4566" s="6"/>
      <c r="AD4566" s="6"/>
      <c r="AE4566" s="6"/>
      <c r="AF4566" s="6"/>
      <c r="AG4566" s="6"/>
      <c r="AH4566" s="6"/>
      <c r="AI4566" s="6"/>
      <c r="AJ4566" s="6"/>
      <c r="AK4566" s="6"/>
      <c r="AL4566" s="6"/>
      <c r="AM4566" s="6"/>
    </row>
    <row r="4567">
      <c r="A4567" s="6"/>
      <c r="B4567" s="6"/>
      <c r="C4567" s="6"/>
      <c r="D4567" s="6"/>
      <c r="E4567" s="6"/>
      <c r="F4567" s="6"/>
      <c r="G4567" s="6"/>
      <c r="H4567" s="6"/>
      <c r="I4567" s="6"/>
      <c r="J4567" s="6"/>
      <c r="K4567" s="6"/>
      <c r="L4567" s="6"/>
      <c r="M4567" s="6"/>
      <c r="N4567" s="6"/>
      <c r="O4567" s="6"/>
      <c r="P4567" s="6"/>
      <c r="Q4567" s="6"/>
      <c r="R4567" s="6"/>
      <c r="S4567" s="6"/>
      <c r="T4567" s="6"/>
      <c r="U4567" s="6"/>
      <c r="V4567" s="6"/>
      <c r="W4567" s="6"/>
      <c r="X4567" s="6"/>
      <c r="Y4567" s="6"/>
      <c r="Z4567" s="6"/>
      <c r="AA4567" s="6"/>
      <c r="AB4567" s="6"/>
      <c r="AC4567" s="6"/>
      <c r="AD4567" s="6"/>
      <c r="AE4567" s="6"/>
      <c r="AF4567" s="6"/>
      <c r="AG4567" s="6"/>
      <c r="AH4567" s="6"/>
      <c r="AI4567" s="6"/>
      <c r="AJ4567" s="6"/>
      <c r="AK4567" s="6"/>
      <c r="AL4567" s="6"/>
      <c r="AM4567" s="6"/>
    </row>
    <row r="4568">
      <c r="A4568" s="6"/>
      <c r="B4568" s="6"/>
      <c r="C4568" s="6"/>
      <c r="D4568" s="6"/>
      <c r="E4568" s="6"/>
      <c r="F4568" s="6"/>
      <c r="G4568" s="6"/>
      <c r="H4568" s="6"/>
      <c r="I4568" s="6"/>
      <c r="J4568" s="6"/>
      <c r="K4568" s="6"/>
      <c r="L4568" s="6"/>
      <c r="M4568" s="6"/>
      <c r="N4568" s="6"/>
      <c r="O4568" s="6"/>
      <c r="P4568" s="6"/>
      <c r="Q4568" s="6"/>
      <c r="R4568" s="6"/>
      <c r="S4568" s="6"/>
      <c r="T4568" s="6"/>
      <c r="U4568" s="6"/>
      <c r="V4568" s="6"/>
      <c r="W4568" s="6"/>
      <c r="X4568" s="6"/>
      <c r="Y4568" s="6"/>
      <c r="Z4568" s="6"/>
      <c r="AA4568" s="6"/>
      <c r="AB4568" s="6"/>
      <c r="AC4568" s="6"/>
      <c r="AD4568" s="6"/>
      <c r="AE4568" s="6"/>
      <c r="AF4568" s="6"/>
      <c r="AG4568" s="6"/>
      <c r="AH4568" s="6"/>
      <c r="AI4568" s="6"/>
      <c r="AJ4568" s="6"/>
      <c r="AK4568" s="6"/>
      <c r="AL4568" s="6"/>
      <c r="AM4568" s="6"/>
    </row>
    <row r="4569">
      <c r="A4569" s="6"/>
      <c r="B4569" s="6"/>
      <c r="C4569" s="6"/>
      <c r="D4569" s="6"/>
      <c r="E4569" s="6"/>
      <c r="F4569" s="6"/>
      <c r="G4569" s="6"/>
      <c r="H4569" s="6"/>
      <c r="I4569" s="6"/>
      <c r="J4569" s="6"/>
      <c r="K4569" s="6"/>
      <c r="L4569" s="6"/>
      <c r="M4569" s="6"/>
      <c r="N4569" s="6"/>
      <c r="O4569" s="6"/>
      <c r="P4569" s="6"/>
      <c r="Q4569" s="6"/>
      <c r="R4569" s="6"/>
      <c r="S4569" s="6"/>
      <c r="T4569" s="6"/>
      <c r="U4569" s="6"/>
      <c r="V4569" s="6"/>
      <c r="W4569" s="6"/>
      <c r="X4569" s="6"/>
      <c r="Y4569" s="6"/>
      <c r="Z4569" s="6"/>
      <c r="AA4569" s="6"/>
      <c r="AB4569" s="6"/>
      <c r="AC4569" s="6"/>
      <c r="AD4569" s="6"/>
      <c r="AE4569" s="6"/>
      <c r="AF4569" s="6"/>
      <c r="AG4569" s="6"/>
      <c r="AH4569" s="6"/>
      <c r="AI4569" s="6"/>
      <c r="AJ4569" s="6"/>
      <c r="AK4569" s="6"/>
      <c r="AL4569" s="6"/>
      <c r="AM4569" s="6"/>
    </row>
    <row r="4570">
      <c r="A4570" s="6"/>
      <c r="B4570" s="6"/>
      <c r="C4570" s="6"/>
      <c r="D4570" s="6"/>
      <c r="E4570" s="6"/>
      <c r="F4570" s="6"/>
      <c r="G4570" s="6"/>
      <c r="H4570" s="6"/>
      <c r="I4570" s="6"/>
      <c r="J4570" s="6"/>
      <c r="K4570" s="6"/>
      <c r="L4570" s="6"/>
      <c r="M4570" s="6"/>
      <c r="N4570" s="6"/>
      <c r="O4570" s="6"/>
      <c r="P4570" s="6"/>
      <c r="Q4570" s="6"/>
      <c r="R4570" s="6"/>
      <c r="S4570" s="6"/>
      <c r="T4570" s="6"/>
      <c r="U4570" s="6"/>
      <c r="V4570" s="6"/>
      <c r="W4570" s="6"/>
      <c r="X4570" s="6"/>
      <c r="Y4570" s="6"/>
      <c r="Z4570" s="6"/>
      <c r="AA4570" s="6"/>
      <c r="AB4570" s="6"/>
      <c r="AC4570" s="6"/>
      <c r="AD4570" s="6"/>
      <c r="AE4570" s="6"/>
      <c r="AF4570" s="6"/>
      <c r="AG4570" s="6"/>
      <c r="AH4570" s="6"/>
      <c r="AI4570" s="6"/>
      <c r="AJ4570" s="6"/>
      <c r="AK4570" s="6"/>
      <c r="AL4570" s="6"/>
      <c r="AM4570" s="6"/>
    </row>
    <row r="4571">
      <c r="A4571" s="6"/>
      <c r="B4571" s="6"/>
      <c r="C4571" s="6"/>
      <c r="D4571" s="6"/>
      <c r="E4571" s="6"/>
      <c r="F4571" s="6"/>
      <c r="G4571" s="6"/>
      <c r="H4571" s="6"/>
      <c r="I4571" s="6"/>
      <c r="J4571" s="6"/>
      <c r="K4571" s="6"/>
      <c r="L4571" s="6"/>
      <c r="M4571" s="6"/>
      <c r="N4571" s="6"/>
      <c r="O4571" s="6"/>
      <c r="P4571" s="6"/>
      <c r="Q4571" s="6"/>
      <c r="R4571" s="6"/>
      <c r="S4571" s="6"/>
      <c r="T4571" s="6"/>
      <c r="U4571" s="6"/>
      <c r="V4571" s="6"/>
      <c r="W4571" s="6"/>
      <c r="X4571" s="6"/>
      <c r="Y4571" s="6"/>
      <c r="Z4571" s="6"/>
      <c r="AA4571" s="6"/>
      <c r="AB4571" s="6"/>
      <c r="AC4571" s="6"/>
      <c r="AD4571" s="6"/>
      <c r="AE4571" s="6"/>
      <c r="AF4571" s="6"/>
      <c r="AG4571" s="6"/>
      <c r="AH4571" s="6"/>
      <c r="AI4571" s="6"/>
      <c r="AJ4571" s="6"/>
      <c r="AK4571" s="6"/>
      <c r="AL4571" s="6"/>
      <c r="AM4571" s="6"/>
    </row>
    <row r="4572">
      <c r="A4572" s="6"/>
      <c r="B4572" s="6"/>
      <c r="C4572" s="6"/>
      <c r="D4572" s="6"/>
      <c r="E4572" s="6"/>
      <c r="F4572" s="6"/>
      <c r="G4572" s="6"/>
      <c r="H4572" s="6"/>
      <c r="I4572" s="6"/>
      <c r="J4572" s="6"/>
      <c r="K4572" s="6"/>
      <c r="L4572" s="6"/>
      <c r="M4572" s="6"/>
      <c r="N4572" s="6"/>
      <c r="O4572" s="6"/>
      <c r="P4572" s="6"/>
      <c r="Q4572" s="6"/>
      <c r="R4572" s="6"/>
      <c r="S4572" s="6"/>
      <c r="T4572" s="6"/>
      <c r="U4572" s="6"/>
      <c r="V4572" s="6"/>
      <c r="W4572" s="6"/>
      <c r="X4572" s="6"/>
      <c r="Y4572" s="6"/>
      <c r="Z4572" s="6"/>
      <c r="AA4572" s="6"/>
      <c r="AB4572" s="6"/>
      <c r="AC4572" s="6"/>
      <c r="AD4572" s="6"/>
      <c r="AE4572" s="6"/>
      <c r="AF4572" s="6"/>
      <c r="AG4572" s="6"/>
      <c r="AH4572" s="6"/>
      <c r="AI4572" s="6"/>
      <c r="AJ4572" s="6"/>
      <c r="AK4572" s="6"/>
      <c r="AL4572" s="6"/>
      <c r="AM4572" s="6"/>
    </row>
    <row r="4573">
      <c r="A4573" s="6"/>
      <c r="B4573" s="6"/>
      <c r="C4573" s="6"/>
      <c r="D4573" s="6"/>
      <c r="E4573" s="6"/>
      <c r="F4573" s="6"/>
      <c r="G4573" s="6"/>
      <c r="H4573" s="6"/>
      <c r="I4573" s="6"/>
      <c r="J4573" s="6"/>
      <c r="K4573" s="6"/>
      <c r="L4573" s="6"/>
      <c r="M4573" s="6"/>
      <c r="N4573" s="6"/>
      <c r="O4573" s="6"/>
      <c r="P4573" s="6"/>
      <c r="Q4573" s="6"/>
      <c r="R4573" s="6"/>
      <c r="S4573" s="6"/>
      <c r="T4573" s="6"/>
      <c r="U4573" s="6"/>
      <c r="V4573" s="6"/>
      <c r="W4573" s="6"/>
      <c r="X4573" s="6"/>
      <c r="Y4573" s="6"/>
      <c r="Z4573" s="6"/>
      <c r="AA4573" s="6"/>
      <c r="AB4573" s="6"/>
      <c r="AC4573" s="6"/>
      <c r="AD4573" s="6"/>
      <c r="AE4573" s="6"/>
      <c r="AF4573" s="6"/>
      <c r="AG4573" s="6"/>
      <c r="AH4573" s="6"/>
      <c r="AI4573" s="6"/>
      <c r="AJ4573" s="6"/>
      <c r="AK4573" s="6"/>
      <c r="AL4573" s="6"/>
      <c r="AM4573" s="6"/>
    </row>
    <row r="4574">
      <c r="A4574" s="6"/>
      <c r="B4574" s="6"/>
      <c r="C4574" s="6"/>
      <c r="D4574" s="6"/>
      <c r="E4574" s="6"/>
      <c r="F4574" s="6"/>
      <c r="G4574" s="6"/>
      <c r="H4574" s="6"/>
      <c r="I4574" s="6"/>
      <c r="J4574" s="6"/>
      <c r="K4574" s="6"/>
      <c r="L4574" s="6"/>
      <c r="M4574" s="6"/>
      <c r="N4574" s="6"/>
      <c r="O4574" s="6"/>
      <c r="P4574" s="6"/>
      <c r="Q4574" s="6"/>
      <c r="R4574" s="6"/>
      <c r="S4574" s="6"/>
      <c r="T4574" s="6"/>
      <c r="U4574" s="6"/>
      <c r="V4574" s="6"/>
      <c r="W4574" s="6"/>
      <c r="X4574" s="6"/>
      <c r="Y4574" s="6"/>
      <c r="Z4574" s="6"/>
      <c r="AA4574" s="6"/>
      <c r="AB4574" s="6"/>
      <c r="AC4574" s="6"/>
      <c r="AD4574" s="6"/>
      <c r="AE4574" s="6"/>
      <c r="AF4574" s="6"/>
      <c r="AG4574" s="6"/>
      <c r="AH4574" s="6"/>
      <c r="AI4574" s="6"/>
      <c r="AJ4574" s="6"/>
      <c r="AK4574" s="6"/>
      <c r="AL4574" s="6"/>
      <c r="AM4574" s="6"/>
    </row>
    <row r="4575">
      <c r="A4575" s="6"/>
      <c r="B4575" s="6"/>
      <c r="C4575" s="6"/>
      <c r="D4575" s="6"/>
      <c r="E4575" s="6"/>
      <c r="F4575" s="6"/>
      <c r="G4575" s="6"/>
      <c r="H4575" s="6"/>
      <c r="I4575" s="6"/>
      <c r="J4575" s="6"/>
      <c r="K4575" s="6"/>
      <c r="L4575" s="6"/>
      <c r="M4575" s="6"/>
      <c r="N4575" s="6"/>
      <c r="O4575" s="6"/>
      <c r="P4575" s="6"/>
      <c r="Q4575" s="6"/>
      <c r="R4575" s="6"/>
      <c r="S4575" s="6"/>
      <c r="T4575" s="6"/>
      <c r="U4575" s="6"/>
      <c r="V4575" s="6"/>
      <c r="W4575" s="6"/>
      <c r="X4575" s="6"/>
      <c r="Y4575" s="6"/>
      <c r="Z4575" s="6"/>
      <c r="AA4575" s="6"/>
      <c r="AB4575" s="6"/>
      <c r="AC4575" s="6"/>
      <c r="AD4575" s="6"/>
      <c r="AE4575" s="6"/>
      <c r="AF4575" s="6"/>
      <c r="AG4575" s="6"/>
      <c r="AH4575" s="6"/>
      <c r="AI4575" s="6"/>
      <c r="AJ4575" s="6"/>
      <c r="AK4575" s="6"/>
      <c r="AL4575" s="6"/>
      <c r="AM4575" s="6"/>
    </row>
    <row r="4576">
      <c r="A4576" s="6"/>
      <c r="B4576" s="6"/>
      <c r="C4576" s="6"/>
      <c r="D4576" s="6"/>
      <c r="E4576" s="6"/>
      <c r="F4576" s="6"/>
      <c r="G4576" s="6"/>
      <c r="H4576" s="6"/>
      <c r="I4576" s="6"/>
      <c r="J4576" s="6"/>
      <c r="K4576" s="6"/>
      <c r="L4576" s="6"/>
      <c r="M4576" s="6"/>
      <c r="N4576" s="6"/>
      <c r="O4576" s="6"/>
      <c r="P4576" s="6"/>
      <c r="Q4576" s="6"/>
      <c r="R4576" s="6"/>
      <c r="S4576" s="6"/>
      <c r="T4576" s="6"/>
      <c r="U4576" s="6"/>
      <c r="V4576" s="6"/>
      <c r="W4576" s="6"/>
      <c r="X4576" s="6"/>
      <c r="Y4576" s="6"/>
      <c r="Z4576" s="6"/>
      <c r="AA4576" s="6"/>
      <c r="AB4576" s="6"/>
      <c r="AC4576" s="6"/>
      <c r="AD4576" s="6"/>
      <c r="AE4576" s="6"/>
      <c r="AF4576" s="6"/>
      <c r="AG4576" s="6"/>
      <c r="AH4576" s="6"/>
      <c r="AI4576" s="6"/>
      <c r="AJ4576" s="6"/>
      <c r="AK4576" s="6"/>
      <c r="AL4576" s="6"/>
      <c r="AM4576" s="6"/>
    </row>
    <row r="4577">
      <c r="A4577" s="6"/>
      <c r="B4577" s="6"/>
      <c r="C4577" s="6"/>
      <c r="D4577" s="6"/>
      <c r="E4577" s="6"/>
      <c r="F4577" s="6"/>
      <c r="G4577" s="6"/>
      <c r="H4577" s="6"/>
      <c r="I4577" s="6"/>
      <c r="J4577" s="6"/>
      <c r="K4577" s="6"/>
      <c r="L4577" s="6"/>
      <c r="M4577" s="6"/>
      <c r="N4577" s="6"/>
      <c r="O4577" s="6"/>
      <c r="P4577" s="6"/>
      <c r="Q4577" s="6"/>
      <c r="R4577" s="6"/>
      <c r="S4577" s="6"/>
      <c r="T4577" s="6"/>
      <c r="U4577" s="6"/>
      <c r="V4577" s="6"/>
      <c r="W4577" s="6"/>
      <c r="X4577" s="6"/>
      <c r="Y4577" s="6"/>
      <c r="Z4577" s="6"/>
      <c r="AA4577" s="6"/>
      <c r="AB4577" s="6"/>
      <c r="AC4577" s="6"/>
      <c r="AD4577" s="6"/>
      <c r="AE4577" s="6"/>
      <c r="AF4577" s="6"/>
      <c r="AG4577" s="6"/>
      <c r="AH4577" s="6"/>
      <c r="AI4577" s="6"/>
      <c r="AJ4577" s="6"/>
      <c r="AK4577" s="6"/>
      <c r="AL4577" s="6"/>
      <c r="AM4577" s="6"/>
    </row>
    <row r="4578">
      <c r="A4578" s="6"/>
      <c r="B4578" s="6"/>
      <c r="C4578" s="6"/>
      <c r="D4578" s="6"/>
      <c r="E4578" s="6"/>
      <c r="F4578" s="6"/>
      <c r="G4578" s="6"/>
      <c r="H4578" s="6"/>
      <c r="I4578" s="6"/>
      <c r="J4578" s="6"/>
      <c r="K4578" s="6"/>
      <c r="L4578" s="6"/>
      <c r="M4578" s="6"/>
      <c r="N4578" s="6"/>
      <c r="O4578" s="6"/>
      <c r="P4578" s="6"/>
      <c r="Q4578" s="6"/>
      <c r="R4578" s="6"/>
      <c r="S4578" s="6"/>
      <c r="T4578" s="6"/>
      <c r="U4578" s="6"/>
      <c r="V4578" s="6"/>
      <c r="W4578" s="6"/>
      <c r="X4578" s="6"/>
      <c r="Y4578" s="6"/>
      <c r="Z4578" s="6"/>
      <c r="AA4578" s="6"/>
      <c r="AB4578" s="6"/>
      <c r="AC4578" s="6"/>
      <c r="AD4578" s="6"/>
      <c r="AE4578" s="6"/>
      <c r="AF4578" s="6"/>
      <c r="AG4578" s="6"/>
      <c r="AH4578" s="6"/>
      <c r="AI4578" s="6"/>
      <c r="AJ4578" s="6"/>
      <c r="AK4578" s="6"/>
      <c r="AL4578" s="6"/>
      <c r="AM4578" s="6"/>
    </row>
    <row r="4579">
      <c r="A4579" s="6"/>
      <c r="B4579" s="6"/>
      <c r="C4579" s="6"/>
      <c r="D4579" s="6"/>
      <c r="E4579" s="6"/>
      <c r="F4579" s="6"/>
      <c r="G4579" s="6"/>
      <c r="H4579" s="6"/>
      <c r="I4579" s="6"/>
      <c r="J4579" s="6"/>
      <c r="K4579" s="6"/>
      <c r="L4579" s="6"/>
      <c r="M4579" s="6"/>
      <c r="N4579" s="6"/>
      <c r="O4579" s="6"/>
      <c r="P4579" s="6"/>
      <c r="Q4579" s="6"/>
      <c r="R4579" s="6"/>
      <c r="S4579" s="6"/>
      <c r="T4579" s="6"/>
      <c r="U4579" s="6"/>
      <c r="V4579" s="6"/>
      <c r="W4579" s="6"/>
      <c r="X4579" s="6"/>
      <c r="Y4579" s="6"/>
      <c r="Z4579" s="6"/>
      <c r="AA4579" s="6"/>
      <c r="AB4579" s="6"/>
      <c r="AC4579" s="6"/>
      <c r="AD4579" s="6"/>
      <c r="AE4579" s="6"/>
      <c r="AF4579" s="6"/>
      <c r="AG4579" s="6"/>
      <c r="AH4579" s="6"/>
      <c r="AI4579" s="6"/>
      <c r="AJ4579" s="6"/>
      <c r="AK4579" s="6"/>
      <c r="AL4579" s="6"/>
      <c r="AM4579" s="6"/>
    </row>
    <row r="4580">
      <c r="A4580" s="6"/>
      <c r="B4580" s="6"/>
      <c r="C4580" s="6"/>
      <c r="D4580" s="6"/>
      <c r="E4580" s="6"/>
      <c r="F4580" s="6"/>
      <c r="G4580" s="6"/>
      <c r="H4580" s="6"/>
      <c r="I4580" s="6"/>
      <c r="J4580" s="6"/>
      <c r="K4580" s="6"/>
      <c r="L4580" s="6"/>
      <c r="M4580" s="6"/>
      <c r="N4580" s="6"/>
      <c r="O4580" s="6"/>
      <c r="P4580" s="6"/>
      <c r="Q4580" s="6"/>
      <c r="R4580" s="6"/>
      <c r="S4580" s="6"/>
      <c r="T4580" s="6"/>
      <c r="U4580" s="6"/>
      <c r="V4580" s="6"/>
      <c r="W4580" s="6"/>
      <c r="X4580" s="6"/>
      <c r="Y4580" s="6"/>
      <c r="Z4580" s="6"/>
      <c r="AA4580" s="6"/>
      <c r="AB4580" s="6"/>
      <c r="AC4580" s="6"/>
      <c r="AD4580" s="6"/>
      <c r="AE4580" s="6"/>
      <c r="AF4580" s="6"/>
      <c r="AG4580" s="6"/>
      <c r="AH4580" s="6"/>
      <c r="AI4580" s="6"/>
      <c r="AJ4580" s="6"/>
      <c r="AK4580" s="6"/>
      <c r="AL4580" s="6"/>
      <c r="AM4580" s="6"/>
    </row>
    <row r="4581">
      <c r="A4581" s="6"/>
      <c r="B4581" s="6"/>
      <c r="C4581" s="6"/>
      <c r="D4581" s="6"/>
      <c r="E4581" s="6"/>
      <c r="F4581" s="6"/>
      <c r="G4581" s="6"/>
      <c r="H4581" s="6"/>
      <c r="I4581" s="6"/>
      <c r="J4581" s="6"/>
      <c r="K4581" s="6"/>
      <c r="L4581" s="6"/>
      <c r="M4581" s="6"/>
      <c r="N4581" s="6"/>
      <c r="O4581" s="6"/>
      <c r="P4581" s="6"/>
      <c r="Q4581" s="6"/>
      <c r="R4581" s="6"/>
      <c r="S4581" s="6"/>
      <c r="T4581" s="6"/>
      <c r="U4581" s="6"/>
      <c r="V4581" s="6"/>
      <c r="W4581" s="6"/>
      <c r="X4581" s="6"/>
      <c r="Y4581" s="6"/>
      <c r="Z4581" s="6"/>
      <c r="AA4581" s="6"/>
      <c r="AB4581" s="6"/>
      <c r="AC4581" s="6"/>
      <c r="AD4581" s="6"/>
      <c r="AE4581" s="6"/>
      <c r="AF4581" s="6"/>
      <c r="AG4581" s="6"/>
      <c r="AH4581" s="6"/>
      <c r="AI4581" s="6"/>
      <c r="AJ4581" s="6"/>
      <c r="AK4581" s="6"/>
      <c r="AL4581" s="6"/>
      <c r="AM4581" s="6"/>
    </row>
    <row r="4582">
      <c r="A4582" s="6"/>
      <c r="B4582" s="6"/>
      <c r="C4582" s="6"/>
      <c r="D4582" s="6"/>
      <c r="E4582" s="6"/>
      <c r="F4582" s="6"/>
      <c r="G4582" s="6"/>
      <c r="H4582" s="6"/>
      <c r="I4582" s="6"/>
      <c r="J4582" s="6"/>
      <c r="K4582" s="6"/>
      <c r="L4582" s="6"/>
      <c r="M4582" s="6"/>
      <c r="N4582" s="6"/>
      <c r="O4582" s="6"/>
      <c r="P4582" s="6"/>
      <c r="Q4582" s="6"/>
      <c r="R4582" s="6"/>
      <c r="S4582" s="6"/>
      <c r="T4582" s="6"/>
      <c r="U4582" s="6"/>
      <c r="V4582" s="6"/>
      <c r="W4582" s="6"/>
      <c r="X4582" s="6"/>
      <c r="Y4582" s="6"/>
      <c r="Z4582" s="6"/>
      <c r="AA4582" s="6"/>
      <c r="AB4582" s="6"/>
      <c r="AC4582" s="6"/>
      <c r="AD4582" s="6"/>
      <c r="AE4582" s="6"/>
      <c r="AF4582" s="6"/>
      <c r="AG4582" s="6"/>
      <c r="AH4582" s="6"/>
      <c r="AI4582" s="6"/>
      <c r="AJ4582" s="6"/>
      <c r="AK4582" s="6"/>
      <c r="AL4582" s="6"/>
      <c r="AM4582" s="6"/>
    </row>
    <row r="4583">
      <c r="A4583" s="6"/>
      <c r="B4583" s="6"/>
      <c r="C4583" s="6"/>
      <c r="D4583" s="6"/>
      <c r="E4583" s="6"/>
      <c r="F4583" s="6"/>
      <c r="G4583" s="6"/>
      <c r="H4583" s="6"/>
      <c r="I4583" s="6"/>
      <c r="J4583" s="6"/>
      <c r="K4583" s="6"/>
      <c r="L4583" s="6"/>
      <c r="M4583" s="6"/>
      <c r="N4583" s="6"/>
      <c r="O4583" s="6"/>
      <c r="P4583" s="6"/>
      <c r="Q4583" s="6"/>
      <c r="R4583" s="6"/>
      <c r="S4583" s="6"/>
      <c r="T4583" s="6"/>
      <c r="U4583" s="6"/>
      <c r="V4583" s="6"/>
      <c r="W4583" s="6"/>
      <c r="X4583" s="6"/>
      <c r="Y4583" s="6"/>
      <c r="Z4583" s="6"/>
      <c r="AA4583" s="6"/>
      <c r="AB4583" s="6"/>
      <c r="AC4583" s="6"/>
      <c r="AD4583" s="6"/>
      <c r="AE4583" s="6"/>
      <c r="AF4583" s="6"/>
      <c r="AG4583" s="6"/>
      <c r="AH4583" s="6"/>
      <c r="AI4583" s="6"/>
      <c r="AJ4583" s="6"/>
      <c r="AK4583" s="6"/>
      <c r="AL4583" s="6"/>
      <c r="AM4583" s="6"/>
    </row>
    <row r="4584">
      <c r="A4584" s="6"/>
      <c r="B4584" s="6"/>
      <c r="C4584" s="6"/>
      <c r="D4584" s="6"/>
      <c r="E4584" s="6"/>
      <c r="F4584" s="6"/>
      <c r="G4584" s="6"/>
      <c r="H4584" s="6"/>
      <c r="I4584" s="6"/>
      <c r="J4584" s="6"/>
      <c r="K4584" s="6"/>
      <c r="L4584" s="6"/>
      <c r="M4584" s="6"/>
      <c r="N4584" s="6"/>
      <c r="O4584" s="6"/>
      <c r="P4584" s="6"/>
      <c r="Q4584" s="6"/>
      <c r="R4584" s="6"/>
      <c r="S4584" s="6"/>
      <c r="T4584" s="6"/>
      <c r="U4584" s="6"/>
      <c r="V4584" s="6"/>
      <c r="W4584" s="6"/>
      <c r="X4584" s="6"/>
      <c r="Y4584" s="6"/>
      <c r="Z4584" s="6"/>
      <c r="AA4584" s="6"/>
      <c r="AB4584" s="6"/>
      <c r="AC4584" s="6"/>
      <c r="AD4584" s="6"/>
      <c r="AE4584" s="6"/>
      <c r="AF4584" s="6"/>
      <c r="AG4584" s="6"/>
      <c r="AH4584" s="6"/>
      <c r="AI4584" s="6"/>
      <c r="AJ4584" s="6"/>
      <c r="AK4584" s="6"/>
      <c r="AL4584" s="6"/>
      <c r="AM4584" s="6"/>
    </row>
    <row r="4585">
      <c r="A4585" s="6"/>
      <c r="B4585" s="6"/>
      <c r="C4585" s="6"/>
      <c r="D4585" s="6"/>
      <c r="E4585" s="6"/>
      <c r="F4585" s="6"/>
      <c r="G4585" s="6"/>
      <c r="H4585" s="6"/>
      <c r="I4585" s="6"/>
      <c r="J4585" s="6"/>
      <c r="K4585" s="6"/>
      <c r="L4585" s="6"/>
      <c r="M4585" s="6"/>
      <c r="N4585" s="6"/>
      <c r="O4585" s="6"/>
      <c r="P4585" s="6"/>
      <c r="Q4585" s="6"/>
      <c r="R4585" s="6"/>
      <c r="S4585" s="6"/>
      <c r="T4585" s="6"/>
      <c r="U4585" s="6"/>
      <c r="V4585" s="6"/>
      <c r="W4585" s="6"/>
      <c r="X4585" s="6"/>
      <c r="Y4585" s="6"/>
      <c r="Z4585" s="6"/>
      <c r="AA4585" s="6"/>
      <c r="AB4585" s="6"/>
      <c r="AC4585" s="6"/>
      <c r="AD4585" s="6"/>
      <c r="AE4585" s="6"/>
      <c r="AF4585" s="6"/>
      <c r="AG4585" s="6"/>
      <c r="AH4585" s="6"/>
      <c r="AI4585" s="6"/>
      <c r="AJ4585" s="6"/>
      <c r="AK4585" s="6"/>
      <c r="AL4585" s="6"/>
      <c r="AM4585" s="6"/>
    </row>
    <row r="4586">
      <c r="A4586" s="6"/>
      <c r="B4586" s="6"/>
      <c r="C4586" s="6"/>
      <c r="D4586" s="6"/>
      <c r="E4586" s="6"/>
      <c r="F4586" s="6"/>
      <c r="G4586" s="6"/>
      <c r="H4586" s="6"/>
      <c r="I4586" s="6"/>
      <c r="J4586" s="6"/>
      <c r="K4586" s="6"/>
      <c r="L4586" s="6"/>
      <c r="M4586" s="6"/>
      <c r="N4586" s="6"/>
      <c r="O4586" s="6"/>
      <c r="P4586" s="6"/>
      <c r="Q4586" s="6"/>
      <c r="R4586" s="6"/>
      <c r="S4586" s="6"/>
      <c r="T4586" s="6"/>
      <c r="U4586" s="6"/>
      <c r="V4586" s="6"/>
      <c r="W4586" s="6"/>
      <c r="X4586" s="6"/>
      <c r="Y4586" s="6"/>
      <c r="Z4586" s="6"/>
      <c r="AA4586" s="6"/>
      <c r="AB4586" s="6"/>
      <c r="AC4586" s="6"/>
      <c r="AD4586" s="6"/>
      <c r="AE4586" s="6"/>
      <c r="AF4586" s="6"/>
      <c r="AG4586" s="6"/>
      <c r="AH4586" s="6"/>
      <c r="AI4586" s="6"/>
      <c r="AJ4586" s="6"/>
      <c r="AK4586" s="6"/>
      <c r="AL4586" s="6"/>
      <c r="AM4586" s="6"/>
    </row>
    <row r="4587">
      <c r="A4587" s="6"/>
      <c r="B4587" s="6"/>
      <c r="C4587" s="6"/>
      <c r="D4587" s="6"/>
      <c r="E4587" s="6"/>
      <c r="F4587" s="6"/>
      <c r="G4587" s="6"/>
      <c r="H4587" s="6"/>
      <c r="I4587" s="6"/>
      <c r="J4587" s="6"/>
      <c r="K4587" s="6"/>
      <c r="L4587" s="6"/>
      <c r="M4587" s="6"/>
      <c r="N4587" s="6"/>
      <c r="O4587" s="6"/>
      <c r="P4587" s="6"/>
      <c r="Q4587" s="6"/>
      <c r="R4587" s="6"/>
      <c r="S4587" s="6"/>
      <c r="T4587" s="6"/>
      <c r="U4587" s="6"/>
      <c r="V4587" s="6"/>
      <c r="W4587" s="6"/>
      <c r="X4587" s="6"/>
      <c r="Y4587" s="6"/>
      <c r="Z4587" s="6"/>
      <c r="AA4587" s="6"/>
      <c r="AB4587" s="6"/>
      <c r="AC4587" s="6"/>
      <c r="AD4587" s="6"/>
      <c r="AE4587" s="6"/>
      <c r="AF4587" s="6"/>
      <c r="AG4587" s="6"/>
      <c r="AH4587" s="6"/>
      <c r="AI4587" s="6"/>
      <c r="AJ4587" s="6"/>
      <c r="AK4587" s="6"/>
      <c r="AL4587" s="6"/>
      <c r="AM4587" s="6"/>
    </row>
    <row r="4588">
      <c r="A4588" s="6"/>
      <c r="B4588" s="6"/>
      <c r="C4588" s="6"/>
      <c r="D4588" s="6"/>
      <c r="E4588" s="6"/>
      <c r="F4588" s="6"/>
      <c r="G4588" s="6"/>
      <c r="H4588" s="6"/>
      <c r="I4588" s="6"/>
      <c r="J4588" s="6"/>
      <c r="K4588" s="6"/>
      <c r="L4588" s="6"/>
      <c r="M4588" s="6"/>
      <c r="N4588" s="6"/>
      <c r="O4588" s="6"/>
      <c r="P4588" s="6"/>
      <c r="Q4588" s="6"/>
      <c r="R4588" s="6"/>
      <c r="S4588" s="6"/>
      <c r="T4588" s="6"/>
      <c r="U4588" s="6"/>
      <c r="V4588" s="6"/>
      <c r="W4588" s="6"/>
      <c r="X4588" s="6"/>
      <c r="Y4588" s="6"/>
      <c r="Z4588" s="6"/>
      <c r="AA4588" s="6"/>
      <c r="AB4588" s="6"/>
      <c r="AC4588" s="6"/>
      <c r="AD4588" s="6"/>
      <c r="AE4588" s="6"/>
      <c r="AF4588" s="6"/>
      <c r="AG4588" s="6"/>
      <c r="AH4588" s="6"/>
      <c r="AI4588" s="6"/>
      <c r="AJ4588" s="6"/>
      <c r="AK4588" s="6"/>
      <c r="AL4588" s="6"/>
      <c r="AM4588" s="6"/>
    </row>
    <row r="4589">
      <c r="A4589" s="6"/>
      <c r="B4589" s="6"/>
      <c r="C4589" s="6"/>
      <c r="D4589" s="6"/>
      <c r="E4589" s="6"/>
      <c r="F4589" s="6"/>
      <c r="G4589" s="6"/>
      <c r="H4589" s="6"/>
      <c r="I4589" s="6"/>
      <c r="J4589" s="6"/>
      <c r="K4589" s="6"/>
      <c r="L4589" s="6"/>
      <c r="M4589" s="6"/>
      <c r="N4589" s="6"/>
      <c r="O4589" s="6"/>
      <c r="P4589" s="6"/>
      <c r="Q4589" s="6"/>
      <c r="R4589" s="6"/>
      <c r="S4589" s="6"/>
      <c r="T4589" s="6"/>
      <c r="U4589" s="6"/>
      <c r="V4589" s="6"/>
      <c r="W4589" s="6"/>
      <c r="X4589" s="6"/>
      <c r="Y4589" s="6"/>
      <c r="Z4589" s="6"/>
      <c r="AA4589" s="6"/>
      <c r="AB4589" s="6"/>
      <c r="AC4589" s="6"/>
      <c r="AD4589" s="6"/>
      <c r="AE4589" s="6"/>
      <c r="AF4589" s="6"/>
      <c r="AG4589" s="6"/>
      <c r="AH4589" s="6"/>
      <c r="AI4589" s="6"/>
      <c r="AJ4589" s="6"/>
      <c r="AK4589" s="6"/>
      <c r="AL4589" s="6"/>
      <c r="AM4589" s="6"/>
    </row>
    <row r="4590">
      <c r="A4590" s="6"/>
      <c r="B4590" s="6"/>
      <c r="C4590" s="6"/>
      <c r="D4590" s="6"/>
      <c r="E4590" s="6"/>
      <c r="F4590" s="6"/>
      <c r="G4590" s="6"/>
      <c r="H4590" s="6"/>
      <c r="I4590" s="6"/>
      <c r="J4590" s="6"/>
      <c r="K4590" s="6"/>
      <c r="L4590" s="6"/>
      <c r="M4590" s="6"/>
      <c r="N4590" s="6"/>
      <c r="O4590" s="6"/>
      <c r="P4590" s="6"/>
      <c r="Q4590" s="6"/>
      <c r="R4590" s="6"/>
      <c r="S4590" s="6"/>
      <c r="T4590" s="6"/>
      <c r="U4590" s="6"/>
      <c r="V4590" s="6"/>
      <c r="W4590" s="6"/>
      <c r="X4590" s="6"/>
      <c r="Y4590" s="6"/>
      <c r="Z4590" s="6"/>
      <c r="AA4590" s="6"/>
      <c r="AB4590" s="6"/>
      <c r="AC4590" s="6"/>
      <c r="AD4590" s="6"/>
      <c r="AE4590" s="6"/>
      <c r="AF4590" s="6"/>
      <c r="AG4590" s="6"/>
      <c r="AH4590" s="6"/>
      <c r="AI4590" s="6"/>
      <c r="AJ4590" s="6"/>
      <c r="AK4590" s="6"/>
      <c r="AL4590" s="6"/>
      <c r="AM4590" s="6"/>
    </row>
    <row r="4591">
      <c r="A4591" s="6"/>
      <c r="B4591" s="6"/>
      <c r="C4591" s="6"/>
      <c r="D4591" s="6"/>
      <c r="E4591" s="6"/>
      <c r="F4591" s="6"/>
      <c r="G4591" s="6"/>
      <c r="H4591" s="6"/>
      <c r="I4591" s="6"/>
      <c r="J4591" s="6"/>
      <c r="K4591" s="6"/>
      <c r="L4591" s="6"/>
      <c r="M4591" s="6"/>
      <c r="N4591" s="6"/>
      <c r="O4591" s="6"/>
      <c r="P4591" s="6"/>
      <c r="Q4591" s="6"/>
      <c r="R4591" s="6"/>
      <c r="S4591" s="6"/>
      <c r="T4591" s="6"/>
      <c r="U4591" s="6"/>
      <c r="V4591" s="6"/>
      <c r="W4591" s="6"/>
      <c r="X4591" s="6"/>
      <c r="Y4591" s="6"/>
      <c r="Z4591" s="6"/>
      <c r="AA4591" s="6"/>
      <c r="AB4591" s="6"/>
      <c r="AC4591" s="6"/>
      <c r="AD4591" s="6"/>
      <c r="AE4591" s="6"/>
      <c r="AF4591" s="6"/>
      <c r="AG4591" s="6"/>
      <c r="AH4591" s="6"/>
      <c r="AI4591" s="6"/>
      <c r="AJ4591" s="6"/>
      <c r="AK4591" s="6"/>
      <c r="AL4591" s="6"/>
      <c r="AM4591" s="6"/>
    </row>
    <row r="4592">
      <c r="A4592" s="6"/>
      <c r="B4592" s="6"/>
      <c r="C4592" s="6"/>
      <c r="D4592" s="6"/>
      <c r="E4592" s="6"/>
      <c r="F4592" s="6"/>
      <c r="G4592" s="6"/>
      <c r="H4592" s="6"/>
      <c r="I4592" s="6"/>
      <c r="J4592" s="6"/>
      <c r="K4592" s="6"/>
      <c r="L4592" s="6"/>
      <c r="M4592" s="6"/>
      <c r="N4592" s="6"/>
      <c r="O4592" s="6"/>
      <c r="P4592" s="6"/>
      <c r="Q4592" s="6"/>
      <c r="R4592" s="6"/>
      <c r="S4592" s="6"/>
      <c r="T4592" s="6"/>
      <c r="U4592" s="6"/>
      <c r="V4592" s="6"/>
      <c r="W4592" s="6"/>
      <c r="X4592" s="6"/>
      <c r="Y4592" s="6"/>
      <c r="Z4592" s="6"/>
      <c r="AA4592" s="6"/>
      <c r="AB4592" s="6"/>
      <c r="AC4592" s="6"/>
      <c r="AD4592" s="6"/>
      <c r="AE4592" s="6"/>
      <c r="AF4592" s="6"/>
      <c r="AG4592" s="6"/>
      <c r="AH4592" s="6"/>
      <c r="AI4592" s="6"/>
      <c r="AJ4592" s="6"/>
      <c r="AK4592" s="6"/>
      <c r="AL4592" s="6"/>
      <c r="AM4592" s="6"/>
    </row>
    <row r="4593">
      <c r="A4593" s="6"/>
      <c r="B4593" s="6"/>
      <c r="C4593" s="6"/>
      <c r="D4593" s="6"/>
      <c r="E4593" s="6"/>
      <c r="F4593" s="6"/>
      <c r="G4593" s="6"/>
      <c r="H4593" s="6"/>
      <c r="I4593" s="6"/>
      <c r="J4593" s="6"/>
      <c r="K4593" s="6"/>
      <c r="L4593" s="6"/>
      <c r="M4593" s="6"/>
      <c r="N4593" s="6"/>
      <c r="O4593" s="6"/>
      <c r="P4593" s="6"/>
      <c r="Q4593" s="6"/>
      <c r="R4593" s="6"/>
      <c r="S4593" s="6"/>
      <c r="T4593" s="6"/>
      <c r="U4593" s="6"/>
      <c r="V4593" s="6"/>
      <c r="W4593" s="6"/>
      <c r="X4593" s="6"/>
      <c r="Y4593" s="6"/>
      <c r="Z4593" s="6"/>
      <c r="AA4593" s="6"/>
      <c r="AB4593" s="6"/>
      <c r="AC4593" s="6"/>
      <c r="AD4593" s="6"/>
      <c r="AE4593" s="6"/>
      <c r="AF4593" s="6"/>
      <c r="AG4593" s="6"/>
      <c r="AH4593" s="6"/>
      <c r="AI4593" s="6"/>
      <c r="AJ4593" s="6"/>
      <c r="AK4593" s="6"/>
      <c r="AL4593" s="6"/>
      <c r="AM4593" s="6"/>
    </row>
    <row r="4594">
      <c r="A4594" s="6"/>
      <c r="B4594" s="6"/>
      <c r="C4594" s="6"/>
      <c r="D4594" s="6"/>
      <c r="E4594" s="6"/>
      <c r="F4594" s="6"/>
      <c r="G4594" s="6"/>
      <c r="H4594" s="6"/>
      <c r="I4594" s="6"/>
      <c r="J4594" s="6"/>
      <c r="K4594" s="6"/>
      <c r="L4594" s="6"/>
      <c r="M4594" s="6"/>
      <c r="N4594" s="6"/>
      <c r="O4594" s="6"/>
      <c r="P4594" s="6"/>
      <c r="Q4594" s="6"/>
      <c r="R4594" s="6"/>
      <c r="S4594" s="6"/>
      <c r="T4594" s="6"/>
      <c r="U4594" s="6"/>
      <c r="V4594" s="6"/>
      <c r="W4594" s="6"/>
      <c r="X4594" s="6"/>
      <c r="Y4594" s="6"/>
      <c r="Z4594" s="6"/>
      <c r="AA4594" s="6"/>
      <c r="AB4594" s="6"/>
      <c r="AC4594" s="6"/>
      <c r="AD4594" s="6"/>
      <c r="AE4594" s="6"/>
      <c r="AF4594" s="6"/>
      <c r="AG4594" s="6"/>
      <c r="AH4594" s="6"/>
      <c r="AI4594" s="6"/>
      <c r="AJ4594" s="6"/>
      <c r="AK4594" s="6"/>
      <c r="AL4594" s="6"/>
      <c r="AM4594" s="6"/>
    </row>
    <row r="4595">
      <c r="A4595" s="6"/>
      <c r="B4595" s="6"/>
      <c r="C4595" s="6"/>
      <c r="D4595" s="6"/>
      <c r="E4595" s="6"/>
      <c r="F4595" s="6"/>
      <c r="G4595" s="6"/>
      <c r="H4595" s="6"/>
      <c r="I4595" s="6"/>
      <c r="J4595" s="6"/>
      <c r="K4595" s="6"/>
      <c r="L4595" s="6"/>
      <c r="M4595" s="6"/>
      <c r="N4595" s="6"/>
      <c r="O4595" s="6"/>
      <c r="P4595" s="6"/>
      <c r="Q4595" s="6"/>
      <c r="R4595" s="6"/>
      <c r="S4595" s="6"/>
      <c r="T4595" s="6"/>
      <c r="U4595" s="6"/>
      <c r="V4595" s="6"/>
      <c r="W4595" s="6"/>
      <c r="X4595" s="6"/>
      <c r="Y4595" s="6"/>
      <c r="Z4595" s="6"/>
      <c r="AA4595" s="6"/>
      <c r="AB4595" s="6"/>
      <c r="AC4595" s="6"/>
      <c r="AD4595" s="6"/>
      <c r="AE4595" s="6"/>
      <c r="AF4595" s="6"/>
      <c r="AG4595" s="6"/>
      <c r="AH4595" s="6"/>
      <c r="AI4595" s="6"/>
      <c r="AJ4595" s="6"/>
      <c r="AK4595" s="6"/>
      <c r="AL4595" s="6"/>
      <c r="AM4595" s="6"/>
    </row>
    <row r="4596">
      <c r="A4596" s="6"/>
      <c r="B4596" s="6"/>
      <c r="C4596" s="6"/>
      <c r="D4596" s="6"/>
      <c r="E4596" s="6"/>
      <c r="F4596" s="6"/>
      <c r="G4596" s="6"/>
      <c r="H4596" s="6"/>
      <c r="I4596" s="6"/>
      <c r="J4596" s="6"/>
      <c r="K4596" s="6"/>
      <c r="L4596" s="6"/>
      <c r="M4596" s="6"/>
      <c r="N4596" s="6"/>
      <c r="O4596" s="6"/>
      <c r="P4596" s="6"/>
      <c r="Q4596" s="6"/>
      <c r="R4596" s="6"/>
      <c r="S4596" s="6"/>
      <c r="T4596" s="6"/>
      <c r="U4596" s="6"/>
      <c r="V4596" s="6"/>
      <c r="W4596" s="6"/>
      <c r="X4596" s="6"/>
      <c r="Y4596" s="6"/>
      <c r="Z4596" s="6"/>
      <c r="AA4596" s="6"/>
      <c r="AB4596" s="6"/>
      <c r="AC4596" s="6"/>
      <c r="AD4596" s="6"/>
      <c r="AE4596" s="6"/>
      <c r="AF4596" s="6"/>
      <c r="AG4596" s="6"/>
      <c r="AH4596" s="6"/>
      <c r="AI4596" s="6"/>
      <c r="AJ4596" s="6"/>
      <c r="AK4596" s="6"/>
      <c r="AL4596" s="6"/>
      <c r="AM4596" s="6"/>
    </row>
    <row r="4597">
      <c r="A4597" s="6"/>
      <c r="B4597" s="6"/>
      <c r="C4597" s="6"/>
      <c r="D4597" s="6"/>
      <c r="E4597" s="6"/>
      <c r="F4597" s="6"/>
      <c r="G4597" s="6"/>
      <c r="H4597" s="6"/>
      <c r="I4597" s="6"/>
      <c r="J4597" s="6"/>
      <c r="K4597" s="6"/>
      <c r="L4597" s="6"/>
      <c r="M4597" s="6"/>
      <c r="N4597" s="6"/>
      <c r="O4597" s="6"/>
      <c r="P4597" s="6"/>
      <c r="Q4597" s="6"/>
      <c r="R4597" s="6"/>
      <c r="S4597" s="6"/>
      <c r="T4597" s="6"/>
      <c r="U4597" s="6"/>
      <c r="V4597" s="6"/>
      <c r="W4597" s="6"/>
      <c r="X4597" s="6"/>
      <c r="Y4597" s="6"/>
      <c r="Z4597" s="6"/>
      <c r="AA4597" s="6"/>
      <c r="AB4597" s="6"/>
      <c r="AC4597" s="6"/>
      <c r="AD4597" s="6"/>
      <c r="AE4597" s="6"/>
      <c r="AF4597" s="6"/>
      <c r="AG4597" s="6"/>
      <c r="AH4597" s="6"/>
      <c r="AI4597" s="6"/>
      <c r="AJ4597" s="6"/>
      <c r="AK4597" s="6"/>
      <c r="AL4597" s="6"/>
      <c r="AM4597" s="6"/>
    </row>
    <row r="4598">
      <c r="A4598" s="6"/>
      <c r="B4598" s="6"/>
      <c r="C4598" s="6"/>
      <c r="D4598" s="6"/>
      <c r="E4598" s="6"/>
      <c r="F4598" s="6"/>
      <c r="G4598" s="6"/>
      <c r="H4598" s="6"/>
      <c r="I4598" s="6"/>
      <c r="J4598" s="6"/>
      <c r="K4598" s="6"/>
      <c r="L4598" s="6"/>
      <c r="M4598" s="6"/>
      <c r="N4598" s="6"/>
      <c r="O4598" s="6"/>
      <c r="P4598" s="6"/>
      <c r="Q4598" s="6"/>
      <c r="R4598" s="6"/>
      <c r="S4598" s="6"/>
      <c r="T4598" s="6"/>
      <c r="U4598" s="6"/>
      <c r="V4598" s="6"/>
      <c r="W4598" s="6"/>
      <c r="X4598" s="6"/>
      <c r="Y4598" s="6"/>
      <c r="Z4598" s="6"/>
      <c r="AA4598" s="6"/>
      <c r="AB4598" s="6"/>
      <c r="AC4598" s="6"/>
      <c r="AD4598" s="6"/>
      <c r="AE4598" s="6"/>
      <c r="AF4598" s="6"/>
      <c r="AG4598" s="6"/>
      <c r="AH4598" s="6"/>
      <c r="AI4598" s="6"/>
      <c r="AJ4598" s="6"/>
      <c r="AK4598" s="6"/>
      <c r="AL4598" s="6"/>
      <c r="AM4598" s="6"/>
    </row>
    <row r="4599">
      <c r="A4599" s="6"/>
      <c r="B4599" s="6"/>
      <c r="C4599" s="6"/>
      <c r="D4599" s="6"/>
      <c r="E4599" s="6"/>
      <c r="F4599" s="6"/>
      <c r="G4599" s="6"/>
      <c r="H4599" s="6"/>
      <c r="I4599" s="6"/>
      <c r="J4599" s="6"/>
      <c r="K4599" s="6"/>
      <c r="L4599" s="6"/>
      <c r="M4599" s="6"/>
      <c r="N4599" s="6"/>
      <c r="O4599" s="6"/>
      <c r="P4599" s="6"/>
      <c r="Q4599" s="6"/>
      <c r="R4599" s="6"/>
      <c r="S4599" s="6"/>
      <c r="T4599" s="6"/>
      <c r="U4599" s="6"/>
      <c r="V4599" s="6"/>
      <c r="W4599" s="6"/>
      <c r="X4599" s="6"/>
      <c r="Y4599" s="6"/>
      <c r="Z4599" s="6"/>
      <c r="AA4599" s="6"/>
      <c r="AB4599" s="6"/>
      <c r="AC4599" s="6"/>
      <c r="AD4599" s="6"/>
      <c r="AE4599" s="6"/>
      <c r="AF4599" s="6"/>
      <c r="AG4599" s="6"/>
      <c r="AH4599" s="6"/>
      <c r="AI4599" s="6"/>
      <c r="AJ4599" s="6"/>
      <c r="AK4599" s="6"/>
      <c r="AL4599" s="6"/>
      <c r="AM4599" s="6"/>
    </row>
    <row r="4600">
      <c r="A4600" s="6"/>
      <c r="B4600" s="6"/>
      <c r="C4600" s="6"/>
      <c r="D4600" s="6"/>
      <c r="E4600" s="6"/>
      <c r="F4600" s="6"/>
      <c r="G4600" s="6"/>
      <c r="H4600" s="6"/>
      <c r="I4600" s="6"/>
      <c r="J4600" s="6"/>
      <c r="K4600" s="6"/>
      <c r="L4600" s="6"/>
      <c r="M4600" s="6"/>
      <c r="N4600" s="6"/>
      <c r="O4600" s="6"/>
      <c r="P4600" s="6"/>
      <c r="Q4600" s="6"/>
      <c r="R4600" s="6"/>
      <c r="S4600" s="6"/>
      <c r="T4600" s="6"/>
      <c r="U4600" s="6"/>
      <c r="V4600" s="6"/>
      <c r="W4600" s="6"/>
      <c r="X4600" s="6"/>
      <c r="Y4600" s="6"/>
      <c r="Z4600" s="6"/>
      <c r="AA4600" s="6"/>
      <c r="AB4600" s="6"/>
      <c r="AC4600" s="6"/>
      <c r="AD4600" s="6"/>
      <c r="AE4600" s="6"/>
      <c r="AF4600" s="6"/>
      <c r="AG4600" s="6"/>
      <c r="AH4600" s="6"/>
      <c r="AI4600" s="6"/>
      <c r="AJ4600" s="6"/>
      <c r="AK4600" s="6"/>
      <c r="AL4600" s="6"/>
      <c r="AM4600" s="6"/>
    </row>
    <row r="4601">
      <c r="A4601" s="6"/>
      <c r="B4601" s="6"/>
      <c r="C4601" s="6"/>
      <c r="D4601" s="6"/>
      <c r="E4601" s="6"/>
      <c r="F4601" s="6"/>
      <c r="G4601" s="6"/>
      <c r="H4601" s="6"/>
      <c r="I4601" s="6"/>
      <c r="J4601" s="6"/>
      <c r="K4601" s="6"/>
      <c r="L4601" s="6"/>
      <c r="M4601" s="6"/>
      <c r="N4601" s="6"/>
      <c r="O4601" s="6"/>
      <c r="P4601" s="6"/>
      <c r="Q4601" s="6"/>
      <c r="R4601" s="6"/>
      <c r="S4601" s="6"/>
      <c r="T4601" s="6"/>
      <c r="U4601" s="6"/>
      <c r="V4601" s="6"/>
      <c r="W4601" s="6"/>
      <c r="X4601" s="6"/>
      <c r="Y4601" s="6"/>
      <c r="Z4601" s="6"/>
      <c r="AA4601" s="6"/>
      <c r="AB4601" s="6"/>
      <c r="AC4601" s="6"/>
      <c r="AD4601" s="6"/>
      <c r="AE4601" s="6"/>
      <c r="AF4601" s="6"/>
      <c r="AG4601" s="6"/>
      <c r="AH4601" s="6"/>
      <c r="AI4601" s="6"/>
      <c r="AJ4601" s="6"/>
      <c r="AK4601" s="6"/>
      <c r="AL4601" s="6"/>
      <c r="AM4601" s="6"/>
    </row>
    <row r="4602">
      <c r="A4602" s="6"/>
      <c r="B4602" s="6"/>
      <c r="C4602" s="6"/>
      <c r="D4602" s="6"/>
      <c r="E4602" s="6"/>
      <c r="F4602" s="6"/>
      <c r="G4602" s="6"/>
      <c r="H4602" s="6"/>
      <c r="I4602" s="6"/>
      <c r="J4602" s="6"/>
      <c r="K4602" s="6"/>
      <c r="L4602" s="6"/>
      <c r="M4602" s="6"/>
      <c r="N4602" s="6"/>
      <c r="O4602" s="6"/>
      <c r="P4602" s="6"/>
      <c r="Q4602" s="6"/>
      <c r="R4602" s="6"/>
      <c r="S4602" s="6"/>
      <c r="T4602" s="6"/>
      <c r="U4602" s="6"/>
      <c r="V4602" s="6"/>
      <c r="W4602" s="6"/>
      <c r="X4602" s="6"/>
      <c r="Y4602" s="6"/>
      <c r="Z4602" s="6"/>
      <c r="AA4602" s="6"/>
      <c r="AB4602" s="6"/>
      <c r="AC4602" s="6"/>
      <c r="AD4602" s="6"/>
      <c r="AE4602" s="6"/>
      <c r="AF4602" s="6"/>
      <c r="AG4602" s="6"/>
      <c r="AH4602" s="6"/>
      <c r="AI4602" s="6"/>
      <c r="AJ4602" s="6"/>
      <c r="AK4602" s="6"/>
      <c r="AL4602" s="6"/>
      <c r="AM4602" s="6"/>
    </row>
    <row r="4603">
      <c r="A4603" s="6"/>
      <c r="B4603" s="6"/>
      <c r="C4603" s="6"/>
      <c r="D4603" s="6"/>
      <c r="E4603" s="6"/>
      <c r="F4603" s="6"/>
      <c r="G4603" s="6"/>
      <c r="H4603" s="6"/>
      <c r="I4603" s="6"/>
      <c r="J4603" s="6"/>
      <c r="K4603" s="6"/>
      <c r="L4603" s="6"/>
      <c r="M4603" s="6"/>
      <c r="N4603" s="6"/>
      <c r="O4603" s="6"/>
      <c r="P4603" s="6"/>
      <c r="Q4603" s="6"/>
      <c r="R4603" s="6"/>
      <c r="S4603" s="6"/>
      <c r="T4603" s="6"/>
      <c r="U4603" s="6"/>
      <c r="V4603" s="6"/>
      <c r="W4603" s="6"/>
      <c r="X4603" s="6"/>
      <c r="Y4603" s="6"/>
      <c r="Z4603" s="6"/>
      <c r="AA4603" s="6"/>
      <c r="AB4603" s="6"/>
      <c r="AC4603" s="6"/>
      <c r="AD4603" s="6"/>
      <c r="AE4603" s="6"/>
      <c r="AF4603" s="6"/>
      <c r="AG4603" s="6"/>
      <c r="AH4603" s="6"/>
      <c r="AI4603" s="6"/>
      <c r="AJ4603" s="6"/>
      <c r="AK4603" s="6"/>
      <c r="AL4603" s="6"/>
      <c r="AM4603" s="6"/>
    </row>
    <row r="4604">
      <c r="A4604" s="6"/>
      <c r="B4604" s="6"/>
      <c r="C4604" s="6"/>
      <c r="D4604" s="6"/>
      <c r="E4604" s="6"/>
      <c r="F4604" s="6"/>
      <c r="G4604" s="6"/>
      <c r="H4604" s="6"/>
      <c r="I4604" s="6"/>
      <c r="J4604" s="6"/>
      <c r="K4604" s="6"/>
      <c r="L4604" s="6"/>
      <c r="M4604" s="6"/>
      <c r="N4604" s="6"/>
      <c r="O4604" s="6"/>
      <c r="P4604" s="6"/>
      <c r="Q4604" s="6"/>
      <c r="R4604" s="6"/>
      <c r="S4604" s="6"/>
      <c r="T4604" s="6"/>
      <c r="U4604" s="6"/>
      <c r="V4604" s="6"/>
      <c r="W4604" s="6"/>
      <c r="X4604" s="6"/>
      <c r="Y4604" s="6"/>
      <c r="Z4604" s="6"/>
      <c r="AA4604" s="6"/>
      <c r="AB4604" s="6"/>
      <c r="AC4604" s="6"/>
      <c r="AD4604" s="6"/>
      <c r="AE4604" s="6"/>
      <c r="AF4604" s="6"/>
      <c r="AG4604" s="6"/>
      <c r="AH4604" s="6"/>
      <c r="AI4604" s="6"/>
      <c r="AJ4604" s="6"/>
      <c r="AK4604" s="6"/>
      <c r="AL4604" s="6"/>
      <c r="AM4604" s="6"/>
    </row>
    <row r="4605">
      <c r="A4605" s="6"/>
      <c r="B4605" s="6"/>
      <c r="C4605" s="6"/>
      <c r="D4605" s="6"/>
      <c r="E4605" s="6"/>
      <c r="F4605" s="6"/>
      <c r="G4605" s="6"/>
      <c r="H4605" s="6"/>
      <c r="I4605" s="6"/>
      <c r="J4605" s="6"/>
      <c r="K4605" s="6"/>
      <c r="L4605" s="6"/>
      <c r="M4605" s="6"/>
      <c r="N4605" s="6"/>
      <c r="O4605" s="6"/>
      <c r="P4605" s="6"/>
      <c r="Q4605" s="6"/>
      <c r="R4605" s="6"/>
      <c r="S4605" s="6"/>
      <c r="T4605" s="6"/>
      <c r="U4605" s="6"/>
      <c r="V4605" s="6"/>
      <c r="W4605" s="6"/>
      <c r="X4605" s="6"/>
      <c r="Y4605" s="6"/>
      <c r="Z4605" s="6"/>
      <c r="AA4605" s="6"/>
      <c r="AB4605" s="6"/>
      <c r="AC4605" s="6"/>
      <c r="AD4605" s="6"/>
      <c r="AE4605" s="6"/>
      <c r="AF4605" s="6"/>
      <c r="AG4605" s="6"/>
      <c r="AH4605" s="6"/>
      <c r="AI4605" s="6"/>
      <c r="AJ4605" s="6"/>
      <c r="AK4605" s="6"/>
      <c r="AL4605" s="6"/>
      <c r="AM4605" s="6"/>
    </row>
    <row r="4606">
      <c r="A4606" s="6"/>
      <c r="B4606" s="6"/>
      <c r="C4606" s="6"/>
      <c r="D4606" s="6"/>
      <c r="E4606" s="6"/>
      <c r="F4606" s="6"/>
      <c r="G4606" s="6"/>
      <c r="H4606" s="6"/>
      <c r="I4606" s="6"/>
      <c r="J4606" s="6"/>
      <c r="K4606" s="6"/>
      <c r="L4606" s="6"/>
      <c r="M4606" s="6"/>
      <c r="N4606" s="6"/>
      <c r="O4606" s="6"/>
      <c r="P4606" s="6"/>
      <c r="Q4606" s="6"/>
      <c r="R4606" s="6"/>
      <c r="S4606" s="6"/>
      <c r="T4606" s="6"/>
      <c r="U4606" s="6"/>
      <c r="V4606" s="6"/>
      <c r="W4606" s="6"/>
      <c r="X4606" s="6"/>
      <c r="Y4606" s="6"/>
      <c r="Z4606" s="6"/>
      <c r="AA4606" s="6"/>
      <c r="AB4606" s="6"/>
      <c r="AC4606" s="6"/>
      <c r="AD4606" s="6"/>
      <c r="AE4606" s="6"/>
      <c r="AF4606" s="6"/>
      <c r="AG4606" s="6"/>
      <c r="AH4606" s="6"/>
      <c r="AI4606" s="6"/>
      <c r="AJ4606" s="6"/>
      <c r="AK4606" s="6"/>
      <c r="AL4606" s="6"/>
      <c r="AM4606" s="6"/>
    </row>
    <row r="4607">
      <c r="A4607" s="6"/>
      <c r="B4607" s="6"/>
      <c r="C4607" s="6"/>
      <c r="D4607" s="6"/>
      <c r="E4607" s="6"/>
      <c r="F4607" s="6"/>
      <c r="G4607" s="6"/>
      <c r="H4607" s="6"/>
      <c r="I4607" s="6"/>
      <c r="J4607" s="6"/>
      <c r="K4607" s="6"/>
      <c r="L4607" s="6"/>
      <c r="M4607" s="6"/>
      <c r="N4607" s="6"/>
      <c r="O4607" s="6"/>
      <c r="P4607" s="6"/>
      <c r="Q4607" s="6"/>
      <c r="R4607" s="6"/>
      <c r="S4607" s="6"/>
      <c r="T4607" s="6"/>
      <c r="U4607" s="6"/>
      <c r="V4607" s="6"/>
      <c r="W4607" s="6"/>
      <c r="X4607" s="6"/>
      <c r="Y4607" s="6"/>
      <c r="Z4607" s="6"/>
      <c r="AA4607" s="6"/>
      <c r="AB4607" s="6"/>
      <c r="AC4607" s="6"/>
      <c r="AD4607" s="6"/>
      <c r="AE4607" s="6"/>
      <c r="AF4607" s="6"/>
      <c r="AG4607" s="6"/>
      <c r="AH4607" s="6"/>
      <c r="AI4607" s="6"/>
      <c r="AJ4607" s="6"/>
      <c r="AK4607" s="6"/>
      <c r="AL4607" s="6"/>
      <c r="AM4607" s="6"/>
    </row>
    <row r="4608">
      <c r="A4608" s="6"/>
      <c r="B4608" s="6"/>
      <c r="C4608" s="6"/>
      <c r="D4608" s="6"/>
      <c r="E4608" s="6"/>
      <c r="F4608" s="6"/>
      <c r="G4608" s="6"/>
      <c r="H4608" s="6"/>
      <c r="I4608" s="6"/>
      <c r="J4608" s="6"/>
      <c r="K4608" s="6"/>
      <c r="L4608" s="6"/>
      <c r="M4608" s="6"/>
      <c r="N4608" s="6"/>
      <c r="O4608" s="6"/>
      <c r="P4608" s="6"/>
      <c r="Q4608" s="6"/>
      <c r="R4608" s="6"/>
      <c r="S4608" s="6"/>
      <c r="T4608" s="6"/>
      <c r="U4608" s="6"/>
      <c r="V4608" s="6"/>
      <c r="W4608" s="6"/>
      <c r="X4608" s="6"/>
      <c r="Y4608" s="6"/>
      <c r="Z4608" s="6"/>
      <c r="AA4608" s="6"/>
      <c r="AB4608" s="6"/>
      <c r="AC4608" s="6"/>
      <c r="AD4608" s="6"/>
      <c r="AE4608" s="6"/>
      <c r="AF4608" s="6"/>
      <c r="AG4608" s="6"/>
      <c r="AH4608" s="6"/>
      <c r="AI4608" s="6"/>
      <c r="AJ4608" s="6"/>
      <c r="AK4608" s="6"/>
      <c r="AL4608" s="6"/>
      <c r="AM4608" s="6"/>
    </row>
    <row r="4609">
      <c r="A4609" s="6"/>
      <c r="B4609" s="6"/>
      <c r="C4609" s="6"/>
      <c r="D4609" s="6"/>
      <c r="E4609" s="6"/>
      <c r="F4609" s="6"/>
      <c r="G4609" s="6"/>
      <c r="H4609" s="6"/>
      <c r="I4609" s="6"/>
      <c r="J4609" s="6"/>
      <c r="K4609" s="6"/>
      <c r="L4609" s="6"/>
      <c r="M4609" s="6"/>
      <c r="N4609" s="6"/>
      <c r="O4609" s="6"/>
      <c r="P4609" s="6"/>
      <c r="Q4609" s="6"/>
      <c r="R4609" s="6"/>
      <c r="S4609" s="6"/>
      <c r="T4609" s="6"/>
      <c r="U4609" s="6"/>
      <c r="V4609" s="6"/>
      <c r="W4609" s="6"/>
      <c r="X4609" s="6"/>
      <c r="Y4609" s="6"/>
      <c r="Z4609" s="6"/>
      <c r="AA4609" s="6"/>
      <c r="AB4609" s="6"/>
      <c r="AC4609" s="6"/>
      <c r="AD4609" s="6"/>
      <c r="AE4609" s="6"/>
      <c r="AF4609" s="6"/>
      <c r="AG4609" s="6"/>
      <c r="AH4609" s="6"/>
      <c r="AI4609" s="6"/>
      <c r="AJ4609" s="6"/>
      <c r="AK4609" s="6"/>
      <c r="AL4609" s="6"/>
      <c r="AM4609" s="6"/>
    </row>
    <row r="4610">
      <c r="A4610" s="6"/>
      <c r="B4610" s="6"/>
      <c r="C4610" s="6"/>
      <c r="D4610" s="6"/>
      <c r="E4610" s="6"/>
      <c r="F4610" s="6"/>
      <c r="G4610" s="6"/>
      <c r="H4610" s="6"/>
      <c r="I4610" s="6"/>
      <c r="J4610" s="6"/>
      <c r="K4610" s="6"/>
      <c r="L4610" s="6"/>
      <c r="M4610" s="6"/>
      <c r="N4610" s="6"/>
      <c r="O4610" s="6"/>
      <c r="P4610" s="6"/>
      <c r="Q4610" s="6"/>
      <c r="R4610" s="6"/>
      <c r="S4610" s="6"/>
      <c r="T4610" s="6"/>
      <c r="U4610" s="6"/>
      <c r="V4610" s="6"/>
      <c r="W4610" s="6"/>
      <c r="X4610" s="6"/>
      <c r="Y4610" s="6"/>
      <c r="Z4610" s="6"/>
      <c r="AA4610" s="6"/>
      <c r="AB4610" s="6"/>
      <c r="AC4610" s="6"/>
      <c r="AD4610" s="6"/>
      <c r="AE4610" s="6"/>
      <c r="AF4610" s="6"/>
      <c r="AG4610" s="6"/>
      <c r="AH4610" s="6"/>
      <c r="AI4610" s="6"/>
      <c r="AJ4610" s="6"/>
      <c r="AK4610" s="6"/>
      <c r="AL4610" s="6"/>
      <c r="AM4610" s="6"/>
    </row>
    <row r="4611">
      <c r="A4611" s="6"/>
      <c r="B4611" s="6"/>
      <c r="C4611" s="6"/>
      <c r="D4611" s="6"/>
      <c r="E4611" s="6"/>
      <c r="F4611" s="6"/>
      <c r="G4611" s="6"/>
      <c r="H4611" s="6"/>
      <c r="I4611" s="6"/>
      <c r="J4611" s="6"/>
      <c r="K4611" s="6"/>
      <c r="L4611" s="6"/>
      <c r="M4611" s="6"/>
      <c r="N4611" s="6"/>
      <c r="O4611" s="6"/>
      <c r="P4611" s="6"/>
      <c r="Q4611" s="6"/>
      <c r="R4611" s="6"/>
      <c r="S4611" s="6"/>
      <c r="T4611" s="6"/>
      <c r="U4611" s="6"/>
      <c r="V4611" s="6"/>
      <c r="W4611" s="6"/>
      <c r="X4611" s="6"/>
      <c r="Y4611" s="6"/>
      <c r="Z4611" s="6"/>
      <c r="AA4611" s="6"/>
      <c r="AB4611" s="6"/>
      <c r="AC4611" s="6"/>
      <c r="AD4611" s="6"/>
      <c r="AE4611" s="6"/>
      <c r="AF4611" s="6"/>
      <c r="AG4611" s="6"/>
      <c r="AH4611" s="6"/>
      <c r="AI4611" s="6"/>
      <c r="AJ4611" s="6"/>
      <c r="AK4611" s="6"/>
      <c r="AL4611" s="6"/>
      <c r="AM4611" s="6"/>
    </row>
    <row r="4612">
      <c r="A4612" s="6"/>
      <c r="B4612" s="6"/>
      <c r="C4612" s="6"/>
      <c r="D4612" s="6"/>
      <c r="E4612" s="6"/>
      <c r="F4612" s="6"/>
      <c r="G4612" s="6"/>
      <c r="H4612" s="6"/>
      <c r="I4612" s="6"/>
      <c r="J4612" s="6"/>
      <c r="K4612" s="6"/>
      <c r="L4612" s="6"/>
      <c r="M4612" s="6"/>
      <c r="N4612" s="6"/>
      <c r="O4612" s="6"/>
      <c r="P4612" s="6"/>
      <c r="Q4612" s="6"/>
      <c r="R4612" s="6"/>
      <c r="S4612" s="6"/>
      <c r="T4612" s="6"/>
      <c r="U4612" s="6"/>
      <c r="V4612" s="6"/>
      <c r="W4612" s="6"/>
      <c r="X4612" s="6"/>
      <c r="Y4612" s="6"/>
      <c r="Z4612" s="6"/>
      <c r="AA4612" s="6"/>
      <c r="AB4612" s="6"/>
      <c r="AC4612" s="6"/>
      <c r="AD4612" s="6"/>
      <c r="AE4612" s="6"/>
      <c r="AF4612" s="6"/>
      <c r="AG4612" s="6"/>
      <c r="AH4612" s="6"/>
      <c r="AI4612" s="6"/>
      <c r="AJ4612" s="6"/>
      <c r="AK4612" s="6"/>
      <c r="AL4612" s="6"/>
      <c r="AM4612" s="6"/>
    </row>
    <row r="4613">
      <c r="A4613" s="6"/>
      <c r="B4613" s="6"/>
      <c r="C4613" s="6"/>
      <c r="D4613" s="6"/>
      <c r="E4613" s="6"/>
      <c r="F4613" s="6"/>
      <c r="G4613" s="6"/>
      <c r="H4613" s="6"/>
      <c r="I4613" s="6"/>
      <c r="J4613" s="6"/>
      <c r="K4613" s="6"/>
      <c r="L4613" s="6"/>
      <c r="M4613" s="6"/>
      <c r="N4613" s="6"/>
      <c r="O4613" s="6"/>
      <c r="P4613" s="6"/>
      <c r="Q4613" s="6"/>
      <c r="R4613" s="6"/>
      <c r="S4613" s="6"/>
      <c r="T4613" s="6"/>
      <c r="U4613" s="6"/>
      <c r="V4613" s="6"/>
      <c r="W4613" s="6"/>
      <c r="X4613" s="6"/>
      <c r="Y4613" s="6"/>
      <c r="Z4613" s="6"/>
      <c r="AA4613" s="6"/>
      <c r="AB4613" s="6"/>
      <c r="AC4613" s="6"/>
      <c r="AD4613" s="6"/>
      <c r="AE4613" s="6"/>
      <c r="AF4613" s="6"/>
      <c r="AG4613" s="6"/>
      <c r="AH4613" s="6"/>
      <c r="AI4613" s="6"/>
      <c r="AJ4613" s="6"/>
      <c r="AK4613" s="6"/>
      <c r="AL4613" s="6"/>
      <c r="AM4613" s="6"/>
    </row>
    <row r="4614">
      <c r="A4614" s="6"/>
      <c r="B4614" s="6"/>
      <c r="C4614" s="6"/>
      <c r="D4614" s="6"/>
      <c r="E4614" s="6"/>
      <c r="F4614" s="6"/>
      <c r="G4614" s="6"/>
      <c r="H4614" s="6"/>
      <c r="I4614" s="6"/>
      <c r="J4614" s="6"/>
      <c r="K4614" s="6"/>
      <c r="L4614" s="6"/>
      <c r="M4614" s="6"/>
      <c r="N4614" s="6"/>
      <c r="O4614" s="6"/>
      <c r="P4614" s="6"/>
      <c r="Q4614" s="6"/>
      <c r="R4614" s="6"/>
      <c r="S4614" s="6"/>
      <c r="T4614" s="6"/>
      <c r="U4614" s="6"/>
      <c r="V4614" s="6"/>
      <c r="W4614" s="6"/>
      <c r="X4614" s="6"/>
      <c r="Y4614" s="6"/>
      <c r="Z4614" s="6"/>
      <c r="AA4614" s="6"/>
      <c r="AB4614" s="6"/>
      <c r="AC4614" s="6"/>
      <c r="AD4614" s="6"/>
      <c r="AE4614" s="6"/>
      <c r="AF4614" s="6"/>
      <c r="AG4614" s="6"/>
      <c r="AH4614" s="6"/>
      <c r="AI4614" s="6"/>
      <c r="AJ4614" s="6"/>
      <c r="AK4614" s="6"/>
      <c r="AL4614" s="6"/>
      <c r="AM4614" s="6"/>
    </row>
    <row r="4615">
      <c r="A4615" s="6"/>
      <c r="B4615" s="6"/>
      <c r="C4615" s="6"/>
      <c r="D4615" s="6"/>
      <c r="E4615" s="6"/>
      <c r="F4615" s="6"/>
      <c r="G4615" s="6"/>
      <c r="H4615" s="6"/>
      <c r="I4615" s="6"/>
      <c r="J4615" s="6"/>
      <c r="K4615" s="6"/>
      <c r="L4615" s="6"/>
      <c r="M4615" s="6"/>
      <c r="N4615" s="6"/>
      <c r="O4615" s="6"/>
      <c r="P4615" s="6"/>
      <c r="Q4615" s="6"/>
      <c r="R4615" s="6"/>
      <c r="S4615" s="6"/>
      <c r="T4615" s="6"/>
      <c r="U4615" s="6"/>
      <c r="V4615" s="6"/>
      <c r="W4615" s="6"/>
      <c r="X4615" s="6"/>
      <c r="Y4615" s="6"/>
      <c r="Z4615" s="6"/>
      <c r="AA4615" s="6"/>
      <c r="AB4615" s="6"/>
      <c r="AC4615" s="6"/>
      <c r="AD4615" s="6"/>
      <c r="AE4615" s="6"/>
      <c r="AF4615" s="6"/>
      <c r="AG4615" s="6"/>
      <c r="AH4615" s="6"/>
      <c r="AI4615" s="6"/>
      <c r="AJ4615" s="6"/>
      <c r="AK4615" s="6"/>
      <c r="AL4615" s="6"/>
      <c r="AM4615" s="6"/>
    </row>
    <row r="4616">
      <c r="A4616" s="6"/>
      <c r="B4616" s="6"/>
      <c r="C4616" s="6"/>
      <c r="D4616" s="6"/>
      <c r="E4616" s="6"/>
      <c r="F4616" s="6"/>
      <c r="G4616" s="6"/>
      <c r="H4616" s="6"/>
      <c r="I4616" s="6"/>
      <c r="J4616" s="6"/>
      <c r="K4616" s="6"/>
      <c r="L4616" s="6"/>
      <c r="M4616" s="6"/>
      <c r="N4616" s="6"/>
      <c r="O4616" s="6"/>
      <c r="P4616" s="6"/>
      <c r="Q4616" s="6"/>
      <c r="R4616" s="6"/>
      <c r="S4616" s="6"/>
      <c r="T4616" s="6"/>
      <c r="U4616" s="6"/>
      <c r="V4616" s="6"/>
      <c r="W4616" s="6"/>
      <c r="X4616" s="6"/>
      <c r="Y4616" s="6"/>
      <c r="Z4616" s="6"/>
      <c r="AA4616" s="6"/>
      <c r="AB4616" s="6"/>
      <c r="AC4616" s="6"/>
      <c r="AD4616" s="6"/>
      <c r="AE4616" s="6"/>
      <c r="AF4616" s="6"/>
      <c r="AG4616" s="6"/>
      <c r="AH4616" s="6"/>
      <c r="AI4616" s="6"/>
      <c r="AJ4616" s="6"/>
      <c r="AK4616" s="6"/>
      <c r="AL4616" s="6"/>
      <c r="AM4616" s="6"/>
    </row>
    <row r="4617">
      <c r="A4617" s="6"/>
      <c r="B4617" s="6"/>
      <c r="C4617" s="6"/>
      <c r="D4617" s="6"/>
      <c r="E4617" s="6"/>
      <c r="F4617" s="6"/>
      <c r="G4617" s="6"/>
      <c r="H4617" s="6"/>
      <c r="I4617" s="6"/>
      <c r="J4617" s="6"/>
      <c r="K4617" s="6"/>
      <c r="L4617" s="6"/>
      <c r="M4617" s="6"/>
      <c r="N4617" s="6"/>
      <c r="O4617" s="6"/>
      <c r="P4617" s="6"/>
      <c r="Q4617" s="6"/>
      <c r="R4617" s="6"/>
      <c r="S4617" s="6"/>
      <c r="T4617" s="6"/>
      <c r="U4617" s="6"/>
      <c r="V4617" s="6"/>
      <c r="W4617" s="6"/>
      <c r="X4617" s="6"/>
      <c r="Y4617" s="6"/>
      <c r="Z4617" s="6"/>
      <c r="AA4617" s="6"/>
      <c r="AB4617" s="6"/>
      <c r="AC4617" s="6"/>
      <c r="AD4617" s="6"/>
      <c r="AE4617" s="6"/>
      <c r="AF4617" s="6"/>
      <c r="AG4617" s="6"/>
      <c r="AH4617" s="6"/>
      <c r="AI4617" s="6"/>
      <c r="AJ4617" s="6"/>
      <c r="AK4617" s="6"/>
      <c r="AL4617" s="6"/>
      <c r="AM4617" s="6"/>
    </row>
    <row r="4618">
      <c r="A4618" s="6"/>
      <c r="B4618" s="6"/>
      <c r="C4618" s="6"/>
      <c r="D4618" s="6"/>
      <c r="E4618" s="6"/>
      <c r="F4618" s="6"/>
      <c r="G4618" s="6"/>
      <c r="H4618" s="6"/>
      <c r="I4618" s="6"/>
      <c r="J4618" s="6"/>
      <c r="K4618" s="6"/>
      <c r="L4618" s="6"/>
      <c r="M4618" s="6"/>
      <c r="N4618" s="6"/>
      <c r="O4618" s="6"/>
      <c r="P4618" s="6"/>
      <c r="Q4618" s="6"/>
      <c r="R4618" s="6"/>
      <c r="S4618" s="6"/>
      <c r="T4618" s="6"/>
      <c r="U4618" s="6"/>
      <c r="V4618" s="6"/>
      <c r="W4618" s="6"/>
      <c r="X4618" s="6"/>
      <c r="Y4618" s="6"/>
      <c r="Z4618" s="6"/>
      <c r="AA4618" s="6"/>
      <c r="AB4618" s="6"/>
      <c r="AC4618" s="6"/>
      <c r="AD4618" s="6"/>
      <c r="AE4618" s="6"/>
      <c r="AF4618" s="6"/>
      <c r="AG4618" s="6"/>
      <c r="AH4618" s="6"/>
      <c r="AI4618" s="6"/>
      <c r="AJ4618" s="6"/>
      <c r="AK4618" s="6"/>
      <c r="AL4618" s="6"/>
      <c r="AM4618" s="6"/>
    </row>
    <row r="4619">
      <c r="A4619" s="6"/>
      <c r="B4619" s="6"/>
      <c r="C4619" s="6"/>
      <c r="D4619" s="6"/>
      <c r="E4619" s="6"/>
      <c r="F4619" s="6"/>
      <c r="G4619" s="6"/>
      <c r="H4619" s="6"/>
      <c r="I4619" s="6"/>
      <c r="J4619" s="6"/>
      <c r="K4619" s="6"/>
      <c r="L4619" s="6"/>
      <c r="M4619" s="6"/>
      <c r="N4619" s="6"/>
      <c r="O4619" s="6"/>
      <c r="P4619" s="6"/>
      <c r="Q4619" s="6"/>
      <c r="R4619" s="6"/>
      <c r="S4619" s="6"/>
      <c r="T4619" s="6"/>
      <c r="U4619" s="6"/>
      <c r="V4619" s="6"/>
      <c r="W4619" s="6"/>
      <c r="X4619" s="6"/>
      <c r="Y4619" s="6"/>
      <c r="Z4619" s="6"/>
      <c r="AA4619" s="6"/>
      <c r="AB4619" s="6"/>
      <c r="AC4619" s="6"/>
      <c r="AD4619" s="6"/>
      <c r="AE4619" s="6"/>
      <c r="AF4619" s="6"/>
      <c r="AG4619" s="6"/>
      <c r="AH4619" s="6"/>
      <c r="AI4619" s="6"/>
      <c r="AJ4619" s="6"/>
      <c r="AK4619" s="6"/>
      <c r="AL4619" s="6"/>
      <c r="AM4619" s="6"/>
    </row>
    <row r="4620">
      <c r="A4620" s="6"/>
      <c r="B4620" s="6"/>
      <c r="C4620" s="6"/>
      <c r="D4620" s="6"/>
      <c r="E4620" s="6"/>
      <c r="F4620" s="6"/>
      <c r="G4620" s="6"/>
      <c r="H4620" s="6"/>
      <c r="I4620" s="6"/>
      <c r="J4620" s="6"/>
      <c r="K4620" s="6"/>
      <c r="L4620" s="6"/>
      <c r="M4620" s="6"/>
      <c r="N4620" s="6"/>
      <c r="O4620" s="6"/>
      <c r="P4620" s="6"/>
      <c r="Q4620" s="6"/>
      <c r="R4620" s="6"/>
      <c r="S4620" s="6"/>
      <c r="T4620" s="6"/>
      <c r="U4620" s="6"/>
      <c r="V4620" s="6"/>
      <c r="W4620" s="6"/>
      <c r="X4620" s="6"/>
      <c r="Y4620" s="6"/>
      <c r="Z4620" s="6"/>
      <c r="AA4620" s="6"/>
      <c r="AB4620" s="6"/>
      <c r="AC4620" s="6"/>
      <c r="AD4620" s="6"/>
      <c r="AE4620" s="6"/>
      <c r="AF4620" s="6"/>
      <c r="AG4620" s="6"/>
      <c r="AH4620" s="6"/>
      <c r="AI4620" s="6"/>
      <c r="AJ4620" s="6"/>
      <c r="AK4620" s="6"/>
      <c r="AL4620" s="6"/>
      <c r="AM4620" s="6"/>
    </row>
    <row r="4621">
      <c r="A4621" s="6"/>
      <c r="B4621" s="6"/>
      <c r="C4621" s="6"/>
      <c r="D4621" s="6"/>
      <c r="E4621" s="6"/>
      <c r="F4621" s="6"/>
      <c r="G4621" s="6"/>
      <c r="H4621" s="6"/>
      <c r="I4621" s="6"/>
      <c r="J4621" s="6"/>
      <c r="K4621" s="6"/>
      <c r="L4621" s="6"/>
      <c r="M4621" s="6"/>
      <c r="N4621" s="6"/>
      <c r="O4621" s="6"/>
      <c r="P4621" s="6"/>
      <c r="Q4621" s="6"/>
      <c r="R4621" s="6"/>
      <c r="S4621" s="6"/>
      <c r="T4621" s="6"/>
      <c r="U4621" s="6"/>
      <c r="V4621" s="6"/>
      <c r="W4621" s="6"/>
      <c r="X4621" s="6"/>
      <c r="Y4621" s="6"/>
      <c r="Z4621" s="6"/>
      <c r="AA4621" s="6"/>
      <c r="AB4621" s="6"/>
      <c r="AC4621" s="6"/>
      <c r="AD4621" s="6"/>
      <c r="AE4621" s="6"/>
      <c r="AF4621" s="6"/>
      <c r="AG4621" s="6"/>
      <c r="AH4621" s="6"/>
      <c r="AI4621" s="6"/>
      <c r="AJ4621" s="6"/>
      <c r="AK4621" s="6"/>
      <c r="AL4621" s="6"/>
      <c r="AM4621" s="6"/>
    </row>
    <row r="4622">
      <c r="A4622" s="6"/>
      <c r="B4622" s="6"/>
      <c r="C4622" s="6"/>
      <c r="D4622" s="6"/>
      <c r="E4622" s="6"/>
      <c r="F4622" s="6"/>
      <c r="G4622" s="6"/>
      <c r="H4622" s="6"/>
      <c r="I4622" s="6"/>
      <c r="J4622" s="6"/>
      <c r="K4622" s="6"/>
      <c r="L4622" s="6"/>
      <c r="M4622" s="6"/>
      <c r="N4622" s="6"/>
      <c r="O4622" s="6"/>
      <c r="P4622" s="6"/>
      <c r="Q4622" s="6"/>
      <c r="R4622" s="6"/>
      <c r="S4622" s="6"/>
      <c r="T4622" s="6"/>
      <c r="U4622" s="6"/>
      <c r="V4622" s="6"/>
      <c r="W4622" s="6"/>
      <c r="X4622" s="6"/>
      <c r="Y4622" s="6"/>
      <c r="Z4622" s="6"/>
      <c r="AA4622" s="6"/>
      <c r="AB4622" s="6"/>
      <c r="AC4622" s="6"/>
      <c r="AD4622" s="6"/>
      <c r="AE4622" s="6"/>
      <c r="AF4622" s="6"/>
      <c r="AG4622" s="6"/>
      <c r="AH4622" s="6"/>
      <c r="AI4622" s="6"/>
      <c r="AJ4622" s="6"/>
      <c r="AK4622" s="6"/>
      <c r="AL4622" s="6"/>
      <c r="AM4622" s="6"/>
    </row>
    <row r="4623">
      <c r="A4623" s="6"/>
      <c r="B4623" s="6"/>
      <c r="C4623" s="6"/>
      <c r="D4623" s="6"/>
      <c r="E4623" s="6"/>
      <c r="F4623" s="6"/>
      <c r="G4623" s="6"/>
      <c r="H4623" s="6"/>
      <c r="I4623" s="6"/>
      <c r="J4623" s="6"/>
      <c r="K4623" s="6"/>
      <c r="L4623" s="6"/>
      <c r="M4623" s="6"/>
      <c r="N4623" s="6"/>
      <c r="O4623" s="6"/>
      <c r="P4623" s="6"/>
      <c r="Q4623" s="6"/>
      <c r="R4623" s="6"/>
      <c r="S4623" s="6"/>
      <c r="T4623" s="6"/>
      <c r="U4623" s="6"/>
      <c r="V4623" s="6"/>
      <c r="W4623" s="6"/>
      <c r="X4623" s="6"/>
      <c r="Y4623" s="6"/>
      <c r="Z4623" s="6"/>
      <c r="AA4623" s="6"/>
      <c r="AB4623" s="6"/>
      <c r="AC4623" s="6"/>
      <c r="AD4623" s="6"/>
      <c r="AE4623" s="6"/>
      <c r="AF4623" s="6"/>
      <c r="AG4623" s="6"/>
      <c r="AH4623" s="6"/>
      <c r="AI4623" s="6"/>
      <c r="AJ4623" s="6"/>
      <c r="AK4623" s="6"/>
      <c r="AL4623" s="6"/>
      <c r="AM4623" s="6"/>
    </row>
    <row r="4624">
      <c r="A4624" s="6"/>
      <c r="B4624" s="6"/>
      <c r="C4624" s="6"/>
      <c r="D4624" s="6"/>
      <c r="E4624" s="6"/>
      <c r="F4624" s="6"/>
      <c r="G4624" s="6"/>
      <c r="H4624" s="6"/>
      <c r="I4624" s="6"/>
      <c r="J4624" s="6"/>
      <c r="K4624" s="6"/>
      <c r="L4624" s="6"/>
      <c r="M4624" s="6"/>
      <c r="N4624" s="6"/>
      <c r="O4624" s="6"/>
      <c r="P4624" s="6"/>
      <c r="Q4624" s="6"/>
      <c r="R4624" s="6"/>
      <c r="S4624" s="6"/>
      <c r="T4624" s="6"/>
      <c r="U4624" s="6"/>
      <c r="V4624" s="6"/>
      <c r="W4624" s="6"/>
      <c r="X4624" s="6"/>
      <c r="Y4624" s="6"/>
      <c r="Z4624" s="6"/>
      <c r="AA4624" s="6"/>
      <c r="AB4624" s="6"/>
      <c r="AC4624" s="6"/>
      <c r="AD4624" s="6"/>
      <c r="AE4624" s="6"/>
      <c r="AF4624" s="6"/>
      <c r="AG4624" s="6"/>
      <c r="AH4624" s="6"/>
      <c r="AI4624" s="6"/>
      <c r="AJ4624" s="6"/>
      <c r="AK4624" s="6"/>
      <c r="AL4624" s="6"/>
      <c r="AM4624" s="6"/>
    </row>
    <row r="4625">
      <c r="A4625" s="6"/>
      <c r="B4625" s="6"/>
      <c r="C4625" s="6"/>
      <c r="D4625" s="6"/>
      <c r="E4625" s="6"/>
      <c r="F4625" s="6"/>
      <c r="G4625" s="6"/>
      <c r="H4625" s="6"/>
      <c r="I4625" s="6"/>
      <c r="J4625" s="6"/>
      <c r="K4625" s="6"/>
      <c r="L4625" s="6"/>
      <c r="M4625" s="6"/>
      <c r="N4625" s="6"/>
      <c r="O4625" s="6"/>
      <c r="P4625" s="6"/>
      <c r="Q4625" s="6"/>
      <c r="R4625" s="6"/>
      <c r="S4625" s="6"/>
      <c r="T4625" s="6"/>
      <c r="U4625" s="6"/>
      <c r="V4625" s="6"/>
      <c r="W4625" s="6"/>
      <c r="X4625" s="6"/>
      <c r="Y4625" s="6"/>
      <c r="Z4625" s="6"/>
      <c r="AA4625" s="6"/>
      <c r="AB4625" s="6"/>
      <c r="AC4625" s="6"/>
      <c r="AD4625" s="6"/>
      <c r="AE4625" s="6"/>
      <c r="AF4625" s="6"/>
      <c r="AG4625" s="6"/>
      <c r="AH4625" s="6"/>
      <c r="AI4625" s="6"/>
      <c r="AJ4625" s="6"/>
      <c r="AK4625" s="6"/>
      <c r="AL4625" s="6"/>
      <c r="AM4625" s="6"/>
    </row>
    <row r="4626">
      <c r="A4626" s="6"/>
      <c r="B4626" s="6"/>
      <c r="C4626" s="6"/>
      <c r="D4626" s="6"/>
      <c r="E4626" s="6"/>
      <c r="F4626" s="6"/>
      <c r="G4626" s="6"/>
      <c r="H4626" s="6"/>
      <c r="I4626" s="6"/>
      <c r="J4626" s="6"/>
      <c r="K4626" s="6"/>
      <c r="L4626" s="6"/>
      <c r="M4626" s="6"/>
      <c r="N4626" s="6"/>
      <c r="O4626" s="6"/>
      <c r="P4626" s="6"/>
      <c r="Q4626" s="6"/>
      <c r="R4626" s="6"/>
      <c r="S4626" s="6"/>
      <c r="T4626" s="6"/>
      <c r="U4626" s="6"/>
      <c r="V4626" s="6"/>
      <c r="W4626" s="6"/>
      <c r="X4626" s="6"/>
      <c r="Y4626" s="6"/>
      <c r="Z4626" s="6"/>
      <c r="AA4626" s="6"/>
      <c r="AB4626" s="6"/>
      <c r="AC4626" s="6"/>
      <c r="AD4626" s="6"/>
      <c r="AE4626" s="6"/>
      <c r="AF4626" s="6"/>
      <c r="AG4626" s="6"/>
      <c r="AH4626" s="6"/>
      <c r="AI4626" s="6"/>
      <c r="AJ4626" s="6"/>
      <c r="AK4626" s="6"/>
      <c r="AL4626" s="6"/>
      <c r="AM4626" s="6"/>
    </row>
    <row r="4627">
      <c r="A4627" s="6"/>
      <c r="B4627" s="6"/>
      <c r="C4627" s="6"/>
      <c r="D4627" s="6"/>
      <c r="E4627" s="6"/>
      <c r="F4627" s="6"/>
      <c r="G4627" s="6"/>
      <c r="H4627" s="6"/>
      <c r="I4627" s="6"/>
      <c r="J4627" s="6"/>
      <c r="K4627" s="6"/>
      <c r="L4627" s="6"/>
      <c r="M4627" s="6"/>
      <c r="N4627" s="6"/>
      <c r="O4627" s="6"/>
      <c r="P4627" s="6"/>
      <c r="Q4627" s="6"/>
      <c r="R4627" s="6"/>
      <c r="S4627" s="6"/>
      <c r="T4627" s="6"/>
      <c r="U4627" s="6"/>
      <c r="V4627" s="6"/>
      <c r="W4627" s="6"/>
      <c r="X4627" s="6"/>
      <c r="Y4627" s="6"/>
      <c r="Z4627" s="6"/>
      <c r="AA4627" s="6"/>
      <c r="AB4627" s="6"/>
      <c r="AC4627" s="6"/>
      <c r="AD4627" s="6"/>
      <c r="AE4627" s="6"/>
      <c r="AF4627" s="6"/>
      <c r="AG4627" s="6"/>
      <c r="AH4627" s="6"/>
      <c r="AI4627" s="6"/>
      <c r="AJ4627" s="6"/>
      <c r="AK4627" s="6"/>
      <c r="AL4627" s="6"/>
      <c r="AM4627" s="6"/>
    </row>
    <row r="4628">
      <c r="A4628" s="6"/>
      <c r="B4628" s="6"/>
      <c r="C4628" s="6"/>
      <c r="D4628" s="6"/>
      <c r="E4628" s="6"/>
      <c r="F4628" s="6"/>
      <c r="G4628" s="6"/>
      <c r="H4628" s="6"/>
      <c r="I4628" s="6"/>
      <c r="J4628" s="6"/>
      <c r="K4628" s="6"/>
      <c r="L4628" s="6"/>
      <c r="M4628" s="6"/>
      <c r="N4628" s="6"/>
      <c r="O4628" s="6"/>
      <c r="P4628" s="6"/>
      <c r="Q4628" s="6"/>
      <c r="R4628" s="6"/>
      <c r="S4628" s="6"/>
      <c r="T4628" s="6"/>
      <c r="U4628" s="6"/>
      <c r="V4628" s="6"/>
      <c r="W4628" s="6"/>
      <c r="X4628" s="6"/>
      <c r="Y4628" s="6"/>
      <c r="Z4628" s="6"/>
      <c r="AA4628" s="6"/>
      <c r="AB4628" s="6"/>
      <c r="AC4628" s="6"/>
      <c r="AD4628" s="6"/>
      <c r="AE4628" s="6"/>
      <c r="AF4628" s="6"/>
      <c r="AG4628" s="6"/>
      <c r="AH4628" s="6"/>
      <c r="AI4628" s="6"/>
      <c r="AJ4628" s="6"/>
      <c r="AK4628" s="6"/>
      <c r="AL4628" s="6"/>
      <c r="AM4628" s="6"/>
    </row>
    <row r="4629">
      <c r="A4629" s="6"/>
      <c r="B4629" s="6"/>
      <c r="C4629" s="6"/>
      <c r="D4629" s="6"/>
      <c r="E4629" s="6"/>
      <c r="F4629" s="6"/>
      <c r="G4629" s="6"/>
      <c r="H4629" s="6"/>
      <c r="I4629" s="6"/>
      <c r="J4629" s="6"/>
      <c r="K4629" s="6"/>
      <c r="L4629" s="6"/>
      <c r="M4629" s="6"/>
      <c r="N4629" s="6"/>
      <c r="O4629" s="6"/>
      <c r="P4629" s="6"/>
      <c r="Q4629" s="6"/>
      <c r="R4629" s="6"/>
      <c r="S4629" s="6"/>
      <c r="T4629" s="6"/>
      <c r="U4629" s="6"/>
      <c r="V4629" s="6"/>
      <c r="W4629" s="6"/>
      <c r="X4629" s="6"/>
      <c r="Y4629" s="6"/>
      <c r="Z4629" s="6"/>
      <c r="AA4629" s="6"/>
      <c r="AB4629" s="6"/>
      <c r="AC4629" s="6"/>
      <c r="AD4629" s="6"/>
      <c r="AE4629" s="6"/>
      <c r="AF4629" s="6"/>
      <c r="AG4629" s="6"/>
      <c r="AH4629" s="6"/>
      <c r="AI4629" s="6"/>
      <c r="AJ4629" s="6"/>
      <c r="AK4629" s="6"/>
      <c r="AL4629" s="6"/>
      <c r="AM4629" s="6"/>
    </row>
    <row r="4630">
      <c r="A4630" s="6"/>
      <c r="B4630" s="6"/>
      <c r="C4630" s="6"/>
      <c r="D4630" s="6"/>
      <c r="E4630" s="6"/>
      <c r="F4630" s="6"/>
      <c r="G4630" s="6"/>
      <c r="H4630" s="6"/>
      <c r="I4630" s="6"/>
      <c r="J4630" s="6"/>
      <c r="K4630" s="6"/>
      <c r="L4630" s="6"/>
      <c r="M4630" s="6"/>
      <c r="N4630" s="6"/>
      <c r="O4630" s="6"/>
      <c r="P4630" s="6"/>
      <c r="Q4630" s="6"/>
      <c r="R4630" s="6"/>
      <c r="S4630" s="6"/>
      <c r="T4630" s="6"/>
      <c r="U4630" s="6"/>
      <c r="V4630" s="6"/>
      <c r="W4630" s="6"/>
      <c r="X4630" s="6"/>
      <c r="Y4630" s="6"/>
      <c r="Z4630" s="6"/>
      <c r="AA4630" s="6"/>
      <c r="AB4630" s="6"/>
      <c r="AC4630" s="6"/>
      <c r="AD4630" s="6"/>
      <c r="AE4630" s="6"/>
      <c r="AF4630" s="6"/>
      <c r="AG4630" s="6"/>
      <c r="AH4630" s="6"/>
      <c r="AI4630" s="6"/>
      <c r="AJ4630" s="6"/>
      <c r="AK4630" s="6"/>
      <c r="AL4630" s="6"/>
      <c r="AM4630" s="6"/>
    </row>
    <row r="4631">
      <c r="A4631" s="6"/>
      <c r="B4631" s="6"/>
      <c r="C4631" s="6"/>
      <c r="D4631" s="6"/>
      <c r="E4631" s="6"/>
      <c r="F4631" s="6"/>
      <c r="G4631" s="6"/>
      <c r="H4631" s="6"/>
      <c r="I4631" s="6"/>
      <c r="J4631" s="6"/>
      <c r="K4631" s="6"/>
      <c r="L4631" s="6"/>
      <c r="M4631" s="6"/>
      <c r="N4631" s="6"/>
      <c r="O4631" s="6"/>
      <c r="P4631" s="6"/>
      <c r="Q4631" s="6"/>
      <c r="R4631" s="6"/>
      <c r="S4631" s="6"/>
      <c r="T4631" s="6"/>
      <c r="U4631" s="6"/>
      <c r="V4631" s="6"/>
      <c r="W4631" s="6"/>
      <c r="X4631" s="6"/>
      <c r="Y4631" s="6"/>
      <c r="Z4631" s="6"/>
      <c r="AA4631" s="6"/>
      <c r="AB4631" s="6"/>
      <c r="AC4631" s="6"/>
      <c r="AD4631" s="6"/>
      <c r="AE4631" s="6"/>
      <c r="AF4631" s="6"/>
      <c r="AG4631" s="6"/>
      <c r="AH4631" s="6"/>
      <c r="AI4631" s="6"/>
      <c r="AJ4631" s="6"/>
      <c r="AK4631" s="6"/>
      <c r="AL4631" s="6"/>
      <c r="AM4631" s="6"/>
    </row>
    <row r="4632">
      <c r="A4632" s="6"/>
      <c r="B4632" s="6"/>
      <c r="C4632" s="6"/>
      <c r="D4632" s="6"/>
      <c r="E4632" s="6"/>
      <c r="F4632" s="6"/>
      <c r="G4632" s="6"/>
      <c r="H4632" s="6"/>
      <c r="I4632" s="6"/>
      <c r="J4632" s="6"/>
      <c r="K4632" s="6"/>
      <c r="L4632" s="6"/>
      <c r="M4632" s="6"/>
      <c r="N4632" s="6"/>
      <c r="O4632" s="6"/>
      <c r="P4632" s="6"/>
      <c r="Q4632" s="6"/>
      <c r="R4632" s="6"/>
      <c r="S4632" s="6"/>
      <c r="T4632" s="6"/>
      <c r="U4632" s="6"/>
      <c r="V4632" s="6"/>
      <c r="W4632" s="6"/>
      <c r="X4632" s="6"/>
      <c r="Y4632" s="6"/>
      <c r="Z4632" s="6"/>
      <c r="AA4632" s="6"/>
      <c r="AB4632" s="6"/>
      <c r="AC4632" s="6"/>
      <c r="AD4632" s="6"/>
      <c r="AE4632" s="6"/>
      <c r="AF4632" s="6"/>
      <c r="AG4632" s="6"/>
      <c r="AH4632" s="6"/>
      <c r="AI4632" s="6"/>
      <c r="AJ4632" s="6"/>
      <c r="AK4632" s="6"/>
      <c r="AL4632" s="6"/>
      <c r="AM4632" s="6"/>
    </row>
    <row r="4633">
      <c r="A4633" s="6"/>
      <c r="B4633" s="6"/>
      <c r="C4633" s="6"/>
      <c r="D4633" s="6"/>
      <c r="E4633" s="6"/>
      <c r="F4633" s="6"/>
      <c r="G4633" s="6"/>
      <c r="H4633" s="6"/>
      <c r="I4633" s="6"/>
      <c r="J4633" s="6"/>
      <c r="K4633" s="6"/>
      <c r="L4633" s="6"/>
      <c r="M4633" s="6"/>
      <c r="N4633" s="6"/>
      <c r="O4633" s="6"/>
      <c r="P4633" s="6"/>
      <c r="Q4633" s="6"/>
      <c r="R4633" s="6"/>
      <c r="S4633" s="6"/>
      <c r="T4633" s="6"/>
      <c r="U4633" s="6"/>
      <c r="V4633" s="6"/>
      <c r="W4633" s="6"/>
      <c r="X4633" s="6"/>
      <c r="Y4633" s="6"/>
      <c r="Z4633" s="6"/>
      <c r="AA4633" s="6"/>
      <c r="AB4633" s="6"/>
      <c r="AC4633" s="6"/>
      <c r="AD4633" s="6"/>
      <c r="AE4633" s="6"/>
      <c r="AF4633" s="6"/>
      <c r="AG4633" s="6"/>
      <c r="AH4633" s="6"/>
      <c r="AI4633" s="6"/>
      <c r="AJ4633" s="6"/>
      <c r="AK4633" s="6"/>
      <c r="AL4633" s="6"/>
      <c r="AM4633" s="6"/>
    </row>
    <row r="4634">
      <c r="A4634" s="6"/>
      <c r="B4634" s="6"/>
      <c r="C4634" s="6"/>
      <c r="D4634" s="6"/>
      <c r="E4634" s="6"/>
      <c r="F4634" s="6"/>
      <c r="G4634" s="6"/>
      <c r="H4634" s="6"/>
      <c r="I4634" s="6"/>
      <c r="J4634" s="6"/>
      <c r="K4634" s="6"/>
      <c r="L4634" s="6"/>
      <c r="M4634" s="6"/>
      <c r="N4634" s="6"/>
      <c r="O4634" s="6"/>
      <c r="P4634" s="6"/>
      <c r="Q4634" s="6"/>
      <c r="R4634" s="6"/>
      <c r="S4634" s="6"/>
      <c r="T4634" s="6"/>
      <c r="U4634" s="6"/>
      <c r="V4634" s="6"/>
      <c r="W4634" s="6"/>
      <c r="X4634" s="6"/>
      <c r="Y4634" s="6"/>
      <c r="Z4634" s="6"/>
      <c r="AA4634" s="6"/>
      <c r="AB4634" s="6"/>
      <c r="AC4634" s="6"/>
      <c r="AD4634" s="6"/>
      <c r="AE4634" s="6"/>
      <c r="AF4634" s="6"/>
      <c r="AG4634" s="6"/>
      <c r="AH4634" s="6"/>
      <c r="AI4634" s="6"/>
      <c r="AJ4634" s="6"/>
      <c r="AK4634" s="6"/>
      <c r="AL4634" s="6"/>
      <c r="AM4634" s="6"/>
    </row>
    <row r="4635">
      <c r="A4635" s="6"/>
      <c r="B4635" s="6"/>
      <c r="C4635" s="6"/>
      <c r="D4635" s="6"/>
      <c r="E4635" s="6"/>
      <c r="F4635" s="6"/>
      <c r="G4635" s="6"/>
      <c r="H4635" s="6"/>
      <c r="I4635" s="6"/>
      <c r="J4635" s="6"/>
      <c r="K4635" s="6"/>
      <c r="L4635" s="6"/>
      <c r="M4635" s="6"/>
      <c r="N4635" s="6"/>
      <c r="O4635" s="6"/>
      <c r="P4635" s="6"/>
      <c r="Q4635" s="6"/>
      <c r="R4635" s="6"/>
      <c r="S4635" s="6"/>
      <c r="T4635" s="6"/>
      <c r="U4635" s="6"/>
      <c r="V4635" s="6"/>
      <c r="W4635" s="6"/>
      <c r="X4635" s="6"/>
      <c r="Y4635" s="6"/>
      <c r="Z4635" s="6"/>
      <c r="AA4635" s="6"/>
      <c r="AB4635" s="6"/>
      <c r="AC4635" s="6"/>
      <c r="AD4635" s="6"/>
      <c r="AE4635" s="6"/>
      <c r="AF4635" s="6"/>
      <c r="AG4635" s="6"/>
      <c r="AH4635" s="6"/>
      <c r="AI4635" s="6"/>
      <c r="AJ4635" s="6"/>
      <c r="AK4635" s="6"/>
      <c r="AL4635" s="6"/>
      <c r="AM4635" s="6"/>
    </row>
    <row r="4636">
      <c r="A4636" s="6"/>
      <c r="B4636" s="6"/>
      <c r="C4636" s="6"/>
      <c r="D4636" s="6"/>
      <c r="E4636" s="6"/>
      <c r="F4636" s="6"/>
      <c r="G4636" s="6"/>
      <c r="H4636" s="6"/>
      <c r="I4636" s="6"/>
      <c r="J4636" s="6"/>
      <c r="K4636" s="6"/>
      <c r="L4636" s="6"/>
      <c r="M4636" s="6"/>
      <c r="N4636" s="6"/>
      <c r="O4636" s="6"/>
      <c r="P4636" s="6"/>
      <c r="Q4636" s="6"/>
      <c r="R4636" s="6"/>
      <c r="S4636" s="6"/>
      <c r="T4636" s="6"/>
      <c r="U4636" s="6"/>
      <c r="V4636" s="6"/>
      <c r="W4636" s="6"/>
      <c r="X4636" s="6"/>
      <c r="Y4636" s="6"/>
      <c r="Z4636" s="6"/>
      <c r="AA4636" s="6"/>
      <c r="AB4636" s="6"/>
      <c r="AC4636" s="6"/>
      <c r="AD4636" s="6"/>
      <c r="AE4636" s="6"/>
      <c r="AF4636" s="6"/>
      <c r="AG4636" s="6"/>
      <c r="AH4636" s="6"/>
      <c r="AI4636" s="6"/>
      <c r="AJ4636" s="6"/>
      <c r="AK4636" s="6"/>
      <c r="AL4636" s="6"/>
      <c r="AM4636" s="6"/>
    </row>
    <row r="4637">
      <c r="A4637" s="6"/>
      <c r="B4637" s="6"/>
      <c r="C4637" s="6"/>
      <c r="D4637" s="6"/>
      <c r="E4637" s="6"/>
      <c r="F4637" s="6"/>
      <c r="G4637" s="6"/>
      <c r="H4637" s="6"/>
      <c r="I4637" s="6"/>
      <c r="J4637" s="6"/>
      <c r="K4637" s="6"/>
      <c r="L4637" s="6"/>
      <c r="M4637" s="6"/>
      <c r="N4637" s="6"/>
      <c r="O4637" s="6"/>
      <c r="P4637" s="6"/>
      <c r="Q4637" s="6"/>
      <c r="R4637" s="6"/>
      <c r="S4637" s="6"/>
      <c r="T4637" s="6"/>
      <c r="U4637" s="6"/>
      <c r="V4637" s="6"/>
      <c r="W4637" s="6"/>
      <c r="X4637" s="6"/>
      <c r="Y4637" s="6"/>
      <c r="Z4637" s="6"/>
      <c r="AA4637" s="6"/>
      <c r="AB4637" s="6"/>
      <c r="AC4637" s="6"/>
      <c r="AD4637" s="6"/>
      <c r="AE4637" s="6"/>
      <c r="AF4637" s="6"/>
      <c r="AG4637" s="6"/>
      <c r="AH4637" s="6"/>
      <c r="AI4637" s="6"/>
      <c r="AJ4637" s="6"/>
      <c r="AK4637" s="6"/>
      <c r="AL4637" s="6"/>
      <c r="AM4637" s="6"/>
    </row>
    <row r="4638">
      <c r="A4638" s="6"/>
      <c r="B4638" s="6"/>
      <c r="C4638" s="6"/>
      <c r="D4638" s="6"/>
      <c r="E4638" s="6"/>
      <c r="F4638" s="6"/>
      <c r="G4638" s="6"/>
      <c r="H4638" s="6"/>
      <c r="I4638" s="6"/>
      <c r="J4638" s="6"/>
      <c r="K4638" s="6"/>
      <c r="L4638" s="6"/>
      <c r="M4638" s="6"/>
      <c r="N4638" s="6"/>
      <c r="O4638" s="6"/>
      <c r="P4638" s="6"/>
      <c r="Q4638" s="6"/>
      <c r="R4638" s="6"/>
      <c r="S4638" s="6"/>
      <c r="T4638" s="6"/>
      <c r="U4638" s="6"/>
      <c r="V4638" s="6"/>
      <c r="W4638" s="6"/>
      <c r="X4638" s="6"/>
      <c r="Y4638" s="6"/>
      <c r="Z4638" s="6"/>
      <c r="AA4638" s="6"/>
      <c r="AB4638" s="6"/>
      <c r="AC4638" s="6"/>
      <c r="AD4638" s="6"/>
      <c r="AE4638" s="6"/>
      <c r="AF4638" s="6"/>
      <c r="AG4638" s="6"/>
      <c r="AH4638" s="6"/>
      <c r="AI4638" s="6"/>
      <c r="AJ4638" s="6"/>
      <c r="AK4638" s="6"/>
      <c r="AL4638" s="6"/>
      <c r="AM4638" s="6"/>
    </row>
    <row r="4639">
      <c r="A4639" s="6"/>
      <c r="B4639" s="6"/>
      <c r="C4639" s="6"/>
      <c r="D4639" s="6"/>
      <c r="E4639" s="6"/>
      <c r="F4639" s="6"/>
      <c r="G4639" s="6"/>
      <c r="H4639" s="6"/>
      <c r="I4639" s="6"/>
      <c r="J4639" s="6"/>
      <c r="K4639" s="6"/>
      <c r="L4639" s="6"/>
      <c r="M4639" s="6"/>
      <c r="N4639" s="6"/>
      <c r="O4639" s="6"/>
      <c r="P4639" s="6"/>
      <c r="Q4639" s="6"/>
      <c r="R4639" s="6"/>
      <c r="S4639" s="6"/>
      <c r="T4639" s="6"/>
      <c r="U4639" s="6"/>
      <c r="V4639" s="6"/>
      <c r="W4639" s="6"/>
      <c r="X4639" s="6"/>
      <c r="Y4639" s="6"/>
      <c r="Z4639" s="6"/>
      <c r="AA4639" s="6"/>
      <c r="AB4639" s="6"/>
      <c r="AC4639" s="6"/>
      <c r="AD4639" s="6"/>
      <c r="AE4639" s="6"/>
      <c r="AF4639" s="6"/>
      <c r="AG4639" s="6"/>
      <c r="AH4639" s="6"/>
      <c r="AI4639" s="6"/>
      <c r="AJ4639" s="6"/>
      <c r="AK4639" s="6"/>
      <c r="AL4639" s="6"/>
      <c r="AM4639" s="6"/>
    </row>
    <row r="4640">
      <c r="A4640" s="6"/>
      <c r="B4640" s="6"/>
      <c r="C4640" s="6"/>
      <c r="D4640" s="6"/>
      <c r="E4640" s="6"/>
      <c r="F4640" s="6"/>
      <c r="G4640" s="6"/>
      <c r="H4640" s="6"/>
      <c r="I4640" s="6"/>
      <c r="J4640" s="6"/>
      <c r="K4640" s="6"/>
      <c r="L4640" s="6"/>
      <c r="M4640" s="6"/>
      <c r="N4640" s="6"/>
      <c r="O4640" s="6"/>
      <c r="P4640" s="6"/>
      <c r="Q4640" s="6"/>
      <c r="R4640" s="6"/>
      <c r="S4640" s="6"/>
      <c r="T4640" s="6"/>
      <c r="U4640" s="6"/>
      <c r="V4640" s="6"/>
      <c r="W4640" s="6"/>
      <c r="X4640" s="6"/>
      <c r="Y4640" s="6"/>
      <c r="Z4640" s="6"/>
      <c r="AA4640" s="6"/>
      <c r="AB4640" s="6"/>
      <c r="AC4640" s="6"/>
      <c r="AD4640" s="6"/>
      <c r="AE4640" s="6"/>
      <c r="AF4640" s="6"/>
      <c r="AG4640" s="6"/>
      <c r="AH4640" s="6"/>
      <c r="AI4640" s="6"/>
      <c r="AJ4640" s="6"/>
      <c r="AK4640" s="6"/>
      <c r="AL4640" s="6"/>
      <c r="AM4640" s="6"/>
    </row>
    <row r="4641">
      <c r="A4641" s="6"/>
      <c r="B4641" s="6"/>
      <c r="C4641" s="6"/>
      <c r="D4641" s="6"/>
      <c r="E4641" s="6"/>
      <c r="F4641" s="6"/>
      <c r="G4641" s="6"/>
      <c r="H4641" s="6"/>
      <c r="I4641" s="6"/>
      <c r="J4641" s="6"/>
      <c r="K4641" s="6"/>
      <c r="L4641" s="6"/>
      <c r="M4641" s="6"/>
      <c r="N4641" s="6"/>
      <c r="O4641" s="6"/>
      <c r="P4641" s="6"/>
      <c r="Q4641" s="6"/>
      <c r="R4641" s="6"/>
      <c r="S4641" s="6"/>
      <c r="T4641" s="6"/>
      <c r="U4641" s="6"/>
      <c r="V4641" s="6"/>
      <c r="W4641" s="6"/>
      <c r="X4641" s="6"/>
      <c r="Y4641" s="6"/>
      <c r="Z4641" s="6"/>
      <c r="AA4641" s="6"/>
      <c r="AB4641" s="6"/>
      <c r="AC4641" s="6"/>
      <c r="AD4641" s="6"/>
      <c r="AE4641" s="6"/>
      <c r="AF4641" s="6"/>
      <c r="AG4641" s="6"/>
      <c r="AH4641" s="6"/>
      <c r="AI4641" s="6"/>
      <c r="AJ4641" s="6"/>
      <c r="AK4641" s="6"/>
      <c r="AL4641" s="6"/>
      <c r="AM4641" s="6"/>
    </row>
    <row r="4642">
      <c r="A4642" s="6"/>
      <c r="B4642" s="6"/>
      <c r="C4642" s="6"/>
      <c r="D4642" s="6"/>
      <c r="E4642" s="6"/>
      <c r="F4642" s="6"/>
      <c r="G4642" s="6"/>
      <c r="H4642" s="6"/>
      <c r="I4642" s="6"/>
      <c r="J4642" s="6"/>
      <c r="K4642" s="6"/>
      <c r="L4642" s="6"/>
      <c r="M4642" s="6"/>
      <c r="N4642" s="6"/>
      <c r="O4642" s="6"/>
      <c r="P4642" s="6"/>
      <c r="Q4642" s="6"/>
      <c r="R4642" s="6"/>
      <c r="S4642" s="6"/>
      <c r="T4642" s="6"/>
      <c r="U4642" s="6"/>
      <c r="V4642" s="6"/>
      <c r="W4642" s="6"/>
      <c r="X4642" s="6"/>
      <c r="Y4642" s="6"/>
      <c r="Z4642" s="6"/>
      <c r="AA4642" s="6"/>
      <c r="AB4642" s="6"/>
      <c r="AC4642" s="6"/>
      <c r="AD4642" s="6"/>
      <c r="AE4642" s="6"/>
      <c r="AF4642" s="6"/>
      <c r="AG4642" s="6"/>
      <c r="AH4642" s="6"/>
      <c r="AI4642" s="6"/>
      <c r="AJ4642" s="6"/>
      <c r="AK4642" s="6"/>
      <c r="AL4642" s="6"/>
      <c r="AM4642" s="6"/>
    </row>
    <row r="4643">
      <c r="A4643" s="6"/>
      <c r="B4643" s="6"/>
      <c r="C4643" s="6"/>
      <c r="D4643" s="6"/>
      <c r="E4643" s="6"/>
      <c r="F4643" s="6"/>
      <c r="G4643" s="6"/>
      <c r="H4643" s="6"/>
      <c r="I4643" s="6"/>
      <c r="J4643" s="6"/>
      <c r="K4643" s="6"/>
      <c r="L4643" s="6"/>
      <c r="M4643" s="6"/>
      <c r="N4643" s="6"/>
      <c r="O4643" s="6"/>
      <c r="P4643" s="6"/>
      <c r="Q4643" s="6"/>
      <c r="R4643" s="6"/>
      <c r="S4643" s="6"/>
      <c r="T4643" s="6"/>
      <c r="U4643" s="6"/>
      <c r="V4643" s="6"/>
      <c r="W4643" s="6"/>
      <c r="X4643" s="6"/>
      <c r="Y4643" s="6"/>
      <c r="Z4643" s="6"/>
      <c r="AA4643" s="6"/>
      <c r="AB4643" s="6"/>
      <c r="AC4643" s="6"/>
      <c r="AD4643" s="6"/>
      <c r="AE4643" s="6"/>
      <c r="AF4643" s="6"/>
      <c r="AG4643" s="6"/>
      <c r="AH4643" s="6"/>
      <c r="AI4643" s="6"/>
      <c r="AJ4643" s="6"/>
      <c r="AK4643" s="6"/>
      <c r="AL4643" s="6"/>
      <c r="AM4643" s="6"/>
    </row>
    <row r="4644">
      <c r="A4644" s="6"/>
      <c r="B4644" s="6"/>
      <c r="C4644" s="6"/>
      <c r="D4644" s="6"/>
      <c r="E4644" s="6"/>
      <c r="F4644" s="6"/>
      <c r="G4644" s="6"/>
      <c r="H4644" s="6"/>
      <c r="I4644" s="6"/>
      <c r="J4644" s="6"/>
      <c r="K4644" s="6"/>
      <c r="L4644" s="6"/>
      <c r="M4644" s="6"/>
      <c r="N4644" s="6"/>
      <c r="O4644" s="6"/>
      <c r="P4644" s="6"/>
      <c r="Q4644" s="6"/>
      <c r="R4644" s="6"/>
      <c r="S4644" s="6"/>
      <c r="T4644" s="6"/>
      <c r="U4644" s="6"/>
      <c r="V4644" s="6"/>
      <c r="W4644" s="6"/>
      <c r="X4644" s="6"/>
      <c r="Y4644" s="6"/>
      <c r="Z4644" s="6"/>
      <c r="AA4644" s="6"/>
      <c r="AB4644" s="6"/>
      <c r="AC4644" s="6"/>
      <c r="AD4644" s="6"/>
      <c r="AE4644" s="6"/>
      <c r="AF4644" s="6"/>
      <c r="AG4644" s="6"/>
      <c r="AH4644" s="6"/>
      <c r="AI4644" s="6"/>
      <c r="AJ4644" s="6"/>
      <c r="AK4644" s="6"/>
      <c r="AL4644" s="6"/>
      <c r="AM4644" s="6"/>
    </row>
    <row r="4645">
      <c r="A4645" s="6"/>
      <c r="B4645" s="6"/>
      <c r="C4645" s="6"/>
      <c r="D4645" s="6"/>
      <c r="E4645" s="6"/>
      <c r="F4645" s="6"/>
      <c r="G4645" s="6"/>
      <c r="H4645" s="6"/>
      <c r="I4645" s="6"/>
      <c r="J4645" s="6"/>
      <c r="K4645" s="6"/>
      <c r="L4645" s="6"/>
      <c r="M4645" s="6"/>
      <c r="N4645" s="6"/>
      <c r="O4645" s="6"/>
      <c r="P4645" s="6"/>
      <c r="Q4645" s="6"/>
      <c r="R4645" s="6"/>
      <c r="S4645" s="6"/>
      <c r="T4645" s="6"/>
      <c r="U4645" s="6"/>
      <c r="V4645" s="6"/>
      <c r="W4645" s="6"/>
      <c r="X4645" s="6"/>
      <c r="Y4645" s="6"/>
      <c r="Z4645" s="6"/>
      <c r="AA4645" s="6"/>
      <c r="AB4645" s="6"/>
      <c r="AC4645" s="6"/>
      <c r="AD4645" s="6"/>
      <c r="AE4645" s="6"/>
      <c r="AF4645" s="6"/>
      <c r="AG4645" s="6"/>
      <c r="AH4645" s="6"/>
      <c r="AI4645" s="6"/>
      <c r="AJ4645" s="6"/>
      <c r="AK4645" s="6"/>
      <c r="AL4645" s="6"/>
      <c r="AM4645" s="6"/>
    </row>
    <row r="4646">
      <c r="A4646" s="6"/>
      <c r="B4646" s="6"/>
      <c r="C4646" s="6"/>
      <c r="D4646" s="6"/>
      <c r="E4646" s="6"/>
      <c r="F4646" s="6"/>
      <c r="G4646" s="6"/>
      <c r="H4646" s="6"/>
      <c r="I4646" s="6"/>
      <c r="J4646" s="6"/>
      <c r="K4646" s="6"/>
      <c r="L4646" s="6"/>
      <c r="M4646" s="6"/>
      <c r="N4646" s="6"/>
      <c r="O4646" s="6"/>
      <c r="P4646" s="6"/>
      <c r="Q4646" s="6"/>
      <c r="R4646" s="6"/>
      <c r="S4646" s="6"/>
      <c r="T4646" s="6"/>
      <c r="U4646" s="6"/>
      <c r="V4646" s="6"/>
      <c r="W4646" s="6"/>
      <c r="X4646" s="6"/>
      <c r="Y4646" s="6"/>
      <c r="Z4646" s="6"/>
      <c r="AA4646" s="6"/>
      <c r="AB4646" s="6"/>
      <c r="AC4646" s="6"/>
      <c r="AD4646" s="6"/>
      <c r="AE4646" s="6"/>
      <c r="AF4646" s="6"/>
      <c r="AG4646" s="6"/>
      <c r="AH4646" s="6"/>
      <c r="AI4646" s="6"/>
      <c r="AJ4646" s="6"/>
      <c r="AK4646" s="6"/>
      <c r="AL4646" s="6"/>
      <c r="AM4646" s="6"/>
    </row>
    <row r="4647">
      <c r="A4647" s="6"/>
      <c r="B4647" s="6"/>
      <c r="C4647" s="6"/>
      <c r="D4647" s="6"/>
      <c r="E4647" s="6"/>
      <c r="F4647" s="6"/>
      <c r="G4647" s="6"/>
      <c r="H4647" s="6"/>
      <c r="I4647" s="6"/>
      <c r="J4647" s="6"/>
      <c r="K4647" s="6"/>
      <c r="L4647" s="6"/>
      <c r="M4647" s="6"/>
      <c r="N4647" s="6"/>
      <c r="O4647" s="6"/>
      <c r="P4647" s="6"/>
      <c r="Q4647" s="6"/>
      <c r="R4647" s="6"/>
      <c r="S4647" s="6"/>
      <c r="T4647" s="6"/>
      <c r="U4647" s="6"/>
      <c r="V4647" s="6"/>
      <c r="W4647" s="6"/>
      <c r="X4647" s="6"/>
      <c r="Y4647" s="6"/>
      <c r="Z4647" s="6"/>
      <c r="AA4647" s="6"/>
      <c r="AB4647" s="6"/>
      <c r="AC4647" s="6"/>
      <c r="AD4647" s="6"/>
      <c r="AE4647" s="6"/>
      <c r="AF4647" s="6"/>
      <c r="AG4647" s="6"/>
      <c r="AH4647" s="6"/>
      <c r="AI4647" s="6"/>
      <c r="AJ4647" s="6"/>
      <c r="AK4647" s="6"/>
      <c r="AL4647" s="6"/>
      <c r="AM4647" s="6"/>
    </row>
    <row r="4648">
      <c r="A4648" s="6"/>
      <c r="B4648" s="6"/>
      <c r="C4648" s="6"/>
      <c r="D4648" s="6"/>
      <c r="E4648" s="6"/>
      <c r="F4648" s="6"/>
      <c r="G4648" s="6"/>
      <c r="H4648" s="6"/>
      <c r="I4648" s="6"/>
      <c r="J4648" s="6"/>
      <c r="K4648" s="6"/>
      <c r="L4648" s="6"/>
      <c r="M4648" s="6"/>
      <c r="N4648" s="6"/>
      <c r="O4648" s="6"/>
      <c r="P4648" s="6"/>
      <c r="Q4648" s="6"/>
      <c r="R4648" s="6"/>
      <c r="S4648" s="6"/>
      <c r="T4648" s="6"/>
      <c r="U4648" s="6"/>
      <c r="V4648" s="6"/>
      <c r="W4648" s="6"/>
      <c r="X4648" s="6"/>
      <c r="Y4648" s="6"/>
      <c r="Z4648" s="6"/>
      <c r="AA4648" s="6"/>
      <c r="AB4648" s="6"/>
      <c r="AC4648" s="6"/>
      <c r="AD4648" s="6"/>
      <c r="AE4648" s="6"/>
      <c r="AF4648" s="6"/>
      <c r="AG4648" s="6"/>
      <c r="AH4648" s="6"/>
      <c r="AI4648" s="6"/>
      <c r="AJ4648" s="6"/>
      <c r="AK4648" s="6"/>
      <c r="AL4648" s="6"/>
      <c r="AM4648" s="6"/>
    </row>
    <row r="4649">
      <c r="A4649" s="6"/>
      <c r="B4649" s="6"/>
      <c r="C4649" s="6"/>
      <c r="D4649" s="6"/>
      <c r="E4649" s="6"/>
      <c r="F4649" s="6"/>
      <c r="G4649" s="6"/>
      <c r="H4649" s="6"/>
      <c r="I4649" s="6"/>
      <c r="J4649" s="6"/>
      <c r="K4649" s="6"/>
      <c r="L4649" s="6"/>
      <c r="M4649" s="6"/>
      <c r="N4649" s="6"/>
      <c r="O4649" s="6"/>
      <c r="P4649" s="6"/>
      <c r="Q4649" s="6"/>
      <c r="R4649" s="6"/>
      <c r="S4649" s="6"/>
      <c r="T4649" s="6"/>
      <c r="U4649" s="6"/>
      <c r="V4649" s="6"/>
      <c r="W4649" s="6"/>
      <c r="X4649" s="6"/>
      <c r="Y4649" s="6"/>
      <c r="Z4649" s="6"/>
      <c r="AA4649" s="6"/>
      <c r="AB4649" s="6"/>
      <c r="AC4649" s="6"/>
      <c r="AD4649" s="6"/>
      <c r="AE4649" s="6"/>
      <c r="AF4649" s="6"/>
      <c r="AG4649" s="6"/>
      <c r="AH4649" s="6"/>
      <c r="AI4649" s="6"/>
      <c r="AJ4649" s="6"/>
      <c r="AK4649" s="6"/>
      <c r="AL4649" s="6"/>
      <c r="AM4649" s="6"/>
    </row>
    <row r="4650">
      <c r="A4650" s="6"/>
      <c r="B4650" s="6"/>
      <c r="C4650" s="6"/>
      <c r="D4650" s="6"/>
      <c r="E4650" s="6"/>
      <c r="F4650" s="6"/>
      <c r="G4650" s="6"/>
      <c r="H4650" s="6"/>
      <c r="I4650" s="6"/>
      <c r="J4650" s="6"/>
      <c r="K4650" s="6"/>
      <c r="L4650" s="6"/>
      <c r="M4650" s="6"/>
      <c r="N4650" s="6"/>
      <c r="O4650" s="6"/>
      <c r="P4650" s="6"/>
      <c r="Q4650" s="6"/>
      <c r="R4650" s="6"/>
      <c r="S4650" s="6"/>
      <c r="T4650" s="6"/>
      <c r="U4650" s="6"/>
      <c r="V4650" s="6"/>
      <c r="W4650" s="6"/>
      <c r="X4650" s="6"/>
      <c r="Y4650" s="6"/>
      <c r="Z4650" s="6"/>
      <c r="AA4650" s="6"/>
      <c r="AB4650" s="6"/>
      <c r="AC4650" s="6"/>
      <c r="AD4650" s="6"/>
      <c r="AE4650" s="6"/>
      <c r="AF4650" s="6"/>
      <c r="AG4650" s="6"/>
      <c r="AH4650" s="6"/>
      <c r="AI4650" s="6"/>
      <c r="AJ4650" s="6"/>
      <c r="AK4650" s="6"/>
      <c r="AL4650" s="6"/>
      <c r="AM4650" s="6"/>
    </row>
    <row r="4651">
      <c r="A4651" s="6"/>
      <c r="B4651" s="6"/>
      <c r="C4651" s="6"/>
      <c r="D4651" s="6"/>
      <c r="E4651" s="6"/>
      <c r="F4651" s="6"/>
      <c r="G4651" s="6"/>
      <c r="H4651" s="6"/>
      <c r="I4651" s="6"/>
      <c r="J4651" s="6"/>
      <c r="K4651" s="6"/>
      <c r="L4651" s="6"/>
      <c r="M4651" s="6"/>
      <c r="N4651" s="6"/>
      <c r="O4651" s="6"/>
      <c r="P4651" s="6"/>
      <c r="Q4651" s="6"/>
      <c r="R4651" s="6"/>
      <c r="S4651" s="6"/>
      <c r="T4651" s="6"/>
      <c r="U4651" s="6"/>
      <c r="V4651" s="6"/>
      <c r="W4651" s="6"/>
      <c r="X4651" s="6"/>
      <c r="Y4651" s="6"/>
      <c r="Z4651" s="6"/>
      <c r="AA4651" s="6"/>
      <c r="AB4651" s="6"/>
      <c r="AC4651" s="6"/>
      <c r="AD4651" s="6"/>
      <c r="AE4651" s="6"/>
      <c r="AF4651" s="6"/>
      <c r="AG4651" s="6"/>
      <c r="AH4651" s="6"/>
      <c r="AI4651" s="6"/>
      <c r="AJ4651" s="6"/>
      <c r="AK4651" s="6"/>
      <c r="AL4651" s="6"/>
      <c r="AM4651" s="6"/>
    </row>
    <row r="4652">
      <c r="A4652" s="6"/>
      <c r="B4652" s="6"/>
      <c r="C4652" s="6"/>
      <c r="D4652" s="6"/>
      <c r="E4652" s="6"/>
      <c r="F4652" s="6"/>
      <c r="G4652" s="6"/>
      <c r="H4652" s="6"/>
      <c r="I4652" s="6"/>
      <c r="J4652" s="6"/>
      <c r="K4652" s="6"/>
      <c r="L4652" s="6"/>
      <c r="M4652" s="6"/>
      <c r="N4652" s="6"/>
      <c r="O4652" s="6"/>
      <c r="P4652" s="6"/>
      <c r="Q4652" s="6"/>
      <c r="R4652" s="6"/>
      <c r="S4652" s="6"/>
      <c r="T4652" s="6"/>
      <c r="U4652" s="6"/>
      <c r="V4652" s="6"/>
      <c r="W4652" s="6"/>
      <c r="X4652" s="6"/>
      <c r="Y4652" s="6"/>
      <c r="Z4652" s="6"/>
      <c r="AA4652" s="6"/>
      <c r="AB4652" s="6"/>
      <c r="AC4652" s="6"/>
      <c r="AD4652" s="6"/>
      <c r="AE4652" s="6"/>
      <c r="AF4652" s="6"/>
      <c r="AG4652" s="6"/>
      <c r="AH4652" s="6"/>
      <c r="AI4652" s="6"/>
      <c r="AJ4652" s="6"/>
      <c r="AK4652" s="6"/>
      <c r="AL4652" s="6"/>
      <c r="AM4652" s="6"/>
    </row>
    <row r="4653">
      <c r="A4653" s="6"/>
      <c r="B4653" s="6"/>
      <c r="C4653" s="6"/>
      <c r="D4653" s="6"/>
      <c r="E4653" s="6"/>
      <c r="F4653" s="6"/>
      <c r="G4653" s="6"/>
      <c r="H4653" s="6"/>
      <c r="I4653" s="6"/>
      <c r="J4653" s="6"/>
      <c r="K4653" s="6"/>
      <c r="L4653" s="6"/>
      <c r="M4653" s="6"/>
      <c r="N4653" s="6"/>
      <c r="O4653" s="6"/>
      <c r="P4653" s="6"/>
      <c r="Q4653" s="6"/>
      <c r="R4653" s="6"/>
      <c r="S4653" s="6"/>
      <c r="T4653" s="6"/>
      <c r="U4653" s="6"/>
      <c r="V4653" s="6"/>
      <c r="W4653" s="6"/>
      <c r="X4653" s="6"/>
      <c r="Y4653" s="6"/>
      <c r="Z4653" s="6"/>
      <c r="AA4653" s="6"/>
      <c r="AB4653" s="6"/>
      <c r="AC4653" s="6"/>
      <c r="AD4653" s="6"/>
      <c r="AE4653" s="6"/>
      <c r="AF4653" s="6"/>
      <c r="AG4653" s="6"/>
      <c r="AH4653" s="6"/>
      <c r="AI4653" s="6"/>
      <c r="AJ4653" s="6"/>
      <c r="AK4653" s="6"/>
      <c r="AL4653" s="6"/>
      <c r="AM4653" s="6"/>
    </row>
    <row r="4654">
      <c r="A4654" s="6"/>
      <c r="B4654" s="6"/>
      <c r="C4654" s="6"/>
      <c r="D4654" s="6"/>
      <c r="E4654" s="6"/>
      <c r="F4654" s="6"/>
      <c r="G4654" s="6"/>
      <c r="H4654" s="6"/>
      <c r="I4654" s="6"/>
      <c r="J4654" s="6"/>
      <c r="K4654" s="6"/>
      <c r="L4654" s="6"/>
      <c r="M4654" s="6"/>
      <c r="N4654" s="6"/>
      <c r="O4654" s="6"/>
      <c r="P4654" s="6"/>
      <c r="Q4654" s="6"/>
      <c r="R4654" s="6"/>
      <c r="S4654" s="6"/>
      <c r="T4654" s="6"/>
      <c r="U4654" s="6"/>
      <c r="V4654" s="6"/>
      <c r="W4654" s="6"/>
      <c r="X4654" s="6"/>
      <c r="Y4654" s="6"/>
      <c r="Z4654" s="6"/>
      <c r="AA4654" s="6"/>
      <c r="AB4654" s="6"/>
      <c r="AC4654" s="6"/>
      <c r="AD4654" s="6"/>
      <c r="AE4654" s="6"/>
      <c r="AF4654" s="6"/>
      <c r="AG4654" s="6"/>
      <c r="AH4654" s="6"/>
      <c r="AI4654" s="6"/>
      <c r="AJ4654" s="6"/>
      <c r="AK4654" s="6"/>
      <c r="AL4654" s="6"/>
      <c r="AM4654" s="6"/>
    </row>
    <row r="4655">
      <c r="A4655" s="6"/>
      <c r="B4655" s="6"/>
      <c r="C4655" s="6"/>
      <c r="D4655" s="6"/>
      <c r="E4655" s="6"/>
      <c r="F4655" s="6"/>
      <c r="G4655" s="6"/>
      <c r="H4655" s="6"/>
      <c r="I4655" s="6"/>
      <c r="J4655" s="6"/>
      <c r="K4655" s="6"/>
      <c r="L4655" s="6"/>
      <c r="M4655" s="6"/>
      <c r="N4655" s="6"/>
      <c r="O4655" s="6"/>
      <c r="P4655" s="6"/>
      <c r="Q4655" s="6"/>
      <c r="R4655" s="6"/>
      <c r="S4655" s="6"/>
      <c r="T4655" s="6"/>
      <c r="U4655" s="6"/>
      <c r="V4655" s="6"/>
      <c r="W4655" s="6"/>
      <c r="X4655" s="6"/>
      <c r="Y4655" s="6"/>
      <c r="Z4655" s="6"/>
      <c r="AA4655" s="6"/>
      <c r="AB4655" s="6"/>
      <c r="AC4655" s="6"/>
      <c r="AD4655" s="6"/>
      <c r="AE4655" s="6"/>
      <c r="AF4655" s="6"/>
      <c r="AG4655" s="6"/>
      <c r="AH4655" s="6"/>
      <c r="AI4655" s="6"/>
      <c r="AJ4655" s="6"/>
      <c r="AK4655" s="6"/>
      <c r="AL4655" s="6"/>
      <c r="AM4655" s="6"/>
    </row>
    <row r="4656">
      <c r="A4656" s="6"/>
      <c r="B4656" s="6"/>
      <c r="C4656" s="6"/>
      <c r="D4656" s="6"/>
      <c r="E4656" s="6"/>
      <c r="F4656" s="6"/>
      <c r="G4656" s="6"/>
      <c r="H4656" s="6"/>
      <c r="I4656" s="6"/>
      <c r="J4656" s="6"/>
      <c r="K4656" s="6"/>
      <c r="L4656" s="6"/>
      <c r="M4656" s="6"/>
      <c r="N4656" s="6"/>
      <c r="O4656" s="6"/>
      <c r="P4656" s="6"/>
      <c r="Q4656" s="6"/>
      <c r="R4656" s="6"/>
      <c r="S4656" s="6"/>
      <c r="T4656" s="6"/>
      <c r="U4656" s="6"/>
      <c r="V4656" s="6"/>
      <c r="W4656" s="6"/>
      <c r="X4656" s="6"/>
      <c r="Y4656" s="6"/>
      <c r="Z4656" s="6"/>
      <c r="AA4656" s="6"/>
      <c r="AB4656" s="6"/>
      <c r="AC4656" s="6"/>
      <c r="AD4656" s="6"/>
      <c r="AE4656" s="6"/>
      <c r="AF4656" s="6"/>
      <c r="AG4656" s="6"/>
      <c r="AH4656" s="6"/>
      <c r="AI4656" s="6"/>
      <c r="AJ4656" s="6"/>
      <c r="AK4656" s="6"/>
      <c r="AL4656" s="6"/>
      <c r="AM4656" s="6"/>
    </row>
    <row r="4657">
      <c r="A4657" s="6"/>
      <c r="B4657" s="6"/>
      <c r="C4657" s="6"/>
      <c r="D4657" s="6"/>
      <c r="E4657" s="6"/>
      <c r="F4657" s="6"/>
      <c r="G4657" s="6"/>
      <c r="H4657" s="6"/>
      <c r="I4657" s="6"/>
      <c r="J4657" s="6"/>
      <c r="K4657" s="6"/>
      <c r="L4657" s="6"/>
      <c r="M4657" s="6"/>
      <c r="N4657" s="6"/>
      <c r="O4657" s="6"/>
      <c r="P4657" s="6"/>
      <c r="Q4657" s="6"/>
      <c r="R4657" s="6"/>
      <c r="S4657" s="6"/>
      <c r="T4657" s="6"/>
      <c r="U4657" s="6"/>
      <c r="V4657" s="6"/>
      <c r="W4657" s="6"/>
      <c r="X4657" s="6"/>
      <c r="Y4657" s="6"/>
      <c r="Z4657" s="6"/>
      <c r="AA4657" s="6"/>
      <c r="AB4657" s="6"/>
      <c r="AC4657" s="6"/>
      <c r="AD4657" s="6"/>
      <c r="AE4657" s="6"/>
      <c r="AF4657" s="6"/>
      <c r="AG4657" s="6"/>
      <c r="AH4657" s="6"/>
      <c r="AI4657" s="6"/>
      <c r="AJ4657" s="6"/>
      <c r="AK4657" s="6"/>
      <c r="AL4657" s="6"/>
      <c r="AM4657" s="6"/>
    </row>
    <row r="4658">
      <c r="A4658" s="6"/>
      <c r="B4658" s="6"/>
      <c r="C4658" s="6"/>
      <c r="D4658" s="6"/>
      <c r="E4658" s="6"/>
      <c r="F4658" s="6"/>
      <c r="G4658" s="6"/>
      <c r="H4658" s="6"/>
      <c r="I4658" s="6"/>
      <c r="J4658" s="6"/>
      <c r="K4658" s="6"/>
      <c r="L4658" s="6"/>
      <c r="M4658" s="6"/>
      <c r="N4658" s="6"/>
      <c r="O4658" s="6"/>
      <c r="P4658" s="6"/>
      <c r="Q4658" s="6"/>
      <c r="R4658" s="6"/>
      <c r="S4658" s="6"/>
      <c r="T4658" s="6"/>
      <c r="U4658" s="6"/>
      <c r="V4658" s="6"/>
      <c r="W4658" s="6"/>
      <c r="X4658" s="6"/>
      <c r="Y4658" s="6"/>
      <c r="Z4658" s="6"/>
      <c r="AA4658" s="6"/>
      <c r="AB4658" s="6"/>
      <c r="AC4658" s="6"/>
      <c r="AD4658" s="6"/>
      <c r="AE4658" s="6"/>
      <c r="AF4658" s="6"/>
      <c r="AG4658" s="6"/>
      <c r="AH4658" s="6"/>
      <c r="AI4658" s="6"/>
      <c r="AJ4658" s="6"/>
      <c r="AK4658" s="6"/>
      <c r="AL4658" s="6"/>
      <c r="AM4658" s="6"/>
    </row>
    <row r="4659">
      <c r="A4659" s="6"/>
      <c r="B4659" s="6"/>
      <c r="C4659" s="6"/>
      <c r="D4659" s="6"/>
      <c r="E4659" s="6"/>
      <c r="F4659" s="6"/>
      <c r="G4659" s="6"/>
      <c r="H4659" s="6"/>
      <c r="I4659" s="6"/>
      <c r="J4659" s="6"/>
      <c r="K4659" s="6"/>
      <c r="L4659" s="6"/>
      <c r="M4659" s="6"/>
      <c r="N4659" s="6"/>
      <c r="O4659" s="6"/>
      <c r="P4659" s="6"/>
      <c r="Q4659" s="6"/>
      <c r="R4659" s="6"/>
      <c r="S4659" s="6"/>
      <c r="T4659" s="6"/>
      <c r="U4659" s="6"/>
      <c r="V4659" s="6"/>
      <c r="W4659" s="6"/>
      <c r="X4659" s="6"/>
      <c r="Y4659" s="6"/>
      <c r="Z4659" s="6"/>
      <c r="AA4659" s="6"/>
      <c r="AB4659" s="6"/>
      <c r="AC4659" s="6"/>
      <c r="AD4659" s="6"/>
      <c r="AE4659" s="6"/>
      <c r="AF4659" s="6"/>
      <c r="AG4659" s="6"/>
      <c r="AH4659" s="6"/>
      <c r="AI4659" s="6"/>
      <c r="AJ4659" s="6"/>
      <c r="AK4659" s="6"/>
      <c r="AL4659" s="6"/>
      <c r="AM4659" s="6"/>
    </row>
    <row r="4660">
      <c r="A4660" s="6"/>
      <c r="B4660" s="6"/>
      <c r="C4660" s="6"/>
      <c r="D4660" s="6"/>
      <c r="E4660" s="6"/>
      <c r="F4660" s="6"/>
      <c r="G4660" s="6"/>
      <c r="H4660" s="6"/>
      <c r="I4660" s="6"/>
      <c r="J4660" s="6"/>
      <c r="K4660" s="6"/>
      <c r="L4660" s="6"/>
      <c r="M4660" s="6"/>
      <c r="N4660" s="6"/>
      <c r="O4660" s="6"/>
      <c r="P4660" s="6"/>
      <c r="Q4660" s="6"/>
      <c r="R4660" s="6"/>
      <c r="S4660" s="6"/>
      <c r="T4660" s="6"/>
      <c r="U4660" s="6"/>
      <c r="V4660" s="6"/>
      <c r="W4660" s="6"/>
      <c r="X4660" s="6"/>
      <c r="Y4660" s="6"/>
      <c r="Z4660" s="6"/>
      <c r="AA4660" s="6"/>
      <c r="AB4660" s="6"/>
      <c r="AC4660" s="6"/>
      <c r="AD4660" s="6"/>
      <c r="AE4660" s="6"/>
      <c r="AF4660" s="6"/>
      <c r="AG4660" s="6"/>
      <c r="AH4660" s="6"/>
      <c r="AI4660" s="6"/>
      <c r="AJ4660" s="6"/>
      <c r="AK4660" s="6"/>
      <c r="AL4660" s="6"/>
      <c r="AM4660" s="6"/>
    </row>
    <row r="4661">
      <c r="A4661" s="6"/>
      <c r="B4661" s="6"/>
      <c r="C4661" s="6"/>
      <c r="D4661" s="6"/>
      <c r="E4661" s="6"/>
      <c r="F4661" s="6"/>
      <c r="G4661" s="6"/>
      <c r="H4661" s="6"/>
      <c r="I4661" s="6"/>
      <c r="J4661" s="6"/>
      <c r="K4661" s="6"/>
      <c r="L4661" s="6"/>
      <c r="M4661" s="6"/>
      <c r="N4661" s="6"/>
      <c r="O4661" s="6"/>
      <c r="P4661" s="6"/>
      <c r="Q4661" s="6"/>
      <c r="R4661" s="6"/>
      <c r="S4661" s="6"/>
      <c r="T4661" s="6"/>
      <c r="U4661" s="6"/>
      <c r="V4661" s="6"/>
      <c r="W4661" s="6"/>
      <c r="X4661" s="6"/>
      <c r="Y4661" s="6"/>
      <c r="Z4661" s="6"/>
      <c r="AA4661" s="6"/>
      <c r="AB4661" s="6"/>
      <c r="AC4661" s="6"/>
      <c r="AD4661" s="6"/>
      <c r="AE4661" s="6"/>
      <c r="AF4661" s="6"/>
      <c r="AG4661" s="6"/>
      <c r="AH4661" s="6"/>
      <c r="AI4661" s="6"/>
      <c r="AJ4661" s="6"/>
      <c r="AK4661" s="6"/>
      <c r="AL4661" s="6"/>
      <c r="AM4661" s="6"/>
    </row>
    <row r="4662">
      <c r="A4662" s="6"/>
      <c r="B4662" s="6"/>
      <c r="C4662" s="6"/>
      <c r="D4662" s="6"/>
      <c r="E4662" s="6"/>
      <c r="F4662" s="6"/>
      <c r="G4662" s="6"/>
      <c r="H4662" s="6"/>
      <c r="I4662" s="6"/>
      <c r="J4662" s="6"/>
      <c r="K4662" s="6"/>
      <c r="L4662" s="6"/>
      <c r="M4662" s="6"/>
      <c r="N4662" s="6"/>
      <c r="O4662" s="6"/>
      <c r="P4662" s="6"/>
      <c r="Q4662" s="6"/>
      <c r="R4662" s="6"/>
      <c r="S4662" s="6"/>
      <c r="T4662" s="6"/>
      <c r="U4662" s="6"/>
      <c r="V4662" s="6"/>
      <c r="W4662" s="6"/>
      <c r="X4662" s="6"/>
      <c r="Y4662" s="6"/>
      <c r="Z4662" s="6"/>
      <c r="AA4662" s="6"/>
      <c r="AB4662" s="6"/>
      <c r="AC4662" s="6"/>
      <c r="AD4662" s="6"/>
      <c r="AE4662" s="6"/>
      <c r="AF4662" s="6"/>
      <c r="AG4662" s="6"/>
      <c r="AH4662" s="6"/>
      <c r="AI4662" s="6"/>
      <c r="AJ4662" s="6"/>
      <c r="AK4662" s="6"/>
      <c r="AL4662" s="6"/>
      <c r="AM4662" s="6"/>
    </row>
    <row r="4663">
      <c r="A4663" s="6"/>
      <c r="B4663" s="6"/>
      <c r="C4663" s="6"/>
      <c r="D4663" s="6"/>
      <c r="E4663" s="6"/>
      <c r="F4663" s="6"/>
      <c r="G4663" s="6"/>
      <c r="H4663" s="6"/>
      <c r="I4663" s="6"/>
      <c r="J4663" s="6"/>
      <c r="K4663" s="6"/>
      <c r="L4663" s="6"/>
      <c r="M4663" s="6"/>
      <c r="N4663" s="6"/>
      <c r="O4663" s="6"/>
      <c r="P4663" s="6"/>
      <c r="Q4663" s="6"/>
      <c r="R4663" s="6"/>
      <c r="S4663" s="6"/>
      <c r="T4663" s="6"/>
      <c r="U4663" s="6"/>
      <c r="V4663" s="6"/>
      <c r="W4663" s="6"/>
      <c r="X4663" s="6"/>
      <c r="Y4663" s="6"/>
      <c r="Z4663" s="6"/>
      <c r="AA4663" s="6"/>
      <c r="AB4663" s="6"/>
      <c r="AC4663" s="6"/>
      <c r="AD4663" s="6"/>
      <c r="AE4663" s="6"/>
      <c r="AF4663" s="6"/>
      <c r="AG4663" s="6"/>
      <c r="AH4663" s="6"/>
      <c r="AI4663" s="6"/>
      <c r="AJ4663" s="6"/>
      <c r="AK4663" s="6"/>
      <c r="AL4663" s="6"/>
      <c r="AM4663" s="6"/>
    </row>
    <row r="4664">
      <c r="A4664" s="6"/>
      <c r="B4664" s="6"/>
      <c r="C4664" s="6"/>
      <c r="D4664" s="6"/>
      <c r="E4664" s="6"/>
      <c r="F4664" s="6"/>
      <c r="G4664" s="6"/>
      <c r="H4664" s="6"/>
      <c r="I4664" s="6"/>
      <c r="J4664" s="6"/>
      <c r="K4664" s="6"/>
      <c r="L4664" s="6"/>
      <c r="M4664" s="6"/>
      <c r="N4664" s="6"/>
      <c r="O4664" s="6"/>
      <c r="P4664" s="6"/>
      <c r="Q4664" s="6"/>
      <c r="R4664" s="6"/>
      <c r="S4664" s="6"/>
      <c r="T4664" s="6"/>
      <c r="U4664" s="6"/>
      <c r="V4664" s="6"/>
      <c r="W4664" s="6"/>
      <c r="X4664" s="6"/>
      <c r="Y4664" s="6"/>
      <c r="Z4664" s="6"/>
      <c r="AA4664" s="6"/>
      <c r="AB4664" s="6"/>
      <c r="AC4664" s="6"/>
      <c r="AD4664" s="6"/>
      <c r="AE4664" s="6"/>
      <c r="AF4664" s="6"/>
      <c r="AG4664" s="6"/>
      <c r="AH4664" s="6"/>
      <c r="AI4664" s="6"/>
      <c r="AJ4664" s="6"/>
      <c r="AK4664" s="6"/>
      <c r="AL4664" s="6"/>
      <c r="AM4664" s="6"/>
    </row>
    <row r="4665">
      <c r="A4665" s="6"/>
      <c r="B4665" s="6"/>
      <c r="C4665" s="6"/>
      <c r="D4665" s="6"/>
      <c r="E4665" s="6"/>
      <c r="F4665" s="6"/>
      <c r="G4665" s="6"/>
      <c r="H4665" s="6"/>
      <c r="I4665" s="6"/>
      <c r="J4665" s="6"/>
      <c r="K4665" s="6"/>
      <c r="L4665" s="6"/>
      <c r="M4665" s="6"/>
      <c r="N4665" s="6"/>
      <c r="O4665" s="6"/>
      <c r="P4665" s="6"/>
      <c r="Q4665" s="6"/>
      <c r="R4665" s="6"/>
      <c r="S4665" s="6"/>
      <c r="T4665" s="6"/>
      <c r="U4665" s="6"/>
      <c r="V4665" s="6"/>
      <c r="W4665" s="6"/>
      <c r="X4665" s="6"/>
      <c r="Y4665" s="6"/>
      <c r="Z4665" s="6"/>
      <c r="AA4665" s="6"/>
      <c r="AB4665" s="6"/>
      <c r="AC4665" s="6"/>
      <c r="AD4665" s="6"/>
      <c r="AE4665" s="6"/>
      <c r="AF4665" s="6"/>
      <c r="AG4665" s="6"/>
      <c r="AH4665" s="6"/>
      <c r="AI4665" s="6"/>
      <c r="AJ4665" s="6"/>
      <c r="AK4665" s="6"/>
      <c r="AL4665" s="6"/>
      <c r="AM4665" s="6"/>
    </row>
    <row r="4666">
      <c r="A4666" s="6"/>
      <c r="B4666" s="6"/>
      <c r="C4666" s="6"/>
      <c r="D4666" s="6"/>
      <c r="E4666" s="6"/>
      <c r="F4666" s="6"/>
      <c r="G4666" s="6"/>
      <c r="H4666" s="6"/>
      <c r="I4666" s="6"/>
      <c r="J4666" s="6"/>
      <c r="K4666" s="6"/>
      <c r="L4666" s="6"/>
      <c r="M4666" s="6"/>
      <c r="N4666" s="6"/>
      <c r="O4666" s="6"/>
      <c r="P4666" s="6"/>
      <c r="Q4666" s="6"/>
      <c r="R4666" s="6"/>
      <c r="S4666" s="6"/>
      <c r="T4666" s="6"/>
      <c r="U4666" s="6"/>
      <c r="V4666" s="6"/>
      <c r="W4666" s="6"/>
      <c r="X4666" s="6"/>
      <c r="Y4666" s="6"/>
      <c r="Z4666" s="6"/>
      <c r="AA4666" s="6"/>
      <c r="AB4666" s="6"/>
      <c r="AC4666" s="6"/>
      <c r="AD4666" s="6"/>
      <c r="AE4666" s="6"/>
      <c r="AF4666" s="6"/>
      <c r="AG4666" s="6"/>
      <c r="AH4666" s="6"/>
      <c r="AI4666" s="6"/>
      <c r="AJ4666" s="6"/>
      <c r="AK4666" s="6"/>
      <c r="AL4666" s="6"/>
      <c r="AM4666" s="6"/>
    </row>
    <row r="4667">
      <c r="A4667" s="6"/>
      <c r="B4667" s="6"/>
      <c r="C4667" s="6"/>
      <c r="D4667" s="6"/>
      <c r="E4667" s="6"/>
      <c r="F4667" s="6"/>
      <c r="G4667" s="6"/>
      <c r="H4667" s="6"/>
      <c r="I4667" s="6"/>
      <c r="J4667" s="6"/>
      <c r="K4667" s="6"/>
      <c r="L4667" s="6"/>
      <c r="M4667" s="6"/>
      <c r="N4667" s="6"/>
      <c r="O4667" s="6"/>
      <c r="P4667" s="6"/>
      <c r="Q4667" s="6"/>
      <c r="R4667" s="6"/>
      <c r="S4667" s="6"/>
      <c r="T4667" s="6"/>
      <c r="U4667" s="6"/>
      <c r="V4667" s="6"/>
      <c r="W4667" s="6"/>
      <c r="X4667" s="6"/>
      <c r="Y4667" s="6"/>
      <c r="Z4667" s="6"/>
      <c r="AA4667" s="6"/>
      <c r="AB4667" s="6"/>
      <c r="AC4667" s="6"/>
      <c r="AD4667" s="6"/>
      <c r="AE4667" s="6"/>
      <c r="AF4667" s="6"/>
      <c r="AG4667" s="6"/>
      <c r="AH4667" s="6"/>
      <c r="AI4667" s="6"/>
      <c r="AJ4667" s="6"/>
      <c r="AK4667" s="6"/>
      <c r="AL4667" s="6"/>
      <c r="AM4667" s="6"/>
    </row>
    <row r="4668">
      <c r="A4668" s="6"/>
      <c r="B4668" s="6"/>
      <c r="C4668" s="6"/>
      <c r="D4668" s="6"/>
      <c r="E4668" s="6"/>
      <c r="F4668" s="6"/>
      <c r="G4668" s="6"/>
      <c r="H4668" s="6"/>
      <c r="I4668" s="6"/>
      <c r="J4668" s="6"/>
      <c r="K4668" s="6"/>
      <c r="L4668" s="6"/>
      <c r="M4668" s="6"/>
      <c r="N4668" s="6"/>
      <c r="O4668" s="6"/>
      <c r="P4668" s="6"/>
      <c r="Q4668" s="6"/>
      <c r="R4668" s="6"/>
      <c r="S4668" s="6"/>
      <c r="T4668" s="6"/>
      <c r="U4668" s="6"/>
      <c r="V4668" s="6"/>
      <c r="W4668" s="6"/>
      <c r="X4668" s="6"/>
      <c r="Y4668" s="6"/>
      <c r="Z4668" s="6"/>
      <c r="AA4668" s="6"/>
      <c r="AB4668" s="6"/>
      <c r="AC4668" s="6"/>
      <c r="AD4668" s="6"/>
      <c r="AE4668" s="6"/>
      <c r="AF4668" s="6"/>
      <c r="AG4668" s="6"/>
      <c r="AH4668" s="6"/>
      <c r="AI4668" s="6"/>
      <c r="AJ4668" s="6"/>
      <c r="AK4668" s="6"/>
      <c r="AL4668" s="6"/>
      <c r="AM4668" s="6"/>
    </row>
    <row r="4669">
      <c r="A4669" s="6"/>
      <c r="B4669" s="6"/>
      <c r="C4669" s="6"/>
      <c r="D4669" s="6"/>
      <c r="E4669" s="6"/>
      <c r="F4669" s="6"/>
      <c r="G4669" s="6"/>
      <c r="H4669" s="6"/>
      <c r="I4669" s="6"/>
      <c r="J4669" s="6"/>
      <c r="K4669" s="6"/>
      <c r="L4669" s="6"/>
      <c r="M4669" s="6"/>
      <c r="N4669" s="6"/>
      <c r="O4669" s="6"/>
      <c r="P4669" s="6"/>
      <c r="Q4669" s="6"/>
      <c r="R4669" s="6"/>
      <c r="S4669" s="6"/>
      <c r="T4669" s="6"/>
      <c r="U4669" s="6"/>
      <c r="V4669" s="6"/>
      <c r="W4669" s="6"/>
      <c r="X4669" s="6"/>
      <c r="Y4669" s="6"/>
      <c r="Z4669" s="6"/>
      <c r="AA4669" s="6"/>
      <c r="AB4669" s="6"/>
      <c r="AC4669" s="6"/>
      <c r="AD4669" s="6"/>
      <c r="AE4669" s="6"/>
      <c r="AF4669" s="6"/>
      <c r="AG4669" s="6"/>
      <c r="AH4669" s="6"/>
      <c r="AI4669" s="6"/>
      <c r="AJ4669" s="6"/>
      <c r="AK4669" s="6"/>
      <c r="AL4669" s="6"/>
      <c r="AM4669" s="6"/>
    </row>
    <row r="4670">
      <c r="A4670" s="6"/>
      <c r="B4670" s="6"/>
      <c r="C4670" s="6"/>
      <c r="D4670" s="6"/>
      <c r="E4670" s="6"/>
      <c r="F4670" s="6"/>
      <c r="G4670" s="6"/>
      <c r="H4670" s="6"/>
      <c r="I4670" s="6"/>
      <c r="J4670" s="6"/>
      <c r="K4670" s="6"/>
      <c r="L4670" s="6"/>
      <c r="M4670" s="6"/>
      <c r="N4670" s="6"/>
      <c r="O4670" s="6"/>
      <c r="P4670" s="6"/>
      <c r="Q4670" s="6"/>
      <c r="R4670" s="6"/>
      <c r="S4670" s="6"/>
      <c r="T4670" s="6"/>
      <c r="U4670" s="6"/>
      <c r="V4670" s="6"/>
      <c r="W4670" s="6"/>
      <c r="X4670" s="6"/>
      <c r="Y4670" s="6"/>
      <c r="Z4670" s="6"/>
      <c r="AA4670" s="6"/>
      <c r="AB4670" s="6"/>
      <c r="AC4670" s="6"/>
      <c r="AD4670" s="6"/>
      <c r="AE4670" s="6"/>
      <c r="AF4670" s="6"/>
      <c r="AG4670" s="6"/>
      <c r="AH4670" s="6"/>
      <c r="AI4670" s="6"/>
      <c r="AJ4670" s="6"/>
      <c r="AK4670" s="6"/>
      <c r="AL4670" s="6"/>
      <c r="AM4670" s="6"/>
    </row>
    <row r="4671">
      <c r="A4671" s="6"/>
      <c r="B4671" s="6"/>
      <c r="C4671" s="6"/>
      <c r="D4671" s="6"/>
      <c r="E4671" s="6"/>
      <c r="F4671" s="6"/>
      <c r="G4671" s="6"/>
      <c r="H4671" s="6"/>
      <c r="I4671" s="6"/>
      <c r="J4671" s="6"/>
      <c r="K4671" s="6"/>
      <c r="L4671" s="6"/>
      <c r="M4671" s="6"/>
      <c r="N4671" s="6"/>
      <c r="O4671" s="6"/>
      <c r="P4671" s="6"/>
      <c r="Q4671" s="6"/>
      <c r="R4671" s="6"/>
      <c r="S4671" s="6"/>
      <c r="T4671" s="6"/>
      <c r="U4671" s="6"/>
      <c r="V4671" s="6"/>
      <c r="W4671" s="6"/>
      <c r="X4671" s="6"/>
      <c r="Y4671" s="6"/>
      <c r="Z4671" s="6"/>
      <c r="AA4671" s="6"/>
      <c r="AB4671" s="6"/>
      <c r="AC4671" s="6"/>
      <c r="AD4671" s="6"/>
      <c r="AE4671" s="6"/>
      <c r="AF4671" s="6"/>
      <c r="AG4671" s="6"/>
      <c r="AH4671" s="6"/>
      <c r="AI4671" s="6"/>
      <c r="AJ4671" s="6"/>
      <c r="AK4671" s="6"/>
      <c r="AL4671" s="6"/>
      <c r="AM4671" s="6"/>
    </row>
    <row r="4672">
      <c r="A4672" s="6"/>
      <c r="B4672" s="6"/>
      <c r="C4672" s="6"/>
      <c r="D4672" s="6"/>
      <c r="E4672" s="6"/>
      <c r="F4672" s="6"/>
      <c r="G4672" s="6"/>
      <c r="H4672" s="6"/>
      <c r="I4672" s="6"/>
      <c r="J4672" s="6"/>
      <c r="K4672" s="6"/>
      <c r="L4672" s="6"/>
      <c r="M4672" s="6"/>
      <c r="N4672" s="6"/>
      <c r="O4672" s="6"/>
      <c r="P4672" s="6"/>
      <c r="Q4672" s="6"/>
      <c r="R4672" s="6"/>
      <c r="S4672" s="6"/>
      <c r="T4672" s="6"/>
      <c r="U4672" s="6"/>
      <c r="V4672" s="6"/>
      <c r="W4672" s="6"/>
      <c r="X4672" s="6"/>
      <c r="Y4672" s="6"/>
      <c r="Z4672" s="6"/>
      <c r="AA4672" s="6"/>
      <c r="AB4672" s="6"/>
      <c r="AC4672" s="6"/>
      <c r="AD4672" s="6"/>
      <c r="AE4672" s="6"/>
      <c r="AF4672" s="6"/>
      <c r="AG4672" s="6"/>
      <c r="AH4672" s="6"/>
      <c r="AI4672" s="6"/>
      <c r="AJ4672" s="6"/>
      <c r="AK4672" s="6"/>
      <c r="AL4672" s="6"/>
      <c r="AM4672" s="6"/>
    </row>
    <row r="4673">
      <c r="A4673" s="6"/>
      <c r="B4673" s="6"/>
      <c r="C4673" s="6"/>
      <c r="D4673" s="6"/>
      <c r="E4673" s="6"/>
      <c r="F4673" s="6"/>
      <c r="G4673" s="6"/>
      <c r="H4673" s="6"/>
      <c r="I4673" s="6"/>
      <c r="J4673" s="6"/>
      <c r="K4673" s="6"/>
      <c r="L4673" s="6"/>
      <c r="M4673" s="6"/>
      <c r="N4673" s="6"/>
      <c r="O4673" s="6"/>
      <c r="P4673" s="6"/>
      <c r="Q4673" s="6"/>
      <c r="R4673" s="6"/>
      <c r="S4673" s="6"/>
      <c r="T4673" s="6"/>
      <c r="U4673" s="6"/>
      <c r="V4673" s="6"/>
      <c r="W4673" s="6"/>
      <c r="X4673" s="6"/>
      <c r="Y4673" s="6"/>
      <c r="Z4673" s="6"/>
      <c r="AA4673" s="6"/>
      <c r="AB4673" s="6"/>
      <c r="AC4673" s="6"/>
      <c r="AD4673" s="6"/>
      <c r="AE4673" s="6"/>
      <c r="AF4673" s="6"/>
      <c r="AG4673" s="6"/>
      <c r="AH4673" s="6"/>
      <c r="AI4673" s="6"/>
      <c r="AJ4673" s="6"/>
      <c r="AK4673" s="6"/>
      <c r="AL4673" s="6"/>
      <c r="AM4673" s="6"/>
    </row>
    <row r="4674">
      <c r="A4674" s="6"/>
      <c r="B4674" s="6"/>
      <c r="C4674" s="6"/>
      <c r="D4674" s="6"/>
      <c r="E4674" s="6"/>
      <c r="F4674" s="6"/>
      <c r="G4674" s="6"/>
      <c r="H4674" s="6"/>
      <c r="I4674" s="6"/>
      <c r="J4674" s="6"/>
      <c r="K4674" s="6"/>
      <c r="L4674" s="6"/>
      <c r="M4674" s="6"/>
      <c r="N4674" s="6"/>
      <c r="O4674" s="6"/>
      <c r="P4674" s="6"/>
      <c r="Q4674" s="6"/>
      <c r="R4674" s="6"/>
      <c r="S4674" s="6"/>
      <c r="T4674" s="6"/>
      <c r="U4674" s="6"/>
      <c r="V4674" s="6"/>
      <c r="W4674" s="6"/>
      <c r="X4674" s="6"/>
      <c r="Y4674" s="6"/>
      <c r="Z4674" s="6"/>
      <c r="AA4674" s="6"/>
      <c r="AB4674" s="6"/>
      <c r="AC4674" s="6"/>
      <c r="AD4674" s="6"/>
      <c r="AE4674" s="6"/>
      <c r="AF4674" s="6"/>
      <c r="AG4674" s="6"/>
      <c r="AH4674" s="6"/>
      <c r="AI4674" s="6"/>
      <c r="AJ4674" s="6"/>
      <c r="AK4674" s="6"/>
      <c r="AL4674" s="6"/>
      <c r="AM4674" s="6"/>
    </row>
    <row r="4675">
      <c r="A4675" s="6"/>
      <c r="B4675" s="6"/>
      <c r="C4675" s="6"/>
      <c r="D4675" s="6"/>
      <c r="E4675" s="6"/>
      <c r="F4675" s="6"/>
      <c r="G4675" s="6"/>
      <c r="H4675" s="6"/>
      <c r="I4675" s="6"/>
      <c r="J4675" s="6"/>
      <c r="K4675" s="6"/>
      <c r="L4675" s="6"/>
      <c r="M4675" s="6"/>
      <c r="N4675" s="6"/>
      <c r="O4675" s="6"/>
      <c r="P4675" s="6"/>
      <c r="Q4675" s="6"/>
      <c r="R4675" s="6"/>
      <c r="S4675" s="6"/>
      <c r="T4675" s="6"/>
      <c r="U4675" s="6"/>
      <c r="V4675" s="6"/>
      <c r="W4675" s="6"/>
      <c r="X4675" s="6"/>
      <c r="Y4675" s="6"/>
      <c r="Z4675" s="6"/>
      <c r="AA4675" s="6"/>
      <c r="AB4675" s="6"/>
      <c r="AC4675" s="6"/>
      <c r="AD4675" s="6"/>
      <c r="AE4675" s="6"/>
      <c r="AF4675" s="6"/>
      <c r="AG4675" s="6"/>
      <c r="AH4675" s="6"/>
      <c r="AI4675" s="6"/>
      <c r="AJ4675" s="6"/>
      <c r="AK4675" s="6"/>
      <c r="AL4675" s="6"/>
      <c r="AM4675" s="6"/>
    </row>
    <row r="4676">
      <c r="A4676" s="6"/>
      <c r="B4676" s="6"/>
      <c r="C4676" s="6"/>
      <c r="D4676" s="6"/>
      <c r="E4676" s="6"/>
      <c r="F4676" s="6"/>
      <c r="G4676" s="6"/>
      <c r="H4676" s="6"/>
      <c r="I4676" s="6"/>
      <c r="J4676" s="6"/>
      <c r="K4676" s="6"/>
      <c r="L4676" s="6"/>
      <c r="M4676" s="6"/>
      <c r="N4676" s="6"/>
      <c r="O4676" s="6"/>
      <c r="P4676" s="6"/>
      <c r="Q4676" s="6"/>
      <c r="R4676" s="6"/>
      <c r="S4676" s="6"/>
      <c r="T4676" s="6"/>
      <c r="U4676" s="6"/>
      <c r="V4676" s="6"/>
      <c r="W4676" s="6"/>
      <c r="X4676" s="6"/>
      <c r="Y4676" s="6"/>
      <c r="Z4676" s="6"/>
      <c r="AA4676" s="6"/>
      <c r="AB4676" s="6"/>
      <c r="AC4676" s="6"/>
      <c r="AD4676" s="6"/>
      <c r="AE4676" s="6"/>
      <c r="AF4676" s="6"/>
      <c r="AG4676" s="6"/>
      <c r="AH4676" s="6"/>
      <c r="AI4676" s="6"/>
      <c r="AJ4676" s="6"/>
      <c r="AK4676" s="6"/>
      <c r="AL4676" s="6"/>
      <c r="AM4676" s="6"/>
    </row>
    <row r="4677">
      <c r="A4677" s="6"/>
      <c r="B4677" s="6"/>
      <c r="C4677" s="6"/>
      <c r="D4677" s="6"/>
      <c r="E4677" s="6"/>
      <c r="F4677" s="6"/>
      <c r="G4677" s="6"/>
      <c r="H4677" s="6"/>
      <c r="I4677" s="6"/>
      <c r="J4677" s="6"/>
      <c r="K4677" s="6"/>
      <c r="L4677" s="6"/>
      <c r="M4677" s="6"/>
      <c r="N4677" s="6"/>
      <c r="O4677" s="6"/>
      <c r="P4677" s="6"/>
      <c r="Q4677" s="6"/>
      <c r="R4677" s="6"/>
      <c r="S4677" s="6"/>
      <c r="T4677" s="6"/>
      <c r="U4677" s="6"/>
      <c r="V4677" s="6"/>
      <c r="W4677" s="6"/>
      <c r="X4677" s="6"/>
      <c r="Y4677" s="6"/>
      <c r="Z4677" s="6"/>
      <c r="AA4677" s="6"/>
      <c r="AB4677" s="6"/>
      <c r="AC4677" s="6"/>
      <c r="AD4677" s="6"/>
      <c r="AE4677" s="6"/>
      <c r="AF4677" s="6"/>
      <c r="AG4677" s="6"/>
      <c r="AH4677" s="6"/>
      <c r="AI4677" s="6"/>
      <c r="AJ4677" s="6"/>
      <c r="AK4677" s="6"/>
      <c r="AL4677" s="6"/>
      <c r="AM4677" s="6"/>
    </row>
    <row r="4678">
      <c r="A4678" s="6"/>
      <c r="B4678" s="6"/>
      <c r="C4678" s="6"/>
      <c r="D4678" s="6"/>
      <c r="E4678" s="6"/>
      <c r="F4678" s="6"/>
      <c r="G4678" s="6"/>
      <c r="H4678" s="6"/>
      <c r="I4678" s="6"/>
      <c r="J4678" s="6"/>
      <c r="K4678" s="6"/>
      <c r="L4678" s="6"/>
      <c r="M4678" s="6"/>
      <c r="N4678" s="6"/>
      <c r="O4678" s="6"/>
      <c r="P4678" s="6"/>
      <c r="Q4678" s="6"/>
      <c r="R4678" s="6"/>
      <c r="S4678" s="6"/>
      <c r="T4678" s="6"/>
      <c r="U4678" s="6"/>
      <c r="V4678" s="6"/>
      <c r="W4678" s="6"/>
      <c r="X4678" s="6"/>
      <c r="Y4678" s="6"/>
      <c r="Z4678" s="6"/>
      <c r="AA4678" s="6"/>
      <c r="AB4678" s="6"/>
      <c r="AC4678" s="6"/>
      <c r="AD4678" s="6"/>
      <c r="AE4678" s="6"/>
      <c r="AF4678" s="6"/>
      <c r="AG4678" s="6"/>
      <c r="AH4678" s="6"/>
      <c r="AI4678" s="6"/>
      <c r="AJ4678" s="6"/>
      <c r="AK4678" s="6"/>
      <c r="AL4678" s="6"/>
      <c r="AM4678" s="6"/>
    </row>
    <row r="4679">
      <c r="A4679" s="6"/>
      <c r="B4679" s="6"/>
      <c r="C4679" s="6"/>
      <c r="D4679" s="6"/>
      <c r="E4679" s="6"/>
      <c r="F4679" s="6"/>
      <c r="G4679" s="6"/>
      <c r="H4679" s="6"/>
      <c r="I4679" s="6"/>
      <c r="J4679" s="6"/>
      <c r="K4679" s="6"/>
      <c r="L4679" s="6"/>
      <c r="M4679" s="6"/>
      <c r="N4679" s="6"/>
      <c r="O4679" s="6"/>
      <c r="P4679" s="6"/>
      <c r="Q4679" s="6"/>
      <c r="R4679" s="6"/>
      <c r="S4679" s="6"/>
      <c r="T4679" s="6"/>
      <c r="U4679" s="6"/>
      <c r="V4679" s="6"/>
      <c r="W4679" s="6"/>
      <c r="X4679" s="6"/>
      <c r="Y4679" s="6"/>
      <c r="Z4679" s="6"/>
      <c r="AA4679" s="6"/>
      <c r="AB4679" s="6"/>
      <c r="AC4679" s="6"/>
      <c r="AD4679" s="6"/>
      <c r="AE4679" s="6"/>
      <c r="AF4679" s="6"/>
      <c r="AG4679" s="6"/>
      <c r="AH4679" s="6"/>
      <c r="AI4679" s="6"/>
      <c r="AJ4679" s="6"/>
      <c r="AK4679" s="6"/>
      <c r="AL4679" s="6"/>
      <c r="AM4679" s="6"/>
    </row>
    <row r="4680">
      <c r="A4680" s="6"/>
      <c r="B4680" s="6"/>
      <c r="C4680" s="6"/>
      <c r="D4680" s="6"/>
      <c r="E4680" s="6"/>
      <c r="F4680" s="6"/>
      <c r="G4680" s="6"/>
      <c r="H4680" s="6"/>
      <c r="I4680" s="6"/>
      <c r="J4680" s="6"/>
      <c r="K4680" s="6"/>
      <c r="L4680" s="6"/>
      <c r="M4680" s="6"/>
      <c r="N4680" s="6"/>
      <c r="O4680" s="6"/>
      <c r="P4680" s="6"/>
      <c r="Q4680" s="6"/>
      <c r="R4680" s="6"/>
      <c r="S4680" s="6"/>
      <c r="T4680" s="6"/>
      <c r="U4680" s="6"/>
      <c r="V4680" s="6"/>
      <c r="W4680" s="6"/>
      <c r="X4680" s="6"/>
      <c r="Y4680" s="6"/>
      <c r="Z4680" s="6"/>
      <c r="AA4680" s="6"/>
      <c r="AB4680" s="6"/>
      <c r="AC4680" s="6"/>
      <c r="AD4680" s="6"/>
      <c r="AE4680" s="6"/>
      <c r="AF4680" s="6"/>
      <c r="AG4680" s="6"/>
      <c r="AH4680" s="6"/>
      <c r="AI4680" s="6"/>
      <c r="AJ4680" s="6"/>
      <c r="AK4680" s="6"/>
      <c r="AL4680" s="6"/>
      <c r="AM4680" s="6"/>
    </row>
    <row r="4681">
      <c r="A4681" s="6"/>
      <c r="B4681" s="6"/>
      <c r="C4681" s="6"/>
      <c r="D4681" s="6"/>
      <c r="E4681" s="6"/>
      <c r="F4681" s="6"/>
      <c r="G4681" s="6"/>
      <c r="H4681" s="6"/>
      <c r="I4681" s="6"/>
      <c r="J4681" s="6"/>
      <c r="K4681" s="6"/>
      <c r="L4681" s="6"/>
      <c r="M4681" s="6"/>
      <c r="N4681" s="6"/>
      <c r="O4681" s="6"/>
      <c r="P4681" s="6"/>
      <c r="Q4681" s="6"/>
      <c r="R4681" s="6"/>
      <c r="S4681" s="6"/>
      <c r="T4681" s="6"/>
      <c r="U4681" s="6"/>
      <c r="V4681" s="6"/>
      <c r="W4681" s="6"/>
      <c r="X4681" s="6"/>
      <c r="Y4681" s="6"/>
      <c r="Z4681" s="6"/>
      <c r="AA4681" s="6"/>
      <c r="AB4681" s="6"/>
      <c r="AC4681" s="6"/>
      <c r="AD4681" s="6"/>
      <c r="AE4681" s="6"/>
      <c r="AF4681" s="6"/>
      <c r="AG4681" s="6"/>
      <c r="AH4681" s="6"/>
      <c r="AI4681" s="6"/>
      <c r="AJ4681" s="6"/>
      <c r="AK4681" s="6"/>
      <c r="AL4681" s="6"/>
      <c r="AM4681" s="6"/>
    </row>
    <row r="4682">
      <c r="A4682" s="6"/>
      <c r="B4682" s="6"/>
      <c r="C4682" s="6"/>
      <c r="D4682" s="6"/>
      <c r="E4682" s="6"/>
      <c r="F4682" s="6"/>
      <c r="G4682" s="6"/>
      <c r="H4682" s="6"/>
      <c r="I4682" s="6"/>
      <c r="J4682" s="6"/>
      <c r="K4682" s="6"/>
      <c r="L4682" s="6"/>
      <c r="M4682" s="6"/>
      <c r="N4682" s="6"/>
      <c r="O4682" s="6"/>
      <c r="P4682" s="6"/>
      <c r="Q4682" s="6"/>
      <c r="R4682" s="6"/>
      <c r="S4682" s="6"/>
      <c r="T4682" s="6"/>
      <c r="U4682" s="6"/>
      <c r="V4682" s="6"/>
      <c r="W4682" s="6"/>
      <c r="X4682" s="6"/>
      <c r="Y4682" s="6"/>
      <c r="Z4682" s="6"/>
      <c r="AA4682" s="6"/>
      <c r="AB4682" s="6"/>
      <c r="AC4682" s="6"/>
      <c r="AD4682" s="6"/>
      <c r="AE4682" s="6"/>
      <c r="AF4682" s="6"/>
      <c r="AG4682" s="6"/>
      <c r="AH4682" s="6"/>
      <c r="AI4682" s="6"/>
      <c r="AJ4682" s="6"/>
      <c r="AK4682" s="6"/>
      <c r="AL4682" s="6"/>
      <c r="AM4682" s="6"/>
    </row>
    <row r="4683">
      <c r="A4683" s="6"/>
      <c r="B4683" s="6"/>
      <c r="C4683" s="6"/>
      <c r="D4683" s="6"/>
      <c r="E4683" s="6"/>
      <c r="F4683" s="6"/>
      <c r="G4683" s="6"/>
      <c r="H4683" s="6"/>
      <c r="I4683" s="6"/>
      <c r="J4683" s="6"/>
      <c r="K4683" s="6"/>
      <c r="L4683" s="6"/>
      <c r="M4683" s="6"/>
      <c r="N4683" s="6"/>
      <c r="O4683" s="6"/>
      <c r="P4683" s="6"/>
      <c r="Q4683" s="6"/>
      <c r="R4683" s="6"/>
      <c r="S4683" s="6"/>
      <c r="T4683" s="6"/>
      <c r="U4683" s="6"/>
      <c r="V4683" s="6"/>
      <c r="W4683" s="6"/>
      <c r="X4683" s="6"/>
      <c r="Y4683" s="6"/>
      <c r="Z4683" s="6"/>
      <c r="AA4683" s="6"/>
      <c r="AB4683" s="6"/>
      <c r="AC4683" s="6"/>
      <c r="AD4683" s="6"/>
      <c r="AE4683" s="6"/>
      <c r="AF4683" s="6"/>
      <c r="AG4683" s="6"/>
      <c r="AH4683" s="6"/>
      <c r="AI4683" s="6"/>
      <c r="AJ4683" s="6"/>
      <c r="AK4683" s="6"/>
      <c r="AL4683" s="6"/>
      <c r="AM4683" s="6"/>
    </row>
    <row r="4684">
      <c r="A4684" s="6"/>
      <c r="B4684" s="6"/>
      <c r="C4684" s="6"/>
      <c r="D4684" s="6"/>
      <c r="E4684" s="6"/>
      <c r="F4684" s="6"/>
      <c r="G4684" s="6"/>
      <c r="H4684" s="6"/>
      <c r="I4684" s="6"/>
      <c r="J4684" s="6"/>
      <c r="K4684" s="6"/>
      <c r="L4684" s="6"/>
      <c r="M4684" s="6"/>
      <c r="N4684" s="6"/>
      <c r="O4684" s="6"/>
      <c r="P4684" s="6"/>
      <c r="Q4684" s="6"/>
      <c r="R4684" s="6"/>
      <c r="S4684" s="6"/>
      <c r="T4684" s="6"/>
      <c r="U4684" s="6"/>
      <c r="V4684" s="6"/>
      <c r="W4684" s="6"/>
      <c r="X4684" s="6"/>
      <c r="Y4684" s="6"/>
      <c r="Z4684" s="6"/>
      <c r="AA4684" s="6"/>
      <c r="AB4684" s="6"/>
      <c r="AC4684" s="6"/>
      <c r="AD4684" s="6"/>
      <c r="AE4684" s="6"/>
      <c r="AF4684" s="6"/>
      <c r="AG4684" s="6"/>
      <c r="AH4684" s="6"/>
      <c r="AI4684" s="6"/>
      <c r="AJ4684" s="6"/>
      <c r="AK4684" s="6"/>
      <c r="AL4684" s="6"/>
      <c r="AM4684" s="6"/>
    </row>
    <row r="4685">
      <c r="A4685" s="6"/>
      <c r="B4685" s="6"/>
      <c r="C4685" s="6"/>
      <c r="D4685" s="6"/>
      <c r="E4685" s="6"/>
      <c r="F4685" s="6"/>
      <c r="G4685" s="6"/>
      <c r="H4685" s="6"/>
      <c r="I4685" s="6"/>
      <c r="J4685" s="6"/>
      <c r="K4685" s="6"/>
      <c r="L4685" s="6"/>
      <c r="M4685" s="6"/>
      <c r="N4685" s="6"/>
      <c r="O4685" s="6"/>
      <c r="P4685" s="6"/>
      <c r="Q4685" s="6"/>
      <c r="R4685" s="6"/>
      <c r="S4685" s="6"/>
      <c r="T4685" s="6"/>
      <c r="U4685" s="6"/>
      <c r="V4685" s="6"/>
      <c r="W4685" s="6"/>
      <c r="X4685" s="6"/>
      <c r="Y4685" s="6"/>
      <c r="Z4685" s="6"/>
      <c r="AA4685" s="6"/>
      <c r="AB4685" s="6"/>
      <c r="AC4685" s="6"/>
      <c r="AD4685" s="6"/>
      <c r="AE4685" s="6"/>
      <c r="AF4685" s="6"/>
      <c r="AG4685" s="6"/>
      <c r="AH4685" s="6"/>
      <c r="AI4685" s="6"/>
      <c r="AJ4685" s="6"/>
      <c r="AK4685" s="6"/>
      <c r="AL4685" s="6"/>
      <c r="AM4685" s="6"/>
    </row>
    <row r="4686">
      <c r="A4686" s="6"/>
      <c r="B4686" s="6"/>
      <c r="C4686" s="6"/>
      <c r="D4686" s="6"/>
      <c r="E4686" s="6"/>
      <c r="F4686" s="6"/>
      <c r="G4686" s="6"/>
      <c r="H4686" s="6"/>
      <c r="I4686" s="6"/>
      <c r="J4686" s="6"/>
      <c r="K4686" s="6"/>
      <c r="L4686" s="6"/>
      <c r="M4686" s="6"/>
      <c r="N4686" s="6"/>
      <c r="O4686" s="6"/>
      <c r="P4686" s="6"/>
      <c r="Q4686" s="6"/>
      <c r="R4686" s="6"/>
      <c r="S4686" s="6"/>
      <c r="T4686" s="6"/>
      <c r="U4686" s="6"/>
      <c r="V4686" s="6"/>
      <c r="W4686" s="6"/>
      <c r="X4686" s="6"/>
      <c r="Y4686" s="6"/>
      <c r="Z4686" s="6"/>
      <c r="AA4686" s="6"/>
      <c r="AB4686" s="6"/>
      <c r="AC4686" s="6"/>
      <c r="AD4686" s="6"/>
      <c r="AE4686" s="6"/>
      <c r="AF4686" s="6"/>
      <c r="AG4686" s="6"/>
      <c r="AH4686" s="6"/>
      <c r="AI4686" s="6"/>
      <c r="AJ4686" s="6"/>
      <c r="AK4686" s="6"/>
      <c r="AL4686" s="6"/>
      <c r="AM4686" s="6"/>
    </row>
    <row r="4687">
      <c r="A4687" s="6"/>
      <c r="B4687" s="6"/>
      <c r="C4687" s="6"/>
      <c r="D4687" s="6"/>
      <c r="E4687" s="6"/>
      <c r="F4687" s="6"/>
      <c r="G4687" s="6"/>
      <c r="H4687" s="6"/>
      <c r="I4687" s="6"/>
      <c r="J4687" s="6"/>
      <c r="K4687" s="6"/>
      <c r="L4687" s="6"/>
      <c r="M4687" s="6"/>
      <c r="N4687" s="6"/>
      <c r="O4687" s="6"/>
      <c r="P4687" s="6"/>
      <c r="Q4687" s="6"/>
      <c r="R4687" s="6"/>
      <c r="S4687" s="6"/>
      <c r="T4687" s="6"/>
      <c r="U4687" s="6"/>
      <c r="V4687" s="6"/>
      <c r="W4687" s="6"/>
      <c r="X4687" s="6"/>
      <c r="Y4687" s="6"/>
      <c r="Z4687" s="6"/>
      <c r="AA4687" s="6"/>
      <c r="AB4687" s="6"/>
      <c r="AC4687" s="6"/>
      <c r="AD4687" s="6"/>
      <c r="AE4687" s="6"/>
      <c r="AF4687" s="6"/>
      <c r="AG4687" s="6"/>
      <c r="AH4687" s="6"/>
      <c r="AI4687" s="6"/>
      <c r="AJ4687" s="6"/>
      <c r="AK4687" s="6"/>
      <c r="AL4687" s="6"/>
      <c r="AM4687" s="6"/>
    </row>
    <row r="4688">
      <c r="A4688" s="6"/>
      <c r="B4688" s="6"/>
      <c r="C4688" s="6"/>
      <c r="D4688" s="6"/>
      <c r="E4688" s="6"/>
      <c r="F4688" s="6"/>
      <c r="G4688" s="6"/>
      <c r="H4688" s="6"/>
      <c r="I4688" s="6"/>
      <c r="J4688" s="6"/>
      <c r="K4688" s="6"/>
      <c r="L4688" s="6"/>
      <c r="M4688" s="6"/>
      <c r="N4688" s="6"/>
      <c r="O4688" s="6"/>
      <c r="P4688" s="6"/>
      <c r="Q4688" s="6"/>
      <c r="R4688" s="6"/>
      <c r="S4688" s="6"/>
      <c r="T4688" s="6"/>
      <c r="U4688" s="6"/>
      <c r="V4688" s="6"/>
      <c r="W4688" s="6"/>
      <c r="X4688" s="6"/>
      <c r="Y4688" s="6"/>
      <c r="Z4688" s="6"/>
      <c r="AA4688" s="6"/>
      <c r="AB4688" s="6"/>
      <c r="AC4688" s="6"/>
      <c r="AD4688" s="6"/>
      <c r="AE4688" s="6"/>
      <c r="AF4688" s="6"/>
      <c r="AG4688" s="6"/>
      <c r="AH4688" s="6"/>
      <c r="AI4688" s="6"/>
      <c r="AJ4688" s="6"/>
      <c r="AK4688" s="6"/>
      <c r="AL4688" s="6"/>
      <c r="AM4688" s="6"/>
    </row>
    <row r="4689">
      <c r="A4689" s="6"/>
      <c r="B4689" s="6"/>
      <c r="C4689" s="6"/>
      <c r="D4689" s="6"/>
      <c r="E4689" s="6"/>
      <c r="F4689" s="6"/>
      <c r="G4689" s="6"/>
      <c r="H4689" s="6"/>
      <c r="I4689" s="6"/>
      <c r="J4689" s="6"/>
      <c r="K4689" s="6"/>
      <c r="L4689" s="6"/>
      <c r="M4689" s="6"/>
      <c r="N4689" s="6"/>
      <c r="O4689" s="6"/>
      <c r="P4689" s="6"/>
      <c r="Q4689" s="6"/>
      <c r="R4689" s="6"/>
      <c r="S4689" s="6"/>
      <c r="T4689" s="6"/>
      <c r="U4689" s="6"/>
      <c r="V4689" s="6"/>
      <c r="W4689" s="6"/>
      <c r="X4689" s="6"/>
      <c r="Y4689" s="6"/>
      <c r="Z4689" s="6"/>
      <c r="AA4689" s="6"/>
      <c r="AB4689" s="6"/>
      <c r="AC4689" s="6"/>
      <c r="AD4689" s="6"/>
      <c r="AE4689" s="6"/>
      <c r="AF4689" s="6"/>
      <c r="AG4689" s="6"/>
      <c r="AH4689" s="6"/>
      <c r="AI4689" s="6"/>
      <c r="AJ4689" s="6"/>
      <c r="AK4689" s="6"/>
      <c r="AL4689" s="6"/>
      <c r="AM4689" s="6"/>
    </row>
    <row r="4690">
      <c r="A4690" s="6"/>
      <c r="B4690" s="6"/>
      <c r="C4690" s="6"/>
      <c r="D4690" s="6"/>
      <c r="E4690" s="6"/>
      <c r="F4690" s="6"/>
      <c r="G4690" s="6"/>
      <c r="H4690" s="6"/>
      <c r="I4690" s="6"/>
      <c r="J4690" s="6"/>
      <c r="K4690" s="6"/>
      <c r="L4690" s="6"/>
      <c r="M4690" s="6"/>
      <c r="N4690" s="6"/>
      <c r="O4690" s="6"/>
      <c r="P4690" s="6"/>
      <c r="Q4690" s="6"/>
      <c r="R4690" s="6"/>
      <c r="S4690" s="6"/>
      <c r="T4690" s="6"/>
      <c r="U4690" s="6"/>
      <c r="V4690" s="6"/>
      <c r="W4690" s="6"/>
      <c r="X4690" s="6"/>
      <c r="Y4690" s="6"/>
      <c r="Z4690" s="6"/>
      <c r="AA4690" s="6"/>
      <c r="AB4690" s="6"/>
      <c r="AC4690" s="6"/>
      <c r="AD4690" s="6"/>
      <c r="AE4690" s="6"/>
      <c r="AF4690" s="6"/>
      <c r="AG4690" s="6"/>
      <c r="AH4690" s="6"/>
      <c r="AI4690" s="6"/>
      <c r="AJ4690" s="6"/>
      <c r="AK4690" s="6"/>
      <c r="AL4690" s="6"/>
      <c r="AM4690" s="6"/>
    </row>
    <row r="4691">
      <c r="A4691" s="6"/>
      <c r="B4691" s="6"/>
      <c r="C4691" s="6"/>
      <c r="D4691" s="6"/>
      <c r="E4691" s="6"/>
      <c r="F4691" s="6"/>
      <c r="G4691" s="6"/>
      <c r="H4691" s="6"/>
      <c r="I4691" s="6"/>
      <c r="J4691" s="6"/>
      <c r="K4691" s="6"/>
      <c r="L4691" s="6"/>
      <c r="M4691" s="6"/>
      <c r="N4691" s="6"/>
      <c r="O4691" s="6"/>
      <c r="P4691" s="6"/>
      <c r="Q4691" s="6"/>
      <c r="R4691" s="6"/>
      <c r="S4691" s="6"/>
      <c r="T4691" s="6"/>
      <c r="U4691" s="6"/>
      <c r="V4691" s="6"/>
      <c r="W4691" s="6"/>
      <c r="X4691" s="6"/>
      <c r="Y4691" s="6"/>
      <c r="Z4691" s="6"/>
      <c r="AA4691" s="6"/>
      <c r="AB4691" s="6"/>
      <c r="AC4691" s="6"/>
      <c r="AD4691" s="6"/>
      <c r="AE4691" s="6"/>
      <c r="AF4691" s="6"/>
      <c r="AG4691" s="6"/>
      <c r="AH4691" s="6"/>
      <c r="AI4691" s="6"/>
      <c r="AJ4691" s="6"/>
      <c r="AK4691" s="6"/>
      <c r="AL4691" s="6"/>
      <c r="AM4691" s="6"/>
    </row>
    <row r="4692">
      <c r="A4692" s="6"/>
      <c r="B4692" s="6"/>
      <c r="C4692" s="6"/>
      <c r="D4692" s="6"/>
      <c r="E4692" s="6"/>
      <c r="F4692" s="6"/>
      <c r="G4692" s="6"/>
      <c r="H4692" s="6"/>
      <c r="I4692" s="6"/>
      <c r="J4692" s="6"/>
      <c r="K4692" s="6"/>
      <c r="L4692" s="6"/>
      <c r="M4692" s="6"/>
      <c r="N4692" s="6"/>
      <c r="O4692" s="6"/>
      <c r="P4692" s="6"/>
      <c r="Q4692" s="6"/>
      <c r="R4692" s="6"/>
      <c r="S4692" s="6"/>
      <c r="T4692" s="6"/>
      <c r="U4692" s="6"/>
      <c r="V4692" s="6"/>
      <c r="W4692" s="6"/>
      <c r="X4692" s="6"/>
      <c r="Y4692" s="6"/>
      <c r="Z4692" s="6"/>
      <c r="AA4692" s="6"/>
      <c r="AB4692" s="6"/>
      <c r="AC4692" s="6"/>
      <c r="AD4692" s="6"/>
      <c r="AE4692" s="6"/>
      <c r="AF4692" s="6"/>
      <c r="AG4692" s="6"/>
      <c r="AH4692" s="6"/>
      <c r="AI4692" s="6"/>
      <c r="AJ4692" s="6"/>
      <c r="AK4692" s="6"/>
      <c r="AL4692" s="6"/>
      <c r="AM4692" s="6"/>
    </row>
    <row r="4693">
      <c r="A4693" s="6"/>
      <c r="B4693" s="6"/>
      <c r="C4693" s="6"/>
      <c r="D4693" s="6"/>
      <c r="E4693" s="6"/>
      <c r="F4693" s="6"/>
      <c r="G4693" s="6"/>
      <c r="H4693" s="6"/>
      <c r="I4693" s="6"/>
      <c r="J4693" s="6"/>
      <c r="K4693" s="6"/>
      <c r="L4693" s="6"/>
      <c r="M4693" s="6"/>
      <c r="N4693" s="6"/>
      <c r="O4693" s="6"/>
      <c r="P4693" s="6"/>
      <c r="Q4693" s="6"/>
      <c r="R4693" s="6"/>
      <c r="S4693" s="6"/>
      <c r="T4693" s="6"/>
      <c r="U4693" s="6"/>
      <c r="V4693" s="6"/>
      <c r="W4693" s="6"/>
      <c r="X4693" s="6"/>
      <c r="Y4693" s="6"/>
      <c r="Z4693" s="6"/>
      <c r="AA4693" s="6"/>
      <c r="AB4693" s="6"/>
      <c r="AC4693" s="6"/>
      <c r="AD4693" s="6"/>
      <c r="AE4693" s="6"/>
      <c r="AF4693" s="6"/>
      <c r="AG4693" s="6"/>
      <c r="AH4693" s="6"/>
      <c r="AI4693" s="6"/>
      <c r="AJ4693" s="6"/>
      <c r="AK4693" s="6"/>
      <c r="AL4693" s="6"/>
      <c r="AM4693" s="6"/>
    </row>
    <row r="4694">
      <c r="A4694" s="6"/>
      <c r="B4694" s="6"/>
      <c r="C4694" s="6"/>
      <c r="D4694" s="6"/>
      <c r="E4694" s="6"/>
      <c r="F4694" s="6"/>
      <c r="G4694" s="6"/>
      <c r="H4694" s="6"/>
      <c r="I4694" s="6"/>
      <c r="J4694" s="6"/>
      <c r="K4694" s="6"/>
      <c r="L4694" s="6"/>
      <c r="M4694" s="6"/>
      <c r="N4694" s="6"/>
      <c r="O4694" s="6"/>
      <c r="P4694" s="6"/>
      <c r="Q4694" s="6"/>
      <c r="R4694" s="6"/>
      <c r="S4694" s="6"/>
      <c r="T4694" s="6"/>
      <c r="U4694" s="6"/>
      <c r="V4694" s="6"/>
      <c r="W4694" s="6"/>
      <c r="X4694" s="6"/>
      <c r="Y4694" s="6"/>
      <c r="Z4694" s="6"/>
      <c r="AA4694" s="6"/>
      <c r="AB4694" s="6"/>
      <c r="AC4694" s="6"/>
      <c r="AD4694" s="6"/>
      <c r="AE4694" s="6"/>
      <c r="AF4694" s="6"/>
      <c r="AG4694" s="6"/>
      <c r="AH4694" s="6"/>
      <c r="AI4694" s="6"/>
      <c r="AJ4694" s="6"/>
      <c r="AK4694" s="6"/>
      <c r="AL4694" s="6"/>
      <c r="AM4694" s="6"/>
    </row>
    <row r="4695">
      <c r="A4695" s="6"/>
      <c r="B4695" s="6"/>
      <c r="C4695" s="6"/>
      <c r="D4695" s="6"/>
      <c r="E4695" s="6"/>
      <c r="F4695" s="6"/>
      <c r="G4695" s="6"/>
      <c r="H4695" s="6"/>
      <c r="I4695" s="6"/>
      <c r="J4695" s="6"/>
      <c r="K4695" s="6"/>
      <c r="L4695" s="6"/>
      <c r="M4695" s="6"/>
      <c r="N4695" s="6"/>
      <c r="O4695" s="6"/>
      <c r="P4695" s="6"/>
      <c r="Q4695" s="6"/>
      <c r="R4695" s="6"/>
      <c r="S4695" s="6"/>
      <c r="T4695" s="6"/>
      <c r="U4695" s="6"/>
      <c r="V4695" s="6"/>
      <c r="W4695" s="6"/>
      <c r="X4695" s="6"/>
      <c r="Y4695" s="6"/>
      <c r="Z4695" s="6"/>
      <c r="AA4695" s="6"/>
      <c r="AB4695" s="6"/>
      <c r="AC4695" s="6"/>
      <c r="AD4695" s="6"/>
      <c r="AE4695" s="6"/>
      <c r="AF4695" s="6"/>
      <c r="AG4695" s="6"/>
      <c r="AH4695" s="6"/>
      <c r="AI4695" s="6"/>
      <c r="AJ4695" s="6"/>
      <c r="AK4695" s="6"/>
      <c r="AL4695" s="6"/>
      <c r="AM4695" s="6"/>
    </row>
    <row r="4696">
      <c r="A4696" s="6"/>
      <c r="B4696" s="6"/>
      <c r="C4696" s="6"/>
      <c r="D4696" s="6"/>
      <c r="E4696" s="6"/>
      <c r="F4696" s="6"/>
      <c r="G4696" s="6"/>
      <c r="H4696" s="6"/>
      <c r="I4696" s="6"/>
      <c r="J4696" s="6"/>
      <c r="K4696" s="6"/>
      <c r="L4696" s="6"/>
      <c r="M4696" s="6"/>
      <c r="N4696" s="6"/>
      <c r="O4696" s="6"/>
      <c r="P4696" s="6"/>
      <c r="Q4696" s="6"/>
      <c r="R4696" s="6"/>
      <c r="S4696" s="6"/>
      <c r="T4696" s="6"/>
      <c r="U4696" s="6"/>
      <c r="V4696" s="6"/>
      <c r="W4696" s="6"/>
      <c r="X4696" s="6"/>
      <c r="Y4696" s="6"/>
      <c r="Z4696" s="6"/>
      <c r="AA4696" s="6"/>
      <c r="AB4696" s="6"/>
      <c r="AC4696" s="6"/>
      <c r="AD4696" s="6"/>
      <c r="AE4696" s="6"/>
      <c r="AF4696" s="6"/>
      <c r="AG4696" s="6"/>
      <c r="AH4696" s="6"/>
      <c r="AI4696" s="6"/>
      <c r="AJ4696" s="6"/>
      <c r="AK4696" s="6"/>
      <c r="AL4696" s="6"/>
      <c r="AM4696" s="6"/>
    </row>
    <row r="4697">
      <c r="A4697" s="6"/>
      <c r="B4697" s="6"/>
      <c r="C4697" s="6"/>
      <c r="D4697" s="6"/>
      <c r="E4697" s="6"/>
      <c r="F4697" s="6"/>
      <c r="G4697" s="6"/>
      <c r="H4697" s="6"/>
      <c r="I4697" s="6"/>
      <c r="J4697" s="6"/>
      <c r="K4697" s="6"/>
      <c r="L4697" s="6"/>
      <c r="M4697" s="6"/>
      <c r="N4697" s="6"/>
      <c r="O4697" s="6"/>
      <c r="P4697" s="6"/>
      <c r="Q4697" s="6"/>
      <c r="R4697" s="6"/>
      <c r="S4697" s="6"/>
      <c r="T4697" s="6"/>
      <c r="U4697" s="6"/>
      <c r="V4697" s="6"/>
      <c r="W4697" s="6"/>
      <c r="X4697" s="6"/>
      <c r="Y4697" s="6"/>
      <c r="Z4697" s="6"/>
      <c r="AA4697" s="6"/>
      <c r="AB4697" s="6"/>
      <c r="AC4697" s="6"/>
      <c r="AD4697" s="6"/>
      <c r="AE4697" s="6"/>
      <c r="AF4697" s="6"/>
      <c r="AG4697" s="6"/>
      <c r="AH4697" s="6"/>
      <c r="AI4697" s="6"/>
      <c r="AJ4697" s="6"/>
      <c r="AK4697" s="6"/>
      <c r="AL4697" s="6"/>
      <c r="AM4697" s="6"/>
    </row>
    <row r="4698">
      <c r="A4698" s="6"/>
      <c r="B4698" s="6"/>
      <c r="C4698" s="6"/>
      <c r="D4698" s="6"/>
      <c r="E4698" s="6"/>
      <c r="F4698" s="6"/>
      <c r="G4698" s="6"/>
      <c r="H4698" s="6"/>
      <c r="I4698" s="6"/>
      <c r="J4698" s="6"/>
      <c r="K4698" s="6"/>
      <c r="L4698" s="6"/>
      <c r="M4698" s="6"/>
      <c r="N4698" s="6"/>
      <c r="O4698" s="6"/>
      <c r="P4698" s="6"/>
      <c r="Q4698" s="6"/>
      <c r="R4698" s="6"/>
      <c r="S4698" s="6"/>
      <c r="T4698" s="6"/>
      <c r="U4698" s="6"/>
      <c r="V4698" s="6"/>
      <c r="W4698" s="6"/>
      <c r="X4698" s="6"/>
      <c r="Y4698" s="6"/>
      <c r="Z4698" s="6"/>
      <c r="AA4698" s="6"/>
      <c r="AB4698" s="6"/>
      <c r="AC4698" s="6"/>
      <c r="AD4698" s="6"/>
      <c r="AE4698" s="6"/>
      <c r="AF4698" s="6"/>
      <c r="AG4698" s="6"/>
      <c r="AH4698" s="6"/>
      <c r="AI4698" s="6"/>
      <c r="AJ4698" s="6"/>
      <c r="AK4698" s="6"/>
      <c r="AL4698" s="6"/>
      <c r="AM4698" s="6"/>
    </row>
    <row r="4699">
      <c r="A4699" s="6"/>
      <c r="B4699" s="6"/>
      <c r="C4699" s="6"/>
      <c r="D4699" s="6"/>
      <c r="E4699" s="6"/>
      <c r="F4699" s="6"/>
      <c r="G4699" s="6"/>
      <c r="H4699" s="6"/>
      <c r="I4699" s="6"/>
      <c r="J4699" s="6"/>
      <c r="K4699" s="6"/>
      <c r="L4699" s="6"/>
      <c r="M4699" s="6"/>
      <c r="N4699" s="6"/>
      <c r="O4699" s="6"/>
      <c r="P4699" s="6"/>
      <c r="Q4699" s="6"/>
      <c r="R4699" s="6"/>
      <c r="S4699" s="6"/>
      <c r="T4699" s="6"/>
      <c r="U4699" s="6"/>
      <c r="V4699" s="6"/>
      <c r="W4699" s="6"/>
      <c r="X4699" s="6"/>
      <c r="Y4699" s="6"/>
      <c r="Z4699" s="6"/>
      <c r="AA4699" s="6"/>
      <c r="AB4699" s="6"/>
      <c r="AC4699" s="6"/>
      <c r="AD4699" s="6"/>
      <c r="AE4699" s="6"/>
      <c r="AF4699" s="6"/>
      <c r="AG4699" s="6"/>
      <c r="AH4699" s="6"/>
      <c r="AI4699" s="6"/>
      <c r="AJ4699" s="6"/>
      <c r="AK4699" s="6"/>
      <c r="AL4699" s="6"/>
      <c r="AM4699" s="6"/>
    </row>
    <row r="4700">
      <c r="A4700" s="6"/>
      <c r="B4700" s="6"/>
      <c r="C4700" s="6"/>
      <c r="D4700" s="6"/>
      <c r="E4700" s="6"/>
      <c r="F4700" s="6"/>
      <c r="G4700" s="6"/>
      <c r="H4700" s="6"/>
      <c r="I4700" s="6"/>
      <c r="J4700" s="6"/>
      <c r="K4700" s="6"/>
      <c r="L4700" s="6"/>
      <c r="M4700" s="6"/>
      <c r="N4700" s="6"/>
      <c r="O4700" s="6"/>
      <c r="P4700" s="6"/>
      <c r="Q4700" s="6"/>
      <c r="R4700" s="6"/>
      <c r="S4700" s="6"/>
      <c r="T4700" s="6"/>
      <c r="U4700" s="6"/>
      <c r="V4700" s="6"/>
      <c r="W4700" s="6"/>
      <c r="X4700" s="6"/>
      <c r="Y4700" s="6"/>
      <c r="Z4700" s="6"/>
      <c r="AA4700" s="6"/>
      <c r="AB4700" s="6"/>
      <c r="AC4700" s="6"/>
      <c r="AD4700" s="6"/>
      <c r="AE4700" s="6"/>
      <c r="AF4700" s="6"/>
      <c r="AG4700" s="6"/>
      <c r="AH4700" s="6"/>
      <c r="AI4700" s="6"/>
      <c r="AJ4700" s="6"/>
      <c r="AK4700" s="6"/>
      <c r="AL4700" s="6"/>
      <c r="AM4700" s="6"/>
    </row>
    <row r="4701">
      <c r="A4701" s="6"/>
      <c r="B4701" s="6"/>
      <c r="C4701" s="6"/>
      <c r="D4701" s="6"/>
      <c r="E4701" s="6"/>
      <c r="F4701" s="6"/>
      <c r="G4701" s="6"/>
      <c r="H4701" s="6"/>
      <c r="I4701" s="6"/>
      <c r="J4701" s="6"/>
      <c r="K4701" s="6"/>
      <c r="L4701" s="6"/>
      <c r="M4701" s="6"/>
      <c r="N4701" s="6"/>
      <c r="O4701" s="6"/>
      <c r="P4701" s="6"/>
      <c r="Q4701" s="6"/>
      <c r="R4701" s="6"/>
      <c r="S4701" s="6"/>
      <c r="T4701" s="6"/>
      <c r="U4701" s="6"/>
      <c r="V4701" s="6"/>
      <c r="W4701" s="6"/>
      <c r="X4701" s="6"/>
      <c r="Y4701" s="6"/>
      <c r="Z4701" s="6"/>
      <c r="AA4701" s="6"/>
      <c r="AB4701" s="6"/>
      <c r="AC4701" s="6"/>
      <c r="AD4701" s="6"/>
      <c r="AE4701" s="6"/>
      <c r="AF4701" s="6"/>
      <c r="AG4701" s="6"/>
      <c r="AH4701" s="6"/>
      <c r="AI4701" s="6"/>
      <c r="AJ4701" s="6"/>
      <c r="AK4701" s="6"/>
      <c r="AL4701" s="6"/>
      <c r="AM4701" s="6"/>
    </row>
    <row r="4702">
      <c r="A4702" s="6"/>
      <c r="B4702" s="6"/>
      <c r="C4702" s="6"/>
      <c r="D4702" s="6"/>
      <c r="E4702" s="6"/>
      <c r="F4702" s="6"/>
      <c r="G4702" s="6"/>
      <c r="H4702" s="6"/>
      <c r="I4702" s="6"/>
      <c r="J4702" s="6"/>
      <c r="K4702" s="6"/>
      <c r="L4702" s="6"/>
      <c r="M4702" s="6"/>
      <c r="N4702" s="6"/>
      <c r="O4702" s="6"/>
      <c r="P4702" s="6"/>
      <c r="Q4702" s="6"/>
      <c r="R4702" s="6"/>
      <c r="S4702" s="6"/>
      <c r="T4702" s="6"/>
      <c r="U4702" s="6"/>
      <c r="V4702" s="6"/>
      <c r="W4702" s="6"/>
      <c r="X4702" s="6"/>
      <c r="Y4702" s="6"/>
      <c r="Z4702" s="6"/>
      <c r="AA4702" s="6"/>
      <c r="AB4702" s="6"/>
      <c r="AC4702" s="6"/>
      <c r="AD4702" s="6"/>
      <c r="AE4702" s="6"/>
      <c r="AF4702" s="6"/>
      <c r="AG4702" s="6"/>
      <c r="AH4702" s="6"/>
      <c r="AI4702" s="6"/>
      <c r="AJ4702" s="6"/>
      <c r="AK4702" s="6"/>
      <c r="AL4702" s="6"/>
      <c r="AM4702" s="6"/>
    </row>
    <row r="4703">
      <c r="A4703" s="6"/>
      <c r="B4703" s="6"/>
      <c r="C4703" s="6"/>
      <c r="D4703" s="6"/>
      <c r="E4703" s="6"/>
      <c r="F4703" s="6"/>
      <c r="G4703" s="6"/>
      <c r="H4703" s="6"/>
      <c r="I4703" s="6"/>
      <c r="J4703" s="6"/>
      <c r="K4703" s="6"/>
      <c r="L4703" s="6"/>
      <c r="M4703" s="6"/>
      <c r="N4703" s="6"/>
      <c r="O4703" s="6"/>
      <c r="P4703" s="6"/>
      <c r="Q4703" s="6"/>
      <c r="R4703" s="6"/>
      <c r="S4703" s="6"/>
      <c r="T4703" s="6"/>
      <c r="U4703" s="6"/>
      <c r="V4703" s="6"/>
      <c r="W4703" s="6"/>
      <c r="X4703" s="6"/>
      <c r="Y4703" s="6"/>
      <c r="Z4703" s="6"/>
      <c r="AA4703" s="6"/>
      <c r="AB4703" s="6"/>
      <c r="AC4703" s="6"/>
      <c r="AD4703" s="6"/>
      <c r="AE4703" s="6"/>
      <c r="AF4703" s="6"/>
      <c r="AG4703" s="6"/>
      <c r="AH4703" s="6"/>
      <c r="AI4703" s="6"/>
      <c r="AJ4703" s="6"/>
      <c r="AK4703" s="6"/>
      <c r="AL4703" s="6"/>
      <c r="AM4703" s="6"/>
    </row>
    <row r="4704">
      <c r="A4704" s="6"/>
      <c r="B4704" s="6"/>
      <c r="C4704" s="6"/>
      <c r="D4704" s="6"/>
      <c r="E4704" s="6"/>
      <c r="F4704" s="6"/>
      <c r="G4704" s="6"/>
      <c r="H4704" s="6"/>
      <c r="I4704" s="6"/>
      <c r="J4704" s="6"/>
      <c r="K4704" s="6"/>
      <c r="L4704" s="6"/>
      <c r="M4704" s="6"/>
      <c r="N4704" s="6"/>
      <c r="O4704" s="6"/>
      <c r="P4704" s="6"/>
      <c r="Q4704" s="6"/>
      <c r="R4704" s="6"/>
      <c r="S4704" s="6"/>
      <c r="T4704" s="6"/>
      <c r="U4704" s="6"/>
      <c r="V4704" s="6"/>
      <c r="W4704" s="6"/>
      <c r="X4704" s="6"/>
      <c r="Y4704" s="6"/>
      <c r="Z4704" s="6"/>
      <c r="AA4704" s="6"/>
      <c r="AB4704" s="6"/>
      <c r="AC4704" s="6"/>
      <c r="AD4704" s="6"/>
      <c r="AE4704" s="6"/>
      <c r="AF4704" s="6"/>
      <c r="AG4704" s="6"/>
      <c r="AH4704" s="6"/>
      <c r="AI4704" s="6"/>
      <c r="AJ4704" s="6"/>
      <c r="AK4704" s="6"/>
      <c r="AL4704" s="6"/>
      <c r="AM4704" s="6"/>
    </row>
    <row r="4705">
      <c r="A4705" s="6"/>
      <c r="B4705" s="6"/>
      <c r="C4705" s="6"/>
      <c r="D4705" s="6"/>
      <c r="E4705" s="6"/>
      <c r="F4705" s="6"/>
      <c r="G4705" s="6"/>
      <c r="H4705" s="6"/>
      <c r="I4705" s="6"/>
      <c r="J4705" s="6"/>
      <c r="K4705" s="6"/>
      <c r="L4705" s="6"/>
      <c r="M4705" s="6"/>
      <c r="N4705" s="6"/>
      <c r="O4705" s="6"/>
      <c r="P4705" s="6"/>
      <c r="Q4705" s="6"/>
      <c r="R4705" s="6"/>
      <c r="S4705" s="6"/>
      <c r="T4705" s="6"/>
      <c r="U4705" s="6"/>
      <c r="V4705" s="6"/>
      <c r="W4705" s="6"/>
      <c r="X4705" s="6"/>
      <c r="Y4705" s="6"/>
      <c r="Z4705" s="6"/>
      <c r="AA4705" s="6"/>
      <c r="AB4705" s="6"/>
      <c r="AC4705" s="6"/>
      <c r="AD4705" s="6"/>
      <c r="AE4705" s="6"/>
      <c r="AF4705" s="6"/>
      <c r="AG4705" s="6"/>
      <c r="AH4705" s="6"/>
      <c r="AI4705" s="6"/>
      <c r="AJ4705" s="6"/>
      <c r="AK4705" s="6"/>
      <c r="AL4705" s="6"/>
      <c r="AM4705" s="6"/>
    </row>
    <row r="4706">
      <c r="A4706" s="6"/>
      <c r="B4706" s="6"/>
      <c r="C4706" s="6"/>
      <c r="D4706" s="6"/>
      <c r="E4706" s="6"/>
      <c r="F4706" s="6"/>
      <c r="G4706" s="6"/>
      <c r="H4706" s="6"/>
      <c r="I4706" s="6"/>
      <c r="J4706" s="6"/>
      <c r="K4706" s="6"/>
      <c r="L4706" s="6"/>
      <c r="M4706" s="6"/>
      <c r="N4706" s="6"/>
      <c r="O4706" s="6"/>
      <c r="P4706" s="6"/>
      <c r="Q4706" s="6"/>
      <c r="R4706" s="6"/>
      <c r="S4706" s="6"/>
      <c r="T4706" s="6"/>
      <c r="U4706" s="6"/>
      <c r="V4706" s="6"/>
      <c r="W4706" s="6"/>
      <c r="X4706" s="6"/>
      <c r="Y4706" s="6"/>
      <c r="Z4706" s="6"/>
      <c r="AA4706" s="6"/>
      <c r="AB4706" s="6"/>
      <c r="AC4706" s="6"/>
      <c r="AD4706" s="6"/>
      <c r="AE4706" s="6"/>
      <c r="AF4706" s="6"/>
      <c r="AG4706" s="6"/>
      <c r="AH4706" s="6"/>
      <c r="AI4706" s="6"/>
      <c r="AJ4706" s="6"/>
      <c r="AK4706" s="6"/>
      <c r="AL4706" s="6"/>
      <c r="AM4706" s="6"/>
    </row>
    <row r="4707">
      <c r="A4707" s="6"/>
      <c r="B4707" s="6"/>
      <c r="C4707" s="6"/>
      <c r="D4707" s="6"/>
      <c r="E4707" s="6"/>
      <c r="F4707" s="6"/>
      <c r="G4707" s="6"/>
      <c r="H4707" s="6"/>
      <c r="I4707" s="6"/>
      <c r="J4707" s="6"/>
      <c r="K4707" s="6"/>
      <c r="L4707" s="6"/>
      <c r="M4707" s="6"/>
      <c r="N4707" s="6"/>
      <c r="O4707" s="6"/>
      <c r="P4707" s="6"/>
      <c r="Q4707" s="6"/>
      <c r="R4707" s="6"/>
      <c r="S4707" s="6"/>
      <c r="T4707" s="6"/>
      <c r="U4707" s="6"/>
      <c r="V4707" s="6"/>
      <c r="W4707" s="6"/>
      <c r="X4707" s="6"/>
      <c r="Y4707" s="6"/>
      <c r="Z4707" s="6"/>
      <c r="AA4707" s="6"/>
      <c r="AB4707" s="6"/>
      <c r="AC4707" s="6"/>
      <c r="AD4707" s="6"/>
      <c r="AE4707" s="6"/>
      <c r="AF4707" s="6"/>
      <c r="AG4707" s="6"/>
      <c r="AH4707" s="6"/>
      <c r="AI4707" s="6"/>
      <c r="AJ4707" s="6"/>
      <c r="AK4707" s="6"/>
      <c r="AL4707" s="6"/>
      <c r="AM4707" s="6"/>
    </row>
    <row r="4708">
      <c r="A4708" s="6"/>
      <c r="B4708" s="6"/>
      <c r="C4708" s="6"/>
      <c r="D4708" s="6"/>
      <c r="E4708" s="6"/>
      <c r="F4708" s="6"/>
      <c r="G4708" s="6"/>
      <c r="H4708" s="6"/>
      <c r="I4708" s="6"/>
      <c r="J4708" s="6"/>
      <c r="K4708" s="6"/>
      <c r="L4708" s="6"/>
      <c r="M4708" s="6"/>
      <c r="N4708" s="6"/>
      <c r="O4708" s="6"/>
      <c r="P4708" s="6"/>
      <c r="Q4708" s="6"/>
      <c r="R4708" s="6"/>
      <c r="S4708" s="6"/>
      <c r="T4708" s="6"/>
      <c r="U4708" s="6"/>
      <c r="V4708" s="6"/>
      <c r="W4708" s="6"/>
      <c r="X4708" s="6"/>
      <c r="Y4708" s="6"/>
      <c r="Z4708" s="6"/>
      <c r="AA4708" s="6"/>
      <c r="AB4708" s="6"/>
      <c r="AC4708" s="6"/>
      <c r="AD4708" s="6"/>
      <c r="AE4708" s="6"/>
      <c r="AF4708" s="6"/>
      <c r="AG4708" s="6"/>
      <c r="AH4708" s="6"/>
      <c r="AI4708" s="6"/>
      <c r="AJ4708" s="6"/>
      <c r="AK4708" s="6"/>
      <c r="AL4708" s="6"/>
      <c r="AM4708" s="6"/>
    </row>
    <row r="4709">
      <c r="A4709" s="6"/>
      <c r="B4709" s="6"/>
      <c r="C4709" s="6"/>
      <c r="D4709" s="6"/>
      <c r="E4709" s="6"/>
      <c r="F4709" s="6"/>
      <c r="G4709" s="6"/>
      <c r="H4709" s="6"/>
      <c r="I4709" s="6"/>
      <c r="J4709" s="6"/>
      <c r="K4709" s="6"/>
      <c r="L4709" s="6"/>
      <c r="M4709" s="6"/>
      <c r="N4709" s="6"/>
      <c r="O4709" s="6"/>
      <c r="P4709" s="6"/>
      <c r="Q4709" s="6"/>
      <c r="R4709" s="6"/>
      <c r="S4709" s="6"/>
      <c r="T4709" s="6"/>
      <c r="U4709" s="6"/>
      <c r="V4709" s="6"/>
      <c r="W4709" s="6"/>
      <c r="X4709" s="6"/>
      <c r="Y4709" s="6"/>
      <c r="Z4709" s="6"/>
      <c r="AA4709" s="6"/>
      <c r="AB4709" s="6"/>
      <c r="AC4709" s="6"/>
      <c r="AD4709" s="6"/>
      <c r="AE4709" s="6"/>
      <c r="AF4709" s="6"/>
      <c r="AG4709" s="6"/>
      <c r="AH4709" s="6"/>
      <c r="AI4709" s="6"/>
      <c r="AJ4709" s="6"/>
      <c r="AK4709" s="6"/>
      <c r="AL4709" s="6"/>
      <c r="AM4709" s="6"/>
    </row>
    <row r="4710">
      <c r="A4710" s="6"/>
      <c r="B4710" s="6"/>
      <c r="C4710" s="6"/>
      <c r="D4710" s="6"/>
      <c r="E4710" s="6"/>
      <c r="F4710" s="6"/>
      <c r="G4710" s="6"/>
      <c r="H4710" s="6"/>
      <c r="I4710" s="6"/>
      <c r="J4710" s="6"/>
      <c r="K4710" s="6"/>
      <c r="L4710" s="6"/>
      <c r="M4710" s="6"/>
      <c r="N4710" s="6"/>
      <c r="O4710" s="6"/>
      <c r="P4710" s="6"/>
      <c r="Q4710" s="6"/>
      <c r="R4710" s="6"/>
      <c r="S4710" s="6"/>
      <c r="T4710" s="6"/>
      <c r="U4710" s="6"/>
      <c r="V4710" s="6"/>
      <c r="W4710" s="6"/>
      <c r="X4710" s="6"/>
      <c r="Y4710" s="6"/>
      <c r="Z4710" s="6"/>
      <c r="AA4710" s="6"/>
      <c r="AB4710" s="6"/>
      <c r="AC4710" s="6"/>
      <c r="AD4710" s="6"/>
      <c r="AE4710" s="6"/>
      <c r="AF4710" s="6"/>
      <c r="AG4710" s="6"/>
      <c r="AH4710" s="6"/>
      <c r="AI4710" s="6"/>
      <c r="AJ4710" s="6"/>
      <c r="AK4710" s="6"/>
      <c r="AL4710" s="6"/>
      <c r="AM4710" s="6"/>
    </row>
    <row r="4711">
      <c r="A4711" s="6"/>
      <c r="B4711" s="6"/>
      <c r="C4711" s="6"/>
      <c r="D4711" s="6"/>
      <c r="E4711" s="6"/>
      <c r="F4711" s="6"/>
      <c r="G4711" s="6"/>
      <c r="H4711" s="6"/>
      <c r="I4711" s="6"/>
      <c r="J4711" s="6"/>
      <c r="K4711" s="6"/>
      <c r="L4711" s="6"/>
      <c r="M4711" s="6"/>
      <c r="N4711" s="6"/>
      <c r="O4711" s="6"/>
      <c r="P4711" s="6"/>
      <c r="Q4711" s="6"/>
      <c r="R4711" s="6"/>
      <c r="S4711" s="6"/>
      <c r="T4711" s="6"/>
      <c r="U4711" s="6"/>
      <c r="V4711" s="6"/>
      <c r="W4711" s="6"/>
      <c r="X4711" s="6"/>
      <c r="Y4711" s="6"/>
      <c r="Z4711" s="6"/>
      <c r="AA4711" s="6"/>
      <c r="AB4711" s="6"/>
      <c r="AC4711" s="6"/>
      <c r="AD4711" s="6"/>
      <c r="AE4711" s="6"/>
      <c r="AF4711" s="6"/>
      <c r="AG4711" s="6"/>
      <c r="AH4711" s="6"/>
      <c r="AI4711" s="6"/>
      <c r="AJ4711" s="6"/>
      <c r="AK4711" s="6"/>
      <c r="AL4711" s="6"/>
      <c r="AM4711" s="6"/>
    </row>
    <row r="4712">
      <c r="A4712" s="6"/>
      <c r="B4712" s="6"/>
      <c r="C4712" s="6"/>
      <c r="D4712" s="6"/>
      <c r="E4712" s="6"/>
      <c r="F4712" s="6"/>
      <c r="G4712" s="6"/>
      <c r="H4712" s="6"/>
      <c r="I4712" s="6"/>
      <c r="J4712" s="6"/>
      <c r="K4712" s="6"/>
      <c r="L4712" s="6"/>
      <c r="M4712" s="6"/>
      <c r="N4712" s="6"/>
      <c r="O4712" s="6"/>
      <c r="P4712" s="6"/>
      <c r="Q4712" s="6"/>
      <c r="R4712" s="6"/>
      <c r="S4712" s="6"/>
      <c r="T4712" s="6"/>
      <c r="U4712" s="6"/>
      <c r="V4712" s="6"/>
      <c r="W4712" s="6"/>
      <c r="X4712" s="6"/>
      <c r="Y4712" s="6"/>
      <c r="Z4712" s="6"/>
      <c r="AA4712" s="6"/>
      <c r="AB4712" s="6"/>
      <c r="AC4712" s="6"/>
      <c r="AD4712" s="6"/>
      <c r="AE4712" s="6"/>
      <c r="AF4712" s="6"/>
      <c r="AG4712" s="6"/>
      <c r="AH4712" s="6"/>
      <c r="AI4712" s="6"/>
      <c r="AJ4712" s="6"/>
      <c r="AK4712" s="6"/>
      <c r="AL4712" s="6"/>
      <c r="AM4712" s="6"/>
    </row>
    <row r="4713">
      <c r="A4713" s="6"/>
      <c r="B4713" s="6"/>
      <c r="C4713" s="6"/>
      <c r="D4713" s="6"/>
      <c r="E4713" s="6"/>
      <c r="F4713" s="6"/>
      <c r="G4713" s="6"/>
      <c r="H4713" s="6"/>
      <c r="I4713" s="6"/>
      <c r="J4713" s="6"/>
      <c r="K4713" s="6"/>
      <c r="L4713" s="6"/>
      <c r="M4713" s="6"/>
      <c r="N4713" s="6"/>
      <c r="O4713" s="6"/>
      <c r="P4713" s="6"/>
      <c r="Q4713" s="6"/>
      <c r="R4713" s="6"/>
      <c r="S4713" s="6"/>
      <c r="T4713" s="6"/>
      <c r="U4713" s="6"/>
      <c r="V4713" s="6"/>
      <c r="W4713" s="6"/>
      <c r="X4713" s="6"/>
      <c r="Y4713" s="6"/>
      <c r="Z4713" s="6"/>
      <c r="AA4713" s="6"/>
      <c r="AB4713" s="6"/>
      <c r="AC4713" s="6"/>
      <c r="AD4713" s="6"/>
      <c r="AE4713" s="6"/>
      <c r="AF4713" s="6"/>
      <c r="AG4713" s="6"/>
      <c r="AH4713" s="6"/>
      <c r="AI4713" s="6"/>
      <c r="AJ4713" s="6"/>
      <c r="AK4713" s="6"/>
      <c r="AL4713" s="6"/>
      <c r="AM4713" s="6"/>
    </row>
    <row r="4714">
      <c r="A4714" s="6"/>
      <c r="B4714" s="6"/>
      <c r="C4714" s="6"/>
      <c r="D4714" s="6"/>
      <c r="E4714" s="6"/>
      <c r="F4714" s="6"/>
      <c r="G4714" s="6"/>
      <c r="H4714" s="6"/>
      <c r="I4714" s="6"/>
      <c r="J4714" s="6"/>
      <c r="K4714" s="6"/>
      <c r="L4714" s="6"/>
      <c r="M4714" s="6"/>
      <c r="N4714" s="6"/>
      <c r="O4714" s="6"/>
      <c r="P4714" s="6"/>
      <c r="Q4714" s="6"/>
      <c r="R4714" s="6"/>
      <c r="S4714" s="6"/>
      <c r="T4714" s="6"/>
      <c r="U4714" s="6"/>
      <c r="V4714" s="6"/>
      <c r="W4714" s="6"/>
      <c r="X4714" s="6"/>
      <c r="Y4714" s="6"/>
      <c r="Z4714" s="6"/>
      <c r="AA4714" s="6"/>
      <c r="AB4714" s="6"/>
      <c r="AC4714" s="6"/>
      <c r="AD4714" s="6"/>
      <c r="AE4714" s="6"/>
      <c r="AF4714" s="6"/>
      <c r="AG4714" s="6"/>
      <c r="AH4714" s="6"/>
      <c r="AI4714" s="6"/>
      <c r="AJ4714" s="6"/>
      <c r="AK4714" s="6"/>
      <c r="AL4714" s="6"/>
      <c r="AM4714" s="6"/>
    </row>
    <row r="4715">
      <c r="A4715" s="6"/>
      <c r="B4715" s="6"/>
      <c r="C4715" s="6"/>
      <c r="D4715" s="6"/>
      <c r="E4715" s="6"/>
      <c r="F4715" s="6"/>
      <c r="G4715" s="6"/>
      <c r="H4715" s="6"/>
      <c r="I4715" s="6"/>
      <c r="J4715" s="6"/>
      <c r="K4715" s="6"/>
      <c r="L4715" s="6"/>
      <c r="M4715" s="6"/>
      <c r="N4715" s="6"/>
      <c r="O4715" s="6"/>
      <c r="P4715" s="6"/>
      <c r="Q4715" s="6"/>
      <c r="R4715" s="6"/>
      <c r="S4715" s="6"/>
      <c r="T4715" s="6"/>
      <c r="U4715" s="6"/>
      <c r="V4715" s="6"/>
      <c r="W4715" s="6"/>
      <c r="X4715" s="6"/>
      <c r="Y4715" s="6"/>
      <c r="Z4715" s="6"/>
      <c r="AA4715" s="6"/>
      <c r="AB4715" s="6"/>
      <c r="AC4715" s="6"/>
      <c r="AD4715" s="6"/>
      <c r="AE4715" s="6"/>
      <c r="AF4715" s="6"/>
      <c r="AG4715" s="6"/>
      <c r="AH4715" s="6"/>
      <c r="AI4715" s="6"/>
      <c r="AJ4715" s="6"/>
      <c r="AK4715" s="6"/>
      <c r="AL4715" s="6"/>
      <c r="AM4715" s="6"/>
    </row>
    <row r="4716">
      <c r="A4716" s="6"/>
      <c r="B4716" s="6"/>
      <c r="C4716" s="6"/>
      <c r="D4716" s="6"/>
      <c r="E4716" s="6"/>
      <c r="F4716" s="6"/>
      <c r="G4716" s="6"/>
      <c r="H4716" s="6"/>
      <c r="I4716" s="6"/>
      <c r="J4716" s="6"/>
      <c r="K4716" s="6"/>
      <c r="L4716" s="6"/>
      <c r="M4716" s="6"/>
      <c r="N4716" s="6"/>
      <c r="O4716" s="6"/>
      <c r="P4716" s="6"/>
      <c r="Q4716" s="6"/>
      <c r="R4716" s="6"/>
      <c r="S4716" s="6"/>
      <c r="T4716" s="6"/>
      <c r="U4716" s="6"/>
      <c r="V4716" s="6"/>
      <c r="W4716" s="6"/>
      <c r="X4716" s="6"/>
      <c r="Y4716" s="6"/>
      <c r="Z4716" s="6"/>
      <c r="AA4716" s="6"/>
      <c r="AB4716" s="6"/>
      <c r="AC4716" s="6"/>
      <c r="AD4716" s="6"/>
      <c r="AE4716" s="6"/>
      <c r="AF4716" s="6"/>
      <c r="AG4716" s="6"/>
      <c r="AH4716" s="6"/>
      <c r="AI4716" s="6"/>
      <c r="AJ4716" s="6"/>
      <c r="AK4716" s="6"/>
      <c r="AL4716" s="6"/>
      <c r="AM4716" s="6"/>
    </row>
    <row r="4717">
      <c r="A4717" s="6"/>
      <c r="B4717" s="6"/>
      <c r="C4717" s="6"/>
      <c r="D4717" s="6"/>
      <c r="E4717" s="6"/>
      <c r="F4717" s="6"/>
      <c r="G4717" s="6"/>
      <c r="H4717" s="6"/>
      <c r="I4717" s="6"/>
      <c r="J4717" s="6"/>
      <c r="K4717" s="6"/>
      <c r="L4717" s="6"/>
      <c r="M4717" s="6"/>
      <c r="N4717" s="6"/>
      <c r="O4717" s="6"/>
      <c r="P4717" s="6"/>
      <c r="Q4717" s="6"/>
      <c r="R4717" s="6"/>
      <c r="S4717" s="6"/>
      <c r="T4717" s="6"/>
      <c r="U4717" s="6"/>
      <c r="V4717" s="6"/>
      <c r="W4717" s="6"/>
      <c r="X4717" s="6"/>
      <c r="Y4717" s="6"/>
      <c r="Z4717" s="6"/>
      <c r="AA4717" s="6"/>
      <c r="AB4717" s="6"/>
      <c r="AC4717" s="6"/>
      <c r="AD4717" s="6"/>
      <c r="AE4717" s="6"/>
      <c r="AF4717" s="6"/>
      <c r="AG4717" s="6"/>
      <c r="AH4717" s="6"/>
      <c r="AI4717" s="6"/>
      <c r="AJ4717" s="6"/>
      <c r="AK4717" s="6"/>
      <c r="AL4717" s="6"/>
      <c r="AM4717" s="6"/>
    </row>
    <row r="4718">
      <c r="A4718" s="6"/>
      <c r="B4718" s="6"/>
      <c r="C4718" s="6"/>
      <c r="D4718" s="6"/>
      <c r="E4718" s="6"/>
      <c r="F4718" s="6"/>
      <c r="G4718" s="6"/>
      <c r="H4718" s="6"/>
      <c r="I4718" s="6"/>
      <c r="J4718" s="6"/>
      <c r="K4718" s="6"/>
      <c r="L4718" s="6"/>
      <c r="M4718" s="6"/>
      <c r="N4718" s="6"/>
      <c r="O4718" s="6"/>
      <c r="P4718" s="6"/>
      <c r="Q4718" s="6"/>
      <c r="R4718" s="6"/>
      <c r="S4718" s="6"/>
      <c r="T4718" s="6"/>
      <c r="U4718" s="6"/>
      <c r="V4718" s="6"/>
      <c r="W4718" s="6"/>
      <c r="X4718" s="6"/>
      <c r="Y4718" s="6"/>
      <c r="Z4718" s="6"/>
      <c r="AA4718" s="6"/>
      <c r="AB4718" s="6"/>
      <c r="AC4718" s="6"/>
      <c r="AD4718" s="6"/>
      <c r="AE4718" s="6"/>
      <c r="AF4718" s="6"/>
      <c r="AG4718" s="6"/>
      <c r="AH4718" s="6"/>
      <c r="AI4718" s="6"/>
      <c r="AJ4718" s="6"/>
      <c r="AK4718" s="6"/>
      <c r="AL4718" s="6"/>
      <c r="AM4718" s="6"/>
    </row>
    <row r="4719">
      <c r="A4719" s="6"/>
      <c r="B4719" s="6"/>
      <c r="C4719" s="6"/>
      <c r="D4719" s="6"/>
      <c r="E4719" s="6"/>
      <c r="F4719" s="6"/>
      <c r="G4719" s="6"/>
      <c r="H4719" s="6"/>
      <c r="I4719" s="6"/>
      <c r="J4719" s="6"/>
      <c r="K4719" s="6"/>
      <c r="L4719" s="6"/>
      <c r="M4719" s="6"/>
      <c r="N4719" s="6"/>
      <c r="O4719" s="6"/>
      <c r="P4719" s="6"/>
      <c r="Q4719" s="6"/>
      <c r="R4719" s="6"/>
      <c r="S4719" s="6"/>
      <c r="T4719" s="6"/>
      <c r="U4719" s="6"/>
      <c r="V4719" s="6"/>
      <c r="W4719" s="6"/>
      <c r="X4719" s="6"/>
      <c r="Y4719" s="6"/>
      <c r="Z4719" s="6"/>
      <c r="AA4719" s="6"/>
      <c r="AB4719" s="6"/>
      <c r="AC4719" s="6"/>
      <c r="AD4719" s="6"/>
      <c r="AE4719" s="6"/>
      <c r="AF4719" s="6"/>
      <c r="AG4719" s="6"/>
      <c r="AH4719" s="6"/>
      <c r="AI4719" s="6"/>
      <c r="AJ4719" s="6"/>
      <c r="AK4719" s="6"/>
      <c r="AL4719" s="6"/>
      <c r="AM4719" s="6"/>
    </row>
    <row r="4720">
      <c r="A4720" s="6"/>
      <c r="B4720" s="6"/>
      <c r="C4720" s="6"/>
      <c r="D4720" s="6"/>
      <c r="E4720" s="6"/>
      <c r="F4720" s="6"/>
      <c r="G4720" s="6"/>
      <c r="H4720" s="6"/>
      <c r="I4720" s="6"/>
      <c r="J4720" s="6"/>
      <c r="K4720" s="6"/>
      <c r="L4720" s="6"/>
      <c r="M4720" s="6"/>
      <c r="N4720" s="6"/>
      <c r="O4720" s="6"/>
      <c r="P4720" s="6"/>
      <c r="Q4720" s="6"/>
      <c r="R4720" s="6"/>
      <c r="S4720" s="6"/>
      <c r="T4720" s="6"/>
      <c r="U4720" s="6"/>
      <c r="V4720" s="6"/>
      <c r="W4720" s="6"/>
      <c r="X4720" s="6"/>
      <c r="Y4720" s="6"/>
      <c r="Z4720" s="6"/>
      <c r="AA4720" s="6"/>
      <c r="AB4720" s="6"/>
      <c r="AC4720" s="6"/>
      <c r="AD4720" s="6"/>
      <c r="AE4720" s="6"/>
      <c r="AF4720" s="6"/>
      <c r="AG4720" s="6"/>
      <c r="AH4720" s="6"/>
      <c r="AI4720" s="6"/>
      <c r="AJ4720" s="6"/>
      <c r="AK4720" s="6"/>
      <c r="AL4720" s="6"/>
      <c r="AM4720" s="6"/>
    </row>
    <row r="4721">
      <c r="A4721" s="6"/>
      <c r="B4721" s="6"/>
      <c r="C4721" s="6"/>
      <c r="D4721" s="6"/>
      <c r="E4721" s="6"/>
      <c r="F4721" s="6"/>
      <c r="G4721" s="6"/>
      <c r="H4721" s="6"/>
      <c r="I4721" s="6"/>
      <c r="J4721" s="6"/>
      <c r="K4721" s="6"/>
      <c r="L4721" s="6"/>
      <c r="M4721" s="6"/>
      <c r="N4721" s="6"/>
      <c r="O4721" s="6"/>
      <c r="P4721" s="6"/>
      <c r="Q4721" s="6"/>
      <c r="R4721" s="6"/>
      <c r="S4721" s="6"/>
      <c r="T4721" s="6"/>
      <c r="U4721" s="6"/>
      <c r="V4721" s="6"/>
      <c r="W4721" s="6"/>
      <c r="X4721" s="6"/>
      <c r="Y4721" s="6"/>
      <c r="Z4721" s="6"/>
      <c r="AA4721" s="6"/>
      <c r="AB4721" s="6"/>
      <c r="AC4721" s="6"/>
      <c r="AD4721" s="6"/>
      <c r="AE4721" s="6"/>
      <c r="AF4721" s="6"/>
      <c r="AG4721" s="6"/>
      <c r="AH4721" s="6"/>
      <c r="AI4721" s="6"/>
      <c r="AJ4721" s="6"/>
      <c r="AK4721" s="6"/>
      <c r="AL4721" s="6"/>
      <c r="AM4721" s="6"/>
    </row>
    <row r="4722">
      <c r="A4722" s="6"/>
      <c r="B4722" s="6"/>
      <c r="C4722" s="6"/>
      <c r="D4722" s="6"/>
      <c r="E4722" s="6"/>
      <c r="F4722" s="6"/>
      <c r="G4722" s="6"/>
      <c r="H4722" s="6"/>
      <c r="I4722" s="6"/>
      <c r="J4722" s="6"/>
      <c r="K4722" s="6"/>
      <c r="L4722" s="6"/>
      <c r="M4722" s="6"/>
      <c r="N4722" s="6"/>
      <c r="O4722" s="6"/>
      <c r="P4722" s="6"/>
      <c r="Q4722" s="6"/>
      <c r="R4722" s="6"/>
      <c r="S4722" s="6"/>
      <c r="T4722" s="6"/>
      <c r="U4722" s="6"/>
      <c r="V4722" s="6"/>
      <c r="W4722" s="6"/>
      <c r="X4722" s="6"/>
      <c r="Y4722" s="6"/>
      <c r="Z4722" s="6"/>
      <c r="AA4722" s="6"/>
      <c r="AB4722" s="6"/>
      <c r="AC4722" s="6"/>
      <c r="AD4722" s="6"/>
      <c r="AE4722" s="6"/>
      <c r="AF4722" s="6"/>
      <c r="AG4722" s="6"/>
      <c r="AH4722" s="6"/>
      <c r="AI4722" s="6"/>
      <c r="AJ4722" s="6"/>
      <c r="AK4722" s="6"/>
      <c r="AL4722" s="6"/>
      <c r="AM4722" s="6"/>
    </row>
    <row r="4723">
      <c r="A4723" s="6"/>
      <c r="B4723" s="6"/>
      <c r="C4723" s="6"/>
      <c r="D4723" s="6"/>
      <c r="E4723" s="6"/>
      <c r="F4723" s="6"/>
      <c r="G4723" s="6"/>
      <c r="H4723" s="6"/>
      <c r="I4723" s="6"/>
      <c r="J4723" s="6"/>
      <c r="K4723" s="6"/>
      <c r="L4723" s="6"/>
      <c r="M4723" s="6"/>
      <c r="N4723" s="6"/>
      <c r="O4723" s="6"/>
      <c r="P4723" s="6"/>
      <c r="Q4723" s="6"/>
      <c r="R4723" s="6"/>
      <c r="S4723" s="6"/>
      <c r="T4723" s="6"/>
      <c r="U4723" s="6"/>
      <c r="V4723" s="6"/>
      <c r="W4723" s="6"/>
      <c r="X4723" s="6"/>
      <c r="Y4723" s="6"/>
      <c r="Z4723" s="6"/>
      <c r="AA4723" s="6"/>
      <c r="AB4723" s="6"/>
      <c r="AC4723" s="6"/>
      <c r="AD4723" s="6"/>
      <c r="AE4723" s="6"/>
      <c r="AF4723" s="6"/>
      <c r="AG4723" s="6"/>
      <c r="AH4723" s="6"/>
      <c r="AI4723" s="6"/>
      <c r="AJ4723" s="6"/>
      <c r="AK4723" s="6"/>
      <c r="AL4723" s="6"/>
      <c r="AM4723" s="6"/>
    </row>
    <row r="4724">
      <c r="A4724" s="6"/>
      <c r="B4724" s="6"/>
      <c r="C4724" s="6"/>
      <c r="D4724" s="6"/>
      <c r="E4724" s="6"/>
      <c r="F4724" s="6"/>
      <c r="G4724" s="6"/>
      <c r="H4724" s="6"/>
      <c r="I4724" s="6"/>
      <c r="J4724" s="6"/>
      <c r="K4724" s="6"/>
      <c r="L4724" s="6"/>
      <c r="M4724" s="6"/>
      <c r="N4724" s="6"/>
      <c r="O4724" s="6"/>
      <c r="P4724" s="6"/>
      <c r="Q4724" s="6"/>
      <c r="R4724" s="6"/>
      <c r="S4724" s="6"/>
      <c r="T4724" s="6"/>
      <c r="U4724" s="6"/>
      <c r="V4724" s="6"/>
      <c r="W4724" s="6"/>
      <c r="X4724" s="6"/>
      <c r="Y4724" s="6"/>
      <c r="Z4724" s="6"/>
      <c r="AA4724" s="6"/>
      <c r="AB4724" s="6"/>
      <c r="AC4724" s="6"/>
      <c r="AD4724" s="6"/>
      <c r="AE4724" s="6"/>
      <c r="AF4724" s="6"/>
      <c r="AG4724" s="6"/>
      <c r="AH4724" s="6"/>
      <c r="AI4724" s="6"/>
      <c r="AJ4724" s="6"/>
      <c r="AK4724" s="6"/>
      <c r="AL4724" s="6"/>
      <c r="AM4724" s="6"/>
    </row>
    <row r="4725">
      <c r="A4725" s="6"/>
      <c r="B4725" s="6"/>
      <c r="C4725" s="6"/>
      <c r="D4725" s="6"/>
      <c r="E4725" s="6"/>
      <c r="F4725" s="6"/>
      <c r="G4725" s="6"/>
      <c r="H4725" s="6"/>
      <c r="I4725" s="6"/>
      <c r="J4725" s="6"/>
      <c r="K4725" s="6"/>
      <c r="L4725" s="6"/>
      <c r="M4725" s="6"/>
      <c r="N4725" s="6"/>
      <c r="O4725" s="6"/>
      <c r="P4725" s="6"/>
      <c r="Q4725" s="6"/>
      <c r="R4725" s="6"/>
      <c r="S4725" s="6"/>
      <c r="T4725" s="6"/>
      <c r="U4725" s="6"/>
      <c r="V4725" s="6"/>
      <c r="W4725" s="6"/>
      <c r="X4725" s="6"/>
      <c r="Y4725" s="6"/>
      <c r="Z4725" s="6"/>
      <c r="AA4725" s="6"/>
      <c r="AB4725" s="6"/>
      <c r="AC4725" s="6"/>
      <c r="AD4725" s="6"/>
      <c r="AE4725" s="6"/>
      <c r="AF4725" s="6"/>
      <c r="AG4725" s="6"/>
      <c r="AH4725" s="6"/>
      <c r="AI4725" s="6"/>
      <c r="AJ4725" s="6"/>
      <c r="AK4725" s="6"/>
      <c r="AL4725" s="6"/>
      <c r="AM4725" s="6"/>
    </row>
    <row r="4726">
      <c r="A4726" s="6"/>
      <c r="B4726" s="6"/>
      <c r="C4726" s="6"/>
      <c r="D4726" s="6"/>
      <c r="E4726" s="6"/>
      <c r="F4726" s="6"/>
      <c r="G4726" s="6"/>
      <c r="H4726" s="6"/>
      <c r="I4726" s="6"/>
      <c r="J4726" s="6"/>
      <c r="K4726" s="6"/>
      <c r="L4726" s="6"/>
      <c r="M4726" s="6"/>
      <c r="N4726" s="6"/>
      <c r="O4726" s="6"/>
      <c r="P4726" s="6"/>
      <c r="Q4726" s="6"/>
      <c r="R4726" s="6"/>
      <c r="S4726" s="6"/>
      <c r="T4726" s="6"/>
      <c r="U4726" s="6"/>
      <c r="V4726" s="6"/>
      <c r="W4726" s="6"/>
      <c r="X4726" s="6"/>
      <c r="Y4726" s="6"/>
      <c r="Z4726" s="6"/>
      <c r="AA4726" s="6"/>
      <c r="AB4726" s="6"/>
      <c r="AC4726" s="6"/>
      <c r="AD4726" s="6"/>
      <c r="AE4726" s="6"/>
      <c r="AF4726" s="6"/>
      <c r="AG4726" s="6"/>
      <c r="AH4726" s="6"/>
      <c r="AI4726" s="6"/>
      <c r="AJ4726" s="6"/>
      <c r="AK4726" s="6"/>
      <c r="AL4726" s="6"/>
      <c r="AM4726" s="6"/>
    </row>
    <row r="4727">
      <c r="A4727" s="6"/>
      <c r="B4727" s="6"/>
      <c r="C4727" s="6"/>
      <c r="D4727" s="6"/>
      <c r="E4727" s="6"/>
      <c r="F4727" s="6"/>
      <c r="G4727" s="6"/>
      <c r="H4727" s="6"/>
      <c r="I4727" s="6"/>
      <c r="J4727" s="6"/>
      <c r="K4727" s="6"/>
      <c r="L4727" s="6"/>
      <c r="M4727" s="6"/>
      <c r="N4727" s="6"/>
      <c r="O4727" s="6"/>
      <c r="P4727" s="6"/>
      <c r="Q4727" s="6"/>
      <c r="R4727" s="6"/>
      <c r="S4727" s="6"/>
      <c r="T4727" s="6"/>
      <c r="U4727" s="6"/>
      <c r="V4727" s="6"/>
      <c r="W4727" s="6"/>
      <c r="X4727" s="6"/>
      <c r="Y4727" s="6"/>
      <c r="Z4727" s="6"/>
      <c r="AA4727" s="6"/>
      <c r="AB4727" s="6"/>
      <c r="AC4727" s="6"/>
      <c r="AD4727" s="6"/>
      <c r="AE4727" s="6"/>
      <c r="AF4727" s="6"/>
      <c r="AG4727" s="6"/>
      <c r="AH4727" s="6"/>
      <c r="AI4727" s="6"/>
      <c r="AJ4727" s="6"/>
      <c r="AK4727" s="6"/>
      <c r="AL4727" s="6"/>
      <c r="AM4727" s="6"/>
    </row>
    <row r="4728">
      <c r="A4728" s="6"/>
      <c r="B4728" s="6"/>
      <c r="C4728" s="6"/>
      <c r="D4728" s="6"/>
      <c r="E4728" s="6"/>
      <c r="F4728" s="6"/>
      <c r="G4728" s="6"/>
      <c r="H4728" s="6"/>
      <c r="I4728" s="6"/>
      <c r="J4728" s="6"/>
      <c r="K4728" s="6"/>
      <c r="L4728" s="6"/>
      <c r="M4728" s="6"/>
      <c r="N4728" s="6"/>
      <c r="O4728" s="6"/>
      <c r="P4728" s="6"/>
      <c r="Q4728" s="6"/>
      <c r="R4728" s="6"/>
      <c r="S4728" s="6"/>
      <c r="T4728" s="6"/>
      <c r="U4728" s="6"/>
      <c r="V4728" s="6"/>
      <c r="W4728" s="6"/>
      <c r="X4728" s="6"/>
      <c r="Y4728" s="6"/>
      <c r="Z4728" s="6"/>
      <c r="AA4728" s="6"/>
      <c r="AB4728" s="6"/>
      <c r="AC4728" s="6"/>
      <c r="AD4728" s="6"/>
      <c r="AE4728" s="6"/>
      <c r="AF4728" s="6"/>
      <c r="AG4728" s="6"/>
      <c r="AH4728" s="6"/>
      <c r="AI4728" s="6"/>
      <c r="AJ4728" s="6"/>
      <c r="AK4728" s="6"/>
      <c r="AL4728" s="6"/>
      <c r="AM4728" s="6"/>
    </row>
    <row r="4729">
      <c r="A4729" s="6"/>
      <c r="B4729" s="6"/>
      <c r="C4729" s="6"/>
      <c r="D4729" s="6"/>
      <c r="E4729" s="6"/>
      <c r="F4729" s="6"/>
      <c r="G4729" s="6"/>
      <c r="H4729" s="6"/>
      <c r="I4729" s="6"/>
      <c r="J4729" s="6"/>
      <c r="K4729" s="6"/>
      <c r="L4729" s="6"/>
      <c r="M4729" s="6"/>
      <c r="N4729" s="6"/>
      <c r="O4729" s="6"/>
      <c r="P4729" s="6"/>
      <c r="Q4729" s="6"/>
      <c r="R4729" s="6"/>
      <c r="S4729" s="6"/>
      <c r="T4729" s="6"/>
      <c r="U4729" s="6"/>
      <c r="V4729" s="6"/>
      <c r="W4729" s="6"/>
      <c r="X4729" s="6"/>
      <c r="Y4729" s="6"/>
      <c r="Z4729" s="6"/>
      <c r="AA4729" s="6"/>
      <c r="AB4729" s="6"/>
      <c r="AC4729" s="6"/>
      <c r="AD4729" s="6"/>
      <c r="AE4729" s="6"/>
      <c r="AF4729" s="6"/>
      <c r="AG4729" s="6"/>
      <c r="AH4729" s="6"/>
      <c r="AI4729" s="6"/>
      <c r="AJ4729" s="6"/>
      <c r="AK4729" s="6"/>
      <c r="AL4729" s="6"/>
      <c r="AM4729" s="6"/>
    </row>
    <row r="4730">
      <c r="A4730" s="6"/>
      <c r="B4730" s="6"/>
      <c r="C4730" s="6"/>
      <c r="D4730" s="6"/>
      <c r="E4730" s="6"/>
      <c r="F4730" s="6"/>
      <c r="G4730" s="6"/>
      <c r="H4730" s="6"/>
      <c r="I4730" s="6"/>
      <c r="J4730" s="6"/>
      <c r="K4730" s="6"/>
      <c r="L4730" s="6"/>
      <c r="M4730" s="6"/>
      <c r="N4730" s="6"/>
      <c r="O4730" s="6"/>
      <c r="P4730" s="6"/>
      <c r="Q4730" s="6"/>
      <c r="R4730" s="6"/>
      <c r="S4730" s="6"/>
      <c r="T4730" s="6"/>
      <c r="U4730" s="6"/>
      <c r="V4730" s="6"/>
      <c r="W4730" s="6"/>
      <c r="X4730" s="6"/>
      <c r="Y4730" s="6"/>
      <c r="Z4730" s="6"/>
      <c r="AA4730" s="6"/>
      <c r="AB4730" s="6"/>
      <c r="AC4730" s="6"/>
      <c r="AD4730" s="6"/>
      <c r="AE4730" s="6"/>
      <c r="AF4730" s="6"/>
      <c r="AG4730" s="6"/>
      <c r="AH4730" s="6"/>
      <c r="AI4730" s="6"/>
      <c r="AJ4730" s="6"/>
      <c r="AK4730" s="6"/>
      <c r="AL4730" s="6"/>
      <c r="AM4730" s="6"/>
    </row>
    <row r="4731">
      <c r="A4731" s="6"/>
      <c r="B4731" s="6"/>
      <c r="C4731" s="6"/>
      <c r="D4731" s="6"/>
      <c r="E4731" s="6"/>
      <c r="F4731" s="6"/>
      <c r="G4731" s="6"/>
      <c r="H4731" s="6"/>
      <c r="I4731" s="6"/>
      <c r="J4731" s="6"/>
      <c r="K4731" s="6"/>
      <c r="L4731" s="6"/>
      <c r="M4731" s="6"/>
      <c r="N4731" s="6"/>
      <c r="O4731" s="6"/>
      <c r="P4731" s="6"/>
      <c r="Q4731" s="6"/>
      <c r="R4731" s="6"/>
      <c r="S4731" s="6"/>
      <c r="T4731" s="6"/>
      <c r="U4731" s="6"/>
      <c r="V4731" s="6"/>
      <c r="W4731" s="6"/>
      <c r="X4731" s="6"/>
      <c r="Y4731" s="6"/>
      <c r="Z4731" s="6"/>
      <c r="AA4731" s="6"/>
      <c r="AB4731" s="6"/>
      <c r="AC4731" s="6"/>
      <c r="AD4731" s="6"/>
      <c r="AE4731" s="6"/>
      <c r="AF4731" s="6"/>
      <c r="AG4731" s="6"/>
      <c r="AH4731" s="6"/>
      <c r="AI4731" s="6"/>
      <c r="AJ4731" s="6"/>
      <c r="AK4731" s="6"/>
      <c r="AL4731" s="6"/>
      <c r="AM4731" s="6"/>
    </row>
    <row r="4732">
      <c r="A4732" s="6"/>
      <c r="B4732" s="6"/>
      <c r="C4732" s="6"/>
      <c r="D4732" s="6"/>
      <c r="E4732" s="6"/>
      <c r="F4732" s="6"/>
      <c r="G4732" s="6"/>
      <c r="H4732" s="6"/>
      <c r="I4732" s="6"/>
      <c r="J4732" s="6"/>
      <c r="K4732" s="6"/>
      <c r="L4732" s="6"/>
      <c r="M4732" s="6"/>
      <c r="N4732" s="6"/>
      <c r="O4732" s="6"/>
      <c r="P4732" s="6"/>
      <c r="Q4732" s="6"/>
      <c r="R4732" s="6"/>
      <c r="S4732" s="6"/>
      <c r="T4732" s="6"/>
      <c r="U4732" s="6"/>
      <c r="V4732" s="6"/>
      <c r="W4732" s="6"/>
      <c r="X4732" s="6"/>
      <c r="Y4732" s="6"/>
      <c r="Z4732" s="6"/>
      <c r="AA4732" s="6"/>
      <c r="AB4732" s="6"/>
      <c r="AC4732" s="6"/>
      <c r="AD4732" s="6"/>
      <c r="AE4732" s="6"/>
      <c r="AF4732" s="6"/>
      <c r="AG4732" s="6"/>
      <c r="AH4732" s="6"/>
      <c r="AI4732" s="6"/>
      <c r="AJ4732" s="6"/>
      <c r="AK4732" s="6"/>
      <c r="AL4732" s="6"/>
      <c r="AM4732" s="6"/>
    </row>
    <row r="4733">
      <c r="A4733" s="6"/>
      <c r="B4733" s="6"/>
      <c r="C4733" s="6"/>
      <c r="D4733" s="6"/>
      <c r="E4733" s="6"/>
      <c r="F4733" s="6"/>
      <c r="G4733" s="6"/>
      <c r="H4733" s="6"/>
      <c r="I4733" s="6"/>
      <c r="J4733" s="6"/>
      <c r="K4733" s="6"/>
      <c r="L4733" s="6"/>
      <c r="M4733" s="6"/>
      <c r="N4733" s="6"/>
      <c r="O4733" s="6"/>
      <c r="P4733" s="6"/>
      <c r="Q4733" s="6"/>
      <c r="R4733" s="6"/>
      <c r="S4733" s="6"/>
      <c r="T4733" s="6"/>
      <c r="U4733" s="6"/>
      <c r="V4733" s="6"/>
      <c r="W4733" s="6"/>
      <c r="X4733" s="6"/>
      <c r="Y4733" s="6"/>
      <c r="Z4733" s="6"/>
      <c r="AA4733" s="6"/>
      <c r="AB4733" s="6"/>
      <c r="AC4733" s="6"/>
      <c r="AD4733" s="6"/>
      <c r="AE4733" s="6"/>
      <c r="AF4733" s="6"/>
      <c r="AG4733" s="6"/>
      <c r="AH4733" s="6"/>
      <c r="AI4733" s="6"/>
      <c r="AJ4733" s="6"/>
      <c r="AK4733" s="6"/>
      <c r="AL4733" s="6"/>
      <c r="AM4733" s="6"/>
    </row>
    <row r="4734">
      <c r="A4734" s="6"/>
      <c r="B4734" s="6"/>
      <c r="C4734" s="6"/>
      <c r="D4734" s="6"/>
      <c r="E4734" s="6"/>
      <c r="F4734" s="6"/>
      <c r="G4734" s="6"/>
      <c r="H4734" s="6"/>
      <c r="I4734" s="6"/>
      <c r="J4734" s="6"/>
      <c r="K4734" s="6"/>
      <c r="L4734" s="6"/>
      <c r="M4734" s="6"/>
      <c r="N4734" s="6"/>
      <c r="O4734" s="6"/>
      <c r="P4734" s="6"/>
      <c r="Q4734" s="6"/>
      <c r="R4734" s="6"/>
      <c r="S4734" s="6"/>
      <c r="T4734" s="6"/>
      <c r="U4734" s="6"/>
      <c r="V4734" s="6"/>
      <c r="W4734" s="6"/>
      <c r="X4734" s="6"/>
      <c r="Y4734" s="6"/>
      <c r="Z4734" s="6"/>
      <c r="AA4734" s="6"/>
      <c r="AB4734" s="6"/>
      <c r="AC4734" s="6"/>
      <c r="AD4734" s="6"/>
      <c r="AE4734" s="6"/>
      <c r="AF4734" s="6"/>
      <c r="AG4734" s="6"/>
      <c r="AH4734" s="6"/>
      <c r="AI4734" s="6"/>
      <c r="AJ4734" s="6"/>
      <c r="AK4734" s="6"/>
      <c r="AL4734" s="6"/>
      <c r="AM4734" s="6"/>
    </row>
    <row r="4735">
      <c r="A4735" s="6"/>
      <c r="B4735" s="6"/>
      <c r="C4735" s="6"/>
      <c r="D4735" s="6"/>
      <c r="E4735" s="6"/>
      <c r="F4735" s="6"/>
      <c r="G4735" s="6"/>
      <c r="H4735" s="6"/>
      <c r="I4735" s="6"/>
      <c r="J4735" s="6"/>
      <c r="K4735" s="6"/>
      <c r="L4735" s="6"/>
      <c r="M4735" s="6"/>
      <c r="N4735" s="6"/>
      <c r="O4735" s="6"/>
      <c r="P4735" s="6"/>
      <c r="Q4735" s="6"/>
      <c r="R4735" s="6"/>
      <c r="S4735" s="6"/>
      <c r="T4735" s="6"/>
      <c r="U4735" s="6"/>
      <c r="V4735" s="6"/>
      <c r="W4735" s="6"/>
      <c r="X4735" s="6"/>
      <c r="Y4735" s="6"/>
      <c r="Z4735" s="6"/>
      <c r="AA4735" s="6"/>
      <c r="AB4735" s="6"/>
      <c r="AC4735" s="6"/>
      <c r="AD4735" s="6"/>
      <c r="AE4735" s="6"/>
      <c r="AF4735" s="6"/>
      <c r="AG4735" s="6"/>
      <c r="AH4735" s="6"/>
      <c r="AI4735" s="6"/>
      <c r="AJ4735" s="6"/>
      <c r="AK4735" s="6"/>
      <c r="AL4735" s="6"/>
      <c r="AM4735" s="6"/>
    </row>
    <row r="4736">
      <c r="A4736" s="6"/>
      <c r="B4736" s="6"/>
      <c r="C4736" s="6"/>
      <c r="D4736" s="6"/>
      <c r="E4736" s="6"/>
      <c r="F4736" s="6"/>
      <c r="G4736" s="6"/>
      <c r="H4736" s="6"/>
      <c r="I4736" s="6"/>
      <c r="J4736" s="6"/>
      <c r="K4736" s="6"/>
      <c r="L4736" s="6"/>
      <c r="M4736" s="6"/>
      <c r="N4736" s="6"/>
      <c r="O4736" s="6"/>
      <c r="P4736" s="6"/>
      <c r="Q4736" s="6"/>
      <c r="R4736" s="6"/>
      <c r="S4736" s="6"/>
      <c r="T4736" s="6"/>
      <c r="U4736" s="6"/>
      <c r="V4736" s="6"/>
      <c r="W4736" s="6"/>
      <c r="X4736" s="6"/>
      <c r="Y4736" s="6"/>
      <c r="Z4736" s="6"/>
      <c r="AA4736" s="6"/>
      <c r="AB4736" s="6"/>
      <c r="AC4736" s="6"/>
      <c r="AD4736" s="6"/>
      <c r="AE4736" s="6"/>
      <c r="AF4736" s="6"/>
      <c r="AG4736" s="6"/>
      <c r="AH4736" s="6"/>
      <c r="AI4736" s="6"/>
      <c r="AJ4736" s="6"/>
      <c r="AK4736" s="6"/>
      <c r="AL4736" s="6"/>
      <c r="AM4736" s="6"/>
    </row>
    <row r="4737">
      <c r="A4737" s="6"/>
      <c r="B4737" s="6"/>
      <c r="C4737" s="6"/>
      <c r="D4737" s="6"/>
      <c r="E4737" s="6"/>
      <c r="F4737" s="6"/>
      <c r="G4737" s="6"/>
      <c r="H4737" s="6"/>
      <c r="I4737" s="6"/>
      <c r="J4737" s="6"/>
      <c r="K4737" s="6"/>
      <c r="L4737" s="6"/>
      <c r="M4737" s="6"/>
      <c r="N4737" s="6"/>
      <c r="O4737" s="6"/>
      <c r="P4737" s="6"/>
      <c r="Q4737" s="6"/>
      <c r="R4737" s="6"/>
      <c r="S4737" s="6"/>
      <c r="T4737" s="6"/>
      <c r="U4737" s="6"/>
      <c r="V4737" s="6"/>
      <c r="W4737" s="6"/>
      <c r="X4737" s="6"/>
      <c r="Y4737" s="6"/>
      <c r="Z4737" s="6"/>
      <c r="AA4737" s="6"/>
      <c r="AB4737" s="6"/>
      <c r="AC4737" s="6"/>
      <c r="AD4737" s="6"/>
      <c r="AE4737" s="6"/>
      <c r="AF4737" s="6"/>
      <c r="AG4737" s="6"/>
      <c r="AH4737" s="6"/>
      <c r="AI4737" s="6"/>
      <c r="AJ4737" s="6"/>
      <c r="AK4737" s="6"/>
      <c r="AL4737" s="6"/>
      <c r="AM4737" s="6"/>
    </row>
    <row r="4738">
      <c r="A4738" s="6"/>
      <c r="B4738" s="6"/>
      <c r="C4738" s="6"/>
      <c r="D4738" s="6"/>
      <c r="E4738" s="6"/>
      <c r="F4738" s="6"/>
      <c r="G4738" s="6"/>
      <c r="H4738" s="6"/>
      <c r="I4738" s="6"/>
      <c r="J4738" s="6"/>
      <c r="K4738" s="6"/>
      <c r="L4738" s="6"/>
      <c r="M4738" s="6"/>
      <c r="N4738" s="6"/>
      <c r="O4738" s="6"/>
      <c r="P4738" s="6"/>
      <c r="Q4738" s="6"/>
      <c r="R4738" s="6"/>
      <c r="S4738" s="6"/>
      <c r="T4738" s="6"/>
      <c r="U4738" s="6"/>
      <c r="V4738" s="6"/>
      <c r="W4738" s="6"/>
      <c r="X4738" s="6"/>
      <c r="Y4738" s="6"/>
      <c r="Z4738" s="6"/>
      <c r="AA4738" s="6"/>
      <c r="AB4738" s="6"/>
      <c r="AC4738" s="6"/>
      <c r="AD4738" s="6"/>
      <c r="AE4738" s="6"/>
      <c r="AF4738" s="6"/>
      <c r="AG4738" s="6"/>
      <c r="AH4738" s="6"/>
      <c r="AI4738" s="6"/>
      <c r="AJ4738" s="6"/>
      <c r="AK4738" s="6"/>
      <c r="AL4738" s="6"/>
      <c r="AM4738" s="6"/>
    </row>
    <row r="4739">
      <c r="A4739" s="6"/>
      <c r="B4739" s="6"/>
      <c r="C4739" s="6"/>
      <c r="D4739" s="6"/>
      <c r="E4739" s="6"/>
      <c r="F4739" s="6"/>
      <c r="G4739" s="6"/>
      <c r="H4739" s="6"/>
      <c r="I4739" s="6"/>
      <c r="J4739" s="6"/>
      <c r="K4739" s="6"/>
      <c r="L4739" s="6"/>
      <c r="M4739" s="6"/>
      <c r="N4739" s="6"/>
      <c r="O4739" s="6"/>
      <c r="P4739" s="6"/>
      <c r="Q4739" s="6"/>
      <c r="R4739" s="6"/>
      <c r="S4739" s="6"/>
      <c r="T4739" s="6"/>
      <c r="U4739" s="6"/>
      <c r="V4739" s="6"/>
      <c r="W4739" s="6"/>
      <c r="X4739" s="6"/>
      <c r="Y4739" s="6"/>
      <c r="Z4739" s="6"/>
      <c r="AA4739" s="6"/>
      <c r="AB4739" s="6"/>
      <c r="AC4739" s="6"/>
      <c r="AD4739" s="6"/>
      <c r="AE4739" s="6"/>
      <c r="AF4739" s="6"/>
      <c r="AG4739" s="6"/>
      <c r="AH4739" s="6"/>
      <c r="AI4739" s="6"/>
      <c r="AJ4739" s="6"/>
      <c r="AK4739" s="6"/>
      <c r="AL4739" s="6"/>
      <c r="AM4739" s="6"/>
    </row>
    <row r="4740">
      <c r="A4740" s="6"/>
      <c r="B4740" s="6"/>
      <c r="C4740" s="6"/>
      <c r="D4740" s="6"/>
      <c r="E4740" s="6"/>
      <c r="F4740" s="6"/>
      <c r="G4740" s="6"/>
      <c r="H4740" s="6"/>
      <c r="I4740" s="6"/>
      <c r="J4740" s="6"/>
      <c r="K4740" s="6"/>
      <c r="L4740" s="6"/>
      <c r="M4740" s="6"/>
      <c r="N4740" s="6"/>
      <c r="O4740" s="6"/>
      <c r="P4740" s="6"/>
      <c r="Q4740" s="6"/>
      <c r="R4740" s="6"/>
      <c r="S4740" s="6"/>
      <c r="T4740" s="6"/>
      <c r="U4740" s="6"/>
      <c r="V4740" s="6"/>
      <c r="W4740" s="6"/>
      <c r="X4740" s="6"/>
      <c r="Y4740" s="6"/>
      <c r="Z4740" s="6"/>
      <c r="AA4740" s="6"/>
      <c r="AB4740" s="6"/>
      <c r="AC4740" s="6"/>
      <c r="AD4740" s="6"/>
      <c r="AE4740" s="6"/>
      <c r="AF4740" s="6"/>
      <c r="AG4740" s="6"/>
      <c r="AH4740" s="6"/>
      <c r="AI4740" s="6"/>
      <c r="AJ4740" s="6"/>
      <c r="AK4740" s="6"/>
      <c r="AL4740" s="6"/>
      <c r="AM4740" s="6"/>
    </row>
    <row r="4741">
      <c r="A4741" s="6"/>
      <c r="B4741" s="6"/>
      <c r="C4741" s="6"/>
      <c r="D4741" s="6"/>
      <c r="E4741" s="6"/>
      <c r="F4741" s="6"/>
      <c r="G4741" s="6"/>
      <c r="H4741" s="6"/>
      <c r="I4741" s="6"/>
      <c r="J4741" s="6"/>
      <c r="K4741" s="6"/>
      <c r="L4741" s="6"/>
      <c r="M4741" s="6"/>
      <c r="N4741" s="6"/>
      <c r="O4741" s="6"/>
      <c r="P4741" s="6"/>
      <c r="Q4741" s="6"/>
      <c r="R4741" s="6"/>
      <c r="S4741" s="6"/>
      <c r="T4741" s="6"/>
      <c r="U4741" s="6"/>
      <c r="V4741" s="6"/>
      <c r="W4741" s="6"/>
      <c r="X4741" s="6"/>
      <c r="Y4741" s="6"/>
      <c r="Z4741" s="6"/>
      <c r="AA4741" s="6"/>
      <c r="AB4741" s="6"/>
      <c r="AC4741" s="6"/>
      <c r="AD4741" s="6"/>
      <c r="AE4741" s="6"/>
      <c r="AF4741" s="6"/>
      <c r="AG4741" s="6"/>
      <c r="AH4741" s="6"/>
      <c r="AI4741" s="6"/>
      <c r="AJ4741" s="6"/>
      <c r="AK4741" s="6"/>
      <c r="AL4741" s="6"/>
      <c r="AM4741" s="6"/>
    </row>
    <row r="4742">
      <c r="A4742" s="6"/>
      <c r="B4742" s="6"/>
      <c r="C4742" s="6"/>
      <c r="D4742" s="6"/>
      <c r="E4742" s="6"/>
      <c r="F4742" s="6"/>
      <c r="G4742" s="6"/>
      <c r="H4742" s="6"/>
      <c r="I4742" s="6"/>
      <c r="J4742" s="6"/>
      <c r="K4742" s="6"/>
      <c r="L4742" s="6"/>
      <c r="M4742" s="6"/>
      <c r="N4742" s="6"/>
      <c r="O4742" s="6"/>
      <c r="P4742" s="6"/>
      <c r="Q4742" s="6"/>
      <c r="R4742" s="6"/>
      <c r="S4742" s="6"/>
      <c r="T4742" s="6"/>
      <c r="U4742" s="6"/>
      <c r="V4742" s="6"/>
      <c r="W4742" s="6"/>
      <c r="X4742" s="6"/>
      <c r="Y4742" s="6"/>
      <c r="Z4742" s="6"/>
      <c r="AA4742" s="6"/>
      <c r="AB4742" s="6"/>
      <c r="AC4742" s="6"/>
      <c r="AD4742" s="6"/>
      <c r="AE4742" s="6"/>
      <c r="AF4742" s="6"/>
      <c r="AG4742" s="6"/>
      <c r="AH4742" s="6"/>
      <c r="AI4742" s="6"/>
      <c r="AJ4742" s="6"/>
      <c r="AK4742" s="6"/>
      <c r="AL4742" s="6"/>
      <c r="AM4742" s="6"/>
    </row>
    <row r="4743">
      <c r="A4743" s="6"/>
      <c r="B4743" s="6"/>
      <c r="C4743" s="6"/>
      <c r="D4743" s="6"/>
      <c r="E4743" s="6"/>
      <c r="F4743" s="6"/>
      <c r="G4743" s="6"/>
      <c r="H4743" s="6"/>
      <c r="I4743" s="6"/>
      <c r="J4743" s="6"/>
      <c r="K4743" s="6"/>
      <c r="L4743" s="6"/>
      <c r="M4743" s="6"/>
      <c r="N4743" s="6"/>
      <c r="O4743" s="6"/>
      <c r="P4743" s="6"/>
      <c r="Q4743" s="6"/>
      <c r="R4743" s="6"/>
      <c r="S4743" s="6"/>
      <c r="T4743" s="6"/>
      <c r="U4743" s="6"/>
      <c r="V4743" s="6"/>
      <c r="W4743" s="6"/>
      <c r="X4743" s="6"/>
      <c r="Y4743" s="6"/>
      <c r="Z4743" s="6"/>
      <c r="AA4743" s="6"/>
      <c r="AB4743" s="6"/>
      <c r="AC4743" s="6"/>
      <c r="AD4743" s="6"/>
      <c r="AE4743" s="6"/>
      <c r="AF4743" s="6"/>
      <c r="AG4743" s="6"/>
      <c r="AH4743" s="6"/>
      <c r="AI4743" s="6"/>
      <c r="AJ4743" s="6"/>
      <c r="AK4743" s="6"/>
      <c r="AL4743" s="6"/>
      <c r="AM4743" s="6"/>
    </row>
    <row r="4744">
      <c r="A4744" s="6"/>
      <c r="B4744" s="6"/>
      <c r="C4744" s="6"/>
      <c r="D4744" s="6"/>
      <c r="E4744" s="6"/>
      <c r="F4744" s="6"/>
      <c r="G4744" s="6"/>
      <c r="H4744" s="6"/>
      <c r="I4744" s="6"/>
      <c r="J4744" s="6"/>
      <c r="K4744" s="6"/>
      <c r="L4744" s="6"/>
      <c r="M4744" s="6"/>
      <c r="N4744" s="6"/>
      <c r="O4744" s="6"/>
      <c r="P4744" s="6"/>
      <c r="Q4744" s="6"/>
      <c r="R4744" s="6"/>
      <c r="S4744" s="6"/>
      <c r="T4744" s="6"/>
      <c r="U4744" s="6"/>
      <c r="V4744" s="6"/>
      <c r="W4744" s="6"/>
      <c r="X4744" s="6"/>
      <c r="Y4744" s="6"/>
      <c r="Z4744" s="6"/>
      <c r="AA4744" s="6"/>
      <c r="AB4744" s="6"/>
      <c r="AC4744" s="6"/>
      <c r="AD4744" s="6"/>
      <c r="AE4744" s="6"/>
      <c r="AF4744" s="6"/>
      <c r="AG4744" s="6"/>
      <c r="AH4744" s="6"/>
      <c r="AI4744" s="6"/>
      <c r="AJ4744" s="6"/>
      <c r="AK4744" s="6"/>
      <c r="AL4744" s="6"/>
      <c r="AM4744" s="6"/>
    </row>
    <row r="4745">
      <c r="A4745" s="6"/>
      <c r="B4745" s="6"/>
      <c r="C4745" s="6"/>
      <c r="D4745" s="6"/>
      <c r="E4745" s="6"/>
      <c r="F4745" s="6"/>
      <c r="G4745" s="6"/>
      <c r="H4745" s="6"/>
      <c r="I4745" s="6"/>
      <c r="J4745" s="6"/>
      <c r="K4745" s="6"/>
      <c r="L4745" s="6"/>
      <c r="M4745" s="6"/>
      <c r="N4745" s="6"/>
      <c r="O4745" s="6"/>
      <c r="P4745" s="6"/>
      <c r="Q4745" s="6"/>
      <c r="R4745" s="6"/>
      <c r="S4745" s="6"/>
      <c r="T4745" s="6"/>
      <c r="U4745" s="6"/>
      <c r="V4745" s="6"/>
      <c r="W4745" s="6"/>
      <c r="X4745" s="6"/>
      <c r="Y4745" s="6"/>
      <c r="Z4745" s="6"/>
      <c r="AA4745" s="6"/>
      <c r="AB4745" s="6"/>
      <c r="AC4745" s="6"/>
      <c r="AD4745" s="6"/>
      <c r="AE4745" s="6"/>
      <c r="AF4745" s="6"/>
      <c r="AG4745" s="6"/>
      <c r="AH4745" s="6"/>
      <c r="AI4745" s="6"/>
      <c r="AJ4745" s="6"/>
      <c r="AK4745" s="6"/>
      <c r="AL4745" s="6"/>
      <c r="AM4745" s="6"/>
    </row>
    <row r="4746">
      <c r="A4746" s="6"/>
      <c r="B4746" s="6"/>
      <c r="C4746" s="6"/>
      <c r="D4746" s="6"/>
      <c r="E4746" s="6"/>
      <c r="F4746" s="6"/>
      <c r="G4746" s="6"/>
      <c r="H4746" s="6"/>
      <c r="I4746" s="6"/>
      <c r="J4746" s="6"/>
      <c r="K4746" s="6"/>
      <c r="L4746" s="6"/>
      <c r="M4746" s="6"/>
      <c r="N4746" s="6"/>
      <c r="O4746" s="6"/>
      <c r="P4746" s="6"/>
      <c r="Q4746" s="6"/>
      <c r="R4746" s="6"/>
      <c r="S4746" s="6"/>
      <c r="T4746" s="6"/>
      <c r="U4746" s="6"/>
      <c r="V4746" s="6"/>
      <c r="W4746" s="6"/>
      <c r="X4746" s="6"/>
      <c r="Y4746" s="6"/>
      <c r="Z4746" s="6"/>
      <c r="AA4746" s="6"/>
      <c r="AB4746" s="6"/>
      <c r="AC4746" s="6"/>
      <c r="AD4746" s="6"/>
      <c r="AE4746" s="6"/>
      <c r="AF4746" s="6"/>
      <c r="AG4746" s="6"/>
      <c r="AH4746" s="6"/>
      <c r="AI4746" s="6"/>
      <c r="AJ4746" s="6"/>
      <c r="AK4746" s="6"/>
      <c r="AL4746" s="6"/>
      <c r="AM4746" s="6"/>
    </row>
    <row r="4747">
      <c r="A4747" s="6"/>
      <c r="B4747" s="6"/>
      <c r="C4747" s="6"/>
      <c r="D4747" s="6"/>
      <c r="E4747" s="6"/>
      <c r="F4747" s="6"/>
      <c r="G4747" s="6"/>
      <c r="H4747" s="6"/>
      <c r="I4747" s="6"/>
      <c r="J4747" s="6"/>
      <c r="K4747" s="6"/>
      <c r="L4747" s="6"/>
      <c r="M4747" s="6"/>
      <c r="N4747" s="6"/>
      <c r="O4747" s="6"/>
      <c r="P4747" s="6"/>
      <c r="Q4747" s="6"/>
      <c r="R4747" s="6"/>
      <c r="S4747" s="6"/>
      <c r="T4747" s="6"/>
      <c r="U4747" s="6"/>
      <c r="V4747" s="6"/>
      <c r="W4747" s="6"/>
      <c r="X4747" s="6"/>
      <c r="Y4747" s="6"/>
      <c r="Z4747" s="6"/>
      <c r="AA4747" s="6"/>
      <c r="AB4747" s="6"/>
      <c r="AC4747" s="6"/>
      <c r="AD4747" s="6"/>
      <c r="AE4747" s="6"/>
      <c r="AF4747" s="6"/>
      <c r="AG4747" s="6"/>
      <c r="AH4747" s="6"/>
      <c r="AI4747" s="6"/>
      <c r="AJ4747" s="6"/>
      <c r="AK4747" s="6"/>
      <c r="AL4747" s="6"/>
      <c r="AM4747" s="6"/>
    </row>
    <row r="4748">
      <c r="A4748" s="6"/>
      <c r="B4748" s="6"/>
      <c r="C4748" s="6"/>
      <c r="D4748" s="6"/>
      <c r="E4748" s="6"/>
      <c r="F4748" s="6"/>
      <c r="G4748" s="6"/>
      <c r="H4748" s="6"/>
      <c r="I4748" s="6"/>
      <c r="J4748" s="6"/>
      <c r="K4748" s="6"/>
      <c r="L4748" s="6"/>
      <c r="M4748" s="6"/>
      <c r="N4748" s="6"/>
      <c r="O4748" s="6"/>
      <c r="P4748" s="6"/>
      <c r="Q4748" s="6"/>
      <c r="R4748" s="6"/>
      <c r="S4748" s="6"/>
      <c r="T4748" s="6"/>
      <c r="U4748" s="6"/>
      <c r="V4748" s="6"/>
      <c r="W4748" s="6"/>
      <c r="X4748" s="6"/>
      <c r="Y4748" s="6"/>
      <c r="Z4748" s="6"/>
      <c r="AA4748" s="6"/>
      <c r="AB4748" s="6"/>
      <c r="AC4748" s="6"/>
      <c r="AD4748" s="6"/>
      <c r="AE4748" s="6"/>
      <c r="AF4748" s="6"/>
      <c r="AG4748" s="6"/>
      <c r="AH4748" s="6"/>
      <c r="AI4748" s="6"/>
      <c r="AJ4748" s="6"/>
      <c r="AK4748" s="6"/>
      <c r="AL4748" s="6"/>
      <c r="AM4748" s="6"/>
    </row>
    <row r="4749">
      <c r="A4749" s="6"/>
      <c r="B4749" s="6"/>
      <c r="C4749" s="6"/>
      <c r="D4749" s="6"/>
      <c r="E4749" s="6"/>
      <c r="F4749" s="6"/>
      <c r="G4749" s="6"/>
      <c r="H4749" s="6"/>
      <c r="I4749" s="6"/>
      <c r="J4749" s="6"/>
      <c r="K4749" s="6"/>
      <c r="L4749" s="6"/>
      <c r="M4749" s="6"/>
      <c r="N4749" s="6"/>
      <c r="O4749" s="6"/>
      <c r="P4749" s="6"/>
      <c r="Q4749" s="6"/>
      <c r="R4749" s="6"/>
      <c r="S4749" s="6"/>
      <c r="T4749" s="6"/>
      <c r="U4749" s="6"/>
      <c r="V4749" s="6"/>
      <c r="W4749" s="6"/>
      <c r="X4749" s="6"/>
      <c r="Y4749" s="6"/>
      <c r="Z4749" s="6"/>
      <c r="AA4749" s="6"/>
      <c r="AB4749" s="6"/>
      <c r="AC4749" s="6"/>
      <c r="AD4749" s="6"/>
      <c r="AE4749" s="6"/>
      <c r="AF4749" s="6"/>
      <c r="AG4749" s="6"/>
      <c r="AH4749" s="6"/>
      <c r="AI4749" s="6"/>
      <c r="AJ4749" s="6"/>
      <c r="AK4749" s="6"/>
      <c r="AL4749" s="6"/>
      <c r="AM4749" s="6"/>
    </row>
    <row r="4750">
      <c r="A4750" s="6"/>
      <c r="B4750" s="6"/>
      <c r="C4750" s="6"/>
      <c r="D4750" s="6"/>
      <c r="E4750" s="6"/>
      <c r="F4750" s="6"/>
      <c r="G4750" s="6"/>
      <c r="H4750" s="6"/>
      <c r="I4750" s="6"/>
      <c r="J4750" s="6"/>
      <c r="K4750" s="6"/>
      <c r="L4750" s="6"/>
      <c r="M4750" s="6"/>
      <c r="N4750" s="6"/>
      <c r="O4750" s="6"/>
      <c r="P4750" s="6"/>
      <c r="Q4750" s="6"/>
      <c r="R4750" s="6"/>
      <c r="S4750" s="6"/>
      <c r="T4750" s="6"/>
      <c r="U4750" s="6"/>
      <c r="V4750" s="6"/>
      <c r="W4750" s="6"/>
      <c r="X4750" s="6"/>
      <c r="Y4750" s="6"/>
      <c r="Z4750" s="6"/>
      <c r="AA4750" s="6"/>
      <c r="AB4750" s="6"/>
      <c r="AC4750" s="6"/>
      <c r="AD4750" s="6"/>
      <c r="AE4750" s="6"/>
      <c r="AF4750" s="6"/>
      <c r="AG4750" s="6"/>
      <c r="AH4750" s="6"/>
      <c r="AI4750" s="6"/>
      <c r="AJ4750" s="6"/>
      <c r="AK4750" s="6"/>
      <c r="AL4750" s="6"/>
      <c r="AM4750" s="6"/>
    </row>
    <row r="4751">
      <c r="A4751" s="6"/>
      <c r="B4751" s="6"/>
      <c r="C4751" s="6"/>
      <c r="D4751" s="6"/>
      <c r="E4751" s="6"/>
      <c r="F4751" s="6"/>
      <c r="G4751" s="6"/>
      <c r="H4751" s="6"/>
      <c r="I4751" s="6"/>
      <c r="J4751" s="6"/>
      <c r="K4751" s="6"/>
      <c r="L4751" s="6"/>
      <c r="M4751" s="6"/>
      <c r="N4751" s="6"/>
      <c r="O4751" s="6"/>
      <c r="P4751" s="6"/>
      <c r="Q4751" s="6"/>
      <c r="R4751" s="6"/>
      <c r="S4751" s="6"/>
      <c r="T4751" s="6"/>
      <c r="U4751" s="6"/>
      <c r="V4751" s="6"/>
      <c r="W4751" s="6"/>
      <c r="X4751" s="6"/>
      <c r="Y4751" s="6"/>
      <c r="Z4751" s="6"/>
      <c r="AA4751" s="6"/>
      <c r="AB4751" s="6"/>
      <c r="AC4751" s="6"/>
      <c r="AD4751" s="6"/>
      <c r="AE4751" s="6"/>
      <c r="AF4751" s="6"/>
      <c r="AG4751" s="6"/>
      <c r="AH4751" s="6"/>
      <c r="AI4751" s="6"/>
      <c r="AJ4751" s="6"/>
      <c r="AK4751" s="6"/>
      <c r="AL4751" s="6"/>
      <c r="AM4751" s="6"/>
    </row>
    <row r="4752">
      <c r="A4752" s="6"/>
      <c r="B4752" s="6"/>
      <c r="C4752" s="6"/>
      <c r="D4752" s="6"/>
      <c r="E4752" s="6"/>
      <c r="F4752" s="6"/>
      <c r="G4752" s="6"/>
      <c r="H4752" s="6"/>
      <c r="I4752" s="6"/>
      <c r="J4752" s="6"/>
      <c r="K4752" s="6"/>
      <c r="L4752" s="6"/>
      <c r="M4752" s="6"/>
      <c r="N4752" s="6"/>
      <c r="O4752" s="6"/>
      <c r="P4752" s="6"/>
      <c r="Q4752" s="6"/>
      <c r="R4752" s="6"/>
      <c r="S4752" s="6"/>
      <c r="T4752" s="6"/>
      <c r="U4752" s="6"/>
      <c r="V4752" s="6"/>
      <c r="W4752" s="6"/>
      <c r="X4752" s="6"/>
      <c r="Y4752" s="6"/>
      <c r="Z4752" s="6"/>
      <c r="AA4752" s="6"/>
      <c r="AB4752" s="6"/>
      <c r="AC4752" s="6"/>
      <c r="AD4752" s="6"/>
      <c r="AE4752" s="6"/>
      <c r="AF4752" s="6"/>
      <c r="AG4752" s="6"/>
      <c r="AH4752" s="6"/>
      <c r="AI4752" s="6"/>
      <c r="AJ4752" s="6"/>
      <c r="AK4752" s="6"/>
      <c r="AL4752" s="6"/>
      <c r="AM4752" s="6"/>
    </row>
    <row r="4753">
      <c r="A4753" s="6"/>
      <c r="B4753" s="6"/>
      <c r="C4753" s="6"/>
      <c r="D4753" s="6"/>
      <c r="E4753" s="6"/>
      <c r="F4753" s="6"/>
      <c r="G4753" s="6"/>
      <c r="H4753" s="6"/>
      <c r="I4753" s="6"/>
      <c r="J4753" s="6"/>
      <c r="K4753" s="6"/>
      <c r="L4753" s="6"/>
      <c r="M4753" s="6"/>
      <c r="N4753" s="6"/>
      <c r="O4753" s="6"/>
      <c r="P4753" s="6"/>
      <c r="Q4753" s="6"/>
      <c r="R4753" s="6"/>
      <c r="S4753" s="6"/>
      <c r="T4753" s="6"/>
      <c r="U4753" s="6"/>
      <c r="V4753" s="6"/>
      <c r="W4753" s="6"/>
      <c r="X4753" s="6"/>
      <c r="Y4753" s="6"/>
      <c r="Z4753" s="6"/>
      <c r="AA4753" s="6"/>
      <c r="AB4753" s="6"/>
      <c r="AC4753" s="6"/>
      <c r="AD4753" s="6"/>
      <c r="AE4753" s="6"/>
      <c r="AF4753" s="6"/>
      <c r="AG4753" s="6"/>
      <c r="AH4753" s="6"/>
      <c r="AI4753" s="6"/>
      <c r="AJ4753" s="6"/>
      <c r="AK4753" s="6"/>
      <c r="AL4753" s="6"/>
      <c r="AM4753" s="6"/>
    </row>
    <row r="4754">
      <c r="A4754" s="6"/>
      <c r="B4754" s="6"/>
      <c r="C4754" s="6"/>
      <c r="D4754" s="6"/>
      <c r="E4754" s="6"/>
      <c r="F4754" s="6"/>
      <c r="G4754" s="6"/>
      <c r="H4754" s="6"/>
      <c r="I4754" s="6"/>
      <c r="J4754" s="6"/>
      <c r="K4754" s="6"/>
      <c r="L4754" s="6"/>
      <c r="M4754" s="6"/>
      <c r="N4754" s="6"/>
      <c r="O4754" s="6"/>
      <c r="P4754" s="6"/>
      <c r="Q4754" s="6"/>
      <c r="R4754" s="6"/>
      <c r="S4754" s="6"/>
      <c r="T4754" s="6"/>
      <c r="U4754" s="6"/>
      <c r="V4754" s="6"/>
      <c r="W4754" s="6"/>
      <c r="X4754" s="6"/>
      <c r="Y4754" s="6"/>
      <c r="Z4754" s="6"/>
      <c r="AA4754" s="6"/>
      <c r="AB4754" s="6"/>
      <c r="AC4754" s="6"/>
      <c r="AD4754" s="6"/>
      <c r="AE4754" s="6"/>
      <c r="AF4754" s="6"/>
      <c r="AG4754" s="6"/>
      <c r="AH4754" s="6"/>
      <c r="AI4754" s="6"/>
      <c r="AJ4754" s="6"/>
      <c r="AK4754" s="6"/>
      <c r="AL4754" s="6"/>
      <c r="AM4754" s="6"/>
    </row>
    <row r="4755">
      <c r="A4755" s="6"/>
      <c r="B4755" s="6"/>
      <c r="C4755" s="6"/>
      <c r="D4755" s="6"/>
      <c r="E4755" s="6"/>
      <c r="F4755" s="6"/>
      <c r="G4755" s="6"/>
      <c r="H4755" s="6"/>
      <c r="I4755" s="6"/>
      <c r="J4755" s="6"/>
      <c r="K4755" s="6"/>
      <c r="L4755" s="6"/>
      <c r="M4755" s="6"/>
      <c r="N4755" s="6"/>
      <c r="O4755" s="6"/>
      <c r="P4755" s="6"/>
      <c r="Q4755" s="6"/>
      <c r="R4755" s="6"/>
      <c r="S4755" s="6"/>
      <c r="T4755" s="6"/>
      <c r="U4755" s="6"/>
      <c r="V4755" s="6"/>
      <c r="W4755" s="6"/>
      <c r="X4755" s="6"/>
      <c r="Y4755" s="6"/>
      <c r="Z4755" s="6"/>
      <c r="AA4755" s="6"/>
      <c r="AB4755" s="6"/>
      <c r="AC4755" s="6"/>
      <c r="AD4755" s="6"/>
      <c r="AE4755" s="6"/>
      <c r="AF4755" s="6"/>
      <c r="AG4755" s="6"/>
      <c r="AH4755" s="6"/>
      <c r="AI4755" s="6"/>
      <c r="AJ4755" s="6"/>
      <c r="AK4755" s="6"/>
      <c r="AL4755" s="6"/>
      <c r="AM4755" s="6"/>
    </row>
    <row r="4756">
      <c r="A4756" s="6"/>
      <c r="B4756" s="6"/>
      <c r="C4756" s="6"/>
      <c r="D4756" s="6"/>
      <c r="E4756" s="6"/>
      <c r="F4756" s="6"/>
      <c r="G4756" s="6"/>
      <c r="H4756" s="6"/>
      <c r="I4756" s="6"/>
      <c r="J4756" s="6"/>
      <c r="K4756" s="6"/>
      <c r="L4756" s="6"/>
      <c r="M4756" s="6"/>
      <c r="N4756" s="6"/>
      <c r="O4756" s="6"/>
      <c r="P4756" s="6"/>
      <c r="Q4756" s="6"/>
      <c r="R4756" s="6"/>
      <c r="S4756" s="6"/>
      <c r="T4756" s="6"/>
      <c r="U4756" s="6"/>
      <c r="V4756" s="6"/>
      <c r="W4756" s="6"/>
      <c r="X4756" s="6"/>
      <c r="Y4756" s="6"/>
      <c r="Z4756" s="6"/>
      <c r="AA4756" s="6"/>
      <c r="AB4756" s="6"/>
      <c r="AC4756" s="6"/>
      <c r="AD4756" s="6"/>
      <c r="AE4756" s="6"/>
      <c r="AF4756" s="6"/>
      <c r="AG4756" s="6"/>
      <c r="AH4756" s="6"/>
      <c r="AI4756" s="6"/>
      <c r="AJ4756" s="6"/>
      <c r="AK4756" s="6"/>
      <c r="AL4756" s="6"/>
      <c r="AM4756" s="6"/>
    </row>
    <row r="4757">
      <c r="A4757" s="6"/>
      <c r="B4757" s="6"/>
      <c r="C4757" s="6"/>
      <c r="D4757" s="6"/>
      <c r="E4757" s="6"/>
      <c r="F4757" s="6"/>
      <c r="G4757" s="6"/>
      <c r="H4757" s="6"/>
      <c r="I4757" s="6"/>
      <c r="J4757" s="6"/>
      <c r="K4757" s="6"/>
      <c r="L4757" s="6"/>
      <c r="M4757" s="6"/>
      <c r="N4757" s="6"/>
      <c r="O4757" s="6"/>
      <c r="P4757" s="6"/>
      <c r="Q4757" s="6"/>
      <c r="R4757" s="6"/>
      <c r="S4757" s="6"/>
      <c r="T4757" s="6"/>
      <c r="U4757" s="6"/>
      <c r="V4757" s="6"/>
      <c r="W4757" s="6"/>
      <c r="X4757" s="6"/>
      <c r="Y4757" s="6"/>
      <c r="Z4757" s="6"/>
      <c r="AA4757" s="6"/>
      <c r="AB4757" s="6"/>
      <c r="AC4757" s="6"/>
      <c r="AD4757" s="6"/>
      <c r="AE4757" s="6"/>
      <c r="AF4757" s="6"/>
      <c r="AG4757" s="6"/>
      <c r="AH4757" s="6"/>
      <c r="AI4757" s="6"/>
      <c r="AJ4757" s="6"/>
      <c r="AK4757" s="6"/>
      <c r="AL4757" s="6"/>
      <c r="AM4757" s="6"/>
    </row>
    <row r="4758">
      <c r="A4758" s="6"/>
      <c r="B4758" s="6"/>
      <c r="C4758" s="6"/>
      <c r="D4758" s="6"/>
      <c r="E4758" s="6"/>
      <c r="F4758" s="6"/>
      <c r="G4758" s="6"/>
      <c r="H4758" s="6"/>
      <c r="I4758" s="6"/>
      <c r="J4758" s="6"/>
      <c r="K4758" s="6"/>
      <c r="L4758" s="6"/>
      <c r="M4758" s="6"/>
      <c r="N4758" s="6"/>
      <c r="O4758" s="6"/>
      <c r="P4758" s="6"/>
      <c r="Q4758" s="6"/>
      <c r="R4758" s="6"/>
      <c r="S4758" s="6"/>
      <c r="T4758" s="6"/>
      <c r="U4758" s="6"/>
      <c r="V4758" s="6"/>
      <c r="W4758" s="6"/>
      <c r="X4758" s="6"/>
      <c r="Y4758" s="6"/>
      <c r="Z4758" s="6"/>
      <c r="AA4758" s="6"/>
      <c r="AB4758" s="6"/>
      <c r="AC4758" s="6"/>
      <c r="AD4758" s="6"/>
      <c r="AE4758" s="6"/>
      <c r="AF4758" s="6"/>
      <c r="AG4758" s="6"/>
      <c r="AH4758" s="6"/>
      <c r="AI4758" s="6"/>
      <c r="AJ4758" s="6"/>
      <c r="AK4758" s="6"/>
      <c r="AL4758" s="6"/>
      <c r="AM4758" s="6"/>
    </row>
    <row r="4759">
      <c r="A4759" s="6"/>
      <c r="B4759" s="6"/>
      <c r="C4759" s="6"/>
      <c r="D4759" s="6"/>
      <c r="E4759" s="6"/>
      <c r="F4759" s="6"/>
      <c r="G4759" s="6"/>
      <c r="H4759" s="6"/>
      <c r="I4759" s="6"/>
      <c r="J4759" s="6"/>
      <c r="K4759" s="6"/>
      <c r="L4759" s="6"/>
      <c r="M4759" s="6"/>
      <c r="N4759" s="6"/>
      <c r="O4759" s="6"/>
      <c r="P4759" s="6"/>
      <c r="Q4759" s="6"/>
      <c r="R4759" s="6"/>
      <c r="S4759" s="6"/>
      <c r="T4759" s="6"/>
      <c r="U4759" s="6"/>
      <c r="V4759" s="6"/>
      <c r="W4759" s="6"/>
      <c r="X4759" s="6"/>
      <c r="Y4759" s="6"/>
      <c r="Z4759" s="6"/>
      <c r="AA4759" s="6"/>
      <c r="AB4759" s="6"/>
      <c r="AC4759" s="6"/>
      <c r="AD4759" s="6"/>
      <c r="AE4759" s="6"/>
      <c r="AF4759" s="6"/>
      <c r="AG4759" s="6"/>
      <c r="AH4759" s="6"/>
      <c r="AI4759" s="6"/>
      <c r="AJ4759" s="6"/>
      <c r="AK4759" s="6"/>
      <c r="AL4759" s="6"/>
      <c r="AM4759" s="6"/>
    </row>
    <row r="4760">
      <c r="A4760" s="6"/>
      <c r="B4760" s="6"/>
      <c r="C4760" s="6"/>
      <c r="D4760" s="6"/>
      <c r="E4760" s="6"/>
      <c r="F4760" s="6"/>
      <c r="G4760" s="6"/>
      <c r="H4760" s="6"/>
      <c r="I4760" s="6"/>
      <c r="J4760" s="6"/>
      <c r="K4760" s="6"/>
      <c r="L4760" s="6"/>
      <c r="M4760" s="6"/>
      <c r="N4760" s="6"/>
      <c r="O4760" s="6"/>
      <c r="P4760" s="6"/>
      <c r="Q4760" s="6"/>
      <c r="R4760" s="6"/>
      <c r="S4760" s="6"/>
      <c r="T4760" s="6"/>
      <c r="U4760" s="6"/>
      <c r="V4760" s="6"/>
      <c r="W4760" s="6"/>
      <c r="X4760" s="6"/>
      <c r="Y4760" s="6"/>
      <c r="Z4760" s="6"/>
      <c r="AA4760" s="6"/>
      <c r="AB4760" s="6"/>
      <c r="AC4760" s="6"/>
      <c r="AD4760" s="6"/>
      <c r="AE4760" s="6"/>
      <c r="AF4760" s="6"/>
      <c r="AG4760" s="6"/>
      <c r="AH4760" s="6"/>
      <c r="AI4760" s="6"/>
      <c r="AJ4760" s="6"/>
      <c r="AK4760" s="6"/>
      <c r="AL4760" s="6"/>
      <c r="AM4760" s="6"/>
    </row>
    <row r="4761">
      <c r="A4761" s="6"/>
      <c r="B4761" s="6"/>
      <c r="C4761" s="6"/>
      <c r="D4761" s="6"/>
      <c r="E4761" s="6"/>
      <c r="F4761" s="6"/>
      <c r="G4761" s="6"/>
      <c r="H4761" s="6"/>
      <c r="I4761" s="6"/>
      <c r="J4761" s="6"/>
      <c r="K4761" s="6"/>
      <c r="L4761" s="6"/>
      <c r="M4761" s="6"/>
      <c r="N4761" s="6"/>
      <c r="O4761" s="6"/>
      <c r="P4761" s="6"/>
      <c r="Q4761" s="6"/>
      <c r="R4761" s="6"/>
      <c r="S4761" s="6"/>
      <c r="T4761" s="6"/>
      <c r="U4761" s="6"/>
      <c r="V4761" s="6"/>
      <c r="W4761" s="6"/>
      <c r="X4761" s="6"/>
      <c r="Y4761" s="6"/>
      <c r="Z4761" s="6"/>
      <c r="AA4761" s="6"/>
      <c r="AB4761" s="6"/>
      <c r="AC4761" s="6"/>
      <c r="AD4761" s="6"/>
      <c r="AE4761" s="6"/>
      <c r="AF4761" s="6"/>
      <c r="AG4761" s="6"/>
      <c r="AH4761" s="6"/>
      <c r="AI4761" s="6"/>
      <c r="AJ4761" s="6"/>
      <c r="AK4761" s="6"/>
      <c r="AL4761" s="6"/>
      <c r="AM4761" s="6"/>
    </row>
    <row r="4762">
      <c r="A4762" s="6"/>
      <c r="B4762" s="6"/>
      <c r="C4762" s="6"/>
      <c r="D4762" s="6"/>
      <c r="E4762" s="6"/>
      <c r="F4762" s="6"/>
      <c r="G4762" s="6"/>
      <c r="H4762" s="6"/>
      <c r="I4762" s="6"/>
      <c r="J4762" s="6"/>
      <c r="K4762" s="6"/>
      <c r="L4762" s="6"/>
      <c r="M4762" s="6"/>
      <c r="N4762" s="6"/>
      <c r="O4762" s="6"/>
      <c r="P4762" s="6"/>
      <c r="Q4762" s="6"/>
      <c r="R4762" s="6"/>
      <c r="S4762" s="6"/>
      <c r="T4762" s="6"/>
      <c r="U4762" s="6"/>
      <c r="V4762" s="6"/>
      <c r="W4762" s="6"/>
      <c r="X4762" s="6"/>
      <c r="Y4762" s="6"/>
      <c r="Z4762" s="6"/>
      <c r="AA4762" s="6"/>
      <c r="AB4762" s="6"/>
      <c r="AC4762" s="6"/>
      <c r="AD4762" s="6"/>
      <c r="AE4762" s="6"/>
      <c r="AF4762" s="6"/>
      <c r="AG4762" s="6"/>
      <c r="AH4762" s="6"/>
      <c r="AI4762" s="6"/>
      <c r="AJ4762" s="6"/>
      <c r="AK4762" s="6"/>
      <c r="AL4762" s="6"/>
      <c r="AM4762" s="6"/>
    </row>
    <row r="4763">
      <c r="A4763" s="6"/>
      <c r="B4763" s="6"/>
      <c r="C4763" s="6"/>
      <c r="D4763" s="6"/>
      <c r="E4763" s="6"/>
      <c r="F4763" s="6"/>
      <c r="G4763" s="6"/>
      <c r="H4763" s="6"/>
      <c r="I4763" s="6"/>
      <c r="J4763" s="6"/>
      <c r="K4763" s="6"/>
      <c r="L4763" s="6"/>
      <c r="M4763" s="6"/>
      <c r="N4763" s="6"/>
      <c r="O4763" s="6"/>
      <c r="P4763" s="6"/>
      <c r="Q4763" s="6"/>
      <c r="R4763" s="6"/>
      <c r="S4763" s="6"/>
      <c r="T4763" s="6"/>
      <c r="U4763" s="6"/>
      <c r="V4763" s="6"/>
      <c r="W4763" s="6"/>
      <c r="X4763" s="6"/>
      <c r="Y4763" s="6"/>
      <c r="Z4763" s="6"/>
      <c r="AA4763" s="6"/>
      <c r="AB4763" s="6"/>
      <c r="AC4763" s="6"/>
      <c r="AD4763" s="6"/>
      <c r="AE4763" s="6"/>
      <c r="AF4763" s="6"/>
      <c r="AG4763" s="6"/>
      <c r="AH4763" s="6"/>
      <c r="AI4763" s="6"/>
      <c r="AJ4763" s="6"/>
      <c r="AK4763" s="6"/>
      <c r="AL4763" s="6"/>
      <c r="AM4763" s="6"/>
    </row>
    <row r="4764">
      <c r="A4764" s="6"/>
      <c r="B4764" s="6"/>
      <c r="C4764" s="6"/>
      <c r="D4764" s="6"/>
      <c r="E4764" s="6"/>
      <c r="F4764" s="6"/>
      <c r="G4764" s="6"/>
      <c r="H4764" s="6"/>
      <c r="I4764" s="6"/>
      <c r="J4764" s="6"/>
      <c r="K4764" s="6"/>
      <c r="L4764" s="6"/>
      <c r="M4764" s="6"/>
      <c r="N4764" s="6"/>
      <c r="O4764" s="6"/>
      <c r="P4764" s="6"/>
      <c r="Q4764" s="6"/>
      <c r="R4764" s="6"/>
      <c r="S4764" s="6"/>
      <c r="T4764" s="6"/>
      <c r="U4764" s="6"/>
      <c r="V4764" s="6"/>
      <c r="W4764" s="6"/>
      <c r="X4764" s="6"/>
      <c r="Y4764" s="6"/>
      <c r="Z4764" s="6"/>
      <c r="AA4764" s="6"/>
      <c r="AB4764" s="6"/>
      <c r="AC4764" s="6"/>
      <c r="AD4764" s="6"/>
      <c r="AE4764" s="6"/>
      <c r="AF4764" s="6"/>
      <c r="AG4764" s="6"/>
      <c r="AH4764" s="6"/>
      <c r="AI4764" s="6"/>
      <c r="AJ4764" s="6"/>
      <c r="AK4764" s="6"/>
      <c r="AL4764" s="6"/>
      <c r="AM4764" s="6"/>
    </row>
    <row r="4765">
      <c r="A4765" s="6"/>
      <c r="B4765" s="6"/>
      <c r="C4765" s="6"/>
      <c r="D4765" s="6"/>
      <c r="E4765" s="6"/>
      <c r="F4765" s="6"/>
      <c r="G4765" s="6"/>
      <c r="H4765" s="6"/>
      <c r="I4765" s="6"/>
      <c r="J4765" s="6"/>
      <c r="K4765" s="6"/>
      <c r="L4765" s="6"/>
      <c r="M4765" s="6"/>
      <c r="N4765" s="6"/>
      <c r="O4765" s="6"/>
      <c r="P4765" s="6"/>
      <c r="Q4765" s="6"/>
      <c r="R4765" s="6"/>
      <c r="S4765" s="6"/>
      <c r="T4765" s="6"/>
      <c r="U4765" s="6"/>
      <c r="V4765" s="6"/>
      <c r="W4765" s="6"/>
      <c r="X4765" s="6"/>
      <c r="Y4765" s="6"/>
      <c r="Z4765" s="6"/>
      <c r="AA4765" s="6"/>
      <c r="AB4765" s="6"/>
      <c r="AC4765" s="6"/>
      <c r="AD4765" s="6"/>
      <c r="AE4765" s="6"/>
      <c r="AF4765" s="6"/>
      <c r="AG4765" s="6"/>
      <c r="AH4765" s="6"/>
      <c r="AI4765" s="6"/>
      <c r="AJ4765" s="6"/>
      <c r="AK4765" s="6"/>
      <c r="AL4765" s="6"/>
      <c r="AM4765" s="6"/>
    </row>
    <row r="4766">
      <c r="A4766" s="6"/>
      <c r="B4766" s="6"/>
      <c r="C4766" s="6"/>
      <c r="D4766" s="6"/>
      <c r="E4766" s="6"/>
      <c r="F4766" s="6"/>
      <c r="G4766" s="6"/>
      <c r="H4766" s="6"/>
      <c r="I4766" s="6"/>
      <c r="J4766" s="6"/>
      <c r="K4766" s="6"/>
      <c r="L4766" s="6"/>
      <c r="M4766" s="6"/>
      <c r="N4766" s="6"/>
      <c r="O4766" s="6"/>
      <c r="P4766" s="6"/>
      <c r="Q4766" s="6"/>
      <c r="R4766" s="6"/>
      <c r="S4766" s="6"/>
      <c r="T4766" s="6"/>
      <c r="U4766" s="6"/>
      <c r="V4766" s="6"/>
      <c r="W4766" s="6"/>
      <c r="X4766" s="6"/>
      <c r="Y4766" s="6"/>
      <c r="Z4766" s="6"/>
      <c r="AA4766" s="6"/>
      <c r="AB4766" s="6"/>
      <c r="AC4766" s="6"/>
      <c r="AD4766" s="6"/>
      <c r="AE4766" s="6"/>
      <c r="AF4766" s="6"/>
      <c r="AG4766" s="6"/>
      <c r="AH4766" s="6"/>
      <c r="AI4766" s="6"/>
      <c r="AJ4766" s="6"/>
      <c r="AK4766" s="6"/>
      <c r="AL4766" s="6"/>
      <c r="AM4766" s="6"/>
    </row>
    <row r="4767">
      <c r="A4767" s="6"/>
      <c r="B4767" s="6"/>
      <c r="C4767" s="6"/>
      <c r="D4767" s="6"/>
      <c r="E4767" s="6"/>
      <c r="F4767" s="6"/>
      <c r="G4767" s="6"/>
      <c r="H4767" s="6"/>
      <c r="I4767" s="6"/>
      <c r="J4767" s="6"/>
      <c r="K4767" s="6"/>
      <c r="L4767" s="6"/>
      <c r="M4767" s="6"/>
      <c r="N4767" s="6"/>
      <c r="O4767" s="6"/>
      <c r="P4767" s="6"/>
      <c r="Q4767" s="6"/>
      <c r="R4767" s="6"/>
      <c r="S4767" s="6"/>
      <c r="T4767" s="6"/>
      <c r="U4767" s="6"/>
      <c r="V4767" s="6"/>
      <c r="W4767" s="6"/>
      <c r="X4767" s="6"/>
      <c r="Y4767" s="6"/>
      <c r="Z4767" s="6"/>
      <c r="AA4767" s="6"/>
      <c r="AB4767" s="6"/>
      <c r="AC4767" s="6"/>
      <c r="AD4767" s="6"/>
      <c r="AE4767" s="6"/>
      <c r="AF4767" s="6"/>
      <c r="AG4767" s="6"/>
      <c r="AH4767" s="6"/>
      <c r="AI4767" s="6"/>
      <c r="AJ4767" s="6"/>
      <c r="AK4767" s="6"/>
      <c r="AL4767" s="6"/>
      <c r="AM4767" s="6"/>
    </row>
    <row r="4768">
      <c r="A4768" s="6"/>
      <c r="B4768" s="6"/>
      <c r="C4768" s="6"/>
      <c r="D4768" s="6"/>
      <c r="E4768" s="6"/>
      <c r="F4768" s="6"/>
      <c r="G4768" s="6"/>
      <c r="H4768" s="6"/>
      <c r="I4768" s="6"/>
      <c r="J4768" s="6"/>
      <c r="K4768" s="6"/>
      <c r="L4768" s="6"/>
      <c r="M4768" s="6"/>
      <c r="N4768" s="6"/>
      <c r="O4768" s="6"/>
      <c r="P4768" s="6"/>
      <c r="Q4768" s="6"/>
      <c r="R4768" s="6"/>
      <c r="S4768" s="6"/>
      <c r="T4768" s="6"/>
      <c r="U4768" s="6"/>
      <c r="V4768" s="6"/>
      <c r="W4768" s="6"/>
      <c r="X4768" s="6"/>
      <c r="Y4768" s="6"/>
      <c r="Z4768" s="6"/>
      <c r="AA4768" s="6"/>
      <c r="AB4768" s="6"/>
      <c r="AC4768" s="6"/>
      <c r="AD4768" s="6"/>
      <c r="AE4768" s="6"/>
      <c r="AF4768" s="6"/>
      <c r="AG4768" s="6"/>
      <c r="AH4768" s="6"/>
      <c r="AI4768" s="6"/>
      <c r="AJ4768" s="6"/>
      <c r="AK4768" s="6"/>
      <c r="AL4768" s="6"/>
      <c r="AM4768" s="6"/>
    </row>
    <row r="4769">
      <c r="A4769" s="6"/>
      <c r="B4769" s="6"/>
      <c r="C4769" s="6"/>
      <c r="D4769" s="6"/>
      <c r="E4769" s="6"/>
      <c r="F4769" s="6"/>
      <c r="G4769" s="6"/>
      <c r="H4769" s="6"/>
      <c r="I4769" s="6"/>
      <c r="J4769" s="6"/>
      <c r="K4769" s="6"/>
      <c r="L4769" s="6"/>
      <c r="M4769" s="6"/>
      <c r="N4769" s="6"/>
      <c r="O4769" s="6"/>
      <c r="P4769" s="6"/>
      <c r="Q4769" s="6"/>
      <c r="R4769" s="6"/>
      <c r="S4769" s="6"/>
      <c r="T4769" s="6"/>
      <c r="U4769" s="6"/>
      <c r="V4769" s="6"/>
      <c r="W4769" s="6"/>
      <c r="X4769" s="6"/>
      <c r="Y4769" s="6"/>
      <c r="Z4769" s="6"/>
      <c r="AA4769" s="6"/>
      <c r="AB4769" s="6"/>
      <c r="AC4769" s="6"/>
      <c r="AD4769" s="6"/>
      <c r="AE4769" s="6"/>
      <c r="AF4769" s="6"/>
      <c r="AG4769" s="6"/>
      <c r="AH4769" s="6"/>
      <c r="AI4769" s="6"/>
      <c r="AJ4769" s="6"/>
      <c r="AK4769" s="6"/>
      <c r="AL4769" s="6"/>
      <c r="AM4769" s="6"/>
    </row>
    <row r="4770">
      <c r="A4770" s="6"/>
      <c r="B4770" s="6"/>
      <c r="C4770" s="6"/>
      <c r="D4770" s="6"/>
      <c r="E4770" s="6"/>
      <c r="F4770" s="6"/>
      <c r="G4770" s="6"/>
      <c r="H4770" s="6"/>
      <c r="I4770" s="6"/>
      <c r="J4770" s="6"/>
      <c r="K4770" s="6"/>
      <c r="L4770" s="6"/>
      <c r="M4770" s="6"/>
      <c r="N4770" s="6"/>
      <c r="O4770" s="6"/>
      <c r="P4770" s="6"/>
      <c r="Q4770" s="6"/>
      <c r="R4770" s="6"/>
      <c r="S4770" s="6"/>
      <c r="T4770" s="6"/>
      <c r="U4770" s="6"/>
      <c r="V4770" s="6"/>
      <c r="W4770" s="6"/>
      <c r="X4770" s="6"/>
      <c r="Y4770" s="6"/>
      <c r="Z4770" s="6"/>
      <c r="AA4770" s="6"/>
      <c r="AB4770" s="6"/>
      <c r="AC4770" s="6"/>
      <c r="AD4770" s="6"/>
      <c r="AE4770" s="6"/>
      <c r="AF4770" s="6"/>
      <c r="AG4770" s="6"/>
      <c r="AH4770" s="6"/>
      <c r="AI4770" s="6"/>
      <c r="AJ4770" s="6"/>
      <c r="AK4770" s="6"/>
      <c r="AL4770" s="6"/>
      <c r="AM4770" s="6"/>
    </row>
    <row r="4771">
      <c r="A4771" s="6"/>
      <c r="B4771" s="6"/>
      <c r="C4771" s="6"/>
      <c r="D4771" s="6"/>
      <c r="E4771" s="6"/>
      <c r="F4771" s="6"/>
      <c r="G4771" s="6"/>
      <c r="H4771" s="6"/>
      <c r="I4771" s="6"/>
      <c r="J4771" s="6"/>
      <c r="K4771" s="6"/>
      <c r="L4771" s="6"/>
      <c r="M4771" s="6"/>
      <c r="N4771" s="6"/>
      <c r="O4771" s="6"/>
      <c r="P4771" s="6"/>
      <c r="Q4771" s="6"/>
      <c r="R4771" s="6"/>
      <c r="S4771" s="6"/>
      <c r="T4771" s="6"/>
      <c r="U4771" s="6"/>
      <c r="V4771" s="6"/>
      <c r="W4771" s="6"/>
      <c r="X4771" s="6"/>
      <c r="Y4771" s="6"/>
      <c r="Z4771" s="6"/>
      <c r="AA4771" s="6"/>
      <c r="AB4771" s="6"/>
      <c r="AC4771" s="6"/>
      <c r="AD4771" s="6"/>
      <c r="AE4771" s="6"/>
      <c r="AF4771" s="6"/>
      <c r="AG4771" s="6"/>
      <c r="AH4771" s="6"/>
      <c r="AI4771" s="6"/>
      <c r="AJ4771" s="6"/>
      <c r="AK4771" s="6"/>
      <c r="AL4771" s="6"/>
      <c r="AM4771" s="6"/>
    </row>
    <row r="4772">
      <c r="A4772" s="6"/>
      <c r="B4772" s="6"/>
      <c r="C4772" s="6"/>
      <c r="D4772" s="6"/>
      <c r="E4772" s="6"/>
      <c r="F4772" s="6"/>
      <c r="G4772" s="6"/>
      <c r="H4772" s="6"/>
      <c r="I4772" s="6"/>
      <c r="J4772" s="6"/>
      <c r="K4772" s="6"/>
      <c r="L4772" s="6"/>
      <c r="M4772" s="6"/>
      <c r="N4772" s="6"/>
      <c r="O4772" s="6"/>
      <c r="P4772" s="6"/>
      <c r="Q4772" s="6"/>
      <c r="R4772" s="6"/>
      <c r="S4772" s="6"/>
      <c r="T4772" s="6"/>
      <c r="U4772" s="6"/>
      <c r="V4772" s="6"/>
      <c r="W4772" s="6"/>
      <c r="X4772" s="6"/>
      <c r="Y4772" s="6"/>
      <c r="Z4772" s="6"/>
      <c r="AA4772" s="6"/>
      <c r="AB4772" s="6"/>
      <c r="AC4772" s="6"/>
      <c r="AD4772" s="6"/>
      <c r="AE4772" s="6"/>
      <c r="AF4772" s="6"/>
      <c r="AG4772" s="6"/>
      <c r="AH4772" s="6"/>
      <c r="AI4772" s="6"/>
      <c r="AJ4772" s="6"/>
      <c r="AK4772" s="6"/>
      <c r="AL4772" s="6"/>
      <c r="AM4772" s="6"/>
    </row>
    <row r="4773">
      <c r="A4773" s="6"/>
      <c r="B4773" s="6"/>
      <c r="C4773" s="6"/>
      <c r="D4773" s="6"/>
      <c r="E4773" s="6"/>
      <c r="F4773" s="6"/>
      <c r="G4773" s="6"/>
      <c r="H4773" s="6"/>
      <c r="I4773" s="6"/>
      <c r="J4773" s="6"/>
      <c r="K4773" s="6"/>
      <c r="L4773" s="6"/>
      <c r="M4773" s="6"/>
      <c r="N4773" s="6"/>
      <c r="O4773" s="6"/>
      <c r="P4773" s="6"/>
      <c r="Q4773" s="6"/>
      <c r="R4773" s="6"/>
      <c r="S4773" s="6"/>
      <c r="T4773" s="6"/>
      <c r="U4773" s="6"/>
      <c r="V4773" s="6"/>
      <c r="W4773" s="6"/>
      <c r="X4773" s="6"/>
      <c r="Y4773" s="6"/>
      <c r="Z4773" s="6"/>
      <c r="AA4773" s="6"/>
      <c r="AB4773" s="6"/>
      <c r="AC4773" s="6"/>
      <c r="AD4773" s="6"/>
      <c r="AE4773" s="6"/>
      <c r="AF4773" s="6"/>
      <c r="AG4773" s="6"/>
      <c r="AH4773" s="6"/>
      <c r="AI4773" s="6"/>
      <c r="AJ4773" s="6"/>
      <c r="AK4773" s="6"/>
      <c r="AL4773" s="6"/>
      <c r="AM4773" s="6"/>
    </row>
    <row r="4774">
      <c r="A4774" s="6"/>
      <c r="B4774" s="6"/>
      <c r="C4774" s="6"/>
      <c r="D4774" s="6"/>
      <c r="E4774" s="6"/>
      <c r="F4774" s="6"/>
      <c r="G4774" s="6"/>
      <c r="H4774" s="6"/>
      <c r="I4774" s="6"/>
      <c r="J4774" s="6"/>
      <c r="K4774" s="6"/>
      <c r="L4774" s="6"/>
      <c r="M4774" s="6"/>
      <c r="N4774" s="6"/>
      <c r="O4774" s="6"/>
      <c r="P4774" s="6"/>
      <c r="Q4774" s="6"/>
      <c r="R4774" s="6"/>
      <c r="S4774" s="6"/>
      <c r="T4774" s="6"/>
      <c r="U4774" s="6"/>
      <c r="V4774" s="6"/>
      <c r="W4774" s="6"/>
      <c r="X4774" s="6"/>
      <c r="Y4774" s="6"/>
      <c r="Z4774" s="6"/>
      <c r="AA4774" s="6"/>
      <c r="AB4774" s="6"/>
      <c r="AC4774" s="6"/>
      <c r="AD4774" s="6"/>
      <c r="AE4774" s="6"/>
      <c r="AF4774" s="6"/>
      <c r="AG4774" s="6"/>
      <c r="AH4774" s="6"/>
      <c r="AI4774" s="6"/>
      <c r="AJ4774" s="6"/>
      <c r="AK4774" s="6"/>
      <c r="AL4774" s="6"/>
      <c r="AM4774" s="6"/>
    </row>
    <row r="4775">
      <c r="A4775" s="6"/>
      <c r="B4775" s="6"/>
      <c r="C4775" s="6"/>
      <c r="D4775" s="6"/>
      <c r="E4775" s="6"/>
      <c r="F4775" s="6"/>
      <c r="G4775" s="6"/>
      <c r="H4775" s="6"/>
      <c r="I4775" s="6"/>
      <c r="J4775" s="6"/>
      <c r="K4775" s="6"/>
      <c r="L4775" s="6"/>
      <c r="M4775" s="6"/>
      <c r="N4775" s="6"/>
      <c r="O4775" s="6"/>
      <c r="P4775" s="6"/>
      <c r="Q4775" s="6"/>
      <c r="R4775" s="6"/>
      <c r="S4775" s="6"/>
      <c r="T4775" s="6"/>
      <c r="U4775" s="6"/>
      <c r="V4775" s="6"/>
      <c r="W4775" s="6"/>
      <c r="X4775" s="6"/>
      <c r="Y4775" s="6"/>
      <c r="Z4775" s="6"/>
      <c r="AA4775" s="6"/>
      <c r="AB4775" s="6"/>
      <c r="AC4775" s="6"/>
      <c r="AD4775" s="6"/>
      <c r="AE4775" s="6"/>
      <c r="AF4775" s="6"/>
      <c r="AG4775" s="6"/>
      <c r="AH4775" s="6"/>
      <c r="AI4775" s="6"/>
      <c r="AJ4775" s="6"/>
      <c r="AK4775" s="6"/>
      <c r="AL4775" s="6"/>
      <c r="AM4775" s="6"/>
    </row>
    <row r="4776">
      <c r="A4776" s="6"/>
      <c r="B4776" s="6"/>
      <c r="C4776" s="6"/>
      <c r="D4776" s="6"/>
      <c r="E4776" s="6"/>
      <c r="F4776" s="6"/>
      <c r="G4776" s="6"/>
      <c r="H4776" s="6"/>
      <c r="I4776" s="6"/>
      <c r="J4776" s="6"/>
      <c r="K4776" s="6"/>
      <c r="L4776" s="6"/>
      <c r="M4776" s="6"/>
      <c r="N4776" s="6"/>
      <c r="O4776" s="6"/>
      <c r="P4776" s="6"/>
      <c r="Q4776" s="6"/>
      <c r="R4776" s="6"/>
      <c r="S4776" s="6"/>
      <c r="T4776" s="6"/>
      <c r="U4776" s="6"/>
      <c r="V4776" s="6"/>
      <c r="W4776" s="6"/>
      <c r="X4776" s="6"/>
      <c r="Y4776" s="6"/>
      <c r="Z4776" s="6"/>
      <c r="AA4776" s="6"/>
      <c r="AB4776" s="6"/>
      <c r="AC4776" s="6"/>
      <c r="AD4776" s="6"/>
      <c r="AE4776" s="6"/>
      <c r="AF4776" s="6"/>
      <c r="AG4776" s="6"/>
      <c r="AH4776" s="6"/>
      <c r="AI4776" s="6"/>
      <c r="AJ4776" s="6"/>
      <c r="AK4776" s="6"/>
      <c r="AL4776" s="6"/>
      <c r="AM4776" s="6"/>
    </row>
    <row r="4777">
      <c r="A4777" s="6"/>
      <c r="B4777" s="6"/>
      <c r="C4777" s="6"/>
      <c r="D4777" s="6"/>
      <c r="E4777" s="6"/>
      <c r="F4777" s="6"/>
      <c r="G4777" s="6"/>
      <c r="H4777" s="6"/>
      <c r="I4777" s="6"/>
      <c r="J4777" s="6"/>
      <c r="K4777" s="6"/>
      <c r="L4777" s="6"/>
      <c r="M4777" s="6"/>
      <c r="N4777" s="6"/>
      <c r="O4777" s="6"/>
      <c r="P4777" s="6"/>
      <c r="Q4777" s="6"/>
      <c r="R4777" s="6"/>
      <c r="S4777" s="6"/>
      <c r="T4777" s="6"/>
      <c r="U4777" s="6"/>
      <c r="V4777" s="6"/>
      <c r="W4777" s="6"/>
      <c r="X4777" s="6"/>
      <c r="Y4777" s="6"/>
      <c r="Z4777" s="6"/>
      <c r="AA4777" s="6"/>
      <c r="AB4777" s="6"/>
      <c r="AC4777" s="6"/>
      <c r="AD4777" s="6"/>
      <c r="AE4777" s="6"/>
      <c r="AF4777" s="6"/>
      <c r="AG4777" s="6"/>
      <c r="AH4777" s="6"/>
      <c r="AI4777" s="6"/>
      <c r="AJ4777" s="6"/>
      <c r="AK4777" s="6"/>
      <c r="AL4777" s="6"/>
      <c r="AM4777" s="6"/>
    </row>
    <row r="4778">
      <c r="A4778" s="6"/>
      <c r="B4778" s="6"/>
      <c r="C4778" s="6"/>
      <c r="D4778" s="6"/>
      <c r="E4778" s="6"/>
      <c r="F4778" s="6"/>
      <c r="G4778" s="6"/>
      <c r="H4778" s="6"/>
      <c r="I4778" s="6"/>
      <c r="J4778" s="6"/>
      <c r="K4778" s="6"/>
      <c r="L4778" s="6"/>
      <c r="M4778" s="6"/>
      <c r="N4778" s="6"/>
      <c r="O4778" s="6"/>
      <c r="P4778" s="6"/>
      <c r="Q4778" s="6"/>
      <c r="R4778" s="6"/>
      <c r="S4778" s="6"/>
      <c r="T4778" s="6"/>
      <c r="U4778" s="6"/>
      <c r="V4778" s="6"/>
      <c r="W4778" s="6"/>
      <c r="X4778" s="6"/>
      <c r="Y4778" s="6"/>
      <c r="Z4778" s="6"/>
      <c r="AA4778" s="6"/>
      <c r="AB4778" s="6"/>
      <c r="AC4778" s="6"/>
      <c r="AD4778" s="6"/>
      <c r="AE4778" s="6"/>
      <c r="AF4778" s="6"/>
      <c r="AG4778" s="6"/>
      <c r="AH4778" s="6"/>
      <c r="AI4778" s="6"/>
      <c r="AJ4778" s="6"/>
      <c r="AK4778" s="6"/>
      <c r="AL4778" s="6"/>
      <c r="AM4778" s="6"/>
    </row>
    <row r="4779">
      <c r="A4779" s="6"/>
      <c r="B4779" s="6"/>
      <c r="C4779" s="6"/>
      <c r="D4779" s="6"/>
      <c r="E4779" s="6"/>
      <c r="F4779" s="6"/>
      <c r="G4779" s="6"/>
      <c r="H4779" s="6"/>
      <c r="I4779" s="6"/>
      <c r="J4779" s="6"/>
      <c r="K4779" s="6"/>
      <c r="L4779" s="6"/>
      <c r="M4779" s="6"/>
      <c r="N4779" s="6"/>
      <c r="O4779" s="6"/>
      <c r="P4779" s="6"/>
      <c r="Q4779" s="6"/>
      <c r="R4779" s="6"/>
      <c r="S4779" s="6"/>
      <c r="T4779" s="6"/>
      <c r="U4779" s="6"/>
      <c r="V4779" s="6"/>
      <c r="W4779" s="6"/>
      <c r="X4779" s="6"/>
      <c r="Y4779" s="6"/>
      <c r="Z4779" s="6"/>
      <c r="AA4779" s="6"/>
      <c r="AB4779" s="6"/>
      <c r="AC4779" s="6"/>
      <c r="AD4779" s="6"/>
      <c r="AE4779" s="6"/>
      <c r="AF4779" s="6"/>
      <c r="AG4779" s="6"/>
      <c r="AH4779" s="6"/>
      <c r="AI4779" s="6"/>
      <c r="AJ4779" s="6"/>
      <c r="AK4779" s="6"/>
      <c r="AL4779" s="6"/>
      <c r="AM4779" s="6"/>
    </row>
    <row r="4780">
      <c r="A4780" s="6"/>
      <c r="B4780" s="6"/>
      <c r="C4780" s="6"/>
      <c r="D4780" s="6"/>
      <c r="E4780" s="6"/>
      <c r="F4780" s="6"/>
      <c r="G4780" s="6"/>
      <c r="H4780" s="6"/>
      <c r="I4780" s="6"/>
      <c r="J4780" s="6"/>
      <c r="K4780" s="6"/>
      <c r="L4780" s="6"/>
      <c r="M4780" s="6"/>
      <c r="N4780" s="6"/>
      <c r="O4780" s="6"/>
      <c r="P4780" s="6"/>
      <c r="Q4780" s="6"/>
      <c r="R4780" s="6"/>
      <c r="S4780" s="6"/>
      <c r="T4780" s="6"/>
      <c r="U4780" s="6"/>
      <c r="V4780" s="6"/>
      <c r="W4780" s="6"/>
      <c r="X4780" s="6"/>
      <c r="Y4780" s="6"/>
      <c r="Z4780" s="6"/>
      <c r="AA4780" s="6"/>
      <c r="AB4780" s="6"/>
      <c r="AC4780" s="6"/>
      <c r="AD4780" s="6"/>
      <c r="AE4780" s="6"/>
      <c r="AF4780" s="6"/>
      <c r="AG4780" s="6"/>
      <c r="AH4780" s="6"/>
      <c r="AI4780" s="6"/>
      <c r="AJ4780" s="6"/>
      <c r="AK4780" s="6"/>
      <c r="AL4780" s="6"/>
      <c r="AM4780" s="6"/>
    </row>
    <row r="4781">
      <c r="A4781" s="6"/>
      <c r="B4781" s="6"/>
      <c r="C4781" s="6"/>
      <c r="D4781" s="6"/>
      <c r="E4781" s="6"/>
      <c r="F4781" s="6"/>
      <c r="G4781" s="6"/>
      <c r="H4781" s="6"/>
      <c r="I4781" s="6"/>
      <c r="J4781" s="6"/>
      <c r="K4781" s="6"/>
      <c r="L4781" s="6"/>
      <c r="M4781" s="6"/>
      <c r="N4781" s="6"/>
      <c r="O4781" s="6"/>
      <c r="P4781" s="6"/>
      <c r="Q4781" s="6"/>
      <c r="R4781" s="6"/>
      <c r="S4781" s="6"/>
      <c r="T4781" s="6"/>
      <c r="U4781" s="6"/>
      <c r="V4781" s="6"/>
      <c r="W4781" s="6"/>
      <c r="X4781" s="6"/>
      <c r="Y4781" s="6"/>
      <c r="Z4781" s="6"/>
      <c r="AA4781" s="6"/>
      <c r="AB4781" s="6"/>
      <c r="AC4781" s="6"/>
      <c r="AD4781" s="6"/>
      <c r="AE4781" s="6"/>
      <c r="AF4781" s="6"/>
      <c r="AG4781" s="6"/>
      <c r="AH4781" s="6"/>
      <c r="AI4781" s="6"/>
      <c r="AJ4781" s="6"/>
      <c r="AK4781" s="6"/>
      <c r="AL4781" s="6"/>
      <c r="AM4781" s="6"/>
    </row>
    <row r="4782">
      <c r="A4782" s="6"/>
      <c r="B4782" s="6"/>
      <c r="C4782" s="6"/>
      <c r="D4782" s="6"/>
      <c r="E4782" s="6"/>
      <c r="F4782" s="6"/>
      <c r="G4782" s="6"/>
      <c r="H4782" s="6"/>
      <c r="I4782" s="6"/>
      <c r="J4782" s="6"/>
      <c r="K4782" s="6"/>
      <c r="L4782" s="6"/>
      <c r="M4782" s="6"/>
      <c r="N4782" s="6"/>
      <c r="O4782" s="6"/>
      <c r="P4782" s="6"/>
      <c r="Q4782" s="6"/>
      <c r="R4782" s="6"/>
      <c r="S4782" s="6"/>
      <c r="T4782" s="6"/>
      <c r="U4782" s="6"/>
      <c r="V4782" s="6"/>
      <c r="W4782" s="6"/>
      <c r="X4782" s="6"/>
      <c r="Y4782" s="6"/>
      <c r="Z4782" s="6"/>
      <c r="AA4782" s="6"/>
      <c r="AB4782" s="6"/>
      <c r="AC4782" s="6"/>
      <c r="AD4782" s="6"/>
      <c r="AE4782" s="6"/>
      <c r="AF4782" s="6"/>
      <c r="AG4782" s="6"/>
      <c r="AH4782" s="6"/>
      <c r="AI4782" s="6"/>
      <c r="AJ4782" s="6"/>
      <c r="AK4782" s="6"/>
      <c r="AL4782" s="6"/>
      <c r="AM4782" s="6"/>
    </row>
    <row r="4783">
      <c r="A4783" s="6"/>
      <c r="B4783" s="6"/>
      <c r="C4783" s="6"/>
      <c r="D4783" s="6"/>
      <c r="E4783" s="6"/>
      <c r="F4783" s="6"/>
      <c r="G4783" s="6"/>
      <c r="H4783" s="6"/>
      <c r="I4783" s="6"/>
      <c r="J4783" s="6"/>
      <c r="K4783" s="6"/>
      <c r="L4783" s="6"/>
      <c r="M4783" s="6"/>
      <c r="N4783" s="6"/>
      <c r="O4783" s="6"/>
      <c r="P4783" s="6"/>
      <c r="Q4783" s="6"/>
      <c r="R4783" s="6"/>
      <c r="S4783" s="6"/>
      <c r="T4783" s="6"/>
      <c r="U4783" s="6"/>
      <c r="V4783" s="6"/>
      <c r="W4783" s="6"/>
      <c r="X4783" s="6"/>
      <c r="Y4783" s="6"/>
      <c r="Z4783" s="6"/>
      <c r="AA4783" s="6"/>
      <c r="AB4783" s="6"/>
      <c r="AC4783" s="6"/>
      <c r="AD4783" s="6"/>
      <c r="AE4783" s="6"/>
      <c r="AF4783" s="6"/>
      <c r="AG4783" s="6"/>
      <c r="AH4783" s="6"/>
      <c r="AI4783" s="6"/>
      <c r="AJ4783" s="6"/>
      <c r="AK4783" s="6"/>
      <c r="AL4783" s="6"/>
      <c r="AM4783" s="6"/>
    </row>
    <row r="4784">
      <c r="A4784" s="6"/>
      <c r="B4784" s="6"/>
      <c r="C4784" s="6"/>
      <c r="D4784" s="6"/>
      <c r="E4784" s="6"/>
      <c r="F4784" s="6"/>
      <c r="G4784" s="6"/>
      <c r="H4784" s="6"/>
      <c r="I4784" s="6"/>
      <c r="J4784" s="6"/>
      <c r="K4784" s="6"/>
      <c r="L4784" s="6"/>
      <c r="M4784" s="6"/>
      <c r="N4784" s="6"/>
      <c r="O4784" s="6"/>
      <c r="P4784" s="6"/>
      <c r="Q4784" s="6"/>
      <c r="R4784" s="6"/>
      <c r="S4784" s="6"/>
      <c r="T4784" s="6"/>
      <c r="U4784" s="6"/>
      <c r="V4784" s="6"/>
      <c r="W4784" s="6"/>
      <c r="X4784" s="6"/>
      <c r="Y4784" s="6"/>
      <c r="Z4784" s="6"/>
      <c r="AA4784" s="6"/>
      <c r="AB4784" s="6"/>
      <c r="AC4784" s="6"/>
      <c r="AD4784" s="6"/>
      <c r="AE4784" s="6"/>
      <c r="AF4784" s="6"/>
      <c r="AG4784" s="6"/>
      <c r="AH4784" s="6"/>
      <c r="AI4784" s="6"/>
      <c r="AJ4784" s="6"/>
      <c r="AK4784" s="6"/>
      <c r="AL4784" s="6"/>
      <c r="AM4784" s="6"/>
    </row>
    <row r="4785">
      <c r="A4785" s="6"/>
      <c r="B4785" s="6"/>
      <c r="C4785" s="6"/>
      <c r="D4785" s="6"/>
      <c r="E4785" s="6"/>
      <c r="F4785" s="6"/>
      <c r="G4785" s="6"/>
      <c r="H4785" s="6"/>
      <c r="I4785" s="6"/>
      <c r="J4785" s="6"/>
      <c r="K4785" s="6"/>
      <c r="L4785" s="6"/>
      <c r="M4785" s="6"/>
      <c r="N4785" s="6"/>
      <c r="O4785" s="6"/>
      <c r="P4785" s="6"/>
      <c r="Q4785" s="6"/>
      <c r="R4785" s="6"/>
      <c r="S4785" s="6"/>
      <c r="T4785" s="6"/>
      <c r="U4785" s="6"/>
      <c r="V4785" s="6"/>
      <c r="W4785" s="6"/>
      <c r="X4785" s="6"/>
      <c r="Y4785" s="6"/>
      <c r="Z4785" s="6"/>
      <c r="AA4785" s="6"/>
      <c r="AB4785" s="6"/>
      <c r="AC4785" s="6"/>
      <c r="AD4785" s="6"/>
      <c r="AE4785" s="6"/>
      <c r="AF4785" s="6"/>
      <c r="AG4785" s="6"/>
      <c r="AH4785" s="6"/>
      <c r="AI4785" s="6"/>
      <c r="AJ4785" s="6"/>
      <c r="AK4785" s="6"/>
      <c r="AL4785" s="6"/>
      <c r="AM4785" s="6"/>
    </row>
    <row r="4786">
      <c r="A4786" s="6"/>
      <c r="B4786" s="6"/>
      <c r="C4786" s="6"/>
      <c r="D4786" s="6"/>
      <c r="E4786" s="6"/>
      <c r="F4786" s="6"/>
      <c r="G4786" s="6"/>
      <c r="H4786" s="6"/>
      <c r="I4786" s="6"/>
      <c r="J4786" s="6"/>
      <c r="K4786" s="6"/>
      <c r="L4786" s="6"/>
      <c r="M4786" s="6"/>
      <c r="N4786" s="6"/>
      <c r="O4786" s="6"/>
      <c r="P4786" s="6"/>
      <c r="Q4786" s="6"/>
      <c r="R4786" s="6"/>
      <c r="S4786" s="6"/>
      <c r="T4786" s="6"/>
      <c r="U4786" s="6"/>
      <c r="V4786" s="6"/>
      <c r="W4786" s="6"/>
      <c r="X4786" s="6"/>
      <c r="Y4786" s="6"/>
      <c r="Z4786" s="6"/>
      <c r="AA4786" s="6"/>
      <c r="AB4786" s="6"/>
      <c r="AC4786" s="6"/>
      <c r="AD4786" s="6"/>
      <c r="AE4786" s="6"/>
      <c r="AF4786" s="6"/>
      <c r="AG4786" s="6"/>
      <c r="AH4786" s="6"/>
      <c r="AI4786" s="6"/>
      <c r="AJ4786" s="6"/>
      <c r="AK4786" s="6"/>
      <c r="AL4786" s="6"/>
      <c r="AM4786" s="6"/>
    </row>
    <row r="4787">
      <c r="A4787" s="6"/>
      <c r="B4787" s="6"/>
      <c r="C4787" s="6"/>
      <c r="D4787" s="6"/>
      <c r="E4787" s="6"/>
      <c r="F4787" s="6"/>
      <c r="G4787" s="6"/>
      <c r="H4787" s="6"/>
      <c r="I4787" s="6"/>
      <c r="J4787" s="6"/>
      <c r="K4787" s="6"/>
      <c r="L4787" s="6"/>
      <c r="M4787" s="6"/>
      <c r="N4787" s="6"/>
      <c r="O4787" s="6"/>
      <c r="P4787" s="6"/>
      <c r="Q4787" s="6"/>
      <c r="R4787" s="6"/>
      <c r="S4787" s="6"/>
      <c r="T4787" s="6"/>
      <c r="U4787" s="6"/>
      <c r="V4787" s="6"/>
      <c r="W4787" s="6"/>
      <c r="X4787" s="6"/>
      <c r="Y4787" s="6"/>
      <c r="Z4787" s="6"/>
      <c r="AA4787" s="6"/>
      <c r="AB4787" s="6"/>
      <c r="AC4787" s="6"/>
      <c r="AD4787" s="6"/>
      <c r="AE4787" s="6"/>
      <c r="AF4787" s="6"/>
      <c r="AG4787" s="6"/>
      <c r="AH4787" s="6"/>
      <c r="AI4787" s="6"/>
      <c r="AJ4787" s="6"/>
      <c r="AK4787" s="6"/>
      <c r="AL4787" s="6"/>
      <c r="AM4787" s="6"/>
    </row>
    <row r="4788">
      <c r="A4788" s="6"/>
      <c r="B4788" s="6"/>
      <c r="C4788" s="6"/>
      <c r="D4788" s="6"/>
      <c r="E4788" s="6"/>
      <c r="F4788" s="6"/>
      <c r="G4788" s="6"/>
      <c r="H4788" s="6"/>
      <c r="I4788" s="6"/>
      <c r="J4788" s="6"/>
      <c r="K4788" s="6"/>
      <c r="L4788" s="6"/>
      <c r="M4788" s="6"/>
      <c r="N4788" s="6"/>
      <c r="O4788" s="6"/>
      <c r="P4788" s="6"/>
      <c r="Q4788" s="6"/>
      <c r="R4788" s="6"/>
      <c r="S4788" s="6"/>
      <c r="T4788" s="6"/>
      <c r="U4788" s="6"/>
      <c r="V4788" s="6"/>
      <c r="W4788" s="6"/>
      <c r="X4788" s="6"/>
      <c r="Y4788" s="6"/>
      <c r="Z4788" s="6"/>
      <c r="AA4788" s="6"/>
      <c r="AB4788" s="6"/>
      <c r="AC4788" s="6"/>
      <c r="AD4788" s="6"/>
      <c r="AE4788" s="6"/>
      <c r="AF4788" s="6"/>
      <c r="AG4788" s="6"/>
      <c r="AH4788" s="6"/>
      <c r="AI4788" s="6"/>
      <c r="AJ4788" s="6"/>
      <c r="AK4788" s="6"/>
      <c r="AL4788" s="6"/>
      <c r="AM4788" s="6"/>
    </row>
    <row r="4789">
      <c r="A4789" s="6"/>
      <c r="B4789" s="6"/>
      <c r="C4789" s="6"/>
      <c r="D4789" s="6"/>
      <c r="E4789" s="6"/>
      <c r="F4789" s="6"/>
      <c r="G4789" s="6"/>
      <c r="H4789" s="6"/>
      <c r="I4789" s="6"/>
      <c r="J4789" s="6"/>
      <c r="K4789" s="6"/>
      <c r="L4789" s="6"/>
      <c r="M4789" s="6"/>
      <c r="N4789" s="6"/>
      <c r="O4789" s="6"/>
      <c r="P4789" s="6"/>
      <c r="Q4789" s="6"/>
      <c r="R4789" s="6"/>
      <c r="S4789" s="6"/>
      <c r="T4789" s="6"/>
      <c r="U4789" s="6"/>
      <c r="V4789" s="6"/>
      <c r="W4789" s="6"/>
      <c r="X4789" s="6"/>
      <c r="Y4789" s="6"/>
      <c r="Z4789" s="6"/>
      <c r="AA4789" s="6"/>
      <c r="AB4789" s="6"/>
      <c r="AC4789" s="6"/>
      <c r="AD4789" s="6"/>
      <c r="AE4789" s="6"/>
      <c r="AF4789" s="6"/>
      <c r="AG4789" s="6"/>
      <c r="AH4789" s="6"/>
      <c r="AI4789" s="6"/>
      <c r="AJ4789" s="6"/>
      <c r="AK4789" s="6"/>
      <c r="AL4789" s="6"/>
      <c r="AM4789" s="6"/>
    </row>
    <row r="4790">
      <c r="A4790" s="6"/>
      <c r="B4790" s="6"/>
      <c r="C4790" s="6"/>
      <c r="D4790" s="6"/>
      <c r="E4790" s="6"/>
      <c r="F4790" s="6"/>
      <c r="G4790" s="6"/>
      <c r="H4790" s="6"/>
      <c r="I4790" s="6"/>
      <c r="J4790" s="6"/>
      <c r="K4790" s="6"/>
      <c r="L4790" s="6"/>
      <c r="M4790" s="6"/>
      <c r="N4790" s="6"/>
      <c r="O4790" s="6"/>
      <c r="P4790" s="6"/>
      <c r="Q4790" s="6"/>
      <c r="R4790" s="6"/>
      <c r="S4790" s="6"/>
      <c r="T4790" s="6"/>
      <c r="U4790" s="6"/>
      <c r="V4790" s="6"/>
      <c r="W4790" s="6"/>
      <c r="X4790" s="6"/>
      <c r="Y4790" s="6"/>
      <c r="Z4790" s="6"/>
      <c r="AA4790" s="6"/>
      <c r="AB4790" s="6"/>
      <c r="AC4790" s="6"/>
      <c r="AD4790" s="6"/>
      <c r="AE4790" s="6"/>
      <c r="AF4790" s="6"/>
      <c r="AG4790" s="6"/>
      <c r="AH4790" s="6"/>
      <c r="AI4790" s="6"/>
      <c r="AJ4790" s="6"/>
      <c r="AK4790" s="6"/>
      <c r="AL4790" s="6"/>
      <c r="AM4790" s="6"/>
    </row>
    <row r="4791">
      <c r="A4791" s="6"/>
      <c r="B4791" s="6"/>
      <c r="C4791" s="6"/>
      <c r="D4791" s="6"/>
      <c r="E4791" s="6"/>
      <c r="F4791" s="6"/>
      <c r="G4791" s="6"/>
      <c r="H4791" s="6"/>
      <c r="I4791" s="6"/>
      <c r="J4791" s="6"/>
      <c r="K4791" s="6"/>
      <c r="L4791" s="6"/>
      <c r="M4791" s="6"/>
      <c r="N4791" s="6"/>
      <c r="O4791" s="6"/>
      <c r="P4791" s="6"/>
      <c r="Q4791" s="6"/>
      <c r="R4791" s="6"/>
      <c r="S4791" s="6"/>
      <c r="T4791" s="6"/>
      <c r="U4791" s="6"/>
      <c r="V4791" s="6"/>
      <c r="W4791" s="6"/>
      <c r="X4791" s="6"/>
      <c r="Y4791" s="6"/>
      <c r="Z4791" s="6"/>
      <c r="AA4791" s="6"/>
      <c r="AB4791" s="6"/>
      <c r="AC4791" s="6"/>
      <c r="AD4791" s="6"/>
      <c r="AE4791" s="6"/>
      <c r="AF4791" s="6"/>
      <c r="AG4791" s="6"/>
      <c r="AH4791" s="6"/>
      <c r="AI4791" s="6"/>
      <c r="AJ4791" s="6"/>
      <c r="AK4791" s="6"/>
      <c r="AL4791" s="6"/>
      <c r="AM4791" s="6"/>
    </row>
    <row r="4792">
      <c r="A4792" s="6"/>
      <c r="B4792" s="6"/>
      <c r="C4792" s="6"/>
      <c r="D4792" s="6"/>
      <c r="E4792" s="6"/>
      <c r="F4792" s="6"/>
      <c r="G4792" s="6"/>
      <c r="H4792" s="6"/>
      <c r="I4792" s="6"/>
      <c r="J4792" s="6"/>
      <c r="K4792" s="6"/>
      <c r="L4792" s="6"/>
      <c r="M4792" s="6"/>
      <c r="N4792" s="6"/>
      <c r="O4792" s="6"/>
      <c r="P4792" s="6"/>
      <c r="Q4792" s="6"/>
      <c r="R4792" s="6"/>
      <c r="S4792" s="6"/>
      <c r="T4792" s="6"/>
      <c r="U4792" s="6"/>
      <c r="V4792" s="6"/>
      <c r="W4792" s="6"/>
      <c r="X4792" s="6"/>
      <c r="Y4792" s="6"/>
      <c r="Z4792" s="6"/>
      <c r="AA4792" s="6"/>
      <c r="AB4792" s="6"/>
      <c r="AC4792" s="6"/>
      <c r="AD4792" s="6"/>
      <c r="AE4792" s="6"/>
      <c r="AF4792" s="6"/>
      <c r="AG4792" s="6"/>
      <c r="AH4792" s="6"/>
      <c r="AI4792" s="6"/>
      <c r="AJ4792" s="6"/>
      <c r="AK4792" s="6"/>
      <c r="AL4792" s="6"/>
      <c r="AM4792" s="6"/>
    </row>
    <row r="4793">
      <c r="A4793" s="6"/>
      <c r="B4793" s="6"/>
      <c r="C4793" s="6"/>
      <c r="D4793" s="6"/>
      <c r="E4793" s="6"/>
      <c r="F4793" s="6"/>
      <c r="G4793" s="6"/>
      <c r="H4793" s="6"/>
      <c r="I4793" s="6"/>
      <c r="J4793" s="6"/>
      <c r="K4793" s="6"/>
      <c r="L4793" s="6"/>
      <c r="M4793" s="6"/>
      <c r="N4793" s="6"/>
      <c r="O4793" s="6"/>
      <c r="P4793" s="6"/>
      <c r="Q4793" s="6"/>
      <c r="R4793" s="6"/>
      <c r="S4793" s="6"/>
      <c r="T4793" s="6"/>
      <c r="U4793" s="6"/>
      <c r="V4793" s="6"/>
      <c r="W4793" s="6"/>
      <c r="X4793" s="6"/>
      <c r="Y4793" s="6"/>
      <c r="Z4793" s="6"/>
      <c r="AA4793" s="6"/>
      <c r="AB4793" s="6"/>
      <c r="AC4793" s="6"/>
      <c r="AD4793" s="6"/>
      <c r="AE4793" s="6"/>
      <c r="AF4793" s="6"/>
      <c r="AG4793" s="6"/>
      <c r="AH4793" s="6"/>
      <c r="AI4793" s="6"/>
      <c r="AJ4793" s="6"/>
      <c r="AK4793" s="6"/>
      <c r="AL4793" s="6"/>
      <c r="AM4793" s="6"/>
    </row>
    <row r="4794">
      <c r="A4794" s="6"/>
      <c r="B4794" s="6"/>
      <c r="C4794" s="6"/>
      <c r="D4794" s="6"/>
      <c r="E4794" s="6"/>
      <c r="F4794" s="6"/>
      <c r="G4794" s="6"/>
      <c r="H4794" s="6"/>
      <c r="I4794" s="6"/>
      <c r="J4794" s="6"/>
      <c r="K4794" s="6"/>
      <c r="L4794" s="6"/>
      <c r="M4794" s="6"/>
      <c r="N4794" s="6"/>
      <c r="O4794" s="6"/>
      <c r="P4794" s="6"/>
      <c r="Q4794" s="6"/>
      <c r="R4794" s="6"/>
      <c r="S4794" s="6"/>
      <c r="T4794" s="6"/>
      <c r="U4794" s="6"/>
      <c r="V4794" s="6"/>
      <c r="W4794" s="6"/>
      <c r="X4794" s="6"/>
      <c r="Y4794" s="6"/>
      <c r="Z4794" s="6"/>
      <c r="AA4794" s="6"/>
      <c r="AB4794" s="6"/>
      <c r="AC4794" s="6"/>
      <c r="AD4794" s="6"/>
      <c r="AE4794" s="6"/>
      <c r="AF4794" s="6"/>
      <c r="AG4794" s="6"/>
      <c r="AH4794" s="6"/>
      <c r="AI4794" s="6"/>
      <c r="AJ4794" s="6"/>
      <c r="AK4794" s="6"/>
      <c r="AL4794" s="6"/>
      <c r="AM4794" s="6"/>
    </row>
    <row r="4795">
      <c r="A4795" s="6"/>
      <c r="B4795" s="6"/>
      <c r="C4795" s="6"/>
      <c r="D4795" s="6"/>
      <c r="E4795" s="6"/>
      <c r="F4795" s="6"/>
      <c r="G4795" s="6"/>
      <c r="H4795" s="6"/>
      <c r="I4795" s="6"/>
      <c r="J4795" s="6"/>
      <c r="K4795" s="6"/>
      <c r="L4795" s="6"/>
      <c r="M4795" s="6"/>
      <c r="N4795" s="6"/>
      <c r="O4795" s="6"/>
      <c r="P4795" s="6"/>
      <c r="Q4795" s="6"/>
      <c r="R4795" s="6"/>
      <c r="S4795" s="6"/>
      <c r="T4795" s="6"/>
      <c r="U4795" s="6"/>
      <c r="V4795" s="6"/>
      <c r="W4795" s="6"/>
      <c r="X4795" s="6"/>
      <c r="Y4795" s="6"/>
      <c r="Z4795" s="6"/>
      <c r="AA4795" s="6"/>
      <c r="AB4795" s="6"/>
      <c r="AC4795" s="6"/>
      <c r="AD4795" s="6"/>
      <c r="AE4795" s="6"/>
      <c r="AF4795" s="6"/>
      <c r="AG4795" s="6"/>
      <c r="AH4795" s="6"/>
      <c r="AI4795" s="6"/>
      <c r="AJ4795" s="6"/>
      <c r="AK4795" s="6"/>
      <c r="AL4795" s="6"/>
      <c r="AM4795" s="6"/>
    </row>
    <row r="4796">
      <c r="A4796" s="6"/>
      <c r="B4796" s="6"/>
      <c r="C4796" s="6"/>
      <c r="D4796" s="6"/>
      <c r="E4796" s="6"/>
      <c r="F4796" s="6"/>
      <c r="G4796" s="6"/>
      <c r="H4796" s="6"/>
      <c r="I4796" s="6"/>
      <c r="J4796" s="6"/>
      <c r="K4796" s="6"/>
      <c r="L4796" s="6"/>
      <c r="M4796" s="6"/>
      <c r="N4796" s="6"/>
      <c r="O4796" s="6"/>
      <c r="P4796" s="6"/>
      <c r="Q4796" s="6"/>
      <c r="R4796" s="6"/>
      <c r="S4796" s="6"/>
      <c r="T4796" s="6"/>
      <c r="U4796" s="6"/>
      <c r="V4796" s="6"/>
      <c r="W4796" s="6"/>
      <c r="X4796" s="6"/>
      <c r="Y4796" s="6"/>
      <c r="Z4796" s="6"/>
      <c r="AA4796" s="6"/>
      <c r="AB4796" s="6"/>
      <c r="AC4796" s="6"/>
      <c r="AD4796" s="6"/>
      <c r="AE4796" s="6"/>
      <c r="AF4796" s="6"/>
      <c r="AG4796" s="6"/>
      <c r="AH4796" s="6"/>
      <c r="AI4796" s="6"/>
      <c r="AJ4796" s="6"/>
      <c r="AK4796" s="6"/>
      <c r="AL4796" s="6"/>
      <c r="AM4796" s="6"/>
    </row>
    <row r="4797">
      <c r="A4797" s="6"/>
      <c r="B4797" s="6"/>
      <c r="C4797" s="6"/>
      <c r="D4797" s="6"/>
      <c r="E4797" s="6"/>
      <c r="F4797" s="6"/>
      <c r="G4797" s="6"/>
      <c r="H4797" s="6"/>
      <c r="I4797" s="6"/>
      <c r="J4797" s="6"/>
      <c r="K4797" s="6"/>
      <c r="L4797" s="6"/>
      <c r="M4797" s="6"/>
      <c r="N4797" s="6"/>
      <c r="O4797" s="6"/>
      <c r="P4797" s="6"/>
      <c r="Q4797" s="6"/>
      <c r="R4797" s="6"/>
      <c r="S4797" s="6"/>
      <c r="T4797" s="6"/>
      <c r="U4797" s="6"/>
      <c r="V4797" s="6"/>
      <c r="W4797" s="6"/>
      <c r="X4797" s="6"/>
      <c r="Y4797" s="6"/>
      <c r="Z4797" s="6"/>
      <c r="AA4797" s="6"/>
      <c r="AB4797" s="6"/>
      <c r="AC4797" s="6"/>
      <c r="AD4797" s="6"/>
      <c r="AE4797" s="6"/>
      <c r="AF4797" s="6"/>
      <c r="AG4797" s="6"/>
      <c r="AH4797" s="6"/>
      <c r="AI4797" s="6"/>
      <c r="AJ4797" s="6"/>
      <c r="AK4797" s="6"/>
      <c r="AL4797" s="6"/>
      <c r="AM4797" s="6"/>
    </row>
    <row r="4798">
      <c r="A4798" s="6"/>
      <c r="B4798" s="6"/>
      <c r="C4798" s="6"/>
      <c r="D4798" s="6"/>
      <c r="E4798" s="6"/>
      <c r="F4798" s="6"/>
      <c r="G4798" s="6"/>
      <c r="H4798" s="6"/>
      <c r="I4798" s="6"/>
      <c r="J4798" s="6"/>
      <c r="K4798" s="6"/>
      <c r="L4798" s="6"/>
      <c r="M4798" s="6"/>
      <c r="N4798" s="6"/>
      <c r="O4798" s="6"/>
      <c r="P4798" s="6"/>
      <c r="Q4798" s="6"/>
      <c r="R4798" s="6"/>
      <c r="S4798" s="6"/>
      <c r="T4798" s="6"/>
      <c r="U4798" s="6"/>
      <c r="V4798" s="6"/>
      <c r="W4798" s="6"/>
      <c r="X4798" s="6"/>
      <c r="Y4798" s="6"/>
      <c r="Z4798" s="6"/>
      <c r="AA4798" s="6"/>
      <c r="AB4798" s="6"/>
      <c r="AC4798" s="6"/>
      <c r="AD4798" s="6"/>
      <c r="AE4798" s="6"/>
      <c r="AF4798" s="6"/>
      <c r="AG4798" s="6"/>
      <c r="AH4798" s="6"/>
      <c r="AI4798" s="6"/>
      <c r="AJ4798" s="6"/>
      <c r="AK4798" s="6"/>
      <c r="AL4798" s="6"/>
      <c r="AM4798" s="6"/>
    </row>
    <row r="4799">
      <c r="A4799" s="6"/>
      <c r="B4799" s="6"/>
      <c r="C4799" s="6"/>
      <c r="D4799" s="6"/>
      <c r="E4799" s="6"/>
      <c r="F4799" s="6"/>
      <c r="G4799" s="6"/>
      <c r="H4799" s="6"/>
      <c r="I4799" s="6"/>
      <c r="J4799" s="6"/>
      <c r="K4799" s="6"/>
      <c r="L4799" s="6"/>
      <c r="M4799" s="6"/>
      <c r="N4799" s="6"/>
      <c r="O4799" s="6"/>
      <c r="P4799" s="6"/>
      <c r="Q4799" s="6"/>
      <c r="R4799" s="6"/>
      <c r="S4799" s="6"/>
      <c r="T4799" s="6"/>
      <c r="U4799" s="6"/>
      <c r="V4799" s="6"/>
      <c r="W4799" s="6"/>
      <c r="X4799" s="6"/>
      <c r="Y4799" s="6"/>
      <c r="Z4799" s="6"/>
      <c r="AA4799" s="6"/>
      <c r="AB4799" s="6"/>
      <c r="AC4799" s="6"/>
      <c r="AD4799" s="6"/>
      <c r="AE4799" s="6"/>
      <c r="AF4799" s="6"/>
      <c r="AG4799" s="6"/>
      <c r="AH4799" s="6"/>
      <c r="AI4799" s="6"/>
      <c r="AJ4799" s="6"/>
      <c r="AK4799" s="6"/>
      <c r="AL4799" s="6"/>
      <c r="AM4799" s="6"/>
    </row>
    <row r="4800">
      <c r="A4800" s="6"/>
      <c r="B4800" s="6"/>
      <c r="C4800" s="6"/>
      <c r="D4800" s="6"/>
      <c r="E4800" s="6"/>
      <c r="F4800" s="6"/>
      <c r="G4800" s="6"/>
      <c r="H4800" s="6"/>
      <c r="I4800" s="6"/>
      <c r="J4800" s="6"/>
      <c r="K4800" s="6"/>
      <c r="L4800" s="6"/>
      <c r="M4800" s="6"/>
      <c r="N4800" s="6"/>
      <c r="O4800" s="6"/>
      <c r="P4800" s="6"/>
      <c r="Q4800" s="6"/>
      <c r="R4800" s="6"/>
      <c r="S4800" s="6"/>
      <c r="T4800" s="6"/>
      <c r="U4800" s="6"/>
      <c r="V4800" s="6"/>
      <c r="W4800" s="6"/>
      <c r="X4800" s="6"/>
      <c r="Y4800" s="6"/>
      <c r="Z4800" s="6"/>
      <c r="AA4800" s="6"/>
      <c r="AB4800" s="6"/>
      <c r="AC4800" s="6"/>
      <c r="AD4800" s="6"/>
      <c r="AE4800" s="6"/>
      <c r="AF4800" s="6"/>
      <c r="AG4800" s="6"/>
      <c r="AH4800" s="6"/>
      <c r="AI4800" s="6"/>
      <c r="AJ4800" s="6"/>
      <c r="AK4800" s="6"/>
      <c r="AL4800" s="6"/>
      <c r="AM4800" s="6"/>
    </row>
    <row r="4801">
      <c r="A4801" s="6"/>
      <c r="B4801" s="6"/>
      <c r="C4801" s="6"/>
      <c r="D4801" s="6"/>
      <c r="E4801" s="6"/>
      <c r="F4801" s="6"/>
      <c r="G4801" s="6"/>
      <c r="H4801" s="6"/>
      <c r="I4801" s="6"/>
      <c r="J4801" s="6"/>
      <c r="K4801" s="6"/>
      <c r="L4801" s="6"/>
      <c r="M4801" s="6"/>
      <c r="N4801" s="6"/>
      <c r="O4801" s="6"/>
      <c r="P4801" s="6"/>
      <c r="Q4801" s="6"/>
      <c r="R4801" s="6"/>
      <c r="S4801" s="6"/>
      <c r="T4801" s="6"/>
      <c r="U4801" s="6"/>
      <c r="V4801" s="6"/>
      <c r="W4801" s="6"/>
      <c r="X4801" s="6"/>
      <c r="Y4801" s="6"/>
      <c r="Z4801" s="6"/>
      <c r="AA4801" s="6"/>
      <c r="AB4801" s="6"/>
      <c r="AC4801" s="6"/>
      <c r="AD4801" s="6"/>
      <c r="AE4801" s="6"/>
      <c r="AF4801" s="6"/>
      <c r="AG4801" s="6"/>
      <c r="AH4801" s="6"/>
      <c r="AI4801" s="6"/>
      <c r="AJ4801" s="6"/>
      <c r="AK4801" s="6"/>
      <c r="AL4801" s="6"/>
      <c r="AM4801" s="6"/>
    </row>
    <row r="4802">
      <c r="A4802" s="6"/>
      <c r="B4802" s="6"/>
      <c r="C4802" s="6"/>
      <c r="D4802" s="6"/>
      <c r="E4802" s="6"/>
      <c r="F4802" s="6"/>
      <c r="G4802" s="6"/>
      <c r="H4802" s="6"/>
      <c r="I4802" s="6"/>
      <c r="J4802" s="6"/>
      <c r="K4802" s="6"/>
      <c r="L4802" s="6"/>
      <c r="M4802" s="6"/>
      <c r="N4802" s="6"/>
      <c r="O4802" s="6"/>
      <c r="P4802" s="6"/>
      <c r="Q4802" s="6"/>
      <c r="R4802" s="6"/>
      <c r="S4802" s="6"/>
      <c r="T4802" s="6"/>
      <c r="U4802" s="6"/>
      <c r="V4802" s="6"/>
      <c r="W4802" s="6"/>
      <c r="X4802" s="6"/>
      <c r="Y4802" s="6"/>
      <c r="Z4802" s="6"/>
      <c r="AA4802" s="6"/>
      <c r="AB4802" s="6"/>
      <c r="AC4802" s="6"/>
      <c r="AD4802" s="6"/>
      <c r="AE4802" s="6"/>
      <c r="AF4802" s="6"/>
      <c r="AG4802" s="6"/>
      <c r="AH4802" s="6"/>
      <c r="AI4802" s="6"/>
      <c r="AJ4802" s="6"/>
      <c r="AK4802" s="6"/>
      <c r="AL4802" s="6"/>
      <c r="AM4802" s="6"/>
    </row>
    <row r="4803">
      <c r="A4803" s="6"/>
      <c r="B4803" s="6"/>
      <c r="C4803" s="6"/>
      <c r="D4803" s="6"/>
      <c r="E4803" s="6"/>
      <c r="F4803" s="6"/>
      <c r="G4803" s="6"/>
      <c r="H4803" s="6"/>
      <c r="I4803" s="6"/>
      <c r="J4803" s="6"/>
      <c r="K4803" s="6"/>
      <c r="L4803" s="6"/>
      <c r="M4803" s="6"/>
      <c r="N4803" s="6"/>
      <c r="O4803" s="6"/>
      <c r="P4803" s="6"/>
      <c r="Q4803" s="6"/>
      <c r="R4803" s="6"/>
      <c r="S4803" s="6"/>
      <c r="T4803" s="6"/>
      <c r="U4803" s="6"/>
      <c r="V4803" s="6"/>
      <c r="W4803" s="6"/>
      <c r="X4803" s="6"/>
      <c r="Y4803" s="6"/>
      <c r="Z4803" s="6"/>
      <c r="AA4803" s="6"/>
      <c r="AB4803" s="6"/>
      <c r="AC4803" s="6"/>
      <c r="AD4803" s="6"/>
      <c r="AE4803" s="6"/>
      <c r="AF4803" s="6"/>
      <c r="AG4803" s="6"/>
      <c r="AH4803" s="6"/>
      <c r="AI4803" s="6"/>
      <c r="AJ4803" s="6"/>
      <c r="AK4803" s="6"/>
      <c r="AL4803" s="6"/>
      <c r="AM4803" s="6"/>
    </row>
    <row r="4804">
      <c r="A4804" s="6"/>
      <c r="B4804" s="6"/>
      <c r="C4804" s="6"/>
      <c r="D4804" s="6"/>
      <c r="E4804" s="6"/>
      <c r="F4804" s="6"/>
      <c r="G4804" s="6"/>
      <c r="H4804" s="6"/>
      <c r="I4804" s="6"/>
      <c r="J4804" s="6"/>
      <c r="K4804" s="6"/>
      <c r="L4804" s="6"/>
      <c r="M4804" s="6"/>
      <c r="N4804" s="6"/>
      <c r="O4804" s="6"/>
      <c r="P4804" s="6"/>
      <c r="Q4804" s="6"/>
      <c r="R4804" s="6"/>
      <c r="S4804" s="6"/>
      <c r="T4804" s="6"/>
      <c r="U4804" s="6"/>
      <c r="V4804" s="6"/>
      <c r="W4804" s="6"/>
      <c r="X4804" s="6"/>
      <c r="Y4804" s="6"/>
      <c r="Z4804" s="6"/>
      <c r="AA4804" s="6"/>
      <c r="AB4804" s="6"/>
      <c r="AC4804" s="6"/>
      <c r="AD4804" s="6"/>
      <c r="AE4804" s="6"/>
      <c r="AF4804" s="6"/>
      <c r="AG4804" s="6"/>
      <c r="AH4804" s="6"/>
      <c r="AI4804" s="6"/>
      <c r="AJ4804" s="6"/>
      <c r="AK4804" s="6"/>
      <c r="AL4804" s="6"/>
      <c r="AM4804" s="6"/>
    </row>
    <row r="4805">
      <c r="A4805" s="6"/>
      <c r="B4805" s="6"/>
      <c r="C4805" s="6"/>
      <c r="D4805" s="6"/>
      <c r="E4805" s="6"/>
      <c r="F4805" s="6"/>
      <c r="G4805" s="6"/>
      <c r="H4805" s="6"/>
      <c r="I4805" s="6"/>
      <c r="J4805" s="6"/>
      <c r="K4805" s="6"/>
      <c r="L4805" s="6"/>
      <c r="M4805" s="6"/>
      <c r="N4805" s="6"/>
      <c r="O4805" s="6"/>
      <c r="P4805" s="6"/>
      <c r="Q4805" s="6"/>
      <c r="R4805" s="6"/>
      <c r="S4805" s="6"/>
      <c r="T4805" s="6"/>
      <c r="U4805" s="6"/>
      <c r="V4805" s="6"/>
      <c r="W4805" s="6"/>
      <c r="X4805" s="6"/>
      <c r="Y4805" s="6"/>
      <c r="Z4805" s="6"/>
      <c r="AA4805" s="6"/>
      <c r="AB4805" s="6"/>
      <c r="AC4805" s="6"/>
      <c r="AD4805" s="6"/>
      <c r="AE4805" s="6"/>
      <c r="AF4805" s="6"/>
      <c r="AG4805" s="6"/>
      <c r="AH4805" s="6"/>
      <c r="AI4805" s="6"/>
      <c r="AJ4805" s="6"/>
      <c r="AK4805" s="6"/>
      <c r="AL4805" s="6"/>
      <c r="AM4805" s="6"/>
    </row>
    <row r="4806">
      <c r="A4806" s="6"/>
      <c r="B4806" s="6"/>
      <c r="C4806" s="6"/>
      <c r="D4806" s="6"/>
      <c r="E4806" s="6"/>
      <c r="F4806" s="6"/>
      <c r="G4806" s="6"/>
      <c r="H4806" s="6"/>
      <c r="I4806" s="6"/>
      <c r="J4806" s="6"/>
      <c r="K4806" s="6"/>
      <c r="L4806" s="6"/>
      <c r="M4806" s="6"/>
      <c r="N4806" s="6"/>
      <c r="O4806" s="6"/>
      <c r="P4806" s="6"/>
      <c r="Q4806" s="6"/>
      <c r="R4806" s="6"/>
      <c r="S4806" s="6"/>
      <c r="T4806" s="6"/>
      <c r="U4806" s="6"/>
      <c r="V4806" s="6"/>
      <c r="W4806" s="6"/>
      <c r="X4806" s="6"/>
      <c r="Y4806" s="6"/>
      <c r="Z4806" s="6"/>
      <c r="AA4806" s="6"/>
      <c r="AB4806" s="6"/>
      <c r="AC4806" s="6"/>
      <c r="AD4806" s="6"/>
      <c r="AE4806" s="6"/>
      <c r="AF4806" s="6"/>
      <c r="AG4806" s="6"/>
      <c r="AH4806" s="6"/>
      <c r="AI4806" s="6"/>
      <c r="AJ4806" s="6"/>
      <c r="AK4806" s="6"/>
      <c r="AL4806" s="6"/>
      <c r="AM4806" s="6"/>
    </row>
    <row r="4807">
      <c r="A4807" s="6"/>
      <c r="B4807" s="6"/>
      <c r="C4807" s="6"/>
      <c r="D4807" s="6"/>
      <c r="E4807" s="6"/>
      <c r="F4807" s="6"/>
      <c r="G4807" s="6"/>
      <c r="H4807" s="6"/>
      <c r="I4807" s="6"/>
      <c r="J4807" s="6"/>
      <c r="K4807" s="6"/>
      <c r="L4807" s="6"/>
      <c r="M4807" s="6"/>
      <c r="N4807" s="6"/>
      <c r="O4807" s="6"/>
      <c r="P4807" s="6"/>
      <c r="Q4807" s="6"/>
      <c r="R4807" s="6"/>
      <c r="S4807" s="6"/>
      <c r="T4807" s="6"/>
      <c r="U4807" s="6"/>
      <c r="V4807" s="6"/>
      <c r="W4807" s="6"/>
      <c r="X4807" s="6"/>
      <c r="Y4807" s="6"/>
      <c r="Z4807" s="6"/>
      <c r="AA4807" s="6"/>
      <c r="AB4807" s="6"/>
      <c r="AC4807" s="6"/>
      <c r="AD4807" s="6"/>
      <c r="AE4807" s="6"/>
      <c r="AF4807" s="6"/>
      <c r="AG4807" s="6"/>
      <c r="AH4807" s="6"/>
      <c r="AI4807" s="6"/>
      <c r="AJ4807" s="6"/>
      <c r="AK4807" s="6"/>
      <c r="AL4807" s="6"/>
      <c r="AM4807" s="6"/>
    </row>
    <row r="4808">
      <c r="A4808" s="6"/>
      <c r="B4808" s="6"/>
      <c r="C4808" s="6"/>
      <c r="D4808" s="6"/>
      <c r="E4808" s="6"/>
      <c r="F4808" s="6"/>
      <c r="G4808" s="6"/>
      <c r="H4808" s="6"/>
      <c r="I4808" s="6"/>
      <c r="J4808" s="6"/>
      <c r="K4808" s="6"/>
      <c r="L4808" s="6"/>
      <c r="M4808" s="6"/>
      <c r="N4808" s="6"/>
      <c r="O4808" s="6"/>
      <c r="P4808" s="6"/>
      <c r="Q4808" s="6"/>
      <c r="R4808" s="6"/>
      <c r="S4808" s="6"/>
      <c r="T4808" s="6"/>
      <c r="U4808" s="6"/>
      <c r="V4808" s="6"/>
      <c r="W4808" s="6"/>
      <c r="X4808" s="6"/>
      <c r="Y4808" s="6"/>
      <c r="Z4808" s="6"/>
      <c r="AA4808" s="6"/>
      <c r="AB4808" s="6"/>
      <c r="AC4808" s="6"/>
      <c r="AD4808" s="6"/>
      <c r="AE4808" s="6"/>
      <c r="AF4808" s="6"/>
      <c r="AG4808" s="6"/>
      <c r="AH4808" s="6"/>
      <c r="AI4808" s="6"/>
      <c r="AJ4808" s="6"/>
      <c r="AK4808" s="6"/>
      <c r="AL4808" s="6"/>
      <c r="AM4808" s="6"/>
    </row>
    <row r="4809">
      <c r="A4809" s="6"/>
      <c r="B4809" s="6"/>
      <c r="C4809" s="6"/>
      <c r="D4809" s="6"/>
      <c r="E4809" s="6"/>
      <c r="F4809" s="6"/>
      <c r="G4809" s="6"/>
      <c r="H4809" s="6"/>
      <c r="I4809" s="6"/>
      <c r="J4809" s="6"/>
      <c r="K4809" s="6"/>
      <c r="L4809" s="6"/>
      <c r="M4809" s="6"/>
      <c r="N4809" s="6"/>
      <c r="O4809" s="6"/>
      <c r="P4809" s="6"/>
      <c r="Q4809" s="6"/>
      <c r="R4809" s="6"/>
      <c r="S4809" s="6"/>
      <c r="T4809" s="6"/>
      <c r="U4809" s="6"/>
      <c r="V4809" s="6"/>
      <c r="W4809" s="6"/>
      <c r="X4809" s="6"/>
      <c r="Y4809" s="6"/>
      <c r="Z4809" s="6"/>
      <c r="AA4809" s="6"/>
      <c r="AB4809" s="6"/>
      <c r="AC4809" s="6"/>
      <c r="AD4809" s="6"/>
      <c r="AE4809" s="6"/>
      <c r="AF4809" s="6"/>
      <c r="AG4809" s="6"/>
      <c r="AH4809" s="6"/>
      <c r="AI4809" s="6"/>
      <c r="AJ4809" s="6"/>
      <c r="AK4809" s="6"/>
      <c r="AL4809" s="6"/>
      <c r="AM4809" s="6"/>
    </row>
    <row r="4810">
      <c r="A4810" s="6"/>
      <c r="B4810" s="6"/>
      <c r="C4810" s="6"/>
      <c r="D4810" s="6"/>
      <c r="E4810" s="6"/>
      <c r="F4810" s="6"/>
      <c r="G4810" s="6"/>
      <c r="H4810" s="6"/>
      <c r="I4810" s="6"/>
      <c r="J4810" s="6"/>
      <c r="K4810" s="6"/>
      <c r="L4810" s="6"/>
      <c r="M4810" s="6"/>
      <c r="N4810" s="6"/>
      <c r="O4810" s="6"/>
      <c r="P4810" s="6"/>
      <c r="Q4810" s="6"/>
      <c r="R4810" s="6"/>
      <c r="S4810" s="6"/>
      <c r="T4810" s="6"/>
      <c r="U4810" s="6"/>
      <c r="V4810" s="6"/>
      <c r="W4810" s="6"/>
      <c r="X4810" s="6"/>
      <c r="Y4810" s="6"/>
      <c r="Z4810" s="6"/>
      <c r="AA4810" s="6"/>
      <c r="AB4810" s="6"/>
      <c r="AC4810" s="6"/>
      <c r="AD4810" s="6"/>
      <c r="AE4810" s="6"/>
      <c r="AF4810" s="6"/>
      <c r="AG4810" s="6"/>
      <c r="AH4810" s="6"/>
      <c r="AI4810" s="6"/>
      <c r="AJ4810" s="6"/>
      <c r="AK4810" s="6"/>
      <c r="AL4810" s="6"/>
      <c r="AM4810" s="6"/>
    </row>
    <row r="4811">
      <c r="A4811" s="6"/>
      <c r="B4811" s="6"/>
      <c r="C4811" s="6"/>
      <c r="D4811" s="6"/>
      <c r="E4811" s="6"/>
      <c r="F4811" s="6"/>
      <c r="G4811" s="6"/>
      <c r="H4811" s="6"/>
      <c r="I4811" s="6"/>
      <c r="J4811" s="6"/>
      <c r="K4811" s="6"/>
      <c r="L4811" s="6"/>
      <c r="M4811" s="6"/>
      <c r="N4811" s="6"/>
      <c r="O4811" s="6"/>
      <c r="P4811" s="6"/>
      <c r="Q4811" s="6"/>
      <c r="R4811" s="6"/>
      <c r="S4811" s="6"/>
      <c r="T4811" s="6"/>
      <c r="U4811" s="6"/>
      <c r="V4811" s="6"/>
      <c r="W4811" s="6"/>
      <c r="X4811" s="6"/>
      <c r="Y4811" s="6"/>
      <c r="Z4811" s="6"/>
      <c r="AA4811" s="6"/>
      <c r="AB4811" s="6"/>
      <c r="AC4811" s="6"/>
      <c r="AD4811" s="6"/>
      <c r="AE4811" s="6"/>
      <c r="AF4811" s="6"/>
      <c r="AG4811" s="6"/>
      <c r="AH4811" s="6"/>
      <c r="AI4811" s="6"/>
      <c r="AJ4811" s="6"/>
      <c r="AK4811" s="6"/>
      <c r="AL4811" s="6"/>
      <c r="AM4811" s="6"/>
    </row>
    <row r="4812">
      <c r="A4812" s="6"/>
      <c r="B4812" s="6"/>
      <c r="C4812" s="6"/>
      <c r="D4812" s="6"/>
      <c r="E4812" s="6"/>
      <c r="F4812" s="6"/>
      <c r="G4812" s="6"/>
      <c r="H4812" s="6"/>
      <c r="I4812" s="6"/>
      <c r="J4812" s="6"/>
      <c r="K4812" s="6"/>
      <c r="L4812" s="6"/>
      <c r="M4812" s="6"/>
      <c r="N4812" s="6"/>
      <c r="O4812" s="6"/>
      <c r="P4812" s="6"/>
      <c r="Q4812" s="6"/>
      <c r="R4812" s="6"/>
      <c r="S4812" s="6"/>
      <c r="T4812" s="6"/>
      <c r="U4812" s="6"/>
      <c r="V4812" s="6"/>
      <c r="W4812" s="6"/>
      <c r="X4812" s="6"/>
      <c r="Y4812" s="6"/>
      <c r="Z4812" s="6"/>
      <c r="AA4812" s="6"/>
      <c r="AB4812" s="6"/>
      <c r="AC4812" s="6"/>
      <c r="AD4812" s="6"/>
      <c r="AE4812" s="6"/>
      <c r="AF4812" s="6"/>
      <c r="AG4812" s="6"/>
      <c r="AH4812" s="6"/>
      <c r="AI4812" s="6"/>
      <c r="AJ4812" s="6"/>
      <c r="AK4812" s="6"/>
      <c r="AL4812" s="6"/>
      <c r="AM4812" s="6"/>
    </row>
    <row r="4813">
      <c r="A4813" s="6"/>
      <c r="B4813" s="6"/>
      <c r="C4813" s="6"/>
      <c r="D4813" s="6"/>
      <c r="E4813" s="6"/>
      <c r="F4813" s="6"/>
      <c r="G4813" s="6"/>
      <c r="H4813" s="6"/>
      <c r="I4813" s="6"/>
      <c r="J4813" s="6"/>
      <c r="K4813" s="6"/>
      <c r="L4813" s="6"/>
      <c r="M4813" s="6"/>
      <c r="N4813" s="6"/>
      <c r="O4813" s="6"/>
      <c r="P4813" s="6"/>
      <c r="Q4813" s="6"/>
      <c r="R4813" s="6"/>
      <c r="S4813" s="6"/>
      <c r="T4813" s="6"/>
      <c r="U4813" s="6"/>
      <c r="V4813" s="6"/>
      <c r="W4813" s="6"/>
      <c r="X4813" s="6"/>
      <c r="Y4813" s="6"/>
      <c r="Z4813" s="6"/>
      <c r="AA4813" s="6"/>
      <c r="AB4813" s="6"/>
      <c r="AC4813" s="6"/>
      <c r="AD4813" s="6"/>
      <c r="AE4813" s="6"/>
      <c r="AF4813" s="6"/>
      <c r="AG4813" s="6"/>
      <c r="AH4813" s="6"/>
      <c r="AI4813" s="6"/>
      <c r="AJ4813" s="6"/>
      <c r="AK4813" s="6"/>
      <c r="AL4813" s="6"/>
      <c r="AM4813" s="6"/>
    </row>
    <row r="4814">
      <c r="A4814" s="6"/>
      <c r="B4814" s="6"/>
      <c r="C4814" s="6"/>
      <c r="D4814" s="6"/>
      <c r="E4814" s="6"/>
      <c r="F4814" s="6"/>
      <c r="G4814" s="6"/>
      <c r="H4814" s="6"/>
      <c r="I4814" s="6"/>
      <c r="J4814" s="6"/>
      <c r="K4814" s="6"/>
      <c r="L4814" s="6"/>
      <c r="M4814" s="6"/>
      <c r="N4814" s="6"/>
      <c r="O4814" s="6"/>
      <c r="P4814" s="6"/>
      <c r="Q4814" s="6"/>
      <c r="R4814" s="6"/>
      <c r="S4814" s="6"/>
      <c r="T4814" s="6"/>
      <c r="U4814" s="6"/>
      <c r="V4814" s="6"/>
      <c r="W4814" s="6"/>
      <c r="X4814" s="6"/>
      <c r="Y4814" s="6"/>
      <c r="Z4814" s="6"/>
      <c r="AA4814" s="6"/>
      <c r="AB4814" s="6"/>
      <c r="AC4814" s="6"/>
      <c r="AD4814" s="6"/>
      <c r="AE4814" s="6"/>
      <c r="AF4814" s="6"/>
      <c r="AG4814" s="6"/>
      <c r="AH4814" s="6"/>
      <c r="AI4814" s="6"/>
      <c r="AJ4814" s="6"/>
      <c r="AK4814" s="6"/>
      <c r="AL4814" s="6"/>
      <c r="AM4814" s="6"/>
    </row>
    <row r="4815">
      <c r="A4815" s="6"/>
      <c r="B4815" s="6"/>
      <c r="C4815" s="6"/>
      <c r="D4815" s="6"/>
      <c r="E4815" s="6"/>
      <c r="F4815" s="6"/>
      <c r="G4815" s="6"/>
      <c r="H4815" s="6"/>
      <c r="I4815" s="6"/>
      <c r="J4815" s="6"/>
      <c r="K4815" s="6"/>
      <c r="L4815" s="6"/>
      <c r="M4815" s="6"/>
      <c r="N4815" s="6"/>
      <c r="O4815" s="6"/>
      <c r="P4815" s="6"/>
      <c r="Q4815" s="6"/>
      <c r="R4815" s="6"/>
      <c r="S4815" s="6"/>
      <c r="T4815" s="6"/>
      <c r="U4815" s="6"/>
      <c r="V4815" s="6"/>
      <c r="W4815" s="6"/>
      <c r="X4815" s="6"/>
      <c r="Y4815" s="6"/>
      <c r="Z4815" s="6"/>
      <c r="AA4815" s="6"/>
      <c r="AB4815" s="6"/>
      <c r="AC4815" s="6"/>
      <c r="AD4815" s="6"/>
      <c r="AE4815" s="6"/>
      <c r="AF4815" s="6"/>
      <c r="AG4815" s="6"/>
      <c r="AH4815" s="6"/>
      <c r="AI4815" s="6"/>
      <c r="AJ4815" s="6"/>
      <c r="AK4815" s="6"/>
      <c r="AL4815" s="6"/>
      <c r="AM4815" s="6"/>
    </row>
    <row r="4816">
      <c r="A4816" s="6"/>
      <c r="B4816" s="6"/>
      <c r="C4816" s="6"/>
      <c r="D4816" s="6"/>
      <c r="E4816" s="6"/>
      <c r="F4816" s="6"/>
      <c r="G4816" s="6"/>
      <c r="H4816" s="6"/>
      <c r="I4816" s="6"/>
      <c r="J4816" s="6"/>
      <c r="K4816" s="6"/>
      <c r="L4816" s="6"/>
      <c r="M4816" s="6"/>
      <c r="N4816" s="6"/>
      <c r="O4816" s="6"/>
      <c r="P4816" s="6"/>
      <c r="Q4816" s="6"/>
      <c r="R4816" s="6"/>
      <c r="S4816" s="6"/>
      <c r="T4816" s="6"/>
      <c r="U4816" s="6"/>
      <c r="V4816" s="6"/>
      <c r="W4816" s="6"/>
      <c r="X4816" s="6"/>
      <c r="Y4816" s="6"/>
      <c r="Z4816" s="6"/>
      <c r="AA4816" s="6"/>
      <c r="AB4816" s="6"/>
      <c r="AC4816" s="6"/>
      <c r="AD4816" s="6"/>
      <c r="AE4816" s="6"/>
      <c r="AF4816" s="6"/>
      <c r="AG4816" s="6"/>
      <c r="AH4816" s="6"/>
      <c r="AI4816" s="6"/>
      <c r="AJ4816" s="6"/>
      <c r="AK4816" s="6"/>
      <c r="AL4816" s="6"/>
      <c r="AM4816" s="6"/>
    </row>
    <row r="4817">
      <c r="A4817" s="6"/>
      <c r="B4817" s="6"/>
      <c r="C4817" s="6"/>
      <c r="D4817" s="6"/>
      <c r="E4817" s="6"/>
      <c r="F4817" s="6"/>
      <c r="G4817" s="6"/>
      <c r="H4817" s="6"/>
      <c r="I4817" s="6"/>
      <c r="J4817" s="6"/>
      <c r="K4817" s="6"/>
      <c r="L4817" s="6"/>
      <c r="M4817" s="6"/>
      <c r="N4817" s="6"/>
      <c r="O4817" s="6"/>
      <c r="P4817" s="6"/>
      <c r="Q4817" s="6"/>
      <c r="R4817" s="6"/>
      <c r="S4817" s="6"/>
      <c r="T4817" s="6"/>
      <c r="U4817" s="6"/>
      <c r="V4817" s="6"/>
      <c r="W4817" s="6"/>
      <c r="X4817" s="6"/>
      <c r="Y4817" s="6"/>
      <c r="Z4817" s="6"/>
      <c r="AA4817" s="6"/>
      <c r="AB4817" s="6"/>
      <c r="AC4817" s="6"/>
      <c r="AD4817" s="6"/>
      <c r="AE4817" s="6"/>
      <c r="AF4817" s="6"/>
      <c r="AG4817" s="6"/>
      <c r="AH4817" s="6"/>
      <c r="AI4817" s="6"/>
      <c r="AJ4817" s="6"/>
      <c r="AK4817" s="6"/>
      <c r="AL4817" s="6"/>
      <c r="AM4817" s="6"/>
    </row>
    <row r="4818">
      <c r="A4818" s="6"/>
      <c r="B4818" s="6"/>
      <c r="C4818" s="6"/>
      <c r="D4818" s="6"/>
      <c r="E4818" s="6"/>
      <c r="F4818" s="6"/>
      <c r="G4818" s="6"/>
      <c r="H4818" s="6"/>
      <c r="I4818" s="6"/>
      <c r="J4818" s="6"/>
      <c r="K4818" s="6"/>
      <c r="L4818" s="6"/>
      <c r="M4818" s="6"/>
      <c r="N4818" s="6"/>
      <c r="O4818" s="6"/>
      <c r="P4818" s="6"/>
      <c r="Q4818" s="6"/>
      <c r="R4818" s="6"/>
      <c r="S4818" s="6"/>
      <c r="T4818" s="6"/>
      <c r="U4818" s="6"/>
      <c r="V4818" s="6"/>
      <c r="W4818" s="6"/>
      <c r="X4818" s="6"/>
      <c r="Y4818" s="6"/>
      <c r="Z4818" s="6"/>
      <c r="AA4818" s="6"/>
      <c r="AB4818" s="6"/>
      <c r="AC4818" s="6"/>
      <c r="AD4818" s="6"/>
      <c r="AE4818" s="6"/>
      <c r="AF4818" s="6"/>
      <c r="AG4818" s="6"/>
      <c r="AH4818" s="6"/>
      <c r="AI4818" s="6"/>
      <c r="AJ4818" s="6"/>
      <c r="AK4818" s="6"/>
      <c r="AL4818" s="6"/>
      <c r="AM4818" s="6"/>
    </row>
    <row r="4819">
      <c r="A4819" s="6"/>
      <c r="B4819" s="6"/>
      <c r="C4819" s="6"/>
      <c r="D4819" s="6"/>
      <c r="E4819" s="6"/>
      <c r="F4819" s="6"/>
      <c r="G4819" s="6"/>
      <c r="H4819" s="6"/>
      <c r="I4819" s="6"/>
      <c r="J4819" s="6"/>
      <c r="K4819" s="6"/>
      <c r="L4819" s="6"/>
      <c r="M4819" s="6"/>
      <c r="N4819" s="6"/>
      <c r="O4819" s="6"/>
      <c r="P4819" s="6"/>
      <c r="Q4819" s="6"/>
      <c r="R4819" s="6"/>
      <c r="S4819" s="6"/>
      <c r="T4819" s="6"/>
      <c r="U4819" s="6"/>
      <c r="V4819" s="6"/>
      <c r="W4819" s="6"/>
      <c r="X4819" s="6"/>
      <c r="Y4819" s="6"/>
      <c r="Z4819" s="6"/>
      <c r="AA4819" s="6"/>
      <c r="AB4819" s="6"/>
      <c r="AC4819" s="6"/>
      <c r="AD4819" s="6"/>
      <c r="AE4819" s="6"/>
      <c r="AF4819" s="6"/>
      <c r="AG4819" s="6"/>
      <c r="AH4819" s="6"/>
      <c r="AI4819" s="6"/>
      <c r="AJ4819" s="6"/>
      <c r="AK4819" s="6"/>
      <c r="AL4819" s="6"/>
      <c r="AM4819" s="6"/>
    </row>
    <row r="4820">
      <c r="A4820" s="6"/>
      <c r="B4820" s="6"/>
      <c r="C4820" s="6"/>
      <c r="D4820" s="6"/>
      <c r="E4820" s="6"/>
      <c r="F4820" s="6"/>
      <c r="G4820" s="6"/>
      <c r="H4820" s="6"/>
      <c r="I4820" s="6"/>
      <c r="J4820" s="6"/>
      <c r="K4820" s="6"/>
      <c r="L4820" s="6"/>
      <c r="M4820" s="6"/>
      <c r="N4820" s="6"/>
      <c r="O4820" s="6"/>
      <c r="P4820" s="6"/>
      <c r="Q4820" s="6"/>
      <c r="R4820" s="6"/>
      <c r="S4820" s="6"/>
      <c r="T4820" s="6"/>
      <c r="U4820" s="6"/>
      <c r="V4820" s="6"/>
      <c r="W4820" s="6"/>
      <c r="X4820" s="6"/>
      <c r="Y4820" s="6"/>
      <c r="Z4820" s="6"/>
      <c r="AA4820" s="6"/>
      <c r="AB4820" s="6"/>
      <c r="AC4820" s="6"/>
      <c r="AD4820" s="6"/>
      <c r="AE4820" s="6"/>
      <c r="AF4820" s="6"/>
      <c r="AG4820" s="6"/>
      <c r="AH4820" s="6"/>
      <c r="AI4820" s="6"/>
      <c r="AJ4820" s="6"/>
      <c r="AK4820" s="6"/>
      <c r="AL4820" s="6"/>
      <c r="AM4820" s="6"/>
    </row>
    <row r="4821">
      <c r="A4821" s="6"/>
      <c r="B4821" s="6"/>
      <c r="C4821" s="6"/>
      <c r="D4821" s="6"/>
      <c r="E4821" s="6"/>
      <c r="F4821" s="6"/>
      <c r="G4821" s="6"/>
      <c r="H4821" s="6"/>
      <c r="I4821" s="6"/>
      <c r="J4821" s="6"/>
      <c r="K4821" s="6"/>
      <c r="L4821" s="6"/>
      <c r="M4821" s="6"/>
      <c r="N4821" s="6"/>
      <c r="O4821" s="6"/>
      <c r="P4821" s="6"/>
      <c r="Q4821" s="6"/>
      <c r="R4821" s="6"/>
      <c r="S4821" s="6"/>
      <c r="T4821" s="6"/>
      <c r="U4821" s="6"/>
      <c r="V4821" s="6"/>
      <c r="W4821" s="6"/>
      <c r="X4821" s="6"/>
      <c r="Y4821" s="6"/>
      <c r="Z4821" s="6"/>
      <c r="AA4821" s="6"/>
      <c r="AB4821" s="6"/>
      <c r="AC4821" s="6"/>
      <c r="AD4821" s="6"/>
      <c r="AE4821" s="6"/>
      <c r="AF4821" s="6"/>
      <c r="AG4821" s="6"/>
      <c r="AH4821" s="6"/>
      <c r="AI4821" s="6"/>
      <c r="AJ4821" s="6"/>
      <c r="AK4821" s="6"/>
      <c r="AL4821" s="6"/>
      <c r="AM4821" s="6"/>
    </row>
    <row r="4822">
      <c r="A4822" s="6"/>
      <c r="B4822" s="6"/>
      <c r="C4822" s="6"/>
      <c r="D4822" s="6"/>
      <c r="E4822" s="6"/>
      <c r="F4822" s="6"/>
      <c r="G4822" s="6"/>
      <c r="H4822" s="6"/>
      <c r="I4822" s="6"/>
      <c r="J4822" s="6"/>
      <c r="K4822" s="6"/>
      <c r="L4822" s="6"/>
      <c r="M4822" s="6"/>
      <c r="N4822" s="6"/>
      <c r="O4822" s="6"/>
      <c r="P4822" s="6"/>
      <c r="Q4822" s="6"/>
      <c r="R4822" s="6"/>
      <c r="S4822" s="6"/>
      <c r="T4822" s="6"/>
      <c r="U4822" s="6"/>
      <c r="V4822" s="6"/>
      <c r="W4822" s="6"/>
      <c r="X4822" s="6"/>
      <c r="Y4822" s="6"/>
      <c r="Z4822" s="6"/>
      <c r="AA4822" s="6"/>
      <c r="AB4822" s="6"/>
      <c r="AC4822" s="6"/>
      <c r="AD4822" s="6"/>
      <c r="AE4822" s="6"/>
      <c r="AF4822" s="6"/>
      <c r="AG4822" s="6"/>
      <c r="AH4822" s="6"/>
      <c r="AI4822" s="6"/>
      <c r="AJ4822" s="6"/>
      <c r="AK4822" s="6"/>
      <c r="AL4822" s="6"/>
      <c r="AM4822" s="6"/>
    </row>
    <row r="4823">
      <c r="A4823" s="6"/>
      <c r="B4823" s="6"/>
      <c r="C4823" s="6"/>
      <c r="D4823" s="6"/>
      <c r="E4823" s="6"/>
      <c r="F4823" s="6"/>
      <c r="G4823" s="6"/>
      <c r="H4823" s="6"/>
      <c r="I4823" s="6"/>
      <c r="J4823" s="6"/>
      <c r="K4823" s="6"/>
      <c r="L4823" s="6"/>
      <c r="M4823" s="6"/>
      <c r="N4823" s="6"/>
      <c r="O4823" s="6"/>
      <c r="P4823" s="6"/>
      <c r="Q4823" s="6"/>
      <c r="R4823" s="6"/>
      <c r="S4823" s="6"/>
      <c r="T4823" s="6"/>
      <c r="U4823" s="6"/>
      <c r="V4823" s="6"/>
      <c r="W4823" s="6"/>
      <c r="X4823" s="6"/>
      <c r="Y4823" s="6"/>
      <c r="Z4823" s="6"/>
      <c r="AA4823" s="6"/>
      <c r="AB4823" s="6"/>
      <c r="AC4823" s="6"/>
      <c r="AD4823" s="6"/>
      <c r="AE4823" s="6"/>
      <c r="AF4823" s="6"/>
      <c r="AG4823" s="6"/>
      <c r="AH4823" s="6"/>
      <c r="AI4823" s="6"/>
      <c r="AJ4823" s="6"/>
      <c r="AK4823" s="6"/>
      <c r="AL4823" s="6"/>
      <c r="AM4823" s="6"/>
    </row>
    <row r="4824">
      <c r="A4824" s="6"/>
      <c r="B4824" s="6"/>
      <c r="C4824" s="6"/>
      <c r="D4824" s="6"/>
      <c r="E4824" s="6"/>
      <c r="F4824" s="6"/>
      <c r="G4824" s="6"/>
      <c r="H4824" s="6"/>
      <c r="I4824" s="6"/>
      <c r="J4824" s="6"/>
      <c r="K4824" s="6"/>
      <c r="L4824" s="6"/>
      <c r="M4824" s="6"/>
      <c r="N4824" s="6"/>
      <c r="O4824" s="6"/>
      <c r="P4824" s="6"/>
      <c r="Q4824" s="6"/>
      <c r="R4824" s="6"/>
      <c r="S4824" s="6"/>
      <c r="T4824" s="6"/>
      <c r="U4824" s="6"/>
      <c r="V4824" s="6"/>
      <c r="W4824" s="6"/>
      <c r="X4824" s="6"/>
      <c r="Y4824" s="6"/>
      <c r="Z4824" s="6"/>
      <c r="AA4824" s="6"/>
      <c r="AB4824" s="6"/>
      <c r="AC4824" s="6"/>
      <c r="AD4824" s="6"/>
      <c r="AE4824" s="6"/>
      <c r="AF4824" s="6"/>
      <c r="AG4824" s="6"/>
      <c r="AH4824" s="6"/>
      <c r="AI4824" s="6"/>
      <c r="AJ4824" s="6"/>
      <c r="AK4824" s="6"/>
      <c r="AL4824" s="6"/>
      <c r="AM4824" s="6"/>
    </row>
    <row r="4825">
      <c r="A4825" s="6"/>
      <c r="B4825" s="6"/>
      <c r="C4825" s="6"/>
      <c r="D4825" s="6"/>
      <c r="E4825" s="6"/>
      <c r="F4825" s="6"/>
      <c r="G4825" s="6"/>
      <c r="H4825" s="6"/>
      <c r="I4825" s="6"/>
      <c r="J4825" s="6"/>
      <c r="K4825" s="6"/>
      <c r="L4825" s="6"/>
      <c r="M4825" s="6"/>
      <c r="N4825" s="6"/>
      <c r="O4825" s="6"/>
      <c r="P4825" s="6"/>
      <c r="Q4825" s="6"/>
      <c r="R4825" s="6"/>
      <c r="S4825" s="6"/>
      <c r="T4825" s="6"/>
      <c r="U4825" s="6"/>
      <c r="V4825" s="6"/>
      <c r="W4825" s="6"/>
      <c r="X4825" s="6"/>
      <c r="Y4825" s="6"/>
      <c r="Z4825" s="6"/>
      <c r="AA4825" s="6"/>
      <c r="AB4825" s="6"/>
      <c r="AC4825" s="6"/>
      <c r="AD4825" s="6"/>
      <c r="AE4825" s="6"/>
      <c r="AF4825" s="6"/>
      <c r="AG4825" s="6"/>
      <c r="AH4825" s="6"/>
      <c r="AI4825" s="6"/>
      <c r="AJ4825" s="6"/>
      <c r="AK4825" s="6"/>
      <c r="AL4825" s="6"/>
      <c r="AM4825" s="6"/>
    </row>
    <row r="4826">
      <c r="A4826" s="6"/>
      <c r="B4826" s="6"/>
      <c r="C4826" s="6"/>
      <c r="D4826" s="6"/>
      <c r="E4826" s="6"/>
      <c r="F4826" s="6"/>
      <c r="G4826" s="6"/>
      <c r="H4826" s="6"/>
      <c r="I4826" s="6"/>
      <c r="J4826" s="6"/>
      <c r="K4826" s="6"/>
      <c r="L4826" s="6"/>
      <c r="M4826" s="6"/>
      <c r="N4826" s="6"/>
      <c r="O4826" s="6"/>
      <c r="P4826" s="6"/>
      <c r="Q4826" s="6"/>
      <c r="R4826" s="6"/>
      <c r="S4826" s="6"/>
      <c r="T4826" s="6"/>
      <c r="U4826" s="6"/>
      <c r="V4826" s="6"/>
      <c r="W4826" s="6"/>
      <c r="X4826" s="6"/>
      <c r="Y4826" s="6"/>
      <c r="Z4826" s="6"/>
      <c r="AA4826" s="6"/>
      <c r="AB4826" s="6"/>
      <c r="AC4826" s="6"/>
      <c r="AD4826" s="6"/>
      <c r="AE4826" s="6"/>
      <c r="AF4826" s="6"/>
      <c r="AG4826" s="6"/>
      <c r="AH4826" s="6"/>
      <c r="AI4826" s="6"/>
      <c r="AJ4826" s="6"/>
      <c r="AK4826" s="6"/>
      <c r="AL4826" s="6"/>
      <c r="AM4826" s="6"/>
    </row>
    <row r="4827">
      <c r="A4827" s="6"/>
      <c r="B4827" s="6"/>
      <c r="C4827" s="6"/>
      <c r="D4827" s="6"/>
      <c r="E4827" s="6"/>
      <c r="F4827" s="6"/>
      <c r="G4827" s="6"/>
      <c r="H4827" s="6"/>
      <c r="I4827" s="6"/>
      <c r="J4827" s="6"/>
      <c r="K4827" s="6"/>
      <c r="L4827" s="6"/>
      <c r="M4827" s="6"/>
      <c r="N4827" s="6"/>
      <c r="O4827" s="6"/>
      <c r="P4827" s="6"/>
      <c r="Q4827" s="6"/>
      <c r="R4827" s="6"/>
      <c r="S4827" s="6"/>
      <c r="T4827" s="6"/>
      <c r="U4827" s="6"/>
      <c r="V4827" s="6"/>
      <c r="W4827" s="6"/>
      <c r="X4827" s="6"/>
      <c r="Y4827" s="6"/>
      <c r="Z4827" s="6"/>
      <c r="AA4827" s="6"/>
      <c r="AB4827" s="6"/>
      <c r="AC4827" s="6"/>
      <c r="AD4827" s="6"/>
      <c r="AE4827" s="6"/>
      <c r="AF4827" s="6"/>
      <c r="AG4827" s="6"/>
      <c r="AH4827" s="6"/>
      <c r="AI4827" s="6"/>
      <c r="AJ4827" s="6"/>
      <c r="AK4827" s="6"/>
      <c r="AL4827" s="6"/>
      <c r="AM4827" s="6"/>
    </row>
    <row r="4828">
      <c r="A4828" s="6"/>
      <c r="B4828" s="6"/>
      <c r="C4828" s="6"/>
      <c r="D4828" s="6"/>
      <c r="E4828" s="6"/>
      <c r="F4828" s="6"/>
      <c r="G4828" s="6"/>
      <c r="H4828" s="6"/>
      <c r="I4828" s="6"/>
      <c r="J4828" s="6"/>
      <c r="K4828" s="6"/>
      <c r="L4828" s="6"/>
      <c r="M4828" s="6"/>
      <c r="N4828" s="6"/>
      <c r="O4828" s="6"/>
      <c r="P4828" s="6"/>
      <c r="Q4828" s="6"/>
      <c r="R4828" s="6"/>
      <c r="S4828" s="6"/>
      <c r="T4828" s="6"/>
      <c r="U4828" s="6"/>
      <c r="V4828" s="6"/>
      <c r="W4828" s="6"/>
      <c r="X4828" s="6"/>
      <c r="Y4828" s="6"/>
      <c r="Z4828" s="6"/>
      <c r="AA4828" s="6"/>
      <c r="AB4828" s="6"/>
      <c r="AC4828" s="6"/>
      <c r="AD4828" s="6"/>
      <c r="AE4828" s="6"/>
      <c r="AF4828" s="6"/>
      <c r="AG4828" s="6"/>
      <c r="AH4828" s="6"/>
      <c r="AI4828" s="6"/>
      <c r="AJ4828" s="6"/>
      <c r="AK4828" s="6"/>
      <c r="AL4828" s="6"/>
      <c r="AM4828" s="6"/>
    </row>
    <row r="4829">
      <c r="A4829" s="6"/>
      <c r="B4829" s="6"/>
      <c r="C4829" s="6"/>
      <c r="D4829" s="6"/>
      <c r="E4829" s="6"/>
      <c r="F4829" s="6"/>
      <c r="G4829" s="6"/>
      <c r="H4829" s="6"/>
      <c r="I4829" s="6"/>
      <c r="J4829" s="6"/>
      <c r="K4829" s="6"/>
      <c r="L4829" s="6"/>
      <c r="M4829" s="6"/>
      <c r="N4829" s="6"/>
      <c r="O4829" s="6"/>
      <c r="P4829" s="6"/>
      <c r="Q4829" s="6"/>
      <c r="R4829" s="6"/>
      <c r="S4829" s="6"/>
      <c r="T4829" s="6"/>
      <c r="U4829" s="6"/>
      <c r="V4829" s="6"/>
      <c r="W4829" s="6"/>
      <c r="X4829" s="6"/>
      <c r="Y4829" s="6"/>
      <c r="Z4829" s="6"/>
      <c r="AA4829" s="6"/>
      <c r="AB4829" s="6"/>
      <c r="AC4829" s="6"/>
      <c r="AD4829" s="6"/>
      <c r="AE4829" s="6"/>
      <c r="AF4829" s="6"/>
      <c r="AG4829" s="6"/>
      <c r="AH4829" s="6"/>
      <c r="AI4829" s="6"/>
      <c r="AJ4829" s="6"/>
      <c r="AK4829" s="6"/>
      <c r="AL4829" s="6"/>
      <c r="AM4829" s="6"/>
    </row>
    <row r="4830">
      <c r="A4830" s="6"/>
      <c r="B4830" s="6"/>
      <c r="C4830" s="6"/>
      <c r="D4830" s="6"/>
      <c r="E4830" s="6"/>
      <c r="F4830" s="6"/>
      <c r="G4830" s="6"/>
      <c r="H4830" s="6"/>
      <c r="I4830" s="6"/>
      <c r="J4830" s="6"/>
      <c r="K4830" s="6"/>
      <c r="L4830" s="6"/>
      <c r="M4830" s="6"/>
      <c r="N4830" s="6"/>
      <c r="O4830" s="6"/>
      <c r="P4830" s="6"/>
      <c r="Q4830" s="6"/>
      <c r="R4830" s="6"/>
      <c r="S4830" s="6"/>
      <c r="T4830" s="6"/>
      <c r="U4830" s="6"/>
      <c r="V4830" s="6"/>
      <c r="W4830" s="6"/>
      <c r="X4830" s="6"/>
      <c r="Y4830" s="6"/>
      <c r="Z4830" s="6"/>
      <c r="AA4830" s="6"/>
      <c r="AB4830" s="6"/>
      <c r="AC4830" s="6"/>
      <c r="AD4830" s="6"/>
      <c r="AE4830" s="6"/>
      <c r="AF4830" s="6"/>
      <c r="AG4830" s="6"/>
      <c r="AH4830" s="6"/>
      <c r="AI4830" s="6"/>
      <c r="AJ4830" s="6"/>
      <c r="AK4830" s="6"/>
      <c r="AL4830" s="6"/>
      <c r="AM4830" s="6"/>
    </row>
    <row r="4831">
      <c r="A4831" s="6"/>
      <c r="B4831" s="6"/>
      <c r="C4831" s="6"/>
      <c r="D4831" s="6"/>
      <c r="E4831" s="6"/>
      <c r="F4831" s="6"/>
      <c r="G4831" s="6"/>
      <c r="H4831" s="6"/>
      <c r="I4831" s="6"/>
      <c r="J4831" s="6"/>
      <c r="K4831" s="6"/>
      <c r="L4831" s="6"/>
      <c r="M4831" s="6"/>
      <c r="N4831" s="6"/>
      <c r="O4831" s="6"/>
      <c r="P4831" s="6"/>
      <c r="Q4831" s="6"/>
      <c r="R4831" s="6"/>
      <c r="S4831" s="6"/>
      <c r="T4831" s="6"/>
      <c r="U4831" s="6"/>
      <c r="V4831" s="6"/>
      <c r="W4831" s="6"/>
      <c r="X4831" s="6"/>
      <c r="Y4831" s="6"/>
      <c r="Z4831" s="6"/>
      <c r="AA4831" s="6"/>
      <c r="AB4831" s="6"/>
      <c r="AC4831" s="6"/>
      <c r="AD4831" s="6"/>
      <c r="AE4831" s="6"/>
      <c r="AF4831" s="6"/>
      <c r="AG4831" s="6"/>
      <c r="AH4831" s="6"/>
      <c r="AI4831" s="6"/>
      <c r="AJ4831" s="6"/>
      <c r="AK4831" s="6"/>
      <c r="AL4831" s="6"/>
      <c r="AM4831" s="6"/>
    </row>
    <row r="4832">
      <c r="A4832" s="6"/>
      <c r="B4832" s="6"/>
      <c r="C4832" s="6"/>
      <c r="D4832" s="6"/>
      <c r="E4832" s="6"/>
      <c r="F4832" s="6"/>
      <c r="G4832" s="6"/>
      <c r="H4832" s="6"/>
      <c r="I4832" s="6"/>
      <c r="J4832" s="6"/>
      <c r="K4832" s="6"/>
      <c r="L4832" s="6"/>
      <c r="M4832" s="6"/>
      <c r="N4832" s="6"/>
      <c r="O4832" s="6"/>
      <c r="P4832" s="6"/>
      <c r="Q4832" s="6"/>
      <c r="R4832" s="6"/>
      <c r="S4832" s="6"/>
      <c r="T4832" s="6"/>
      <c r="U4832" s="6"/>
      <c r="V4832" s="6"/>
      <c r="W4832" s="6"/>
      <c r="X4832" s="6"/>
      <c r="Y4832" s="6"/>
      <c r="Z4832" s="6"/>
      <c r="AA4832" s="6"/>
      <c r="AB4832" s="6"/>
      <c r="AC4832" s="6"/>
      <c r="AD4832" s="6"/>
      <c r="AE4832" s="6"/>
      <c r="AF4832" s="6"/>
      <c r="AG4832" s="6"/>
      <c r="AH4832" s="6"/>
      <c r="AI4832" s="6"/>
      <c r="AJ4832" s="6"/>
      <c r="AK4832" s="6"/>
      <c r="AL4832" s="6"/>
      <c r="AM4832" s="6"/>
    </row>
    <row r="4833">
      <c r="A4833" s="6"/>
      <c r="B4833" s="6"/>
      <c r="C4833" s="6"/>
      <c r="D4833" s="6"/>
      <c r="E4833" s="6"/>
      <c r="F4833" s="6"/>
      <c r="G4833" s="6"/>
      <c r="H4833" s="6"/>
      <c r="I4833" s="6"/>
      <c r="J4833" s="6"/>
      <c r="K4833" s="6"/>
      <c r="L4833" s="6"/>
      <c r="M4833" s="6"/>
      <c r="N4833" s="6"/>
      <c r="O4833" s="6"/>
      <c r="P4833" s="6"/>
      <c r="Q4833" s="6"/>
      <c r="R4833" s="6"/>
      <c r="S4833" s="6"/>
      <c r="T4833" s="6"/>
      <c r="U4833" s="6"/>
      <c r="V4833" s="6"/>
      <c r="W4833" s="6"/>
      <c r="X4833" s="6"/>
      <c r="Y4833" s="6"/>
      <c r="Z4833" s="6"/>
      <c r="AA4833" s="6"/>
      <c r="AB4833" s="6"/>
      <c r="AC4833" s="6"/>
      <c r="AD4833" s="6"/>
      <c r="AE4833" s="6"/>
      <c r="AF4833" s="6"/>
      <c r="AG4833" s="6"/>
      <c r="AH4833" s="6"/>
      <c r="AI4833" s="6"/>
      <c r="AJ4833" s="6"/>
      <c r="AK4833" s="6"/>
      <c r="AL4833" s="6"/>
      <c r="AM4833" s="6"/>
    </row>
    <row r="4834">
      <c r="A4834" s="6"/>
      <c r="B4834" s="6"/>
      <c r="C4834" s="6"/>
      <c r="D4834" s="6"/>
      <c r="E4834" s="6"/>
      <c r="F4834" s="6"/>
      <c r="G4834" s="6"/>
      <c r="H4834" s="6"/>
      <c r="I4834" s="6"/>
      <c r="J4834" s="6"/>
      <c r="K4834" s="6"/>
      <c r="L4834" s="6"/>
      <c r="M4834" s="6"/>
      <c r="N4834" s="6"/>
      <c r="O4834" s="6"/>
      <c r="P4834" s="6"/>
      <c r="Q4834" s="6"/>
      <c r="R4834" s="6"/>
      <c r="S4834" s="6"/>
      <c r="T4834" s="6"/>
      <c r="U4834" s="6"/>
      <c r="V4834" s="6"/>
      <c r="W4834" s="6"/>
      <c r="X4834" s="6"/>
      <c r="Y4834" s="6"/>
      <c r="Z4834" s="6"/>
      <c r="AA4834" s="6"/>
      <c r="AB4834" s="6"/>
      <c r="AC4834" s="6"/>
      <c r="AD4834" s="6"/>
      <c r="AE4834" s="6"/>
      <c r="AF4834" s="6"/>
      <c r="AG4834" s="6"/>
      <c r="AH4834" s="6"/>
      <c r="AI4834" s="6"/>
      <c r="AJ4834" s="6"/>
      <c r="AK4834" s="6"/>
      <c r="AL4834" s="6"/>
      <c r="AM4834" s="6"/>
    </row>
    <row r="4835">
      <c r="A4835" s="6"/>
      <c r="B4835" s="6"/>
      <c r="C4835" s="6"/>
      <c r="D4835" s="6"/>
      <c r="E4835" s="6"/>
      <c r="F4835" s="6"/>
      <c r="G4835" s="6"/>
      <c r="H4835" s="6"/>
      <c r="I4835" s="6"/>
      <c r="J4835" s="6"/>
      <c r="K4835" s="6"/>
      <c r="L4835" s="6"/>
      <c r="M4835" s="6"/>
      <c r="N4835" s="6"/>
      <c r="O4835" s="6"/>
      <c r="P4835" s="6"/>
      <c r="Q4835" s="6"/>
      <c r="R4835" s="6"/>
      <c r="S4835" s="6"/>
      <c r="T4835" s="6"/>
      <c r="U4835" s="6"/>
      <c r="V4835" s="6"/>
      <c r="W4835" s="6"/>
      <c r="X4835" s="6"/>
      <c r="Y4835" s="6"/>
      <c r="Z4835" s="6"/>
      <c r="AA4835" s="6"/>
      <c r="AB4835" s="6"/>
      <c r="AC4835" s="6"/>
      <c r="AD4835" s="6"/>
      <c r="AE4835" s="6"/>
      <c r="AF4835" s="6"/>
      <c r="AG4835" s="6"/>
      <c r="AH4835" s="6"/>
      <c r="AI4835" s="6"/>
      <c r="AJ4835" s="6"/>
      <c r="AK4835" s="6"/>
      <c r="AL4835" s="6"/>
      <c r="AM4835" s="6"/>
    </row>
    <row r="4836">
      <c r="A4836" s="6"/>
      <c r="B4836" s="6"/>
      <c r="C4836" s="6"/>
      <c r="D4836" s="6"/>
      <c r="E4836" s="6"/>
      <c r="F4836" s="6"/>
      <c r="G4836" s="6"/>
      <c r="H4836" s="6"/>
      <c r="I4836" s="6"/>
      <c r="J4836" s="6"/>
      <c r="K4836" s="6"/>
      <c r="L4836" s="6"/>
      <c r="M4836" s="6"/>
      <c r="N4836" s="6"/>
      <c r="O4836" s="6"/>
      <c r="P4836" s="6"/>
      <c r="Q4836" s="6"/>
      <c r="R4836" s="6"/>
      <c r="S4836" s="6"/>
      <c r="T4836" s="6"/>
      <c r="U4836" s="6"/>
      <c r="V4836" s="6"/>
      <c r="W4836" s="6"/>
      <c r="X4836" s="6"/>
      <c r="Y4836" s="6"/>
      <c r="Z4836" s="6"/>
      <c r="AA4836" s="6"/>
      <c r="AB4836" s="6"/>
      <c r="AC4836" s="6"/>
      <c r="AD4836" s="6"/>
      <c r="AE4836" s="6"/>
      <c r="AF4836" s="6"/>
      <c r="AG4836" s="6"/>
      <c r="AH4836" s="6"/>
      <c r="AI4836" s="6"/>
      <c r="AJ4836" s="6"/>
      <c r="AK4836" s="6"/>
      <c r="AL4836" s="6"/>
      <c r="AM4836" s="6"/>
    </row>
    <row r="4837">
      <c r="A4837" s="6"/>
      <c r="B4837" s="6"/>
      <c r="C4837" s="6"/>
      <c r="D4837" s="6"/>
      <c r="E4837" s="6"/>
      <c r="F4837" s="6"/>
      <c r="G4837" s="6"/>
      <c r="H4837" s="6"/>
      <c r="I4837" s="6"/>
      <c r="J4837" s="6"/>
      <c r="K4837" s="6"/>
      <c r="L4837" s="6"/>
      <c r="M4837" s="6"/>
      <c r="N4837" s="6"/>
      <c r="O4837" s="6"/>
      <c r="P4837" s="6"/>
      <c r="Q4837" s="6"/>
      <c r="R4837" s="6"/>
      <c r="S4837" s="6"/>
      <c r="T4837" s="6"/>
      <c r="U4837" s="6"/>
      <c r="V4837" s="6"/>
      <c r="W4837" s="6"/>
      <c r="X4837" s="6"/>
      <c r="Y4837" s="6"/>
      <c r="Z4837" s="6"/>
      <c r="AA4837" s="6"/>
      <c r="AB4837" s="6"/>
      <c r="AC4837" s="6"/>
      <c r="AD4837" s="6"/>
      <c r="AE4837" s="6"/>
      <c r="AF4837" s="6"/>
      <c r="AG4837" s="6"/>
      <c r="AH4837" s="6"/>
      <c r="AI4837" s="6"/>
      <c r="AJ4837" s="6"/>
      <c r="AK4837" s="6"/>
      <c r="AL4837" s="6"/>
      <c r="AM4837" s="6"/>
    </row>
    <row r="4838">
      <c r="A4838" s="6"/>
      <c r="B4838" s="6"/>
      <c r="C4838" s="6"/>
      <c r="D4838" s="6"/>
      <c r="E4838" s="6"/>
      <c r="F4838" s="6"/>
      <c r="G4838" s="6"/>
      <c r="H4838" s="6"/>
      <c r="I4838" s="6"/>
      <c r="J4838" s="6"/>
      <c r="K4838" s="6"/>
      <c r="L4838" s="6"/>
      <c r="M4838" s="6"/>
      <c r="N4838" s="6"/>
      <c r="O4838" s="6"/>
      <c r="P4838" s="6"/>
      <c r="Q4838" s="6"/>
      <c r="R4838" s="6"/>
      <c r="S4838" s="6"/>
      <c r="T4838" s="6"/>
      <c r="U4838" s="6"/>
      <c r="V4838" s="6"/>
      <c r="W4838" s="6"/>
      <c r="X4838" s="6"/>
      <c r="Y4838" s="6"/>
      <c r="Z4838" s="6"/>
      <c r="AA4838" s="6"/>
      <c r="AB4838" s="6"/>
      <c r="AC4838" s="6"/>
      <c r="AD4838" s="6"/>
      <c r="AE4838" s="6"/>
      <c r="AF4838" s="6"/>
      <c r="AG4838" s="6"/>
      <c r="AH4838" s="6"/>
      <c r="AI4838" s="6"/>
      <c r="AJ4838" s="6"/>
      <c r="AK4838" s="6"/>
      <c r="AL4838" s="6"/>
      <c r="AM4838" s="6"/>
    </row>
    <row r="4839">
      <c r="A4839" s="6"/>
      <c r="B4839" s="6"/>
      <c r="C4839" s="6"/>
      <c r="D4839" s="6"/>
      <c r="E4839" s="6"/>
      <c r="F4839" s="6"/>
      <c r="G4839" s="6"/>
      <c r="H4839" s="6"/>
      <c r="I4839" s="6"/>
      <c r="J4839" s="6"/>
      <c r="K4839" s="6"/>
      <c r="L4839" s="6"/>
      <c r="M4839" s="6"/>
      <c r="N4839" s="6"/>
      <c r="O4839" s="6"/>
      <c r="P4839" s="6"/>
      <c r="Q4839" s="6"/>
      <c r="R4839" s="6"/>
      <c r="S4839" s="6"/>
      <c r="T4839" s="6"/>
      <c r="U4839" s="6"/>
      <c r="V4839" s="6"/>
      <c r="W4839" s="6"/>
      <c r="X4839" s="6"/>
      <c r="Y4839" s="6"/>
      <c r="Z4839" s="6"/>
      <c r="AA4839" s="6"/>
      <c r="AB4839" s="6"/>
      <c r="AC4839" s="6"/>
      <c r="AD4839" s="6"/>
      <c r="AE4839" s="6"/>
      <c r="AF4839" s="6"/>
      <c r="AG4839" s="6"/>
      <c r="AH4839" s="6"/>
      <c r="AI4839" s="6"/>
      <c r="AJ4839" s="6"/>
      <c r="AK4839" s="6"/>
      <c r="AL4839" s="6"/>
      <c r="AM4839" s="6"/>
    </row>
    <row r="4840">
      <c r="A4840" s="6"/>
      <c r="B4840" s="6"/>
      <c r="C4840" s="6"/>
      <c r="D4840" s="6"/>
      <c r="E4840" s="6"/>
      <c r="F4840" s="6"/>
      <c r="G4840" s="6"/>
      <c r="H4840" s="6"/>
      <c r="I4840" s="6"/>
      <c r="J4840" s="6"/>
      <c r="K4840" s="6"/>
      <c r="L4840" s="6"/>
      <c r="M4840" s="6"/>
      <c r="N4840" s="6"/>
      <c r="O4840" s="6"/>
      <c r="P4840" s="6"/>
      <c r="Q4840" s="6"/>
      <c r="R4840" s="6"/>
      <c r="S4840" s="6"/>
      <c r="T4840" s="6"/>
      <c r="U4840" s="6"/>
      <c r="V4840" s="6"/>
      <c r="W4840" s="6"/>
      <c r="X4840" s="6"/>
      <c r="Y4840" s="6"/>
      <c r="Z4840" s="6"/>
      <c r="AA4840" s="6"/>
      <c r="AB4840" s="6"/>
      <c r="AC4840" s="6"/>
      <c r="AD4840" s="6"/>
      <c r="AE4840" s="6"/>
      <c r="AF4840" s="6"/>
      <c r="AG4840" s="6"/>
      <c r="AH4840" s="6"/>
      <c r="AI4840" s="6"/>
      <c r="AJ4840" s="6"/>
      <c r="AK4840" s="6"/>
      <c r="AL4840" s="6"/>
      <c r="AM4840" s="6"/>
    </row>
    <row r="4841">
      <c r="A4841" s="6"/>
      <c r="B4841" s="6"/>
      <c r="C4841" s="6"/>
      <c r="D4841" s="6"/>
      <c r="E4841" s="6"/>
      <c r="F4841" s="6"/>
      <c r="G4841" s="6"/>
      <c r="H4841" s="6"/>
      <c r="I4841" s="6"/>
      <c r="J4841" s="6"/>
      <c r="K4841" s="6"/>
      <c r="L4841" s="6"/>
      <c r="M4841" s="6"/>
      <c r="N4841" s="6"/>
      <c r="O4841" s="6"/>
      <c r="P4841" s="6"/>
      <c r="Q4841" s="6"/>
      <c r="R4841" s="6"/>
      <c r="S4841" s="6"/>
      <c r="T4841" s="6"/>
      <c r="U4841" s="6"/>
      <c r="V4841" s="6"/>
      <c r="W4841" s="6"/>
      <c r="X4841" s="6"/>
      <c r="Y4841" s="6"/>
      <c r="Z4841" s="6"/>
      <c r="AA4841" s="6"/>
      <c r="AB4841" s="6"/>
      <c r="AC4841" s="6"/>
      <c r="AD4841" s="6"/>
      <c r="AE4841" s="6"/>
      <c r="AF4841" s="6"/>
      <c r="AG4841" s="6"/>
      <c r="AH4841" s="6"/>
      <c r="AI4841" s="6"/>
      <c r="AJ4841" s="6"/>
      <c r="AK4841" s="6"/>
      <c r="AL4841" s="6"/>
      <c r="AM4841" s="6"/>
    </row>
    <row r="4842">
      <c r="A4842" s="6"/>
      <c r="B4842" s="6"/>
      <c r="C4842" s="6"/>
      <c r="D4842" s="6"/>
      <c r="E4842" s="6"/>
      <c r="F4842" s="6"/>
      <c r="G4842" s="6"/>
      <c r="H4842" s="6"/>
      <c r="I4842" s="6"/>
      <c r="J4842" s="6"/>
      <c r="K4842" s="6"/>
      <c r="L4842" s="6"/>
      <c r="M4842" s="6"/>
      <c r="N4842" s="6"/>
      <c r="O4842" s="6"/>
      <c r="P4842" s="6"/>
      <c r="Q4842" s="6"/>
      <c r="R4842" s="6"/>
      <c r="S4842" s="6"/>
      <c r="T4842" s="6"/>
      <c r="U4842" s="6"/>
      <c r="V4842" s="6"/>
      <c r="W4842" s="6"/>
      <c r="X4842" s="6"/>
      <c r="Y4842" s="6"/>
      <c r="Z4842" s="6"/>
      <c r="AA4842" s="6"/>
      <c r="AB4842" s="6"/>
      <c r="AC4842" s="6"/>
      <c r="AD4842" s="6"/>
      <c r="AE4842" s="6"/>
      <c r="AF4842" s="6"/>
      <c r="AG4842" s="6"/>
      <c r="AH4842" s="6"/>
      <c r="AI4842" s="6"/>
      <c r="AJ4842" s="6"/>
      <c r="AK4842" s="6"/>
      <c r="AL4842" s="6"/>
      <c r="AM4842" s="6"/>
    </row>
    <row r="4843">
      <c r="A4843" s="6"/>
      <c r="B4843" s="6"/>
      <c r="C4843" s="6"/>
      <c r="D4843" s="6"/>
      <c r="E4843" s="6"/>
      <c r="F4843" s="6"/>
      <c r="G4843" s="6"/>
      <c r="H4843" s="6"/>
      <c r="I4843" s="6"/>
      <c r="J4843" s="6"/>
      <c r="K4843" s="6"/>
      <c r="L4843" s="6"/>
      <c r="M4843" s="6"/>
      <c r="N4843" s="6"/>
      <c r="O4843" s="6"/>
      <c r="P4843" s="6"/>
      <c r="Q4843" s="6"/>
      <c r="R4843" s="6"/>
      <c r="S4843" s="6"/>
      <c r="T4843" s="6"/>
      <c r="U4843" s="6"/>
      <c r="V4843" s="6"/>
      <c r="W4843" s="6"/>
      <c r="X4843" s="6"/>
      <c r="Y4843" s="6"/>
      <c r="Z4843" s="6"/>
      <c r="AA4843" s="6"/>
      <c r="AB4843" s="6"/>
      <c r="AC4843" s="6"/>
      <c r="AD4843" s="6"/>
      <c r="AE4843" s="6"/>
      <c r="AF4843" s="6"/>
      <c r="AG4843" s="6"/>
      <c r="AH4843" s="6"/>
      <c r="AI4843" s="6"/>
      <c r="AJ4843" s="6"/>
      <c r="AK4843" s="6"/>
      <c r="AL4843" s="6"/>
      <c r="AM4843" s="6"/>
    </row>
    <row r="4844">
      <c r="A4844" s="6"/>
      <c r="B4844" s="6"/>
      <c r="C4844" s="6"/>
      <c r="D4844" s="6"/>
      <c r="E4844" s="6"/>
      <c r="F4844" s="6"/>
      <c r="G4844" s="6"/>
      <c r="H4844" s="6"/>
      <c r="I4844" s="6"/>
      <c r="J4844" s="6"/>
      <c r="K4844" s="6"/>
      <c r="L4844" s="6"/>
      <c r="M4844" s="6"/>
      <c r="N4844" s="6"/>
      <c r="O4844" s="6"/>
      <c r="P4844" s="6"/>
      <c r="Q4844" s="6"/>
      <c r="R4844" s="6"/>
      <c r="S4844" s="6"/>
      <c r="T4844" s="6"/>
      <c r="U4844" s="6"/>
      <c r="V4844" s="6"/>
      <c r="W4844" s="6"/>
      <c r="X4844" s="6"/>
      <c r="Y4844" s="6"/>
      <c r="Z4844" s="6"/>
      <c r="AA4844" s="6"/>
      <c r="AB4844" s="6"/>
      <c r="AC4844" s="6"/>
      <c r="AD4844" s="6"/>
      <c r="AE4844" s="6"/>
      <c r="AF4844" s="6"/>
      <c r="AG4844" s="6"/>
      <c r="AH4844" s="6"/>
      <c r="AI4844" s="6"/>
      <c r="AJ4844" s="6"/>
      <c r="AK4844" s="6"/>
      <c r="AL4844" s="6"/>
      <c r="AM4844" s="6"/>
    </row>
    <row r="4845">
      <c r="A4845" s="6"/>
      <c r="B4845" s="6"/>
      <c r="C4845" s="6"/>
      <c r="D4845" s="6"/>
      <c r="E4845" s="6"/>
      <c r="F4845" s="6"/>
      <c r="G4845" s="6"/>
      <c r="H4845" s="6"/>
      <c r="I4845" s="6"/>
      <c r="J4845" s="6"/>
      <c r="K4845" s="6"/>
      <c r="L4845" s="6"/>
      <c r="M4845" s="6"/>
      <c r="N4845" s="6"/>
      <c r="O4845" s="6"/>
      <c r="P4845" s="6"/>
      <c r="Q4845" s="6"/>
      <c r="R4845" s="6"/>
      <c r="S4845" s="6"/>
      <c r="T4845" s="6"/>
      <c r="U4845" s="6"/>
      <c r="V4845" s="6"/>
      <c r="W4845" s="6"/>
      <c r="X4845" s="6"/>
      <c r="Y4845" s="6"/>
      <c r="Z4845" s="6"/>
      <c r="AA4845" s="6"/>
      <c r="AB4845" s="6"/>
      <c r="AC4845" s="6"/>
      <c r="AD4845" s="6"/>
      <c r="AE4845" s="6"/>
      <c r="AF4845" s="6"/>
      <c r="AG4845" s="6"/>
      <c r="AH4845" s="6"/>
      <c r="AI4845" s="6"/>
      <c r="AJ4845" s="6"/>
      <c r="AK4845" s="6"/>
      <c r="AL4845" s="6"/>
      <c r="AM4845" s="6"/>
    </row>
    <row r="4846">
      <c r="A4846" s="6"/>
      <c r="B4846" s="6"/>
      <c r="C4846" s="6"/>
      <c r="D4846" s="6"/>
      <c r="E4846" s="6"/>
      <c r="F4846" s="6"/>
      <c r="G4846" s="6"/>
      <c r="H4846" s="6"/>
      <c r="I4846" s="6"/>
      <c r="J4846" s="6"/>
      <c r="K4846" s="6"/>
      <c r="L4846" s="6"/>
      <c r="M4846" s="6"/>
      <c r="N4846" s="6"/>
      <c r="O4846" s="6"/>
      <c r="P4846" s="6"/>
      <c r="Q4846" s="6"/>
      <c r="R4846" s="6"/>
      <c r="S4846" s="6"/>
      <c r="T4846" s="6"/>
      <c r="U4846" s="6"/>
      <c r="V4846" s="6"/>
      <c r="W4846" s="6"/>
      <c r="X4846" s="6"/>
      <c r="Y4846" s="6"/>
      <c r="Z4846" s="6"/>
      <c r="AA4846" s="6"/>
      <c r="AB4846" s="6"/>
      <c r="AC4846" s="6"/>
      <c r="AD4846" s="6"/>
      <c r="AE4846" s="6"/>
      <c r="AF4846" s="6"/>
      <c r="AG4846" s="6"/>
      <c r="AH4846" s="6"/>
      <c r="AI4846" s="6"/>
      <c r="AJ4846" s="6"/>
      <c r="AK4846" s="6"/>
      <c r="AL4846" s="6"/>
      <c r="AM4846" s="6"/>
    </row>
    <row r="4847">
      <c r="A4847" s="6"/>
      <c r="B4847" s="6"/>
      <c r="C4847" s="6"/>
      <c r="D4847" s="6"/>
      <c r="E4847" s="6"/>
      <c r="F4847" s="6"/>
      <c r="G4847" s="6"/>
      <c r="H4847" s="6"/>
      <c r="I4847" s="6"/>
      <c r="J4847" s="6"/>
      <c r="K4847" s="6"/>
      <c r="L4847" s="6"/>
      <c r="M4847" s="6"/>
      <c r="N4847" s="6"/>
      <c r="O4847" s="6"/>
      <c r="P4847" s="6"/>
      <c r="Q4847" s="6"/>
      <c r="R4847" s="6"/>
      <c r="S4847" s="6"/>
      <c r="T4847" s="6"/>
      <c r="U4847" s="6"/>
      <c r="V4847" s="6"/>
      <c r="W4847" s="6"/>
      <c r="X4847" s="6"/>
      <c r="Y4847" s="6"/>
      <c r="Z4847" s="6"/>
      <c r="AA4847" s="6"/>
      <c r="AB4847" s="6"/>
      <c r="AC4847" s="6"/>
      <c r="AD4847" s="6"/>
      <c r="AE4847" s="6"/>
      <c r="AF4847" s="6"/>
      <c r="AG4847" s="6"/>
      <c r="AH4847" s="6"/>
      <c r="AI4847" s="6"/>
      <c r="AJ4847" s="6"/>
      <c r="AK4847" s="6"/>
      <c r="AL4847" s="6"/>
      <c r="AM4847" s="6"/>
    </row>
    <row r="4848">
      <c r="A4848" s="6"/>
      <c r="B4848" s="6"/>
      <c r="C4848" s="6"/>
      <c r="D4848" s="6"/>
      <c r="E4848" s="6"/>
      <c r="F4848" s="6"/>
      <c r="G4848" s="6"/>
      <c r="H4848" s="6"/>
      <c r="I4848" s="6"/>
      <c r="J4848" s="6"/>
      <c r="K4848" s="6"/>
      <c r="L4848" s="6"/>
      <c r="M4848" s="6"/>
      <c r="N4848" s="6"/>
      <c r="O4848" s="6"/>
      <c r="P4848" s="6"/>
      <c r="Q4848" s="6"/>
      <c r="R4848" s="6"/>
      <c r="S4848" s="6"/>
      <c r="T4848" s="6"/>
      <c r="U4848" s="6"/>
      <c r="V4848" s="6"/>
      <c r="W4848" s="6"/>
      <c r="X4848" s="6"/>
      <c r="Y4848" s="6"/>
      <c r="Z4848" s="6"/>
      <c r="AA4848" s="6"/>
      <c r="AB4848" s="6"/>
      <c r="AC4848" s="6"/>
      <c r="AD4848" s="6"/>
      <c r="AE4848" s="6"/>
      <c r="AF4848" s="6"/>
      <c r="AG4848" s="6"/>
      <c r="AH4848" s="6"/>
      <c r="AI4848" s="6"/>
      <c r="AJ4848" s="6"/>
      <c r="AK4848" s="6"/>
      <c r="AL4848" s="6"/>
      <c r="AM4848" s="6"/>
    </row>
    <row r="4849">
      <c r="A4849" s="6"/>
      <c r="B4849" s="6"/>
      <c r="C4849" s="6"/>
      <c r="D4849" s="6"/>
      <c r="E4849" s="6"/>
      <c r="F4849" s="6"/>
      <c r="G4849" s="6"/>
      <c r="H4849" s="6"/>
      <c r="I4849" s="6"/>
      <c r="J4849" s="6"/>
      <c r="K4849" s="6"/>
      <c r="L4849" s="6"/>
      <c r="M4849" s="6"/>
      <c r="N4849" s="6"/>
      <c r="O4849" s="6"/>
      <c r="P4849" s="6"/>
      <c r="Q4849" s="6"/>
      <c r="R4849" s="6"/>
      <c r="S4849" s="6"/>
      <c r="T4849" s="6"/>
      <c r="U4849" s="6"/>
      <c r="V4849" s="6"/>
      <c r="W4849" s="6"/>
      <c r="X4849" s="6"/>
      <c r="Y4849" s="6"/>
      <c r="Z4849" s="6"/>
      <c r="AA4849" s="6"/>
      <c r="AB4849" s="6"/>
      <c r="AC4849" s="6"/>
      <c r="AD4849" s="6"/>
      <c r="AE4849" s="6"/>
      <c r="AF4849" s="6"/>
      <c r="AG4849" s="6"/>
      <c r="AH4849" s="6"/>
      <c r="AI4849" s="6"/>
      <c r="AJ4849" s="6"/>
      <c r="AK4849" s="6"/>
      <c r="AL4849" s="6"/>
      <c r="AM4849" s="6"/>
    </row>
    <row r="4850">
      <c r="A4850" s="6"/>
      <c r="B4850" s="6"/>
      <c r="C4850" s="6"/>
      <c r="D4850" s="6"/>
      <c r="E4850" s="6"/>
      <c r="F4850" s="6"/>
      <c r="G4850" s="6"/>
      <c r="H4850" s="6"/>
      <c r="I4850" s="6"/>
      <c r="J4850" s="6"/>
      <c r="K4850" s="6"/>
      <c r="L4850" s="6"/>
      <c r="M4850" s="6"/>
      <c r="N4850" s="6"/>
      <c r="O4850" s="6"/>
      <c r="P4850" s="6"/>
      <c r="Q4850" s="6"/>
      <c r="R4850" s="6"/>
      <c r="S4850" s="6"/>
      <c r="T4850" s="6"/>
      <c r="U4850" s="6"/>
      <c r="V4850" s="6"/>
      <c r="W4850" s="6"/>
      <c r="X4850" s="6"/>
      <c r="Y4850" s="6"/>
      <c r="Z4850" s="6"/>
      <c r="AA4850" s="6"/>
      <c r="AB4850" s="6"/>
      <c r="AC4850" s="6"/>
      <c r="AD4850" s="6"/>
      <c r="AE4850" s="6"/>
      <c r="AF4850" s="6"/>
      <c r="AG4850" s="6"/>
      <c r="AH4850" s="6"/>
      <c r="AI4850" s="6"/>
      <c r="AJ4850" s="6"/>
      <c r="AK4850" s="6"/>
      <c r="AL4850" s="6"/>
      <c r="AM4850" s="6"/>
    </row>
    <row r="4851">
      <c r="A4851" s="6"/>
      <c r="B4851" s="6"/>
      <c r="C4851" s="6"/>
      <c r="D4851" s="6"/>
      <c r="E4851" s="6"/>
      <c r="F4851" s="6"/>
      <c r="G4851" s="6"/>
      <c r="H4851" s="6"/>
      <c r="I4851" s="6"/>
      <c r="J4851" s="6"/>
      <c r="K4851" s="6"/>
      <c r="L4851" s="6"/>
      <c r="M4851" s="6"/>
      <c r="N4851" s="6"/>
      <c r="O4851" s="6"/>
      <c r="P4851" s="6"/>
      <c r="Q4851" s="6"/>
      <c r="R4851" s="6"/>
      <c r="S4851" s="6"/>
      <c r="T4851" s="6"/>
      <c r="U4851" s="6"/>
      <c r="V4851" s="6"/>
      <c r="W4851" s="6"/>
      <c r="X4851" s="6"/>
      <c r="Y4851" s="6"/>
      <c r="Z4851" s="6"/>
      <c r="AA4851" s="6"/>
      <c r="AB4851" s="6"/>
      <c r="AC4851" s="6"/>
      <c r="AD4851" s="6"/>
      <c r="AE4851" s="6"/>
      <c r="AF4851" s="6"/>
      <c r="AG4851" s="6"/>
      <c r="AH4851" s="6"/>
      <c r="AI4851" s="6"/>
      <c r="AJ4851" s="6"/>
      <c r="AK4851" s="6"/>
      <c r="AL4851" s="6"/>
      <c r="AM4851" s="6"/>
    </row>
    <row r="4852">
      <c r="A4852" s="6"/>
      <c r="B4852" s="6"/>
      <c r="C4852" s="6"/>
      <c r="D4852" s="6"/>
      <c r="E4852" s="6"/>
      <c r="F4852" s="6"/>
      <c r="G4852" s="6"/>
      <c r="H4852" s="6"/>
      <c r="I4852" s="6"/>
      <c r="J4852" s="6"/>
      <c r="K4852" s="6"/>
      <c r="L4852" s="6"/>
      <c r="M4852" s="6"/>
      <c r="N4852" s="6"/>
      <c r="O4852" s="6"/>
      <c r="P4852" s="6"/>
      <c r="Q4852" s="6"/>
      <c r="R4852" s="6"/>
      <c r="S4852" s="6"/>
      <c r="T4852" s="6"/>
      <c r="U4852" s="6"/>
      <c r="V4852" s="6"/>
      <c r="W4852" s="6"/>
      <c r="X4852" s="6"/>
      <c r="Y4852" s="6"/>
      <c r="Z4852" s="6"/>
      <c r="AA4852" s="6"/>
      <c r="AB4852" s="6"/>
      <c r="AC4852" s="6"/>
      <c r="AD4852" s="6"/>
      <c r="AE4852" s="6"/>
      <c r="AF4852" s="6"/>
      <c r="AG4852" s="6"/>
      <c r="AH4852" s="6"/>
      <c r="AI4852" s="6"/>
      <c r="AJ4852" s="6"/>
      <c r="AK4852" s="6"/>
      <c r="AL4852" s="6"/>
      <c r="AM4852" s="6"/>
    </row>
    <row r="4853">
      <c r="A4853" s="6"/>
      <c r="B4853" s="6"/>
      <c r="C4853" s="6"/>
      <c r="D4853" s="6"/>
      <c r="E4853" s="6"/>
      <c r="F4853" s="6"/>
      <c r="G4853" s="6"/>
      <c r="H4853" s="6"/>
      <c r="I4853" s="6"/>
      <c r="J4853" s="6"/>
      <c r="K4853" s="6"/>
      <c r="L4853" s="6"/>
      <c r="M4853" s="6"/>
      <c r="N4853" s="6"/>
      <c r="O4853" s="6"/>
      <c r="P4853" s="6"/>
      <c r="Q4853" s="6"/>
      <c r="R4853" s="6"/>
      <c r="S4853" s="6"/>
      <c r="T4853" s="6"/>
      <c r="U4853" s="6"/>
      <c r="V4853" s="6"/>
      <c r="W4853" s="6"/>
      <c r="X4853" s="6"/>
      <c r="Y4853" s="6"/>
      <c r="Z4853" s="6"/>
      <c r="AA4853" s="6"/>
      <c r="AB4853" s="6"/>
      <c r="AC4853" s="6"/>
      <c r="AD4853" s="6"/>
      <c r="AE4853" s="6"/>
      <c r="AF4853" s="6"/>
      <c r="AG4853" s="6"/>
      <c r="AH4853" s="6"/>
      <c r="AI4853" s="6"/>
      <c r="AJ4853" s="6"/>
      <c r="AK4853" s="6"/>
      <c r="AL4853" s="6"/>
      <c r="AM4853" s="6"/>
    </row>
    <row r="4854">
      <c r="A4854" s="6"/>
      <c r="B4854" s="6"/>
      <c r="C4854" s="6"/>
      <c r="D4854" s="6"/>
      <c r="E4854" s="6"/>
      <c r="F4854" s="6"/>
      <c r="G4854" s="6"/>
      <c r="H4854" s="6"/>
      <c r="I4854" s="6"/>
      <c r="J4854" s="6"/>
      <c r="K4854" s="6"/>
      <c r="L4854" s="6"/>
      <c r="M4854" s="6"/>
      <c r="N4854" s="6"/>
      <c r="O4854" s="6"/>
      <c r="P4854" s="6"/>
      <c r="Q4854" s="6"/>
      <c r="R4854" s="6"/>
      <c r="S4854" s="6"/>
      <c r="T4854" s="6"/>
      <c r="U4854" s="6"/>
      <c r="V4854" s="6"/>
      <c r="W4854" s="6"/>
      <c r="X4854" s="6"/>
      <c r="Y4854" s="6"/>
      <c r="Z4854" s="6"/>
      <c r="AA4854" s="6"/>
      <c r="AB4854" s="6"/>
      <c r="AC4854" s="6"/>
      <c r="AD4854" s="6"/>
      <c r="AE4854" s="6"/>
      <c r="AF4854" s="6"/>
      <c r="AG4854" s="6"/>
      <c r="AH4854" s="6"/>
      <c r="AI4854" s="6"/>
      <c r="AJ4854" s="6"/>
      <c r="AK4854" s="6"/>
      <c r="AL4854" s="6"/>
      <c r="AM4854" s="6"/>
    </row>
    <row r="4855">
      <c r="A4855" s="6"/>
      <c r="B4855" s="6"/>
      <c r="C4855" s="6"/>
      <c r="D4855" s="6"/>
      <c r="E4855" s="6"/>
      <c r="F4855" s="6"/>
      <c r="G4855" s="6"/>
      <c r="H4855" s="6"/>
      <c r="I4855" s="6"/>
      <c r="J4855" s="6"/>
      <c r="K4855" s="6"/>
      <c r="L4855" s="6"/>
      <c r="M4855" s="6"/>
      <c r="N4855" s="6"/>
      <c r="O4855" s="6"/>
      <c r="P4855" s="6"/>
      <c r="Q4855" s="6"/>
      <c r="R4855" s="6"/>
      <c r="S4855" s="6"/>
      <c r="T4855" s="6"/>
      <c r="U4855" s="6"/>
      <c r="V4855" s="6"/>
      <c r="W4855" s="6"/>
      <c r="X4855" s="6"/>
      <c r="Y4855" s="6"/>
      <c r="Z4855" s="6"/>
      <c r="AA4855" s="6"/>
      <c r="AB4855" s="6"/>
      <c r="AC4855" s="6"/>
      <c r="AD4855" s="6"/>
      <c r="AE4855" s="6"/>
      <c r="AF4855" s="6"/>
      <c r="AG4855" s="6"/>
      <c r="AH4855" s="6"/>
      <c r="AI4855" s="6"/>
      <c r="AJ4855" s="6"/>
      <c r="AK4855" s="6"/>
      <c r="AL4855" s="6"/>
      <c r="AM4855" s="6"/>
    </row>
    <row r="4856">
      <c r="A4856" s="6"/>
      <c r="B4856" s="6"/>
      <c r="C4856" s="6"/>
      <c r="D4856" s="6"/>
      <c r="E4856" s="6"/>
      <c r="F4856" s="6"/>
      <c r="G4856" s="6"/>
      <c r="H4856" s="6"/>
      <c r="I4856" s="6"/>
      <c r="J4856" s="6"/>
      <c r="K4856" s="6"/>
      <c r="L4856" s="6"/>
      <c r="M4856" s="6"/>
      <c r="N4856" s="6"/>
      <c r="O4856" s="6"/>
      <c r="P4856" s="6"/>
      <c r="Q4856" s="6"/>
      <c r="R4856" s="6"/>
      <c r="S4856" s="6"/>
      <c r="T4856" s="6"/>
      <c r="U4856" s="6"/>
      <c r="V4856" s="6"/>
      <c r="W4856" s="6"/>
      <c r="X4856" s="6"/>
      <c r="Y4856" s="6"/>
      <c r="Z4856" s="6"/>
      <c r="AA4856" s="6"/>
      <c r="AB4856" s="6"/>
      <c r="AC4856" s="6"/>
      <c r="AD4856" s="6"/>
      <c r="AE4856" s="6"/>
      <c r="AF4856" s="6"/>
      <c r="AG4856" s="6"/>
      <c r="AH4856" s="6"/>
      <c r="AI4856" s="6"/>
      <c r="AJ4856" s="6"/>
      <c r="AK4856" s="6"/>
      <c r="AL4856" s="6"/>
      <c r="AM4856" s="6"/>
    </row>
    <row r="4857">
      <c r="A4857" s="6"/>
      <c r="B4857" s="6"/>
      <c r="C4857" s="6"/>
      <c r="D4857" s="6"/>
      <c r="E4857" s="6"/>
      <c r="F4857" s="6"/>
      <c r="G4857" s="6"/>
      <c r="H4857" s="6"/>
      <c r="I4857" s="6"/>
      <c r="J4857" s="6"/>
      <c r="K4857" s="6"/>
      <c r="L4857" s="6"/>
      <c r="M4857" s="6"/>
      <c r="N4857" s="6"/>
      <c r="O4857" s="6"/>
      <c r="P4857" s="6"/>
      <c r="Q4857" s="6"/>
      <c r="R4857" s="6"/>
      <c r="S4857" s="6"/>
      <c r="T4857" s="6"/>
      <c r="U4857" s="6"/>
      <c r="V4857" s="6"/>
      <c r="W4857" s="6"/>
      <c r="X4857" s="6"/>
      <c r="Y4857" s="6"/>
      <c r="Z4857" s="6"/>
      <c r="AA4857" s="6"/>
      <c r="AB4857" s="6"/>
      <c r="AC4857" s="6"/>
      <c r="AD4857" s="6"/>
      <c r="AE4857" s="6"/>
      <c r="AF4857" s="6"/>
      <c r="AG4857" s="6"/>
      <c r="AH4857" s="6"/>
      <c r="AI4857" s="6"/>
      <c r="AJ4857" s="6"/>
      <c r="AK4857" s="6"/>
      <c r="AL4857" s="6"/>
      <c r="AM4857" s="6"/>
    </row>
    <row r="4858">
      <c r="A4858" s="6"/>
      <c r="B4858" s="6"/>
      <c r="C4858" s="6"/>
      <c r="D4858" s="6"/>
      <c r="E4858" s="6"/>
      <c r="F4858" s="6"/>
      <c r="G4858" s="6"/>
      <c r="H4858" s="6"/>
      <c r="I4858" s="6"/>
      <c r="J4858" s="6"/>
      <c r="K4858" s="6"/>
      <c r="L4858" s="6"/>
      <c r="M4858" s="6"/>
      <c r="N4858" s="6"/>
      <c r="O4858" s="6"/>
      <c r="P4858" s="6"/>
      <c r="Q4858" s="6"/>
      <c r="R4858" s="6"/>
      <c r="S4858" s="6"/>
      <c r="T4858" s="6"/>
      <c r="U4858" s="6"/>
      <c r="V4858" s="6"/>
      <c r="W4858" s="6"/>
      <c r="X4858" s="6"/>
      <c r="Y4858" s="6"/>
      <c r="Z4858" s="6"/>
      <c r="AA4858" s="6"/>
      <c r="AB4858" s="6"/>
      <c r="AC4858" s="6"/>
      <c r="AD4858" s="6"/>
      <c r="AE4858" s="6"/>
      <c r="AF4858" s="6"/>
      <c r="AG4858" s="6"/>
      <c r="AH4858" s="6"/>
      <c r="AI4858" s="6"/>
      <c r="AJ4858" s="6"/>
      <c r="AK4858" s="6"/>
      <c r="AL4858" s="6"/>
      <c r="AM4858" s="6"/>
    </row>
    <row r="4859">
      <c r="A4859" s="6"/>
      <c r="B4859" s="6"/>
      <c r="C4859" s="6"/>
      <c r="D4859" s="6"/>
      <c r="E4859" s="6"/>
      <c r="F4859" s="6"/>
      <c r="G4859" s="6"/>
      <c r="H4859" s="6"/>
      <c r="I4859" s="6"/>
      <c r="J4859" s="6"/>
      <c r="K4859" s="6"/>
      <c r="L4859" s="6"/>
      <c r="M4859" s="6"/>
      <c r="N4859" s="6"/>
      <c r="O4859" s="6"/>
      <c r="P4859" s="6"/>
      <c r="Q4859" s="6"/>
      <c r="R4859" s="6"/>
      <c r="S4859" s="6"/>
      <c r="T4859" s="6"/>
      <c r="U4859" s="6"/>
      <c r="V4859" s="6"/>
      <c r="W4859" s="6"/>
      <c r="X4859" s="6"/>
      <c r="Y4859" s="6"/>
      <c r="Z4859" s="6"/>
      <c r="AA4859" s="6"/>
      <c r="AB4859" s="6"/>
      <c r="AC4859" s="6"/>
      <c r="AD4859" s="6"/>
      <c r="AE4859" s="6"/>
      <c r="AF4859" s="6"/>
      <c r="AG4859" s="6"/>
      <c r="AH4859" s="6"/>
      <c r="AI4859" s="6"/>
      <c r="AJ4859" s="6"/>
      <c r="AK4859" s="6"/>
      <c r="AL4859" s="6"/>
      <c r="AM4859" s="6"/>
    </row>
    <row r="4860">
      <c r="A4860" s="6"/>
      <c r="B4860" s="6"/>
      <c r="C4860" s="6"/>
      <c r="D4860" s="6"/>
      <c r="E4860" s="6"/>
      <c r="F4860" s="6"/>
      <c r="G4860" s="6"/>
      <c r="H4860" s="6"/>
      <c r="I4860" s="6"/>
      <c r="J4860" s="6"/>
      <c r="K4860" s="6"/>
      <c r="L4860" s="6"/>
      <c r="M4860" s="6"/>
      <c r="N4860" s="6"/>
      <c r="O4860" s="6"/>
      <c r="P4860" s="6"/>
      <c r="Q4860" s="6"/>
      <c r="R4860" s="6"/>
      <c r="S4860" s="6"/>
      <c r="T4860" s="6"/>
      <c r="U4860" s="6"/>
      <c r="V4860" s="6"/>
      <c r="W4860" s="6"/>
      <c r="X4860" s="6"/>
      <c r="Y4860" s="6"/>
      <c r="Z4860" s="6"/>
      <c r="AA4860" s="6"/>
      <c r="AB4860" s="6"/>
      <c r="AC4860" s="6"/>
      <c r="AD4860" s="6"/>
      <c r="AE4860" s="6"/>
      <c r="AF4860" s="6"/>
      <c r="AG4860" s="6"/>
      <c r="AH4860" s="6"/>
      <c r="AI4860" s="6"/>
      <c r="AJ4860" s="6"/>
      <c r="AK4860" s="6"/>
      <c r="AL4860" s="6"/>
      <c r="AM4860" s="6"/>
    </row>
    <row r="4861">
      <c r="A4861" s="6"/>
      <c r="B4861" s="6"/>
      <c r="C4861" s="6"/>
      <c r="D4861" s="6"/>
      <c r="E4861" s="6"/>
      <c r="F4861" s="6"/>
      <c r="G4861" s="6"/>
      <c r="H4861" s="6"/>
      <c r="I4861" s="6"/>
      <c r="J4861" s="6"/>
      <c r="K4861" s="6"/>
      <c r="L4861" s="6"/>
      <c r="M4861" s="6"/>
      <c r="N4861" s="6"/>
      <c r="O4861" s="6"/>
      <c r="P4861" s="6"/>
      <c r="Q4861" s="6"/>
      <c r="R4861" s="6"/>
      <c r="S4861" s="6"/>
      <c r="T4861" s="6"/>
      <c r="U4861" s="6"/>
      <c r="V4861" s="6"/>
      <c r="W4861" s="6"/>
      <c r="X4861" s="6"/>
      <c r="Y4861" s="6"/>
      <c r="Z4861" s="6"/>
      <c r="AA4861" s="6"/>
      <c r="AB4861" s="6"/>
      <c r="AC4861" s="6"/>
      <c r="AD4861" s="6"/>
      <c r="AE4861" s="6"/>
      <c r="AF4861" s="6"/>
      <c r="AG4861" s="6"/>
      <c r="AH4861" s="6"/>
      <c r="AI4861" s="6"/>
      <c r="AJ4861" s="6"/>
      <c r="AK4861" s="6"/>
      <c r="AL4861" s="6"/>
      <c r="AM4861" s="6"/>
    </row>
    <row r="4862">
      <c r="A4862" s="6"/>
      <c r="B4862" s="6"/>
      <c r="C4862" s="6"/>
      <c r="D4862" s="6"/>
      <c r="E4862" s="6"/>
      <c r="F4862" s="6"/>
      <c r="G4862" s="6"/>
      <c r="H4862" s="6"/>
      <c r="I4862" s="6"/>
      <c r="J4862" s="6"/>
      <c r="K4862" s="6"/>
      <c r="L4862" s="6"/>
      <c r="M4862" s="6"/>
      <c r="N4862" s="6"/>
      <c r="O4862" s="6"/>
      <c r="P4862" s="6"/>
      <c r="Q4862" s="6"/>
      <c r="R4862" s="6"/>
      <c r="S4862" s="6"/>
      <c r="T4862" s="6"/>
      <c r="U4862" s="6"/>
      <c r="V4862" s="6"/>
      <c r="W4862" s="6"/>
      <c r="X4862" s="6"/>
      <c r="Y4862" s="6"/>
      <c r="Z4862" s="6"/>
      <c r="AA4862" s="6"/>
      <c r="AB4862" s="6"/>
      <c r="AC4862" s="6"/>
      <c r="AD4862" s="6"/>
      <c r="AE4862" s="6"/>
      <c r="AF4862" s="6"/>
      <c r="AG4862" s="6"/>
      <c r="AH4862" s="6"/>
      <c r="AI4862" s="6"/>
      <c r="AJ4862" s="6"/>
      <c r="AK4862" s="6"/>
      <c r="AL4862" s="6"/>
      <c r="AM4862" s="6"/>
    </row>
    <row r="4863">
      <c r="A4863" s="6"/>
      <c r="B4863" s="6"/>
      <c r="C4863" s="6"/>
      <c r="D4863" s="6"/>
      <c r="E4863" s="6"/>
      <c r="F4863" s="6"/>
      <c r="G4863" s="6"/>
      <c r="H4863" s="6"/>
      <c r="I4863" s="6"/>
      <c r="J4863" s="6"/>
      <c r="K4863" s="6"/>
      <c r="L4863" s="6"/>
      <c r="M4863" s="6"/>
      <c r="N4863" s="6"/>
      <c r="O4863" s="6"/>
      <c r="P4863" s="6"/>
      <c r="Q4863" s="6"/>
      <c r="R4863" s="6"/>
      <c r="S4863" s="6"/>
      <c r="T4863" s="6"/>
      <c r="U4863" s="6"/>
      <c r="V4863" s="6"/>
      <c r="W4863" s="6"/>
      <c r="X4863" s="6"/>
      <c r="Y4863" s="6"/>
      <c r="Z4863" s="6"/>
      <c r="AA4863" s="6"/>
      <c r="AB4863" s="6"/>
      <c r="AC4863" s="6"/>
      <c r="AD4863" s="6"/>
      <c r="AE4863" s="6"/>
      <c r="AF4863" s="6"/>
      <c r="AG4863" s="6"/>
      <c r="AH4863" s="6"/>
      <c r="AI4863" s="6"/>
      <c r="AJ4863" s="6"/>
      <c r="AK4863" s="6"/>
      <c r="AL4863" s="6"/>
      <c r="AM4863" s="6"/>
    </row>
    <row r="4864">
      <c r="A4864" s="6"/>
      <c r="B4864" s="6"/>
      <c r="C4864" s="6"/>
      <c r="D4864" s="6"/>
      <c r="E4864" s="6"/>
      <c r="F4864" s="6"/>
      <c r="G4864" s="6"/>
      <c r="H4864" s="6"/>
      <c r="I4864" s="6"/>
      <c r="J4864" s="6"/>
      <c r="K4864" s="6"/>
      <c r="L4864" s="6"/>
      <c r="M4864" s="6"/>
      <c r="N4864" s="6"/>
      <c r="O4864" s="6"/>
      <c r="P4864" s="6"/>
      <c r="Q4864" s="6"/>
      <c r="R4864" s="6"/>
      <c r="S4864" s="6"/>
      <c r="T4864" s="6"/>
      <c r="U4864" s="6"/>
      <c r="V4864" s="6"/>
      <c r="W4864" s="6"/>
      <c r="X4864" s="6"/>
      <c r="Y4864" s="6"/>
      <c r="Z4864" s="6"/>
      <c r="AA4864" s="6"/>
      <c r="AB4864" s="6"/>
      <c r="AC4864" s="6"/>
      <c r="AD4864" s="6"/>
      <c r="AE4864" s="6"/>
      <c r="AF4864" s="6"/>
      <c r="AG4864" s="6"/>
      <c r="AH4864" s="6"/>
      <c r="AI4864" s="6"/>
      <c r="AJ4864" s="6"/>
      <c r="AK4864" s="6"/>
      <c r="AL4864" s="6"/>
      <c r="AM4864" s="6"/>
    </row>
    <row r="4865">
      <c r="A4865" s="6"/>
      <c r="B4865" s="6"/>
      <c r="C4865" s="6"/>
      <c r="D4865" s="6"/>
      <c r="E4865" s="6"/>
      <c r="F4865" s="6"/>
      <c r="G4865" s="6"/>
      <c r="H4865" s="6"/>
      <c r="I4865" s="6"/>
      <c r="J4865" s="6"/>
      <c r="K4865" s="6"/>
      <c r="L4865" s="6"/>
      <c r="M4865" s="6"/>
      <c r="N4865" s="6"/>
      <c r="O4865" s="6"/>
      <c r="P4865" s="6"/>
      <c r="Q4865" s="6"/>
      <c r="R4865" s="6"/>
      <c r="S4865" s="6"/>
      <c r="T4865" s="6"/>
      <c r="U4865" s="6"/>
      <c r="V4865" s="6"/>
      <c r="W4865" s="6"/>
      <c r="X4865" s="6"/>
      <c r="Y4865" s="6"/>
      <c r="Z4865" s="6"/>
      <c r="AA4865" s="6"/>
      <c r="AB4865" s="6"/>
      <c r="AC4865" s="6"/>
      <c r="AD4865" s="6"/>
      <c r="AE4865" s="6"/>
      <c r="AF4865" s="6"/>
      <c r="AG4865" s="6"/>
      <c r="AH4865" s="6"/>
      <c r="AI4865" s="6"/>
      <c r="AJ4865" s="6"/>
      <c r="AK4865" s="6"/>
      <c r="AL4865" s="6"/>
      <c r="AM4865" s="6"/>
    </row>
    <row r="4866">
      <c r="A4866" s="6"/>
      <c r="B4866" s="6"/>
      <c r="C4866" s="6"/>
      <c r="D4866" s="6"/>
      <c r="E4866" s="6"/>
      <c r="F4866" s="6"/>
      <c r="G4866" s="6"/>
      <c r="H4866" s="6"/>
      <c r="I4866" s="6"/>
      <c r="J4866" s="6"/>
      <c r="K4866" s="6"/>
      <c r="L4866" s="6"/>
      <c r="M4866" s="6"/>
      <c r="N4866" s="6"/>
      <c r="O4866" s="6"/>
      <c r="P4866" s="6"/>
      <c r="Q4866" s="6"/>
      <c r="R4866" s="6"/>
      <c r="S4866" s="6"/>
      <c r="T4866" s="6"/>
      <c r="U4866" s="6"/>
      <c r="V4866" s="6"/>
      <c r="W4866" s="6"/>
      <c r="X4866" s="6"/>
      <c r="Y4866" s="6"/>
      <c r="Z4866" s="6"/>
      <c r="AA4866" s="6"/>
      <c r="AB4866" s="6"/>
      <c r="AC4866" s="6"/>
      <c r="AD4866" s="6"/>
      <c r="AE4866" s="6"/>
      <c r="AF4866" s="6"/>
      <c r="AG4866" s="6"/>
      <c r="AH4866" s="6"/>
      <c r="AI4866" s="6"/>
      <c r="AJ4866" s="6"/>
      <c r="AK4866" s="6"/>
      <c r="AL4866" s="6"/>
      <c r="AM4866" s="6"/>
    </row>
    <row r="4867">
      <c r="A4867" s="6"/>
      <c r="B4867" s="6"/>
      <c r="C4867" s="6"/>
      <c r="D4867" s="6"/>
      <c r="E4867" s="6"/>
      <c r="F4867" s="6"/>
      <c r="G4867" s="6"/>
      <c r="H4867" s="6"/>
      <c r="I4867" s="6"/>
      <c r="J4867" s="6"/>
      <c r="K4867" s="6"/>
      <c r="L4867" s="6"/>
      <c r="M4867" s="6"/>
      <c r="N4867" s="6"/>
      <c r="O4867" s="6"/>
      <c r="P4867" s="6"/>
      <c r="Q4867" s="6"/>
      <c r="R4867" s="6"/>
      <c r="S4867" s="6"/>
      <c r="T4867" s="6"/>
      <c r="U4867" s="6"/>
      <c r="V4867" s="6"/>
      <c r="W4867" s="6"/>
      <c r="X4867" s="6"/>
      <c r="Y4867" s="6"/>
      <c r="Z4867" s="6"/>
      <c r="AA4867" s="6"/>
      <c r="AB4867" s="6"/>
      <c r="AC4867" s="6"/>
      <c r="AD4867" s="6"/>
      <c r="AE4867" s="6"/>
      <c r="AF4867" s="6"/>
      <c r="AG4867" s="6"/>
      <c r="AH4867" s="6"/>
      <c r="AI4867" s="6"/>
      <c r="AJ4867" s="6"/>
      <c r="AK4867" s="6"/>
      <c r="AL4867" s="6"/>
      <c r="AM4867" s="6"/>
    </row>
    <row r="4868">
      <c r="A4868" s="6"/>
      <c r="B4868" s="6"/>
      <c r="C4868" s="6"/>
      <c r="D4868" s="6"/>
      <c r="E4868" s="6"/>
      <c r="F4868" s="6"/>
      <c r="G4868" s="6"/>
      <c r="H4868" s="6"/>
      <c r="I4868" s="6"/>
      <c r="J4868" s="6"/>
      <c r="K4868" s="6"/>
      <c r="L4868" s="6"/>
      <c r="M4868" s="6"/>
      <c r="N4868" s="6"/>
      <c r="O4868" s="6"/>
      <c r="P4868" s="6"/>
      <c r="Q4868" s="6"/>
      <c r="R4868" s="6"/>
      <c r="S4868" s="6"/>
      <c r="T4868" s="6"/>
      <c r="U4868" s="6"/>
      <c r="V4868" s="6"/>
      <c r="W4868" s="6"/>
      <c r="X4868" s="6"/>
      <c r="Y4868" s="6"/>
      <c r="Z4868" s="6"/>
      <c r="AA4868" s="6"/>
      <c r="AB4868" s="6"/>
      <c r="AC4868" s="6"/>
      <c r="AD4868" s="6"/>
      <c r="AE4868" s="6"/>
      <c r="AF4868" s="6"/>
      <c r="AG4868" s="6"/>
      <c r="AH4868" s="6"/>
      <c r="AI4868" s="6"/>
      <c r="AJ4868" s="6"/>
      <c r="AK4868" s="6"/>
      <c r="AL4868" s="6"/>
      <c r="AM4868" s="6"/>
    </row>
    <row r="4869">
      <c r="A4869" s="6"/>
      <c r="B4869" s="6"/>
      <c r="C4869" s="6"/>
      <c r="D4869" s="6"/>
      <c r="E4869" s="6"/>
      <c r="F4869" s="6"/>
      <c r="G4869" s="6"/>
      <c r="H4869" s="6"/>
      <c r="I4869" s="6"/>
      <c r="J4869" s="6"/>
      <c r="K4869" s="6"/>
      <c r="L4869" s="6"/>
      <c r="M4869" s="6"/>
      <c r="N4869" s="6"/>
      <c r="O4869" s="6"/>
      <c r="P4869" s="6"/>
      <c r="Q4869" s="6"/>
      <c r="R4869" s="6"/>
      <c r="S4869" s="6"/>
      <c r="T4869" s="6"/>
      <c r="U4869" s="6"/>
      <c r="V4869" s="6"/>
      <c r="W4869" s="6"/>
      <c r="X4869" s="6"/>
      <c r="Y4869" s="6"/>
      <c r="Z4869" s="6"/>
      <c r="AA4869" s="6"/>
      <c r="AB4869" s="6"/>
      <c r="AC4869" s="6"/>
      <c r="AD4869" s="6"/>
      <c r="AE4869" s="6"/>
      <c r="AF4869" s="6"/>
      <c r="AG4869" s="6"/>
      <c r="AH4869" s="6"/>
      <c r="AI4869" s="6"/>
      <c r="AJ4869" s="6"/>
      <c r="AK4869" s="6"/>
      <c r="AL4869" s="6"/>
      <c r="AM4869" s="6"/>
    </row>
    <row r="4870">
      <c r="A4870" s="6"/>
      <c r="B4870" s="6"/>
      <c r="C4870" s="6"/>
      <c r="D4870" s="6"/>
      <c r="E4870" s="6"/>
      <c r="F4870" s="6"/>
      <c r="G4870" s="6"/>
      <c r="H4870" s="6"/>
      <c r="I4870" s="6"/>
      <c r="J4870" s="6"/>
      <c r="K4870" s="6"/>
      <c r="L4870" s="6"/>
      <c r="M4870" s="6"/>
      <c r="N4870" s="6"/>
      <c r="O4870" s="6"/>
      <c r="P4870" s="6"/>
      <c r="Q4870" s="6"/>
      <c r="R4870" s="6"/>
      <c r="S4870" s="6"/>
      <c r="T4870" s="6"/>
      <c r="U4870" s="6"/>
      <c r="V4870" s="6"/>
      <c r="W4870" s="6"/>
      <c r="X4870" s="6"/>
      <c r="Y4870" s="6"/>
      <c r="Z4870" s="6"/>
      <c r="AA4870" s="6"/>
      <c r="AB4870" s="6"/>
      <c r="AC4870" s="6"/>
      <c r="AD4870" s="6"/>
      <c r="AE4870" s="6"/>
      <c r="AF4870" s="6"/>
      <c r="AG4870" s="6"/>
      <c r="AH4870" s="6"/>
      <c r="AI4870" s="6"/>
      <c r="AJ4870" s="6"/>
      <c r="AK4870" s="6"/>
      <c r="AL4870" s="6"/>
      <c r="AM4870" s="6"/>
    </row>
    <row r="4871">
      <c r="A4871" s="6"/>
      <c r="B4871" s="6"/>
      <c r="C4871" s="6"/>
      <c r="D4871" s="6"/>
      <c r="E4871" s="6"/>
      <c r="F4871" s="6"/>
      <c r="G4871" s="6"/>
      <c r="H4871" s="6"/>
      <c r="I4871" s="6"/>
      <c r="J4871" s="6"/>
      <c r="K4871" s="6"/>
      <c r="L4871" s="6"/>
      <c r="M4871" s="6"/>
      <c r="N4871" s="6"/>
      <c r="O4871" s="6"/>
      <c r="P4871" s="6"/>
      <c r="Q4871" s="6"/>
      <c r="R4871" s="6"/>
      <c r="S4871" s="6"/>
      <c r="T4871" s="6"/>
      <c r="U4871" s="6"/>
      <c r="V4871" s="6"/>
      <c r="W4871" s="6"/>
      <c r="X4871" s="6"/>
      <c r="Y4871" s="6"/>
      <c r="Z4871" s="6"/>
      <c r="AA4871" s="6"/>
      <c r="AB4871" s="6"/>
      <c r="AC4871" s="6"/>
      <c r="AD4871" s="6"/>
      <c r="AE4871" s="6"/>
      <c r="AF4871" s="6"/>
      <c r="AG4871" s="6"/>
      <c r="AH4871" s="6"/>
      <c r="AI4871" s="6"/>
      <c r="AJ4871" s="6"/>
      <c r="AK4871" s="6"/>
      <c r="AL4871" s="6"/>
      <c r="AM4871" s="6"/>
    </row>
    <row r="4872">
      <c r="A4872" s="6"/>
      <c r="B4872" s="6"/>
      <c r="C4872" s="6"/>
      <c r="D4872" s="6"/>
      <c r="E4872" s="6"/>
      <c r="F4872" s="6"/>
      <c r="G4872" s="6"/>
      <c r="H4872" s="6"/>
      <c r="I4872" s="6"/>
      <c r="J4872" s="6"/>
      <c r="K4872" s="6"/>
      <c r="L4872" s="6"/>
      <c r="M4872" s="6"/>
      <c r="N4872" s="6"/>
      <c r="O4872" s="6"/>
      <c r="P4872" s="6"/>
      <c r="Q4872" s="6"/>
      <c r="R4872" s="6"/>
      <c r="S4872" s="6"/>
      <c r="T4872" s="6"/>
      <c r="U4872" s="6"/>
      <c r="V4872" s="6"/>
      <c r="W4872" s="6"/>
      <c r="X4872" s="6"/>
      <c r="Y4872" s="6"/>
      <c r="Z4872" s="6"/>
      <c r="AA4872" s="6"/>
      <c r="AB4872" s="6"/>
      <c r="AC4872" s="6"/>
      <c r="AD4872" s="6"/>
      <c r="AE4872" s="6"/>
      <c r="AF4872" s="6"/>
      <c r="AG4872" s="6"/>
      <c r="AH4872" s="6"/>
      <c r="AI4872" s="6"/>
      <c r="AJ4872" s="6"/>
      <c r="AK4872" s="6"/>
      <c r="AL4872" s="6"/>
      <c r="AM4872" s="6"/>
    </row>
    <row r="4873">
      <c r="A4873" s="6"/>
      <c r="B4873" s="6"/>
      <c r="C4873" s="6"/>
      <c r="D4873" s="6"/>
      <c r="E4873" s="6"/>
      <c r="F4873" s="6"/>
      <c r="G4873" s="6"/>
      <c r="H4873" s="6"/>
      <c r="I4873" s="6"/>
      <c r="J4873" s="6"/>
      <c r="K4873" s="6"/>
      <c r="L4873" s="6"/>
      <c r="M4873" s="6"/>
      <c r="N4873" s="6"/>
      <c r="O4873" s="6"/>
      <c r="P4873" s="6"/>
      <c r="Q4873" s="6"/>
      <c r="R4873" s="6"/>
      <c r="S4873" s="6"/>
      <c r="T4873" s="6"/>
      <c r="U4873" s="6"/>
      <c r="V4873" s="6"/>
      <c r="W4873" s="6"/>
      <c r="X4873" s="6"/>
      <c r="Y4873" s="6"/>
      <c r="Z4873" s="6"/>
      <c r="AA4873" s="6"/>
      <c r="AB4873" s="6"/>
      <c r="AC4873" s="6"/>
      <c r="AD4873" s="6"/>
      <c r="AE4873" s="6"/>
      <c r="AF4873" s="6"/>
      <c r="AG4873" s="6"/>
      <c r="AH4873" s="6"/>
      <c r="AI4873" s="6"/>
      <c r="AJ4873" s="6"/>
      <c r="AK4873" s="6"/>
      <c r="AL4873" s="6"/>
      <c r="AM4873" s="6"/>
    </row>
    <row r="4874">
      <c r="A4874" s="6"/>
      <c r="B4874" s="6"/>
      <c r="C4874" s="6"/>
      <c r="D4874" s="6"/>
      <c r="E4874" s="6"/>
      <c r="F4874" s="6"/>
      <c r="G4874" s="6"/>
      <c r="H4874" s="6"/>
      <c r="I4874" s="6"/>
      <c r="J4874" s="6"/>
      <c r="K4874" s="6"/>
      <c r="L4874" s="6"/>
      <c r="M4874" s="6"/>
      <c r="N4874" s="6"/>
      <c r="O4874" s="6"/>
      <c r="P4874" s="6"/>
      <c r="Q4874" s="6"/>
      <c r="R4874" s="6"/>
      <c r="S4874" s="6"/>
      <c r="T4874" s="6"/>
      <c r="U4874" s="6"/>
      <c r="V4874" s="6"/>
      <c r="W4874" s="6"/>
      <c r="X4874" s="6"/>
      <c r="Y4874" s="6"/>
      <c r="Z4874" s="6"/>
      <c r="AA4874" s="6"/>
      <c r="AB4874" s="6"/>
      <c r="AC4874" s="6"/>
      <c r="AD4874" s="6"/>
      <c r="AE4874" s="6"/>
      <c r="AF4874" s="6"/>
      <c r="AG4874" s="6"/>
      <c r="AH4874" s="6"/>
      <c r="AI4874" s="6"/>
      <c r="AJ4874" s="6"/>
      <c r="AK4874" s="6"/>
      <c r="AL4874" s="6"/>
      <c r="AM4874" s="6"/>
    </row>
    <row r="4875">
      <c r="A4875" s="6"/>
      <c r="B4875" s="6"/>
      <c r="C4875" s="6"/>
      <c r="D4875" s="6"/>
      <c r="E4875" s="6"/>
      <c r="F4875" s="6"/>
      <c r="G4875" s="6"/>
      <c r="H4875" s="6"/>
      <c r="I4875" s="6"/>
      <c r="J4875" s="6"/>
      <c r="K4875" s="6"/>
      <c r="L4875" s="6"/>
      <c r="M4875" s="6"/>
      <c r="N4875" s="6"/>
      <c r="O4875" s="6"/>
      <c r="P4875" s="6"/>
      <c r="Q4875" s="6"/>
      <c r="R4875" s="6"/>
      <c r="S4875" s="6"/>
      <c r="T4875" s="6"/>
      <c r="U4875" s="6"/>
      <c r="V4875" s="6"/>
      <c r="W4875" s="6"/>
      <c r="X4875" s="6"/>
      <c r="Y4875" s="6"/>
      <c r="Z4875" s="6"/>
      <c r="AA4875" s="6"/>
      <c r="AB4875" s="6"/>
      <c r="AC4875" s="6"/>
      <c r="AD4875" s="6"/>
      <c r="AE4875" s="6"/>
      <c r="AF4875" s="6"/>
      <c r="AG4875" s="6"/>
      <c r="AH4875" s="6"/>
      <c r="AI4875" s="6"/>
      <c r="AJ4875" s="6"/>
      <c r="AK4875" s="6"/>
      <c r="AL4875" s="6"/>
      <c r="AM4875" s="6"/>
    </row>
    <row r="4876">
      <c r="A4876" s="6"/>
      <c r="B4876" s="6"/>
      <c r="C4876" s="6"/>
      <c r="D4876" s="6"/>
      <c r="E4876" s="6"/>
      <c r="F4876" s="6"/>
      <c r="G4876" s="6"/>
      <c r="H4876" s="6"/>
      <c r="I4876" s="6"/>
      <c r="J4876" s="6"/>
      <c r="K4876" s="6"/>
      <c r="L4876" s="6"/>
      <c r="M4876" s="6"/>
      <c r="N4876" s="6"/>
      <c r="O4876" s="6"/>
      <c r="P4876" s="6"/>
      <c r="Q4876" s="6"/>
      <c r="R4876" s="6"/>
      <c r="S4876" s="6"/>
      <c r="T4876" s="6"/>
      <c r="U4876" s="6"/>
      <c r="V4876" s="6"/>
      <c r="W4876" s="6"/>
      <c r="X4876" s="6"/>
      <c r="Y4876" s="6"/>
      <c r="Z4876" s="6"/>
      <c r="AA4876" s="6"/>
      <c r="AB4876" s="6"/>
      <c r="AC4876" s="6"/>
      <c r="AD4876" s="6"/>
      <c r="AE4876" s="6"/>
      <c r="AF4876" s="6"/>
      <c r="AG4876" s="6"/>
      <c r="AH4876" s="6"/>
      <c r="AI4876" s="6"/>
      <c r="AJ4876" s="6"/>
      <c r="AK4876" s="6"/>
      <c r="AL4876" s="6"/>
      <c r="AM4876" s="6"/>
    </row>
    <row r="4877">
      <c r="A4877" s="6"/>
      <c r="B4877" s="6"/>
      <c r="C4877" s="6"/>
      <c r="D4877" s="6"/>
      <c r="E4877" s="6"/>
      <c r="F4877" s="6"/>
      <c r="G4877" s="6"/>
      <c r="H4877" s="6"/>
      <c r="I4877" s="6"/>
      <c r="J4877" s="6"/>
      <c r="K4877" s="6"/>
      <c r="L4877" s="6"/>
      <c r="M4877" s="6"/>
      <c r="N4877" s="6"/>
      <c r="O4877" s="6"/>
      <c r="P4877" s="6"/>
      <c r="Q4877" s="6"/>
      <c r="R4877" s="6"/>
      <c r="S4877" s="6"/>
      <c r="T4877" s="6"/>
      <c r="U4877" s="6"/>
      <c r="V4877" s="6"/>
      <c r="W4877" s="6"/>
      <c r="X4877" s="6"/>
      <c r="Y4877" s="6"/>
      <c r="Z4877" s="6"/>
      <c r="AA4877" s="6"/>
      <c r="AB4877" s="6"/>
      <c r="AC4877" s="6"/>
      <c r="AD4877" s="6"/>
      <c r="AE4877" s="6"/>
      <c r="AF4877" s="6"/>
      <c r="AG4877" s="6"/>
      <c r="AH4877" s="6"/>
      <c r="AI4877" s="6"/>
      <c r="AJ4877" s="6"/>
      <c r="AK4877" s="6"/>
      <c r="AL4877" s="6"/>
      <c r="AM4877" s="6"/>
    </row>
    <row r="4878">
      <c r="A4878" s="6"/>
      <c r="B4878" s="6"/>
      <c r="C4878" s="6"/>
      <c r="D4878" s="6"/>
      <c r="E4878" s="6"/>
      <c r="F4878" s="6"/>
      <c r="G4878" s="6"/>
      <c r="H4878" s="6"/>
      <c r="I4878" s="6"/>
      <c r="J4878" s="6"/>
      <c r="K4878" s="6"/>
      <c r="L4878" s="6"/>
      <c r="M4878" s="6"/>
      <c r="N4878" s="6"/>
      <c r="O4878" s="6"/>
      <c r="P4878" s="6"/>
      <c r="Q4878" s="6"/>
      <c r="R4878" s="6"/>
      <c r="S4878" s="6"/>
      <c r="T4878" s="6"/>
      <c r="U4878" s="6"/>
      <c r="V4878" s="6"/>
      <c r="W4878" s="6"/>
      <c r="X4878" s="6"/>
      <c r="Y4878" s="6"/>
      <c r="Z4878" s="6"/>
      <c r="AA4878" s="6"/>
      <c r="AB4878" s="6"/>
      <c r="AC4878" s="6"/>
      <c r="AD4878" s="6"/>
      <c r="AE4878" s="6"/>
      <c r="AF4878" s="6"/>
      <c r="AG4878" s="6"/>
      <c r="AH4878" s="6"/>
      <c r="AI4878" s="6"/>
      <c r="AJ4878" s="6"/>
      <c r="AK4878" s="6"/>
      <c r="AL4878" s="6"/>
      <c r="AM4878" s="6"/>
    </row>
    <row r="4879">
      <c r="A4879" s="6"/>
      <c r="B4879" s="6"/>
      <c r="C4879" s="6"/>
      <c r="D4879" s="6"/>
      <c r="E4879" s="6"/>
      <c r="F4879" s="6"/>
      <c r="G4879" s="6"/>
      <c r="H4879" s="6"/>
      <c r="I4879" s="6"/>
      <c r="J4879" s="6"/>
      <c r="K4879" s="6"/>
      <c r="L4879" s="6"/>
      <c r="M4879" s="6"/>
      <c r="N4879" s="6"/>
      <c r="O4879" s="6"/>
      <c r="P4879" s="6"/>
      <c r="Q4879" s="6"/>
      <c r="R4879" s="6"/>
      <c r="S4879" s="6"/>
      <c r="T4879" s="6"/>
      <c r="U4879" s="6"/>
      <c r="V4879" s="6"/>
      <c r="W4879" s="6"/>
      <c r="X4879" s="6"/>
      <c r="Y4879" s="6"/>
      <c r="Z4879" s="6"/>
      <c r="AA4879" s="6"/>
      <c r="AB4879" s="6"/>
      <c r="AC4879" s="6"/>
      <c r="AD4879" s="6"/>
      <c r="AE4879" s="6"/>
      <c r="AF4879" s="6"/>
      <c r="AG4879" s="6"/>
      <c r="AH4879" s="6"/>
      <c r="AI4879" s="6"/>
      <c r="AJ4879" s="6"/>
      <c r="AK4879" s="6"/>
      <c r="AL4879" s="6"/>
      <c r="AM4879" s="6"/>
    </row>
    <row r="4880">
      <c r="A4880" s="6"/>
      <c r="B4880" s="6"/>
      <c r="C4880" s="6"/>
      <c r="D4880" s="6"/>
      <c r="E4880" s="6"/>
      <c r="F4880" s="6"/>
      <c r="G4880" s="6"/>
      <c r="H4880" s="6"/>
      <c r="I4880" s="6"/>
      <c r="J4880" s="6"/>
      <c r="K4880" s="6"/>
      <c r="L4880" s="6"/>
      <c r="M4880" s="6"/>
      <c r="N4880" s="6"/>
      <c r="O4880" s="6"/>
      <c r="P4880" s="6"/>
      <c r="Q4880" s="6"/>
      <c r="R4880" s="6"/>
      <c r="S4880" s="6"/>
      <c r="T4880" s="6"/>
      <c r="U4880" s="6"/>
      <c r="V4880" s="6"/>
      <c r="W4880" s="6"/>
      <c r="X4880" s="6"/>
      <c r="Y4880" s="6"/>
      <c r="Z4880" s="6"/>
      <c r="AA4880" s="6"/>
      <c r="AB4880" s="6"/>
      <c r="AC4880" s="6"/>
      <c r="AD4880" s="6"/>
      <c r="AE4880" s="6"/>
      <c r="AF4880" s="6"/>
      <c r="AG4880" s="6"/>
      <c r="AH4880" s="6"/>
      <c r="AI4880" s="6"/>
      <c r="AJ4880" s="6"/>
      <c r="AK4880" s="6"/>
      <c r="AL4880" s="6"/>
      <c r="AM4880" s="6"/>
    </row>
    <row r="4881">
      <c r="A4881" s="6"/>
      <c r="B4881" s="6"/>
      <c r="C4881" s="6"/>
      <c r="D4881" s="6"/>
      <c r="E4881" s="6"/>
      <c r="F4881" s="6"/>
      <c r="G4881" s="6"/>
      <c r="H4881" s="6"/>
      <c r="I4881" s="6"/>
      <c r="J4881" s="6"/>
      <c r="K4881" s="6"/>
      <c r="L4881" s="6"/>
      <c r="M4881" s="6"/>
      <c r="N4881" s="6"/>
      <c r="O4881" s="6"/>
      <c r="P4881" s="6"/>
      <c r="Q4881" s="6"/>
      <c r="R4881" s="6"/>
      <c r="S4881" s="6"/>
      <c r="T4881" s="6"/>
      <c r="U4881" s="6"/>
      <c r="V4881" s="6"/>
      <c r="W4881" s="6"/>
      <c r="X4881" s="6"/>
      <c r="Y4881" s="6"/>
      <c r="Z4881" s="6"/>
      <c r="AA4881" s="6"/>
      <c r="AB4881" s="6"/>
      <c r="AC4881" s="6"/>
      <c r="AD4881" s="6"/>
      <c r="AE4881" s="6"/>
      <c r="AF4881" s="6"/>
      <c r="AG4881" s="6"/>
      <c r="AH4881" s="6"/>
      <c r="AI4881" s="6"/>
      <c r="AJ4881" s="6"/>
      <c r="AK4881" s="6"/>
      <c r="AL4881" s="6"/>
      <c r="AM4881" s="6"/>
    </row>
    <row r="4882">
      <c r="A4882" s="6"/>
      <c r="B4882" s="6"/>
      <c r="C4882" s="6"/>
      <c r="D4882" s="6"/>
      <c r="E4882" s="6"/>
      <c r="F4882" s="6"/>
      <c r="G4882" s="6"/>
      <c r="H4882" s="6"/>
      <c r="I4882" s="6"/>
      <c r="J4882" s="6"/>
      <c r="K4882" s="6"/>
      <c r="L4882" s="6"/>
      <c r="M4882" s="6"/>
      <c r="N4882" s="6"/>
      <c r="O4882" s="6"/>
      <c r="P4882" s="6"/>
      <c r="Q4882" s="6"/>
      <c r="R4882" s="6"/>
      <c r="S4882" s="6"/>
      <c r="T4882" s="6"/>
      <c r="U4882" s="6"/>
      <c r="V4882" s="6"/>
      <c r="W4882" s="6"/>
      <c r="X4882" s="6"/>
      <c r="Y4882" s="6"/>
      <c r="Z4882" s="6"/>
      <c r="AA4882" s="6"/>
      <c r="AB4882" s="6"/>
      <c r="AC4882" s="6"/>
      <c r="AD4882" s="6"/>
      <c r="AE4882" s="6"/>
      <c r="AF4882" s="6"/>
      <c r="AG4882" s="6"/>
      <c r="AH4882" s="6"/>
      <c r="AI4882" s="6"/>
      <c r="AJ4882" s="6"/>
      <c r="AK4882" s="6"/>
      <c r="AL4882" s="6"/>
      <c r="AM4882" s="6"/>
    </row>
    <row r="4883">
      <c r="A4883" s="6"/>
      <c r="B4883" s="6"/>
      <c r="C4883" s="6"/>
      <c r="D4883" s="6"/>
      <c r="E4883" s="6"/>
      <c r="F4883" s="6"/>
      <c r="G4883" s="6"/>
      <c r="H4883" s="6"/>
      <c r="I4883" s="6"/>
      <c r="J4883" s="6"/>
      <c r="K4883" s="6"/>
      <c r="L4883" s="6"/>
      <c r="M4883" s="6"/>
      <c r="N4883" s="6"/>
      <c r="O4883" s="6"/>
      <c r="P4883" s="6"/>
      <c r="Q4883" s="6"/>
      <c r="R4883" s="6"/>
      <c r="S4883" s="6"/>
      <c r="T4883" s="6"/>
      <c r="U4883" s="6"/>
      <c r="V4883" s="6"/>
      <c r="W4883" s="6"/>
      <c r="X4883" s="6"/>
      <c r="Y4883" s="6"/>
      <c r="Z4883" s="6"/>
      <c r="AA4883" s="6"/>
      <c r="AB4883" s="6"/>
      <c r="AC4883" s="6"/>
      <c r="AD4883" s="6"/>
      <c r="AE4883" s="6"/>
      <c r="AF4883" s="6"/>
      <c r="AG4883" s="6"/>
      <c r="AH4883" s="6"/>
      <c r="AI4883" s="6"/>
      <c r="AJ4883" s="6"/>
      <c r="AK4883" s="6"/>
      <c r="AL4883" s="6"/>
      <c r="AM4883" s="6"/>
    </row>
    <row r="4884">
      <c r="A4884" s="6"/>
      <c r="B4884" s="6"/>
      <c r="C4884" s="6"/>
      <c r="D4884" s="6"/>
      <c r="E4884" s="6"/>
      <c r="F4884" s="6"/>
      <c r="G4884" s="6"/>
      <c r="H4884" s="6"/>
      <c r="I4884" s="6"/>
      <c r="J4884" s="6"/>
      <c r="K4884" s="6"/>
      <c r="L4884" s="6"/>
      <c r="M4884" s="6"/>
      <c r="N4884" s="6"/>
      <c r="O4884" s="6"/>
      <c r="P4884" s="6"/>
      <c r="Q4884" s="6"/>
      <c r="R4884" s="6"/>
      <c r="S4884" s="6"/>
      <c r="T4884" s="6"/>
      <c r="U4884" s="6"/>
      <c r="V4884" s="6"/>
      <c r="W4884" s="6"/>
      <c r="X4884" s="6"/>
      <c r="Y4884" s="6"/>
      <c r="Z4884" s="6"/>
      <c r="AA4884" s="6"/>
      <c r="AB4884" s="6"/>
      <c r="AC4884" s="6"/>
      <c r="AD4884" s="6"/>
      <c r="AE4884" s="6"/>
      <c r="AF4884" s="6"/>
      <c r="AG4884" s="6"/>
      <c r="AH4884" s="6"/>
      <c r="AI4884" s="6"/>
      <c r="AJ4884" s="6"/>
      <c r="AK4884" s="6"/>
      <c r="AL4884" s="6"/>
      <c r="AM4884" s="6"/>
    </row>
    <row r="4885">
      <c r="A4885" s="6"/>
      <c r="B4885" s="6"/>
      <c r="C4885" s="6"/>
      <c r="D4885" s="6"/>
      <c r="E4885" s="6"/>
      <c r="F4885" s="6"/>
      <c r="G4885" s="6"/>
      <c r="H4885" s="6"/>
      <c r="I4885" s="6"/>
      <c r="J4885" s="6"/>
      <c r="K4885" s="6"/>
      <c r="L4885" s="6"/>
      <c r="M4885" s="6"/>
      <c r="N4885" s="6"/>
      <c r="O4885" s="6"/>
      <c r="P4885" s="6"/>
      <c r="Q4885" s="6"/>
      <c r="R4885" s="6"/>
      <c r="S4885" s="6"/>
      <c r="T4885" s="6"/>
      <c r="U4885" s="6"/>
      <c r="V4885" s="6"/>
      <c r="W4885" s="6"/>
      <c r="X4885" s="6"/>
      <c r="Y4885" s="6"/>
      <c r="Z4885" s="6"/>
      <c r="AA4885" s="6"/>
      <c r="AB4885" s="6"/>
      <c r="AC4885" s="6"/>
      <c r="AD4885" s="6"/>
      <c r="AE4885" s="6"/>
      <c r="AF4885" s="6"/>
      <c r="AG4885" s="6"/>
      <c r="AH4885" s="6"/>
      <c r="AI4885" s="6"/>
      <c r="AJ4885" s="6"/>
      <c r="AK4885" s="6"/>
      <c r="AL4885" s="6"/>
      <c r="AM4885" s="6"/>
    </row>
    <row r="4886">
      <c r="A4886" s="6"/>
      <c r="B4886" s="6"/>
      <c r="C4886" s="6"/>
      <c r="D4886" s="6"/>
      <c r="E4886" s="6"/>
      <c r="F4886" s="6"/>
      <c r="G4886" s="6"/>
      <c r="H4886" s="6"/>
      <c r="I4886" s="6"/>
      <c r="J4886" s="6"/>
      <c r="K4886" s="6"/>
      <c r="L4886" s="6"/>
      <c r="M4886" s="6"/>
      <c r="N4886" s="6"/>
      <c r="O4886" s="6"/>
      <c r="P4886" s="6"/>
      <c r="Q4886" s="6"/>
      <c r="R4886" s="6"/>
      <c r="S4886" s="6"/>
      <c r="T4886" s="6"/>
      <c r="U4886" s="6"/>
      <c r="V4886" s="6"/>
      <c r="W4886" s="6"/>
      <c r="X4886" s="6"/>
      <c r="Y4886" s="6"/>
      <c r="Z4886" s="6"/>
      <c r="AA4886" s="6"/>
      <c r="AB4886" s="6"/>
      <c r="AC4886" s="6"/>
      <c r="AD4886" s="6"/>
      <c r="AE4886" s="6"/>
      <c r="AF4886" s="6"/>
      <c r="AG4886" s="6"/>
      <c r="AH4886" s="6"/>
      <c r="AI4886" s="6"/>
      <c r="AJ4886" s="6"/>
      <c r="AK4886" s="6"/>
      <c r="AL4886" s="6"/>
      <c r="AM4886" s="6"/>
    </row>
    <row r="4887">
      <c r="A4887" s="6"/>
      <c r="B4887" s="6"/>
      <c r="C4887" s="6"/>
      <c r="D4887" s="6"/>
      <c r="E4887" s="6"/>
      <c r="F4887" s="6"/>
      <c r="G4887" s="6"/>
      <c r="H4887" s="6"/>
      <c r="I4887" s="6"/>
      <c r="J4887" s="6"/>
      <c r="K4887" s="6"/>
      <c r="L4887" s="6"/>
      <c r="M4887" s="6"/>
      <c r="N4887" s="6"/>
      <c r="O4887" s="6"/>
      <c r="P4887" s="6"/>
      <c r="Q4887" s="6"/>
      <c r="R4887" s="6"/>
      <c r="S4887" s="6"/>
      <c r="T4887" s="6"/>
      <c r="U4887" s="6"/>
      <c r="V4887" s="6"/>
      <c r="W4887" s="6"/>
      <c r="X4887" s="6"/>
      <c r="Y4887" s="6"/>
      <c r="Z4887" s="6"/>
      <c r="AA4887" s="6"/>
      <c r="AB4887" s="6"/>
      <c r="AC4887" s="6"/>
      <c r="AD4887" s="6"/>
      <c r="AE4887" s="6"/>
      <c r="AF4887" s="6"/>
      <c r="AG4887" s="6"/>
      <c r="AH4887" s="6"/>
      <c r="AI4887" s="6"/>
      <c r="AJ4887" s="6"/>
      <c r="AK4887" s="6"/>
      <c r="AL4887" s="6"/>
      <c r="AM4887" s="6"/>
    </row>
    <row r="4888">
      <c r="A4888" s="6"/>
      <c r="B4888" s="6"/>
      <c r="C4888" s="6"/>
      <c r="D4888" s="6"/>
      <c r="E4888" s="6"/>
      <c r="F4888" s="6"/>
      <c r="G4888" s="6"/>
      <c r="H4888" s="6"/>
      <c r="I4888" s="6"/>
      <c r="J4888" s="6"/>
      <c r="K4888" s="6"/>
      <c r="L4888" s="6"/>
      <c r="M4888" s="6"/>
      <c r="N4888" s="6"/>
      <c r="O4888" s="6"/>
      <c r="P4888" s="6"/>
      <c r="Q4888" s="6"/>
      <c r="R4888" s="6"/>
      <c r="S4888" s="6"/>
      <c r="T4888" s="6"/>
      <c r="U4888" s="6"/>
      <c r="V4888" s="6"/>
      <c r="W4888" s="6"/>
      <c r="X4888" s="6"/>
      <c r="Y4888" s="6"/>
      <c r="Z4888" s="6"/>
      <c r="AA4888" s="6"/>
      <c r="AB4888" s="6"/>
      <c r="AC4888" s="6"/>
      <c r="AD4888" s="6"/>
      <c r="AE4888" s="6"/>
      <c r="AF4888" s="6"/>
      <c r="AG4888" s="6"/>
      <c r="AH4888" s="6"/>
      <c r="AI4888" s="6"/>
      <c r="AJ4888" s="6"/>
      <c r="AK4888" s="6"/>
      <c r="AL4888" s="6"/>
      <c r="AM4888" s="6"/>
    </row>
    <row r="4889">
      <c r="A4889" s="6"/>
      <c r="B4889" s="6"/>
      <c r="C4889" s="6"/>
      <c r="D4889" s="6"/>
      <c r="E4889" s="6"/>
      <c r="F4889" s="6"/>
      <c r="G4889" s="6"/>
      <c r="H4889" s="6"/>
      <c r="I4889" s="6"/>
      <c r="J4889" s="6"/>
      <c r="K4889" s="6"/>
      <c r="L4889" s="6"/>
      <c r="M4889" s="6"/>
      <c r="N4889" s="6"/>
      <c r="O4889" s="6"/>
      <c r="P4889" s="6"/>
      <c r="Q4889" s="6"/>
      <c r="R4889" s="6"/>
      <c r="S4889" s="6"/>
      <c r="T4889" s="6"/>
      <c r="U4889" s="6"/>
      <c r="V4889" s="6"/>
      <c r="W4889" s="6"/>
      <c r="X4889" s="6"/>
      <c r="Y4889" s="6"/>
      <c r="Z4889" s="6"/>
      <c r="AA4889" s="6"/>
      <c r="AB4889" s="6"/>
      <c r="AC4889" s="6"/>
      <c r="AD4889" s="6"/>
      <c r="AE4889" s="6"/>
      <c r="AF4889" s="6"/>
      <c r="AG4889" s="6"/>
      <c r="AH4889" s="6"/>
      <c r="AI4889" s="6"/>
      <c r="AJ4889" s="6"/>
      <c r="AK4889" s="6"/>
      <c r="AL4889" s="6"/>
      <c r="AM4889" s="6"/>
    </row>
    <row r="4890">
      <c r="A4890" s="6"/>
      <c r="B4890" s="6"/>
      <c r="C4890" s="6"/>
      <c r="D4890" s="6"/>
      <c r="E4890" s="6"/>
      <c r="F4890" s="6"/>
      <c r="G4890" s="6"/>
      <c r="H4890" s="6"/>
      <c r="I4890" s="6"/>
      <c r="J4890" s="6"/>
      <c r="K4890" s="6"/>
      <c r="L4890" s="6"/>
      <c r="M4890" s="6"/>
      <c r="N4890" s="6"/>
      <c r="O4890" s="6"/>
      <c r="P4890" s="6"/>
      <c r="Q4890" s="6"/>
      <c r="R4890" s="6"/>
      <c r="S4890" s="6"/>
      <c r="T4890" s="6"/>
      <c r="U4890" s="6"/>
      <c r="V4890" s="6"/>
      <c r="W4890" s="6"/>
      <c r="X4890" s="6"/>
      <c r="Y4890" s="6"/>
      <c r="Z4890" s="6"/>
      <c r="AA4890" s="6"/>
      <c r="AB4890" s="6"/>
      <c r="AC4890" s="6"/>
      <c r="AD4890" s="6"/>
      <c r="AE4890" s="6"/>
      <c r="AF4890" s="6"/>
      <c r="AG4890" s="6"/>
      <c r="AH4890" s="6"/>
      <c r="AI4890" s="6"/>
      <c r="AJ4890" s="6"/>
      <c r="AK4890" s="6"/>
      <c r="AL4890" s="6"/>
      <c r="AM4890" s="6"/>
    </row>
    <row r="4891">
      <c r="A4891" s="6"/>
      <c r="B4891" s="6"/>
      <c r="C4891" s="6"/>
      <c r="D4891" s="6"/>
      <c r="E4891" s="6"/>
      <c r="F4891" s="6"/>
      <c r="G4891" s="6"/>
      <c r="H4891" s="6"/>
      <c r="I4891" s="6"/>
      <c r="J4891" s="6"/>
      <c r="K4891" s="6"/>
      <c r="L4891" s="6"/>
      <c r="M4891" s="6"/>
      <c r="N4891" s="6"/>
      <c r="O4891" s="6"/>
      <c r="P4891" s="6"/>
      <c r="Q4891" s="6"/>
      <c r="R4891" s="6"/>
      <c r="S4891" s="6"/>
      <c r="T4891" s="6"/>
      <c r="U4891" s="6"/>
      <c r="V4891" s="6"/>
      <c r="W4891" s="6"/>
      <c r="X4891" s="6"/>
      <c r="Y4891" s="6"/>
      <c r="Z4891" s="6"/>
      <c r="AA4891" s="6"/>
      <c r="AB4891" s="6"/>
      <c r="AC4891" s="6"/>
      <c r="AD4891" s="6"/>
      <c r="AE4891" s="6"/>
      <c r="AF4891" s="6"/>
      <c r="AG4891" s="6"/>
      <c r="AH4891" s="6"/>
      <c r="AI4891" s="6"/>
      <c r="AJ4891" s="6"/>
      <c r="AK4891" s="6"/>
      <c r="AL4891" s="6"/>
      <c r="AM4891" s="6"/>
    </row>
    <row r="4892">
      <c r="A4892" s="6"/>
      <c r="B4892" s="6"/>
      <c r="C4892" s="6"/>
      <c r="D4892" s="6"/>
      <c r="E4892" s="6"/>
      <c r="F4892" s="6"/>
      <c r="G4892" s="6"/>
      <c r="H4892" s="6"/>
      <c r="I4892" s="6"/>
      <c r="J4892" s="6"/>
      <c r="K4892" s="6"/>
      <c r="L4892" s="6"/>
      <c r="M4892" s="6"/>
      <c r="N4892" s="6"/>
      <c r="O4892" s="6"/>
      <c r="P4892" s="6"/>
      <c r="Q4892" s="6"/>
      <c r="R4892" s="6"/>
      <c r="S4892" s="6"/>
      <c r="T4892" s="6"/>
      <c r="U4892" s="6"/>
      <c r="V4892" s="6"/>
      <c r="W4892" s="6"/>
      <c r="X4892" s="6"/>
      <c r="Y4892" s="6"/>
      <c r="Z4892" s="6"/>
      <c r="AA4892" s="6"/>
      <c r="AB4892" s="6"/>
      <c r="AC4892" s="6"/>
      <c r="AD4892" s="6"/>
      <c r="AE4892" s="6"/>
      <c r="AF4892" s="6"/>
      <c r="AG4892" s="6"/>
      <c r="AH4892" s="6"/>
      <c r="AI4892" s="6"/>
      <c r="AJ4892" s="6"/>
      <c r="AK4892" s="6"/>
      <c r="AL4892" s="6"/>
      <c r="AM4892" s="6"/>
    </row>
    <row r="4893">
      <c r="A4893" s="6"/>
      <c r="B4893" s="6"/>
      <c r="C4893" s="6"/>
      <c r="D4893" s="6"/>
      <c r="E4893" s="6"/>
      <c r="F4893" s="6"/>
      <c r="G4893" s="6"/>
      <c r="H4893" s="6"/>
      <c r="I4893" s="6"/>
      <c r="J4893" s="6"/>
      <c r="K4893" s="6"/>
      <c r="L4893" s="6"/>
      <c r="M4893" s="6"/>
      <c r="N4893" s="6"/>
      <c r="O4893" s="6"/>
      <c r="P4893" s="6"/>
      <c r="Q4893" s="6"/>
      <c r="R4893" s="6"/>
      <c r="S4893" s="6"/>
      <c r="T4893" s="6"/>
      <c r="U4893" s="6"/>
      <c r="V4893" s="6"/>
      <c r="W4893" s="6"/>
      <c r="X4893" s="6"/>
      <c r="Y4893" s="6"/>
      <c r="Z4893" s="6"/>
      <c r="AA4893" s="6"/>
      <c r="AB4893" s="6"/>
      <c r="AC4893" s="6"/>
      <c r="AD4893" s="6"/>
      <c r="AE4893" s="6"/>
      <c r="AF4893" s="6"/>
      <c r="AG4893" s="6"/>
      <c r="AH4893" s="6"/>
      <c r="AI4893" s="6"/>
      <c r="AJ4893" s="6"/>
      <c r="AK4893" s="6"/>
      <c r="AL4893" s="6"/>
      <c r="AM4893" s="6"/>
    </row>
    <row r="4894">
      <c r="A4894" s="6"/>
      <c r="B4894" s="6"/>
      <c r="C4894" s="6"/>
      <c r="D4894" s="6"/>
      <c r="E4894" s="6"/>
      <c r="F4894" s="6"/>
      <c r="G4894" s="6"/>
      <c r="H4894" s="6"/>
      <c r="I4894" s="6"/>
      <c r="J4894" s="6"/>
      <c r="K4894" s="6"/>
      <c r="L4894" s="6"/>
      <c r="M4894" s="6"/>
      <c r="N4894" s="6"/>
      <c r="O4894" s="6"/>
      <c r="P4894" s="6"/>
      <c r="Q4894" s="6"/>
      <c r="R4894" s="6"/>
      <c r="S4894" s="6"/>
      <c r="T4894" s="6"/>
      <c r="U4894" s="6"/>
      <c r="V4894" s="6"/>
      <c r="W4894" s="6"/>
      <c r="X4894" s="6"/>
      <c r="Y4894" s="6"/>
      <c r="Z4894" s="6"/>
      <c r="AA4894" s="6"/>
      <c r="AB4894" s="6"/>
      <c r="AC4894" s="6"/>
      <c r="AD4894" s="6"/>
      <c r="AE4894" s="6"/>
      <c r="AF4894" s="6"/>
      <c r="AG4894" s="6"/>
      <c r="AH4894" s="6"/>
      <c r="AI4894" s="6"/>
      <c r="AJ4894" s="6"/>
      <c r="AK4894" s="6"/>
      <c r="AL4894" s="6"/>
      <c r="AM4894" s="6"/>
    </row>
    <row r="4895">
      <c r="A4895" s="6"/>
      <c r="B4895" s="6"/>
      <c r="C4895" s="6"/>
      <c r="D4895" s="6"/>
      <c r="E4895" s="6"/>
      <c r="F4895" s="6"/>
      <c r="G4895" s="6"/>
      <c r="H4895" s="6"/>
      <c r="I4895" s="6"/>
      <c r="J4895" s="6"/>
      <c r="K4895" s="6"/>
      <c r="L4895" s="6"/>
      <c r="M4895" s="6"/>
      <c r="N4895" s="6"/>
      <c r="O4895" s="6"/>
      <c r="P4895" s="6"/>
      <c r="Q4895" s="6"/>
      <c r="R4895" s="6"/>
      <c r="S4895" s="6"/>
      <c r="T4895" s="6"/>
      <c r="U4895" s="6"/>
      <c r="V4895" s="6"/>
      <c r="W4895" s="6"/>
      <c r="X4895" s="6"/>
      <c r="Y4895" s="6"/>
      <c r="Z4895" s="6"/>
      <c r="AA4895" s="6"/>
      <c r="AB4895" s="6"/>
      <c r="AC4895" s="6"/>
      <c r="AD4895" s="6"/>
      <c r="AE4895" s="6"/>
      <c r="AF4895" s="6"/>
      <c r="AG4895" s="6"/>
      <c r="AH4895" s="6"/>
      <c r="AI4895" s="6"/>
      <c r="AJ4895" s="6"/>
      <c r="AK4895" s="6"/>
      <c r="AL4895" s="6"/>
      <c r="AM4895" s="6"/>
    </row>
    <row r="4896">
      <c r="A4896" s="6"/>
      <c r="B4896" s="6"/>
      <c r="C4896" s="6"/>
      <c r="D4896" s="6"/>
      <c r="E4896" s="6"/>
      <c r="F4896" s="6"/>
      <c r="G4896" s="6"/>
      <c r="H4896" s="6"/>
      <c r="I4896" s="6"/>
      <c r="J4896" s="6"/>
      <c r="K4896" s="6"/>
      <c r="L4896" s="6"/>
      <c r="M4896" s="6"/>
      <c r="N4896" s="6"/>
      <c r="O4896" s="6"/>
      <c r="P4896" s="6"/>
      <c r="Q4896" s="6"/>
      <c r="R4896" s="6"/>
      <c r="S4896" s="6"/>
      <c r="T4896" s="6"/>
      <c r="U4896" s="6"/>
      <c r="V4896" s="6"/>
      <c r="W4896" s="6"/>
      <c r="X4896" s="6"/>
      <c r="Y4896" s="6"/>
      <c r="Z4896" s="6"/>
      <c r="AA4896" s="6"/>
      <c r="AB4896" s="6"/>
      <c r="AC4896" s="6"/>
      <c r="AD4896" s="6"/>
      <c r="AE4896" s="6"/>
      <c r="AF4896" s="6"/>
      <c r="AG4896" s="6"/>
      <c r="AH4896" s="6"/>
      <c r="AI4896" s="6"/>
      <c r="AJ4896" s="6"/>
      <c r="AK4896" s="6"/>
      <c r="AL4896" s="6"/>
      <c r="AM4896" s="6"/>
    </row>
    <row r="4897">
      <c r="A4897" s="6"/>
      <c r="B4897" s="6"/>
      <c r="C4897" s="6"/>
      <c r="D4897" s="6"/>
      <c r="E4897" s="6"/>
      <c r="F4897" s="6"/>
      <c r="G4897" s="6"/>
      <c r="H4897" s="6"/>
      <c r="I4897" s="6"/>
      <c r="J4897" s="6"/>
      <c r="K4897" s="6"/>
      <c r="L4897" s="6"/>
      <c r="M4897" s="6"/>
      <c r="N4897" s="6"/>
      <c r="O4897" s="6"/>
      <c r="P4897" s="6"/>
      <c r="Q4897" s="6"/>
      <c r="R4897" s="6"/>
      <c r="S4897" s="6"/>
      <c r="T4897" s="6"/>
      <c r="U4897" s="6"/>
      <c r="V4897" s="6"/>
      <c r="W4897" s="6"/>
      <c r="X4897" s="6"/>
      <c r="Y4897" s="6"/>
      <c r="Z4897" s="6"/>
      <c r="AA4897" s="6"/>
      <c r="AB4897" s="6"/>
      <c r="AC4897" s="6"/>
      <c r="AD4897" s="6"/>
      <c r="AE4897" s="6"/>
      <c r="AF4897" s="6"/>
      <c r="AG4897" s="6"/>
      <c r="AH4897" s="6"/>
      <c r="AI4897" s="6"/>
      <c r="AJ4897" s="6"/>
      <c r="AK4897" s="6"/>
      <c r="AL4897" s="6"/>
      <c r="AM4897" s="6"/>
    </row>
    <row r="4898">
      <c r="A4898" s="6"/>
      <c r="B4898" s="6"/>
      <c r="C4898" s="6"/>
      <c r="D4898" s="6"/>
      <c r="E4898" s="6"/>
      <c r="F4898" s="6"/>
      <c r="G4898" s="6"/>
      <c r="H4898" s="6"/>
      <c r="I4898" s="6"/>
      <c r="J4898" s="6"/>
      <c r="K4898" s="6"/>
      <c r="L4898" s="6"/>
      <c r="M4898" s="6"/>
      <c r="N4898" s="6"/>
      <c r="O4898" s="6"/>
      <c r="P4898" s="6"/>
      <c r="Q4898" s="6"/>
      <c r="R4898" s="6"/>
      <c r="S4898" s="6"/>
      <c r="T4898" s="6"/>
      <c r="U4898" s="6"/>
      <c r="V4898" s="6"/>
      <c r="W4898" s="6"/>
      <c r="X4898" s="6"/>
      <c r="Y4898" s="6"/>
      <c r="Z4898" s="6"/>
      <c r="AA4898" s="6"/>
      <c r="AB4898" s="6"/>
      <c r="AC4898" s="6"/>
      <c r="AD4898" s="6"/>
      <c r="AE4898" s="6"/>
      <c r="AF4898" s="6"/>
      <c r="AG4898" s="6"/>
      <c r="AH4898" s="6"/>
      <c r="AI4898" s="6"/>
      <c r="AJ4898" s="6"/>
      <c r="AK4898" s="6"/>
      <c r="AL4898" s="6"/>
      <c r="AM4898" s="6"/>
    </row>
    <row r="4899">
      <c r="A4899" s="6"/>
      <c r="B4899" s="6"/>
      <c r="C4899" s="6"/>
      <c r="D4899" s="6"/>
      <c r="E4899" s="6"/>
      <c r="F4899" s="6"/>
      <c r="G4899" s="6"/>
      <c r="H4899" s="6"/>
      <c r="I4899" s="6"/>
      <c r="J4899" s="6"/>
      <c r="K4899" s="6"/>
      <c r="L4899" s="6"/>
      <c r="M4899" s="6"/>
      <c r="N4899" s="6"/>
      <c r="O4899" s="6"/>
      <c r="P4899" s="6"/>
      <c r="Q4899" s="6"/>
      <c r="R4899" s="6"/>
      <c r="S4899" s="6"/>
      <c r="T4899" s="6"/>
      <c r="U4899" s="6"/>
      <c r="V4899" s="6"/>
      <c r="W4899" s="6"/>
      <c r="X4899" s="6"/>
      <c r="Y4899" s="6"/>
      <c r="Z4899" s="6"/>
      <c r="AA4899" s="6"/>
      <c r="AB4899" s="6"/>
      <c r="AC4899" s="6"/>
      <c r="AD4899" s="6"/>
      <c r="AE4899" s="6"/>
      <c r="AF4899" s="6"/>
      <c r="AG4899" s="6"/>
      <c r="AH4899" s="6"/>
      <c r="AI4899" s="6"/>
      <c r="AJ4899" s="6"/>
      <c r="AK4899" s="6"/>
      <c r="AL4899" s="6"/>
      <c r="AM4899" s="6"/>
    </row>
    <row r="4900">
      <c r="A4900" s="6"/>
      <c r="B4900" s="6"/>
      <c r="C4900" s="6"/>
      <c r="D4900" s="6"/>
      <c r="E4900" s="6"/>
      <c r="F4900" s="6"/>
      <c r="G4900" s="6"/>
      <c r="H4900" s="6"/>
      <c r="I4900" s="6"/>
      <c r="J4900" s="6"/>
      <c r="K4900" s="6"/>
      <c r="L4900" s="6"/>
      <c r="M4900" s="6"/>
      <c r="N4900" s="6"/>
      <c r="O4900" s="6"/>
      <c r="P4900" s="6"/>
      <c r="Q4900" s="6"/>
      <c r="R4900" s="6"/>
      <c r="S4900" s="6"/>
      <c r="T4900" s="6"/>
      <c r="U4900" s="6"/>
      <c r="V4900" s="6"/>
      <c r="W4900" s="6"/>
      <c r="X4900" s="6"/>
      <c r="Y4900" s="6"/>
      <c r="Z4900" s="6"/>
      <c r="AA4900" s="6"/>
      <c r="AB4900" s="6"/>
      <c r="AC4900" s="6"/>
      <c r="AD4900" s="6"/>
      <c r="AE4900" s="6"/>
      <c r="AF4900" s="6"/>
      <c r="AG4900" s="6"/>
      <c r="AH4900" s="6"/>
      <c r="AI4900" s="6"/>
      <c r="AJ4900" s="6"/>
      <c r="AK4900" s="6"/>
      <c r="AL4900" s="6"/>
      <c r="AM4900" s="6"/>
    </row>
    <row r="4901">
      <c r="A4901" s="6"/>
      <c r="B4901" s="6"/>
      <c r="C4901" s="6"/>
      <c r="D4901" s="6"/>
      <c r="E4901" s="6"/>
      <c r="F4901" s="6"/>
      <c r="G4901" s="6"/>
      <c r="H4901" s="6"/>
      <c r="I4901" s="6"/>
      <c r="J4901" s="6"/>
      <c r="K4901" s="6"/>
      <c r="L4901" s="6"/>
      <c r="M4901" s="6"/>
      <c r="N4901" s="6"/>
      <c r="O4901" s="6"/>
      <c r="P4901" s="6"/>
      <c r="Q4901" s="6"/>
      <c r="R4901" s="6"/>
      <c r="S4901" s="6"/>
      <c r="T4901" s="6"/>
      <c r="U4901" s="6"/>
      <c r="V4901" s="6"/>
      <c r="W4901" s="6"/>
      <c r="X4901" s="6"/>
      <c r="Y4901" s="6"/>
      <c r="Z4901" s="6"/>
      <c r="AA4901" s="6"/>
      <c r="AB4901" s="6"/>
      <c r="AC4901" s="6"/>
      <c r="AD4901" s="6"/>
      <c r="AE4901" s="6"/>
      <c r="AF4901" s="6"/>
      <c r="AG4901" s="6"/>
      <c r="AH4901" s="6"/>
      <c r="AI4901" s="6"/>
      <c r="AJ4901" s="6"/>
      <c r="AK4901" s="6"/>
      <c r="AL4901" s="6"/>
      <c r="AM4901" s="6"/>
    </row>
    <row r="4902">
      <c r="A4902" s="6"/>
      <c r="B4902" s="6"/>
      <c r="C4902" s="6"/>
      <c r="D4902" s="6"/>
      <c r="E4902" s="6"/>
      <c r="F4902" s="6"/>
      <c r="G4902" s="6"/>
      <c r="H4902" s="6"/>
      <c r="I4902" s="6"/>
      <c r="J4902" s="6"/>
      <c r="K4902" s="6"/>
      <c r="L4902" s="6"/>
      <c r="M4902" s="6"/>
      <c r="N4902" s="6"/>
      <c r="O4902" s="6"/>
      <c r="P4902" s="6"/>
      <c r="Q4902" s="6"/>
      <c r="R4902" s="6"/>
      <c r="S4902" s="6"/>
      <c r="T4902" s="6"/>
      <c r="U4902" s="6"/>
      <c r="V4902" s="6"/>
      <c r="W4902" s="6"/>
      <c r="X4902" s="6"/>
      <c r="Y4902" s="6"/>
      <c r="Z4902" s="6"/>
      <c r="AA4902" s="6"/>
      <c r="AB4902" s="6"/>
      <c r="AC4902" s="6"/>
      <c r="AD4902" s="6"/>
      <c r="AE4902" s="6"/>
      <c r="AF4902" s="6"/>
      <c r="AG4902" s="6"/>
      <c r="AH4902" s="6"/>
      <c r="AI4902" s="6"/>
      <c r="AJ4902" s="6"/>
      <c r="AK4902" s="6"/>
      <c r="AL4902" s="6"/>
      <c r="AM4902" s="6"/>
    </row>
    <row r="4903">
      <c r="A4903" s="6"/>
      <c r="B4903" s="6"/>
      <c r="C4903" s="6"/>
      <c r="D4903" s="6"/>
      <c r="E4903" s="6"/>
      <c r="F4903" s="6"/>
      <c r="G4903" s="6"/>
      <c r="H4903" s="6"/>
      <c r="I4903" s="6"/>
      <c r="J4903" s="6"/>
      <c r="K4903" s="6"/>
      <c r="L4903" s="6"/>
      <c r="M4903" s="6"/>
      <c r="N4903" s="6"/>
      <c r="O4903" s="6"/>
      <c r="P4903" s="6"/>
      <c r="Q4903" s="6"/>
      <c r="R4903" s="6"/>
      <c r="S4903" s="6"/>
      <c r="T4903" s="6"/>
      <c r="U4903" s="6"/>
      <c r="V4903" s="6"/>
      <c r="W4903" s="6"/>
      <c r="X4903" s="6"/>
      <c r="Y4903" s="6"/>
      <c r="Z4903" s="6"/>
      <c r="AA4903" s="6"/>
      <c r="AB4903" s="6"/>
      <c r="AC4903" s="6"/>
      <c r="AD4903" s="6"/>
      <c r="AE4903" s="6"/>
      <c r="AF4903" s="6"/>
      <c r="AG4903" s="6"/>
      <c r="AH4903" s="6"/>
      <c r="AI4903" s="6"/>
      <c r="AJ4903" s="6"/>
      <c r="AK4903" s="6"/>
      <c r="AL4903" s="6"/>
      <c r="AM4903" s="6"/>
    </row>
    <row r="4904">
      <c r="A4904" s="6"/>
      <c r="B4904" s="6"/>
      <c r="C4904" s="6"/>
      <c r="D4904" s="6"/>
      <c r="E4904" s="6"/>
      <c r="F4904" s="6"/>
      <c r="G4904" s="6"/>
      <c r="H4904" s="6"/>
      <c r="I4904" s="6"/>
      <c r="J4904" s="6"/>
      <c r="K4904" s="6"/>
      <c r="L4904" s="6"/>
      <c r="M4904" s="6"/>
      <c r="N4904" s="6"/>
      <c r="O4904" s="6"/>
      <c r="P4904" s="6"/>
      <c r="Q4904" s="6"/>
      <c r="R4904" s="6"/>
      <c r="S4904" s="6"/>
      <c r="T4904" s="6"/>
      <c r="U4904" s="6"/>
      <c r="V4904" s="6"/>
      <c r="W4904" s="6"/>
      <c r="X4904" s="6"/>
      <c r="Y4904" s="6"/>
      <c r="Z4904" s="6"/>
      <c r="AA4904" s="6"/>
      <c r="AB4904" s="6"/>
      <c r="AC4904" s="6"/>
      <c r="AD4904" s="6"/>
      <c r="AE4904" s="6"/>
      <c r="AF4904" s="6"/>
      <c r="AG4904" s="6"/>
      <c r="AH4904" s="6"/>
      <c r="AI4904" s="6"/>
      <c r="AJ4904" s="6"/>
      <c r="AK4904" s="6"/>
      <c r="AL4904" s="6"/>
      <c r="AM4904" s="6"/>
    </row>
    <row r="4905">
      <c r="A4905" s="6"/>
      <c r="B4905" s="6"/>
      <c r="C4905" s="6"/>
      <c r="D4905" s="6"/>
      <c r="E4905" s="6"/>
      <c r="F4905" s="6"/>
      <c r="G4905" s="6"/>
      <c r="H4905" s="6"/>
      <c r="I4905" s="6"/>
      <c r="J4905" s="6"/>
      <c r="K4905" s="6"/>
      <c r="L4905" s="6"/>
      <c r="M4905" s="6"/>
      <c r="N4905" s="6"/>
      <c r="O4905" s="6"/>
      <c r="P4905" s="6"/>
      <c r="Q4905" s="6"/>
      <c r="R4905" s="6"/>
      <c r="S4905" s="6"/>
      <c r="T4905" s="6"/>
      <c r="U4905" s="6"/>
      <c r="V4905" s="6"/>
      <c r="W4905" s="6"/>
      <c r="X4905" s="6"/>
      <c r="Y4905" s="6"/>
      <c r="Z4905" s="6"/>
      <c r="AA4905" s="6"/>
      <c r="AB4905" s="6"/>
      <c r="AC4905" s="6"/>
      <c r="AD4905" s="6"/>
      <c r="AE4905" s="6"/>
      <c r="AF4905" s="6"/>
      <c r="AG4905" s="6"/>
      <c r="AH4905" s="6"/>
      <c r="AI4905" s="6"/>
      <c r="AJ4905" s="6"/>
      <c r="AK4905" s="6"/>
      <c r="AL4905" s="6"/>
      <c r="AM4905" s="6"/>
    </row>
    <row r="4906">
      <c r="A4906" s="6"/>
      <c r="B4906" s="6"/>
      <c r="C4906" s="6"/>
      <c r="D4906" s="6"/>
      <c r="E4906" s="6"/>
      <c r="F4906" s="6"/>
      <c r="G4906" s="6"/>
      <c r="H4906" s="6"/>
      <c r="I4906" s="6"/>
      <c r="J4906" s="6"/>
      <c r="K4906" s="6"/>
      <c r="L4906" s="6"/>
      <c r="M4906" s="6"/>
      <c r="N4906" s="6"/>
      <c r="O4906" s="6"/>
      <c r="P4906" s="6"/>
      <c r="Q4906" s="6"/>
      <c r="R4906" s="6"/>
      <c r="S4906" s="6"/>
      <c r="T4906" s="6"/>
      <c r="U4906" s="6"/>
      <c r="V4906" s="6"/>
      <c r="W4906" s="6"/>
      <c r="X4906" s="6"/>
      <c r="Y4906" s="6"/>
      <c r="Z4906" s="6"/>
      <c r="AA4906" s="6"/>
      <c r="AB4906" s="6"/>
      <c r="AC4906" s="6"/>
      <c r="AD4906" s="6"/>
      <c r="AE4906" s="6"/>
      <c r="AF4906" s="6"/>
      <c r="AG4906" s="6"/>
      <c r="AH4906" s="6"/>
      <c r="AI4906" s="6"/>
      <c r="AJ4906" s="6"/>
      <c r="AK4906" s="6"/>
      <c r="AL4906" s="6"/>
      <c r="AM4906" s="6"/>
    </row>
    <row r="4907">
      <c r="A4907" s="6"/>
      <c r="B4907" s="6"/>
      <c r="C4907" s="6"/>
      <c r="D4907" s="6"/>
      <c r="E4907" s="6"/>
      <c r="F4907" s="6"/>
      <c r="G4907" s="6"/>
      <c r="H4907" s="6"/>
      <c r="I4907" s="6"/>
      <c r="J4907" s="6"/>
      <c r="K4907" s="6"/>
      <c r="L4907" s="6"/>
      <c r="M4907" s="6"/>
      <c r="N4907" s="6"/>
      <c r="O4907" s="6"/>
      <c r="P4907" s="6"/>
      <c r="Q4907" s="6"/>
      <c r="R4907" s="6"/>
      <c r="S4907" s="6"/>
      <c r="T4907" s="6"/>
      <c r="U4907" s="6"/>
      <c r="V4907" s="6"/>
      <c r="W4907" s="6"/>
      <c r="X4907" s="6"/>
      <c r="Y4907" s="6"/>
      <c r="Z4907" s="6"/>
      <c r="AA4907" s="6"/>
      <c r="AB4907" s="6"/>
      <c r="AC4907" s="6"/>
      <c r="AD4907" s="6"/>
      <c r="AE4907" s="6"/>
      <c r="AF4907" s="6"/>
      <c r="AG4907" s="6"/>
      <c r="AH4907" s="6"/>
      <c r="AI4907" s="6"/>
      <c r="AJ4907" s="6"/>
      <c r="AK4907" s="6"/>
      <c r="AL4907" s="6"/>
      <c r="AM4907" s="6"/>
    </row>
    <row r="4908">
      <c r="A4908" s="6"/>
      <c r="B4908" s="6"/>
      <c r="C4908" s="6"/>
      <c r="D4908" s="6"/>
      <c r="E4908" s="6"/>
      <c r="F4908" s="6"/>
      <c r="G4908" s="6"/>
      <c r="H4908" s="6"/>
      <c r="I4908" s="6"/>
      <c r="J4908" s="6"/>
      <c r="K4908" s="6"/>
      <c r="L4908" s="6"/>
      <c r="M4908" s="6"/>
      <c r="N4908" s="6"/>
      <c r="O4908" s="6"/>
      <c r="P4908" s="6"/>
      <c r="Q4908" s="6"/>
      <c r="R4908" s="6"/>
      <c r="S4908" s="6"/>
      <c r="T4908" s="6"/>
      <c r="U4908" s="6"/>
      <c r="V4908" s="6"/>
      <c r="W4908" s="6"/>
      <c r="X4908" s="6"/>
      <c r="Y4908" s="6"/>
      <c r="Z4908" s="6"/>
      <c r="AA4908" s="6"/>
      <c r="AB4908" s="6"/>
      <c r="AC4908" s="6"/>
      <c r="AD4908" s="6"/>
      <c r="AE4908" s="6"/>
      <c r="AF4908" s="6"/>
      <c r="AG4908" s="6"/>
      <c r="AH4908" s="6"/>
      <c r="AI4908" s="6"/>
      <c r="AJ4908" s="6"/>
      <c r="AK4908" s="6"/>
      <c r="AL4908" s="6"/>
      <c r="AM4908" s="6"/>
    </row>
    <row r="4909">
      <c r="A4909" s="6"/>
      <c r="B4909" s="6"/>
      <c r="C4909" s="6"/>
      <c r="D4909" s="6"/>
      <c r="E4909" s="6"/>
      <c r="F4909" s="6"/>
      <c r="G4909" s="6"/>
      <c r="H4909" s="6"/>
      <c r="I4909" s="6"/>
      <c r="J4909" s="6"/>
      <c r="K4909" s="6"/>
      <c r="L4909" s="6"/>
      <c r="M4909" s="6"/>
      <c r="N4909" s="6"/>
      <c r="O4909" s="6"/>
      <c r="P4909" s="6"/>
      <c r="Q4909" s="6"/>
      <c r="R4909" s="6"/>
      <c r="S4909" s="6"/>
      <c r="T4909" s="6"/>
      <c r="U4909" s="6"/>
      <c r="V4909" s="6"/>
      <c r="W4909" s="6"/>
      <c r="X4909" s="6"/>
      <c r="Y4909" s="6"/>
      <c r="Z4909" s="6"/>
      <c r="AA4909" s="6"/>
      <c r="AB4909" s="6"/>
      <c r="AC4909" s="6"/>
      <c r="AD4909" s="6"/>
      <c r="AE4909" s="6"/>
      <c r="AF4909" s="6"/>
      <c r="AG4909" s="6"/>
      <c r="AH4909" s="6"/>
      <c r="AI4909" s="6"/>
      <c r="AJ4909" s="6"/>
      <c r="AK4909" s="6"/>
      <c r="AL4909" s="6"/>
      <c r="AM4909" s="6"/>
    </row>
    <row r="4910">
      <c r="A4910" s="6"/>
      <c r="B4910" s="6"/>
      <c r="C4910" s="6"/>
      <c r="D4910" s="6"/>
      <c r="E4910" s="6"/>
      <c r="F4910" s="6"/>
      <c r="G4910" s="6"/>
      <c r="H4910" s="6"/>
      <c r="I4910" s="6"/>
      <c r="J4910" s="6"/>
      <c r="K4910" s="6"/>
      <c r="L4910" s="6"/>
      <c r="M4910" s="6"/>
      <c r="N4910" s="6"/>
      <c r="O4910" s="6"/>
      <c r="P4910" s="6"/>
      <c r="Q4910" s="6"/>
      <c r="R4910" s="6"/>
      <c r="S4910" s="6"/>
      <c r="T4910" s="6"/>
      <c r="U4910" s="6"/>
      <c r="V4910" s="6"/>
      <c r="W4910" s="6"/>
      <c r="X4910" s="6"/>
      <c r="Y4910" s="6"/>
      <c r="Z4910" s="6"/>
      <c r="AA4910" s="6"/>
      <c r="AB4910" s="6"/>
      <c r="AC4910" s="6"/>
      <c r="AD4910" s="6"/>
      <c r="AE4910" s="6"/>
      <c r="AF4910" s="6"/>
      <c r="AG4910" s="6"/>
      <c r="AH4910" s="6"/>
      <c r="AI4910" s="6"/>
      <c r="AJ4910" s="6"/>
      <c r="AK4910" s="6"/>
      <c r="AL4910" s="6"/>
      <c r="AM4910" s="6"/>
    </row>
    <row r="4911">
      <c r="A4911" s="6"/>
      <c r="B4911" s="6"/>
      <c r="C4911" s="6"/>
      <c r="D4911" s="6"/>
      <c r="E4911" s="6"/>
      <c r="F4911" s="6"/>
      <c r="G4911" s="6"/>
      <c r="H4911" s="6"/>
      <c r="I4911" s="6"/>
      <c r="J4911" s="6"/>
      <c r="K4911" s="6"/>
      <c r="L4911" s="6"/>
      <c r="M4911" s="6"/>
      <c r="N4911" s="6"/>
      <c r="O4911" s="6"/>
      <c r="P4911" s="6"/>
      <c r="Q4911" s="6"/>
      <c r="R4911" s="6"/>
      <c r="S4911" s="6"/>
      <c r="T4911" s="6"/>
      <c r="U4911" s="6"/>
      <c r="V4911" s="6"/>
      <c r="W4911" s="6"/>
      <c r="X4911" s="6"/>
      <c r="Y4911" s="6"/>
      <c r="Z4911" s="6"/>
      <c r="AA4911" s="6"/>
      <c r="AB4911" s="6"/>
      <c r="AC4911" s="6"/>
      <c r="AD4911" s="6"/>
      <c r="AE4911" s="6"/>
      <c r="AF4911" s="6"/>
      <c r="AG4911" s="6"/>
      <c r="AH4911" s="6"/>
      <c r="AI4911" s="6"/>
      <c r="AJ4911" s="6"/>
      <c r="AK4911" s="6"/>
      <c r="AL4911" s="6"/>
      <c r="AM4911" s="6"/>
    </row>
    <row r="4912">
      <c r="A4912" s="6"/>
      <c r="B4912" s="6"/>
      <c r="C4912" s="6"/>
      <c r="D4912" s="6"/>
      <c r="E4912" s="6"/>
      <c r="F4912" s="6"/>
      <c r="G4912" s="6"/>
      <c r="H4912" s="6"/>
      <c r="I4912" s="6"/>
      <c r="J4912" s="6"/>
      <c r="K4912" s="6"/>
      <c r="L4912" s="6"/>
      <c r="M4912" s="6"/>
      <c r="N4912" s="6"/>
      <c r="O4912" s="6"/>
      <c r="P4912" s="6"/>
      <c r="Q4912" s="6"/>
      <c r="R4912" s="6"/>
      <c r="S4912" s="6"/>
      <c r="T4912" s="6"/>
      <c r="U4912" s="6"/>
      <c r="V4912" s="6"/>
      <c r="W4912" s="6"/>
      <c r="X4912" s="6"/>
      <c r="Y4912" s="6"/>
      <c r="Z4912" s="6"/>
      <c r="AA4912" s="6"/>
      <c r="AB4912" s="6"/>
      <c r="AC4912" s="6"/>
      <c r="AD4912" s="6"/>
      <c r="AE4912" s="6"/>
      <c r="AF4912" s="6"/>
      <c r="AG4912" s="6"/>
      <c r="AH4912" s="6"/>
      <c r="AI4912" s="6"/>
      <c r="AJ4912" s="6"/>
      <c r="AK4912" s="6"/>
      <c r="AL4912" s="6"/>
      <c r="AM4912" s="6"/>
    </row>
    <row r="4913">
      <c r="A4913" s="6"/>
      <c r="B4913" s="6"/>
      <c r="C4913" s="6"/>
      <c r="D4913" s="6"/>
      <c r="E4913" s="6"/>
      <c r="F4913" s="6"/>
      <c r="G4913" s="6"/>
      <c r="H4913" s="6"/>
      <c r="I4913" s="6"/>
      <c r="J4913" s="6"/>
      <c r="K4913" s="6"/>
      <c r="L4913" s="6"/>
      <c r="M4913" s="6"/>
      <c r="N4913" s="6"/>
      <c r="O4913" s="6"/>
      <c r="P4913" s="6"/>
      <c r="Q4913" s="6"/>
      <c r="R4913" s="6"/>
      <c r="S4913" s="6"/>
      <c r="T4913" s="6"/>
      <c r="U4913" s="6"/>
      <c r="V4913" s="6"/>
      <c r="W4913" s="6"/>
      <c r="X4913" s="6"/>
      <c r="Y4913" s="6"/>
      <c r="Z4913" s="6"/>
      <c r="AA4913" s="6"/>
      <c r="AB4913" s="6"/>
      <c r="AC4913" s="6"/>
      <c r="AD4913" s="6"/>
      <c r="AE4913" s="6"/>
      <c r="AF4913" s="6"/>
      <c r="AG4913" s="6"/>
      <c r="AH4913" s="6"/>
      <c r="AI4913" s="6"/>
      <c r="AJ4913" s="6"/>
      <c r="AK4913" s="6"/>
      <c r="AL4913" s="6"/>
      <c r="AM4913" s="6"/>
    </row>
    <row r="4914">
      <c r="A4914" s="6"/>
      <c r="B4914" s="6"/>
      <c r="C4914" s="6"/>
      <c r="D4914" s="6"/>
      <c r="E4914" s="6"/>
      <c r="F4914" s="6"/>
      <c r="G4914" s="6"/>
      <c r="H4914" s="6"/>
      <c r="I4914" s="6"/>
      <c r="J4914" s="6"/>
      <c r="K4914" s="6"/>
      <c r="L4914" s="6"/>
      <c r="M4914" s="6"/>
      <c r="N4914" s="6"/>
      <c r="O4914" s="6"/>
      <c r="P4914" s="6"/>
      <c r="Q4914" s="6"/>
      <c r="R4914" s="6"/>
      <c r="S4914" s="6"/>
      <c r="T4914" s="6"/>
      <c r="U4914" s="6"/>
      <c r="V4914" s="6"/>
      <c r="W4914" s="6"/>
      <c r="X4914" s="6"/>
      <c r="Y4914" s="6"/>
      <c r="Z4914" s="6"/>
      <c r="AA4914" s="6"/>
      <c r="AB4914" s="6"/>
      <c r="AC4914" s="6"/>
      <c r="AD4914" s="6"/>
      <c r="AE4914" s="6"/>
      <c r="AF4914" s="6"/>
      <c r="AG4914" s="6"/>
      <c r="AH4914" s="6"/>
      <c r="AI4914" s="6"/>
      <c r="AJ4914" s="6"/>
      <c r="AK4914" s="6"/>
      <c r="AL4914" s="6"/>
      <c r="AM4914" s="6"/>
    </row>
    <row r="4915">
      <c r="A4915" s="6"/>
      <c r="B4915" s="6"/>
      <c r="C4915" s="6"/>
      <c r="D4915" s="6"/>
      <c r="E4915" s="6"/>
      <c r="F4915" s="6"/>
      <c r="G4915" s="6"/>
      <c r="H4915" s="6"/>
      <c r="I4915" s="6"/>
      <c r="J4915" s="6"/>
      <c r="K4915" s="6"/>
      <c r="L4915" s="6"/>
      <c r="M4915" s="6"/>
      <c r="N4915" s="6"/>
      <c r="O4915" s="6"/>
      <c r="P4915" s="6"/>
      <c r="Q4915" s="6"/>
      <c r="R4915" s="6"/>
      <c r="S4915" s="6"/>
      <c r="T4915" s="6"/>
      <c r="U4915" s="6"/>
      <c r="V4915" s="6"/>
      <c r="W4915" s="6"/>
      <c r="X4915" s="6"/>
      <c r="Y4915" s="6"/>
      <c r="Z4915" s="6"/>
      <c r="AA4915" s="6"/>
      <c r="AB4915" s="6"/>
      <c r="AC4915" s="6"/>
      <c r="AD4915" s="6"/>
      <c r="AE4915" s="6"/>
      <c r="AF4915" s="6"/>
      <c r="AG4915" s="6"/>
      <c r="AH4915" s="6"/>
      <c r="AI4915" s="6"/>
      <c r="AJ4915" s="6"/>
      <c r="AK4915" s="6"/>
      <c r="AL4915" s="6"/>
      <c r="AM4915" s="6"/>
    </row>
    <row r="4916">
      <c r="A4916" s="6"/>
      <c r="B4916" s="6"/>
      <c r="C4916" s="6"/>
      <c r="D4916" s="6"/>
      <c r="E4916" s="6"/>
      <c r="F4916" s="6"/>
      <c r="G4916" s="6"/>
      <c r="H4916" s="6"/>
      <c r="I4916" s="6"/>
      <c r="J4916" s="6"/>
      <c r="K4916" s="6"/>
      <c r="L4916" s="6"/>
      <c r="M4916" s="6"/>
      <c r="N4916" s="6"/>
      <c r="O4916" s="6"/>
      <c r="P4916" s="6"/>
      <c r="Q4916" s="6"/>
      <c r="R4916" s="6"/>
      <c r="S4916" s="6"/>
      <c r="T4916" s="6"/>
      <c r="U4916" s="6"/>
      <c r="V4916" s="6"/>
      <c r="W4916" s="6"/>
      <c r="X4916" s="6"/>
      <c r="Y4916" s="6"/>
      <c r="Z4916" s="6"/>
      <c r="AA4916" s="6"/>
      <c r="AB4916" s="6"/>
      <c r="AC4916" s="6"/>
      <c r="AD4916" s="6"/>
      <c r="AE4916" s="6"/>
      <c r="AF4916" s="6"/>
      <c r="AG4916" s="6"/>
      <c r="AH4916" s="6"/>
      <c r="AI4916" s="6"/>
      <c r="AJ4916" s="6"/>
      <c r="AK4916" s="6"/>
      <c r="AL4916" s="6"/>
      <c r="AM4916" s="6"/>
    </row>
    <row r="4917">
      <c r="A4917" s="6"/>
      <c r="B4917" s="6"/>
      <c r="C4917" s="6"/>
      <c r="D4917" s="6"/>
      <c r="E4917" s="6"/>
      <c r="F4917" s="6"/>
      <c r="G4917" s="6"/>
      <c r="H4917" s="6"/>
      <c r="I4917" s="6"/>
      <c r="J4917" s="6"/>
      <c r="K4917" s="6"/>
      <c r="L4917" s="6"/>
      <c r="M4917" s="6"/>
      <c r="N4917" s="6"/>
      <c r="O4917" s="6"/>
      <c r="P4917" s="6"/>
      <c r="Q4917" s="6"/>
      <c r="R4917" s="6"/>
      <c r="S4917" s="6"/>
      <c r="T4917" s="6"/>
      <c r="U4917" s="6"/>
      <c r="V4917" s="6"/>
      <c r="W4917" s="6"/>
      <c r="X4917" s="6"/>
      <c r="Y4917" s="6"/>
      <c r="Z4917" s="6"/>
      <c r="AA4917" s="6"/>
      <c r="AB4917" s="6"/>
      <c r="AC4917" s="6"/>
      <c r="AD4917" s="6"/>
      <c r="AE4917" s="6"/>
      <c r="AF4917" s="6"/>
      <c r="AG4917" s="6"/>
      <c r="AH4917" s="6"/>
      <c r="AI4917" s="6"/>
      <c r="AJ4917" s="6"/>
      <c r="AK4917" s="6"/>
      <c r="AL4917" s="6"/>
      <c r="AM4917" s="6"/>
    </row>
    <row r="4918">
      <c r="A4918" s="6"/>
      <c r="B4918" s="6"/>
      <c r="C4918" s="6"/>
      <c r="D4918" s="6"/>
      <c r="E4918" s="6"/>
      <c r="F4918" s="6"/>
      <c r="G4918" s="6"/>
      <c r="H4918" s="6"/>
      <c r="I4918" s="6"/>
      <c r="J4918" s="6"/>
      <c r="K4918" s="6"/>
      <c r="L4918" s="6"/>
      <c r="M4918" s="6"/>
      <c r="N4918" s="6"/>
      <c r="O4918" s="6"/>
      <c r="P4918" s="6"/>
      <c r="Q4918" s="6"/>
      <c r="R4918" s="6"/>
      <c r="S4918" s="6"/>
      <c r="T4918" s="6"/>
      <c r="U4918" s="6"/>
      <c r="V4918" s="6"/>
      <c r="W4918" s="6"/>
      <c r="X4918" s="6"/>
      <c r="Y4918" s="6"/>
      <c r="Z4918" s="6"/>
      <c r="AA4918" s="6"/>
      <c r="AB4918" s="6"/>
      <c r="AC4918" s="6"/>
      <c r="AD4918" s="6"/>
      <c r="AE4918" s="6"/>
      <c r="AF4918" s="6"/>
      <c r="AG4918" s="6"/>
      <c r="AH4918" s="6"/>
      <c r="AI4918" s="6"/>
      <c r="AJ4918" s="6"/>
      <c r="AK4918" s="6"/>
      <c r="AL4918" s="6"/>
      <c r="AM4918" s="6"/>
    </row>
    <row r="4919">
      <c r="A4919" s="6"/>
      <c r="B4919" s="6"/>
      <c r="C4919" s="6"/>
      <c r="D4919" s="6"/>
      <c r="E4919" s="6"/>
      <c r="F4919" s="6"/>
      <c r="G4919" s="6"/>
      <c r="H4919" s="6"/>
      <c r="I4919" s="6"/>
      <c r="J4919" s="6"/>
      <c r="K4919" s="6"/>
      <c r="L4919" s="6"/>
      <c r="M4919" s="6"/>
      <c r="N4919" s="6"/>
      <c r="O4919" s="6"/>
      <c r="P4919" s="6"/>
      <c r="Q4919" s="6"/>
      <c r="R4919" s="6"/>
      <c r="S4919" s="6"/>
      <c r="T4919" s="6"/>
      <c r="U4919" s="6"/>
      <c r="V4919" s="6"/>
      <c r="W4919" s="6"/>
      <c r="X4919" s="6"/>
      <c r="Y4919" s="6"/>
      <c r="Z4919" s="6"/>
      <c r="AA4919" s="6"/>
      <c r="AB4919" s="6"/>
      <c r="AC4919" s="6"/>
      <c r="AD4919" s="6"/>
      <c r="AE4919" s="6"/>
      <c r="AF4919" s="6"/>
      <c r="AG4919" s="6"/>
      <c r="AH4919" s="6"/>
      <c r="AI4919" s="6"/>
      <c r="AJ4919" s="6"/>
      <c r="AK4919" s="6"/>
      <c r="AL4919" s="6"/>
      <c r="AM4919" s="6"/>
    </row>
    <row r="4920">
      <c r="A4920" s="6"/>
      <c r="B4920" s="6"/>
      <c r="C4920" s="6"/>
      <c r="D4920" s="6"/>
      <c r="E4920" s="6"/>
      <c r="F4920" s="6"/>
      <c r="G4920" s="6"/>
      <c r="H4920" s="6"/>
      <c r="I4920" s="6"/>
      <c r="J4920" s="6"/>
      <c r="K4920" s="6"/>
      <c r="L4920" s="6"/>
      <c r="M4920" s="6"/>
      <c r="N4920" s="6"/>
      <c r="O4920" s="6"/>
      <c r="P4920" s="6"/>
      <c r="Q4920" s="6"/>
      <c r="R4920" s="6"/>
      <c r="S4920" s="6"/>
      <c r="T4920" s="6"/>
      <c r="U4920" s="6"/>
      <c r="V4920" s="6"/>
      <c r="W4920" s="6"/>
      <c r="X4920" s="6"/>
      <c r="Y4920" s="6"/>
      <c r="Z4920" s="6"/>
      <c r="AA4920" s="6"/>
      <c r="AB4920" s="6"/>
      <c r="AC4920" s="6"/>
      <c r="AD4920" s="6"/>
      <c r="AE4920" s="6"/>
      <c r="AF4920" s="6"/>
      <c r="AG4920" s="6"/>
      <c r="AH4920" s="6"/>
      <c r="AI4920" s="6"/>
      <c r="AJ4920" s="6"/>
      <c r="AK4920" s="6"/>
      <c r="AL4920" s="6"/>
      <c r="AM4920" s="6"/>
    </row>
    <row r="4921">
      <c r="A4921" s="6"/>
      <c r="B4921" s="6"/>
      <c r="C4921" s="6"/>
      <c r="D4921" s="6"/>
      <c r="E4921" s="6"/>
      <c r="F4921" s="6"/>
      <c r="G4921" s="6"/>
      <c r="H4921" s="6"/>
      <c r="I4921" s="6"/>
      <c r="J4921" s="6"/>
      <c r="K4921" s="6"/>
      <c r="L4921" s="6"/>
      <c r="M4921" s="6"/>
      <c r="N4921" s="6"/>
      <c r="O4921" s="6"/>
      <c r="P4921" s="6"/>
      <c r="Q4921" s="6"/>
      <c r="R4921" s="6"/>
      <c r="S4921" s="6"/>
      <c r="T4921" s="6"/>
      <c r="U4921" s="6"/>
      <c r="V4921" s="6"/>
      <c r="W4921" s="6"/>
      <c r="X4921" s="6"/>
      <c r="Y4921" s="6"/>
      <c r="Z4921" s="6"/>
      <c r="AA4921" s="6"/>
      <c r="AB4921" s="6"/>
      <c r="AC4921" s="6"/>
      <c r="AD4921" s="6"/>
      <c r="AE4921" s="6"/>
      <c r="AF4921" s="6"/>
      <c r="AG4921" s="6"/>
      <c r="AH4921" s="6"/>
      <c r="AI4921" s="6"/>
      <c r="AJ4921" s="6"/>
      <c r="AK4921" s="6"/>
      <c r="AL4921" s="6"/>
      <c r="AM4921" s="6"/>
    </row>
    <row r="4922">
      <c r="A4922" s="6"/>
      <c r="B4922" s="6"/>
      <c r="C4922" s="6"/>
      <c r="D4922" s="6"/>
      <c r="E4922" s="6"/>
      <c r="F4922" s="6"/>
      <c r="G4922" s="6"/>
      <c r="H4922" s="6"/>
      <c r="I4922" s="6"/>
      <c r="J4922" s="6"/>
      <c r="K4922" s="6"/>
      <c r="L4922" s="6"/>
      <c r="M4922" s="6"/>
      <c r="N4922" s="6"/>
      <c r="O4922" s="6"/>
      <c r="P4922" s="6"/>
      <c r="Q4922" s="6"/>
      <c r="R4922" s="6"/>
      <c r="S4922" s="6"/>
      <c r="T4922" s="6"/>
      <c r="U4922" s="6"/>
      <c r="V4922" s="6"/>
      <c r="W4922" s="6"/>
      <c r="X4922" s="6"/>
      <c r="Y4922" s="6"/>
      <c r="Z4922" s="6"/>
      <c r="AA4922" s="6"/>
      <c r="AB4922" s="6"/>
      <c r="AC4922" s="6"/>
      <c r="AD4922" s="6"/>
      <c r="AE4922" s="6"/>
      <c r="AF4922" s="6"/>
      <c r="AG4922" s="6"/>
      <c r="AH4922" s="6"/>
      <c r="AI4922" s="6"/>
      <c r="AJ4922" s="6"/>
      <c r="AK4922" s="6"/>
      <c r="AL4922" s="6"/>
      <c r="AM4922" s="6"/>
    </row>
    <row r="4923">
      <c r="A4923" s="6"/>
      <c r="B4923" s="6"/>
      <c r="C4923" s="6"/>
      <c r="D4923" s="6"/>
      <c r="E4923" s="6"/>
      <c r="F4923" s="6"/>
      <c r="G4923" s="6"/>
      <c r="H4923" s="6"/>
      <c r="I4923" s="6"/>
      <c r="J4923" s="6"/>
      <c r="K4923" s="6"/>
      <c r="L4923" s="6"/>
      <c r="M4923" s="6"/>
      <c r="N4923" s="6"/>
      <c r="O4923" s="6"/>
      <c r="P4923" s="6"/>
      <c r="Q4923" s="6"/>
      <c r="R4923" s="6"/>
      <c r="S4923" s="6"/>
      <c r="T4923" s="6"/>
      <c r="U4923" s="6"/>
      <c r="V4923" s="6"/>
      <c r="W4923" s="6"/>
      <c r="X4923" s="6"/>
      <c r="Y4923" s="6"/>
      <c r="Z4923" s="6"/>
      <c r="AA4923" s="6"/>
      <c r="AB4923" s="6"/>
      <c r="AC4923" s="6"/>
      <c r="AD4923" s="6"/>
      <c r="AE4923" s="6"/>
      <c r="AF4923" s="6"/>
      <c r="AG4923" s="6"/>
      <c r="AH4923" s="6"/>
      <c r="AI4923" s="6"/>
      <c r="AJ4923" s="6"/>
      <c r="AK4923" s="6"/>
      <c r="AL4923" s="6"/>
      <c r="AM4923" s="6"/>
    </row>
    <row r="4924">
      <c r="A4924" s="6"/>
      <c r="B4924" s="6"/>
      <c r="C4924" s="6"/>
      <c r="D4924" s="6"/>
      <c r="E4924" s="6"/>
      <c r="F4924" s="6"/>
      <c r="G4924" s="6"/>
      <c r="H4924" s="6"/>
      <c r="I4924" s="6"/>
      <c r="J4924" s="6"/>
      <c r="K4924" s="6"/>
      <c r="L4924" s="6"/>
      <c r="M4924" s="6"/>
      <c r="N4924" s="6"/>
      <c r="O4924" s="6"/>
      <c r="P4924" s="6"/>
      <c r="Q4924" s="6"/>
      <c r="R4924" s="6"/>
      <c r="S4924" s="6"/>
      <c r="T4924" s="6"/>
      <c r="U4924" s="6"/>
      <c r="V4924" s="6"/>
      <c r="W4924" s="6"/>
      <c r="X4924" s="6"/>
      <c r="Y4924" s="6"/>
      <c r="Z4924" s="6"/>
      <c r="AA4924" s="6"/>
      <c r="AB4924" s="6"/>
      <c r="AC4924" s="6"/>
      <c r="AD4924" s="6"/>
      <c r="AE4924" s="6"/>
      <c r="AF4924" s="6"/>
      <c r="AG4924" s="6"/>
      <c r="AH4924" s="6"/>
      <c r="AI4924" s="6"/>
      <c r="AJ4924" s="6"/>
      <c r="AK4924" s="6"/>
      <c r="AL4924" s="6"/>
      <c r="AM4924" s="6"/>
    </row>
    <row r="4925">
      <c r="A4925" s="6"/>
      <c r="B4925" s="6"/>
      <c r="C4925" s="6"/>
      <c r="D4925" s="6"/>
      <c r="E4925" s="6"/>
      <c r="F4925" s="6"/>
      <c r="G4925" s="6"/>
      <c r="H4925" s="6"/>
      <c r="I4925" s="6"/>
      <c r="J4925" s="6"/>
      <c r="K4925" s="6"/>
      <c r="L4925" s="6"/>
      <c r="M4925" s="6"/>
      <c r="N4925" s="6"/>
      <c r="O4925" s="6"/>
      <c r="P4925" s="6"/>
      <c r="Q4925" s="6"/>
      <c r="R4925" s="6"/>
      <c r="S4925" s="6"/>
      <c r="T4925" s="6"/>
      <c r="U4925" s="6"/>
      <c r="V4925" s="6"/>
      <c r="W4925" s="6"/>
      <c r="X4925" s="6"/>
      <c r="Y4925" s="6"/>
      <c r="Z4925" s="6"/>
      <c r="AA4925" s="6"/>
      <c r="AB4925" s="6"/>
      <c r="AC4925" s="6"/>
      <c r="AD4925" s="6"/>
      <c r="AE4925" s="6"/>
      <c r="AF4925" s="6"/>
      <c r="AG4925" s="6"/>
      <c r="AH4925" s="6"/>
      <c r="AI4925" s="6"/>
      <c r="AJ4925" s="6"/>
      <c r="AK4925" s="6"/>
      <c r="AL4925" s="6"/>
      <c r="AM4925" s="6"/>
    </row>
    <row r="4926">
      <c r="A4926" s="6"/>
      <c r="B4926" s="6"/>
      <c r="C4926" s="6"/>
      <c r="D4926" s="6"/>
      <c r="E4926" s="6"/>
      <c r="F4926" s="6"/>
      <c r="G4926" s="6"/>
      <c r="H4926" s="6"/>
      <c r="I4926" s="6"/>
      <c r="J4926" s="6"/>
      <c r="K4926" s="6"/>
      <c r="L4926" s="6"/>
      <c r="M4926" s="6"/>
      <c r="N4926" s="6"/>
      <c r="O4926" s="6"/>
      <c r="P4926" s="6"/>
      <c r="Q4926" s="6"/>
      <c r="R4926" s="6"/>
      <c r="S4926" s="6"/>
      <c r="T4926" s="6"/>
      <c r="U4926" s="6"/>
      <c r="V4926" s="6"/>
      <c r="W4926" s="6"/>
      <c r="X4926" s="6"/>
      <c r="Y4926" s="6"/>
      <c r="Z4926" s="6"/>
      <c r="AA4926" s="6"/>
      <c r="AB4926" s="6"/>
      <c r="AC4926" s="6"/>
      <c r="AD4926" s="6"/>
      <c r="AE4926" s="6"/>
      <c r="AF4926" s="6"/>
      <c r="AG4926" s="6"/>
      <c r="AH4926" s="6"/>
      <c r="AI4926" s="6"/>
      <c r="AJ4926" s="6"/>
      <c r="AK4926" s="6"/>
      <c r="AL4926" s="6"/>
      <c r="AM4926" s="6"/>
    </row>
    <row r="4927">
      <c r="A4927" s="6"/>
      <c r="B4927" s="6"/>
      <c r="C4927" s="6"/>
      <c r="D4927" s="6"/>
      <c r="E4927" s="6"/>
      <c r="F4927" s="6"/>
      <c r="G4927" s="6"/>
      <c r="H4927" s="6"/>
      <c r="I4927" s="6"/>
      <c r="J4927" s="6"/>
      <c r="K4927" s="6"/>
      <c r="L4927" s="6"/>
      <c r="M4927" s="6"/>
      <c r="N4927" s="6"/>
      <c r="O4927" s="6"/>
      <c r="P4927" s="6"/>
      <c r="Q4927" s="6"/>
      <c r="R4927" s="6"/>
      <c r="S4927" s="6"/>
      <c r="T4927" s="6"/>
      <c r="U4927" s="6"/>
      <c r="V4927" s="6"/>
      <c r="W4927" s="6"/>
      <c r="X4927" s="6"/>
      <c r="Y4927" s="6"/>
      <c r="Z4927" s="6"/>
      <c r="AA4927" s="6"/>
      <c r="AB4927" s="6"/>
      <c r="AC4927" s="6"/>
      <c r="AD4927" s="6"/>
      <c r="AE4927" s="6"/>
      <c r="AF4927" s="6"/>
      <c r="AG4927" s="6"/>
      <c r="AH4927" s="6"/>
      <c r="AI4927" s="6"/>
      <c r="AJ4927" s="6"/>
      <c r="AK4927" s="6"/>
      <c r="AL4927" s="6"/>
      <c r="AM4927" s="6"/>
    </row>
    <row r="4928">
      <c r="A4928" s="6"/>
      <c r="B4928" s="6"/>
      <c r="C4928" s="6"/>
      <c r="D4928" s="6"/>
      <c r="E4928" s="6"/>
      <c r="F4928" s="6"/>
      <c r="G4928" s="6"/>
      <c r="H4928" s="6"/>
      <c r="I4928" s="6"/>
      <c r="J4928" s="6"/>
      <c r="K4928" s="6"/>
      <c r="L4928" s="6"/>
      <c r="M4928" s="6"/>
      <c r="N4928" s="6"/>
      <c r="O4928" s="6"/>
      <c r="P4928" s="6"/>
      <c r="Q4928" s="6"/>
      <c r="R4928" s="6"/>
      <c r="S4928" s="6"/>
      <c r="T4928" s="6"/>
      <c r="U4928" s="6"/>
      <c r="V4928" s="6"/>
      <c r="W4928" s="6"/>
      <c r="X4928" s="6"/>
      <c r="Y4928" s="6"/>
      <c r="Z4928" s="6"/>
      <c r="AA4928" s="6"/>
      <c r="AB4928" s="6"/>
      <c r="AC4928" s="6"/>
      <c r="AD4928" s="6"/>
      <c r="AE4928" s="6"/>
      <c r="AF4928" s="6"/>
      <c r="AG4928" s="6"/>
      <c r="AH4928" s="6"/>
      <c r="AI4928" s="6"/>
      <c r="AJ4928" s="6"/>
      <c r="AK4928" s="6"/>
      <c r="AL4928" s="6"/>
      <c r="AM4928" s="6"/>
    </row>
    <row r="4929">
      <c r="A4929" s="6"/>
      <c r="B4929" s="6"/>
      <c r="C4929" s="6"/>
      <c r="D4929" s="6"/>
      <c r="E4929" s="6"/>
      <c r="F4929" s="6"/>
      <c r="G4929" s="6"/>
      <c r="H4929" s="6"/>
      <c r="I4929" s="6"/>
      <c r="J4929" s="6"/>
      <c r="K4929" s="6"/>
      <c r="L4929" s="6"/>
      <c r="M4929" s="6"/>
      <c r="N4929" s="6"/>
      <c r="O4929" s="6"/>
      <c r="P4929" s="6"/>
      <c r="Q4929" s="6"/>
      <c r="R4929" s="6"/>
      <c r="S4929" s="6"/>
      <c r="T4929" s="6"/>
      <c r="U4929" s="6"/>
      <c r="V4929" s="6"/>
      <c r="W4929" s="6"/>
      <c r="X4929" s="6"/>
      <c r="Y4929" s="6"/>
      <c r="Z4929" s="6"/>
      <c r="AA4929" s="6"/>
      <c r="AB4929" s="6"/>
      <c r="AC4929" s="6"/>
      <c r="AD4929" s="6"/>
      <c r="AE4929" s="6"/>
      <c r="AF4929" s="6"/>
      <c r="AG4929" s="6"/>
      <c r="AH4929" s="6"/>
      <c r="AI4929" s="6"/>
      <c r="AJ4929" s="6"/>
      <c r="AK4929" s="6"/>
      <c r="AL4929" s="6"/>
      <c r="AM4929" s="6"/>
    </row>
    <row r="4930">
      <c r="A4930" s="6"/>
      <c r="B4930" s="6"/>
      <c r="C4930" s="6"/>
      <c r="D4930" s="6"/>
      <c r="E4930" s="6"/>
      <c r="F4930" s="6"/>
      <c r="G4930" s="6"/>
      <c r="H4930" s="6"/>
      <c r="I4930" s="6"/>
      <c r="J4930" s="6"/>
      <c r="K4930" s="6"/>
      <c r="L4930" s="6"/>
      <c r="M4930" s="6"/>
      <c r="N4930" s="6"/>
      <c r="O4930" s="6"/>
      <c r="P4930" s="6"/>
      <c r="Q4930" s="6"/>
      <c r="R4930" s="6"/>
      <c r="S4930" s="6"/>
      <c r="T4930" s="6"/>
      <c r="U4930" s="6"/>
      <c r="V4930" s="6"/>
      <c r="W4930" s="6"/>
      <c r="X4930" s="6"/>
      <c r="Y4930" s="6"/>
      <c r="Z4930" s="6"/>
      <c r="AA4930" s="6"/>
      <c r="AB4930" s="6"/>
      <c r="AC4930" s="6"/>
      <c r="AD4930" s="6"/>
      <c r="AE4930" s="6"/>
      <c r="AF4930" s="6"/>
      <c r="AG4930" s="6"/>
      <c r="AH4930" s="6"/>
      <c r="AI4930" s="6"/>
      <c r="AJ4930" s="6"/>
      <c r="AK4930" s="6"/>
      <c r="AL4930" s="6"/>
      <c r="AM4930" s="6"/>
    </row>
    <row r="4931">
      <c r="A4931" s="6"/>
      <c r="B4931" s="6"/>
      <c r="C4931" s="6"/>
      <c r="D4931" s="6"/>
      <c r="E4931" s="6"/>
      <c r="F4931" s="6"/>
      <c r="G4931" s="6"/>
      <c r="H4931" s="6"/>
      <c r="I4931" s="6"/>
      <c r="J4931" s="6"/>
      <c r="K4931" s="6"/>
      <c r="L4931" s="6"/>
      <c r="M4931" s="6"/>
      <c r="N4931" s="6"/>
      <c r="O4931" s="6"/>
      <c r="P4931" s="6"/>
      <c r="Q4931" s="6"/>
      <c r="R4931" s="6"/>
      <c r="S4931" s="6"/>
      <c r="T4931" s="6"/>
      <c r="U4931" s="6"/>
      <c r="V4931" s="6"/>
      <c r="W4931" s="6"/>
      <c r="X4931" s="6"/>
      <c r="Y4931" s="6"/>
      <c r="Z4931" s="6"/>
      <c r="AA4931" s="6"/>
      <c r="AB4931" s="6"/>
      <c r="AC4931" s="6"/>
      <c r="AD4931" s="6"/>
      <c r="AE4931" s="6"/>
      <c r="AF4931" s="6"/>
      <c r="AG4931" s="6"/>
      <c r="AH4931" s="6"/>
      <c r="AI4931" s="6"/>
      <c r="AJ4931" s="6"/>
      <c r="AK4931" s="6"/>
      <c r="AL4931" s="6"/>
      <c r="AM4931" s="6"/>
    </row>
    <row r="4932">
      <c r="A4932" s="6"/>
      <c r="B4932" s="6"/>
      <c r="C4932" s="6"/>
      <c r="D4932" s="6"/>
      <c r="E4932" s="6"/>
      <c r="F4932" s="6"/>
      <c r="G4932" s="6"/>
      <c r="H4932" s="6"/>
      <c r="I4932" s="6"/>
      <c r="J4932" s="6"/>
      <c r="K4932" s="6"/>
      <c r="L4932" s="6"/>
      <c r="M4932" s="6"/>
      <c r="N4932" s="6"/>
      <c r="O4932" s="6"/>
      <c r="P4932" s="6"/>
      <c r="Q4932" s="6"/>
      <c r="R4932" s="6"/>
      <c r="S4932" s="6"/>
      <c r="T4932" s="6"/>
      <c r="U4932" s="6"/>
      <c r="V4932" s="6"/>
      <c r="W4932" s="6"/>
      <c r="X4932" s="6"/>
      <c r="Y4932" s="6"/>
      <c r="Z4932" s="6"/>
      <c r="AA4932" s="6"/>
      <c r="AB4932" s="6"/>
      <c r="AC4932" s="6"/>
      <c r="AD4932" s="6"/>
      <c r="AE4932" s="6"/>
      <c r="AF4932" s="6"/>
      <c r="AG4932" s="6"/>
      <c r="AH4932" s="6"/>
      <c r="AI4932" s="6"/>
      <c r="AJ4932" s="6"/>
      <c r="AK4932" s="6"/>
      <c r="AL4932" s="6"/>
      <c r="AM4932" s="6"/>
    </row>
    <row r="4933">
      <c r="A4933" s="6"/>
      <c r="B4933" s="6"/>
      <c r="C4933" s="6"/>
      <c r="D4933" s="6"/>
      <c r="E4933" s="6"/>
      <c r="F4933" s="6"/>
      <c r="G4933" s="6"/>
      <c r="H4933" s="6"/>
      <c r="I4933" s="6"/>
      <c r="J4933" s="6"/>
      <c r="K4933" s="6"/>
      <c r="L4933" s="6"/>
      <c r="M4933" s="6"/>
      <c r="N4933" s="6"/>
      <c r="O4933" s="6"/>
      <c r="P4933" s="6"/>
      <c r="Q4933" s="6"/>
      <c r="R4933" s="6"/>
      <c r="S4933" s="6"/>
      <c r="T4933" s="6"/>
      <c r="U4933" s="6"/>
      <c r="V4933" s="6"/>
      <c r="W4933" s="6"/>
      <c r="X4933" s="6"/>
      <c r="Y4933" s="6"/>
      <c r="Z4933" s="6"/>
      <c r="AA4933" s="6"/>
      <c r="AB4933" s="6"/>
      <c r="AC4933" s="6"/>
      <c r="AD4933" s="6"/>
      <c r="AE4933" s="6"/>
      <c r="AF4933" s="6"/>
      <c r="AG4933" s="6"/>
      <c r="AH4933" s="6"/>
      <c r="AI4933" s="6"/>
      <c r="AJ4933" s="6"/>
      <c r="AK4933" s="6"/>
      <c r="AL4933" s="6"/>
      <c r="AM4933" s="6"/>
    </row>
    <row r="4934">
      <c r="A4934" s="6"/>
      <c r="B4934" s="6"/>
      <c r="C4934" s="6"/>
      <c r="D4934" s="6"/>
      <c r="E4934" s="6"/>
      <c r="F4934" s="6"/>
      <c r="G4934" s="6"/>
      <c r="H4934" s="6"/>
      <c r="I4934" s="6"/>
      <c r="J4934" s="6"/>
      <c r="K4934" s="6"/>
      <c r="L4934" s="6"/>
      <c r="M4934" s="6"/>
      <c r="N4934" s="6"/>
      <c r="O4934" s="6"/>
      <c r="P4934" s="6"/>
      <c r="Q4934" s="6"/>
      <c r="R4934" s="6"/>
      <c r="S4934" s="6"/>
      <c r="T4934" s="6"/>
      <c r="U4934" s="6"/>
      <c r="V4934" s="6"/>
      <c r="W4934" s="6"/>
      <c r="X4934" s="6"/>
      <c r="Y4934" s="6"/>
      <c r="Z4934" s="6"/>
      <c r="AA4934" s="6"/>
      <c r="AB4934" s="6"/>
      <c r="AC4934" s="6"/>
      <c r="AD4934" s="6"/>
      <c r="AE4934" s="6"/>
      <c r="AF4934" s="6"/>
      <c r="AG4934" s="6"/>
      <c r="AH4934" s="6"/>
      <c r="AI4934" s="6"/>
      <c r="AJ4934" s="6"/>
      <c r="AK4934" s="6"/>
      <c r="AL4934" s="6"/>
      <c r="AM4934" s="6"/>
    </row>
    <row r="4935">
      <c r="A4935" s="6"/>
      <c r="B4935" s="6"/>
      <c r="C4935" s="6"/>
      <c r="D4935" s="6"/>
      <c r="E4935" s="6"/>
      <c r="F4935" s="6"/>
      <c r="G4935" s="6"/>
      <c r="H4935" s="6"/>
      <c r="I4935" s="6"/>
      <c r="J4935" s="6"/>
      <c r="K4935" s="6"/>
      <c r="L4935" s="6"/>
      <c r="M4935" s="6"/>
      <c r="N4935" s="6"/>
      <c r="O4935" s="6"/>
      <c r="P4935" s="6"/>
      <c r="Q4935" s="6"/>
      <c r="R4935" s="6"/>
      <c r="S4935" s="6"/>
      <c r="T4935" s="6"/>
      <c r="U4935" s="6"/>
      <c r="V4935" s="6"/>
      <c r="W4935" s="6"/>
      <c r="X4935" s="6"/>
      <c r="Y4935" s="6"/>
      <c r="Z4935" s="6"/>
      <c r="AA4935" s="6"/>
      <c r="AB4935" s="6"/>
      <c r="AC4935" s="6"/>
      <c r="AD4935" s="6"/>
      <c r="AE4935" s="6"/>
      <c r="AF4935" s="6"/>
      <c r="AG4935" s="6"/>
      <c r="AH4935" s="6"/>
      <c r="AI4935" s="6"/>
      <c r="AJ4935" s="6"/>
      <c r="AK4935" s="6"/>
      <c r="AL4935" s="6"/>
      <c r="AM4935" s="6"/>
    </row>
    <row r="4936">
      <c r="A4936" s="6"/>
      <c r="B4936" s="6"/>
      <c r="C4936" s="6"/>
      <c r="D4936" s="6"/>
      <c r="E4936" s="6"/>
      <c r="F4936" s="6"/>
      <c r="G4936" s="6"/>
      <c r="H4936" s="6"/>
      <c r="I4936" s="6"/>
      <c r="J4936" s="6"/>
      <c r="K4936" s="6"/>
      <c r="L4936" s="6"/>
      <c r="M4936" s="6"/>
      <c r="N4936" s="6"/>
      <c r="O4936" s="6"/>
      <c r="P4936" s="6"/>
      <c r="Q4936" s="6"/>
      <c r="R4936" s="6"/>
      <c r="S4936" s="6"/>
      <c r="T4936" s="6"/>
      <c r="U4936" s="6"/>
      <c r="V4936" s="6"/>
      <c r="W4936" s="6"/>
      <c r="X4936" s="6"/>
      <c r="Y4936" s="6"/>
      <c r="Z4936" s="6"/>
      <c r="AA4936" s="6"/>
      <c r="AB4936" s="6"/>
      <c r="AC4936" s="6"/>
      <c r="AD4936" s="6"/>
      <c r="AE4936" s="6"/>
      <c r="AF4936" s="6"/>
      <c r="AG4936" s="6"/>
      <c r="AH4936" s="6"/>
      <c r="AI4936" s="6"/>
      <c r="AJ4936" s="6"/>
      <c r="AK4936" s="6"/>
      <c r="AL4936" s="6"/>
      <c r="AM4936" s="6"/>
    </row>
    <row r="4937">
      <c r="A4937" s="6"/>
      <c r="B4937" s="6"/>
      <c r="C4937" s="6"/>
      <c r="D4937" s="6"/>
      <c r="E4937" s="6"/>
      <c r="F4937" s="6"/>
      <c r="G4937" s="6"/>
      <c r="H4937" s="6"/>
      <c r="I4937" s="6"/>
      <c r="J4937" s="6"/>
      <c r="K4937" s="6"/>
      <c r="L4937" s="6"/>
      <c r="M4937" s="6"/>
      <c r="N4937" s="6"/>
      <c r="O4937" s="6"/>
      <c r="P4937" s="6"/>
      <c r="Q4937" s="6"/>
      <c r="R4937" s="6"/>
      <c r="S4937" s="6"/>
      <c r="T4937" s="6"/>
      <c r="U4937" s="6"/>
      <c r="V4937" s="6"/>
      <c r="W4937" s="6"/>
      <c r="X4937" s="6"/>
      <c r="Y4937" s="6"/>
      <c r="Z4937" s="6"/>
      <c r="AA4937" s="6"/>
      <c r="AB4937" s="6"/>
      <c r="AC4937" s="6"/>
      <c r="AD4937" s="6"/>
      <c r="AE4937" s="6"/>
      <c r="AF4937" s="6"/>
      <c r="AG4937" s="6"/>
      <c r="AH4937" s="6"/>
      <c r="AI4937" s="6"/>
      <c r="AJ4937" s="6"/>
      <c r="AK4937" s="6"/>
      <c r="AL4937" s="6"/>
      <c r="AM4937" s="6"/>
    </row>
    <row r="4938">
      <c r="A4938" s="6"/>
      <c r="B4938" s="6"/>
      <c r="C4938" s="6"/>
      <c r="D4938" s="6"/>
      <c r="E4938" s="6"/>
      <c r="F4938" s="6"/>
      <c r="G4938" s="6"/>
      <c r="H4938" s="6"/>
      <c r="I4938" s="6"/>
      <c r="J4938" s="6"/>
      <c r="K4938" s="6"/>
      <c r="L4938" s="6"/>
      <c r="M4938" s="6"/>
      <c r="N4938" s="6"/>
      <c r="O4938" s="6"/>
      <c r="P4938" s="6"/>
      <c r="Q4938" s="6"/>
      <c r="R4938" s="6"/>
      <c r="S4938" s="6"/>
      <c r="T4938" s="6"/>
      <c r="U4938" s="6"/>
      <c r="V4938" s="6"/>
      <c r="W4938" s="6"/>
      <c r="X4938" s="6"/>
      <c r="Y4938" s="6"/>
      <c r="Z4938" s="6"/>
      <c r="AA4938" s="6"/>
      <c r="AB4938" s="6"/>
      <c r="AC4938" s="6"/>
      <c r="AD4938" s="6"/>
      <c r="AE4938" s="6"/>
      <c r="AF4938" s="6"/>
      <c r="AG4938" s="6"/>
      <c r="AH4938" s="6"/>
      <c r="AI4938" s="6"/>
      <c r="AJ4938" s="6"/>
      <c r="AK4938" s="6"/>
      <c r="AL4938" s="6"/>
      <c r="AM4938" s="6"/>
    </row>
    <row r="4939">
      <c r="A4939" s="6"/>
      <c r="B4939" s="6"/>
      <c r="C4939" s="6"/>
      <c r="D4939" s="6"/>
      <c r="E4939" s="6"/>
      <c r="F4939" s="6"/>
      <c r="G4939" s="6"/>
      <c r="H4939" s="6"/>
      <c r="I4939" s="6"/>
      <c r="J4939" s="6"/>
      <c r="K4939" s="6"/>
      <c r="L4939" s="6"/>
      <c r="M4939" s="6"/>
      <c r="N4939" s="6"/>
      <c r="O4939" s="6"/>
      <c r="P4939" s="6"/>
      <c r="Q4939" s="6"/>
      <c r="R4939" s="6"/>
      <c r="S4939" s="6"/>
      <c r="T4939" s="6"/>
      <c r="U4939" s="6"/>
      <c r="V4939" s="6"/>
      <c r="W4939" s="6"/>
      <c r="X4939" s="6"/>
      <c r="Y4939" s="6"/>
      <c r="Z4939" s="6"/>
      <c r="AA4939" s="6"/>
      <c r="AB4939" s="6"/>
      <c r="AC4939" s="6"/>
      <c r="AD4939" s="6"/>
      <c r="AE4939" s="6"/>
      <c r="AF4939" s="6"/>
      <c r="AG4939" s="6"/>
      <c r="AH4939" s="6"/>
      <c r="AI4939" s="6"/>
      <c r="AJ4939" s="6"/>
      <c r="AK4939" s="6"/>
      <c r="AL4939" s="6"/>
      <c r="AM4939" s="6"/>
    </row>
    <row r="4940">
      <c r="A4940" s="6"/>
      <c r="B4940" s="6"/>
      <c r="C4940" s="6"/>
      <c r="D4940" s="6"/>
      <c r="E4940" s="6"/>
      <c r="F4940" s="6"/>
      <c r="G4940" s="6"/>
      <c r="H4940" s="6"/>
      <c r="I4940" s="6"/>
      <c r="J4940" s="6"/>
      <c r="K4940" s="6"/>
      <c r="L4940" s="6"/>
      <c r="M4940" s="6"/>
      <c r="N4940" s="6"/>
      <c r="O4940" s="6"/>
      <c r="P4940" s="6"/>
      <c r="Q4940" s="6"/>
      <c r="R4940" s="6"/>
      <c r="S4940" s="6"/>
      <c r="T4940" s="6"/>
      <c r="U4940" s="6"/>
      <c r="V4940" s="6"/>
      <c r="W4940" s="6"/>
      <c r="X4940" s="6"/>
      <c r="Y4940" s="6"/>
      <c r="Z4940" s="6"/>
      <c r="AA4940" s="6"/>
      <c r="AB4940" s="6"/>
      <c r="AC4940" s="6"/>
      <c r="AD4940" s="6"/>
      <c r="AE4940" s="6"/>
      <c r="AF4940" s="6"/>
      <c r="AG4940" s="6"/>
      <c r="AH4940" s="6"/>
      <c r="AI4940" s="6"/>
      <c r="AJ4940" s="6"/>
      <c r="AK4940" s="6"/>
      <c r="AL4940" s="6"/>
      <c r="AM4940" s="6"/>
    </row>
    <row r="4941">
      <c r="A4941" s="6"/>
      <c r="B4941" s="6"/>
      <c r="C4941" s="6"/>
      <c r="D4941" s="6"/>
      <c r="E4941" s="6"/>
      <c r="F4941" s="6"/>
      <c r="G4941" s="6"/>
      <c r="H4941" s="6"/>
      <c r="I4941" s="6"/>
      <c r="J4941" s="6"/>
      <c r="K4941" s="6"/>
      <c r="L4941" s="6"/>
      <c r="M4941" s="6"/>
      <c r="N4941" s="6"/>
      <c r="O4941" s="6"/>
      <c r="P4941" s="6"/>
      <c r="Q4941" s="6"/>
      <c r="R4941" s="6"/>
      <c r="S4941" s="6"/>
      <c r="T4941" s="6"/>
      <c r="U4941" s="6"/>
      <c r="V4941" s="6"/>
      <c r="W4941" s="6"/>
      <c r="X4941" s="6"/>
      <c r="Y4941" s="6"/>
      <c r="Z4941" s="6"/>
      <c r="AA4941" s="6"/>
      <c r="AB4941" s="6"/>
      <c r="AC4941" s="6"/>
      <c r="AD4941" s="6"/>
      <c r="AE4941" s="6"/>
      <c r="AF4941" s="6"/>
      <c r="AG4941" s="6"/>
      <c r="AH4941" s="6"/>
      <c r="AI4941" s="6"/>
      <c r="AJ4941" s="6"/>
      <c r="AK4941" s="6"/>
      <c r="AL4941" s="6"/>
      <c r="AM4941" s="6"/>
    </row>
    <row r="4942">
      <c r="A4942" s="6"/>
      <c r="B4942" s="6"/>
      <c r="C4942" s="6"/>
      <c r="D4942" s="6"/>
      <c r="E4942" s="6"/>
      <c r="F4942" s="6"/>
      <c r="G4942" s="6"/>
      <c r="H4942" s="6"/>
      <c r="I4942" s="6"/>
      <c r="J4942" s="6"/>
      <c r="K4942" s="6"/>
      <c r="L4942" s="6"/>
      <c r="M4942" s="6"/>
      <c r="N4942" s="6"/>
      <c r="O4942" s="6"/>
      <c r="P4942" s="6"/>
      <c r="Q4942" s="6"/>
      <c r="R4942" s="6"/>
      <c r="S4942" s="6"/>
      <c r="T4942" s="6"/>
      <c r="U4942" s="6"/>
      <c r="V4942" s="6"/>
      <c r="W4942" s="6"/>
      <c r="X4942" s="6"/>
      <c r="Y4942" s="6"/>
      <c r="Z4942" s="6"/>
      <c r="AA4942" s="6"/>
      <c r="AB4942" s="6"/>
      <c r="AC4942" s="6"/>
      <c r="AD4942" s="6"/>
      <c r="AE4942" s="6"/>
      <c r="AF4942" s="6"/>
      <c r="AG4942" s="6"/>
      <c r="AH4942" s="6"/>
      <c r="AI4942" s="6"/>
      <c r="AJ4942" s="6"/>
      <c r="AK4942" s="6"/>
      <c r="AL4942" s="6"/>
      <c r="AM4942" s="6"/>
    </row>
    <row r="4943">
      <c r="A4943" s="6"/>
      <c r="B4943" s="6"/>
      <c r="C4943" s="6"/>
      <c r="D4943" s="6"/>
      <c r="E4943" s="6"/>
      <c r="F4943" s="6"/>
      <c r="G4943" s="6"/>
      <c r="H4943" s="6"/>
      <c r="I4943" s="6"/>
      <c r="J4943" s="6"/>
      <c r="K4943" s="6"/>
      <c r="L4943" s="6"/>
      <c r="M4943" s="6"/>
      <c r="N4943" s="6"/>
      <c r="O4943" s="6"/>
      <c r="P4943" s="6"/>
      <c r="Q4943" s="6"/>
      <c r="R4943" s="6"/>
      <c r="S4943" s="6"/>
      <c r="T4943" s="6"/>
      <c r="U4943" s="6"/>
      <c r="V4943" s="6"/>
      <c r="W4943" s="6"/>
      <c r="X4943" s="6"/>
      <c r="Y4943" s="6"/>
      <c r="Z4943" s="6"/>
      <c r="AA4943" s="6"/>
      <c r="AB4943" s="6"/>
      <c r="AC4943" s="6"/>
      <c r="AD4943" s="6"/>
      <c r="AE4943" s="6"/>
      <c r="AF4943" s="6"/>
      <c r="AG4943" s="6"/>
      <c r="AH4943" s="6"/>
      <c r="AI4943" s="6"/>
      <c r="AJ4943" s="6"/>
      <c r="AK4943" s="6"/>
      <c r="AL4943" s="6"/>
      <c r="AM4943" s="6"/>
    </row>
    <row r="4944">
      <c r="A4944" s="6"/>
      <c r="B4944" s="6"/>
      <c r="C4944" s="6"/>
      <c r="D4944" s="6"/>
      <c r="E4944" s="6"/>
      <c r="F4944" s="6"/>
      <c r="G4944" s="6"/>
      <c r="H4944" s="6"/>
      <c r="I4944" s="6"/>
      <c r="J4944" s="6"/>
      <c r="K4944" s="6"/>
      <c r="L4944" s="6"/>
      <c r="M4944" s="6"/>
      <c r="N4944" s="6"/>
      <c r="O4944" s="6"/>
      <c r="P4944" s="6"/>
      <c r="Q4944" s="6"/>
      <c r="R4944" s="6"/>
      <c r="S4944" s="6"/>
      <c r="T4944" s="6"/>
      <c r="U4944" s="6"/>
      <c r="V4944" s="6"/>
      <c r="W4944" s="6"/>
      <c r="X4944" s="6"/>
      <c r="Y4944" s="6"/>
      <c r="Z4944" s="6"/>
      <c r="AA4944" s="6"/>
      <c r="AB4944" s="6"/>
      <c r="AC4944" s="6"/>
      <c r="AD4944" s="6"/>
      <c r="AE4944" s="6"/>
      <c r="AF4944" s="6"/>
      <c r="AG4944" s="6"/>
      <c r="AH4944" s="6"/>
      <c r="AI4944" s="6"/>
      <c r="AJ4944" s="6"/>
      <c r="AK4944" s="6"/>
      <c r="AL4944" s="6"/>
      <c r="AM4944" s="6"/>
    </row>
    <row r="4945">
      <c r="A4945" s="6"/>
      <c r="B4945" s="6"/>
      <c r="C4945" s="6"/>
      <c r="D4945" s="6"/>
      <c r="E4945" s="6"/>
      <c r="F4945" s="6"/>
      <c r="G4945" s="6"/>
      <c r="H4945" s="6"/>
      <c r="I4945" s="6"/>
      <c r="J4945" s="6"/>
      <c r="K4945" s="6"/>
      <c r="L4945" s="6"/>
      <c r="M4945" s="6"/>
      <c r="N4945" s="6"/>
      <c r="O4945" s="6"/>
      <c r="P4945" s="6"/>
      <c r="Q4945" s="6"/>
      <c r="R4945" s="6"/>
      <c r="S4945" s="6"/>
      <c r="T4945" s="6"/>
      <c r="U4945" s="6"/>
      <c r="V4945" s="6"/>
      <c r="W4945" s="6"/>
      <c r="X4945" s="6"/>
      <c r="Y4945" s="6"/>
      <c r="Z4945" s="6"/>
      <c r="AA4945" s="6"/>
      <c r="AB4945" s="6"/>
      <c r="AC4945" s="6"/>
      <c r="AD4945" s="6"/>
      <c r="AE4945" s="6"/>
      <c r="AF4945" s="6"/>
      <c r="AG4945" s="6"/>
      <c r="AH4945" s="6"/>
      <c r="AI4945" s="6"/>
      <c r="AJ4945" s="6"/>
      <c r="AK4945" s="6"/>
      <c r="AL4945" s="6"/>
      <c r="AM4945" s="6"/>
    </row>
    <row r="4946">
      <c r="A4946" s="6"/>
      <c r="B4946" s="6"/>
      <c r="C4946" s="6"/>
      <c r="D4946" s="6"/>
      <c r="E4946" s="6"/>
      <c r="F4946" s="6"/>
      <c r="G4946" s="6"/>
      <c r="H4946" s="6"/>
      <c r="I4946" s="6"/>
      <c r="J4946" s="6"/>
      <c r="K4946" s="6"/>
      <c r="L4946" s="6"/>
      <c r="M4946" s="6"/>
      <c r="N4946" s="6"/>
      <c r="O4946" s="6"/>
      <c r="P4946" s="6"/>
      <c r="Q4946" s="6"/>
      <c r="R4946" s="6"/>
      <c r="S4946" s="6"/>
      <c r="T4946" s="6"/>
      <c r="U4946" s="6"/>
      <c r="V4946" s="6"/>
      <c r="W4946" s="6"/>
      <c r="X4946" s="6"/>
      <c r="Y4946" s="6"/>
      <c r="Z4946" s="6"/>
      <c r="AA4946" s="6"/>
      <c r="AB4946" s="6"/>
      <c r="AC4946" s="6"/>
      <c r="AD4946" s="6"/>
      <c r="AE4946" s="6"/>
      <c r="AF4946" s="6"/>
      <c r="AG4946" s="6"/>
      <c r="AH4946" s="6"/>
      <c r="AI4946" s="6"/>
      <c r="AJ4946" s="6"/>
      <c r="AK4946" s="6"/>
      <c r="AL4946" s="6"/>
      <c r="AM4946" s="6"/>
    </row>
    <row r="4947">
      <c r="A4947" s="6"/>
      <c r="B4947" s="6"/>
      <c r="C4947" s="6"/>
      <c r="D4947" s="6"/>
      <c r="E4947" s="6"/>
      <c r="F4947" s="6"/>
      <c r="G4947" s="6"/>
      <c r="H4947" s="6"/>
      <c r="I4947" s="6"/>
      <c r="J4947" s="6"/>
      <c r="K4947" s="6"/>
      <c r="L4947" s="6"/>
      <c r="M4947" s="6"/>
      <c r="N4947" s="6"/>
      <c r="O4947" s="6"/>
      <c r="P4947" s="6"/>
      <c r="Q4947" s="6"/>
      <c r="R4947" s="6"/>
      <c r="S4947" s="6"/>
      <c r="T4947" s="6"/>
      <c r="U4947" s="6"/>
      <c r="V4947" s="6"/>
      <c r="W4947" s="6"/>
      <c r="X4947" s="6"/>
      <c r="Y4947" s="6"/>
      <c r="Z4947" s="6"/>
      <c r="AA4947" s="6"/>
      <c r="AB4947" s="6"/>
      <c r="AC4947" s="6"/>
      <c r="AD4947" s="6"/>
      <c r="AE4947" s="6"/>
      <c r="AF4947" s="6"/>
      <c r="AG4947" s="6"/>
      <c r="AH4947" s="6"/>
      <c r="AI4947" s="6"/>
      <c r="AJ4947" s="6"/>
      <c r="AK4947" s="6"/>
      <c r="AL4947" s="6"/>
      <c r="AM4947" s="6"/>
    </row>
    <row r="4948">
      <c r="A4948" s="6"/>
      <c r="B4948" s="6"/>
      <c r="C4948" s="6"/>
      <c r="D4948" s="6"/>
      <c r="E4948" s="6"/>
      <c r="F4948" s="6"/>
      <c r="G4948" s="6"/>
      <c r="H4948" s="6"/>
      <c r="I4948" s="6"/>
      <c r="J4948" s="6"/>
      <c r="K4948" s="6"/>
      <c r="L4948" s="6"/>
      <c r="M4948" s="6"/>
      <c r="N4948" s="6"/>
      <c r="O4948" s="6"/>
      <c r="P4948" s="6"/>
      <c r="Q4948" s="6"/>
      <c r="R4948" s="6"/>
      <c r="S4948" s="6"/>
      <c r="T4948" s="6"/>
      <c r="U4948" s="6"/>
      <c r="V4948" s="6"/>
      <c r="W4948" s="6"/>
      <c r="X4948" s="6"/>
      <c r="Y4948" s="6"/>
      <c r="Z4948" s="6"/>
      <c r="AA4948" s="6"/>
      <c r="AB4948" s="6"/>
      <c r="AC4948" s="6"/>
      <c r="AD4948" s="6"/>
      <c r="AE4948" s="6"/>
      <c r="AF4948" s="6"/>
      <c r="AG4948" s="6"/>
      <c r="AH4948" s="6"/>
      <c r="AI4948" s="6"/>
      <c r="AJ4948" s="6"/>
      <c r="AK4948" s="6"/>
      <c r="AL4948" s="6"/>
      <c r="AM4948" s="6"/>
    </row>
    <row r="4949">
      <c r="A4949" s="6"/>
      <c r="B4949" s="6"/>
      <c r="C4949" s="6"/>
      <c r="D4949" s="6"/>
      <c r="E4949" s="6"/>
      <c r="F4949" s="6"/>
      <c r="G4949" s="6"/>
      <c r="H4949" s="6"/>
      <c r="I4949" s="6"/>
      <c r="J4949" s="6"/>
      <c r="K4949" s="6"/>
      <c r="L4949" s="6"/>
      <c r="M4949" s="6"/>
      <c r="N4949" s="6"/>
      <c r="O4949" s="6"/>
      <c r="P4949" s="6"/>
      <c r="Q4949" s="6"/>
      <c r="R4949" s="6"/>
      <c r="S4949" s="6"/>
      <c r="T4949" s="6"/>
      <c r="U4949" s="6"/>
      <c r="V4949" s="6"/>
      <c r="W4949" s="6"/>
      <c r="X4949" s="6"/>
      <c r="Y4949" s="6"/>
      <c r="Z4949" s="6"/>
      <c r="AA4949" s="6"/>
      <c r="AB4949" s="6"/>
      <c r="AC4949" s="6"/>
      <c r="AD4949" s="6"/>
      <c r="AE4949" s="6"/>
      <c r="AF4949" s="6"/>
      <c r="AG4949" s="6"/>
      <c r="AH4949" s="6"/>
      <c r="AI4949" s="6"/>
      <c r="AJ4949" s="6"/>
      <c r="AK4949" s="6"/>
      <c r="AL4949" s="6"/>
      <c r="AM4949" s="6"/>
    </row>
    <row r="4950">
      <c r="A4950" s="6"/>
      <c r="B4950" s="6"/>
      <c r="C4950" s="6"/>
      <c r="D4950" s="6"/>
      <c r="E4950" s="6"/>
      <c r="F4950" s="6"/>
      <c r="G4950" s="6"/>
      <c r="H4950" s="6"/>
      <c r="I4950" s="6"/>
      <c r="J4950" s="6"/>
      <c r="K4950" s="6"/>
      <c r="L4950" s="6"/>
      <c r="M4950" s="6"/>
      <c r="N4950" s="6"/>
      <c r="O4950" s="6"/>
      <c r="P4950" s="6"/>
      <c r="Q4950" s="6"/>
      <c r="R4950" s="6"/>
      <c r="S4950" s="6"/>
      <c r="T4950" s="6"/>
      <c r="U4950" s="6"/>
      <c r="V4950" s="6"/>
      <c r="W4950" s="6"/>
      <c r="X4950" s="6"/>
      <c r="Y4950" s="6"/>
      <c r="Z4950" s="6"/>
      <c r="AA4950" s="6"/>
      <c r="AB4950" s="6"/>
      <c r="AC4950" s="6"/>
      <c r="AD4950" s="6"/>
      <c r="AE4950" s="6"/>
      <c r="AF4950" s="6"/>
      <c r="AG4950" s="6"/>
      <c r="AH4950" s="6"/>
      <c r="AI4950" s="6"/>
      <c r="AJ4950" s="6"/>
      <c r="AK4950" s="6"/>
      <c r="AL4950" s="6"/>
      <c r="AM4950" s="6"/>
    </row>
    <row r="4951">
      <c r="A4951" s="6"/>
      <c r="B4951" s="6"/>
      <c r="C4951" s="6"/>
      <c r="D4951" s="6"/>
      <c r="E4951" s="6"/>
      <c r="F4951" s="6"/>
      <c r="G4951" s="6"/>
      <c r="H4951" s="6"/>
      <c r="I4951" s="6"/>
      <c r="J4951" s="6"/>
      <c r="K4951" s="6"/>
      <c r="L4951" s="6"/>
      <c r="M4951" s="6"/>
      <c r="N4951" s="6"/>
      <c r="O4951" s="6"/>
      <c r="P4951" s="6"/>
      <c r="Q4951" s="6"/>
      <c r="R4951" s="6"/>
      <c r="S4951" s="6"/>
      <c r="T4951" s="6"/>
      <c r="U4951" s="6"/>
      <c r="V4951" s="6"/>
      <c r="W4951" s="6"/>
      <c r="X4951" s="6"/>
      <c r="Y4951" s="6"/>
      <c r="Z4951" s="6"/>
      <c r="AA4951" s="6"/>
      <c r="AB4951" s="6"/>
      <c r="AC4951" s="6"/>
      <c r="AD4951" s="6"/>
      <c r="AE4951" s="6"/>
      <c r="AF4951" s="6"/>
      <c r="AG4951" s="6"/>
      <c r="AH4951" s="6"/>
      <c r="AI4951" s="6"/>
      <c r="AJ4951" s="6"/>
      <c r="AK4951" s="6"/>
      <c r="AL4951" s="6"/>
      <c r="AM4951" s="6"/>
    </row>
    <row r="4952">
      <c r="A4952" s="6"/>
      <c r="B4952" s="6"/>
      <c r="C4952" s="6"/>
      <c r="D4952" s="6"/>
      <c r="E4952" s="6"/>
      <c r="F4952" s="6"/>
      <c r="G4952" s="6"/>
      <c r="H4952" s="6"/>
      <c r="I4952" s="6"/>
      <c r="J4952" s="6"/>
      <c r="K4952" s="6"/>
      <c r="L4952" s="6"/>
      <c r="M4952" s="6"/>
      <c r="N4952" s="6"/>
      <c r="O4952" s="6"/>
      <c r="P4952" s="6"/>
      <c r="Q4952" s="6"/>
      <c r="R4952" s="6"/>
      <c r="S4952" s="6"/>
      <c r="T4952" s="6"/>
      <c r="U4952" s="6"/>
      <c r="V4952" s="6"/>
      <c r="W4952" s="6"/>
      <c r="X4952" s="6"/>
      <c r="Y4952" s="6"/>
      <c r="Z4952" s="6"/>
      <c r="AA4952" s="6"/>
      <c r="AB4952" s="6"/>
      <c r="AC4952" s="6"/>
      <c r="AD4952" s="6"/>
      <c r="AE4952" s="6"/>
      <c r="AF4952" s="6"/>
      <c r="AG4952" s="6"/>
      <c r="AH4952" s="6"/>
      <c r="AI4952" s="6"/>
      <c r="AJ4952" s="6"/>
      <c r="AK4952" s="6"/>
      <c r="AL4952" s="6"/>
      <c r="AM4952" s="6"/>
    </row>
    <row r="4953">
      <c r="A4953" s="6"/>
      <c r="B4953" s="6"/>
      <c r="C4953" s="6"/>
      <c r="D4953" s="6"/>
      <c r="E4953" s="6"/>
      <c r="F4953" s="6"/>
      <c r="G4953" s="6"/>
      <c r="H4953" s="6"/>
      <c r="I4953" s="6"/>
      <c r="J4953" s="6"/>
      <c r="K4953" s="6"/>
      <c r="L4953" s="6"/>
      <c r="M4953" s="6"/>
      <c r="N4953" s="6"/>
      <c r="O4953" s="6"/>
      <c r="P4953" s="6"/>
      <c r="Q4953" s="6"/>
      <c r="R4953" s="6"/>
      <c r="S4953" s="6"/>
      <c r="T4953" s="6"/>
      <c r="U4953" s="6"/>
      <c r="V4953" s="6"/>
      <c r="W4953" s="6"/>
      <c r="X4953" s="6"/>
      <c r="Y4953" s="6"/>
      <c r="Z4953" s="6"/>
      <c r="AA4953" s="6"/>
      <c r="AB4953" s="6"/>
      <c r="AC4953" s="6"/>
      <c r="AD4953" s="6"/>
      <c r="AE4953" s="6"/>
      <c r="AF4953" s="6"/>
      <c r="AG4953" s="6"/>
      <c r="AH4953" s="6"/>
      <c r="AI4953" s="6"/>
      <c r="AJ4953" s="6"/>
      <c r="AK4953" s="6"/>
      <c r="AL4953" s="6"/>
      <c r="AM4953" s="6"/>
    </row>
    <row r="4954">
      <c r="A4954" s="6"/>
      <c r="B4954" s="6"/>
      <c r="C4954" s="6"/>
      <c r="D4954" s="6"/>
      <c r="E4954" s="6"/>
      <c r="F4954" s="6"/>
      <c r="G4954" s="6"/>
      <c r="H4954" s="6"/>
      <c r="I4954" s="6"/>
      <c r="J4954" s="6"/>
      <c r="K4954" s="6"/>
      <c r="L4954" s="6"/>
      <c r="M4954" s="6"/>
      <c r="N4954" s="6"/>
      <c r="O4954" s="6"/>
      <c r="P4954" s="6"/>
      <c r="Q4954" s="6"/>
      <c r="R4954" s="6"/>
      <c r="S4954" s="6"/>
      <c r="T4954" s="6"/>
      <c r="U4954" s="6"/>
      <c r="V4954" s="6"/>
      <c r="W4954" s="6"/>
      <c r="X4954" s="6"/>
      <c r="Y4954" s="6"/>
      <c r="Z4954" s="6"/>
      <c r="AA4954" s="6"/>
      <c r="AB4954" s="6"/>
      <c r="AC4954" s="6"/>
      <c r="AD4954" s="6"/>
      <c r="AE4954" s="6"/>
      <c r="AF4954" s="6"/>
      <c r="AG4954" s="6"/>
      <c r="AH4954" s="6"/>
      <c r="AI4954" s="6"/>
      <c r="AJ4954" s="6"/>
      <c r="AK4954" s="6"/>
      <c r="AL4954" s="6"/>
      <c r="AM4954" s="6"/>
    </row>
    <row r="4955">
      <c r="A4955" s="6"/>
      <c r="B4955" s="6"/>
      <c r="C4955" s="6"/>
      <c r="D4955" s="6"/>
      <c r="E4955" s="6"/>
      <c r="F4955" s="6"/>
      <c r="G4955" s="6"/>
      <c r="H4955" s="6"/>
      <c r="I4955" s="6"/>
      <c r="J4955" s="6"/>
      <c r="K4955" s="6"/>
      <c r="L4955" s="6"/>
      <c r="M4955" s="6"/>
      <c r="N4955" s="6"/>
      <c r="O4955" s="6"/>
      <c r="P4955" s="6"/>
      <c r="Q4955" s="6"/>
      <c r="R4955" s="6"/>
      <c r="S4955" s="6"/>
      <c r="T4955" s="6"/>
      <c r="U4955" s="6"/>
      <c r="V4955" s="6"/>
      <c r="W4955" s="6"/>
      <c r="X4955" s="6"/>
      <c r="Y4955" s="6"/>
      <c r="Z4955" s="6"/>
      <c r="AA4955" s="6"/>
      <c r="AB4955" s="6"/>
      <c r="AC4955" s="6"/>
      <c r="AD4955" s="6"/>
      <c r="AE4955" s="6"/>
      <c r="AF4955" s="6"/>
      <c r="AG4955" s="6"/>
      <c r="AH4955" s="6"/>
      <c r="AI4955" s="6"/>
      <c r="AJ4955" s="6"/>
      <c r="AK4955" s="6"/>
      <c r="AL4955" s="6"/>
      <c r="AM4955" s="6"/>
    </row>
    <row r="4956">
      <c r="A4956" s="6"/>
      <c r="B4956" s="6"/>
      <c r="C4956" s="6"/>
      <c r="D4956" s="6"/>
      <c r="E4956" s="6"/>
      <c r="F4956" s="6"/>
      <c r="G4956" s="6"/>
      <c r="H4956" s="6"/>
      <c r="I4956" s="6"/>
      <c r="J4956" s="6"/>
      <c r="K4956" s="6"/>
      <c r="L4956" s="6"/>
      <c r="M4956" s="6"/>
      <c r="N4956" s="6"/>
      <c r="O4956" s="6"/>
      <c r="P4956" s="6"/>
      <c r="Q4956" s="6"/>
      <c r="R4956" s="6"/>
      <c r="S4956" s="6"/>
      <c r="T4956" s="6"/>
      <c r="U4956" s="6"/>
      <c r="V4956" s="6"/>
      <c r="W4956" s="6"/>
      <c r="X4956" s="6"/>
      <c r="Y4956" s="6"/>
      <c r="Z4956" s="6"/>
      <c r="AA4956" s="6"/>
      <c r="AB4956" s="6"/>
      <c r="AC4956" s="6"/>
      <c r="AD4956" s="6"/>
      <c r="AE4956" s="6"/>
      <c r="AF4956" s="6"/>
      <c r="AG4956" s="6"/>
      <c r="AH4956" s="6"/>
      <c r="AI4956" s="6"/>
      <c r="AJ4956" s="6"/>
      <c r="AK4956" s="6"/>
      <c r="AL4956" s="6"/>
      <c r="AM4956" s="6"/>
    </row>
    <row r="4957">
      <c r="A4957" s="6"/>
      <c r="B4957" s="6"/>
      <c r="C4957" s="6"/>
      <c r="D4957" s="6"/>
      <c r="E4957" s="6"/>
      <c r="F4957" s="6"/>
      <c r="G4957" s="6"/>
      <c r="H4957" s="6"/>
      <c r="I4957" s="6"/>
      <c r="J4957" s="6"/>
      <c r="K4957" s="6"/>
      <c r="L4957" s="6"/>
      <c r="M4957" s="6"/>
      <c r="N4957" s="6"/>
      <c r="O4957" s="6"/>
      <c r="P4957" s="6"/>
      <c r="Q4957" s="6"/>
      <c r="R4957" s="6"/>
      <c r="S4957" s="6"/>
      <c r="T4957" s="6"/>
      <c r="U4957" s="6"/>
      <c r="V4957" s="6"/>
      <c r="W4957" s="6"/>
      <c r="X4957" s="6"/>
      <c r="Y4957" s="6"/>
      <c r="Z4957" s="6"/>
      <c r="AA4957" s="6"/>
      <c r="AB4957" s="6"/>
      <c r="AC4957" s="6"/>
      <c r="AD4957" s="6"/>
      <c r="AE4957" s="6"/>
      <c r="AF4957" s="6"/>
      <c r="AG4957" s="6"/>
      <c r="AH4957" s="6"/>
      <c r="AI4957" s="6"/>
      <c r="AJ4957" s="6"/>
      <c r="AK4957" s="6"/>
      <c r="AL4957" s="6"/>
      <c r="AM4957" s="6"/>
    </row>
    <row r="4958">
      <c r="A4958" s="6"/>
      <c r="B4958" s="6"/>
      <c r="C4958" s="6"/>
      <c r="D4958" s="6"/>
      <c r="E4958" s="6"/>
      <c r="F4958" s="6"/>
      <c r="G4958" s="6"/>
      <c r="H4958" s="6"/>
      <c r="I4958" s="6"/>
      <c r="J4958" s="6"/>
      <c r="K4958" s="6"/>
      <c r="L4958" s="6"/>
      <c r="M4958" s="6"/>
      <c r="N4958" s="6"/>
      <c r="O4958" s="6"/>
      <c r="P4958" s="6"/>
      <c r="Q4958" s="6"/>
      <c r="R4958" s="6"/>
      <c r="S4958" s="6"/>
      <c r="T4958" s="6"/>
      <c r="U4958" s="6"/>
      <c r="V4958" s="6"/>
      <c r="W4958" s="6"/>
      <c r="X4958" s="6"/>
      <c r="Y4958" s="6"/>
      <c r="Z4958" s="6"/>
      <c r="AA4958" s="6"/>
      <c r="AB4958" s="6"/>
      <c r="AC4958" s="6"/>
      <c r="AD4958" s="6"/>
      <c r="AE4958" s="6"/>
      <c r="AF4958" s="6"/>
      <c r="AG4958" s="6"/>
      <c r="AH4958" s="6"/>
      <c r="AI4958" s="6"/>
      <c r="AJ4958" s="6"/>
      <c r="AK4958" s="6"/>
      <c r="AL4958" s="6"/>
      <c r="AM4958" s="6"/>
    </row>
    <row r="4959">
      <c r="A4959" s="6"/>
      <c r="B4959" s="6"/>
      <c r="C4959" s="6"/>
      <c r="D4959" s="6"/>
      <c r="E4959" s="6"/>
      <c r="F4959" s="6"/>
      <c r="G4959" s="6"/>
      <c r="H4959" s="6"/>
      <c r="I4959" s="6"/>
      <c r="J4959" s="6"/>
      <c r="K4959" s="6"/>
      <c r="L4959" s="6"/>
      <c r="M4959" s="6"/>
      <c r="N4959" s="6"/>
      <c r="O4959" s="6"/>
      <c r="P4959" s="6"/>
      <c r="Q4959" s="6"/>
      <c r="R4959" s="6"/>
      <c r="S4959" s="6"/>
      <c r="T4959" s="6"/>
      <c r="U4959" s="6"/>
      <c r="V4959" s="6"/>
      <c r="W4959" s="6"/>
      <c r="X4959" s="6"/>
      <c r="Y4959" s="6"/>
      <c r="Z4959" s="6"/>
      <c r="AA4959" s="6"/>
      <c r="AB4959" s="6"/>
      <c r="AC4959" s="6"/>
      <c r="AD4959" s="6"/>
      <c r="AE4959" s="6"/>
      <c r="AF4959" s="6"/>
      <c r="AG4959" s="6"/>
      <c r="AH4959" s="6"/>
      <c r="AI4959" s="6"/>
      <c r="AJ4959" s="6"/>
      <c r="AK4959" s="6"/>
      <c r="AL4959" s="6"/>
      <c r="AM4959" s="6"/>
    </row>
    <row r="4960">
      <c r="A4960" s="6"/>
      <c r="B4960" s="6"/>
      <c r="C4960" s="6"/>
      <c r="D4960" s="6"/>
      <c r="E4960" s="6"/>
      <c r="F4960" s="6"/>
      <c r="G4960" s="6"/>
      <c r="H4960" s="6"/>
      <c r="I4960" s="6"/>
      <c r="J4960" s="6"/>
      <c r="K4960" s="6"/>
      <c r="L4960" s="6"/>
      <c r="M4960" s="6"/>
      <c r="N4960" s="6"/>
      <c r="O4960" s="6"/>
      <c r="P4960" s="6"/>
      <c r="Q4960" s="6"/>
      <c r="R4960" s="6"/>
      <c r="S4960" s="6"/>
      <c r="T4960" s="6"/>
      <c r="U4960" s="6"/>
      <c r="V4960" s="6"/>
      <c r="W4960" s="6"/>
      <c r="X4960" s="6"/>
      <c r="Y4960" s="6"/>
      <c r="Z4960" s="6"/>
      <c r="AA4960" s="6"/>
      <c r="AB4960" s="6"/>
      <c r="AC4960" s="6"/>
      <c r="AD4960" s="6"/>
      <c r="AE4960" s="6"/>
      <c r="AF4960" s="6"/>
      <c r="AG4960" s="6"/>
      <c r="AH4960" s="6"/>
      <c r="AI4960" s="6"/>
      <c r="AJ4960" s="6"/>
      <c r="AK4960" s="6"/>
      <c r="AL4960" s="6"/>
      <c r="AM4960" s="6"/>
    </row>
    <row r="4961">
      <c r="A4961" s="6"/>
      <c r="B4961" s="6"/>
      <c r="C4961" s="6"/>
      <c r="D4961" s="6"/>
      <c r="E4961" s="6"/>
      <c r="F4961" s="6"/>
      <c r="G4961" s="6"/>
      <c r="H4961" s="6"/>
      <c r="I4961" s="6"/>
      <c r="J4961" s="6"/>
      <c r="K4961" s="6"/>
      <c r="L4961" s="6"/>
      <c r="M4961" s="6"/>
      <c r="N4961" s="6"/>
      <c r="O4961" s="6"/>
      <c r="P4961" s="6"/>
      <c r="Q4961" s="6"/>
      <c r="R4961" s="6"/>
      <c r="S4961" s="6"/>
      <c r="T4961" s="6"/>
      <c r="U4961" s="6"/>
      <c r="V4961" s="6"/>
      <c r="W4961" s="6"/>
      <c r="X4961" s="6"/>
      <c r="Y4961" s="6"/>
      <c r="Z4961" s="6"/>
      <c r="AA4961" s="6"/>
      <c r="AB4961" s="6"/>
      <c r="AC4961" s="6"/>
      <c r="AD4961" s="6"/>
      <c r="AE4961" s="6"/>
      <c r="AF4961" s="6"/>
      <c r="AG4961" s="6"/>
      <c r="AH4961" s="6"/>
      <c r="AI4961" s="6"/>
      <c r="AJ4961" s="6"/>
      <c r="AK4961" s="6"/>
      <c r="AL4961" s="6"/>
      <c r="AM4961" s="6"/>
    </row>
    <row r="4962">
      <c r="A4962" s="6"/>
      <c r="B4962" s="6"/>
      <c r="C4962" s="6"/>
      <c r="D4962" s="6"/>
      <c r="E4962" s="6"/>
      <c r="F4962" s="6"/>
      <c r="G4962" s="6"/>
      <c r="H4962" s="6"/>
      <c r="I4962" s="6"/>
      <c r="J4962" s="6"/>
      <c r="K4962" s="6"/>
      <c r="L4962" s="6"/>
      <c r="M4962" s="6"/>
      <c r="N4962" s="6"/>
      <c r="O4962" s="6"/>
      <c r="P4962" s="6"/>
      <c r="Q4962" s="6"/>
      <c r="R4962" s="6"/>
      <c r="S4962" s="6"/>
      <c r="T4962" s="6"/>
      <c r="U4962" s="6"/>
      <c r="V4962" s="6"/>
      <c r="W4962" s="6"/>
      <c r="X4962" s="6"/>
      <c r="Y4962" s="6"/>
      <c r="Z4962" s="6"/>
      <c r="AA4962" s="6"/>
      <c r="AB4962" s="6"/>
      <c r="AC4962" s="6"/>
      <c r="AD4962" s="6"/>
      <c r="AE4962" s="6"/>
      <c r="AF4962" s="6"/>
      <c r="AG4962" s="6"/>
      <c r="AH4962" s="6"/>
      <c r="AI4962" s="6"/>
      <c r="AJ4962" s="6"/>
      <c r="AK4962" s="6"/>
      <c r="AL4962" s="6"/>
      <c r="AM4962" s="6"/>
    </row>
    <row r="4963">
      <c r="A4963" s="6"/>
      <c r="B4963" s="6"/>
      <c r="C4963" s="6"/>
      <c r="D4963" s="6"/>
      <c r="E4963" s="6"/>
      <c r="F4963" s="6"/>
      <c r="G4963" s="6"/>
      <c r="H4963" s="6"/>
      <c r="I4963" s="6"/>
      <c r="J4963" s="6"/>
      <c r="K4963" s="6"/>
      <c r="L4963" s="6"/>
      <c r="M4963" s="6"/>
      <c r="N4963" s="6"/>
      <c r="O4963" s="6"/>
      <c r="P4963" s="6"/>
      <c r="Q4963" s="6"/>
      <c r="R4963" s="6"/>
      <c r="S4963" s="6"/>
      <c r="T4963" s="6"/>
      <c r="U4963" s="6"/>
      <c r="V4963" s="6"/>
      <c r="W4963" s="6"/>
      <c r="X4963" s="6"/>
      <c r="Y4963" s="6"/>
      <c r="Z4963" s="6"/>
      <c r="AA4963" s="6"/>
      <c r="AB4963" s="6"/>
      <c r="AC4963" s="6"/>
      <c r="AD4963" s="6"/>
      <c r="AE4963" s="6"/>
      <c r="AF4963" s="6"/>
      <c r="AG4963" s="6"/>
      <c r="AH4963" s="6"/>
      <c r="AI4963" s="6"/>
      <c r="AJ4963" s="6"/>
      <c r="AK4963" s="6"/>
      <c r="AL4963" s="6"/>
      <c r="AM4963" s="6"/>
    </row>
    <row r="4964">
      <c r="A4964" s="6"/>
      <c r="B4964" s="6"/>
      <c r="C4964" s="6"/>
      <c r="D4964" s="6"/>
      <c r="E4964" s="6"/>
      <c r="F4964" s="6"/>
      <c r="G4964" s="6"/>
      <c r="H4964" s="6"/>
      <c r="I4964" s="6"/>
      <c r="J4964" s="6"/>
      <c r="K4964" s="6"/>
      <c r="L4964" s="6"/>
      <c r="M4964" s="6"/>
      <c r="N4964" s="6"/>
      <c r="O4964" s="6"/>
      <c r="P4964" s="6"/>
      <c r="Q4964" s="6"/>
      <c r="R4964" s="6"/>
      <c r="S4964" s="6"/>
      <c r="T4964" s="6"/>
      <c r="U4964" s="6"/>
      <c r="V4964" s="6"/>
      <c r="W4964" s="6"/>
      <c r="X4964" s="6"/>
      <c r="Y4964" s="6"/>
      <c r="Z4964" s="6"/>
      <c r="AA4964" s="6"/>
      <c r="AB4964" s="6"/>
      <c r="AC4964" s="6"/>
      <c r="AD4964" s="6"/>
      <c r="AE4964" s="6"/>
      <c r="AF4964" s="6"/>
      <c r="AG4964" s="6"/>
      <c r="AH4964" s="6"/>
      <c r="AI4964" s="6"/>
      <c r="AJ4964" s="6"/>
      <c r="AK4964" s="6"/>
      <c r="AL4964" s="6"/>
      <c r="AM4964" s="6"/>
    </row>
    <row r="4965">
      <c r="A4965" s="6"/>
      <c r="B4965" s="6"/>
      <c r="C4965" s="6"/>
      <c r="D4965" s="6"/>
      <c r="E4965" s="6"/>
      <c r="F4965" s="6"/>
      <c r="G4965" s="6"/>
      <c r="H4965" s="6"/>
      <c r="I4965" s="6"/>
      <c r="J4965" s="6"/>
      <c r="K4965" s="6"/>
      <c r="L4965" s="6"/>
      <c r="M4965" s="6"/>
      <c r="N4965" s="6"/>
      <c r="O4965" s="6"/>
      <c r="P4965" s="6"/>
      <c r="Q4965" s="6"/>
      <c r="R4965" s="6"/>
      <c r="S4965" s="6"/>
      <c r="T4965" s="6"/>
      <c r="U4965" s="6"/>
      <c r="V4965" s="6"/>
      <c r="W4965" s="6"/>
      <c r="X4965" s="6"/>
      <c r="Y4965" s="6"/>
      <c r="Z4965" s="6"/>
      <c r="AA4965" s="6"/>
      <c r="AB4965" s="6"/>
      <c r="AC4965" s="6"/>
      <c r="AD4965" s="6"/>
      <c r="AE4965" s="6"/>
      <c r="AF4965" s="6"/>
      <c r="AG4965" s="6"/>
      <c r="AH4965" s="6"/>
      <c r="AI4965" s="6"/>
      <c r="AJ4965" s="6"/>
      <c r="AK4965" s="6"/>
      <c r="AL4965" s="6"/>
      <c r="AM4965" s="6"/>
    </row>
    <row r="4966">
      <c r="A4966" s="6"/>
      <c r="B4966" s="6"/>
      <c r="C4966" s="6"/>
      <c r="D4966" s="6"/>
      <c r="E4966" s="6"/>
      <c r="F4966" s="6"/>
      <c r="G4966" s="6"/>
      <c r="H4966" s="6"/>
      <c r="I4966" s="6"/>
      <c r="J4966" s="6"/>
      <c r="K4966" s="6"/>
      <c r="L4966" s="6"/>
      <c r="M4966" s="6"/>
      <c r="N4966" s="6"/>
      <c r="O4966" s="6"/>
      <c r="P4966" s="6"/>
      <c r="Q4966" s="6"/>
      <c r="R4966" s="6"/>
      <c r="S4966" s="6"/>
      <c r="T4966" s="6"/>
      <c r="U4966" s="6"/>
      <c r="V4966" s="6"/>
      <c r="W4966" s="6"/>
      <c r="X4966" s="6"/>
      <c r="Y4966" s="6"/>
      <c r="Z4966" s="6"/>
      <c r="AA4966" s="6"/>
      <c r="AB4966" s="6"/>
      <c r="AC4966" s="6"/>
      <c r="AD4966" s="6"/>
      <c r="AE4966" s="6"/>
      <c r="AF4966" s="6"/>
      <c r="AG4966" s="6"/>
      <c r="AH4966" s="6"/>
      <c r="AI4966" s="6"/>
      <c r="AJ4966" s="6"/>
      <c r="AK4966" s="6"/>
      <c r="AL4966" s="6"/>
      <c r="AM4966" s="6"/>
    </row>
    <row r="4967">
      <c r="A4967" s="6"/>
      <c r="B4967" s="6"/>
      <c r="C4967" s="6"/>
      <c r="D4967" s="6"/>
      <c r="E4967" s="6"/>
      <c r="F4967" s="6"/>
      <c r="G4967" s="6"/>
      <c r="H4967" s="6"/>
      <c r="I4967" s="6"/>
      <c r="J4967" s="6"/>
      <c r="K4967" s="6"/>
      <c r="L4967" s="6"/>
      <c r="M4967" s="6"/>
      <c r="N4967" s="6"/>
      <c r="O4967" s="6"/>
      <c r="P4967" s="6"/>
      <c r="Q4967" s="6"/>
      <c r="R4967" s="6"/>
      <c r="S4967" s="6"/>
      <c r="T4967" s="6"/>
      <c r="U4967" s="6"/>
      <c r="V4967" s="6"/>
      <c r="W4967" s="6"/>
      <c r="X4967" s="6"/>
      <c r="Y4967" s="6"/>
      <c r="Z4967" s="6"/>
      <c r="AA4967" s="6"/>
      <c r="AB4967" s="6"/>
      <c r="AC4967" s="6"/>
      <c r="AD4967" s="6"/>
      <c r="AE4967" s="6"/>
      <c r="AF4967" s="6"/>
      <c r="AG4967" s="6"/>
      <c r="AH4967" s="6"/>
      <c r="AI4967" s="6"/>
      <c r="AJ4967" s="6"/>
      <c r="AK4967" s="6"/>
      <c r="AL4967" s="6"/>
      <c r="AM4967" s="6"/>
    </row>
    <row r="4968">
      <c r="A4968" s="6"/>
      <c r="B4968" s="6"/>
      <c r="C4968" s="6"/>
      <c r="D4968" s="6"/>
      <c r="E4968" s="6"/>
      <c r="F4968" s="6"/>
      <c r="G4968" s="6"/>
      <c r="H4968" s="6"/>
      <c r="I4968" s="6"/>
      <c r="J4968" s="6"/>
      <c r="K4968" s="6"/>
      <c r="L4968" s="6"/>
      <c r="M4968" s="6"/>
      <c r="N4968" s="6"/>
      <c r="O4968" s="6"/>
      <c r="P4968" s="6"/>
      <c r="Q4968" s="6"/>
      <c r="R4968" s="6"/>
      <c r="S4968" s="6"/>
      <c r="T4968" s="6"/>
      <c r="U4968" s="6"/>
      <c r="V4968" s="6"/>
      <c r="W4968" s="6"/>
      <c r="X4968" s="6"/>
      <c r="Y4968" s="6"/>
      <c r="Z4968" s="6"/>
      <c r="AA4968" s="6"/>
      <c r="AB4968" s="6"/>
      <c r="AC4968" s="6"/>
      <c r="AD4968" s="6"/>
      <c r="AE4968" s="6"/>
      <c r="AF4968" s="6"/>
      <c r="AG4968" s="6"/>
      <c r="AH4968" s="6"/>
      <c r="AI4968" s="6"/>
      <c r="AJ4968" s="6"/>
      <c r="AK4968" s="6"/>
      <c r="AL4968" s="6"/>
      <c r="AM4968" s="6"/>
    </row>
    <row r="4969">
      <c r="A4969" s="6"/>
      <c r="B4969" s="6"/>
      <c r="C4969" s="6"/>
      <c r="D4969" s="6"/>
      <c r="E4969" s="6"/>
      <c r="F4969" s="6"/>
      <c r="G4969" s="6"/>
      <c r="H4969" s="6"/>
      <c r="I4969" s="6"/>
      <c r="J4969" s="6"/>
      <c r="K4969" s="6"/>
      <c r="L4969" s="6"/>
      <c r="M4969" s="6"/>
      <c r="N4969" s="6"/>
      <c r="O4969" s="6"/>
      <c r="P4969" s="6"/>
      <c r="Q4969" s="6"/>
      <c r="R4969" s="6"/>
      <c r="S4969" s="6"/>
      <c r="T4969" s="6"/>
      <c r="U4969" s="6"/>
      <c r="V4969" s="6"/>
      <c r="W4969" s="6"/>
      <c r="X4969" s="6"/>
      <c r="Y4969" s="6"/>
      <c r="Z4969" s="6"/>
      <c r="AA4969" s="6"/>
      <c r="AB4969" s="6"/>
      <c r="AC4969" s="6"/>
      <c r="AD4969" s="6"/>
      <c r="AE4969" s="6"/>
      <c r="AF4969" s="6"/>
      <c r="AG4969" s="6"/>
      <c r="AH4969" s="6"/>
      <c r="AI4969" s="6"/>
      <c r="AJ4969" s="6"/>
      <c r="AK4969" s="6"/>
      <c r="AL4969" s="6"/>
      <c r="AM4969" s="6"/>
    </row>
    <row r="4970">
      <c r="A4970" s="6"/>
      <c r="B4970" s="6"/>
      <c r="C4970" s="6"/>
      <c r="D4970" s="6"/>
      <c r="E4970" s="6"/>
      <c r="F4970" s="6"/>
      <c r="G4970" s="6"/>
      <c r="H4970" s="6"/>
      <c r="I4970" s="6"/>
      <c r="J4970" s="6"/>
      <c r="K4970" s="6"/>
      <c r="L4970" s="6"/>
      <c r="M4970" s="6"/>
      <c r="N4970" s="6"/>
      <c r="O4970" s="6"/>
      <c r="P4970" s="6"/>
      <c r="Q4970" s="6"/>
      <c r="R4970" s="6"/>
      <c r="S4970" s="6"/>
      <c r="T4970" s="6"/>
      <c r="U4970" s="6"/>
      <c r="V4970" s="6"/>
      <c r="W4970" s="6"/>
      <c r="X4970" s="6"/>
      <c r="Y4970" s="6"/>
      <c r="Z4970" s="6"/>
      <c r="AA4970" s="6"/>
      <c r="AB4970" s="6"/>
      <c r="AC4970" s="6"/>
      <c r="AD4970" s="6"/>
      <c r="AE4970" s="6"/>
      <c r="AF4970" s="6"/>
      <c r="AG4970" s="6"/>
      <c r="AH4970" s="6"/>
      <c r="AI4970" s="6"/>
      <c r="AJ4970" s="6"/>
      <c r="AK4970" s="6"/>
      <c r="AL4970" s="6"/>
      <c r="AM4970" s="6"/>
    </row>
    <row r="4971">
      <c r="A4971" s="6"/>
      <c r="B4971" s="6"/>
      <c r="C4971" s="6"/>
      <c r="D4971" s="6"/>
      <c r="E4971" s="6"/>
      <c r="F4971" s="6"/>
      <c r="G4971" s="6"/>
      <c r="H4971" s="6"/>
      <c r="I4971" s="6"/>
      <c r="J4971" s="6"/>
      <c r="K4971" s="6"/>
      <c r="L4971" s="6"/>
      <c r="M4971" s="6"/>
      <c r="N4971" s="6"/>
      <c r="O4971" s="6"/>
      <c r="P4971" s="6"/>
      <c r="Q4971" s="6"/>
      <c r="R4971" s="6"/>
      <c r="S4971" s="6"/>
      <c r="T4971" s="6"/>
      <c r="U4971" s="6"/>
      <c r="V4971" s="6"/>
      <c r="W4971" s="6"/>
      <c r="X4971" s="6"/>
      <c r="Y4971" s="6"/>
      <c r="Z4971" s="6"/>
      <c r="AA4971" s="6"/>
      <c r="AB4971" s="6"/>
      <c r="AC4971" s="6"/>
      <c r="AD4971" s="6"/>
      <c r="AE4971" s="6"/>
      <c r="AF4971" s="6"/>
      <c r="AG4971" s="6"/>
      <c r="AH4971" s="6"/>
      <c r="AI4971" s="6"/>
      <c r="AJ4971" s="6"/>
      <c r="AK4971" s="6"/>
      <c r="AL4971" s="6"/>
      <c r="AM4971" s="6"/>
    </row>
    <row r="4972">
      <c r="A4972" s="6"/>
      <c r="B4972" s="6"/>
      <c r="C4972" s="6"/>
      <c r="D4972" s="6"/>
      <c r="E4972" s="6"/>
      <c r="F4972" s="6"/>
      <c r="G4972" s="6"/>
      <c r="H4972" s="6"/>
      <c r="I4972" s="6"/>
      <c r="J4972" s="6"/>
      <c r="K4972" s="6"/>
      <c r="L4972" s="6"/>
      <c r="M4972" s="6"/>
      <c r="N4972" s="6"/>
      <c r="O4972" s="6"/>
      <c r="P4972" s="6"/>
      <c r="Q4972" s="6"/>
      <c r="R4972" s="6"/>
      <c r="S4972" s="6"/>
      <c r="T4972" s="6"/>
      <c r="U4972" s="6"/>
      <c r="V4972" s="6"/>
      <c r="W4972" s="6"/>
      <c r="X4972" s="6"/>
      <c r="Y4972" s="6"/>
      <c r="Z4972" s="6"/>
      <c r="AA4972" s="6"/>
      <c r="AB4972" s="6"/>
      <c r="AC4972" s="6"/>
      <c r="AD4972" s="6"/>
      <c r="AE4972" s="6"/>
      <c r="AF4972" s="6"/>
      <c r="AG4972" s="6"/>
      <c r="AH4972" s="6"/>
      <c r="AI4972" s="6"/>
      <c r="AJ4972" s="6"/>
      <c r="AK4972" s="6"/>
      <c r="AL4972" s="6"/>
      <c r="AM4972" s="6"/>
    </row>
    <row r="4973">
      <c r="A4973" s="6"/>
      <c r="B4973" s="6"/>
      <c r="C4973" s="6"/>
      <c r="D4973" s="6"/>
      <c r="E4973" s="6"/>
      <c r="F4973" s="6"/>
      <c r="G4973" s="6"/>
      <c r="H4973" s="6"/>
      <c r="I4973" s="6"/>
      <c r="J4973" s="6"/>
      <c r="K4973" s="6"/>
      <c r="L4973" s="6"/>
      <c r="M4973" s="6"/>
      <c r="N4973" s="6"/>
      <c r="O4973" s="6"/>
      <c r="P4973" s="6"/>
      <c r="Q4973" s="6"/>
      <c r="R4973" s="6"/>
      <c r="S4973" s="6"/>
      <c r="T4973" s="6"/>
      <c r="U4973" s="6"/>
      <c r="V4973" s="6"/>
      <c r="W4973" s="6"/>
      <c r="X4973" s="6"/>
      <c r="Y4973" s="6"/>
      <c r="Z4973" s="6"/>
      <c r="AA4973" s="6"/>
      <c r="AB4973" s="6"/>
      <c r="AC4973" s="6"/>
      <c r="AD4973" s="6"/>
      <c r="AE4973" s="6"/>
      <c r="AF4973" s="6"/>
      <c r="AG4973" s="6"/>
      <c r="AH4973" s="6"/>
      <c r="AI4973" s="6"/>
      <c r="AJ4973" s="6"/>
      <c r="AK4973" s="6"/>
      <c r="AL4973" s="6"/>
      <c r="AM4973" s="6"/>
    </row>
    <row r="4974">
      <c r="A4974" s="6"/>
      <c r="B4974" s="6"/>
      <c r="C4974" s="6"/>
      <c r="D4974" s="6"/>
      <c r="E4974" s="6"/>
      <c r="F4974" s="6"/>
      <c r="G4974" s="6"/>
      <c r="H4974" s="6"/>
      <c r="I4974" s="6"/>
      <c r="J4974" s="6"/>
      <c r="K4974" s="6"/>
      <c r="L4974" s="6"/>
      <c r="M4974" s="6"/>
      <c r="N4974" s="6"/>
      <c r="O4974" s="6"/>
      <c r="P4974" s="6"/>
      <c r="Q4974" s="6"/>
      <c r="R4974" s="6"/>
      <c r="S4974" s="6"/>
      <c r="T4974" s="6"/>
      <c r="U4974" s="6"/>
      <c r="V4974" s="6"/>
      <c r="W4974" s="6"/>
      <c r="X4974" s="6"/>
      <c r="Y4974" s="6"/>
      <c r="Z4974" s="6"/>
      <c r="AA4974" s="6"/>
      <c r="AB4974" s="6"/>
      <c r="AC4974" s="6"/>
      <c r="AD4974" s="6"/>
      <c r="AE4974" s="6"/>
      <c r="AF4974" s="6"/>
      <c r="AG4974" s="6"/>
      <c r="AH4974" s="6"/>
      <c r="AI4974" s="6"/>
      <c r="AJ4974" s="6"/>
      <c r="AK4974" s="6"/>
      <c r="AL4974" s="6"/>
      <c r="AM4974" s="6"/>
    </row>
    <row r="4975">
      <c r="A4975" s="6"/>
      <c r="B4975" s="6"/>
      <c r="C4975" s="6"/>
      <c r="D4975" s="6"/>
      <c r="E4975" s="6"/>
      <c r="F4975" s="6"/>
      <c r="G4975" s="6"/>
      <c r="H4975" s="6"/>
      <c r="I4975" s="6"/>
      <c r="J4975" s="6"/>
      <c r="K4975" s="6"/>
      <c r="L4975" s="6"/>
      <c r="M4975" s="6"/>
      <c r="N4975" s="6"/>
      <c r="O4975" s="6"/>
      <c r="P4975" s="6"/>
      <c r="Q4975" s="6"/>
      <c r="R4975" s="6"/>
      <c r="S4975" s="6"/>
      <c r="T4975" s="6"/>
      <c r="U4975" s="6"/>
      <c r="V4975" s="6"/>
      <c r="W4975" s="6"/>
      <c r="X4975" s="6"/>
      <c r="Y4975" s="6"/>
      <c r="Z4975" s="6"/>
      <c r="AA4975" s="6"/>
      <c r="AB4975" s="6"/>
      <c r="AC4975" s="6"/>
      <c r="AD4975" s="6"/>
      <c r="AE4975" s="6"/>
      <c r="AF4975" s="6"/>
      <c r="AG4975" s="6"/>
      <c r="AH4975" s="6"/>
      <c r="AI4975" s="6"/>
      <c r="AJ4975" s="6"/>
      <c r="AK4975" s="6"/>
      <c r="AL4975" s="6"/>
      <c r="AM4975" s="6"/>
    </row>
    <row r="4976">
      <c r="A4976" s="6"/>
      <c r="B4976" s="6"/>
      <c r="C4976" s="6"/>
      <c r="D4976" s="6"/>
      <c r="E4976" s="6"/>
      <c r="F4976" s="6"/>
      <c r="G4976" s="6"/>
      <c r="H4976" s="6"/>
      <c r="I4976" s="6"/>
      <c r="J4976" s="6"/>
      <c r="K4976" s="6"/>
      <c r="L4976" s="6"/>
      <c r="M4976" s="6"/>
      <c r="N4976" s="6"/>
      <c r="O4976" s="6"/>
      <c r="P4976" s="6"/>
      <c r="Q4976" s="6"/>
      <c r="R4976" s="6"/>
      <c r="S4976" s="6"/>
      <c r="T4976" s="6"/>
      <c r="U4976" s="6"/>
      <c r="V4976" s="6"/>
      <c r="W4976" s="6"/>
      <c r="X4976" s="6"/>
      <c r="Y4976" s="6"/>
      <c r="Z4976" s="6"/>
      <c r="AA4976" s="6"/>
      <c r="AB4976" s="6"/>
      <c r="AC4976" s="6"/>
      <c r="AD4976" s="6"/>
      <c r="AE4976" s="6"/>
      <c r="AF4976" s="6"/>
      <c r="AG4976" s="6"/>
      <c r="AH4976" s="6"/>
      <c r="AI4976" s="6"/>
      <c r="AJ4976" s="6"/>
      <c r="AK4976" s="6"/>
      <c r="AL4976" s="6"/>
      <c r="AM4976" s="6"/>
    </row>
    <row r="4977">
      <c r="A4977" s="6"/>
      <c r="B4977" s="6"/>
      <c r="C4977" s="6"/>
      <c r="D4977" s="6"/>
      <c r="E4977" s="6"/>
      <c r="F4977" s="6"/>
      <c r="G4977" s="6"/>
      <c r="H4977" s="6"/>
      <c r="I4977" s="6"/>
      <c r="J4977" s="6"/>
      <c r="K4977" s="6"/>
      <c r="L4977" s="6"/>
      <c r="M4977" s="6"/>
      <c r="N4977" s="6"/>
      <c r="O4977" s="6"/>
      <c r="P4977" s="6"/>
      <c r="Q4977" s="6"/>
      <c r="R4977" s="6"/>
      <c r="S4977" s="6"/>
      <c r="T4977" s="6"/>
      <c r="U4977" s="6"/>
      <c r="V4977" s="6"/>
      <c r="W4977" s="6"/>
      <c r="X4977" s="6"/>
      <c r="Y4977" s="6"/>
      <c r="Z4977" s="6"/>
      <c r="AA4977" s="6"/>
      <c r="AB4977" s="6"/>
      <c r="AC4977" s="6"/>
      <c r="AD4977" s="6"/>
      <c r="AE4977" s="6"/>
      <c r="AF4977" s="6"/>
      <c r="AG4977" s="6"/>
      <c r="AH4977" s="6"/>
      <c r="AI4977" s="6"/>
      <c r="AJ4977" s="6"/>
      <c r="AK4977" s="6"/>
      <c r="AL4977" s="6"/>
      <c r="AM4977" s="6"/>
    </row>
    <row r="4978">
      <c r="A4978" s="6"/>
      <c r="B4978" s="6"/>
      <c r="C4978" s="6"/>
      <c r="D4978" s="6"/>
      <c r="E4978" s="6"/>
      <c r="F4978" s="6"/>
      <c r="G4978" s="6"/>
      <c r="H4978" s="6"/>
      <c r="I4978" s="6"/>
      <c r="J4978" s="6"/>
      <c r="K4978" s="6"/>
      <c r="L4978" s="6"/>
      <c r="M4978" s="6"/>
      <c r="N4978" s="6"/>
      <c r="O4978" s="6"/>
      <c r="P4978" s="6"/>
      <c r="Q4978" s="6"/>
      <c r="R4978" s="6"/>
      <c r="S4978" s="6"/>
      <c r="T4978" s="6"/>
      <c r="U4978" s="6"/>
      <c r="V4978" s="6"/>
      <c r="W4978" s="6"/>
      <c r="X4978" s="6"/>
      <c r="Y4978" s="6"/>
      <c r="Z4978" s="6"/>
      <c r="AA4978" s="6"/>
      <c r="AB4978" s="6"/>
      <c r="AC4978" s="6"/>
      <c r="AD4978" s="6"/>
      <c r="AE4978" s="6"/>
      <c r="AF4978" s="6"/>
      <c r="AG4978" s="6"/>
      <c r="AH4978" s="6"/>
      <c r="AI4978" s="6"/>
      <c r="AJ4978" s="6"/>
      <c r="AK4978" s="6"/>
      <c r="AL4978" s="6"/>
      <c r="AM4978" s="6"/>
    </row>
    <row r="4979">
      <c r="A4979" s="6"/>
      <c r="B4979" s="6"/>
      <c r="C4979" s="6"/>
      <c r="D4979" s="6"/>
      <c r="E4979" s="6"/>
      <c r="F4979" s="6"/>
      <c r="G4979" s="6"/>
      <c r="H4979" s="6"/>
      <c r="I4979" s="6"/>
      <c r="J4979" s="6"/>
      <c r="K4979" s="6"/>
      <c r="L4979" s="6"/>
      <c r="M4979" s="6"/>
      <c r="N4979" s="6"/>
      <c r="O4979" s="6"/>
      <c r="P4979" s="6"/>
      <c r="Q4979" s="6"/>
      <c r="R4979" s="6"/>
      <c r="S4979" s="6"/>
      <c r="T4979" s="6"/>
      <c r="U4979" s="6"/>
      <c r="V4979" s="6"/>
      <c r="W4979" s="6"/>
      <c r="X4979" s="6"/>
      <c r="Y4979" s="6"/>
      <c r="Z4979" s="6"/>
      <c r="AA4979" s="6"/>
      <c r="AB4979" s="6"/>
      <c r="AC4979" s="6"/>
      <c r="AD4979" s="6"/>
      <c r="AE4979" s="6"/>
      <c r="AF4979" s="6"/>
      <c r="AG4979" s="6"/>
      <c r="AH4979" s="6"/>
      <c r="AI4979" s="6"/>
      <c r="AJ4979" s="6"/>
      <c r="AK4979" s="6"/>
      <c r="AL4979" s="6"/>
      <c r="AM4979" s="6"/>
    </row>
    <row r="4980">
      <c r="A4980" s="6"/>
      <c r="B4980" s="6"/>
      <c r="C4980" s="6"/>
      <c r="D4980" s="6"/>
      <c r="E4980" s="6"/>
      <c r="F4980" s="6"/>
      <c r="G4980" s="6"/>
      <c r="H4980" s="6"/>
      <c r="I4980" s="6"/>
      <c r="J4980" s="6"/>
      <c r="K4980" s="6"/>
      <c r="L4980" s="6"/>
      <c r="M4980" s="6"/>
      <c r="N4980" s="6"/>
      <c r="O4980" s="6"/>
      <c r="P4980" s="6"/>
      <c r="Q4980" s="6"/>
      <c r="R4980" s="6"/>
      <c r="S4980" s="6"/>
      <c r="T4980" s="6"/>
      <c r="U4980" s="6"/>
      <c r="V4980" s="6"/>
      <c r="W4980" s="6"/>
      <c r="X4980" s="6"/>
      <c r="Y4980" s="6"/>
      <c r="Z4980" s="6"/>
      <c r="AA4980" s="6"/>
      <c r="AB4980" s="6"/>
      <c r="AC4980" s="6"/>
      <c r="AD4980" s="6"/>
      <c r="AE4980" s="6"/>
      <c r="AF4980" s="6"/>
      <c r="AG4980" s="6"/>
      <c r="AH4980" s="6"/>
      <c r="AI4980" s="6"/>
      <c r="AJ4980" s="6"/>
      <c r="AK4980" s="6"/>
      <c r="AL4980" s="6"/>
      <c r="AM4980" s="6"/>
    </row>
    <row r="4981">
      <c r="A4981" s="6"/>
      <c r="B4981" s="6"/>
      <c r="C4981" s="6"/>
      <c r="D4981" s="6"/>
      <c r="E4981" s="6"/>
      <c r="F4981" s="6"/>
      <c r="G4981" s="6"/>
      <c r="H4981" s="6"/>
      <c r="I4981" s="6"/>
      <c r="J4981" s="6"/>
      <c r="K4981" s="6"/>
      <c r="L4981" s="6"/>
      <c r="M4981" s="6"/>
      <c r="N4981" s="6"/>
      <c r="O4981" s="6"/>
      <c r="P4981" s="6"/>
      <c r="Q4981" s="6"/>
      <c r="R4981" s="6"/>
      <c r="S4981" s="6"/>
      <c r="T4981" s="6"/>
      <c r="U4981" s="6"/>
      <c r="V4981" s="6"/>
      <c r="W4981" s="6"/>
      <c r="X4981" s="6"/>
      <c r="Y4981" s="6"/>
      <c r="Z4981" s="6"/>
      <c r="AA4981" s="6"/>
      <c r="AB4981" s="6"/>
      <c r="AC4981" s="6"/>
      <c r="AD4981" s="6"/>
      <c r="AE4981" s="6"/>
      <c r="AF4981" s="6"/>
      <c r="AG4981" s="6"/>
      <c r="AH4981" s="6"/>
      <c r="AI4981" s="6"/>
      <c r="AJ4981" s="6"/>
      <c r="AK4981" s="6"/>
      <c r="AL4981" s="6"/>
      <c r="AM4981" s="6"/>
    </row>
    <row r="4982">
      <c r="A4982" s="6"/>
      <c r="B4982" s="6"/>
      <c r="C4982" s="6"/>
      <c r="D4982" s="6"/>
      <c r="E4982" s="6"/>
      <c r="F4982" s="6"/>
      <c r="G4982" s="6"/>
      <c r="H4982" s="6"/>
      <c r="I4982" s="6"/>
      <c r="J4982" s="6"/>
      <c r="K4982" s="6"/>
      <c r="L4982" s="6"/>
      <c r="M4982" s="6"/>
      <c r="N4982" s="6"/>
      <c r="O4982" s="6"/>
      <c r="P4982" s="6"/>
      <c r="Q4982" s="6"/>
      <c r="R4982" s="6"/>
      <c r="S4982" s="6"/>
      <c r="T4982" s="6"/>
      <c r="U4982" s="6"/>
      <c r="V4982" s="6"/>
      <c r="W4982" s="6"/>
      <c r="X4982" s="6"/>
      <c r="Y4982" s="6"/>
      <c r="Z4982" s="6"/>
      <c r="AA4982" s="6"/>
      <c r="AB4982" s="6"/>
      <c r="AC4982" s="6"/>
      <c r="AD4982" s="6"/>
      <c r="AE4982" s="6"/>
      <c r="AF4982" s="6"/>
      <c r="AG4982" s="6"/>
      <c r="AH4982" s="6"/>
      <c r="AI4982" s="6"/>
      <c r="AJ4982" s="6"/>
      <c r="AK4982" s="6"/>
      <c r="AL4982" s="6"/>
      <c r="AM4982" s="6"/>
    </row>
    <row r="4983">
      <c r="A4983" s="6"/>
      <c r="B4983" s="6"/>
      <c r="C4983" s="6"/>
      <c r="D4983" s="6"/>
      <c r="E4983" s="6"/>
      <c r="F4983" s="6"/>
      <c r="G4983" s="6"/>
      <c r="H4983" s="6"/>
      <c r="I4983" s="6"/>
      <c r="J4983" s="6"/>
      <c r="K4983" s="6"/>
      <c r="L4983" s="6"/>
      <c r="M4983" s="6"/>
      <c r="N4983" s="6"/>
      <c r="O4983" s="6"/>
      <c r="P4983" s="6"/>
      <c r="Q4983" s="6"/>
      <c r="R4983" s="6"/>
      <c r="S4983" s="6"/>
      <c r="T4983" s="6"/>
      <c r="U4983" s="6"/>
      <c r="V4983" s="6"/>
      <c r="W4983" s="6"/>
      <c r="X4983" s="6"/>
      <c r="Y4983" s="6"/>
      <c r="Z4983" s="6"/>
      <c r="AA4983" s="6"/>
      <c r="AB4983" s="6"/>
      <c r="AC4983" s="6"/>
      <c r="AD4983" s="6"/>
      <c r="AE4983" s="6"/>
      <c r="AF4983" s="6"/>
      <c r="AG4983" s="6"/>
      <c r="AH4983" s="6"/>
      <c r="AI4983" s="6"/>
      <c r="AJ4983" s="6"/>
      <c r="AK4983" s="6"/>
      <c r="AL4983" s="6"/>
      <c r="AM4983" s="6"/>
    </row>
    <row r="4984">
      <c r="A4984" s="6"/>
      <c r="B4984" s="6"/>
      <c r="C4984" s="6"/>
      <c r="D4984" s="6"/>
      <c r="E4984" s="6"/>
      <c r="F4984" s="6"/>
      <c r="G4984" s="6"/>
      <c r="H4984" s="6"/>
      <c r="I4984" s="6"/>
      <c r="J4984" s="6"/>
      <c r="K4984" s="6"/>
      <c r="L4984" s="6"/>
      <c r="M4984" s="6"/>
      <c r="N4984" s="6"/>
      <c r="O4984" s="6"/>
      <c r="P4984" s="6"/>
      <c r="Q4984" s="6"/>
      <c r="R4984" s="6"/>
      <c r="S4984" s="6"/>
      <c r="T4984" s="6"/>
      <c r="U4984" s="6"/>
      <c r="V4984" s="6"/>
      <c r="W4984" s="6"/>
      <c r="X4984" s="6"/>
      <c r="Y4984" s="6"/>
      <c r="Z4984" s="6"/>
      <c r="AA4984" s="6"/>
      <c r="AB4984" s="6"/>
      <c r="AC4984" s="6"/>
      <c r="AD4984" s="6"/>
      <c r="AE4984" s="6"/>
      <c r="AF4984" s="6"/>
      <c r="AG4984" s="6"/>
      <c r="AH4984" s="6"/>
      <c r="AI4984" s="6"/>
      <c r="AJ4984" s="6"/>
      <c r="AK4984" s="6"/>
      <c r="AL4984" s="6"/>
      <c r="AM4984" s="6"/>
    </row>
    <row r="4985">
      <c r="A4985" s="6"/>
      <c r="B4985" s="6"/>
      <c r="C4985" s="6"/>
      <c r="D4985" s="6"/>
      <c r="E4985" s="6"/>
      <c r="F4985" s="6"/>
      <c r="G4985" s="6"/>
      <c r="H4985" s="6"/>
      <c r="I4985" s="6"/>
      <c r="J4985" s="6"/>
      <c r="K4985" s="6"/>
      <c r="L4985" s="6"/>
      <c r="M4985" s="6"/>
      <c r="N4985" s="6"/>
      <c r="O4985" s="6"/>
      <c r="P4985" s="6"/>
      <c r="Q4985" s="6"/>
      <c r="R4985" s="6"/>
      <c r="S4985" s="6"/>
      <c r="T4985" s="6"/>
      <c r="U4985" s="6"/>
      <c r="V4985" s="6"/>
      <c r="W4985" s="6"/>
      <c r="X4985" s="6"/>
      <c r="Y4985" s="6"/>
      <c r="Z4985" s="6"/>
      <c r="AA4985" s="6"/>
      <c r="AB4985" s="6"/>
      <c r="AC4985" s="6"/>
      <c r="AD4985" s="6"/>
      <c r="AE4985" s="6"/>
      <c r="AF4985" s="6"/>
      <c r="AG4985" s="6"/>
      <c r="AH4985" s="6"/>
      <c r="AI4985" s="6"/>
      <c r="AJ4985" s="6"/>
      <c r="AK4985" s="6"/>
      <c r="AL4985" s="6"/>
      <c r="AM4985" s="6"/>
    </row>
    <row r="4986">
      <c r="A4986" s="6"/>
      <c r="B4986" s="6"/>
      <c r="C4986" s="6"/>
      <c r="D4986" s="6"/>
      <c r="E4986" s="6"/>
      <c r="F4986" s="6"/>
      <c r="G4986" s="6"/>
      <c r="H4986" s="6"/>
      <c r="I4986" s="6"/>
      <c r="J4986" s="6"/>
      <c r="K4986" s="6"/>
      <c r="L4986" s="6"/>
      <c r="M4986" s="6"/>
      <c r="N4986" s="6"/>
      <c r="O4986" s="6"/>
      <c r="P4986" s="6"/>
      <c r="Q4986" s="6"/>
      <c r="R4986" s="6"/>
      <c r="S4986" s="6"/>
      <c r="T4986" s="6"/>
      <c r="U4986" s="6"/>
      <c r="V4986" s="6"/>
      <c r="W4986" s="6"/>
      <c r="X4986" s="6"/>
      <c r="Y4986" s="6"/>
      <c r="Z4986" s="6"/>
      <c r="AA4986" s="6"/>
      <c r="AB4986" s="6"/>
      <c r="AC4986" s="6"/>
      <c r="AD4986" s="6"/>
      <c r="AE4986" s="6"/>
      <c r="AF4986" s="6"/>
      <c r="AG4986" s="6"/>
      <c r="AH4986" s="6"/>
      <c r="AI4986" s="6"/>
      <c r="AJ4986" s="6"/>
      <c r="AK4986" s="6"/>
      <c r="AL4986" s="6"/>
      <c r="AM4986" s="6"/>
    </row>
    <row r="4987">
      <c r="A4987" s="6"/>
      <c r="B4987" s="6"/>
      <c r="C4987" s="6"/>
      <c r="D4987" s="6"/>
      <c r="E4987" s="6"/>
      <c r="F4987" s="6"/>
      <c r="G4987" s="6"/>
      <c r="H4987" s="6"/>
      <c r="I4987" s="6"/>
      <c r="J4987" s="6"/>
      <c r="K4987" s="6"/>
      <c r="L4987" s="6"/>
      <c r="M4987" s="6"/>
      <c r="N4987" s="6"/>
      <c r="O4987" s="6"/>
      <c r="P4987" s="6"/>
      <c r="Q4987" s="6"/>
      <c r="R4987" s="6"/>
      <c r="S4987" s="6"/>
      <c r="T4987" s="6"/>
      <c r="U4987" s="6"/>
      <c r="V4987" s="6"/>
      <c r="W4987" s="6"/>
      <c r="X4987" s="6"/>
      <c r="Y4987" s="6"/>
      <c r="Z4987" s="6"/>
      <c r="AA4987" s="6"/>
      <c r="AB4987" s="6"/>
      <c r="AC4987" s="6"/>
      <c r="AD4987" s="6"/>
      <c r="AE4987" s="6"/>
      <c r="AF4987" s="6"/>
      <c r="AG4987" s="6"/>
      <c r="AH4987" s="6"/>
      <c r="AI4987" s="6"/>
      <c r="AJ4987" s="6"/>
      <c r="AK4987" s="6"/>
      <c r="AL4987" s="6"/>
      <c r="AM4987" s="6"/>
    </row>
    <row r="4988">
      <c r="A4988" s="6"/>
      <c r="B4988" s="6"/>
      <c r="C4988" s="6"/>
      <c r="D4988" s="6"/>
      <c r="E4988" s="6"/>
      <c r="F4988" s="6"/>
      <c r="G4988" s="6"/>
      <c r="H4988" s="6"/>
      <c r="I4988" s="6"/>
      <c r="J4988" s="6"/>
      <c r="K4988" s="6"/>
      <c r="L4988" s="6"/>
      <c r="M4988" s="6"/>
      <c r="N4988" s="6"/>
      <c r="O4988" s="6"/>
      <c r="P4988" s="6"/>
      <c r="Q4988" s="6"/>
      <c r="R4988" s="6"/>
      <c r="S4988" s="6"/>
      <c r="T4988" s="6"/>
      <c r="U4988" s="6"/>
      <c r="V4988" s="6"/>
      <c r="W4988" s="6"/>
      <c r="X4988" s="6"/>
      <c r="Y4988" s="6"/>
      <c r="Z4988" s="6"/>
      <c r="AA4988" s="6"/>
      <c r="AB4988" s="6"/>
      <c r="AC4988" s="6"/>
      <c r="AD4988" s="6"/>
      <c r="AE4988" s="6"/>
      <c r="AF4988" s="6"/>
      <c r="AG4988" s="6"/>
      <c r="AH4988" s="6"/>
      <c r="AI4988" s="6"/>
      <c r="AJ4988" s="6"/>
      <c r="AK4988" s="6"/>
      <c r="AL4988" s="6"/>
      <c r="AM4988" s="6"/>
    </row>
    <row r="4989">
      <c r="A4989" s="6"/>
      <c r="B4989" s="6"/>
      <c r="C4989" s="6"/>
      <c r="D4989" s="6"/>
      <c r="E4989" s="6"/>
      <c r="F4989" s="6"/>
      <c r="G4989" s="6"/>
      <c r="H4989" s="6"/>
      <c r="I4989" s="6"/>
      <c r="J4989" s="6"/>
      <c r="K4989" s="6"/>
      <c r="L4989" s="6"/>
      <c r="M4989" s="6"/>
      <c r="N4989" s="6"/>
      <c r="O4989" s="6"/>
      <c r="P4989" s="6"/>
      <c r="Q4989" s="6"/>
      <c r="R4989" s="6"/>
      <c r="S4989" s="6"/>
      <c r="T4989" s="6"/>
      <c r="U4989" s="6"/>
      <c r="V4989" s="6"/>
      <c r="W4989" s="6"/>
      <c r="X4989" s="6"/>
      <c r="Y4989" s="6"/>
      <c r="Z4989" s="6"/>
      <c r="AA4989" s="6"/>
      <c r="AB4989" s="6"/>
      <c r="AC4989" s="6"/>
      <c r="AD4989" s="6"/>
      <c r="AE4989" s="6"/>
      <c r="AF4989" s="6"/>
      <c r="AG4989" s="6"/>
      <c r="AH4989" s="6"/>
      <c r="AI4989" s="6"/>
      <c r="AJ4989" s="6"/>
      <c r="AK4989" s="6"/>
      <c r="AL4989" s="6"/>
      <c r="AM4989" s="6"/>
    </row>
    <row r="4990">
      <c r="A4990" s="6"/>
      <c r="B4990" s="6"/>
      <c r="C4990" s="6"/>
      <c r="D4990" s="6"/>
      <c r="E4990" s="6"/>
      <c r="F4990" s="6"/>
      <c r="G4990" s="6"/>
      <c r="H4990" s="6"/>
      <c r="I4990" s="6"/>
      <c r="J4990" s="6"/>
      <c r="K4990" s="6"/>
      <c r="L4990" s="6"/>
      <c r="M4990" s="6"/>
      <c r="N4990" s="6"/>
      <c r="O4990" s="6"/>
      <c r="P4990" s="6"/>
      <c r="Q4990" s="6"/>
      <c r="R4990" s="6"/>
      <c r="S4990" s="6"/>
      <c r="T4990" s="6"/>
      <c r="U4990" s="6"/>
      <c r="V4990" s="6"/>
      <c r="W4990" s="6"/>
      <c r="X4990" s="6"/>
      <c r="Y4990" s="6"/>
      <c r="Z4990" s="6"/>
      <c r="AA4990" s="6"/>
      <c r="AB4990" s="6"/>
      <c r="AC4990" s="6"/>
      <c r="AD4990" s="6"/>
      <c r="AE4990" s="6"/>
      <c r="AF4990" s="6"/>
      <c r="AG4990" s="6"/>
      <c r="AH4990" s="6"/>
      <c r="AI4990" s="6"/>
      <c r="AJ4990" s="6"/>
      <c r="AK4990" s="6"/>
      <c r="AL4990" s="6"/>
      <c r="AM4990" s="6"/>
    </row>
    <row r="4991">
      <c r="A4991" s="6"/>
      <c r="B4991" s="6"/>
      <c r="C4991" s="6"/>
      <c r="D4991" s="6"/>
      <c r="E4991" s="6"/>
      <c r="F4991" s="6"/>
      <c r="G4991" s="6"/>
      <c r="H4991" s="6"/>
      <c r="I4991" s="6"/>
      <c r="J4991" s="6"/>
      <c r="K4991" s="6"/>
      <c r="L4991" s="6"/>
      <c r="M4991" s="6"/>
      <c r="N4991" s="6"/>
      <c r="O4991" s="6"/>
      <c r="P4991" s="6"/>
      <c r="Q4991" s="6"/>
      <c r="R4991" s="6"/>
      <c r="S4991" s="6"/>
      <c r="T4991" s="6"/>
      <c r="U4991" s="6"/>
      <c r="V4991" s="6"/>
      <c r="W4991" s="6"/>
      <c r="X4991" s="6"/>
      <c r="Y4991" s="6"/>
      <c r="Z4991" s="6"/>
      <c r="AA4991" s="6"/>
      <c r="AB4991" s="6"/>
      <c r="AC4991" s="6"/>
      <c r="AD4991" s="6"/>
      <c r="AE4991" s="6"/>
      <c r="AF4991" s="6"/>
      <c r="AG4991" s="6"/>
      <c r="AH4991" s="6"/>
      <c r="AI4991" s="6"/>
      <c r="AJ4991" s="6"/>
      <c r="AK4991" s="6"/>
      <c r="AL4991" s="6"/>
      <c r="AM4991" s="6"/>
    </row>
    <row r="4992">
      <c r="A4992" s="6"/>
      <c r="B4992" s="6"/>
      <c r="C4992" s="6"/>
      <c r="D4992" s="6"/>
      <c r="E4992" s="6"/>
      <c r="F4992" s="6"/>
      <c r="G4992" s="6"/>
      <c r="H4992" s="6"/>
      <c r="I4992" s="6"/>
      <c r="J4992" s="6"/>
      <c r="K4992" s="6"/>
      <c r="L4992" s="6"/>
      <c r="M4992" s="6"/>
      <c r="N4992" s="6"/>
      <c r="O4992" s="6"/>
      <c r="P4992" s="6"/>
      <c r="Q4992" s="6"/>
      <c r="R4992" s="6"/>
      <c r="S4992" s="6"/>
      <c r="T4992" s="6"/>
      <c r="U4992" s="6"/>
      <c r="V4992" s="6"/>
      <c r="W4992" s="6"/>
      <c r="X4992" s="6"/>
      <c r="Y4992" s="6"/>
      <c r="Z4992" s="6"/>
      <c r="AA4992" s="6"/>
      <c r="AB4992" s="6"/>
      <c r="AC4992" s="6"/>
      <c r="AD4992" s="6"/>
      <c r="AE4992" s="6"/>
      <c r="AF4992" s="6"/>
      <c r="AG4992" s="6"/>
      <c r="AH4992" s="6"/>
      <c r="AI4992" s="6"/>
      <c r="AJ4992" s="6"/>
      <c r="AK4992" s="6"/>
      <c r="AL4992" s="6"/>
      <c r="AM4992" s="6"/>
    </row>
    <row r="4993">
      <c r="A4993" s="6"/>
      <c r="B4993" s="6"/>
      <c r="C4993" s="6"/>
      <c r="D4993" s="6"/>
      <c r="E4993" s="6"/>
      <c r="F4993" s="6"/>
      <c r="G4993" s="6"/>
      <c r="H4993" s="6"/>
      <c r="I4993" s="6"/>
      <c r="J4993" s="6"/>
      <c r="K4993" s="6"/>
      <c r="L4993" s="6"/>
      <c r="M4993" s="6"/>
      <c r="N4993" s="6"/>
      <c r="O4993" s="6"/>
      <c r="P4993" s="6"/>
      <c r="Q4993" s="6"/>
      <c r="R4993" s="6"/>
      <c r="S4993" s="6"/>
      <c r="T4993" s="6"/>
      <c r="U4993" s="6"/>
      <c r="V4993" s="6"/>
      <c r="W4993" s="6"/>
      <c r="X4993" s="6"/>
      <c r="Y4993" s="6"/>
      <c r="Z4993" s="6"/>
      <c r="AA4993" s="6"/>
      <c r="AB4993" s="6"/>
      <c r="AC4993" s="6"/>
      <c r="AD4993" s="6"/>
      <c r="AE4993" s="6"/>
      <c r="AF4993" s="6"/>
      <c r="AG4993" s="6"/>
      <c r="AH4993" s="6"/>
      <c r="AI4993" s="6"/>
      <c r="AJ4993" s="6"/>
      <c r="AK4993" s="6"/>
      <c r="AL4993" s="6"/>
      <c r="AM4993" s="6"/>
    </row>
    <row r="4994">
      <c r="A4994" s="6"/>
      <c r="B4994" s="6"/>
      <c r="C4994" s="6"/>
      <c r="D4994" s="6"/>
      <c r="E4994" s="6"/>
      <c r="F4994" s="6"/>
      <c r="G4994" s="6"/>
      <c r="H4994" s="6"/>
      <c r="I4994" s="6"/>
      <c r="J4994" s="6"/>
      <c r="K4994" s="6"/>
      <c r="L4994" s="6"/>
      <c r="M4994" s="6"/>
      <c r="N4994" s="6"/>
      <c r="O4994" s="6"/>
      <c r="P4994" s="6"/>
      <c r="Q4994" s="6"/>
      <c r="R4994" s="6"/>
      <c r="S4994" s="6"/>
      <c r="T4994" s="6"/>
      <c r="U4994" s="6"/>
      <c r="V4994" s="6"/>
      <c r="W4994" s="6"/>
      <c r="X4994" s="6"/>
      <c r="Y4994" s="6"/>
      <c r="Z4994" s="6"/>
      <c r="AA4994" s="6"/>
      <c r="AB4994" s="6"/>
      <c r="AC4994" s="6"/>
      <c r="AD4994" s="6"/>
      <c r="AE4994" s="6"/>
      <c r="AF4994" s="6"/>
      <c r="AG4994" s="6"/>
      <c r="AH4994" s="6"/>
      <c r="AI4994" s="6"/>
      <c r="AJ4994" s="6"/>
      <c r="AK4994" s="6"/>
      <c r="AL4994" s="6"/>
      <c r="AM4994" s="6"/>
    </row>
    <row r="4995">
      <c r="A4995" s="6"/>
      <c r="B4995" s="6"/>
      <c r="C4995" s="6"/>
      <c r="D4995" s="6"/>
      <c r="E4995" s="6"/>
      <c r="F4995" s="6"/>
      <c r="G4995" s="6"/>
      <c r="H4995" s="6"/>
      <c r="I4995" s="6"/>
      <c r="J4995" s="6"/>
      <c r="K4995" s="6"/>
      <c r="L4995" s="6"/>
      <c r="M4995" s="6"/>
      <c r="N4995" s="6"/>
      <c r="O4995" s="6"/>
      <c r="P4995" s="6"/>
      <c r="Q4995" s="6"/>
      <c r="R4995" s="6"/>
      <c r="S4995" s="6"/>
      <c r="T4995" s="6"/>
      <c r="U4995" s="6"/>
      <c r="V4995" s="6"/>
      <c r="W4995" s="6"/>
      <c r="X4995" s="6"/>
      <c r="Y4995" s="6"/>
      <c r="Z4995" s="6"/>
      <c r="AA4995" s="6"/>
      <c r="AB4995" s="6"/>
      <c r="AC4995" s="6"/>
      <c r="AD4995" s="6"/>
      <c r="AE4995" s="6"/>
      <c r="AF4995" s="6"/>
      <c r="AG4995" s="6"/>
      <c r="AH4995" s="6"/>
      <c r="AI4995" s="6"/>
      <c r="AJ4995" s="6"/>
      <c r="AK4995" s="6"/>
      <c r="AL4995" s="6"/>
      <c r="AM4995" s="6"/>
    </row>
    <row r="4996">
      <c r="A4996" s="6"/>
      <c r="B4996" s="6"/>
      <c r="C4996" s="6"/>
      <c r="D4996" s="6"/>
      <c r="E4996" s="6"/>
      <c r="F4996" s="6"/>
      <c r="G4996" s="6"/>
      <c r="H4996" s="6"/>
      <c r="I4996" s="6"/>
      <c r="J4996" s="6"/>
      <c r="K4996" s="6"/>
      <c r="L4996" s="6"/>
      <c r="M4996" s="6"/>
      <c r="N4996" s="6"/>
      <c r="O4996" s="6"/>
      <c r="P4996" s="6"/>
      <c r="Q4996" s="6"/>
      <c r="R4996" s="6"/>
      <c r="S4996" s="6"/>
      <c r="T4996" s="6"/>
      <c r="U4996" s="6"/>
      <c r="V4996" s="6"/>
      <c r="W4996" s="6"/>
      <c r="X4996" s="6"/>
      <c r="Y4996" s="6"/>
      <c r="Z4996" s="6"/>
      <c r="AA4996" s="6"/>
      <c r="AB4996" s="6"/>
      <c r="AC4996" s="6"/>
      <c r="AD4996" s="6"/>
      <c r="AE4996" s="6"/>
      <c r="AF4996" s="6"/>
      <c r="AG4996" s="6"/>
      <c r="AH4996" s="6"/>
      <c r="AI4996" s="6"/>
      <c r="AJ4996" s="6"/>
      <c r="AK4996" s="6"/>
      <c r="AL4996" s="6"/>
      <c r="AM4996" s="6"/>
    </row>
    <row r="4997">
      <c r="A4997" s="6"/>
      <c r="B4997" s="6"/>
      <c r="C4997" s="6"/>
      <c r="D4997" s="6"/>
      <c r="E4997" s="6"/>
      <c r="F4997" s="6"/>
      <c r="G4997" s="6"/>
      <c r="H4997" s="6"/>
      <c r="I4997" s="6"/>
      <c r="J4997" s="6"/>
      <c r="K4997" s="6"/>
      <c r="L4997" s="6"/>
      <c r="M4997" s="6"/>
      <c r="N4997" s="6"/>
      <c r="O4997" s="6"/>
      <c r="P4997" s="6"/>
      <c r="Q4997" s="6"/>
      <c r="R4997" s="6"/>
      <c r="S4997" s="6"/>
      <c r="T4997" s="6"/>
      <c r="U4997" s="6"/>
      <c r="V4997" s="6"/>
      <c r="W4997" s="6"/>
      <c r="X4997" s="6"/>
      <c r="Y4997" s="6"/>
      <c r="Z4997" s="6"/>
      <c r="AA4997" s="6"/>
      <c r="AB4997" s="6"/>
      <c r="AC4997" s="6"/>
      <c r="AD4997" s="6"/>
      <c r="AE4997" s="6"/>
      <c r="AF4997" s="6"/>
      <c r="AG4997" s="6"/>
      <c r="AH4997" s="6"/>
      <c r="AI4997" s="6"/>
      <c r="AJ4997" s="6"/>
      <c r="AK4997" s="6"/>
      <c r="AL4997" s="6"/>
      <c r="AM4997" s="6"/>
    </row>
    <row r="4998">
      <c r="A4998" s="6"/>
      <c r="B4998" s="6"/>
      <c r="C4998" s="6"/>
      <c r="D4998" s="6"/>
      <c r="E4998" s="6"/>
      <c r="F4998" s="6"/>
      <c r="G4998" s="6"/>
      <c r="H4998" s="6"/>
      <c r="I4998" s="6"/>
      <c r="J4998" s="6"/>
      <c r="K4998" s="6"/>
      <c r="L4998" s="6"/>
      <c r="M4998" s="6"/>
      <c r="N4998" s="6"/>
      <c r="O4998" s="6"/>
      <c r="P4998" s="6"/>
      <c r="Q4998" s="6"/>
      <c r="R4998" s="6"/>
      <c r="S4998" s="6"/>
      <c r="T4998" s="6"/>
      <c r="U4998" s="6"/>
      <c r="V4998" s="6"/>
      <c r="W4998" s="6"/>
      <c r="X4998" s="6"/>
      <c r="Y4998" s="6"/>
      <c r="Z4998" s="6"/>
      <c r="AA4998" s="6"/>
      <c r="AB4998" s="6"/>
      <c r="AC4998" s="6"/>
      <c r="AD4998" s="6"/>
      <c r="AE4998" s="6"/>
      <c r="AF4998" s="6"/>
      <c r="AG4998" s="6"/>
      <c r="AH4998" s="6"/>
      <c r="AI4998" s="6"/>
      <c r="AJ4998" s="6"/>
      <c r="AK4998" s="6"/>
      <c r="AL4998" s="6"/>
      <c r="AM4998" s="6"/>
    </row>
    <row r="4999">
      <c r="A4999" s="6"/>
      <c r="B4999" s="6"/>
      <c r="C4999" s="6"/>
      <c r="D4999" s="6"/>
      <c r="E4999" s="6"/>
      <c r="F4999" s="6"/>
      <c r="G4999" s="6"/>
      <c r="H4999" s="6"/>
      <c r="I4999" s="6"/>
      <c r="J4999" s="6"/>
      <c r="K4999" s="6"/>
      <c r="L4999" s="6"/>
      <c r="M4999" s="6"/>
      <c r="N4999" s="6"/>
      <c r="O4999" s="6"/>
      <c r="P4999" s="6"/>
      <c r="Q4999" s="6"/>
      <c r="R4999" s="6"/>
      <c r="S4999" s="6"/>
      <c r="T4999" s="6"/>
      <c r="U4999" s="6"/>
      <c r="V4999" s="6"/>
      <c r="W4999" s="6"/>
      <c r="X4999" s="6"/>
      <c r="Y4999" s="6"/>
      <c r="Z4999" s="6"/>
      <c r="AA4999" s="6"/>
      <c r="AB4999" s="6"/>
      <c r="AC4999" s="6"/>
      <c r="AD4999" s="6"/>
      <c r="AE4999" s="6"/>
      <c r="AF4999" s="6"/>
      <c r="AG4999" s="6"/>
      <c r="AH4999" s="6"/>
      <c r="AI4999" s="6"/>
      <c r="AJ4999" s="6"/>
      <c r="AK4999" s="6"/>
      <c r="AL4999" s="6"/>
      <c r="AM4999" s="6"/>
    </row>
    <row r="5000">
      <c r="A5000" s="6"/>
      <c r="B5000" s="6"/>
      <c r="C5000" s="6"/>
      <c r="D5000" s="6"/>
      <c r="E5000" s="6"/>
      <c r="F5000" s="6"/>
      <c r="G5000" s="6"/>
      <c r="H5000" s="6"/>
      <c r="I5000" s="6"/>
      <c r="J5000" s="6"/>
      <c r="K5000" s="6"/>
      <c r="L5000" s="6"/>
      <c r="M5000" s="6"/>
      <c r="N5000" s="6"/>
      <c r="O5000" s="6"/>
      <c r="P5000" s="6"/>
      <c r="Q5000" s="6"/>
      <c r="R5000" s="6"/>
      <c r="S5000" s="6"/>
      <c r="T5000" s="6"/>
      <c r="U5000" s="6"/>
      <c r="V5000" s="6"/>
      <c r="W5000" s="6"/>
      <c r="X5000" s="6"/>
      <c r="Y5000" s="6"/>
      <c r="Z5000" s="6"/>
      <c r="AA5000" s="6"/>
      <c r="AB5000" s="6"/>
      <c r="AC5000" s="6"/>
      <c r="AD5000" s="6"/>
      <c r="AE5000" s="6"/>
      <c r="AF5000" s="6"/>
      <c r="AG5000" s="6"/>
      <c r="AH5000" s="6"/>
      <c r="AI5000" s="6"/>
      <c r="AJ5000" s="6"/>
      <c r="AK5000" s="6"/>
      <c r="AL5000" s="6"/>
      <c r="AM5000" s="6"/>
    </row>
    <row r="5001">
      <c r="A5001" s="6"/>
      <c r="B5001" s="6"/>
      <c r="C5001" s="6"/>
      <c r="D5001" s="6"/>
      <c r="E5001" s="6"/>
      <c r="F5001" s="6"/>
      <c r="G5001" s="6"/>
      <c r="H5001" s="6"/>
      <c r="I5001" s="6"/>
      <c r="J5001" s="6"/>
      <c r="K5001" s="6"/>
      <c r="L5001" s="6"/>
      <c r="M5001" s="6"/>
      <c r="N5001" s="6"/>
      <c r="O5001" s="6"/>
      <c r="P5001" s="6"/>
      <c r="Q5001" s="6"/>
      <c r="R5001" s="6"/>
      <c r="S5001" s="6"/>
      <c r="T5001" s="6"/>
      <c r="U5001" s="6"/>
      <c r="V5001" s="6"/>
      <c r="W5001" s="6"/>
      <c r="X5001" s="6"/>
      <c r="Y5001" s="6"/>
      <c r="Z5001" s="6"/>
      <c r="AA5001" s="6"/>
      <c r="AB5001" s="6"/>
      <c r="AC5001" s="6"/>
      <c r="AD5001" s="6"/>
      <c r="AE5001" s="6"/>
      <c r="AF5001" s="6"/>
      <c r="AG5001" s="6"/>
      <c r="AH5001" s="6"/>
      <c r="AI5001" s="6"/>
      <c r="AJ5001" s="6"/>
      <c r="AK5001" s="6"/>
      <c r="AL5001" s="6"/>
      <c r="AM5001" s="6"/>
    </row>
    <row r="5002">
      <c r="A5002" s="6"/>
      <c r="B5002" s="6"/>
      <c r="C5002" s="6"/>
      <c r="D5002" s="6"/>
      <c r="E5002" s="6"/>
      <c r="F5002" s="6"/>
      <c r="G5002" s="6"/>
      <c r="H5002" s="6"/>
      <c r="I5002" s="6"/>
      <c r="J5002" s="6"/>
      <c r="K5002" s="6"/>
      <c r="L5002" s="6"/>
      <c r="M5002" s="6"/>
      <c r="N5002" s="6"/>
      <c r="O5002" s="6"/>
      <c r="P5002" s="6"/>
      <c r="Q5002" s="6"/>
      <c r="R5002" s="6"/>
      <c r="S5002" s="6"/>
      <c r="T5002" s="6"/>
      <c r="U5002" s="6"/>
      <c r="V5002" s="6"/>
      <c r="W5002" s="6"/>
      <c r="X5002" s="6"/>
      <c r="Y5002" s="6"/>
      <c r="Z5002" s="6"/>
      <c r="AA5002" s="6"/>
      <c r="AB5002" s="6"/>
      <c r="AC5002" s="6"/>
      <c r="AD5002" s="6"/>
      <c r="AE5002" s="6"/>
      <c r="AF5002" s="6"/>
      <c r="AG5002" s="6"/>
      <c r="AH5002" s="6"/>
      <c r="AI5002" s="6"/>
      <c r="AJ5002" s="6"/>
      <c r="AK5002" s="6"/>
      <c r="AL5002" s="6"/>
      <c r="AM5002" s="6"/>
    </row>
    <row r="5003">
      <c r="A5003" s="6"/>
      <c r="B5003" s="6"/>
      <c r="C5003" s="6"/>
      <c r="D5003" s="6"/>
      <c r="E5003" s="6"/>
      <c r="F5003" s="6"/>
      <c r="G5003" s="6"/>
      <c r="H5003" s="6"/>
      <c r="I5003" s="6"/>
      <c r="J5003" s="6"/>
      <c r="K5003" s="6"/>
      <c r="L5003" s="6"/>
      <c r="M5003" s="6"/>
      <c r="N5003" s="6"/>
      <c r="O5003" s="6"/>
      <c r="P5003" s="6"/>
      <c r="Q5003" s="6"/>
      <c r="R5003" s="6"/>
      <c r="S5003" s="6"/>
      <c r="T5003" s="6"/>
      <c r="U5003" s="6"/>
      <c r="V5003" s="6"/>
      <c r="W5003" s="6"/>
      <c r="X5003" s="6"/>
      <c r="Y5003" s="6"/>
      <c r="Z5003" s="6"/>
      <c r="AA5003" s="6"/>
      <c r="AB5003" s="6"/>
      <c r="AC5003" s="6"/>
      <c r="AD5003" s="6"/>
      <c r="AE5003" s="6"/>
      <c r="AF5003" s="6"/>
      <c r="AG5003" s="6"/>
      <c r="AH5003" s="6"/>
      <c r="AI5003" s="6"/>
      <c r="AJ5003" s="6"/>
      <c r="AK5003" s="6"/>
      <c r="AL5003" s="6"/>
      <c r="AM5003" s="6"/>
    </row>
    <row r="5004">
      <c r="A5004" s="6"/>
      <c r="B5004" s="6"/>
      <c r="C5004" s="6"/>
      <c r="D5004" s="6"/>
      <c r="E5004" s="6"/>
      <c r="F5004" s="6"/>
      <c r="G5004" s="6"/>
      <c r="H5004" s="6"/>
      <c r="I5004" s="6"/>
      <c r="J5004" s="6"/>
      <c r="K5004" s="6"/>
      <c r="L5004" s="6"/>
      <c r="M5004" s="6"/>
      <c r="N5004" s="6"/>
      <c r="O5004" s="6"/>
      <c r="P5004" s="6"/>
      <c r="Q5004" s="6"/>
      <c r="R5004" s="6"/>
      <c r="S5004" s="6"/>
      <c r="T5004" s="6"/>
      <c r="U5004" s="6"/>
      <c r="V5004" s="6"/>
      <c r="W5004" s="6"/>
      <c r="X5004" s="6"/>
      <c r="Y5004" s="6"/>
      <c r="Z5004" s="6"/>
      <c r="AA5004" s="6"/>
      <c r="AB5004" s="6"/>
      <c r="AC5004" s="6"/>
      <c r="AD5004" s="6"/>
      <c r="AE5004" s="6"/>
      <c r="AF5004" s="6"/>
      <c r="AG5004" s="6"/>
      <c r="AH5004" s="6"/>
      <c r="AI5004" s="6"/>
      <c r="AJ5004" s="6"/>
      <c r="AK5004" s="6"/>
      <c r="AL5004" s="6"/>
      <c r="AM5004" s="6"/>
    </row>
    <row r="5005">
      <c r="A5005" s="6"/>
      <c r="B5005" s="6"/>
      <c r="C5005" s="6"/>
      <c r="D5005" s="6"/>
      <c r="E5005" s="6"/>
      <c r="F5005" s="6"/>
      <c r="G5005" s="6"/>
      <c r="H5005" s="6"/>
      <c r="I5005" s="6"/>
      <c r="J5005" s="6"/>
      <c r="K5005" s="6"/>
      <c r="L5005" s="6"/>
      <c r="M5005" s="6"/>
      <c r="N5005" s="6"/>
      <c r="O5005" s="6"/>
      <c r="P5005" s="6"/>
      <c r="Q5005" s="6"/>
      <c r="R5005" s="6"/>
      <c r="S5005" s="6"/>
      <c r="T5005" s="6"/>
      <c r="U5005" s="6"/>
      <c r="V5005" s="6"/>
      <c r="W5005" s="6"/>
      <c r="X5005" s="6"/>
      <c r="Y5005" s="6"/>
      <c r="Z5005" s="6"/>
      <c r="AA5005" s="6"/>
      <c r="AB5005" s="6"/>
      <c r="AC5005" s="6"/>
      <c r="AD5005" s="6"/>
      <c r="AE5005" s="6"/>
      <c r="AF5005" s="6"/>
      <c r="AG5005" s="6"/>
      <c r="AH5005" s="6"/>
      <c r="AI5005" s="6"/>
      <c r="AJ5005" s="6"/>
      <c r="AK5005" s="6"/>
      <c r="AL5005" s="6"/>
      <c r="AM5005" s="6"/>
    </row>
    <row r="5006">
      <c r="A5006" s="6"/>
      <c r="B5006" s="6"/>
      <c r="C5006" s="6"/>
      <c r="D5006" s="6"/>
      <c r="E5006" s="6"/>
      <c r="F5006" s="6"/>
      <c r="G5006" s="6"/>
      <c r="H5006" s="6"/>
      <c r="I5006" s="6"/>
      <c r="J5006" s="6"/>
      <c r="K5006" s="6"/>
      <c r="L5006" s="6"/>
      <c r="M5006" s="6"/>
      <c r="N5006" s="6"/>
      <c r="O5006" s="6"/>
      <c r="P5006" s="6"/>
      <c r="Q5006" s="6"/>
      <c r="R5006" s="6"/>
      <c r="S5006" s="6"/>
      <c r="T5006" s="6"/>
      <c r="U5006" s="6"/>
      <c r="V5006" s="6"/>
      <c r="W5006" s="6"/>
      <c r="X5006" s="6"/>
      <c r="Y5006" s="6"/>
      <c r="Z5006" s="6"/>
      <c r="AA5006" s="6"/>
      <c r="AB5006" s="6"/>
      <c r="AC5006" s="6"/>
      <c r="AD5006" s="6"/>
      <c r="AE5006" s="6"/>
      <c r="AF5006" s="6"/>
      <c r="AG5006" s="6"/>
      <c r="AH5006" s="6"/>
      <c r="AI5006" s="6"/>
      <c r="AJ5006" s="6"/>
      <c r="AK5006" s="6"/>
      <c r="AL5006" s="6"/>
      <c r="AM5006" s="6"/>
    </row>
    <row r="5007">
      <c r="A5007" s="6"/>
      <c r="B5007" s="6"/>
      <c r="C5007" s="6"/>
      <c r="D5007" s="6"/>
      <c r="E5007" s="6"/>
      <c r="F5007" s="6"/>
      <c r="G5007" s="6"/>
      <c r="H5007" s="6"/>
      <c r="I5007" s="6"/>
      <c r="J5007" s="6"/>
      <c r="K5007" s="6"/>
      <c r="L5007" s="6"/>
      <c r="M5007" s="6"/>
      <c r="N5007" s="6"/>
      <c r="O5007" s="6"/>
      <c r="P5007" s="6"/>
      <c r="Q5007" s="6"/>
      <c r="R5007" s="6"/>
      <c r="S5007" s="6"/>
      <c r="T5007" s="6"/>
      <c r="U5007" s="6"/>
      <c r="V5007" s="6"/>
      <c r="W5007" s="6"/>
      <c r="X5007" s="6"/>
      <c r="Y5007" s="6"/>
      <c r="Z5007" s="6"/>
      <c r="AA5007" s="6"/>
      <c r="AB5007" s="6"/>
      <c r="AC5007" s="6"/>
      <c r="AD5007" s="6"/>
      <c r="AE5007" s="6"/>
      <c r="AF5007" s="6"/>
      <c r="AG5007" s="6"/>
      <c r="AH5007" s="6"/>
      <c r="AI5007" s="6"/>
      <c r="AJ5007" s="6"/>
      <c r="AK5007" s="6"/>
      <c r="AL5007" s="6"/>
      <c r="AM5007" s="6"/>
    </row>
    <row r="5008">
      <c r="A5008" s="6"/>
      <c r="B5008" s="6"/>
      <c r="C5008" s="6"/>
      <c r="D5008" s="6"/>
      <c r="E5008" s="6"/>
      <c r="F5008" s="6"/>
      <c r="G5008" s="6"/>
      <c r="H5008" s="6"/>
      <c r="I5008" s="6"/>
      <c r="J5008" s="6"/>
      <c r="K5008" s="6"/>
      <c r="L5008" s="6"/>
      <c r="M5008" s="6"/>
      <c r="N5008" s="6"/>
      <c r="O5008" s="6"/>
      <c r="P5008" s="6"/>
      <c r="Q5008" s="6"/>
      <c r="R5008" s="6"/>
      <c r="S5008" s="6"/>
      <c r="T5008" s="6"/>
      <c r="U5008" s="6"/>
      <c r="V5008" s="6"/>
      <c r="W5008" s="6"/>
      <c r="X5008" s="6"/>
      <c r="Y5008" s="6"/>
      <c r="Z5008" s="6"/>
      <c r="AA5008" s="6"/>
      <c r="AB5008" s="6"/>
      <c r="AC5008" s="6"/>
      <c r="AD5008" s="6"/>
      <c r="AE5008" s="6"/>
      <c r="AF5008" s="6"/>
      <c r="AG5008" s="6"/>
      <c r="AH5008" s="6"/>
      <c r="AI5008" s="6"/>
      <c r="AJ5008" s="6"/>
      <c r="AK5008" s="6"/>
      <c r="AL5008" s="6"/>
      <c r="AM5008" s="6"/>
    </row>
    <row r="5009">
      <c r="A5009" s="6"/>
      <c r="B5009" s="6"/>
      <c r="C5009" s="6"/>
      <c r="D5009" s="6"/>
      <c r="E5009" s="6"/>
      <c r="F5009" s="6"/>
      <c r="G5009" s="6"/>
      <c r="H5009" s="6"/>
      <c r="I5009" s="6"/>
      <c r="J5009" s="6"/>
      <c r="K5009" s="6"/>
      <c r="L5009" s="6"/>
      <c r="M5009" s="6"/>
      <c r="N5009" s="6"/>
      <c r="O5009" s="6"/>
      <c r="P5009" s="6"/>
      <c r="Q5009" s="6"/>
      <c r="R5009" s="6"/>
      <c r="S5009" s="6"/>
      <c r="T5009" s="6"/>
      <c r="U5009" s="6"/>
      <c r="V5009" s="6"/>
      <c r="W5009" s="6"/>
      <c r="X5009" s="6"/>
      <c r="Y5009" s="6"/>
      <c r="Z5009" s="6"/>
      <c r="AA5009" s="6"/>
      <c r="AB5009" s="6"/>
      <c r="AC5009" s="6"/>
      <c r="AD5009" s="6"/>
      <c r="AE5009" s="6"/>
      <c r="AF5009" s="6"/>
      <c r="AG5009" s="6"/>
      <c r="AH5009" s="6"/>
      <c r="AI5009" s="6"/>
      <c r="AJ5009" s="6"/>
      <c r="AK5009" s="6"/>
      <c r="AL5009" s="6"/>
      <c r="AM5009" s="6"/>
    </row>
    <row r="5010">
      <c r="A5010" s="6"/>
      <c r="B5010" s="6"/>
      <c r="C5010" s="6"/>
      <c r="D5010" s="6"/>
      <c r="E5010" s="6"/>
      <c r="F5010" s="6"/>
      <c r="G5010" s="6"/>
      <c r="H5010" s="6"/>
      <c r="I5010" s="6"/>
      <c r="J5010" s="6"/>
      <c r="K5010" s="6"/>
      <c r="L5010" s="6"/>
      <c r="M5010" s="6"/>
      <c r="N5010" s="6"/>
      <c r="O5010" s="6"/>
      <c r="P5010" s="6"/>
      <c r="Q5010" s="6"/>
      <c r="R5010" s="6"/>
      <c r="S5010" s="6"/>
      <c r="T5010" s="6"/>
      <c r="U5010" s="6"/>
      <c r="V5010" s="6"/>
      <c r="W5010" s="6"/>
      <c r="X5010" s="6"/>
      <c r="Y5010" s="6"/>
      <c r="Z5010" s="6"/>
      <c r="AA5010" s="6"/>
      <c r="AB5010" s="6"/>
      <c r="AC5010" s="6"/>
      <c r="AD5010" s="6"/>
      <c r="AE5010" s="6"/>
      <c r="AF5010" s="6"/>
      <c r="AG5010" s="6"/>
      <c r="AH5010" s="6"/>
      <c r="AI5010" s="6"/>
      <c r="AJ5010" s="6"/>
      <c r="AK5010" s="6"/>
      <c r="AL5010" s="6"/>
      <c r="AM5010" s="6"/>
    </row>
    <row r="5011">
      <c r="A5011" s="6"/>
      <c r="B5011" s="6"/>
      <c r="C5011" s="6"/>
      <c r="D5011" s="6"/>
      <c r="E5011" s="6"/>
      <c r="F5011" s="6"/>
      <c r="G5011" s="6"/>
      <c r="H5011" s="6"/>
      <c r="I5011" s="6"/>
      <c r="J5011" s="6"/>
      <c r="K5011" s="6"/>
      <c r="L5011" s="6"/>
      <c r="M5011" s="6"/>
      <c r="N5011" s="6"/>
      <c r="O5011" s="6"/>
      <c r="P5011" s="6"/>
      <c r="Q5011" s="6"/>
      <c r="R5011" s="6"/>
      <c r="S5011" s="6"/>
      <c r="T5011" s="6"/>
      <c r="U5011" s="6"/>
      <c r="V5011" s="6"/>
      <c r="W5011" s="6"/>
      <c r="X5011" s="6"/>
      <c r="Y5011" s="6"/>
      <c r="Z5011" s="6"/>
      <c r="AA5011" s="6"/>
      <c r="AB5011" s="6"/>
      <c r="AC5011" s="6"/>
      <c r="AD5011" s="6"/>
      <c r="AE5011" s="6"/>
      <c r="AF5011" s="6"/>
      <c r="AG5011" s="6"/>
      <c r="AH5011" s="6"/>
      <c r="AI5011" s="6"/>
      <c r="AJ5011" s="6"/>
      <c r="AK5011" s="6"/>
      <c r="AL5011" s="6"/>
      <c r="AM5011" s="6"/>
    </row>
    <row r="5012">
      <c r="A5012" s="6"/>
      <c r="B5012" s="6"/>
      <c r="C5012" s="6"/>
      <c r="D5012" s="6"/>
      <c r="E5012" s="6"/>
      <c r="F5012" s="6"/>
      <c r="G5012" s="6"/>
      <c r="H5012" s="6"/>
      <c r="I5012" s="6"/>
      <c r="J5012" s="6"/>
      <c r="K5012" s="6"/>
      <c r="L5012" s="6"/>
      <c r="M5012" s="6"/>
      <c r="N5012" s="6"/>
      <c r="O5012" s="6"/>
      <c r="P5012" s="6"/>
      <c r="Q5012" s="6"/>
      <c r="R5012" s="6"/>
      <c r="S5012" s="6"/>
      <c r="T5012" s="6"/>
      <c r="U5012" s="6"/>
      <c r="V5012" s="6"/>
      <c r="W5012" s="6"/>
      <c r="X5012" s="6"/>
      <c r="Y5012" s="6"/>
      <c r="Z5012" s="6"/>
      <c r="AA5012" s="6"/>
      <c r="AB5012" s="6"/>
      <c r="AC5012" s="6"/>
      <c r="AD5012" s="6"/>
      <c r="AE5012" s="6"/>
      <c r="AF5012" s="6"/>
      <c r="AG5012" s="6"/>
      <c r="AH5012" s="6"/>
      <c r="AI5012" s="6"/>
      <c r="AJ5012" s="6"/>
      <c r="AK5012" s="6"/>
      <c r="AL5012" s="6"/>
      <c r="AM5012" s="6"/>
    </row>
    <row r="5013">
      <c r="A5013" s="6"/>
      <c r="B5013" s="6"/>
      <c r="C5013" s="6"/>
      <c r="D5013" s="6"/>
      <c r="E5013" s="6"/>
      <c r="F5013" s="6"/>
      <c r="G5013" s="6"/>
      <c r="H5013" s="6"/>
      <c r="I5013" s="6"/>
      <c r="J5013" s="6"/>
      <c r="K5013" s="6"/>
      <c r="L5013" s="6"/>
      <c r="M5013" s="6"/>
      <c r="N5013" s="6"/>
      <c r="O5013" s="6"/>
      <c r="P5013" s="6"/>
      <c r="Q5013" s="6"/>
      <c r="R5013" s="6"/>
      <c r="S5013" s="6"/>
      <c r="T5013" s="6"/>
      <c r="U5013" s="6"/>
      <c r="V5013" s="6"/>
      <c r="W5013" s="6"/>
      <c r="X5013" s="6"/>
      <c r="Y5013" s="6"/>
      <c r="Z5013" s="6"/>
      <c r="AA5013" s="6"/>
      <c r="AB5013" s="6"/>
      <c r="AC5013" s="6"/>
      <c r="AD5013" s="6"/>
      <c r="AE5013" s="6"/>
      <c r="AF5013" s="6"/>
      <c r="AG5013" s="6"/>
      <c r="AH5013" s="6"/>
      <c r="AI5013" s="6"/>
      <c r="AJ5013" s="6"/>
      <c r="AK5013" s="6"/>
      <c r="AL5013" s="6"/>
      <c r="AM5013" s="6"/>
    </row>
    <row r="5014">
      <c r="A5014" s="6"/>
      <c r="B5014" s="6"/>
      <c r="C5014" s="6"/>
      <c r="D5014" s="6"/>
      <c r="E5014" s="6"/>
      <c r="F5014" s="6"/>
      <c r="G5014" s="6"/>
      <c r="H5014" s="6"/>
      <c r="I5014" s="6"/>
      <c r="J5014" s="6"/>
      <c r="K5014" s="6"/>
      <c r="L5014" s="6"/>
      <c r="M5014" s="6"/>
      <c r="N5014" s="6"/>
      <c r="O5014" s="6"/>
      <c r="P5014" s="6"/>
      <c r="Q5014" s="6"/>
      <c r="R5014" s="6"/>
      <c r="S5014" s="6"/>
      <c r="T5014" s="6"/>
      <c r="U5014" s="6"/>
      <c r="V5014" s="6"/>
      <c r="W5014" s="6"/>
      <c r="X5014" s="6"/>
      <c r="Y5014" s="6"/>
      <c r="Z5014" s="6"/>
      <c r="AA5014" s="6"/>
      <c r="AB5014" s="6"/>
      <c r="AC5014" s="6"/>
      <c r="AD5014" s="6"/>
      <c r="AE5014" s="6"/>
      <c r="AF5014" s="6"/>
      <c r="AG5014" s="6"/>
      <c r="AH5014" s="6"/>
      <c r="AI5014" s="6"/>
      <c r="AJ5014" s="6"/>
      <c r="AK5014" s="6"/>
      <c r="AL5014" s="6"/>
      <c r="AM5014" s="6"/>
    </row>
    <row r="5015">
      <c r="A5015" s="6"/>
      <c r="B5015" s="6"/>
      <c r="C5015" s="6"/>
      <c r="D5015" s="6"/>
      <c r="E5015" s="6"/>
      <c r="F5015" s="6"/>
      <c r="G5015" s="6"/>
      <c r="H5015" s="6"/>
      <c r="I5015" s="6"/>
      <c r="J5015" s="6"/>
      <c r="K5015" s="6"/>
      <c r="L5015" s="6"/>
      <c r="M5015" s="6"/>
      <c r="N5015" s="6"/>
      <c r="O5015" s="6"/>
      <c r="P5015" s="6"/>
      <c r="Q5015" s="6"/>
      <c r="R5015" s="6"/>
      <c r="S5015" s="6"/>
      <c r="T5015" s="6"/>
      <c r="U5015" s="6"/>
      <c r="V5015" s="6"/>
      <c r="W5015" s="6"/>
      <c r="X5015" s="6"/>
      <c r="Y5015" s="6"/>
      <c r="Z5015" s="6"/>
      <c r="AA5015" s="6"/>
      <c r="AB5015" s="6"/>
      <c r="AC5015" s="6"/>
      <c r="AD5015" s="6"/>
      <c r="AE5015" s="6"/>
      <c r="AF5015" s="6"/>
      <c r="AG5015" s="6"/>
      <c r="AH5015" s="6"/>
      <c r="AI5015" s="6"/>
      <c r="AJ5015" s="6"/>
      <c r="AK5015" s="6"/>
      <c r="AL5015" s="6"/>
      <c r="AM5015" s="6"/>
    </row>
    <row r="5016">
      <c r="A5016" s="6"/>
      <c r="B5016" s="6"/>
      <c r="C5016" s="6"/>
      <c r="D5016" s="6"/>
      <c r="E5016" s="6"/>
      <c r="F5016" s="6"/>
      <c r="G5016" s="6"/>
      <c r="H5016" s="6"/>
      <c r="I5016" s="6"/>
      <c r="J5016" s="6"/>
      <c r="K5016" s="6"/>
      <c r="L5016" s="6"/>
      <c r="M5016" s="6"/>
      <c r="N5016" s="6"/>
      <c r="O5016" s="6"/>
      <c r="P5016" s="6"/>
      <c r="Q5016" s="6"/>
      <c r="R5016" s="6"/>
      <c r="S5016" s="6"/>
      <c r="T5016" s="6"/>
      <c r="U5016" s="6"/>
      <c r="V5016" s="6"/>
      <c r="W5016" s="6"/>
      <c r="X5016" s="6"/>
      <c r="Y5016" s="6"/>
      <c r="Z5016" s="6"/>
      <c r="AA5016" s="6"/>
      <c r="AB5016" s="6"/>
      <c r="AC5016" s="6"/>
      <c r="AD5016" s="6"/>
      <c r="AE5016" s="6"/>
      <c r="AF5016" s="6"/>
      <c r="AG5016" s="6"/>
      <c r="AH5016" s="6"/>
      <c r="AI5016" s="6"/>
      <c r="AJ5016" s="6"/>
      <c r="AK5016" s="6"/>
      <c r="AL5016" s="6"/>
      <c r="AM5016" s="6"/>
    </row>
    <row r="5017">
      <c r="A5017" s="6"/>
      <c r="B5017" s="6"/>
      <c r="C5017" s="6"/>
      <c r="D5017" s="6"/>
      <c r="E5017" s="6"/>
      <c r="F5017" s="6"/>
      <c r="G5017" s="6"/>
      <c r="H5017" s="6"/>
      <c r="I5017" s="6"/>
      <c r="J5017" s="6"/>
      <c r="K5017" s="6"/>
      <c r="L5017" s="6"/>
      <c r="M5017" s="6"/>
      <c r="N5017" s="6"/>
      <c r="O5017" s="6"/>
      <c r="P5017" s="6"/>
      <c r="Q5017" s="6"/>
      <c r="R5017" s="6"/>
      <c r="S5017" s="6"/>
      <c r="T5017" s="6"/>
      <c r="U5017" s="6"/>
      <c r="V5017" s="6"/>
      <c r="W5017" s="6"/>
      <c r="X5017" s="6"/>
      <c r="Y5017" s="6"/>
      <c r="Z5017" s="6"/>
      <c r="AA5017" s="6"/>
      <c r="AB5017" s="6"/>
      <c r="AC5017" s="6"/>
      <c r="AD5017" s="6"/>
      <c r="AE5017" s="6"/>
      <c r="AF5017" s="6"/>
      <c r="AG5017" s="6"/>
      <c r="AH5017" s="6"/>
      <c r="AI5017" s="6"/>
      <c r="AJ5017" s="6"/>
      <c r="AK5017" s="6"/>
      <c r="AL5017" s="6"/>
      <c r="AM5017" s="6"/>
    </row>
    <row r="5018">
      <c r="A5018" s="6"/>
      <c r="B5018" s="6"/>
      <c r="C5018" s="6"/>
      <c r="D5018" s="6"/>
      <c r="E5018" s="6"/>
      <c r="F5018" s="6"/>
      <c r="G5018" s="6"/>
      <c r="H5018" s="6"/>
      <c r="I5018" s="6"/>
      <c r="J5018" s="6"/>
      <c r="K5018" s="6"/>
      <c r="L5018" s="6"/>
      <c r="M5018" s="6"/>
      <c r="N5018" s="6"/>
      <c r="O5018" s="6"/>
      <c r="P5018" s="6"/>
      <c r="Q5018" s="6"/>
      <c r="R5018" s="6"/>
      <c r="S5018" s="6"/>
      <c r="T5018" s="6"/>
      <c r="U5018" s="6"/>
      <c r="V5018" s="6"/>
      <c r="W5018" s="6"/>
      <c r="X5018" s="6"/>
      <c r="Y5018" s="6"/>
      <c r="Z5018" s="6"/>
      <c r="AA5018" s="6"/>
      <c r="AB5018" s="6"/>
      <c r="AC5018" s="6"/>
      <c r="AD5018" s="6"/>
      <c r="AE5018" s="6"/>
      <c r="AF5018" s="6"/>
      <c r="AG5018" s="6"/>
      <c r="AH5018" s="6"/>
      <c r="AI5018" s="6"/>
      <c r="AJ5018" s="6"/>
      <c r="AK5018" s="6"/>
      <c r="AL5018" s="6"/>
      <c r="AM5018" s="6"/>
    </row>
    <row r="5019">
      <c r="A5019" s="6"/>
      <c r="B5019" s="6"/>
      <c r="C5019" s="6"/>
      <c r="D5019" s="6"/>
      <c r="E5019" s="6"/>
      <c r="F5019" s="6"/>
      <c r="G5019" s="6"/>
      <c r="H5019" s="6"/>
      <c r="I5019" s="6"/>
      <c r="J5019" s="6"/>
      <c r="K5019" s="6"/>
      <c r="L5019" s="6"/>
      <c r="M5019" s="6"/>
      <c r="N5019" s="6"/>
      <c r="O5019" s="6"/>
      <c r="P5019" s="6"/>
      <c r="Q5019" s="6"/>
      <c r="R5019" s="6"/>
      <c r="S5019" s="6"/>
      <c r="T5019" s="6"/>
      <c r="U5019" s="6"/>
      <c r="V5019" s="6"/>
      <c r="W5019" s="6"/>
      <c r="X5019" s="6"/>
      <c r="Y5019" s="6"/>
      <c r="Z5019" s="6"/>
      <c r="AA5019" s="6"/>
      <c r="AB5019" s="6"/>
      <c r="AC5019" s="6"/>
      <c r="AD5019" s="6"/>
      <c r="AE5019" s="6"/>
      <c r="AF5019" s="6"/>
      <c r="AG5019" s="6"/>
      <c r="AH5019" s="6"/>
      <c r="AI5019" s="6"/>
      <c r="AJ5019" s="6"/>
      <c r="AK5019" s="6"/>
      <c r="AL5019" s="6"/>
      <c r="AM5019" s="6"/>
    </row>
    <row r="5020">
      <c r="A5020" s="6"/>
      <c r="B5020" s="6"/>
      <c r="C5020" s="6"/>
      <c r="D5020" s="6"/>
      <c r="E5020" s="6"/>
      <c r="F5020" s="6"/>
      <c r="G5020" s="6"/>
      <c r="H5020" s="6"/>
      <c r="I5020" s="6"/>
      <c r="J5020" s="6"/>
      <c r="K5020" s="6"/>
      <c r="L5020" s="6"/>
      <c r="M5020" s="6"/>
      <c r="N5020" s="6"/>
      <c r="O5020" s="6"/>
      <c r="P5020" s="6"/>
      <c r="Q5020" s="6"/>
      <c r="R5020" s="6"/>
      <c r="S5020" s="6"/>
      <c r="T5020" s="6"/>
      <c r="U5020" s="6"/>
      <c r="V5020" s="6"/>
      <c r="W5020" s="6"/>
      <c r="X5020" s="6"/>
      <c r="Y5020" s="6"/>
      <c r="Z5020" s="6"/>
      <c r="AA5020" s="6"/>
      <c r="AB5020" s="6"/>
      <c r="AC5020" s="6"/>
      <c r="AD5020" s="6"/>
      <c r="AE5020" s="6"/>
      <c r="AF5020" s="6"/>
      <c r="AG5020" s="6"/>
      <c r="AH5020" s="6"/>
      <c r="AI5020" s="6"/>
      <c r="AJ5020" s="6"/>
      <c r="AK5020" s="6"/>
      <c r="AL5020" s="6"/>
      <c r="AM5020" s="6"/>
    </row>
    <row r="5021">
      <c r="A5021" s="6"/>
      <c r="B5021" s="6"/>
      <c r="C5021" s="6"/>
      <c r="D5021" s="6"/>
      <c r="E5021" s="6"/>
      <c r="F5021" s="6"/>
      <c r="G5021" s="6"/>
      <c r="H5021" s="6"/>
      <c r="I5021" s="6"/>
      <c r="J5021" s="6"/>
      <c r="K5021" s="6"/>
      <c r="L5021" s="6"/>
      <c r="M5021" s="6"/>
      <c r="N5021" s="6"/>
      <c r="O5021" s="6"/>
      <c r="P5021" s="6"/>
      <c r="Q5021" s="6"/>
      <c r="R5021" s="6"/>
      <c r="S5021" s="6"/>
      <c r="T5021" s="6"/>
      <c r="U5021" s="6"/>
      <c r="V5021" s="6"/>
      <c r="W5021" s="6"/>
      <c r="X5021" s="6"/>
      <c r="Y5021" s="6"/>
      <c r="Z5021" s="6"/>
      <c r="AA5021" s="6"/>
      <c r="AB5021" s="6"/>
      <c r="AC5021" s="6"/>
      <c r="AD5021" s="6"/>
      <c r="AE5021" s="6"/>
      <c r="AF5021" s="6"/>
      <c r="AG5021" s="6"/>
      <c r="AH5021" s="6"/>
      <c r="AI5021" s="6"/>
      <c r="AJ5021" s="6"/>
      <c r="AK5021" s="6"/>
      <c r="AL5021" s="6"/>
      <c r="AM5021" s="6"/>
    </row>
    <row r="5022">
      <c r="A5022" s="6"/>
      <c r="B5022" s="6"/>
      <c r="C5022" s="6"/>
      <c r="D5022" s="6"/>
      <c r="E5022" s="6"/>
      <c r="F5022" s="6"/>
      <c r="G5022" s="6"/>
      <c r="H5022" s="6"/>
      <c r="I5022" s="6"/>
      <c r="J5022" s="6"/>
      <c r="K5022" s="6"/>
      <c r="L5022" s="6"/>
      <c r="M5022" s="6"/>
      <c r="N5022" s="6"/>
      <c r="O5022" s="6"/>
      <c r="P5022" s="6"/>
      <c r="Q5022" s="6"/>
      <c r="R5022" s="6"/>
      <c r="S5022" s="6"/>
      <c r="T5022" s="6"/>
      <c r="U5022" s="6"/>
      <c r="V5022" s="6"/>
      <c r="W5022" s="6"/>
      <c r="X5022" s="6"/>
      <c r="Y5022" s="6"/>
      <c r="Z5022" s="6"/>
      <c r="AA5022" s="6"/>
      <c r="AB5022" s="6"/>
      <c r="AC5022" s="6"/>
      <c r="AD5022" s="6"/>
      <c r="AE5022" s="6"/>
      <c r="AF5022" s="6"/>
      <c r="AG5022" s="6"/>
      <c r="AH5022" s="6"/>
      <c r="AI5022" s="6"/>
      <c r="AJ5022" s="6"/>
      <c r="AK5022" s="6"/>
      <c r="AL5022" s="6"/>
      <c r="AM5022" s="6"/>
    </row>
    <row r="5023">
      <c r="A5023" s="6"/>
      <c r="B5023" s="6"/>
      <c r="C5023" s="6"/>
      <c r="D5023" s="6"/>
      <c r="E5023" s="6"/>
      <c r="F5023" s="6"/>
      <c r="G5023" s="6"/>
      <c r="H5023" s="6"/>
      <c r="I5023" s="6"/>
      <c r="J5023" s="6"/>
      <c r="K5023" s="6"/>
      <c r="L5023" s="6"/>
      <c r="M5023" s="6"/>
      <c r="N5023" s="6"/>
      <c r="O5023" s="6"/>
      <c r="P5023" s="6"/>
      <c r="Q5023" s="6"/>
      <c r="R5023" s="6"/>
      <c r="S5023" s="6"/>
      <c r="T5023" s="6"/>
      <c r="U5023" s="6"/>
      <c r="V5023" s="6"/>
      <c r="W5023" s="6"/>
      <c r="X5023" s="6"/>
      <c r="Y5023" s="6"/>
      <c r="Z5023" s="6"/>
      <c r="AA5023" s="6"/>
      <c r="AB5023" s="6"/>
      <c r="AC5023" s="6"/>
      <c r="AD5023" s="6"/>
      <c r="AE5023" s="6"/>
      <c r="AF5023" s="6"/>
      <c r="AG5023" s="6"/>
      <c r="AH5023" s="6"/>
      <c r="AI5023" s="6"/>
      <c r="AJ5023" s="6"/>
      <c r="AK5023" s="6"/>
      <c r="AL5023" s="6"/>
      <c r="AM5023" s="6"/>
    </row>
    <row r="5024">
      <c r="A5024" s="6"/>
      <c r="B5024" s="6"/>
      <c r="C5024" s="6"/>
      <c r="D5024" s="6"/>
      <c r="E5024" s="6"/>
      <c r="F5024" s="6"/>
      <c r="G5024" s="6"/>
      <c r="H5024" s="6"/>
      <c r="I5024" s="6"/>
      <c r="J5024" s="6"/>
      <c r="K5024" s="6"/>
      <c r="L5024" s="6"/>
      <c r="M5024" s="6"/>
      <c r="N5024" s="6"/>
      <c r="O5024" s="6"/>
      <c r="P5024" s="6"/>
      <c r="Q5024" s="6"/>
      <c r="R5024" s="6"/>
      <c r="S5024" s="6"/>
      <c r="T5024" s="6"/>
      <c r="U5024" s="6"/>
      <c r="V5024" s="6"/>
      <c r="W5024" s="6"/>
      <c r="X5024" s="6"/>
      <c r="Y5024" s="6"/>
      <c r="Z5024" s="6"/>
      <c r="AA5024" s="6"/>
      <c r="AB5024" s="6"/>
      <c r="AC5024" s="6"/>
      <c r="AD5024" s="6"/>
      <c r="AE5024" s="6"/>
      <c r="AF5024" s="6"/>
      <c r="AG5024" s="6"/>
      <c r="AH5024" s="6"/>
      <c r="AI5024" s="6"/>
      <c r="AJ5024" s="6"/>
      <c r="AK5024" s="6"/>
      <c r="AL5024" s="6"/>
      <c r="AM5024" s="6"/>
    </row>
    <row r="5025">
      <c r="A5025" s="6"/>
      <c r="B5025" s="6"/>
      <c r="C5025" s="6"/>
      <c r="D5025" s="6"/>
      <c r="E5025" s="6"/>
      <c r="F5025" s="6"/>
      <c r="G5025" s="6"/>
      <c r="H5025" s="6"/>
      <c r="I5025" s="6"/>
      <c r="J5025" s="6"/>
      <c r="K5025" s="6"/>
      <c r="L5025" s="6"/>
      <c r="M5025" s="6"/>
      <c r="N5025" s="6"/>
      <c r="O5025" s="6"/>
      <c r="P5025" s="6"/>
      <c r="Q5025" s="6"/>
      <c r="R5025" s="6"/>
      <c r="S5025" s="6"/>
      <c r="T5025" s="6"/>
      <c r="U5025" s="6"/>
      <c r="V5025" s="6"/>
      <c r="W5025" s="6"/>
      <c r="X5025" s="6"/>
      <c r="Y5025" s="6"/>
      <c r="Z5025" s="6"/>
      <c r="AA5025" s="6"/>
      <c r="AB5025" s="6"/>
      <c r="AC5025" s="6"/>
      <c r="AD5025" s="6"/>
      <c r="AE5025" s="6"/>
      <c r="AF5025" s="6"/>
      <c r="AG5025" s="6"/>
      <c r="AH5025" s="6"/>
      <c r="AI5025" s="6"/>
      <c r="AJ5025" s="6"/>
      <c r="AK5025" s="6"/>
      <c r="AL5025" s="6"/>
      <c r="AM5025" s="6"/>
    </row>
    <row r="5026">
      <c r="A5026" s="6"/>
      <c r="B5026" s="6"/>
      <c r="C5026" s="6"/>
      <c r="D5026" s="6"/>
      <c r="E5026" s="6"/>
      <c r="F5026" s="6"/>
      <c r="G5026" s="6"/>
      <c r="H5026" s="6"/>
      <c r="I5026" s="6"/>
      <c r="J5026" s="6"/>
      <c r="K5026" s="6"/>
      <c r="L5026" s="6"/>
      <c r="M5026" s="6"/>
      <c r="N5026" s="6"/>
      <c r="O5026" s="6"/>
      <c r="P5026" s="6"/>
      <c r="Q5026" s="6"/>
      <c r="R5026" s="6"/>
      <c r="S5026" s="6"/>
      <c r="T5026" s="6"/>
      <c r="U5026" s="6"/>
      <c r="V5026" s="6"/>
      <c r="W5026" s="6"/>
      <c r="X5026" s="6"/>
      <c r="Y5026" s="6"/>
      <c r="Z5026" s="6"/>
      <c r="AA5026" s="6"/>
      <c r="AB5026" s="6"/>
      <c r="AC5026" s="6"/>
      <c r="AD5026" s="6"/>
      <c r="AE5026" s="6"/>
      <c r="AF5026" s="6"/>
      <c r="AG5026" s="6"/>
      <c r="AH5026" s="6"/>
      <c r="AI5026" s="6"/>
      <c r="AJ5026" s="6"/>
      <c r="AK5026" s="6"/>
      <c r="AL5026" s="6"/>
      <c r="AM5026" s="6"/>
    </row>
    <row r="5027">
      <c r="A5027" s="6"/>
      <c r="B5027" s="6"/>
      <c r="C5027" s="6"/>
      <c r="D5027" s="6"/>
      <c r="E5027" s="6"/>
      <c r="F5027" s="6"/>
      <c r="G5027" s="6"/>
      <c r="H5027" s="6"/>
      <c r="I5027" s="6"/>
      <c r="J5027" s="6"/>
      <c r="K5027" s="6"/>
      <c r="L5027" s="6"/>
      <c r="M5027" s="6"/>
      <c r="N5027" s="6"/>
      <c r="O5027" s="6"/>
      <c r="P5027" s="6"/>
      <c r="Q5027" s="6"/>
      <c r="R5027" s="6"/>
      <c r="S5027" s="6"/>
      <c r="T5027" s="6"/>
      <c r="U5027" s="6"/>
      <c r="V5027" s="6"/>
      <c r="W5027" s="6"/>
      <c r="X5027" s="6"/>
      <c r="Y5027" s="6"/>
      <c r="Z5027" s="6"/>
      <c r="AA5027" s="6"/>
      <c r="AB5027" s="6"/>
      <c r="AC5027" s="6"/>
      <c r="AD5027" s="6"/>
      <c r="AE5027" s="6"/>
      <c r="AF5027" s="6"/>
      <c r="AG5027" s="6"/>
      <c r="AH5027" s="6"/>
      <c r="AI5027" s="6"/>
      <c r="AJ5027" s="6"/>
      <c r="AK5027" s="6"/>
      <c r="AL5027" s="6"/>
      <c r="AM5027" s="6"/>
    </row>
    <row r="5028">
      <c r="A5028" s="6"/>
      <c r="B5028" s="6"/>
      <c r="C5028" s="6"/>
      <c r="D5028" s="6"/>
      <c r="E5028" s="6"/>
      <c r="F5028" s="6"/>
      <c r="G5028" s="6"/>
      <c r="H5028" s="6"/>
      <c r="I5028" s="6"/>
      <c r="J5028" s="6"/>
      <c r="K5028" s="6"/>
      <c r="L5028" s="6"/>
      <c r="M5028" s="6"/>
      <c r="N5028" s="6"/>
      <c r="O5028" s="6"/>
      <c r="P5028" s="6"/>
      <c r="Q5028" s="6"/>
      <c r="R5028" s="6"/>
      <c r="S5028" s="6"/>
      <c r="T5028" s="6"/>
      <c r="U5028" s="6"/>
      <c r="V5028" s="6"/>
      <c r="W5028" s="6"/>
      <c r="X5028" s="6"/>
      <c r="Y5028" s="6"/>
      <c r="Z5028" s="6"/>
      <c r="AA5028" s="6"/>
      <c r="AB5028" s="6"/>
      <c r="AC5028" s="6"/>
      <c r="AD5028" s="6"/>
      <c r="AE5028" s="6"/>
      <c r="AF5028" s="6"/>
      <c r="AG5028" s="6"/>
      <c r="AH5028" s="6"/>
      <c r="AI5028" s="6"/>
      <c r="AJ5028" s="6"/>
      <c r="AK5028" s="6"/>
      <c r="AL5028" s="6"/>
      <c r="AM5028" s="6"/>
    </row>
    <row r="5029">
      <c r="A5029" s="6"/>
      <c r="B5029" s="6"/>
      <c r="C5029" s="6"/>
      <c r="D5029" s="6"/>
      <c r="E5029" s="6"/>
      <c r="F5029" s="6"/>
      <c r="G5029" s="6"/>
      <c r="H5029" s="6"/>
      <c r="I5029" s="6"/>
      <c r="J5029" s="6"/>
      <c r="K5029" s="6"/>
      <c r="L5029" s="6"/>
      <c r="M5029" s="6"/>
      <c r="N5029" s="6"/>
      <c r="O5029" s="6"/>
      <c r="P5029" s="6"/>
      <c r="Q5029" s="6"/>
      <c r="R5029" s="6"/>
      <c r="S5029" s="6"/>
      <c r="T5029" s="6"/>
      <c r="U5029" s="6"/>
      <c r="V5029" s="6"/>
      <c r="W5029" s="6"/>
      <c r="X5029" s="6"/>
      <c r="Y5029" s="6"/>
      <c r="Z5029" s="6"/>
      <c r="AA5029" s="6"/>
      <c r="AB5029" s="6"/>
      <c r="AC5029" s="6"/>
      <c r="AD5029" s="6"/>
      <c r="AE5029" s="6"/>
      <c r="AF5029" s="6"/>
      <c r="AG5029" s="6"/>
      <c r="AH5029" s="6"/>
      <c r="AI5029" s="6"/>
      <c r="AJ5029" s="6"/>
      <c r="AK5029" s="6"/>
      <c r="AL5029" s="6"/>
      <c r="AM5029" s="6"/>
    </row>
    <row r="5030">
      <c r="A5030" s="6"/>
      <c r="B5030" s="6"/>
      <c r="C5030" s="6"/>
      <c r="D5030" s="6"/>
      <c r="E5030" s="6"/>
      <c r="F5030" s="6"/>
      <c r="G5030" s="6"/>
      <c r="H5030" s="6"/>
      <c r="I5030" s="6"/>
      <c r="J5030" s="6"/>
      <c r="K5030" s="6"/>
      <c r="L5030" s="6"/>
      <c r="M5030" s="6"/>
      <c r="N5030" s="6"/>
      <c r="O5030" s="6"/>
      <c r="P5030" s="6"/>
      <c r="Q5030" s="6"/>
      <c r="R5030" s="6"/>
      <c r="S5030" s="6"/>
      <c r="T5030" s="6"/>
      <c r="U5030" s="6"/>
      <c r="V5030" s="6"/>
      <c r="W5030" s="6"/>
      <c r="X5030" s="6"/>
      <c r="Y5030" s="6"/>
      <c r="Z5030" s="6"/>
      <c r="AA5030" s="6"/>
      <c r="AB5030" s="6"/>
      <c r="AC5030" s="6"/>
      <c r="AD5030" s="6"/>
      <c r="AE5030" s="6"/>
      <c r="AF5030" s="6"/>
      <c r="AG5030" s="6"/>
      <c r="AH5030" s="6"/>
      <c r="AI5030" s="6"/>
      <c r="AJ5030" s="6"/>
      <c r="AK5030" s="6"/>
      <c r="AL5030" s="6"/>
      <c r="AM5030" s="6"/>
    </row>
    <row r="5031">
      <c r="A5031" s="6"/>
      <c r="B5031" s="6"/>
      <c r="C5031" s="6"/>
      <c r="D5031" s="6"/>
      <c r="E5031" s="6"/>
      <c r="F5031" s="6"/>
      <c r="G5031" s="6"/>
      <c r="H5031" s="6"/>
      <c r="I5031" s="6"/>
      <c r="J5031" s="6"/>
      <c r="K5031" s="6"/>
      <c r="L5031" s="6"/>
      <c r="M5031" s="6"/>
      <c r="N5031" s="6"/>
      <c r="O5031" s="6"/>
      <c r="P5031" s="6"/>
      <c r="Q5031" s="6"/>
      <c r="R5031" s="6"/>
      <c r="S5031" s="6"/>
      <c r="T5031" s="6"/>
      <c r="U5031" s="6"/>
      <c r="V5031" s="6"/>
      <c r="W5031" s="6"/>
      <c r="X5031" s="6"/>
      <c r="Y5031" s="6"/>
      <c r="Z5031" s="6"/>
      <c r="AA5031" s="6"/>
      <c r="AB5031" s="6"/>
      <c r="AC5031" s="6"/>
      <c r="AD5031" s="6"/>
      <c r="AE5031" s="6"/>
      <c r="AF5031" s="6"/>
      <c r="AG5031" s="6"/>
      <c r="AH5031" s="6"/>
      <c r="AI5031" s="6"/>
      <c r="AJ5031" s="6"/>
      <c r="AK5031" s="6"/>
      <c r="AL5031" s="6"/>
      <c r="AM5031" s="6"/>
    </row>
    <row r="5032">
      <c r="A5032" s="6"/>
      <c r="B5032" s="6"/>
      <c r="C5032" s="6"/>
      <c r="D5032" s="6"/>
      <c r="E5032" s="6"/>
      <c r="F5032" s="6"/>
      <c r="G5032" s="6"/>
      <c r="H5032" s="6"/>
      <c r="I5032" s="6"/>
      <c r="J5032" s="6"/>
      <c r="K5032" s="6"/>
      <c r="L5032" s="6"/>
      <c r="M5032" s="6"/>
      <c r="N5032" s="6"/>
      <c r="O5032" s="6"/>
      <c r="P5032" s="6"/>
      <c r="Q5032" s="6"/>
      <c r="R5032" s="6"/>
      <c r="S5032" s="6"/>
      <c r="T5032" s="6"/>
      <c r="U5032" s="6"/>
      <c r="V5032" s="6"/>
      <c r="W5032" s="6"/>
      <c r="X5032" s="6"/>
      <c r="Y5032" s="6"/>
      <c r="Z5032" s="6"/>
      <c r="AA5032" s="6"/>
      <c r="AB5032" s="6"/>
      <c r="AC5032" s="6"/>
      <c r="AD5032" s="6"/>
      <c r="AE5032" s="6"/>
      <c r="AF5032" s="6"/>
      <c r="AG5032" s="6"/>
      <c r="AH5032" s="6"/>
      <c r="AI5032" s="6"/>
      <c r="AJ5032" s="6"/>
      <c r="AK5032" s="6"/>
      <c r="AL5032" s="6"/>
      <c r="AM5032" s="6"/>
    </row>
    <row r="5033">
      <c r="A5033" s="6"/>
      <c r="B5033" s="6"/>
      <c r="C5033" s="6"/>
      <c r="D5033" s="6"/>
      <c r="E5033" s="6"/>
      <c r="F5033" s="6"/>
      <c r="G5033" s="6"/>
      <c r="H5033" s="6"/>
      <c r="I5033" s="6"/>
      <c r="J5033" s="6"/>
      <c r="K5033" s="6"/>
      <c r="L5033" s="6"/>
      <c r="M5033" s="6"/>
      <c r="N5033" s="6"/>
      <c r="O5033" s="6"/>
      <c r="P5033" s="6"/>
      <c r="Q5033" s="6"/>
      <c r="R5033" s="6"/>
      <c r="S5033" s="6"/>
      <c r="T5033" s="6"/>
      <c r="U5033" s="6"/>
      <c r="V5033" s="6"/>
      <c r="W5033" s="6"/>
      <c r="X5033" s="6"/>
      <c r="Y5033" s="6"/>
      <c r="Z5033" s="6"/>
      <c r="AA5033" s="6"/>
      <c r="AB5033" s="6"/>
      <c r="AC5033" s="6"/>
      <c r="AD5033" s="6"/>
      <c r="AE5033" s="6"/>
      <c r="AF5033" s="6"/>
      <c r="AG5033" s="6"/>
      <c r="AH5033" s="6"/>
      <c r="AI5033" s="6"/>
      <c r="AJ5033" s="6"/>
      <c r="AK5033" s="6"/>
      <c r="AL5033" s="6"/>
      <c r="AM5033" s="6"/>
    </row>
    <row r="5034">
      <c r="A5034" s="6"/>
      <c r="B5034" s="6"/>
      <c r="C5034" s="6"/>
      <c r="D5034" s="6"/>
      <c r="E5034" s="6"/>
      <c r="F5034" s="6"/>
      <c r="G5034" s="6"/>
      <c r="H5034" s="6"/>
      <c r="I5034" s="6"/>
      <c r="J5034" s="6"/>
      <c r="K5034" s="6"/>
      <c r="L5034" s="6"/>
      <c r="M5034" s="6"/>
      <c r="N5034" s="6"/>
      <c r="O5034" s="6"/>
      <c r="P5034" s="6"/>
      <c r="Q5034" s="6"/>
      <c r="R5034" s="6"/>
      <c r="S5034" s="6"/>
      <c r="T5034" s="6"/>
      <c r="U5034" s="6"/>
      <c r="V5034" s="6"/>
      <c r="W5034" s="6"/>
      <c r="X5034" s="6"/>
      <c r="Y5034" s="6"/>
      <c r="Z5034" s="6"/>
      <c r="AA5034" s="6"/>
      <c r="AB5034" s="6"/>
      <c r="AC5034" s="6"/>
      <c r="AD5034" s="6"/>
      <c r="AE5034" s="6"/>
      <c r="AF5034" s="6"/>
      <c r="AG5034" s="6"/>
      <c r="AH5034" s="6"/>
      <c r="AI5034" s="6"/>
      <c r="AJ5034" s="6"/>
      <c r="AK5034" s="6"/>
      <c r="AL5034" s="6"/>
      <c r="AM5034" s="6"/>
    </row>
    <row r="5035">
      <c r="A5035" s="6"/>
      <c r="B5035" s="6"/>
      <c r="C5035" s="6"/>
      <c r="D5035" s="6"/>
      <c r="E5035" s="6"/>
      <c r="F5035" s="6"/>
      <c r="G5035" s="6"/>
      <c r="H5035" s="6"/>
      <c r="I5035" s="6"/>
      <c r="J5035" s="6"/>
      <c r="K5035" s="6"/>
      <c r="L5035" s="6"/>
      <c r="M5035" s="6"/>
      <c r="N5035" s="6"/>
      <c r="O5035" s="6"/>
      <c r="P5035" s="6"/>
      <c r="Q5035" s="6"/>
      <c r="R5035" s="6"/>
      <c r="S5035" s="6"/>
      <c r="T5035" s="6"/>
      <c r="U5035" s="6"/>
      <c r="V5035" s="6"/>
      <c r="W5035" s="6"/>
      <c r="X5035" s="6"/>
      <c r="Y5035" s="6"/>
      <c r="Z5035" s="6"/>
      <c r="AA5035" s="6"/>
      <c r="AB5035" s="6"/>
      <c r="AC5035" s="6"/>
      <c r="AD5035" s="6"/>
      <c r="AE5035" s="6"/>
      <c r="AF5035" s="6"/>
      <c r="AG5035" s="6"/>
      <c r="AH5035" s="6"/>
      <c r="AI5035" s="6"/>
      <c r="AJ5035" s="6"/>
      <c r="AK5035" s="6"/>
      <c r="AL5035" s="6"/>
      <c r="AM5035" s="6"/>
    </row>
    <row r="5036">
      <c r="A5036" s="6"/>
      <c r="B5036" s="6"/>
      <c r="C5036" s="6"/>
      <c r="D5036" s="6"/>
      <c r="E5036" s="6"/>
      <c r="F5036" s="6"/>
      <c r="G5036" s="6"/>
      <c r="H5036" s="6"/>
      <c r="I5036" s="6"/>
      <c r="J5036" s="6"/>
      <c r="K5036" s="6"/>
      <c r="L5036" s="6"/>
      <c r="M5036" s="6"/>
      <c r="N5036" s="6"/>
      <c r="O5036" s="6"/>
      <c r="P5036" s="6"/>
      <c r="Q5036" s="6"/>
      <c r="R5036" s="6"/>
      <c r="S5036" s="6"/>
      <c r="T5036" s="6"/>
      <c r="U5036" s="6"/>
      <c r="V5036" s="6"/>
      <c r="W5036" s="6"/>
      <c r="X5036" s="6"/>
      <c r="Y5036" s="6"/>
      <c r="Z5036" s="6"/>
      <c r="AA5036" s="6"/>
      <c r="AB5036" s="6"/>
      <c r="AC5036" s="6"/>
      <c r="AD5036" s="6"/>
      <c r="AE5036" s="6"/>
      <c r="AF5036" s="6"/>
      <c r="AG5036" s="6"/>
      <c r="AH5036" s="6"/>
      <c r="AI5036" s="6"/>
      <c r="AJ5036" s="6"/>
      <c r="AK5036" s="6"/>
      <c r="AL5036" s="6"/>
      <c r="AM5036" s="6"/>
    </row>
    <row r="5037">
      <c r="A5037" s="6"/>
      <c r="B5037" s="6"/>
      <c r="C5037" s="6"/>
      <c r="D5037" s="6"/>
      <c r="E5037" s="6"/>
      <c r="F5037" s="6"/>
      <c r="G5037" s="6"/>
      <c r="H5037" s="6"/>
      <c r="I5037" s="6"/>
      <c r="J5037" s="6"/>
      <c r="K5037" s="6"/>
      <c r="L5037" s="6"/>
      <c r="M5037" s="6"/>
      <c r="N5037" s="6"/>
      <c r="O5037" s="6"/>
      <c r="P5037" s="6"/>
      <c r="Q5037" s="6"/>
      <c r="R5037" s="6"/>
      <c r="S5037" s="6"/>
      <c r="T5037" s="6"/>
      <c r="U5037" s="6"/>
      <c r="V5037" s="6"/>
      <c r="W5037" s="6"/>
      <c r="X5037" s="6"/>
      <c r="Y5037" s="6"/>
      <c r="Z5037" s="6"/>
      <c r="AA5037" s="6"/>
      <c r="AB5037" s="6"/>
      <c r="AC5037" s="6"/>
      <c r="AD5037" s="6"/>
      <c r="AE5037" s="6"/>
      <c r="AF5037" s="6"/>
      <c r="AG5037" s="6"/>
      <c r="AH5037" s="6"/>
      <c r="AI5037" s="6"/>
      <c r="AJ5037" s="6"/>
      <c r="AK5037" s="6"/>
      <c r="AL5037" s="6"/>
      <c r="AM5037" s="6"/>
    </row>
    <row r="5038">
      <c r="A5038" s="6"/>
      <c r="B5038" s="6"/>
      <c r="C5038" s="6"/>
      <c r="D5038" s="6"/>
      <c r="E5038" s="6"/>
      <c r="F5038" s="6"/>
      <c r="G5038" s="6"/>
      <c r="H5038" s="6"/>
      <c r="I5038" s="6"/>
      <c r="J5038" s="6"/>
      <c r="K5038" s="6"/>
      <c r="L5038" s="6"/>
      <c r="M5038" s="6"/>
      <c r="N5038" s="6"/>
      <c r="O5038" s="6"/>
      <c r="P5038" s="6"/>
      <c r="Q5038" s="6"/>
      <c r="R5038" s="6"/>
      <c r="S5038" s="6"/>
      <c r="T5038" s="6"/>
      <c r="U5038" s="6"/>
      <c r="V5038" s="6"/>
      <c r="W5038" s="6"/>
      <c r="X5038" s="6"/>
      <c r="Y5038" s="6"/>
      <c r="Z5038" s="6"/>
      <c r="AA5038" s="6"/>
      <c r="AB5038" s="6"/>
      <c r="AC5038" s="6"/>
      <c r="AD5038" s="6"/>
      <c r="AE5038" s="6"/>
      <c r="AF5038" s="6"/>
      <c r="AG5038" s="6"/>
      <c r="AH5038" s="6"/>
      <c r="AI5038" s="6"/>
      <c r="AJ5038" s="6"/>
      <c r="AK5038" s="6"/>
      <c r="AL5038" s="6"/>
      <c r="AM5038" s="6"/>
    </row>
    <row r="5039">
      <c r="A5039" s="6"/>
      <c r="B5039" s="6"/>
      <c r="C5039" s="6"/>
      <c r="D5039" s="6"/>
      <c r="E5039" s="6"/>
      <c r="F5039" s="6"/>
      <c r="G5039" s="6"/>
      <c r="H5039" s="6"/>
      <c r="I5039" s="6"/>
      <c r="J5039" s="6"/>
      <c r="K5039" s="6"/>
      <c r="L5039" s="6"/>
      <c r="M5039" s="6"/>
      <c r="N5039" s="6"/>
      <c r="O5039" s="6"/>
      <c r="P5039" s="6"/>
      <c r="Q5039" s="6"/>
      <c r="R5039" s="6"/>
      <c r="S5039" s="6"/>
      <c r="T5039" s="6"/>
      <c r="U5039" s="6"/>
      <c r="V5039" s="6"/>
      <c r="W5039" s="6"/>
      <c r="X5039" s="6"/>
      <c r="Y5039" s="6"/>
      <c r="Z5039" s="6"/>
      <c r="AA5039" s="6"/>
      <c r="AB5039" s="6"/>
      <c r="AC5039" s="6"/>
      <c r="AD5039" s="6"/>
      <c r="AE5039" s="6"/>
      <c r="AF5039" s="6"/>
      <c r="AG5039" s="6"/>
      <c r="AH5039" s="6"/>
      <c r="AI5039" s="6"/>
      <c r="AJ5039" s="6"/>
      <c r="AK5039" s="6"/>
      <c r="AL5039" s="6"/>
      <c r="AM5039" s="6"/>
    </row>
    <row r="5040">
      <c r="A5040" s="6"/>
      <c r="B5040" s="6"/>
      <c r="C5040" s="6"/>
      <c r="D5040" s="6"/>
      <c r="E5040" s="6"/>
      <c r="F5040" s="6"/>
      <c r="G5040" s="6"/>
      <c r="H5040" s="6"/>
      <c r="I5040" s="6"/>
      <c r="J5040" s="6"/>
      <c r="K5040" s="6"/>
      <c r="L5040" s="6"/>
      <c r="M5040" s="6"/>
      <c r="N5040" s="6"/>
      <c r="O5040" s="6"/>
      <c r="P5040" s="6"/>
      <c r="Q5040" s="6"/>
      <c r="R5040" s="6"/>
      <c r="S5040" s="6"/>
      <c r="T5040" s="6"/>
      <c r="U5040" s="6"/>
      <c r="V5040" s="6"/>
      <c r="W5040" s="6"/>
      <c r="X5040" s="6"/>
      <c r="Y5040" s="6"/>
      <c r="Z5040" s="6"/>
      <c r="AA5040" s="6"/>
      <c r="AB5040" s="6"/>
      <c r="AC5040" s="6"/>
      <c r="AD5040" s="6"/>
      <c r="AE5040" s="6"/>
      <c r="AF5040" s="6"/>
      <c r="AG5040" s="6"/>
      <c r="AH5040" s="6"/>
      <c r="AI5040" s="6"/>
      <c r="AJ5040" s="6"/>
      <c r="AK5040" s="6"/>
      <c r="AL5040" s="6"/>
      <c r="AM5040" s="6"/>
    </row>
    <row r="5041">
      <c r="A5041" s="6"/>
      <c r="B5041" s="6"/>
      <c r="C5041" s="6"/>
      <c r="D5041" s="6"/>
      <c r="E5041" s="6"/>
      <c r="F5041" s="6"/>
      <c r="G5041" s="6"/>
      <c r="H5041" s="6"/>
      <c r="I5041" s="6"/>
      <c r="J5041" s="6"/>
      <c r="K5041" s="6"/>
      <c r="L5041" s="6"/>
      <c r="M5041" s="6"/>
      <c r="N5041" s="6"/>
      <c r="O5041" s="6"/>
      <c r="P5041" s="6"/>
      <c r="Q5041" s="6"/>
      <c r="R5041" s="6"/>
      <c r="S5041" s="6"/>
      <c r="T5041" s="6"/>
      <c r="U5041" s="6"/>
      <c r="V5041" s="6"/>
      <c r="W5041" s="6"/>
      <c r="X5041" s="6"/>
      <c r="Y5041" s="6"/>
      <c r="Z5041" s="6"/>
      <c r="AA5041" s="6"/>
      <c r="AB5041" s="6"/>
      <c r="AC5041" s="6"/>
      <c r="AD5041" s="6"/>
      <c r="AE5041" s="6"/>
      <c r="AF5041" s="6"/>
      <c r="AG5041" s="6"/>
      <c r="AH5041" s="6"/>
      <c r="AI5041" s="6"/>
      <c r="AJ5041" s="6"/>
      <c r="AK5041" s="6"/>
      <c r="AL5041" s="6"/>
      <c r="AM5041" s="6"/>
    </row>
    <row r="5042">
      <c r="A5042" s="6"/>
      <c r="B5042" s="6"/>
      <c r="C5042" s="6"/>
      <c r="D5042" s="6"/>
      <c r="E5042" s="6"/>
      <c r="F5042" s="6"/>
      <c r="G5042" s="6"/>
      <c r="H5042" s="6"/>
      <c r="I5042" s="6"/>
      <c r="J5042" s="6"/>
      <c r="K5042" s="6"/>
      <c r="L5042" s="6"/>
      <c r="M5042" s="6"/>
      <c r="N5042" s="6"/>
      <c r="O5042" s="6"/>
      <c r="P5042" s="6"/>
      <c r="Q5042" s="6"/>
      <c r="R5042" s="6"/>
      <c r="S5042" s="6"/>
      <c r="T5042" s="6"/>
      <c r="U5042" s="6"/>
      <c r="V5042" s="6"/>
      <c r="W5042" s="6"/>
      <c r="X5042" s="6"/>
      <c r="Y5042" s="6"/>
      <c r="Z5042" s="6"/>
      <c r="AA5042" s="6"/>
      <c r="AB5042" s="6"/>
      <c r="AC5042" s="6"/>
      <c r="AD5042" s="6"/>
      <c r="AE5042" s="6"/>
      <c r="AF5042" s="6"/>
      <c r="AG5042" s="6"/>
      <c r="AH5042" s="6"/>
      <c r="AI5042" s="6"/>
      <c r="AJ5042" s="6"/>
      <c r="AK5042" s="6"/>
      <c r="AL5042" s="6"/>
      <c r="AM5042" s="6"/>
    </row>
    <row r="5043">
      <c r="A5043" s="6"/>
      <c r="B5043" s="6"/>
      <c r="C5043" s="6"/>
      <c r="D5043" s="6"/>
      <c r="E5043" s="6"/>
      <c r="F5043" s="6"/>
      <c r="G5043" s="6"/>
      <c r="H5043" s="6"/>
      <c r="I5043" s="6"/>
      <c r="J5043" s="6"/>
      <c r="K5043" s="6"/>
      <c r="L5043" s="6"/>
      <c r="M5043" s="6"/>
      <c r="N5043" s="6"/>
      <c r="O5043" s="6"/>
      <c r="P5043" s="6"/>
      <c r="Q5043" s="6"/>
      <c r="R5043" s="6"/>
      <c r="S5043" s="6"/>
      <c r="T5043" s="6"/>
      <c r="U5043" s="6"/>
      <c r="V5043" s="6"/>
      <c r="W5043" s="6"/>
      <c r="X5043" s="6"/>
      <c r="Y5043" s="6"/>
      <c r="Z5043" s="6"/>
      <c r="AA5043" s="6"/>
      <c r="AB5043" s="6"/>
      <c r="AC5043" s="6"/>
      <c r="AD5043" s="6"/>
      <c r="AE5043" s="6"/>
      <c r="AF5043" s="6"/>
      <c r="AG5043" s="6"/>
      <c r="AH5043" s="6"/>
      <c r="AI5043" s="6"/>
      <c r="AJ5043" s="6"/>
      <c r="AK5043" s="6"/>
      <c r="AL5043" s="6"/>
      <c r="AM5043" s="6"/>
    </row>
    <row r="5044">
      <c r="A5044" s="6"/>
      <c r="B5044" s="6"/>
      <c r="C5044" s="6"/>
      <c r="D5044" s="6"/>
      <c r="E5044" s="6"/>
      <c r="F5044" s="6"/>
      <c r="G5044" s="6"/>
      <c r="H5044" s="6"/>
      <c r="I5044" s="6"/>
      <c r="J5044" s="6"/>
      <c r="K5044" s="6"/>
      <c r="L5044" s="6"/>
      <c r="M5044" s="6"/>
      <c r="N5044" s="6"/>
      <c r="O5044" s="6"/>
      <c r="P5044" s="6"/>
      <c r="Q5044" s="6"/>
      <c r="R5044" s="6"/>
      <c r="S5044" s="6"/>
      <c r="T5044" s="6"/>
      <c r="U5044" s="6"/>
      <c r="V5044" s="6"/>
      <c r="W5044" s="6"/>
      <c r="X5044" s="6"/>
      <c r="Y5044" s="6"/>
      <c r="Z5044" s="6"/>
      <c r="AA5044" s="6"/>
      <c r="AB5044" s="6"/>
      <c r="AC5044" s="6"/>
      <c r="AD5044" s="6"/>
      <c r="AE5044" s="6"/>
      <c r="AF5044" s="6"/>
      <c r="AG5044" s="6"/>
      <c r="AH5044" s="6"/>
      <c r="AI5044" s="6"/>
      <c r="AJ5044" s="6"/>
      <c r="AK5044" s="6"/>
      <c r="AL5044" s="6"/>
      <c r="AM5044" s="6"/>
    </row>
    <row r="5045">
      <c r="A5045" s="6"/>
      <c r="B5045" s="6"/>
      <c r="C5045" s="6"/>
      <c r="D5045" s="6"/>
      <c r="E5045" s="6"/>
      <c r="F5045" s="6"/>
      <c r="G5045" s="6"/>
      <c r="H5045" s="6"/>
      <c r="I5045" s="6"/>
      <c r="J5045" s="6"/>
      <c r="K5045" s="6"/>
      <c r="L5045" s="6"/>
      <c r="M5045" s="6"/>
      <c r="N5045" s="6"/>
      <c r="O5045" s="6"/>
      <c r="P5045" s="6"/>
      <c r="Q5045" s="6"/>
      <c r="R5045" s="6"/>
      <c r="S5045" s="6"/>
      <c r="T5045" s="6"/>
      <c r="U5045" s="6"/>
      <c r="V5045" s="6"/>
      <c r="W5045" s="6"/>
      <c r="X5045" s="6"/>
      <c r="Y5045" s="6"/>
      <c r="Z5045" s="6"/>
      <c r="AA5045" s="6"/>
      <c r="AB5045" s="6"/>
      <c r="AC5045" s="6"/>
      <c r="AD5045" s="6"/>
      <c r="AE5045" s="6"/>
      <c r="AF5045" s="6"/>
      <c r="AG5045" s="6"/>
      <c r="AH5045" s="6"/>
      <c r="AI5045" s="6"/>
      <c r="AJ5045" s="6"/>
      <c r="AK5045" s="6"/>
      <c r="AL5045" s="6"/>
      <c r="AM5045" s="6"/>
    </row>
    <row r="5046">
      <c r="A5046" s="6"/>
      <c r="B5046" s="6"/>
      <c r="C5046" s="6"/>
      <c r="D5046" s="6"/>
      <c r="E5046" s="6"/>
      <c r="F5046" s="6"/>
      <c r="G5046" s="6"/>
      <c r="H5046" s="6"/>
      <c r="I5046" s="6"/>
      <c r="J5046" s="6"/>
      <c r="K5046" s="6"/>
      <c r="L5046" s="6"/>
      <c r="M5046" s="6"/>
      <c r="N5046" s="6"/>
      <c r="O5046" s="6"/>
      <c r="P5046" s="6"/>
      <c r="Q5046" s="6"/>
      <c r="R5046" s="6"/>
      <c r="S5046" s="6"/>
      <c r="T5046" s="6"/>
      <c r="U5046" s="6"/>
      <c r="V5046" s="6"/>
      <c r="W5046" s="6"/>
      <c r="X5046" s="6"/>
      <c r="Y5046" s="6"/>
      <c r="Z5046" s="6"/>
      <c r="AA5046" s="6"/>
      <c r="AB5046" s="6"/>
      <c r="AC5046" s="6"/>
      <c r="AD5046" s="6"/>
      <c r="AE5046" s="6"/>
      <c r="AF5046" s="6"/>
      <c r="AG5046" s="6"/>
      <c r="AH5046" s="6"/>
      <c r="AI5046" s="6"/>
      <c r="AJ5046" s="6"/>
      <c r="AK5046" s="6"/>
      <c r="AL5046" s="6"/>
      <c r="AM5046" s="6"/>
    </row>
    <row r="5047">
      <c r="A5047" s="6"/>
      <c r="B5047" s="6"/>
      <c r="C5047" s="6"/>
      <c r="D5047" s="6"/>
      <c r="E5047" s="6"/>
      <c r="F5047" s="6"/>
      <c r="G5047" s="6"/>
      <c r="H5047" s="6"/>
      <c r="I5047" s="6"/>
      <c r="J5047" s="6"/>
      <c r="K5047" s="6"/>
      <c r="L5047" s="6"/>
      <c r="M5047" s="6"/>
      <c r="N5047" s="6"/>
      <c r="O5047" s="6"/>
      <c r="P5047" s="6"/>
      <c r="Q5047" s="6"/>
      <c r="R5047" s="6"/>
      <c r="S5047" s="6"/>
      <c r="T5047" s="6"/>
      <c r="U5047" s="6"/>
      <c r="V5047" s="6"/>
      <c r="W5047" s="6"/>
      <c r="X5047" s="6"/>
      <c r="Y5047" s="6"/>
      <c r="Z5047" s="6"/>
      <c r="AA5047" s="6"/>
      <c r="AB5047" s="6"/>
      <c r="AC5047" s="6"/>
      <c r="AD5047" s="6"/>
      <c r="AE5047" s="6"/>
      <c r="AF5047" s="6"/>
      <c r="AG5047" s="6"/>
      <c r="AH5047" s="6"/>
      <c r="AI5047" s="6"/>
      <c r="AJ5047" s="6"/>
      <c r="AK5047" s="6"/>
      <c r="AL5047" s="6"/>
      <c r="AM5047" s="6"/>
    </row>
    <row r="5048">
      <c r="A5048" s="6"/>
      <c r="B5048" s="6"/>
      <c r="C5048" s="6"/>
      <c r="D5048" s="6"/>
      <c r="E5048" s="6"/>
      <c r="F5048" s="6"/>
      <c r="G5048" s="6"/>
      <c r="H5048" s="6"/>
      <c r="I5048" s="6"/>
      <c r="J5048" s="6"/>
      <c r="K5048" s="6"/>
      <c r="L5048" s="6"/>
      <c r="M5048" s="6"/>
      <c r="N5048" s="6"/>
      <c r="O5048" s="6"/>
      <c r="P5048" s="6"/>
      <c r="Q5048" s="6"/>
      <c r="R5048" s="6"/>
      <c r="S5048" s="6"/>
      <c r="T5048" s="6"/>
      <c r="U5048" s="6"/>
      <c r="V5048" s="6"/>
      <c r="W5048" s="6"/>
      <c r="X5048" s="6"/>
      <c r="Y5048" s="6"/>
      <c r="Z5048" s="6"/>
      <c r="AA5048" s="6"/>
      <c r="AB5048" s="6"/>
      <c r="AC5048" s="6"/>
      <c r="AD5048" s="6"/>
      <c r="AE5048" s="6"/>
      <c r="AF5048" s="6"/>
      <c r="AG5048" s="6"/>
      <c r="AH5048" s="6"/>
      <c r="AI5048" s="6"/>
      <c r="AJ5048" s="6"/>
      <c r="AK5048" s="6"/>
      <c r="AL5048" s="6"/>
      <c r="AM5048" s="6"/>
    </row>
    <row r="5049">
      <c r="A5049" s="6"/>
      <c r="B5049" s="6"/>
      <c r="C5049" s="6"/>
      <c r="D5049" s="6"/>
      <c r="E5049" s="6"/>
      <c r="F5049" s="6"/>
      <c r="G5049" s="6"/>
      <c r="H5049" s="6"/>
      <c r="I5049" s="6"/>
      <c r="J5049" s="6"/>
      <c r="K5049" s="6"/>
      <c r="L5049" s="6"/>
      <c r="M5049" s="6"/>
      <c r="N5049" s="6"/>
      <c r="O5049" s="6"/>
      <c r="P5049" s="6"/>
      <c r="Q5049" s="6"/>
      <c r="R5049" s="6"/>
      <c r="S5049" s="6"/>
      <c r="T5049" s="6"/>
      <c r="U5049" s="6"/>
      <c r="V5049" s="6"/>
      <c r="W5049" s="6"/>
      <c r="X5049" s="6"/>
      <c r="Y5049" s="6"/>
      <c r="Z5049" s="6"/>
      <c r="AA5049" s="6"/>
      <c r="AB5049" s="6"/>
      <c r="AC5049" s="6"/>
      <c r="AD5049" s="6"/>
      <c r="AE5049" s="6"/>
      <c r="AF5049" s="6"/>
      <c r="AG5049" s="6"/>
      <c r="AH5049" s="6"/>
      <c r="AI5049" s="6"/>
      <c r="AJ5049" s="6"/>
      <c r="AK5049" s="6"/>
      <c r="AL5049" s="6"/>
      <c r="AM5049" s="6"/>
    </row>
    <row r="5050">
      <c r="A5050" s="6"/>
      <c r="B5050" s="6"/>
      <c r="C5050" s="6"/>
      <c r="D5050" s="6"/>
      <c r="E5050" s="6"/>
      <c r="F5050" s="6"/>
      <c r="G5050" s="6"/>
      <c r="H5050" s="6"/>
      <c r="I5050" s="6"/>
      <c r="J5050" s="6"/>
      <c r="K5050" s="6"/>
      <c r="L5050" s="6"/>
      <c r="M5050" s="6"/>
      <c r="N5050" s="6"/>
      <c r="O5050" s="6"/>
      <c r="P5050" s="6"/>
      <c r="Q5050" s="6"/>
      <c r="R5050" s="6"/>
      <c r="S5050" s="6"/>
      <c r="T5050" s="6"/>
      <c r="U5050" s="6"/>
      <c r="V5050" s="6"/>
      <c r="W5050" s="6"/>
      <c r="X5050" s="6"/>
      <c r="Y5050" s="6"/>
      <c r="Z5050" s="6"/>
      <c r="AA5050" s="6"/>
      <c r="AB5050" s="6"/>
      <c r="AC5050" s="6"/>
      <c r="AD5050" s="6"/>
      <c r="AE5050" s="6"/>
      <c r="AF5050" s="6"/>
      <c r="AG5050" s="6"/>
      <c r="AH5050" s="6"/>
      <c r="AI5050" s="6"/>
      <c r="AJ5050" s="6"/>
      <c r="AK5050" s="6"/>
      <c r="AL5050" s="6"/>
      <c r="AM5050" s="6"/>
    </row>
    <row r="5051">
      <c r="A5051" s="6"/>
      <c r="B5051" s="6"/>
      <c r="C5051" s="6"/>
      <c r="D5051" s="6"/>
      <c r="E5051" s="6"/>
      <c r="F5051" s="6"/>
      <c r="G5051" s="6"/>
      <c r="H5051" s="6"/>
      <c r="I5051" s="6"/>
      <c r="J5051" s="6"/>
      <c r="K5051" s="6"/>
      <c r="L5051" s="6"/>
      <c r="M5051" s="6"/>
      <c r="N5051" s="6"/>
      <c r="O5051" s="6"/>
      <c r="P5051" s="6"/>
      <c r="Q5051" s="6"/>
      <c r="R5051" s="6"/>
      <c r="S5051" s="6"/>
      <c r="T5051" s="6"/>
      <c r="U5051" s="6"/>
      <c r="V5051" s="6"/>
      <c r="W5051" s="6"/>
      <c r="X5051" s="6"/>
      <c r="Y5051" s="6"/>
      <c r="Z5051" s="6"/>
      <c r="AA5051" s="6"/>
      <c r="AB5051" s="6"/>
      <c r="AC5051" s="6"/>
      <c r="AD5051" s="6"/>
      <c r="AE5051" s="6"/>
      <c r="AF5051" s="6"/>
      <c r="AG5051" s="6"/>
      <c r="AH5051" s="6"/>
      <c r="AI5051" s="6"/>
      <c r="AJ5051" s="6"/>
      <c r="AK5051" s="6"/>
      <c r="AL5051" s="6"/>
      <c r="AM5051" s="6"/>
    </row>
    <row r="5052">
      <c r="A5052" s="6"/>
      <c r="B5052" s="6"/>
      <c r="C5052" s="6"/>
      <c r="D5052" s="6"/>
      <c r="E5052" s="6"/>
      <c r="F5052" s="6"/>
      <c r="G5052" s="6"/>
      <c r="H5052" s="6"/>
      <c r="I5052" s="6"/>
      <c r="J5052" s="6"/>
      <c r="K5052" s="6"/>
      <c r="L5052" s="6"/>
      <c r="M5052" s="6"/>
      <c r="N5052" s="6"/>
      <c r="O5052" s="6"/>
      <c r="P5052" s="6"/>
      <c r="Q5052" s="6"/>
      <c r="R5052" s="6"/>
      <c r="S5052" s="6"/>
      <c r="T5052" s="6"/>
      <c r="U5052" s="6"/>
      <c r="V5052" s="6"/>
      <c r="W5052" s="6"/>
      <c r="X5052" s="6"/>
      <c r="Y5052" s="6"/>
      <c r="Z5052" s="6"/>
      <c r="AA5052" s="6"/>
      <c r="AB5052" s="6"/>
      <c r="AC5052" s="6"/>
      <c r="AD5052" s="6"/>
      <c r="AE5052" s="6"/>
      <c r="AF5052" s="6"/>
      <c r="AG5052" s="6"/>
      <c r="AH5052" s="6"/>
      <c r="AI5052" s="6"/>
      <c r="AJ5052" s="6"/>
      <c r="AK5052" s="6"/>
      <c r="AL5052" s="6"/>
      <c r="AM5052" s="6"/>
    </row>
    <row r="5053">
      <c r="A5053" s="6"/>
      <c r="B5053" s="6"/>
      <c r="C5053" s="6"/>
      <c r="D5053" s="6"/>
      <c r="E5053" s="6"/>
      <c r="F5053" s="6"/>
      <c r="G5053" s="6"/>
      <c r="H5053" s="6"/>
      <c r="I5053" s="6"/>
      <c r="J5053" s="6"/>
      <c r="K5053" s="6"/>
      <c r="L5053" s="6"/>
      <c r="M5053" s="6"/>
      <c r="N5053" s="6"/>
      <c r="O5053" s="6"/>
      <c r="P5053" s="6"/>
      <c r="Q5053" s="6"/>
      <c r="R5053" s="6"/>
      <c r="S5053" s="6"/>
      <c r="T5053" s="6"/>
      <c r="U5053" s="6"/>
      <c r="V5053" s="6"/>
      <c r="W5053" s="6"/>
      <c r="X5053" s="6"/>
      <c r="Y5053" s="6"/>
      <c r="Z5053" s="6"/>
      <c r="AA5053" s="6"/>
      <c r="AB5053" s="6"/>
      <c r="AC5053" s="6"/>
      <c r="AD5053" s="6"/>
      <c r="AE5053" s="6"/>
      <c r="AF5053" s="6"/>
      <c r="AG5053" s="6"/>
      <c r="AH5053" s="6"/>
      <c r="AI5053" s="6"/>
      <c r="AJ5053" s="6"/>
      <c r="AK5053" s="6"/>
      <c r="AL5053" s="6"/>
      <c r="AM5053" s="6"/>
    </row>
    <row r="5054">
      <c r="A5054" s="6"/>
      <c r="B5054" s="6"/>
      <c r="C5054" s="6"/>
      <c r="D5054" s="6"/>
      <c r="E5054" s="6"/>
      <c r="F5054" s="6"/>
      <c r="G5054" s="6"/>
      <c r="H5054" s="6"/>
      <c r="I5054" s="6"/>
      <c r="J5054" s="6"/>
      <c r="K5054" s="6"/>
      <c r="L5054" s="6"/>
      <c r="M5054" s="6"/>
      <c r="N5054" s="6"/>
      <c r="O5054" s="6"/>
      <c r="P5054" s="6"/>
      <c r="Q5054" s="6"/>
      <c r="R5054" s="6"/>
      <c r="S5054" s="6"/>
      <c r="T5054" s="6"/>
      <c r="U5054" s="6"/>
      <c r="V5054" s="6"/>
      <c r="W5054" s="6"/>
      <c r="X5054" s="6"/>
      <c r="Y5054" s="6"/>
      <c r="Z5054" s="6"/>
      <c r="AA5054" s="6"/>
      <c r="AB5054" s="6"/>
      <c r="AC5054" s="6"/>
      <c r="AD5054" s="6"/>
      <c r="AE5054" s="6"/>
      <c r="AF5054" s="6"/>
      <c r="AG5054" s="6"/>
      <c r="AH5054" s="6"/>
      <c r="AI5054" s="6"/>
      <c r="AJ5054" s="6"/>
      <c r="AK5054" s="6"/>
      <c r="AL5054" s="6"/>
      <c r="AM5054" s="6"/>
    </row>
    <row r="5055">
      <c r="A5055" s="6"/>
      <c r="B5055" s="6"/>
      <c r="C5055" s="6"/>
      <c r="D5055" s="6"/>
      <c r="E5055" s="6"/>
      <c r="F5055" s="6"/>
      <c r="G5055" s="6"/>
      <c r="H5055" s="6"/>
      <c r="I5055" s="6"/>
      <c r="J5055" s="6"/>
      <c r="K5055" s="6"/>
      <c r="L5055" s="6"/>
      <c r="M5055" s="6"/>
      <c r="N5055" s="6"/>
      <c r="O5055" s="6"/>
      <c r="P5055" s="6"/>
      <c r="Q5055" s="6"/>
      <c r="R5055" s="6"/>
      <c r="S5055" s="6"/>
      <c r="T5055" s="6"/>
      <c r="U5055" s="6"/>
      <c r="V5055" s="6"/>
      <c r="W5055" s="6"/>
      <c r="X5055" s="6"/>
      <c r="Y5055" s="6"/>
      <c r="Z5055" s="6"/>
      <c r="AA5055" s="6"/>
      <c r="AB5055" s="6"/>
      <c r="AC5055" s="6"/>
      <c r="AD5055" s="6"/>
      <c r="AE5055" s="6"/>
      <c r="AF5055" s="6"/>
      <c r="AG5055" s="6"/>
      <c r="AH5055" s="6"/>
      <c r="AI5055" s="6"/>
      <c r="AJ5055" s="6"/>
      <c r="AK5055" s="6"/>
      <c r="AL5055" s="6"/>
      <c r="AM5055" s="6"/>
    </row>
    <row r="5056">
      <c r="A5056" s="6"/>
      <c r="B5056" s="6"/>
      <c r="C5056" s="6"/>
      <c r="D5056" s="6"/>
      <c r="E5056" s="6"/>
      <c r="F5056" s="6"/>
      <c r="G5056" s="6"/>
      <c r="H5056" s="6"/>
      <c r="I5056" s="6"/>
      <c r="J5056" s="6"/>
      <c r="K5056" s="6"/>
      <c r="L5056" s="6"/>
      <c r="M5056" s="6"/>
      <c r="N5056" s="6"/>
      <c r="O5056" s="6"/>
      <c r="P5056" s="6"/>
      <c r="Q5056" s="6"/>
      <c r="R5056" s="6"/>
      <c r="S5056" s="6"/>
      <c r="T5056" s="6"/>
      <c r="U5056" s="6"/>
      <c r="V5056" s="6"/>
      <c r="W5056" s="6"/>
      <c r="X5056" s="6"/>
      <c r="Y5056" s="6"/>
      <c r="Z5056" s="6"/>
      <c r="AA5056" s="6"/>
      <c r="AB5056" s="6"/>
      <c r="AC5056" s="6"/>
      <c r="AD5056" s="6"/>
      <c r="AE5056" s="6"/>
      <c r="AF5056" s="6"/>
      <c r="AG5056" s="6"/>
      <c r="AH5056" s="6"/>
      <c r="AI5056" s="6"/>
      <c r="AJ5056" s="6"/>
      <c r="AK5056" s="6"/>
      <c r="AL5056" s="6"/>
      <c r="AM5056" s="6"/>
    </row>
    <row r="5057">
      <c r="A5057" s="6"/>
      <c r="B5057" s="6"/>
      <c r="C5057" s="6"/>
      <c r="D5057" s="6"/>
      <c r="E5057" s="6"/>
      <c r="F5057" s="6"/>
      <c r="G5057" s="6"/>
      <c r="H5057" s="6"/>
      <c r="I5057" s="6"/>
      <c r="J5057" s="6"/>
      <c r="K5057" s="6"/>
      <c r="L5057" s="6"/>
      <c r="M5057" s="6"/>
      <c r="N5057" s="6"/>
      <c r="O5057" s="6"/>
      <c r="P5057" s="6"/>
      <c r="Q5057" s="6"/>
      <c r="R5057" s="6"/>
      <c r="S5057" s="6"/>
      <c r="T5057" s="6"/>
      <c r="U5057" s="6"/>
      <c r="V5057" s="6"/>
      <c r="W5057" s="6"/>
      <c r="X5057" s="6"/>
      <c r="Y5057" s="6"/>
      <c r="Z5057" s="6"/>
      <c r="AA5057" s="6"/>
      <c r="AB5057" s="6"/>
      <c r="AC5057" s="6"/>
      <c r="AD5057" s="6"/>
      <c r="AE5057" s="6"/>
      <c r="AF5057" s="6"/>
      <c r="AG5057" s="6"/>
      <c r="AH5057" s="6"/>
      <c r="AI5057" s="6"/>
      <c r="AJ5057" s="6"/>
      <c r="AK5057" s="6"/>
      <c r="AL5057" s="6"/>
      <c r="AM5057" s="6"/>
    </row>
    <row r="5058">
      <c r="A5058" s="6"/>
      <c r="B5058" s="6"/>
      <c r="C5058" s="6"/>
      <c r="D5058" s="6"/>
      <c r="E5058" s="6"/>
      <c r="F5058" s="6"/>
      <c r="G5058" s="6"/>
      <c r="H5058" s="6"/>
      <c r="I5058" s="6"/>
      <c r="J5058" s="6"/>
      <c r="K5058" s="6"/>
      <c r="L5058" s="6"/>
      <c r="M5058" s="6"/>
      <c r="N5058" s="6"/>
      <c r="O5058" s="6"/>
      <c r="P5058" s="6"/>
      <c r="Q5058" s="6"/>
      <c r="R5058" s="6"/>
      <c r="S5058" s="6"/>
      <c r="T5058" s="6"/>
      <c r="U5058" s="6"/>
      <c r="V5058" s="6"/>
      <c r="W5058" s="6"/>
      <c r="X5058" s="6"/>
      <c r="Y5058" s="6"/>
      <c r="Z5058" s="6"/>
      <c r="AA5058" s="6"/>
      <c r="AB5058" s="6"/>
      <c r="AC5058" s="6"/>
      <c r="AD5058" s="6"/>
      <c r="AE5058" s="6"/>
      <c r="AF5058" s="6"/>
      <c r="AG5058" s="6"/>
      <c r="AH5058" s="6"/>
      <c r="AI5058" s="6"/>
      <c r="AJ5058" s="6"/>
      <c r="AK5058" s="6"/>
      <c r="AL5058" s="6"/>
      <c r="AM5058" s="6"/>
    </row>
    <row r="5059">
      <c r="A5059" s="6"/>
      <c r="B5059" s="6"/>
      <c r="C5059" s="6"/>
      <c r="D5059" s="6"/>
      <c r="E5059" s="6"/>
      <c r="F5059" s="6"/>
      <c r="G5059" s="6"/>
      <c r="H5059" s="6"/>
      <c r="I5059" s="6"/>
      <c r="J5059" s="6"/>
      <c r="K5059" s="6"/>
      <c r="L5059" s="6"/>
      <c r="M5059" s="6"/>
      <c r="N5059" s="6"/>
      <c r="O5059" s="6"/>
      <c r="P5059" s="6"/>
      <c r="Q5059" s="6"/>
      <c r="R5059" s="6"/>
      <c r="S5059" s="6"/>
      <c r="T5059" s="6"/>
      <c r="U5059" s="6"/>
      <c r="V5059" s="6"/>
      <c r="W5059" s="6"/>
      <c r="X5059" s="6"/>
      <c r="Y5059" s="6"/>
      <c r="Z5059" s="6"/>
      <c r="AA5059" s="6"/>
      <c r="AB5059" s="6"/>
      <c r="AC5059" s="6"/>
      <c r="AD5059" s="6"/>
      <c r="AE5059" s="6"/>
      <c r="AF5059" s="6"/>
      <c r="AG5059" s="6"/>
      <c r="AH5059" s="6"/>
      <c r="AI5059" s="6"/>
      <c r="AJ5059" s="6"/>
      <c r="AK5059" s="6"/>
      <c r="AL5059" s="6"/>
      <c r="AM5059" s="6"/>
    </row>
    <row r="5060">
      <c r="A5060" s="6"/>
      <c r="B5060" s="6"/>
      <c r="C5060" s="6"/>
      <c r="D5060" s="6"/>
      <c r="E5060" s="6"/>
      <c r="F5060" s="6"/>
      <c r="G5060" s="6"/>
      <c r="H5060" s="6"/>
      <c r="I5060" s="6"/>
      <c r="J5060" s="6"/>
      <c r="K5060" s="6"/>
      <c r="L5060" s="6"/>
      <c r="M5060" s="6"/>
      <c r="N5060" s="6"/>
      <c r="O5060" s="6"/>
      <c r="P5060" s="6"/>
      <c r="Q5060" s="6"/>
      <c r="R5060" s="6"/>
      <c r="S5060" s="6"/>
      <c r="T5060" s="6"/>
      <c r="U5060" s="6"/>
      <c r="V5060" s="6"/>
      <c r="W5060" s="6"/>
      <c r="X5060" s="6"/>
      <c r="Y5060" s="6"/>
      <c r="Z5060" s="6"/>
      <c r="AA5060" s="6"/>
      <c r="AB5060" s="6"/>
      <c r="AC5060" s="6"/>
      <c r="AD5060" s="6"/>
      <c r="AE5060" s="6"/>
      <c r="AF5060" s="6"/>
      <c r="AG5060" s="6"/>
      <c r="AH5060" s="6"/>
      <c r="AI5060" s="6"/>
      <c r="AJ5060" s="6"/>
      <c r="AK5060" s="6"/>
      <c r="AL5060" s="6"/>
      <c r="AM5060" s="6"/>
    </row>
    <row r="5061">
      <c r="A5061" s="6"/>
      <c r="B5061" s="6"/>
      <c r="C5061" s="6"/>
      <c r="D5061" s="6"/>
      <c r="E5061" s="6"/>
      <c r="F5061" s="6"/>
      <c r="G5061" s="6"/>
      <c r="H5061" s="6"/>
      <c r="I5061" s="6"/>
      <c r="J5061" s="6"/>
      <c r="K5061" s="6"/>
      <c r="L5061" s="6"/>
      <c r="M5061" s="6"/>
      <c r="N5061" s="6"/>
      <c r="O5061" s="6"/>
      <c r="P5061" s="6"/>
      <c r="Q5061" s="6"/>
      <c r="R5061" s="6"/>
      <c r="S5061" s="6"/>
      <c r="T5061" s="6"/>
      <c r="U5061" s="6"/>
      <c r="V5061" s="6"/>
      <c r="W5061" s="6"/>
      <c r="X5061" s="6"/>
      <c r="Y5061" s="6"/>
      <c r="Z5061" s="6"/>
      <c r="AA5061" s="6"/>
      <c r="AB5061" s="6"/>
      <c r="AC5061" s="6"/>
      <c r="AD5061" s="6"/>
      <c r="AE5061" s="6"/>
      <c r="AF5061" s="6"/>
      <c r="AG5061" s="6"/>
      <c r="AH5061" s="6"/>
      <c r="AI5061" s="6"/>
      <c r="AJ5061" s="6"/>
      <c r="AK5061" s="6"/>
      <c r="AL5061" s="6"/>
      <c r="AM5061" s="6"/>
    </row>
    <row r="5062">
      <c r="A5062" s="6"/>
      <c r="B5062" s="6"/>
      <c r="C5062" s="6"/>
      <c r="D5062" s="6"/>
      <c r="E5062" s="6"/>
      <c r="F5062" s="6"/>
      <c r="G5062" s="6"/>
      <c r="H5062" s="6"/>
      <c r="I5062" s="6"/>
      <c r="J5062" s="6"/>
      <c r="K5062" s="6"/>
      <c r="L5062" s="6"/>
      <c r="M5062" s="6"/>
      <c r="N5062" s="6"/>
      <c r="O5062" s="6"/>
      <c r="P5062" s="6"/>
      <c r="Q5062" s="6"/>
      <c r="R5062" s="6"/>
      <c r="S5062" s="6"/>
      <c r="T5062" s="6"/>
      <c r="U5062" s="6"/>
      <c r="V5062" s="6"/>
      <c r="W5062" s="6"/>
      <c r="X5062" s="6"/>
      <c r="Y5062" s="6"/>
      <c r="Z5062" s="6"/>
      <c r="AA5062" s="6"/>
      <c r="AB5062" s="6"/>
      <c r="AC5062" s="6"/>
      <c r="AD5062" s="6"/>
      <c r="AE5062" s="6"/>
      <c r="AF5062" s="6"/>
      <c r="AG5062" s="6"/>
      <c r="AH5062" s="6"/>
      <c r="AI5062" s="6"/>
      <c r="AJ5062" s="6"/>
      <c r="AK5062" s="6"/>
      <c r="AL5062" s="6"/>
      <c r="AM5062" s="6"/>
    </row>
    <row r="5063">
      <c r="A5063" s="6"/>
      <c r="B5063" s="6"/>
      <c r="C5063" s="6"/>
      <c r="D5063" s="6"/>
      <c r="E5063" s="6"/>
      <c r="F5063" s="6"/>
      <c r="G5063" s="6"/>
      <c r="H5063" s="6"/>
      <c r="I5063" s="6"/>
      <c r="J5063" s="6"/>
      <c r="K5063" s="6"/>
      <c r="L5063" s="6"/>
      <c r="M5063" s="6"/>
      <c r="N5063" s="6"/>
      <c r="O5063" s="6"/>
      <c r="P5063" s="6"/>
      <c r="Q5063" s="6"/>
      <c r="R5063" s="6"/>
      <c r="S5063" s="6"/>
      <c r="T5063" s="6"/>
      <c r="U5063" s="6"/>
      <c r="V5063" s="6"/>
      <c r="W5063" s="6"/>
      <c r="X5063" s="6"/>
      <c r="Y5063" s="6"/>
      <c r="Z5063" s="6"/>
      <c r="AA5063" s="6"/>
      <c r="AB5063" s="6"/>
      <c r="AC5063" s="6"/>
      <c r="AD5063" s="6"/>
      <c r="AE5063" s="6"/>
      <c r="AF5063" s="6"/>
      <c r="AG5063" s="6"/>
      <c r="AH5063" s="6"/>
      <c r="AI5063" s="6"/>
      <c r="AJ5063" s="6"/>
      <c r="AK5063" s="6"/>
      <c r="AL5063" s="6"/>
      <c r="AM5063" s="6"/>
    </row>
    <row r="5064">
      <c r="A5064" s="6"/>
      <c r="B5064" s="6"/>
      <c r="C5064" s="6"/>
      <c r="D5064" s="6"/>
      <c r="E5064" s="6"/>
      <c r="F5064" s="6"/>
      <c r="G5064" s="6"/>
      <c r="H5064" s="6"/>
      <c r="I5064" s="6"/>
      <c r="J5064" s="6"/>
      <c r="K5064" s="6"/>
      <c r="L5064" s="6"/>
      <c r="M5064" s="6"/>
      <c r="N5064" s="6"/>
      <c r="O5064" s="6"/>
      <c r="P5064" s="6"/>
      <c r="Q5064" s="6"/>
      <c r="R5064" s="6"/>
      <c r="S5064" s="6"/>
      <c r="T5064" s="6"/>
      <c r="U5064" s="6"/>
      <c r="V5064" s="6"/>
      <c r="W5064" s="6"/>
      <c r="X5064" s="6"/>
      <c r="Y5064" s="6"/>
      <c r="Z5064" s="6"/>
      <c r="AA5064" s="6"/>
      <c r="AB5064" s="6"/>
      <c r="AC5064" s="6"/>
      <c r="AD5064" s="6"/>
      <c r="AE5064" s="6"/>
      <c r="AF5064" s="6"/>
      <c r="AG5064" s="6"/>
      <c r="AH5064" s="6"/>
      <c r="AI5064" s="6"/>
      <c r="AJ5064" s="6"/>
      <c r="AK5064" s="6"/>
      <c r="AL5064" s="6"/>
      <c r="AM5064" s="6"/>
    </row>
    <row r="5065">
      <c r="A5065" s="6"/>
      <c r="B5065" s="6"/>
      <c r="C5065" s="6"/>
      <c r="D5065" s="6"/>
      <c r="E5065" s="6"/>
      <c r="F5065" s="6"/>
      <c r="G5065" s="6"/>
      <c r="H5065" s="6"/>
      <c r="I5065" s="6"/>
      <c r="J5065" s="6"/>
      <c r="K5065" s="6"/>
      <c r="L5065" s="6"/>
      <c r="M5065" s="6"/>
      <c r="N5065" s="6"/>
      <c r="O5065" s="6"/>
      <c r="P5065" s="6"/>
      <c r="Q5065" s="6"/>
      <c r="R5065" s="6"/>
      <c r="S5065" s="6"/>
      <c r="T5065" s="6"/>
      <c r="U5065" s="6"/>
      <c r="V5065" s="6"/>
      <c r="W5065" s="6"/>
      <c r="X5065" s="6"/>
      <c r="Y5065" s="6"/>
      <c r="Z5065" s="6"/>
      <c r="AA5065" s="6"/>
      <c r="AB5065" s="6"/>
      <c r="AC5065" s="6"/>
      <c r="AD5065" s="6"/>
      <c r="AE5065" s="6"/>
      <c r="AF5065" s="6"/>
      <c r="AG5065" s="6"/>
      <c r="AH5065" s="6"/>
      <c r="AI5065" s="6"/>
      <c r="AJ5065" s="6"/>
      <c r="AK5065" s="6"/>
      <c r="AL5065" s="6"/>
      <c r="AM5065" s="6"/>
    </row>
    <row r="5066">
      <c r="A5066" s="6"/>
      <c r="B5066" s="6"/>
      <c r="C5066" s="6"/>
      <c r="D5066" s="6"/>
      <c r="E5066" s="6"/>
      <c r="F5066" s="6"/>
      <c r="G5066" s="6"/>
      <c r="H5066" s="6"/>
      <c r="I5066" s="6"/>
      <c r="J5066" s="6"/>
      <c r="K5066" s="6"/>
      <c r="L5066" s="6"/>
      <c r="M5066" s="6"/>
      <c r="N5066" s="6"/>
      <c r="O5066" s="6"/>
      <c r="P5066" s="6"/>
      <c r="Q5066" s="6"/>
      <c r="R5066" s="6"/>
      <c r="S5066" s="6"/>
      <c r="T5066" s="6"/>
      <c r="U5066" s="6"/>
      <c r="V5066" s="6"/>
      <c r="W5066" s="6"/>
      <c r="X5066" s="6"/>
      <c r="Y5066" s="6"/>
      <c r="Z5066" s="6"/>
      <c r="AA5066" s="6"/>
      <c r="AB5066" s="6"/>
      <c r="AC5066" s="6"/>
      <c r="AD5066" s="6"/>
      <c r="AE5066" s="6"/>
      <c r="AF5066" s="6"/>
      <c r="AG5066" s="6"/>
      <c r="AH5066" s="6"/>
      <c r="AI5066" s="6"/>
      <c r="AJ5066" s="6"/>
      <c r="AK5066" s="6"/>
      <c r="AL5066" s="6"/>
      <c r="AM5066" s="6"/>
    </row>
    <row r="5067">
      <c r="A5067" s="6"/>
      <c r="B5067" s="6"/>
      <c r="C5067" s="6"/>
      <c r="D5067" s="6"/>
      <c r="E5067" s="6"/>
      <c r="F5067" s="6"/>
      <c r="G5067" s="6"/>
      <c r="H5067" s="6"/>
      <c r="I5067" s="6"/>
      <c r="J5067" s="6"/>
      <c r="K5067" s="6"/>
      <c r="L5067" s="6"/>
      <c r="M5067" s="6"/>
      <c r="N5067" s="6"/>
      <c r="O5067" s="6"/>
      <c r="P5067" s="6"/>
      <c r="Q5067" s="6"/>
      <c r="R5067" s="6"/>
      <c r="S5067" s="6"/>
      <c r="T5067" s="6"/>
      <c r="U5067" s="6"/>
      <c r="V5067" s="6"/>
      <c r="W5067" s="6"/>
      <c r="X5067" s="6"/>
      <c r="Y5067" s="6"/>
      <c r="Z5067" s="6"/>
      <c r="AA5067" s="6"/>
      <c r="AB5067" s="6"/>
      <c r="AC5067" s="6"/>
      <c r="AD5067" s="6"/>
      <c r="AE5067" s="6"/>
      <c r="AF5067" s="6"/>
      <c r="AG5067" s="6"/>
      <c r="AH5067" s="6"/>
      <c r="AI5067" s="6"/>
      <c r="AJ5067" s="6"/>
      <c r="AK5067" s="6"/>
      <c r="AL5067" s="6"/>
      <c r="AM5067" s="6"/>
    </row>
    <row r="5068">
      <c r="A5068" s="6"/>
      <c r="B5068" s="6"/>
      <c r="C5068" s="6"/>
      <c r="D5068" s="6"/>
      <c r="E5068" s="6"/>
      <c r="F5068" s="6"/>
      <c r="G5068" s="6"/>
      <c r="H5068" s="6"/>
      <c r="I5068" s="6"/>
      <c r="J5068" s="6"/>
      <c r="K5068" s="6"/>
      <c r="L5068" s="6"/>
      <c r="M5068" s="6"/>
      <c r="N5068" s="6"/>
      <c r="O5068" s="6"/>
      <c r="P5068" s="6"/>
      <c r="Q5068" s="6"/>
      <c r="R5068" s="6"/>
      <c r="S5068" s="6"/>
      <c r="T5068" s="6"/>
      <c r="U5068" s="6"/>
      <c r="V5068" s="6"/>
      <c r="W5068" s="6"/>
      <c r="X5068" s="6"/>
      <c r="Y5068" s="6"/>
      <c r="Z5068" s="6"/>
      <c r="AA5068" s="6"/>
      <c r="AB5068" s="6"/>
      <c r="AC5068" s="6"/>
      <c r="AD5068" s="6"/>
      <c r="AE5068" s="6"/>
      <c r="AF5068" s="6"/>
      <c r="AG5068" s="6"/>
      <c r="AH5068" s="6"/>
      <c r="AI5068" s="6"/>
      <c r="AJ5068" s="6"/>
      <c r="AK5068" s="6"/>
      <c r="AL5068" s="6"/>
      <c r="AM5068" s="6"/>
    </row>
    <row r="5069">
      <c r="A5069" s="6"/>
      <c r="B5069" s="6"/>
      <c r="C5069" s="6"/>
      <c r="D5069" s="6"/>
      <c r="E5069" s="6"/>
      <c r="F5069" s="6"/>
      <c r="G5069" s="6"/>
      <c r="H5069" s="6"/>
      <c r="I5069" s="6"/>
      <c r="J5069" s="6"/>
      <c r="K5069" s="6"/>
      <c r="L5069" s="6"/>
      <c r="M5069" s="6"/>
      <c r="N5069" s="6"/>
      <c r="O5069" s="6"/>
      <c r="P5069" s="6"/>
      <c r="Q5069" s="6"/>
      <c r="R5069" s="6"/>
      <c r="S5069" s="6"/>
      <c r="T5069" s="6"/>
      <c r="U5069" s="6"/>
      <c r="V5069" s="6"/>
      <c r="W5069" s="6"/>
      <c r="X5069" s="6"/>
      <c r="Y5069" s="6"/>
      <c r="Z5069" s="6"/>
      <c r="AA5069" s="6"/>
      <c r="AB5069" s="6"/>
      <c r="AC5069" s="6"/>
      <c r="AD5069" s="6"/>
      <c r="AE5069" s="6"/>
      <c r="AF5069" s="6"/>
      <c r="AG5069" s="6"/>
      <c r="AH5069" s="6"/>
      <c r="AI5069" s="6"/>
      <c r="AJ5069" s="6"/>
      <c r="AK5069" s="6"/>
      <c r="AL5069" s="6"/>
      <c r="AM5069" s="6"/>
    </row>
    <row r="5070">
      <c r="A5070" s="6"/>
      <c r="B5070" s="6"/>
      <c r="C5070" s="6"/>
      <c r="D5070" s="6"/>
      <c r="E5070" s="6"/>
      <c r="F5070" s="6"/>
      <c r="G5070" s="6"/>
      <c r="H5070" s="6"/>
      <c r="I5070" s="6"/>
      <c r="J5070" s="6"/>
      <c r="K5070" s="6"/>
      <c r="L5070" s="6"/>
      <c r="M5070" s="6"/>
      <c r="N5070" s="6"/>
      <c r="O5070" s="6"/>
      <c r="P5070" s="6"/>
      <c r="Q5070" s="6"/>
      <c r="R5070" s="6"/>
      <c r="S5070" s="6"/>
      <c r="T5070" s="6"/>
      <c r="U5070" s="6"/>
      <c r="V5070" s="6"/>
      <c r="W5070" s="6"/>
      <c r="X5070" s="6"/>
      <c r="Y5070" s="6"/>
      <c r="Z5070" s="6"/>
      <c r="AA5070" s="6"/>
      <c r="AB5070" s="6"/>
      <c r="AC5070" s="6"/>
      <c r="AD5070" s="6"/>
      <c r="AE5070" s="6"/>
      <c r="AF5070" s="6"/>
      <c r="AG5070" s="6"/>
      <c r="AH5070" s="6"/>
      <c r="AI5070" s="6"/>
      <c r="AJ5070" s="6"/>
      <c r="AK5070" s="6"/>
      <c r="AL5070" s="6"/>
      <c r="AM5070" s="6"/>
    </row>
    <row r="5071">
      <c r="A5071" s="6"/>
      <c r="B5071" s="6"/>
      <c r="C5071" s="6"/>
      <c r="D5071" s="6"/>
      <c r="E5071" s="6"/>
      <c r="F5071" s="6"/>
      <c r="G5071" s="6"/>
      <c r="H5071" s="6"/>
      <c r="I5071" s="6"/>
      <c r="J5071" s="6"/>
      <c r="K5071" s="6"/>
      <c r="L5071" s="6"/>
      <c r="M5071" s="6"/>
      <c r="N5071" s="6"/>
      <c r="O5071" s="6"/>
      <c r="P5071" s="6"/>
      <c r="Q5071" s="6"/>
      <c r="R5071" s="6"/>
      <c r="S5071" s="6"/>
      <c r="T5071" s="6"/>
      <c r="U5071" s="6"/>
      <c r="V5071" s="6"/>
      <c r="W5071" s="6"/>
      <c r="X5071" s="6"/>
      <c r="Y5071" s="6"/>
      <c r="Z5071" s="6"/>
      <c r="AA5071" s="6"/>
      <c r="AB5071" s="6"/>
      <c r="AC5071" s="6"/>
      <c r="AD5071" s="6"/>
      <c r="AE5071" s="6"/>
      <c r="AF5071" s="6"/>
      <c r="AG5071" s="6"/>
      <c r="AH5071" s="6"/>
      <c r="AI5071" s="6"/>
      <c r="AJ5071" s="6"/>
      <c r="AK5071" s="6"/>
      <c r="AL5071" s="6"/>
      <c r="AM5071" s="6"/>
    </row>
    <row r="5072">
      <c r="A5072" s="6"/>
      <c r="B5072" s="6"/>
      <c r="C5072" s="6"/>
      <c r="D5072" s="6"/>
      <c r="E5072" s="6"/>
      <c r="F5072" s="6"/>
      <c r="G5072" s="6"/>
      <c r="H5072" s="6"/>
      <c r="I5072" s="6"/>
      <c r="J5072" s="6"/>
      <c r="K5072" s="6"/>
      <c r="L5072" s="6"/>
      <c r="M5072" s="6"/>
      <c r="N5072" s="6"/>
      <c r="O5072" s="6"/>
      <c r="P5072" s="6"/>
      <c r="Q5072" s="6"/>
      <c r="R5072" s="6"/>
      <c r="S5072" s="6"/>
      <c r="T5072" s="6"/>
      <c r="U5072" s="6"/>
      <c r="V5072" s="6"/>
      <c r="W5072" s="6"/>
      <c r="X5072" s="6"/>
      <c r="Y5072" s="6"/>
      <c r="Z5072" s="6"/>
      <c r="AA5072" s="6"/>
      <c r="AB5072" s="6"/>
      <c r="AC5072" s="6"/>
      <c r="AD5072" s="6"/>
      <c r="AE5072" s="6"/>
      <c r="AF5072" s="6"/>
      <c r="AG5072" s="6"/>
      <c r="AH5072" s="6"/>
      <c r="AI5072" s="6"/>
      <c r="AJ5072" s="6"/>
      <c r="AK5072" s="6"/>
      <c r="AL5072" s="6"/>
      <c r="AM5072" s="6"/>
    </row>
    <row r="5073">
      <c r="A5073" s="6"/>
      <c r="B5073" s="6"/>
      <c r="C5073" s="6"/>
      <c r="D5073" s="6"/>
      <c r="E5073" s="6"/>
      <c r="F5073" s="6"/>
      <c r="G5073" s="6"/>
      <c r="H5073" s="6"/>
      <c r="I5073" s="6"/>
      <c r="J5073" s="6"/>
      <c r="K5073" s="6"/>
      <c r="L5073" s="6"/>
      <c r="M5073" s="6"/>
      <c r="N5073" s="6"/>
      <c r="O5073" s="6"/>
      <c r="P5073" s="6"/>
      <c r="Q5073" s="6"/>
      <c r="R5073" s="6"/>
      <c r="S5073" s="6"/>
      <c r="T5073" s="6"/>
      <c r="U5073" s="6"/>
      <c r="V5073" s="6"/>
      <c r="W5073" s="6"/>
      <c r="X5073" s="6"/>
      <c r="Y5073" s="6"/>
      <c r="Z5073" s="6"/>
      <c r="AA5073" s="6"/>
      <c r="AB5073" s="6"/>
      <c r="AC5073" s="6"/>
      <c r="AD5073" s="6"/>
      <c r="AE5073" s="6"/>
      <c r="AF5073" s="6"/>
      <c r="AG5073" s="6"/>
      <c r="AH5073" s="6"/>
      <c r="AI5073" s="6"/>
      <c r="AJ5073" s="6"/>
      <c r="AK5073" s="6"/>
      <c r="AL5073" s="6"/>
      <c r="AM5073" s="6"/>
    </row>
    <row r="5074">
      <c r="A5074" s="6"/>
      <c r="B5074" s="6"/>
      <c r="C5074" s="6"/>
      <c r="D5074" s="6"/>
      <c r="E5074" s="6"/>
      <c r="F5074" s="6"/>
      <c r="G5074" s="6"/>
      <c r="H5074" s="6"/>
      <c r="I5074" s="6"/>
      <c r="J5074" s="6"/>
      <c r="K5074" s="6"/>
      <c r="L5074" s="6"/>
      <c r="M5074" s="6"/>
      <c r="N5074" s="6"/>
      <c r="O5074" s="6"/>
      <c r="P5074" s="6"/>
      <c r="Q5074" s="6"/>
      <c r="R5074" s="6"/>
      <c r="S5074" s="6"/>
      <c r="T5074" s="6"/>
      <c r="U5074" s="6"/>
      <c r="V5074" s="6"/>
      <c r="W5074" s="6"/>
      <c r="X5074" s="6"/>
      <c r="Y5074" s="6"/>
      <c r="Z5074" s="6"/>
      <c r="AA5074" s="6"/>
      <c r="AB5074" s="6"/>
      <c r="AC5074" s="6"/>
      <c r="AD5074" s="6"/>
      <c r="AE5074" s="6"/>
      <c r="AF5074" s="6"/>
      <c r="AG5074" s="6"/>
      <c r="AH5074" s="6"/>
      <c r="AI5074" s="6"/>
      <c r="AJ5074" s="6"/>
      <c r="AK5074" s="6"/>
      <c r="AL5074" s="6"/>
      <c r="AM5074" s="6"/>
    </row>
    <row r="5075">
      <c r="A5075" s="6"/>
      <c r="B5075" s="6"/>
      <c r="C5075" s="6"/>
      <c r="D5075" s="6"/>
      <c r="E5075" s="6"/>
      <c r="F5075" s="6"/>
      <c r="G5075" s="6"/>
      <c r="H5075" s="6"/>
      <c r="I5075" s="6"/>
      <c r="J5075" s="6"/>
      <c r="K5075" s="6"/>
      <c r="L5075" s="6"/>
      <c r="M5075" s="6"/>
      <c r="N5075" s="6"/>
      <c r="O5075" s="6"/>
      <c r="P5075" s="6"/>
      <c r="Q5075" s="6"/>
      <c r="R5075" s="6"/>
      <c r="S5075" s="6"/>
      <c r="T5075" s="6"/>
      <c r="U5075" s="6"/>
      <c r="V5075" s="6"/>
      <c r="W5075" s="6"/>
      <c r="X5075" s="6"/>
      <c r="Y5075" s="6"/>
      <c r="Z5075" s="6"/>
      <c r="AA5075" s="6"/>
      <c r="AB5075" s="6"/>
      <c r="AC5075" s="6"/>
      <c r="AD5075" s="6"/>
      <c r="AE5075" s="6"/>
      <c r="AF5075" s="6"/>
      <c r="AG5075" s="6"/>
      <c r="AH5075" s="6"/>
      <c r="AI5075" s="6"/>
      <c r="AJ5075" s="6"/>
      <c r="AK5075" s="6"/>
      <c r="AL5075" s="6"/>
      <c r="AM5075" s="6"/>
    </row>
    <row r="5076">
      <c r="A5076" s="6"/>
      <c r="B5076" s="6"/>
      <c r="C5076" s="6"/>
      <c r="D5076" s="6"/>
      <c r="E5076" s="6"/>
      <c r="F5076" s="6"/>
      <c r="G5076" s="6"/>
      <c r="H5076" s="6"/>
      <c r="I5076" s="6"/>
      <c r="J5076" s="6"/>
      <c r="K5076" s="6"/>
      <c r="L5076" s="6"/>
      <c r="M5076" s="6"/>
      <c r="N5076" s="6"/>
      <c r="O5076" s="6"/>
      <c r="P5076" s="6"/>
      <c r="Q5076" s="6"/>
      <c r="R5076" s="6"/>
      <c r="S5076" s="6"/>
      <c r="T5076" s="6"/>
      <c r="U5076" s="6"/>
      <c r="V5076" s="6"/>
      <c r="W5076" s="6"/>
      <c r="X5076" s="6"/>
      <c r="Y5076" s="6"/>
      <c r="Z5076" s="6"/>
      <c r="AA5076" s="6"/>
      <c r="AB5076" s="6"/>
      <c r="AC5076" s="6"/>
      <c r="AD5076" s="6"/>
      <c r="AE5076" s="6"/>
      <c r="AF5076" s="6"/>
      <c r="AG5076" s="6"/>
      <c r="AH5076" s="6"/>
      <c r="AI5076" s="6"/>
      <c r="AJ5076" s="6"/>
      <c r="AK5076" s="6"/>
      <c r="AL5076" s="6"/>
      <c r="AM5076" s="6"/>
    </row>
    <row r="5077">
      <c r="A5077" s="6"/>
      <c r="B5077" s="6"/>
      <c r="C5077" s="6"/>
      <c r="D5077" s="6"/>
      <c r="E5077" s="6"/>
      <c r="F5077" s="6"/>
      <c r="G5077" s="6"/>
      <c r="H5077" s="6"/>
      <c r="I5077" s="6"/>
      <c r="J5077" s="6"/>
      <c r="K5077" s="6"/>
      <c r="L5077" s="6"/>
      <c r="M5077" s="6"/>
      <c r="N5077" s="6"/>
      <c r="O5077" s="6"/>
      <c r="P5077" s="6"/>
      <c r="Q5077" s="6"/>
      <c r="R5077" s="6"/>
      <c r="S5077" s="6"/>
      <c r="T5077" s="6"/>
      <c r="U5077" s="6"/>
      <c r="V5077" s="6"/>
      <c r="W5077" s="6"/>
      <c r="X5077" s="6"/>
      <c r="Y5077" s="6"/>
      <c r="Z5077" s="6"/>
      <c r="AA5077" s="6"/>
      <c r="AB5077" s="6"/>
      <c r="AC5077" s="6"/>
      <c r="AD5077" s="6"/>
      <c r="AE5077" s="6"/>
      <c r="AF5077" s="6"/>
      <c r="AG5077" s="6"/>
      <c r="AH5077" s="6"/>
      <c r="AI5077" s="6"/>
      <c r="AJ5077" s="6"/>
      <c r="AK5077" s="6"/>
      <c r="AL5077" s="6"/>
      <c r="AM5077" s="6"/>
    </row>
    <row r="5078">
      <c r="A5078" s="6"/>
      <c r="B5078" s="6"/>
      <c r="C5078" s="6"/>
      <c r="D5078" s="6"/>
      <c r="E5078" s="6"/>
      <c r="F5078" s="6"/>
      <c r="G5078" s="6"/>
      <c r="H5078" s="6"/>
      <c r="I5078" s="6"/>
      <c r="J5078" s="6"/>
      <c r="K5078" s="6"/>
      <c r="L5078" s="6"/>
      <c r="M5078" s="6"/>
      <c r="N5078" s="6"/>
      <c r="O5078" s="6"/>
      <c r="P5078" s="6"/>
      <c r="Q5078" s="6"/>
      <c r="R5078" s="6"/>
      <c r="S5078" s="6"/>
      <c r="T5078" s="6"/>
      <c r="U5078" s="6"/>
      <c r="V5078" s="6"/>
      <c r="W5078" s="6"/>
      <c r="X5078" s="6"/>
      <c r="Y5078" s="6"/>
      <c r="Z5078" s="6"/>
      <c r="AA5078" s="6"/>
      <c r="AB5078" s="6"/>
      <c r="AC5078" s="6"/>
      <c r="AD5078" s="6"/>
      <c r="AE5078" s="6"/>
      <c r="AF5078" s="6"/>
      <c r="AG5078" s="6"/>
      <c r="AH5078" s="6"/>
      <c r="AI5078" s="6"/>
      <c r="AJ5078" s="6"/>
      <c r="AK5078" s="6"/>
      <c r="AL5078" s="6"/>
      <c r="AM5078" s="6"/>
    </row>
    <row r="5079">
      <c r="A5079" s="6"/>
      <c r="B5079" s="6"/>
      <c r="C5079" s="6"/>
      <c r="D5079" s="6"/>
      <c r="E5079" s="6"/>
      <c r="F5079" s="6"/>
      <c r="G5079" s="6"/>
      <c r="H5079" s="6"/>
      <c r="I5079" s="6"/>
      <c r="J5079" s="6"/>
      <c r="K5079" s="6"/>
      <c r="L5079" s="6"/>
      <c r="M5079" s="6"/>
      <c r="N5079" s="6"/>
      <c r="O5079" s="6"/>
      <c r="P5079" s="6"/>
      <c r="Q5079" s="6"/>
      <c r="R5079" s="6"/>
      <c r="S5079" s="6"/>
      <c r="T5079" s="6"/>
      <c r="U5079" s="6"/>
      <c r="V5079" s="6"/>
      <c r="W5079" s="6"/>
      <c r="X5079" s="6"/>
      <c r="Y5079" s="6"/>
      <c r="Z5079" s="6"/>
      <c r="AA5079" s="6"/>
      <c r="AB5079" s="6"/>
      <c r="AC5079" s="6"/>
      <c r="AD5079" s="6"/>
      <c r="AE5079" s="6"/>
      <c r="AF5079" s="6"/>
      <c r="AG5079" s="6"/>
      <c r="AH5079" s="6"/>
      <c r="AI5079" s="6"/>
      <c r="AJ5079" s="6"/>
      <c r="AK5079" s="6"/>
      <c r="AL5079" s="6"/>
      <c r="AM5079" s="6"/>
    </row>
    <row r="5080">
      <c r="A5080" s="6"/>
      <c r="B5080" s="6"/>
      <c r="C5080" s="6"/>
      <c r="D5080" s="6"/>
      <c r="E5080" s="6"/>
      <c r="F5080" s="6"/>
      <c r="G5080" s="6"/>
      <c r="H5080" s="6"/>
      <c r="I5080" s="6"/>
      <c r="J5080" s="6"/>
      <c r="K5080" s="6"/>
      <c r="L5080" s="6"/>
      <c r="M5080" s="6"/>
      <c r="N5080" s="6"/>
      <c r="O5080" s="6"/>
      <c r="P5080" s="6"/>
      <c r="Q5080" s="6"/>
      <c r="R5080" s="6"/>
      <c r="S5080" s="6"/>
      <c r="T5080" s="6"/>
      <c r="U5080" s="6"/>
      <c r="V5080" s="6"/>
      <c r="W5080" s="6"/>
      <c r="X5080" s="6"/>
      <c r="Y5080" s="6"/>
      <c r="Z5080" s="6"/>
      <c r="AA5080" s="6"/>
      <c r="AB5080" s="6"/>
      <c r="AC5080" s="6"/>
      <c r="AD5080" s="6"/>
      <c r="AE5080" s="6"/>
      <c r="AF5080" s="6"/>
      <c r="AG5080" s="6"/>
      <c r="AH5080" s="6"/>
      <c r="AI5080" s="6"/>
      <c r="AJ5080" s="6"/>
      <c r="AK5080" s="6"/>
      <c r="AL5080" s="6"/>
      <c r="AM5080" s="6"/>
    </row>
    <row r="5081">
      <c r="A5081" s="6"/>
      <c r="B5081" s="6"/>
      <c r="C5081" s="6"/>
      <c r="D5081" s="6"/>
      <c r="E5081" s="6"/>
      <c r="F5081" s="6"/>
      <c r="G5081" s="6"/>
      <c r="H5081" s="6"/>
      <c r="I5081" s="6"/>
      <c r="J5081" s="6"/>
      <c r="K5081" s="6"/>
      <c r="L5081" s="6"/>
      <c r="M5081" s="6"/>
      <c r="N5081" s="6"/>
      <c r="O5081" s="6"/>
      <c r="P5081" s="6"/>
      <c r="Q5081" s="6"/>
      <c r="R5081" s="6"/>
      <c r="S5081" s="6"/>
      <c r="T5081" s="6"/>
      <c r="U5081" s="6"/>
      <c r="V5081" s="6"/>
      <c r="W5081" s="6"/>
      <c r="X5081" s="6"/>
      <c r="Y5081" s="6"/>
      <c r="Z5081" s="6"/>
      <c r="AA5081" s="6"/>
      <c r="AB5081" s="6"/>
      <c r="AC5081" s="6"/>
      <c r="AD5081" s="6"/>
      <c r="AE5081" s="6"/>
      <c r="AF5081" s="6"/>
      <c r="AG5081" s="6"/>
      <c r="AH5081" s="6"/>
      <c r="AI5081" s="6"/>
      <c r="AJ5081" s="6"/>
      <c r="AK5081" s="6"/>
      <c r="AL5081" s="6"/>
      <c r="AM5081" s="6"/>
    </row>
    <row r="5082">
      <c r="A5082" s="6"/>
      <c r="B5082" s="6"/>
      <c r="C5082" s="6"/>
      <c r="D5082" s="6"/>
      <c r="E5082" s="6"/>
      <c r="F5082" s="6"/>
      <c r="G5082" s="6"/>
      <c r="H5082" s="6"/>
      <c r="I5082" s="6"/>
      <c r="J5082" s="6"/>
      <c r="K5082" s="6"/>
      <c r="L5082" s="6"/>
      <c r="M5082" s="6"/>
      <c r="N5082" s="6"/>
      <c r="O5082" s="6"/>
      <c r="P5082" s="6"/>
      <c r="Q5082" s="6"/>
      <c r="R5082" s="6"/>
      <c r="S5082" s="6"/>
      <c r="T5082" s="6"/>
      <c r="U5082" s="6"/>
      <c r="V5082" s="6"/>
      <c r="W5082" s="6"/>
      <c r="X5082" s="6"/>
      <c r="Y5082" s="6"/>
      <c r="Z5082" s="6"/>
      <c r="AA5082" s="6"/>
      <c r="AB5082" s="6"/>
      <c r="AC5082" s="6"/>
      <c r="AD5082" s="6"/>
      <c r="AE5082" s="6"/>
      <c r="AF5082" s="6"/>
      <c r="AG5082" s="6"/>
      <c r="AH5082" s="6"/>
      <c r="AI5082" s="6"/>
      <c r="AJ5082" s="6"/>
      <c r="AK5082" s="6"/>
      <c r="AL5082" s="6"/>
      <c r="AM5082" s="6"/>
    </row>
    <row r="5083">
      <c r="A5083" s="6"/>
      <c r="B5083" s="6"/>
      <c r="C5083" s="6"/>
      <c r="D5083" s="6"/>
      <c r="E5083" s="6"/>
      <c r="F5083" s="6"/>
      <c r="G5083" s="6"/>
      <c r="H5083" s="6"/>
      <c r="I5083" s="6"/>
      <c r="J5083" s="6"/>
      <c r="K5083" s="6"/>
      <c r="L5083" s="6"/>
      <c r="M5083" s="6"/>
      <c r="N5083" s="6"/>
      <c r="O5083" s="6"/>
      <c r="P5083" s="6"/>
      <c r="Q5083" s="6"/>
      <c r="R5083" s="6"/>
      <c r="S5083" s="6"/>
      <c r="T5083" s="6"/>
      <c r="U5083" s="6"/>
      <c r="V5083" s="6"/>
      <c r="W5083" s="6"/>
      <c r="X5083" s="6"/>
      <c r="Y5083" s="6"/>
      <c r="Z5083" s="6"/>
      <c r="AA5083" s="6"/>
      <c r="AB5083" s="6"/>
      <c r="AC5083" s="6"/>
      <c r="AD5083" s="6"/>
      <c r="AE5083" s="6"/>
      <c r="AF5083" s="6"/>
      <c r="AG5083" s="6"/>
      <c r="AH5083" s="6"/>
      <c r="AI5083" s="6"/>
      <c r="AJ5083" s="6"/>
      <c r="AK5083" s="6"/>
      <c r="AL5083" s="6"/>
      <c r="AM5083" s="6"/>
    </row>
    <row r="5084">
      <c r="A5084" s="6"/>
      <c r="B5084" s="6"/>
      <c r="C5084" s="6"/>
      <c r="D5084" s="6"/>
      <c r="E5084" s="6"/>
      <c r="F5084" s="6"/>
      <c r="G5084" s="6"/>
      <c r="H5084" s="6"/>
      <c r="I5084" s="6"/>
      <c r="J5084" s="6"/>
      <c r="K5084" s="6"/>
      <c r="L5084" s="6"/>
      <c r="M5084" s="6"/>
      <c r="N5084" s="6"/>
      <c r="O5084" s="6"/>
      <c r="P5084" s="6"/>
      <c r="Q5084" s="6"/>
      <c r="R5084" s="6"/>
      <c r="S5084" s="6"/>
      <c r="T5084" s="6"/>
      <c r="U5084" s="6"/>
      <c r="V5084" s="6"/>
      <c r="W5084" s="6"/>
      <c r="X5084" s="6"/>
      <c r="Y5084" s="6"/>
      <c r="Z5084" s="6"/>
      <c r="AA5084" s="6"/>
      <c r="AB5084" s="6"/>
      <c r="AC5084" s="6"/>
      <c r="AD5084" s="6"/>
      <c r="AE5084" s="6"/>
      <c r="AF5084" s="6"/>
      <c r="AG5084" s="6"/>
      <c r="AH5084" s="6"/>
      <c r="AI5084" s="6"/>
      <c r="AJ5084" s="6"/>
      <c r="AK5084" s="6"/>
      <c r="AL5084" s="6"/>
      <c r="AM5084" s="6"/>
    </row>
    <row r="5085">
      <c r="A5085" s="6"/>
      <c r="B5085" s="6"/>
      <c r="C5085" s="6"/>
      <c r="D5085" s="6"/>
      <c r="E5085" s="6"/>
      <c r="F5085" s="6"/>
      <c r="G5085" s="6"/>
      <c r="H5085" s="6"/>
      <c r="I5085" s="6"/>
      <c r="J5085" s="6"/>
      <c r="K5085" s="6"/>
      <c r="L5085" s="6"/>
      <c r="M5085" s="6"/>
      <c r="N5085" s="6"/>
      <c r="O5085" s="6"/>
      <c r="P5085" s="6"/>
      <c r="Q5085" s="6"/>
      <c r="R5085" s="6"/>
      <c r="S5085" s="6"/>
      <c r="T5085" s="6"/>
      <c r="U5085" s="6"/>
      <c r="V5085" s="6"/>
      <c r="W5085" s="6"/>
      <c r="X5085" s="6"/>
      <c r="Y5085" s="6"/>
      <c r="Z5085" s="6"/>
      <c r="AA5085" s="6"/>
      <c r="AB5085" s="6"/>
      <c r="AC5085" s="6"/>
      <c r="AD5085" s="6"/>
      <c r="AE5085" s="6"/>
      <c r="AF5085" s="6"/>
      <c r="AG5085" s="6"/>
      <c r="AH5085" s="6"/>
      <c r="AI5085" s="6"/>
      <c r="AJ5085" s="6"/>
      <c r="AK5085" s="6"/>
      <c r="AL5085" s="6"/>
      <c r="AM5085" s="6"/>
    </row>
    <row r="5086">
      <c r="A5086" s="6"/>
      <c r="B5086" s="6"/>
      <c r="C5086" s="6"/>
      <c r="D5086" s="6"/>
      <c r="E5086" s="6"/>
      <c r="F5086" s="6"/>
      <c r="G5086" s="6"/>
      <c r="H5086" s="6"/>
      <c r="I5086" s="6"/>
      <c r="J5086" s="6"/>
      <c r="K5086" s="6"/>
      <c r="L5086" s="6"/>
      <c r="M5086" s="6"/>
      <c r="N5086" s="6"/>
      <c r="O5086" s="6"/>
      <c r="P5086" s="6"/>
      <c r="Q5086" s="6"/>
      <c r="R5086" s="6"/>
      <c r="S5086" s="6"/>
      <c r="T5086" s="6"/>
      <c r="U5086" s="6"/>
      <c r="V5086" s="6"/>
      <c r="W5086" s="6"/>
      <c r="X5086" s="6"/>
      <c r="Y5086" s="6"/>
      <c r="Z5086" s="6"/>
      <c r="AA5086" s="6"/>
      <c r="AB5086" s="6"/>
      <c r="AC5086" s="6"/>
      <c r="AD5086" s="6"/>
      <c r="AE5086" s="6"/>
      <c r="AF5086" s="6"/>
      <c r="AG5086" s="6"/>
      <c r="AH5086" s="6"/>
      <c r="AI5086" s="6"/>
      <c r="AJ5086" s="6"/>
      <c r="AK5086" s="6"/>
      <c r="AL5086" s="6"/>
      <c r="AM5086" s="6"/>
    </row>
    <row r="5087">
      <c r="A5087" s="6"/>
      <c r="B5087" s="6"/>
      <c r="C5087" s="6"/>
      <c r="D5087" s="6"/>
      <c r="E5087" s="6"/>
      <c r="F5087" s="6"/>
      <c r="G5087" s="6"/>
      <c r="H5087" s="6"/>
      <c r="I5087" s="6"/>
      <c r="J5087" s="6"/>
      <c r="K5087" s="6"/>
      <c r="L5087" s="6"/>
      <c r="M5087" s="6"/>
      <c r="N5087" s="6"/>
      <c r="O5087" s="6"/>
      <c r="P5087" s="6"/>
      <c r="Q5087" s="6"/>
      <c r="R5087" s="6"/>
      <c r="S5087" s="6"/>
      <c r="T5087" s="6"/>
      <c r="U5087" s="6"/>
      <c r="V5087" s="6"/>
      <c r="W5087" s="6"/>
      <c r="X5087" s="6"/>
      <c r="Y5087" s="6"/>
      <c r="Z5087" s="6"/>
      <c r="AA5087" s="6"/>
      <c r="AB5087" s="6"/>
      <c r="AC5087" s="6"/>
      <c r="AD5087" s="6"/>
      <c r="AE5087" s="6"/>
      <c r="AF5087" s="6"/>
      <c r="AG5087" s="6"/>
      <c r="AH5087" s="6"/>
      <c r="AI5087" s="6"/>
      <c r="AJ5087" s="6"/>
      <c r="AK5087" s="6"/>
      <c r="AL5087" s="6"/>
      <c r="AM5087" s="6"/>
    </row>
    <row r="5088">
      <c r="A5088" s="6"/>
      <c r="B5088" s="6"/>
      <c r="C5088" s="6"/>
      <c r="D5088" s="6"/>
      <c r="E5088" s="6"/>
      <c r="F5088" s="6"/>
      <c r="G5088" s="6"/>
      <c r="H5088" s="6"/>
      <c r="I5088" s="6"/>
      <c r="J5088" s="6"/>
      <c r="K5088" s="6"/>
      <c r="L5088" s="6"/>
      <c r="M5088" s="6"/>
      <c r="N5088" s="6"/>
      <c r="O5088" s="6"/>
      <c r="P5088" s="6"/>
      <c r="Q5088" s="6"/>
      <c r="R5088" s="6"/>
      <c r="S5088" s="6"/>
      <c r="T5088" s="6"/>
      <c r="U5088" s="6"/>
      <c r="V5088" s="6"/>
      <c r="W5088" s="6"/>
      <c r="X5088" s="6"/>
      <c r="Y5088" s="6"/>
      <c r="Z5088" s="6"/>
      <c r="AA5088" s="6"/>
      <c r="AB5088" s="6"/>
      <c r="AC5088" s="6"/>
      <c r="AD5088" s="6"/>
      <c r="AE5088" s="6"/>
      <c r="AF5088" s="6"/>
      <c r="AG5088" s="6"/>
      <c r="AH5088" s="6"/>
      <c r="AI5088" s="6"/>
      <c r="AJ5088" s="6"/>
      <c r="AK5088" s="6"/>
      <c r="AL5088" s="6"/>
      <c r="AM5088" s="6"/>
    </row>
    <row r="5089">
      <c r="A5089" s="6"/>
      <c r="B5089" s="6"/>
      <c r="C5089" s="6"/>
      <c r="D5089" s="6"/>
      <c r="E5089" s="6"/>
      <c r="F5089" s="6"/>
      <c r="G5089" s="6"/>
      <c r="H5089" s="6"/>
      <c r="I5089" s="6"/>
      <c r="J5089" s="6"/>
      <c r="K5089" s="6"/>
      <c r="L5089" s="6"/>
      <c r="M5089" s="6"/>
      <c r="N5089" s="6"/>
      <c r="O5089" s="6"/>
      <c r="P5089" s="6"/>
      <c r="Q5089" s="6"/>
      <c r="R5089" s="6"/>
      <c r="S5089" s="6"/>
      <c r="T5089" s="6"/>
      <c r="U5089" s="6"/>
      <c r="V5089" s="6"/>
      <c r="W5089" s="6"/>
      <c r="X5089" s="6"/>
      <c r="Y5089" s="6"/>
      <c r="Z5089" s="6"/>
      <c r="AA5089" s="6"/>
      <c r="AB5089" s="6"/>
      <c r="AC5089" s="6"/>
      <c r="AD5089" s="6"/>
      <c r="AE5089" s="6"/>
      <c r="AF5089" s="6"/>
      <c r="AG5089" s="6"/>
      <c r="AH5089" s="6"/>
      <c r="AI5089" s="6"/>
      <c r="AJ5089" s="6"/>
      <c r="AK5089" s="6"/>
      <c r="AL5089" s="6"/>
      <c r="AM5089" s="6"/>
    </row>
    <row r="5090">
      <c r="A5090" s="6"/>
      <c r="B5090" s="6"/>
      <c r="C5090" s="6"/>
      <c r="D5090" s="6"/>
      <c r="E5090" s="6"/>
      <c r="F5090" s="6"/>
      <c r="G5090" s="6"/>
      <c r="H5090" s="6"/>
      <c r="I5090" s="6"/>
      <c r="J5090" s="6"/>
      <c r="K5090" s="6"/>
      <c r="L5090" s="6"/>
      <c r="M5090" s="6"/>
      <c r="N5090" s="6"/>
      <c r="O5090" s="6"/>
      <c r="P5090" s="6"/>
      <c r="Q5090" s="6"/>
      <c r="R5090" s="6"/>
      <c r="S5090" s="6"/>
      <c r="T5090" s="6"/>
      <c r="U5090" s="6"/>
      <c r="V5090" s="6"/>
      <c r="W5090" s="6"/>
      <c r="X5090" s="6"/>
      <c r="Y5090" s="6"/>
      <c r="Z5090" s="6"/>
      <c r="AA5090" s="6"/>
      <c r="AB5090" s="6"/>
      <c r="AC5090" s="6"/>
      <c r="AD5090" s="6"/>
      <c r="AE5090" s="6"/>
      <c r="AF5090" s="6"/>
      <c r="AG5090" s="6"/>
      <c r="AH5090" s="6"/>
      <c r="AI5090" s="6"/>
      <c r="AJ5090" s="6"/>
      <c r="AK5090" s="6"/>
      <c r="AL5090" s="6"/>
      <c r="AM5090" s="6"/>
    </row>
    <row r="5091">
      <c r="A5091" s="6"/>
      <c r="B5091" s="6"/>
      <c r="C5091" s="6"/>
      <c r="D5091" s="6"/>
      <c r="E5091" s="6"/>
      <c r="F5091" s="6"/>
      <c r="G5091" s="6"/>
      <c r="H5091" s="6"/>
      <c r="I5091" s="6"/>
      <c r="J5091" s="6"/>
      <c r="K5091" s="6"/>
      <c r="L5091" s="6"/>
      <c r="M5091" s="6"/>
      <c r="N5091" s="6"/>
      <c r="O5091" s="6"/>
      <c r="P5091" s="6"/>
      <c r="Q5091" s="6"/>
      <c r="R5091" s="6"/>
      <c r="S5091" s="6"/>
      <c r="T5091" s="6"/>
      <c r="U5091" s="6"/>
      <c r="V5091" s="6"/>
      <c r="W5091" s="6"/>
      <c r="X5091" s="6"/>
      <c r="Y5091" s="6"/>
      <c r="Z5091" s="6"/>
      <c r="AA5091" s="6"/>
      <c r="AB5091" s="6"/>
      <c r="AC5091" s="6"/>
      <c r="AD5091" s="6"/>
      <c r="AE5091" s="6"/>
      <c r="AF5091" s="6"/>
      <c r="AG5091" s="6"/>
      <c r="AH5091" s="6"/>
      <c r="AI5091" s="6"/>
      <c r="AJ5091" s="6"/>
      <c r="AK5091" s="6"/>
      <c r="AL5091" s="6"/>
      <c r="AM5091" s="6"/>
    </row>
    <row r="5092">
      <c r="A5092" s="6"/>
      <c r="B5092" s="6"/>
      <c r="C5092" s="6"/>
      <c r="D5092" s="6"/>
      <c r="E5092" s="6"/>
      <c r="F5092" s="6"/>
      <c r="G5092" s="6"/>
      <c r="H5092" s="6"/>
      <c r="I5092" s="6"/>
      <c r="J5092" s="6"/>
      <c r="K5092" s="6"/>
      <c r="L5092" s="6"/>
      <c r="M5092" s="6"/>
      <c r="N5092" s="6"/>
      <c r="O5092" s="6"/>
      <c r="P5092" s="6"/>
      <c r="Q5092" s="6"/>
      <c r="R5092" s="6"/>
      <c r="S5092" s="6"/>
      <c r="T5092" s="6"/>
      <c r="U5092" s="6"/>
      <c r="V5092" s="6"/>
      <c r="W5092" s="6"/>
      <c r="X5092" s="6"/>
      <c r="Y5092" s="6"/>
      <c r="Z5092" s="6"/>
      <c r="AA5092" s="6"/>
      <c r="AB5092" s="6"/>
      <c r="AC5092" s="6"/>
      <c r="AD5092" s="6"/>
      <c r="AE5092" s="6"/>
      <c r="AF5092" s="6"/>
      <c r="AG5092" s="6"/>
      <c r="AH5092" s="6"/>
      <c r="AI5092" s="6"/>
      <c r="AJ5092" s="6"/>
      <c r="AK5092" s="6"/>
      <c r="AL5092" s="6"/>
      <c r="AM5092" s="6"/>
    </row>
    <row r="5093">
      <c r="A5093" s="6"/>
      <c r="B5093" s="6"/>
      <c r="C5093" s="6"/>
      <c r="D5093" s="6"/>
      <c r="E5093" s="6"/>
      <c r="F5093" s="6"/>
      <c r="G5093" s="6"/>
      <c r="H5093" s="6"/>
      <c r="I5093" s="6"/>
      <c r="J5093" s="6"/>
      <c r="K5093" s="6"/>
      <c r="L5093" s="6"/>
      <c r="M5093" s="6"/>
      <c r="N5093" s="6"/>
      <c r="O5093" s="6"/>
      <c r="P5093" s="6"/>
      <c r="Q5093" s="6"/>
      <c r="R5093" s="6"/>
      <c r="S5093" s="6"/>
      <c r="T5093" s="6"/>
      <c r="U5093" s="6"/>
      <c r="V5093" s="6"/>
      <c r="W5093" s="6"/>
      <c r="X5093" s="6"/>
      <c r="Y5093" s="6"/>
      <c r="Z5093" s="6"/>
      <c r="AA5093" s="6"/>
      <c r="AB5093" s="6"/>
      <c r="AC5093" s="6"/>
      <c r="AD5093" s="6"/>
      <c r="AE5093" s="6"/>
      <c r="AF5093" s="6"/>
      <c r="AG5093" s="6"/>
      <c r="AH5093" s="6"/>
      <c r="AI5093" s="6"/>
      <c r="AJ5093" s="6"/>
      <c r="AK5093" s="6"/>
      <c r="AL5093" s="6"/>
      <c r="AM5093" s="6"/>
    </row>
    <row r="5094">
      <c r="A5094" s="6"/>
      <c r="B5094" s="6"/>
      <c r="C5094" s="6"/>
      <c r="D5094" s="6"/>
      <c r="E5094" s="6"/>
      <c r="F5094" s="6"/>
      <c r="G5094" s="6"/>
      <c r="H5094" s="6"/>
      <c r="I5094" s="6"/>
      <c r="J5094" s="6"/>
      <c r="K5094" s="6"/>
      <c r="L5094" s="6"/>
      <c r="M5094" s="6"/>
      <c r="N5094" s="6"/>
      <c r="O5094" s="6"/>
      <c r="P5094" s="6"/>
      <c r="Q5094" s="6"/>
      <c r="R5094" s="6"/>
      <c r="S5094" s="6"/>
      <c r="T5094" s="6"/>
      <c r="U5094" s="6"/>
      <c r="V5094" s="6"/>
      <c r="W5094" s="6"/>
      <c r="X5094" s="6"/>
      <c r="Y5094" s="6"/>
      <c r="Z5094" s="6"/>
      <c r="AA5094" s="6"/>
      <c r="AB5094" s="6"/>
      <c r="AC5094" s="6"/>
      <c r="AD5094" s="6"/>
      <c r="AE5094" s="6"/>
      <c r="AF5094" s="6"/>
      <c r="AG5094" s="6"/>
      <c r="AH5094" s="6"/>
      <c r="AI5094" s="6"/>
      <c r="AJ5094" s="6"/>
      <c r="AK5094" s="6"/>
      <c r="AL5094" s="6"/>
      <c r="AM5094" s="6"/>
    </row>
    <row r="5095">
      <c r="A5095" s="6"/>
      <c r="B5095" s="6"/>
      <c r="C5095" s="6"/>
      <c r="D5095" s="6"/>
      <c r="E5095" s="6"/>
      <c r="F5095" s="6"/>
      <c r="G5095" s="6"/>
      <c r="H5095" s="6"/>
      <c r="I5095" s="6"/>
      <c r="J5095" s="6"/>
      <c r="K5095" s="6"/>
      <c r="L5095" s="6"/>
      <c r="M5095" s="6"/>
      <c r="N5095" s="6"/>
      <c r="O5095" s="6"/>
      <c r="P5095" s="6"/>
      <c r="Q5095" s="6"/>
      <c r="R5095" s="6"/>
      <c r="S5095" s="6"/>
      <c r="T5095" s="6"/>
      <c r="U5095" s="6"/>
      <c r="V5095" s="6"/>
      <c r="W5095" s="6"/>
      <c r="X5095" s="6"/>
      <c r="Y5095" s="6"/>
      <c r="Z5095" s="6"/>
      <c r="AA5095" s="6"/>
      <c r="AB5095" s="6"/>
      <c r="AC5095" s="6"/>
      <c r="AD5095" s="6"/>
      <c r="AE5095" s="6"/>
      <c r="AF5095" s="6"/>
      <c r="AG5095" s="6"/>
      <c r="AH5095" s="6"/>
      <c r="AI5095" s="6"/>
      <c r="AJ5095" s="6"/>
      <c r="AK5095" s="6"/>
      <c r="AL5095" s="6"/>
      <c r="AM5095" s="6"/>
    </row>
    <row r="5096">
      <c r="A5096" s="6"/>
      <c r="B5096" s="6"/>
      <c r="C5096" s="6"/>
      <c r="D5096" s="6"/>
      <c r="E5096" s="6"/>
      <c r="F5096" s="6"/>
      <c r="G5096" s="6"/>
      <c r="H5096" s="6"/>
      <c r="I5096" s="6"/>
      <c r="J5096" s="6"/>
      <c r="K5096" s="6"/>
      <c r="L5096" s="6"/>
      <c r="M5096" s="6"/>
      <c r="N5096" s="6"/>
      <c r="O5096" s="6"/>
      <c r="P5096" s="6"/>
      <c r="Q5096" s="6"/>
      <c r="R5096" s="6"/>
      <c r="S5096" s="6"/>
      <c r="T5096" s="6"/>
      <c r="U5096" s="6"/>
      <c r="V5096" s="6"/>
      <c r="W5096" s="6"/>
      <c r="X5096" s="6"/>
      <c r="Y5096" s="6"/>
      <c r="Z5096" s="6"/>
      <c r="AA5096" s="6"/>
      <c r="AB5096" s="6"/>
      <c r="AC5096" s="6"/>
      <c r="AD5096" s="6"/>
      <c r="AE5096" s="6"/>
      <c r="AF5096" s="6"/>
      <c r="AG5096" s="6"/>
      <c r="AH5096" s="6"/>
      <c r="AI5096" s="6"/>
      <c r="AJ5096" s="6"/>
      <c r="AK5096" s="6"/>
      <c r="AL5096" s="6"/>
      <c r="AM5096" s="6"/>
    </row>
    <row r="5097">
      <c r="A5097" s="6"/>
      <c r="B5097" s="6"/>
      <c r="C5097" s="6"/>
      <c r="D5097" s="6"/>
      <c r="E5097" s="6"/>
      <c r="F5097" s="6"/>
      <c r="G5097" s="6"/>
      <c r="H5097" s="6"/>
      <c r="I5097" s="6"/>
      <c r="J5097" s="6"/>
      <c r="K5097" s="6"/>
      <c r="L5097" s="6"/>
      <c r="M5097" s="6"/>
      <c r="N5097" s="6"/>
      <c r="O5097" s="6"/>
      <c r="P5097" s="6"/>
      <c r="Q5097" s="6"/>
      <c r="R5097" s="6"/>
      <c r="S5097" s="6"/>
      <c r="T5097" s="6"/>
      <c r="U5097" s="6"/>
      <c r="V5097" s="6"/>
      <c r="W5097" s="6"/>
      <c r="X5097" s="6"/>
      <c r="Y5097" s="6"/>
      <c r="Z5097" s="6"/>
      <c r="AA5097" s="6"/>
      <c r="AB5097" s="6"/>
      <c r="AC5097" s="6"/>
      <c r="AD5097" s="6"/>
      <c r="AE5097" s="6"/>
      <c r="AF5097" s="6"/>
      <c r="AG5097" s="6"/>
      <c r="AH5097" s="6"/>
      <c r="AI5097" s="6"/>
      <c r="AJ5097" s="6"/>
      <c r="AK5097" s="6"/>
      <c r="AL5097" s="6"/>
      <c r="AM5097" s="6"/>
    </row>
    <row r="5098">
      <c r="A5098" s="6"/>
      <c r="B5098" s="6"/>
      <c r="C5098" s="6"/>
      <c r="D5098" s="6"/>
      <c r="E5098" s="6"/>
      <c r="F5098" s="6"/>
      <c r="G5098" s="6"/>
      <c r="H5098" s="6"/>
      <c r="I5098" s="6"/>
      <c r="J5098" s="6"/>
      <c r="K5098" s="6"/>
      <c r="L5098" s="6"/>
      <c r="M5098" s="6"/>
      <c r="N5098" s="6"/>
      <c r="O5098" s="6"/>
      <c r="P5098" s="6"/>
      <c r="Q5098" s="6"/>
      <c r="R5098" s="6"/>
      <c r="S5098" s="6"/>
      <c r="T5098" s="6"/>
      <c r="U5098" s="6"/>
      <c r="V5098" s="6"/>
      <c r="W5098" s="6"/>
      <c r="X5098" s="6"/>
      <c r="Y5098" s="6"/>
      <c r="Z5098" s="6"/>
      <c r="AA5098" s="6"/>
      <c r="AB5098" s="6"/>
      <c r="AC5098" s="6"/>
      <c r="AD5098" s="6"/>
      <c r="AE5098" s="6"/>
      <c r="AF5098" s="6"/>
      <c r="AG5098" s="6"/>
      <c r="AH5098" s="6"/>
      <c r="AI5098" s="6"/>
      <c r="AJ5098" s="6"/>
      <c r="AK5098" s="6"/>
      <c r="AL5098" s="6"/>
      <c r="AM5098" s="6"/>
    </row>
    <row r="5099">
      <c r="A5099" s="6"/>
      <c r="B5099" s="6"/>
      <c r="C5099" s="6"/>
      <c r="D5099" s="6"/>
      <c r="E5099" s="6"/>
      <c r="F5099" s="6"/>
      <c r="G5099" s="6"/>
      <c r="H5099" s="6"/>
      <c r="I5099" s="6"/>
      <c r="J5099" s="6"/>
      <c r="K5099" s="6"/>
      <c r="L5099" s="6"/>
      <c r="M5099" s="6"/>
      <c r="N5099" s="6"/>
      <c r="O5099" s="6"/>
      <c r="P5099" s="6"/>
      <c r="Q5099" s="6"/>
      <c r="R5099" s="6"/>
      <c r="S5099" s="6"/>
      <c r="T5099" s="6"/>
      <c r="U5099" s="6"/>
      <c r="V5099" s="6"/>
      <c r="W5099" s="6"/>
      <c r="X5099" s="6"/>
      <c r="Y5099" s="6"/>
      <c r="Z5099" s="6"/>
      <c r="AA5099" s="6"/>
      <c r="AB5099" s="6"/>
      <c r="AC5099" s="6"/>
      <c r="AD5099" s="6"/>
      <c r="AE5099" s="6"/>
      <c r="AF5099" s="6"/>
      <c r="AG5099" s="6"/>
      <c r="AH5099" s="6"/>
      <c r="AI5099" s="6"/>
      <c r="AJ5099" s="6"/>
      <c r="AK5099" s="6"/>
      <c r="AL5099" s="6"/>
      <c r="AM5099" s="6"/>
    </row>
    <row r="5100">
      <c r="A5100" s="6"/>
      <c r="B5100" s="6"/>
      <c r="C5100" s="6"/>
      <c r="D5100" s="6"/>
      <c r="E5100" s="6"/>
      <c r="F5100" s="6"/>
      <c r="G5100" s="6"/>
      <c r="H5100" s="6"/>
      <c r="I5100" s="6"/>
      <c r="J5100" s="6"/>
      <c r="K5100" s="6"/>
      <c r="L5100" s="6"/>
      <c r="M5100" s="6"/>
      <c r="N5100" s="6"/>
      <c r="O5100" s="6"/>
      <c r="P5100" s="6"/>
      <c r="Q5100" s="6"/>
      <c r="R5100" s="6"/>
      <c r="S5100" s="6"/>
      <c r="T5100" s="6"/>
      <c r="U5100" s="6"/>
      <c r="V5100" s="6"/>
      <c r="W5100" s="6"/>
      <c r="X5100" s="6"/>
      <c r="Y5100" s="6"/>
      <c r="Z5100" s="6"/>
      <c r="AA5100" s="6"/>
      <c r="AB5100" s="6"/>
      <c r="AC5100" s="6"/>
      <c r="AD5100" s="6"/>
      <c r="AE5100" s="6"/>
      <c r="AF5100" s="6"/>
      <c r="AG5100" s="6"/>
      <c r="AH5100" s="6"/>
      <c r="AI5100" s="6"/>
      <c r="AJ5100" s="6"/>
      <c r="AK5100" s="6"/>
      <c r="AL5100" s="6"/>
      <c r="AM5100" s="6"/>
    </row>
    <row r="5101">
      <c r="A5101" s="6"/>
      <c r="B5101" s="6"/>
      <c r="C5101" s="6"/>
      <c r="D5101" s="6"/>
      <c r="E5101" s="6"/>
      <c r="F5101" s="6"/>
      <c r="G5101" s="6"/>
      <c r="H5101" s="6"/>
      <c r="I5101" s="6"/>
      <c r="J5101" s="6"/>
      <c r="K5101" s="6"/>
      <c r="L5101" s="6"/>
      <c r="M5101" s="6"/>
      <c r="N5101" s="6"/>
      <c r="O5101" s="6"/>
      <c r="P5101" s="6"/>
      <c r="Q5101" s="6"/>
      <c r="R5101" s="6"/>
      <c r="S5101" s="6"/>
      <c r="T5101" s="6"/>
      <c r="U5101" s="6"/>
      <c r="V5101" s="6"/>
      <c r="W5101" s="6"/>
      <c r="X5101" s="6"/>
      <c r="Y5101" s="6"/>
      <c r="Z5101" s="6"/>
      <c r="AA5101" s="6"/>
      <c r="AB5101" s="6"/>
      <c r="AC5101" s="6"/>
      <c r="AD5101" s="6"/>
      <c r="AE5101" s="6"/>
      <c r="AF5101" s="6"/>
      <c r="AG5101" s="6"/>
      <c r="AH5101" s="6"/>
      <c r="AI5101" s="6"/>
      <c r="AJ5101" s="6"/>
      <c r="AK5101" s="6"/>
      <c r="AL5101" s="6"/>
      <c r="AM5101" s="6"/>
    </row>
    <row r="5102">
      <c r="A5102" s="6"/>
      <c r="B5102" s="6"/>
      <c r="C5102" s="6"/>
      <c r="D5102" s="6"/>
      <c r="E5102" s="6"/>
      <c r="F5102" s="6"/>
      <c r="G5102" s="6"/>
      <c r="H5102" s="6"/>
      <c r="I5102" s="6"/>
      <c r="J5102" s="6"/>
      <c r="K5102" s="6"/>
      <c r="L5102" s="6"/>
      <c r="M5102" s="6"/>
      <c r="N5102" s="6"/>
      <c r="O5102" s="6"/>
      <c r="P5102" s="6"/>
      <c r="Q5102" s="6"/>
      <c r="R5102" s="6"/>
      <c r="S5102" s="6"/>
      <c r="T5102" s="6"/>
      <c r="U5102" s="6"/>
      <c r="V5102" s="6"/>
      <c r="W5102" s="6"/>
      <c r="X5102" s="6"/>
      <c r="Y5102" s="6"/>
      <c r="Z5102" s="6"/>
      <c r="AA5102" s="6"/>
      <c r="AB5102" s="6"/>
      <c r="AC5102" s="6"/>
      <c r="AD5102" s="6"/>
      <c r="AE5102" s="6"/>
      <c r="AF5102" s="6"/>
      <c r="AG5102" s="6"/>
      <c r="AH5102" s="6"/>
      <c r="AI5102" s="6"/>
      <c r="AJ5102" s="6"/>
      <c r="AK5102" s="6"/>
      <c r="AL5102" s="6"/>
      <c r="AM5102" s="6"/>
    </row>
    <row r="5103">
      <c r="A5103" s="6"/>
      <c r="B5103" s="6"/>
      <c r="C5103" s="6"/>
      <c r="D5103" s="6"/>
      <c r="E5103" s="6"/>
      <c r="F5103" s="6"/>
      <c r="G5103" s="6"/>
      <c r="H5103" s="6"/>
      <c r="I5103" s="6"/>
      <c r="J5103" s="6"/>
      <c r="K5103" s="6"/>
      <c r="L5103" s="6"/>
      <c r="M5103" s="6"/>
      <c r="N5103" s="6"/>
      <c r="O5103" s="6"/>
      <c r="P5103" s="6"/>
      <c r="Q5103" s="6"/>
      <c r="R5103" s="6"/>
      <c r="S5103" s="6"/>
      <c r="T5103" s="6"/>
      <c r="U5103" s="6"/>
      <c r="V5103" s="6"/>
      <c r="W5103" s="6"/>
      <c r="X5103" s="6"/>
      <c r="Y5103" s="6"/>
      <c r="Z5103" s="6"/>
      <c r="AA5103" s="6"/>
      <c r="AB5103" s="6"/>
      <c r="AC5103" s="6"/>
      <c r="AD5103" s="6"/>
      <c r="AE5103" s="6"/>
      <c r="AF5103" s="6"/>
      <c r="AG5103" s="6"/>
      <c r="AH5103" s="6"/>
      <c r="AI5103" s="6"/>
      <c r="AJ5103" s="6"/>
      <c r="AK5103" s="6"/>
      <c r="AL5103" s="6"/>
      <c r="AM5103" s="6"/>
    </row>
    <row r="5104">
      <c r="A5104" s="6"/>
      <c r="B5104" s="6"/>
      <c r="C5104" s="6"/>
      <c r="D5104" s="6"/>
      <c r="E5104" s="6"/>
      <c r="F5104" s="6"/>
      <c r="G5104" s="6"/>
      <c r="H5104" s="6"/>
      <c r="I5104" s="6"/>
      <c r="J5104" s="6"/>
      <c r="K5104" s="6"/>
      <c r="L5104" s="6"/>
      <c r="M5104" s="6"/>
      <c r="N5104" s="6"/>
      <c r="O5104" s="6"/>
      <c r="P5104" s="6"/>
      <c r="Q5104" s="6"/>
      <c r="R5104" s="6"/>
      <c r="S5104" s="6"/>
      <c r="T5104" s="6"/>
      <c r="U5104" s="6"/>
      <c r="V5104" s="6"/>
      <c r="W5104" s="6"/>
      <c r="X5104" s="6"/>
      <c r="Y5104" s="6"/>
      <c r="Z5104" s="6"/>
      <c r="AA5104" s="6"/>
      <c r="AB5104" s="6"/>
      <c r="AC5104" s="6"/>
      <c r="AD5104" s="6"/>
      <c r="AE5104" s="6"/>
      <c r="AF5104" s="6"/>
      <c r="AG5104" s="6"/>
      <c r="AH5104" s="6"/>
      <c r="AI5104" s="6"/>
      <c r="AJ5104" s="6"/>
      <c r="AK5104" s="6"/>
      <c r="AL5104" s="6"/>
      <c r="AM5104" s="6"/>
    </row>
    <row r="5105">
      <c r="A5105" s="6"/>
      <c r="B5105" s="6"/>
      <c r="C5105" s="6"/>
      <c r="D5105" s="6"/>
      <c r="E5105" s="6"/>
      <c r="F5105" s="6"/>
      <c r="G5105" s="6"/>
      <c r="H5105" s="6"/>
      <c r="I5105" s="6"/>
      <c r="J5105" s="6"/>
      <c r="K5105" s="6"/>
      <c r="L5105" s="6"/>
      <c r="M5105" s="6"/>
      <c r="N5105" s="6"/>
      <c r="O5105" s="6"/>
      <c r="P5105" s="6"/>
      <c r="Q5105" s="6"/>
      <c r="R5105" s="6"/>
      <c r="S5105" s="6"/>
      <c r="T5105" s="6"/>
      <c r="U5105" s="6"/>
      <c r="V5105" s="6"/>
      <c r="W5105" s="6"/>
      <c r="X5105" s="6"/>
      <c r="Y5105" s="6"/>
      <c r="Z5105" s="6"/>
      <c r="AA5105" s="6"/>
      <c r="AB5105" s="6"/>
      <c r="AC5105" s="6"/>
      <c r="AD5105" s="6"/>
      <c r="AE5105" s="6"/>
      <c r="AF5105" s="6"/>
      <c r="AG5105" s="6"/>
      <c r="AH5105" s="6"/>
      <c r="AI5105" s="6"/>
      <c r="AJ5105" s="6"/>
      <c r="AK5105" s="6"/>
      <c r="AL5105" s="6"/>
      <c r="AM5105" s="6"/>
    </row>
    <row r="5106">
      <c r="A5106" s="6"/>
      <c r="B5106" s="6"/>
      <c r="C5106" s="6"/>
      <c r="D5106" s="6"/>
      <c r="E5106" s="6"/>
      <c r="F5106" s="6"/>
      <c r="G5106" s="6"/>
      <c r="H5106" s="6"/>
      <c r="I5106" s="6"/>
      <c r="J5106" s="6"/>
      <c r="K5106" s="6"/>
      <c r="L5106" s="6"/>
      <c r="M5106" s="6"/>
      <c r="N5106" s="6"/>
      <c r="O5106" s="6"/>
      <c r="P5106" s="6"/>
      <c r="Q5106" s="6"/>
      <c r="R5106" s="6"/>
      <c r="S5106" s="6"/>
      <c r="T5106" s="6"/>
      <c r="U5106" s="6"/>
      <c r="V5106" s="6"/>
      <c r="W5106" s="6"/>
      <c r="X5106" s="6"/>
      <c r="Y5106" s="6"/>
      <c r="Z5106" s="6"/>
      <c r="AA5106" s="6"/>
      <c r="AB5106" s="6"/>
      <c r="AC5106" s="6"/>
      <c r="AD5106" s="6"/>
      <c r="AE5106" s="6"/>
      <c r="AF5106" s="6"/>
      <c r="AG5106" s="6"/>
      <c r="AH5106" s="6"/>
      <c r="AI5106" s="6"/>
      <c r="AJ5106" s="6"/>
      <c r="AK5106" s="6"/>
      <c r="AL5106" s="6"/>
      <c r="AM5106" s="6"/>
    </row>
    <row r="5107">
      <c r="A5107" s="6"/>
      <c r="B5107" s="6"/>
      <c r="C5107" s="6"/>
      <c r="D5107" s="6"/>
      <c r="E5107" s="6"/>
      <c r="F5107" s="6"/>
      <c r="G5107" s="6"/>
      <c r="H5107" s="6"/>
      <c r="I5107" s="6"/>
      <c r="J5107" s="6"/>
      <c r="K5107" s="6"/>
      <c r="L5107" s="6"/>
      <c r="M5107" s="6"/>
      <c r="N5107" s="6"/>
      <c r="O5107" s="6"/>
      <c r="P5107" s="6"/>
      <c r="Q5107" s="6"/>
      <c r="R5107" s="6"/>
      <c r="S5107" s="6"/>
      <c r="T5107" s="6"/>
      <c r="U5107" s="6"/>
      <c r="V5107" s="6"/>
      <c r="W5107" s="6"/>
      <c r="X5107" s="6"/>
      <c r="Y5107" s="6"/>
      <c r="Z5107" s="6"/>
      <c r="AA5107" s="6"/>
      <c r="AB5107" s="6"/>
      <c r="AC5107" s="6"/>
      <c r="AD5107" s="6"/>
      <c r="AE5107" s="6"/>
      <c r="AF5107" s="6"/>
      <c r="AG5107" s="6"/>
      <c r="AH5107" s="6"/>
      <c r="AI5107" s="6"/>
      <c r="AJ5107" s="6"/>
      <c r="AK5107" s="6"/>
      <c r="AL5107" s="6"/>
      <c r="AM5107" s="6"/>
    </row>
    <row r="5108">
      <c r="A5108" s="6"/>
      <c r="B5108" s="6"/>
      <c r="C5108" s="6"/>
      <c r="D5108" s="6"/>
      <c r="E5108" s="6"/>
      <c r="F5108" s="6"/>
      <c r="G5108" s="6"/>
      <c r="H5108" s="6"/>
      <c r="I5108" s="6"/>
      <c r="J5108" s="6"/>
      <c r="K5108" s="6"/>
      <c r="L5108" s="6"/>
      <c r="M5108" s="6"/>
      <c r="N5108" s="6"/>
      <c r="O5108" s="6"/>
      <c r="P5108" s="6"/>
      <c r="Q5108" s="6"/>
      <c r="R5108" s="6"/>
      <c r="S5108" s="6"/>
      <c r="T5108" s="6"/>
      <c r="U5108" s="6"/>
      <c r="V5108" s="6"/>
      <c r="W5108" s="6"/>
      <c r="X5108" s="6"/>
      <c r="Y5108" s="6"/>
      <c r="Z5108" s="6"/>
      <c r="AA5108" s="6"/>
      <c r="AB5108" s="6"/>
      <c r="AC5108" s="6"/>
      <c r="AD5108" s="6"/>
      <c r="AE5108" s="6"/>
      <c r="AF5108" s="6"/>
      <c r="AG5108" s="6"/>
      <c r="AH5108" s="6"/>
      <c r="AI5108" s="6"/>
      <c r="AJ5108" s="6"/>
      <c r="AK5108" s="6"/>
      <c r="AL5108" s="6"/>
      <c r="AM5108" s="6"/>
    </row>
    <row r="5109">
      <c r="A5109" s="6"/>
      <c r="B5109" s="6"/>
      <c r="C5109" s="6"/>
      <c r="D5109" s="6"/>
      <c r="E5109" s="6"/>
      <c r="F5109" s="6"/>
      <c r="G5109" s="6"/>
      <c r="H5109" s="6"/>
      <c r="I5109" s="6"/>
      <c r="J5109" s="6"/>
      <c r="K5109" s="6"/>
      <c r="L5109" s="6"/>
      <c r="M5109" s="6"/>
      <c r="N5109" s="6"/>
      <c r="O5109" s="6"/>
      <c r="P5109" s="6"/>
      <c r="Q5109" s="6"/>
      <c r="R5109" s="6"/>
      <c r="S5109" s="6"/>
      <c r="T5109" s="6"/>
      <c r="U5109" s="6"/>
      <c r="V5109" s="6"/>
      <c r="W5109" s="6"/>
      <c r="X5109" s="6"/>
      <c r="Y5109" s="6"/>
      <c r="Z5109" s="6"/>
      <c r="AA5109" s="6"/>
      <c r="AB5109" s="6"/>
      <c r="AC5109" s="6"/>
      <c r="AD5109" s="6"/>
      <c r="AE5109" s="6"/>
      <c r="AF5109" s="6"/>
      <c r="AG5109" s="6"/>
      <c r="AH5109" s="6"/>
      <c r="AI5109" s="6"/>
      <c r="AJ5109" s="6"/>
      <c r="AK5109" s="6"/>
      <c r="AL5109" s="6"/>
      <c r="AM5109" s="6"/>
    </row>
    <row r="5110">
      <c r="A5110" s="6"/>
      <c r="B5110" s="6"/>
      <c r="C5110" s="6"/>
      <c r="D5110" s="6"/>
      <c r="E5110" s="6"/>
      <c r="F5110" s="6"/>
      <c r="G5110" s="6"/>
      <c r="H5110" s="6"/>
      <c r="I5110" s="6"/>
      <c r="J5110" s="6"/>
      <c r="K5110" s="6"/>
      <c r="L5110" s="6"/>
      <c r="M5110" s="6"/>
      <c r="N5110" s="6"/>
      <c r="O5110" s="6"/>
      <c r="P5110" s="6"/>
      <c r="Q5110" s="6"/>
      <c r="R5110" s="6"/>
      <c r="S5110" s="6"/>
      <c r="T5110" s="6"/>
      <c r="U5110" s="6"/>
      <c r="V5110" s="6"/>
      <c r="W5110" s="6"/>
      <c r="X5110" s="6"/>
      <c r="Y5110" s="6"/>
      <c r="Z5110" s="6"/>
      <c r="AA5110" s="6"/>
      <c r="AB5110" s="6"/>
      <c r="AC5110" s="6"/>
      <c r="AD5110" s="6"/>
      <c r="AE5110" s="6"/>
      <c r="AF5110" s="6"/>
      <c r="AG5110" s="6"/>
      <c r="AH5110" s="6"/>
      <c r="AI5110" s="6"/>
      <c r="AJ5110" s="6"/>
      <c r="AK5110" s="6"/>
      <c r="AL5110" s="6"/>
      <c r="AM5110" s="6"/>
    </row>
    <row r="5111">
      <c r="A5111" s="6"/>
      <c r="B5111" s="6"/>
      <c r="C5111" s="6"/>
      <c r="D5111" s="6"/>
      <c r="E5111" s="6"/>
      <c r="F5111" s="6"/>
      <c r="G5111" s="6"/>
      <c r="H5111" s="6"/>
      <c r="I5111" s="6"/>
      <c r="J5111" s="6"/>
      <c r="K5111" s="6"/>
      <c r="L5111" s="6"/>
      <c r="M5111" s="6"/>
      <c r="N5111" s="6"/>
      <c r="O5111" s="6"/>
      <c r="P5111" s="6"/>
      <c r="Q5111" s="6"/>
      <c r="R5111" s="6"/>
      <c r="S5111" s="6"/>
      <c r="T5111" s="6"/>
      <c r="U5111" s="6"/>
      <c r="V5111" s="6"/>
      <c r="W5111" s="6"/>
      <c r="X5111" s="6"/>
      <c r="Y5111" s="6"/>
      <c r="Z5111" s="6"/>
      <c r="AA5111" s="6"/>
      <c r="AB5111" s="6"/>
      <c r="AC5111" s="6"/>
      <c r="AD5111" s="6"/>
      <c r="AE5111" s="6"/>
      <c r="AF5111" s="6"/>
      <c r="AG5111" s="6"/>
      <c r="AH5111" s="6"/>
      <c r="AI5111" s="6"/>
      <c r="AJ5111" s="6"/>
      <c r="AK5111" s="6"/>
      <c r="AL5111" s="6"/>
      <c r="AM5111" s="6"/>
    </row>
    <row r="5112">
      <c r="A5112" s="6"/>
      <c r="B5112" s="6"/>
      <c r="C5112" s="6"/>
      <c r="D5112" s="6"/>
      <c r="E5112" s="6"/>
      <c r="F5112" s="6"/>
      <c r="G5112" s="6"/>
      <c r="H5112" s="6"/>
      <c r="I5112" s="6"/>
      <c r="J5112" s="6"/>
      <c r="K5112" s="6"/>
      <c r="L5112" s="6"/>
      <c r="M5112" s="6"/>
      <c r="N5112" s="6"/>
      <c r="O5112" s="6"/>
      <c r="P5112" s="6"/>
      <c r="Q5112" s="6"/>
      <c r="R5112" s="6"/>
      <c r="S5112" s="6"/>
      <c r="T5112" s="6"/>
      <c r="U5112" s="6"/>
      <c r="V5112" s="6"/>
      <c r="W5112" s="6"/>
      <c r="X5112" s="6"/>
      <c r="Y5112" s="6"/>
      <c r="Z5112" s="6"/>
      <c r="AA5112" s="6"/>
      <c r="AB5112" s="6"/>
      <c r="AC5112" s="6"/>
      <c r="AD5112" s="6"/>
      <c r="AE5112" s="6"/>
      <c r="AF5112" s="6"/>
      <c r="AG5112" s="6"/>
      <c r="AH5112" s="6"/>
      <c r="AI5112" s="6"/>
      <c r="AJ5112" s="6"/>
      <c r="AK5112" s="6"/>
      <c r="AL5112" s="6"/>
      <c r="AM5112" s="6"/>
    </row>
    <row r="5113">
      <c r="A5113" s="6"/>
      <c r="B5113" s="6"/>
      <c r="C5113" s="6"/>
      <c r="D5113" s="6"/>
      <c r="E5113" s="6"/>
      <c r="F5113" s="6"/>
      <c r="G5113" s="6"/>
      <c r="H5113" s="6"/>
      <c r="I5113" s="6"/>
      <c r="J5113" s="6"/>
      <c r="K5113" s="6"/>
      <c r="L5113" s="6"/>
      <c r="M5113" s="6"/>
      <c r="N5113" s="6"/>
      <c r="O5113" s="6"/>
      <c r="P5113" s="6"/>
      <c r="Q5113" s="6"/>
      <c r="R5113" s="6"/>
      <c r="S5113" s="6"/>
      <c r="T5113" s="6"/>
      <c r="U5113" s="6"/>
      <c r="V5113" s="6"/>
      <c r="W5113" s="6"/>
      <c r="X5113" s="6"/>
      <c r="Y5113" s="6"/>
      <c r="Z5113" s="6"/>
      <c r="AA5113" s="6"/>
      <c r="AB5113" s="6"/>
      <c r="AC5113" s="6"/>
      <c r="AD5113" s="6"/>
      <c r="AE5113" s="6"/>
      <c r="AF5113" s="6"/>
      <c r="AG5113" s="6"/>
      <c r="AH5113" s="6"/>
      <c r="AI5113" s="6"/>
      <c r="AJ5113" s="6"/>
      <c r="AK5113" s="6"/>
      <c r="AL5113" s="6"/>
      <c r="AM5113" s="6"/>
    </row>
    <row r="5114">
      <c r="A5114" s="6"/>
      <c r="B5114" s="6"/>
      <c r="C5114" s="6"/>
      <c r="D5114" s="6"/>
      <c r="E5114" s="6"/>
      <c r="F5114" s="6"/>
      <c r="G5114" s="6"/>
      <c r="H5114" s="6"/>
      <c r="I5114" s="6"/>
      <c r="J5114" s="6"/>
      <c r="K5114" s="6"/>
      <c r="L5114" s="6"/>
      <c r="M5114" s="6"/>
      <c r="N5114" s="6"/>
      <c r="O5114" s="6"/>
      <c r="P5114" s="6"/>
      <c r="Q5114" s="6"/>
      <c r="R5114" s="6"/>
      <c r="S5114" s="6"/>
      <c r="T5114" s="6"/>
      <c r="U5114" s="6"/>
      <c r="V5114" s="6"/>
      <c r="W5114" s="6"/>
      <c r="X5114" s="6"/>
      <c r="Y5114" s="6"/>
      <c r="Z5114" s="6"/>
      <c r="AA5114" s="6"/>
      <c r="AB5114" s="6"/>
      <c r="AC5114" s="6"/>
      <c r="AD5114" s="6"/>
      <c r="AE5114" s="6"/>
      <c r="AF5114" s="6"/>
      <c r="AG5114" s="6"/>
      <c r="AH5114" s="6"/>
      <c r="AI5114" s="6"/>
      <c r="AJ5114" s="6"/>
      <c r="AK5114" s="6"/>
      <c r="AL5114" s="6"/>
      <c r="AM5114" s="6"/>
    </row>
    <row r="5115">
      <c r="A5115" s="6"/>
      <c r="B5115" s="6"/>
      <c r="C5115" s="6"/>
      <c r="D5115" s="6"/>
      <c r="E5115" s="6"/>
      <c r="F5115" s="6"/>
      <c r="G5115" s="6"/>
      <c r="H5115" s="6"/>
      <c r="I5115" s="6"/>
      <c r="J5115" s="6"/>
      <c r="K5115" s="6"/>
      <c r="L5115" s="6"/>
      <c r="M5115" s="6"/>
      <c r="N5115" s="6"/>
      <c r="O5115" s="6"/>
      <c r="P5115" s="6"/>
      <c r="Q5115" s="6"/>
      <c r="R5115" s="6"/>
      <c r="S5115" s="6"/>
      <c r="T5115" s="6"/>
      <c r="U5115" s="6"/>
      <c r="V5115" s="6"/>
      <c r="W5115" s="6"/>
      <c r="X5115" s="6"/>
      <c r="Y5115" s="6"/>
      <c r="Z5115" s="6"/>
      <c r="AA5115" s="6"/>
      <c r="AB5115" s="6"/>
      <c r="AC5115" s="6"/>
      <c r="AD5115" s="6"/>
      <c r="AE5115" s="6"/>
      <c r="AF5115" s="6"/>
      <c r="AG5115" s="6"/>
      <c r="AH5115" s="6"/>
      <c r="AI5115" s="6"/>
      <c r="AJ5115" s="6"/>
      <c r="AK5115" s="6"/>
      <c r="AL5115" s="6"/>
      <c r="AM5115" s="6"/>
    </row>
    <row r="5116">
      <c r="A5116" s="6"/>
      <c r="B5116" s="6"/>
      <c r="C5116" s="6"/>
      <c r="D5116" s="6"/>
      <c r="E5116" s="6"/>
      <c r="F5116" s="6"/>
      <c r="G5116" s="6"/>
      <c r="H5116" s="6"/>
      <c r="I5116" s="6"/>
      <c r="J5116" s="6"/>
      <c r="K5116" s="6"/>
      <c r="L5116" s="6"/>
      <c r="M5116" s="6"/>
      <c r="N5116" s="6"/>
      <c r="O5116" s="6"/>
      <c r="P5116" s="6"/>
      <c r="Q5116" s="6"/>
      <c r="R5116" s="6"/>
      <c r="S5116" s="6"/>
      <c r="T5116" s="6"/>
      <c r="U5116" s="6"/>
      <c r="V5116" s="6"/>
      <c r="W5116" s="6"/>
      <c r="X5116" s="6"/>
      <c r="Y5116" s="6"/>
      <c r="Z5116" s="6"/>
      <c r="AA5116" s="6"/>
      <c r="AB5116" s="6"/>
      <c r="AC5116" s="6"/>
      <c r="AD5116" s="6"/>
      <c r="AE5116" s="6"/>
      <c r="AF5116" s="6"/>
      <c r="AG5116" s="6"/>
      <c r="AH5116" s="6"/>
      <c r="AI5116" s="6"/>
      <c r="AJ5116" s="6"/>
      <c r="AK5116" s="6"/>
      <c r="AL5116" s="6"/>
      <c r="AM5116" s="6"/>
    </row>
    <row r="5117">
      <c r="A5117" s="6"/>
      <c r="B5117" s="6"/>
      <c r="C5117" s="6"/>
      <c r="D5117" s="6"/>
      <c r="E5117" s="6"/>
      <c r="F5117" s="6"/>
      <c r="G5117" s="6"/>
      <c r="H5117" s="6"/>
      <c r="I5117" s="6"/>
      <c r="J5117" s="6"/>
      <c r="K5117" s="6"/>
      <c r="L5117" s="6"/>
      <c r="M5117" s="6"/>
      <c r="N5117" s="6"/>
      <c r="O5117" s="6"/>
      <c r="P5117" s="6"/>
      <c r="Q5117" s="6"/>
      <c r="R5117" s="6"/>
      <c r="S5117" s="6"/>
      <c r="T5117" s="6"/>
      <c r="U5117" s="6"/>
      <c r="V5117" s="6"/>
      <c r="W5117" s="6"/>
      <c r="X5117" s="6"/>
      <c r="Y5117" s="6"/>
      <c r="Z5117" s="6"/>
      <c r="AA5117" s="6"/>
      <c r="AB5117" s="6"/>
      <c r="AC5117" s="6"/>
      <c r="AD5117" s="6"/>
      <c r="AE5117" s="6"/>
      <c r="AF5117" s="6"/>
      <c r="AG5117" s="6"/>
      <c r="AH5117" s="6"/>
      <c r="AI5117" s="6"/>
      <c r="AJ5117" s="6"/>
      <c r="AK5117" s="6"/>
      <c r="AL5117" s="6"/>
      <c r="AM5117" s="6"/>
    </row>
    <row r="5118">
      <c r="A5118" s="6"/>
      <c r="B5118" s="6"/>
      <c r="C5118" s="6"/>
      <c r="D5118" s="6"/>
      <c r="E5118" s="6"/>
      <c r="F5118" s="6"/>
      <c r="G5118" s="6"/>
      <c r="H5118" s="6"/>
      <c r="I5118" s="6"/>
      <c r="J5118" s="6"/>
      <c r="K5118" s="6"/>
      <c r="L5118" s="6"/>
      <c r="M5118" s="6"/>
      <c r="N5118" s="6"/>
      <c r="O5118" s="6"/>
      <c r="P5118" s="6"/>
      <c r="Q5118" s="6"/>
      <c r="R5118" s="6"/>
      <c r="S5118" s="6"/>
      <c r="T5118" s="6"/>
      <c r="U5118" s="6"/>
      <c r="V5118" s="6"/>
      <c r="W5118" s="6"/>
      <c r="X5118" s="6"/>
      <c r="Y5118" s="6"/>
      <c r="Z5118" s="6"/>
      <c r="AA5118" s="6"/>
      <c r="AB5118" s="6"/>
      <c r="AC5118" s="6"/>
      <c r="AD5118" s="6"/>
      <c r="AE5118" s="6"/>
      <c r="AF5118" s="6"/>
      <c r="AG5118" s="6"/>
      <c r="AH5118" s="6"/>
      <c r="AI5118" s="6"/>
      <c r="AJ5118" s="6"/>
      <c r="AK5118" s="6"/>
      <c r="AL5118" s="6"/>
      <c r="AM5118" s="6"/>
    </row>
    <row r="5119">
      <c r="A5119" s="6"/>
      <c r="B5119" s="6"/>
      <c r="C5119" s="6"/>
      <c r="D5119" s="6"/>
      <c r="E5119" s="6"/>
      <c r="F5119" s="6"/>
      <c r="G5119" s="6"/>
      <c r="H5119" s="6"/>
      <c r="I5119" s="6"/>
      <c r="J5119" s="6"/>
      <c r="K5119" s="6"/>
      <c r="L5119" s="6"/>
      <c r="M5119" s="6"/>
      <c r="N5119" s="6"/>
      <c r="O5119" s="6"/>
      <c r="P5119" s="6"/>
      <c r="Q5119" s="6"/>
      <c r="R5119" s="6"/>
      <c r="S5119" s="6"/>
      <c r="T5119" s="6"/>
      <c r="U5119" s="6"/>
      <c r="V5119" s="6"/>
      <c r="W5119" s="6"/>
      <c r="X5119" s="6"/>
      <c r="Y5119" s="6"/>
      <c r="Z5119" s="6"/>
      <c r="AA5119" s="6"/>
      <c r="AB5119" s="6"/>
      <c r="AC5119" s="6"/>
      <c r="AD5119" s="6"/>
      <c r="AE5119" s="6"/>
      <c r="AF5119" s="6"/>
      <c r="AG5119" s="6"/>
      <c r="AH5119" s="6"/>
      <c r="AI5119" s="6"/>
      <c r="AJ5119" s="6"/>
      <c r="AK5119" s="6"/>
      <c r="AL5119" s="6"/>
      <c r="AM5119" s="6"/>
    </row>
    <row r="5120">
      <c r="A5120" s="6"/>
      <c r="B5120" s="6"/>
      <c r="C5120" s="6"/>
      <c r="D5120" s="6"/>
      <c r="E5120" s="6"/>
      <c r="F5120" s="6"/>
      <c r="G5120" s="6"/>
      <c r="H5120" s="6"/>
      <c r="I5120" s="6"/>
      <c r="J5120" s="6"/>
      <c r="K5120" s="6"/>
      <c r="L5120" s="6"/>
      <c r="M5120" s="6"/>
      <c r="N5120" s="6"/>
      <c r="O5120" s="6"/>
      <c r="P5120" s="6"/>
      <c r="Q5120" s="6"/>
      <c r="R5120" s="6"/>
      <c r="S5120" s="6"/>
      <c r="T5120" s="6"/>
      <c r="U5120" s="6"/>
      <c r="V5120" s="6"/>
      <c r="W5120" s="6"/>
      <c r="X5120" s="6"/>
      <c r="Y5120" s="6"/>
      <c r="Z5120" s="6"/>
      <c r="AA5120" s="6"/>
      <c r="AB5120" s="6"/>
      <c r="AC5120" s="6"/>
      <c r="AD5120" s="6"/>
      <c r="AE5120" s="6"/>
      <c r="AF5120" s="6"/>
      <c r="AG5120" s="6"/>
      <c r="AH5120" s="6"/>
      <c r="AI5120" s="6"/>
      <c r="AJ5120" s="6"/>
      <c r="AK5120" s="6"/>
      <c r="AL5120" s="6"/>
      <c r="AM5120" s="6"/>
    </row>
    <row r="5121">
      <c r="A5121" s="6"/>
      <c r="B5121" s="6"/>
      <c r="C5121" s="6"/>
      <c r="D5121" s="6"/>
      <c r="E5121" s="6"/>
      <c r="F5121" s="6"/>
      <c r="G5121" s="6"/>
      <c r="H5121" s="6"/>
      <c r="I5121" s="6"/>
      <c r="J5121" s="6"/>
      <c r="K5121" s="6"/>
      <c r="L5121" s="6"/>
      <c r="M5121" s="6"/>
      <c r="N5121" s="6"/>
      <c r="O5121" s="6"/>
      <c r="P5121" s="6"/>
      <c r="Q5121" s="6"/>
      <c r="R5121" s="6"/>
      <c r="S5121" s="6"/>
      <c r="T5121" s="6"/>
      <c r="U5121" s="6"/>
      <c r="V5121" s="6"/>
      <c r="W5121" s="6"/>
      <c r="X5121" s="6"/>
      <c r="Y5121" s="6"/>
      <c r="Z5121" s="6"/>
      <c r="AA5121" s="6"/>
      <c r="AB5121" s="6"/>
      <c r="AC5121" s="6"/>
      <c r="AD5121" s="6"/>
      <c r="AE5121" s="6"/>
      <c r="AF5121" s="6"/>
      <c r="AG5121" s="6"/>
      <c r="AH5121" s="6"/>
      <c r="AI5121" s="6"/>
      <c r="AJ5121" s="6"/>
      <c r="AK5121" s="6"/>
      <c r="AL5121" s="6"/>
      <c r="AM5121" s="6"/>
    </row>
    <row r="5122">
      <c r="A5122" s="6"/>
      <c r="B5122" s="6"/>
      <c r="C5122" s="6"/>
      <c r="D5122" s="6"/>
      <c r="E5122" s="6"/>
      <c r="F5122" s="6"/>
      <c r="G5122" s="6"/>
      <c r="H5122" s="6"/>
      <c r="I5122" s="6"/>
      <c r="J5122" s="6"/>
      <c r="K5122" s="6"/>
      <c r="L5122" s="6"/>
      <c r="M5122" s="6"/>
      <c r="N5122" s="6"/>
      <c r="O5122" s="6"/>
      <c r="P5122" s="6"/>
      <c r="Q5122" s="6"/>
      <c r="R5122" s="6"/>
      <c r="S5122" s="6"/>
      <c r="T5122" s="6"/>
      <c r="U5122" s="6"/>
      <c r="V5122" s="6"/>
      <c r="W5122" s="6"/>
      <c r="X5122" s="6"/>
      <c r="Y5122" s="6"/>
      <c r="Z5122" s="6"/>
      <c r="AA5122" s="6"/>
      <c r="AB5122" s="6"/>
      <c r="AC5122" s="6"/>
      <c r="AD5122" s="6"/>
      <c r="AE5122" s="6"/>
      <c r="AF5122" s="6"/>
      <c r="AG5122" s="6"/>
      <c r="AH5122" s="6"/>
      <c r="AI5122" s="6"/>
      <c r="AJ5122" s="6"/>
      <c r="AK5122" s="6"/>
      <c r="AL5122" s="6"/>
      <c r="AM5122" s="6"/>
    </row>
    <row r="5123">
      <c r="A5123" s="6"/>
      <c r="B5123" s="6"/>
      <c r="C5123" s="6"/>
      <c r="D5123" s="6"/>
      <c r="E5123" s="6"/>
      <c r="F5123" s="6"/>
      <c r="G5123" s="6"/>
      <c r="H5123" s="6"/>
      <c r="I5123" s="6"/>
      <c r="J5123" s="6"/>
      <c r="K5123" s="6"/>
      <c r="L5123" s="6"/>
      <c r="M5123" s="6"/>
      <c r="N5123" s="6"/>
      <c r="O5123" s="6"/>
      <c r="P5123" s="6"/>
      <c r="Q5123" s="6"/>
      <c r="R5123" s="6"/>
      <c r="S5123" s="6"/>
      <c r="T5123" s="6"/>
      <c r="U5123" s="6"/>
      <c r="V5123" s="6"/>
      <c r="W5123" s="6"/>
      <c r="X5123" s="6"/>
      <c r="Y5123" s="6"/>
      <c r="Z5123" s="6"/>
      <c r="AA5123" s="6"/>
      <c r="AB5123" s="6"/>
      <c r="AC5123" s="6"/>
      <c r="AD5123" s="6"/>
      <c r="AE5123" s="6"/>
      <c r="AF5123" s="6"/>
      <c r="AG5123" s="6"/>
      <c r="AH5123" s="6"/>
      <c r="AI5123" s="6"/>
      <c r="AJ5123" s="6"/>
      <c r="AK5123" s="6"/>
      <c r="AL5123" s="6"/>
      <c r="AM5123" s="6"/>
    </row>
    <row r="5124">
      <c r="A5124" s="6"/>
      <c r="B5124" s="6"/>
      <c r="C5124" s="6"/>
      <c r="D5124" s="6"/>
      <c r="E5124" s="6"/>
      <c r="F5124" s="6"/>
      <c r="G5124" s="6"/>
      <c r="H5124" s="6"/>
      <c r="I5124" s="6"/>
      <c r="J5124" s="6"/>
      <c r="K5124" s="6"/>
      <c r="L5124" s="6"/>
      <c r="M5124" s="6"/>
      <c r="N5124" s="6"/>
      <c r="O5124" s="6"/>
      <c r="P5124" s="6"/>
      <c r="Q5124" s="6"/>
      <c r="R5124" s="6"/>
      <c r="S5124" s="6"/>
      <c r="T5124" s="6"/>
      <c r="U5124" s="6"/>
      <c r="V5124" s="6"/>
      <c r="W5124" s="6"/>
      <c r="X5124" s="6"/>
      <c r="Y5124" s="6"/>
      <c r="Z5124" s="6"/>
      <c r="AA5124" s="6"/>
      <c r="AB5124" s="6"/>
      <c r="AC5124" s="6"/>
      <c r="AD5124" s="6"/>
      <c r="AE5124" s="6"/>
      <c r="AF5124" s="6"/>
      <c r="AG5124" s="6"/>
      <c r="AH5124" s="6"/>
      <c r="AI5124" s="6"/>
      <c r="AJ5124" s="6"/>
      <c r="AK5124" s="6"/>
      <c r="AL5124" s="6"/>
      <c r="AM5124" s="6"/>
    </row>
    <row r="5125">
      <c r="A5125" s="6"/>
      <c r="B5125" s="6"/>
      <c r="C5125" s="6"/>
      <c r="D5125" s="6"/>
      <c r="E5125" s="6"/>
      <c r="F5125" s="6"/>
      <c r="G5125" s="6"/>
      <c r="H5125" s="6"/>
      <c r="I5125" s="6"/>
      <c r="J5125" s="6"/>
      <c r="K5125" s="6"/>
      <c r="L5125" s="6"/>
      <c r="M5125" s="6"/>
      <c r="N5125" s="6"/>
      <c r="O5125" s="6"/>
      <c r="P5125" s="6"/>
      <c r="Q5125" s="6"/>
      <c r="R5125" s="6"/>
      <c r="S5125" s="6"/>
      <c r="T5125" s="6"/>
      <c r="U5125" s="6"/>
      <c r="V5125" s="6"/>
      <c r="W5125" s="6"/>
      <c r="X5125" s="6"/>
      <c r="Y5125" s="6"/>
      <c r="Z5125" s="6"/>
      <c r="AA5125" s="6"/>
      <c r="AB5125" s="6"/>
      <c r="AC5125" s="6"/>
      <c r="AD5125" s="6"/>
      <c r="AE5125" s="6"/>
      <c r="AF5125" s="6"/>
      <c r="AG5125" s="6"/>
      <c r="AH5125" s="6"/>
      <c r="AI5125" s="6"/>
      <c r="AJ5125" s="6"/>
      <c r="AK5125" s="6"/>
      <c r="AL5125" s="6"/>
      <c r="AM5125" s="6"/>
    </row>
    <row r="5126">
      <c r="A5126" s="6"/>
      <c r="B5126" s="6"/>
      <c r="C5126" s="6"/>
      <c r="D5126" s="6"/>
      <c r="E5126" s="6"/>
      <c r="F5126" s="6"/>
      <c r="G5126" s="6"/>
      <c r="H5126" s="6"/>
      <c r="I5126" s="6"/>
      <c r="J5126" s="6"/>
      <c r="K5126" s="6"/>
      <c r="L5126" s="6"/>
      <c r="M5126" s="6"/>
      <c r="N5126" s="6"/>
      <c r="O5126" s="6"/>
      <c r="P5126" s="6"/>
      <c r="Q5126" s="6"/>
      <c r="R5126" s="6"/>
      <c r="S5126" s="6"/>
      <c r="T5126" s="6"/>
      <c r="U5126" s="6"/>
      <c r="V5126" s="6"/>
      <c r="W5126" s="6"/>
      <c r="X5126" s="6"/>
      <c r="Y5126" s="6"/>
      <c r="Z5126" s="6"/>
      <c r="AA5126" s="6"/>
      <c r="AB5126" s="6"/>
      <c r="AC5126" s="6"/>
      <c r="AD5126" s="6"/>
      <c r="AE5126" s="6"/>
      <c r="AF5126" s="6"/>
      <c r="AG5126" s="6"/>
      <c r="AH5126" s="6"/>
      <c r="AI5126" s="6"/>
      <c r="AJ5126" s="6"/>
      <c r="AK5126" s="6"/>
      <c r="AL5126" s="6"/>
      <c r="AM5126" s="6"/>
    </row>
    <row r="5127">
      <c r="A5127" s="6"/>
      <c r="B5127" s="6"/>
      <c r="C5127" s="6"/>
      <c r="D5127" s="6"/>
      <c r="E5127" s="6"/>
      <c r="F5127" s="6"/>
      <c r="G5127" s="6"/>
      <c r="H5127" s="6"/>
      <c r="I5127" s="6"/>
      <c r="J5127" s="6"/>
      <c r="K5127" s="6"/>
      <c r="L5127" s="6"/>
      <c r="M5127" s="6"/>
      <c r="N5127" s="6"/>
      <c r="O5127" s="6"/>
      <c r="P5127" s="6"/>
      <c r="Q5127" s="6"/>
      <c r="R5127" s="6"/>
      <c r="S5127" s="6"/>
      <c r="T5127" s="6"/>
      <c r="U5127" s="6"/>
      <c r="V5127" s="6"/>
      <c r="W5127" s="6"/>
      <c r="X5127" s="6"/>
      <c r="Y5127" s="6"/>
      <c r="Z5127" s="6"/>
      <c r="AA5127" s="6"/>
      <c r="AB5127" s="6"/>
      <c r="AC5127" s="6"/>
      <c r="AD5127" s="6"/>
      <c r="AE5127" s="6"/>
      <c r="AF5127" s="6"/>
      <c r="AG5127" s="6"/>
      <c r="AH5127" s="6"/>
      <c r="AI5127" s="6"/>
      <c r="AJ5127" s="6"/>
      <c r="AK5127" s="6"/>
      <c r="AL5127" s="6"/>
      <c r="AM5127" s="6"/>
    </row>
    <row r="5128">
      <c r="A5128" s="6"/>
      <c r="B5128" s="6"/>
      <c r="C5128" s="6"/>
      <c r="D5128" s="6"/>
      <c r="E5128" s="6"/>
      <c r="F5128" s="6"/>
      <c r="G5128" s="6"/>
      <c r="H5128" s="6"/>
      <c r="I5128" s="6"/>
      <c r="J5128" s="6"/>
      <c r="K5128" s="6"/>
      <c r="L5128" s="6"/>
      <c r="M5128" s="6"/>
      <c r="N5128" s="6"/>
      <c r="O5128" s="6"/>
      <c r="P5128" s="6"/>
      <c r="Q5128" s="6"/>
      <c r="R5128" s="6"/>
      <c r="S5128" s="6"/>
      <c r="T5128" s="6"/>
      <c r="U5128" s="6"/>
      <c r="V5128" s="6"/>
      <c r="W5128" s="6"/>
      <c r="X5128" s="6"/>
      <c r="Y5128" s="6"/>
      <c r="Z5128" s="6"/>
      <c r="AA5128" s="6"/>
      <c r="AB5128" s="6"/>
      <c r="AC5128" s="6"/>
      <c r="AD5128" s="6"/>
      <c r="AE5128" s="6"/>
      <c r="AF5128" s="6"/>
      <c r="AG5128" s="6"/>
      <c r="AH5128" s="6"/>
      <c r="AI5128" s="6"/>
      <c r="AJ5128" s="6"/>
      <c r="AK5128" s="6"/>
      <c r="AL5128" s="6"/>
      <c r="AM5128" s="6"/>
    </row>
    <row r="5129">
      <c r="A5129" s="6"/>
      <c r="B5129" s="6"/>
      <c r="C5129" s="6"/>
      <c r="D5129" s="6"/>
      <c r="E5129" s="6"/>
      <c r="F5129" s="6"/>
      <c r="G5129" s="6"/>
      <c r="H5129" s="6"/>
      <c r="I5129" s="6"/>
      <c r="J5129" s="6"/>
      <c r="K5129" s="6"/>
      <c r="L5129" s="6"/>
      <c r="M5129" s="6"/>
      <c r="N5129" s="6"/>
      <c r="O5129" s="6"/>
      <c r="P5129" s="6"/>
      <c r="Q5129" s="6"/>
      <c r="R5129" s="6"/>
      <c r="S5129" s="6"/>
      <c r="T5129" s="6"/>
      <c r="U5129" s="6"/>
      <c r="V5129" s="6"/>
      <c r="W5129" s="6"/>
      <c r="X5129" s="6"/>
      <c r="Y5129" s="6"/>
      <c r="Z5129" s="6"/>
      <c r="AA5129" s="6"/>
      <c r="AB5129" s="6"/>
      <c r="AC5129" s="6"/>
      <c r="AD5129" s="6"/>
      <c r="AE5129" s="6"/>
      <c r="AF5129" s="6"/>
      <c r="AG5129" s="6"/>
      <c r="AH5129" s="6"/>
      <c r="AI5129" s="6"/>
      <c r="AJ5129" s="6"/>
      <c r="AK5129" s="6"/>
      <c r="AL5129" s="6"/>
      <c r="AM5129" s="6"/>
    </row>
    <row r="5130">
      <c r="A5130" s="6"/>
      <c r="B5130" s="6"/>
      <c r="C5130" s="6"/>
      <c r="D5130" s="6"/>
      <c r="E5130" s="6"/>
      <c r="F5130" s="6"/>
      <c r="G5130" s="6"/>
      <c r="H5130" s="6"/>
      <c r="I5130" s="6"/>
      <c r="J5130" s="6"/>
      <c r="K5130" s="6"/>
      <c r="L5130" s="6"/>
      <c r="M5130" s="6"/>
      <c r="N5130" s="6"/>
      <c r="O5130" s="6"/>
      <c r="P5130" s="6"/>
      <c r="Q5130" s="6"/>
      <c r="R5130" s="6"/>
      <c r="S5130" s="6"/>
      <c r="T5130" s="6"/>
      <c r="U5130" s="6"/>
      <c r="V5130" s="6"/>
      <c r="W5130" s="6"/>
      <c r="X5130" s="6"/>
      <c r="Y5130" s="6"/>
      <c r="Z5130" s="6"/>
      <c r="AA5130" s="6"/>
      <c r="AB5130" s="6"/>
      <c r="AC5130" s="6"/>
      <c r="AD5130" s="6"/>
      <c r="AE5130" s="6"/>
      <c r="AF5130" s="6"/>
      <c r="AG5130" s="6"/>
      <c r="AH5130" s="6"/>
      <c r="AI5130" s="6"/>
      <c r="AJ5130" s="6"/>
      <c r="AK5130" s="6"/>
      <c r="AL5130" s="6"/>
      <c r="AM5130" s="6"/>
    </row>
    <row r="5131">
      <c r="A5131" s="6"/>
      <c r="B5131" s="6"/>
      <c r="C5131" s="6"/>
      <c r="D5131" s="6"/>
      <c r="E5131" s="6"/>
      <c r="F5131" s="6"/>
      <c r="G5131" s="6"/>
      <c r="H5131" s="6"/>
      <c r="I5131" s="6"/>
      <c r="J5131" s="6"/>
      <c r="K5131" s="6"/>
      <c r="L5131" s="6"/>
      <c r="M5131" s="6"/>
      <c r="N5131" s="6"/>
      <c r="O5131" s="6"/>
      <c r="P5131" s="6"/>
      <c r="Q5131" s="6"/>
      <c r="R5131" s="6"/>
      <c r="S5131" s="6"/>
      <c r="T5131" s="6"/>
      <c r="U5131" s="6"/>
      <c r="V5131" s="6"/>
      <c r="W5131" s="6"/>
      <c r="X5131" s="6"/>
      <c r="Y5131" s="6"/>
      <c r="Z5131" s="6"/>
      <c r="AA5131" s="6"/>
      <c r="AB5131" s="6"/>
      <c r="AC5131" s="6"/>
      <c r="AD5131" s="6"/>
      <c r="AE5131" s="6"/>
      <c r="AF5131" s="6"/>
      <c r="AG5131" s="6"/>
      <c r="AH5131" s="6"/>
      <c r="AI5131" s="6"/>
      <c r="AJ5131" s="6"/>
      <c r="AK5131" s="6"/>
      <c r="AL5131" s="6"/>
      <c r="AM5131" s="6"/>
    </row>
    <row r="5132">
      <c r="A5132" s="6"/>
      <c r="B5132" s="6"/>
      <c r="C5132" s="6"/>
      <c r="D5132" s="6"/>
      <c r="E5132" s="6"/>
      <c r="F5132" s="6"/>
      <c r="G5132" s="6"/>
      <c r="H5132" s="6"/>
      <c r="I5132" s="6"/>
      <c r="J5132" s="6"/>
      <c r="K5132" s="6"/>
      <c r="L5132" s="6"/>
      <c r="M5132" s="6"/>
      <c r="N5132" s="6"/>
      <c r="O5132" s="6"/>
      <c r="P5132" s="6"/>
      <c r="Q5132" s="6"/>
      <c r="R5132" s="6"/>
      <c r="S5132" s="6"/>
      <c r="T5132" s="6"/>
      <c r="U5132" s="6"/>
      <c r="V5132" s="6"/>
      <c r="W5132" s="6"/>
      <c r="X5132" s="6"/>
      <c r="Y5132" s="6"/>
      <c r="Z5132" s="6"/>
      <c r="AA5132" s="6"/>
      <c r="AB5132" s="6"/>
      <c r="AC5132" s="6"/>
      <c r="AD5132" s="6"/>
      <c r="AE5132" s="6"/>
      <c r="AF5132" s="6"/>
      <c r="AG5132" s="6"/>
      <c r="AH5132" s="6"/>
      <c r="AI5132" s="6"/>
      <c r="AJ5132" s="6"/>
      <c r="AK5132" s="6"/>
      <c r="AL5132" s="6"/>
      <c r="AM5132" s="6"/>
    </row>
    <row r="5133">
      <c r="A5133" s="6"/>
      <c r="B5133" s="6"/>
      <c r="C5133" s="6"/>
      <c r="D5133" s="6"/>
      <c r="E5133" s="6"/>
      <c r="F5133" s="6"/>
      <c r="G5133" s="6"/>
      <c r="H5133" s="6"/>
      <c r="I5133" s="6"/>
      <c r="J5133" s="6"/>
      <c r="K5133" s="6"/>
      <c r="L5133" s="6"/>
      <c r="M5133" s="6"/>
      <c r="N5133" s="6"/>
      <c r="O5133" s="6"/>
      <c r="P5133" s="6"/>
      <c r="Q5133" s="6"/>
      <c r="R5133" s="6"/>
      <c r="S5133" s="6"/>
      <c r="T5133" s="6"/>
      <c r="U5133" s="6"/>
      <c r="V5133" s="6"/>
      <c r="W5133" s="6"/>
      <c r="X5133" s="6"/>
      <c r="Y5133" s="6"/>
      <c r="Z5133" s="6"/>
      <c r="AA5133" s="6"/>
      <c r="AB5133" s="6"/>
      <c r="AC5133" s="6"/>
      <c r="AD5133" s="6"/>
      <c r="AE5133" s="6"/>
      <c r="AF5133" s="6"/>
      <c r="AG5133" s="6"/>
      <c r="AH5133" s="6"/>
      <c r="AI5133" s="6"/>
      <c r="AJ5133" s="6"/>
      <c r="AK5133" s="6"/>
      <c r="AL5133" s="6"/>
      <c r="AM5133" s="6"/>
    </row>
    <row r="5134">
      <c r="A5134" s="6"/>
      <c r="B5134" s="6"/>
      <c r="C5134" s="6"/>
      <c r="D5134" s="6"/>
      <c r="E5134" s="6"/>
      <c r="F5134" s="6"/>
      <c r="G5134" s="6"/>
      <c r="H5134" s="6"/>
      <c r="I5134" s="6"/>
      <c r="J5134" s="6"/>
      <c r="K5134" s="6"/>
      <c r="L5134" s="6"/>
      <c r="M5134" s="6"/>
      <c r="N5134" s="6"/>
      <c r="O5134" s="6"/>
      <c r="P5134" s="6"/>
      <c r="Q5134" s="6"/>
      <c r="R5134" s="6"/>
      <c r="S5134" s="6"/>
      <c r="T5134" s="6"/>
      <c r="U5134" s="6"/>
      <c r="V5134" s="6"/>
      <c r="W5134" s="6"/>
      <c r="X5134" s="6"/>
      <c r="Y5134" s="6"/>
      <c r="Z5134" s="6"/>
      <c r="AA5134" s="6"/>
      <c r="AB5134" s="6"/>
      <c r="AC5134" s="6"/>
      <c r="AD5134" s="6"/>
      <c r="AE5134" s="6"/>
      <c r="AF5134" s="6"/>
      <c r="AG5134" s="6"/>
      <c r="AH5134" s="6"/>
      <c r="AI5134" s="6"/>
      <c r="AJ5134" s="6"/>
      <c r="AK5134" s="6"/>
      <c r="AL5134" s="6"/>
      <c r="AM5134" s="6"/>
    </row>
    <row r="5135">
      <c r="A5135" s="6"/>
      <c r="B5135" s="6"/>
      <c r="C5135" s="6"/>
      <c r="D5135" s="6"/>
      <c r="E5135" s="6"/>
      <c r="F5135" s="6"/>
      <c r="G5135" s="6"/>
      <c r="H5135" s="6"/>
      <c r="I5135" s="6"/>
      <c r="J5135" s="6"/>
      <c r="K5135" s="6"/>
      <c r="L5135" s="6"/>
      <c r="M5135" s="6"/>
      <c r="N5135" s="6"/>
      <c r="O5135" s="6"/>
      <c r="P5135" s="6"/>
      <c r="Q5135" s="6"/>
      <c r="R5135" s="6"/>
      <c r="S5135" s="6"/>
      <c r="T5135" s="6"/>
      <c r="U5135" s="6"/>
      <c r="V5135" s="6"/>
      <c r="W5135" s="6"/>
      <c r="X5135" s="6"/>
      <c r="Y5135" s="6"/>
      <c r="Z5135" s="6"/>
      <c r="AA5135" s="6"/>
      <c r="AB5135" s="6"/>
      <c r="AC5135" s="6"/>
      <c r="AD5135" s="6"/>
      <c r="AE5135" s="6"/>
      <c r="AF5135" s="6"/>
      <c r="AG5135" s="6"/>
      <c r="AH5135" s="6"/>
      <c r="AI5135" s="6"/>
      <c r="AJ5135" s="6"/>
      <c r="AK5135" s="6"/>
      <c r="AL5135" s="6"/>
      <c r="AM5135" s="6"/>
    </row>
    <row r="5136">
      <c r="A5136" s="6"/>
      <c r="B5136" s="6"/>
      <c r="C5136" s="6"/>
      <c r="D5136" s="6"/>
      <c r="E5136" s="6"/>
      <c r="F5136" s="6"/>
      <c r="G5136" s="6"/>
      <c r="H5136" s="6"/>
      <c r="I5136" s="6"/>
      <c r="J5136" s="6"/>
      <c r="K5136" s="6"/>
      <c r="L5136" s="6"/>
      <c r="M5136" s="6"/>
      <c r="N5136" s="6"/>
      <c r="O5136" s="6"/>
      <c r="P5136" s="6"/>
      <c r="Q5136" s="6"/>
      <c r="R5136" s="6"/>
      <c r="S5136" s="6"/>
      <c r="T5136" s="6"/>
      <c r="U5136" s="6"/>
      <c r="V5136" s="6"/>
      <c r="W5136" s="6"/>
      <c r="X5136" s="6"/>
      <c r="Y5136" s="6"/>
      <c r="Z5136" s="6"/>
      <c r="AA5136" s="6"/>
      <c r="AB5136" s="6"/>
      <c r="AC5136" s="6"/>
      <c r="AD5136" s="6"/>
      <c r="AE5136" s="6"/>
      <c r="AF5136" s="6"/>
      <c r="AG5136" s="6"/>
      <c r="AH5136" s="6"/>
      <c r="AI5136" s="6"/>
      <c r="AJ5136" s="6"/>
      <c r="AK5136" s="6"/>
      <c r="AL5136" s="6"/>
      <c r="AM5136" s="6"/>
    </row>
    <row r="5137">
      <c r="A5137" s="6"/>
      <c r="B5137" s="6"/>
      <c r="C5137" s="6"/>
      <c r="D5137" s="6"/>
      <c r="E5137" s="6"/>
      <c r="F5137" s="6"/>
      <c r="G5137" s="6"/>
      <c r="H5137" s="6"/>
      <c r="I5137" s="6"/>
      <c r="J5137" s="6"/>
      <c r="K5137" s="6"/>
      <c r="L5137" s="6"/>
      <c r="M5137" s="6"/>
      <c r="N5137" s="6"/>
      <c r="O5137" s="6"/>
      <c r="P5137" s="6"/>
      <c r="Q5137" s="6"/>
      <c r="R5137" s="6"/>
      <c r="S5137" s="6"/>
      <c r="T5137" s="6"/>
      <c r="U5137" s="6"/>
      <c r="V5137" s="6"/>
      <c r="W5137" s="6"/>
      <c r="X5137" s="6"/>
      <c r="Y5137" s="6"/>
      <c r="Z5137" s="6"/>
      <c r="AA5137" s="6"/>
      <c r="AB5137" s="6"/>
      <c r="AC5137" s="6"/>
      <c r="AD5137" s="6"/>
      <c r="AE5137" s="6"/>
      <c r="AF5137" s="6"/>
      <c r="AG5137" s="6"/>
      <c r="AH5137" s="6"/>
      <c r="AI5137" s="6"/>
      <c r="AJ5137" s="6"/>
      <c r="AK5137" s="6"/>
      <c r="AL5137" s="6"/>
      <c r="AM5137" s="6"/>
    </row>
    <row r="5138">
      <c r="A5138" s="6"/>
      <c r="B5138" s="6"/>
      <c r="C5138" s="6"/>
      <c r="D5138" s="6"/>
      <c r="E5138" s="6"/>
      <c r="F5138" s="6"/>
      <c r="G5138" s="6"/>
      <c r="H5138" s="6"/>
      <c r="I5138" s="6"/>
      <c r="J5138" s="6"/>
      <c r="K5138" s="6"/>
      <c r="L5138" s="6"/>
      <c r="M5138" s="6"/>
      <c r="N5138" s="6"/>
      <c r="O5138" s="6"/>
      <c r="P5138" s="6"/>
      <c r="Q5138" s="6"/>
      <c r="R5138" s="6"/>
      <c r="S5138" s="6"/>
      <c r="T5138" s="6"/>
      <c r="U5138" s="6"/>
      <c r="V5138" s="6"/>
      <c r="W5138" s="6"/>
      <c r="X5138" s="6"/>
      <c r="Y5138" s="6"/>
      <c r="Z5138" s="6"/>
      <c r="AA5138" s="6"/>
      <c r="AB5138" s="6"/>
      <c r="AC5138" s="6"/>
      <c r="AD5138" s="6"/>
      <c r="AE5138" s="6"/>
      <c r="AF5138" s="6"/>
      <c r="AG5138" s="6"/>
      <c r="AH5138" s="6"/>
      <c r="AI5138" s="6"/>
      <c r="AJ5138" s="6"/>
      <c r="AK5138" s="6"/>
      <c r="AL5138" s="6"/>
      <c r="AM5138" s="6"/>
    </row>
    <row r="5139">
      <c r="A5139" s="6"/>
      <c r="B5139" s="6"/>
      <c r="C5139" s="6"/>
      <c r="D5139" s="6"/>
      <c r="E5139" s="6"/>
      <c r="F5139" s="6"/>
      <c r="G5139" s="6"/>
      <c r="H5139" s="6"/>
      <c r="I5139" s="6"/>
      <c r="J5139" s="6"/>
      <c r="K5139" s="6"/>
      <c r="L5139" s="6"/>
      <c r="M5139" s="6"/>
      <c r="N5139" s="6"/>
      <c r="O5139" s="6"/>
      <c r="P5139" s="6"/>
      <c r="Q5139" s="6"/>
      <c r="R5139" s="6"/>
      <c r="S5139" s="6"/>
      <c r="T5139" s="6"/>
      <c r="U5139" s="6"/>
      <c r="V5139" s="6"/>
      <c r="W5139" s="6"/>
      <c r="X5139" s="6"/>
      <c r="Y5139" s="6"/>
      <c r="Z5139" s="6"/>
      <c r="AA5139" s="6"/>
      <c r="AB5139" s="6"/>
      <c r="AC5139" s="6"/>
      <c r="AD5139" s="6"/>
      <c r="AE5139" s="6"/>
      <c r="AF5139" s="6"/>
      <c r="AG5139" s="6"/>
      <c r="AH5139" s="6"/>
      <c r="AI5139" s="6"/>
      <c r="AJ5139" s="6"/>
      <c r="AK5139" s="6"/>
      <c r="AL5139" s="6"/>
      <c r="AM5139" s="6"/>
    </row>
    <row r="5140">
      <c r="A5140" s="6"/>
      <c r="B5140" s="6"/>
      <c r="C5140" s="6"/>
      <c r="D5140" s="6"/>
      <c r="E5140" s="6"/>
      <c r="F5140" s="6"/>
      <c r="G5140" s="6"/>
      <c r="H5140" s="6"/>
      <c r="I5140" s="6"/>
      <c r="J5140" s="6"/>
      <c r="K5140" s="6"/>
      <c r="L5140" s="6"/>
      <c r="M5140" s="6"/>
      <c r="N5140" s="6"/>
      <c r="O5140" s="6"/>
      <c r="P5140" s="6"/>
      <c r="Q5140" s="6"/>
      <c r="R5140" s="6"/>
      <c r="S5140" s="6"/>
      <c r="T5140" s="6"/>
      <c r="U5140" s="6"/>
      <c r="V5140" s="6"/>
      <c r="W5140" s="6"/>
      <c r="X5140" s="6"/>
      <c r="Y5140" s="6"/>
      <c r="Z5140" s="6"/>
      <c r="AA5140" s="6"/>
      <c r="AB5140" s="6"/>
      <c r="AC5140" s="6"/>
      <c r="AD5140" s="6"/>
      <c r="AE5140" s="6"/>
      <c r="AF5140" s="6"/>
      <c r="AG5140" s="6"/>
      <c r="AH5140" s="6"/>
      <c r="AI5140" s="6"/>
      <c r="AJ5140" s="6"/>
      <c r="AK5140" s="6"/>
      <c r="AL5140" s="6"/>
      <c r="AM5140" s="6"/>
    </row>
    <row r="5141">
      <c r="A5141" s="6"/>
      <c r="B5141" s="6"/>
      <c r="C5141" s="6"/>
      <c r="D5141" s="6"/>
      <c r="E5141" s="6"/>
      <c r="F5141" s="6"/>
      <c r="G5141" s="6"/>
      <c r="H5141" s="6"/>
      <c r="I5141" s="6"/>
      <c r="J5141" s="6"/>
      <c r="K5141" s="6"/>
      <c r="L5141" s="6"/>
      <c r="M5141" s="6"/>
      <c r="N5141" s="6"/>
      <c r="O5141" s="6"/>
      <c r="P5141" s="6"/>
      <c r="Q5141" s="6"/>
      <c r="R5141" s="6"/>
      <c r="S5141" s="6"/>
      <c r="T5141" s="6"/>
      <c r="U5141" s="6"/>
      <c r="V5141" s="6"/>
      <c r="W5141" s="6"/>
      <c r="X5141" s="6"/>
      <c r="Y5141" s="6"/>
      <c r="Z5141" s="6"/>
      <c r="AA5141" s="6"/>
      <c r="AB5141" s="6"/>
      <c r="AC5141" s="6"/>
      <c r="AD5141" s="6"/>
      <c r="AE5141" s="6"/>
      <c r="AF5141" s="6"/>
      <c r="AG5141" s="6"/>
      <c r="AH5141" s="6"/>
      <c r="AI5141" s="6"/>
      <c r="AJ5141" s="6"/>
      <c r="AK5141" s="6"/>
      <c r="AL5141" s="6"/>
      <c r="AM5141" s="6"/>
    </row>
    <row r="5142">
      <c r="A5142" s="6"/>
      <c r="B5142" s="6"/>
      <c r="C5142" s="6"/>
      <c r="D5142" s="6"/>
      <c r="E5142" s="6"/>
      <c r="F5142" s="6"/>
      <c r="G5142" s="6"/>
      <c r="H5142" s="6"/>
      <c r="I5142" s="6"/>
      <c r="J5142" s="6"/>
      <c r="K5142" s="6"/>
      <c r="L5142" s="6"/>
      <c r="M5142" s="6"/>
      <c r="N5142" s="6"/>
      <c r="O5142" s="6"/>
      <c r="P5142" s="6"/>
      <c r="Q5142" s="6"/>
      <c r="R5142" s="6"/>
      <c r="S5142" s="6"/>
      <c r="T5142" s="6"/>
      <c r="U5142" s="6"/>
      <c r="V5142" s="6"/>
      <c r="W5142" s="6"/>
      <c r="X5142" s="6"/>
      <c r="Y5142" s="6"/>
      <c r="Z5142" s="6"/>
      <c r="AA5142" s="6"/>
      <c r="AB5142" s="6"/>
      <c r="AC5142" s="6"/>
      <c r="AD5142" s="6"/>
      <c r="AE5142" s="6"/>
      <c r="AF5142" s="6"/>
      <c r="AG5142" s="6"/>
      <c r="AH5142" s="6"/>
      <c r="AI5142" s="6"/>
      <c r="AJ5142" s="6"/>
      <c r="AK5142" s="6"/>
      <c r="AL5142" s="6"/>
      <c r="AM5142" s="6"/>
    </row>
    <row r="5143">
      <c r="A5143" s="6"/>
      <c r="B5143" s="6"/>
      <c r="C5143" s="6"/>
      <c r="D5143" s="6"/>
      <c r="E5143" s="6"/>
      <c r="F5143" s="6"/>
      <c r="G5143" s="6"/>
      <c r="H5143" s="6"/>
      <c r="I5143" s="6"/>
      <c r="J5143" s="6"/>
      <c r="K5143" s="6"/>
      <c r="L5143" s="6"/>
      <c r="M5143" s="6"/>
      <c r="N5143" s="6"/>
      <c r="O5143" s="6"/>
      <c r="P5143" s="6"/>
      <c r="Q5143" s="6"/>
      <c r="R5143" s="6"/>
      <c r="S5143" s="6"/>
      <c r="T5143" s="6"/>
      <c r="U5143" s="6"/>
      <c r="V5143" s="6"/>
      <c r="W5143" s="6"/>
      <c r="X5143" s="6"/>
      <c r="Y5143" s="6"/>
      <c r="Z5143" s="6"/>
      <c r="AA5143" s="6"/>
      <c r="AB5143" s="6"/>
      <c r="AC5143" s="6"/>
      <c r="AD5143" s="6"/>
      <c r="AE5143" s="6"/>
      <c r="AF5143" s="6"/>
      <c r="AG5143" s="6"/>
      <c r="AH5143" s="6"/>
      <c r="AI5143" s="6"/>
      <c r="AJ5143" s="6"/>
      <c r="AK5143" s="6"/>
      <c r="AL5143" s="6"/>
      <c r="AM5143" s="6"/>
    </row>
    <row r="5144">
      <c r="A5144" s="6"/>
      <c r="B5144" s="6"/>
      <c r="C5144" s="6"/>
      <c r="D5144" s="6"/>
      <c r="E5144" s="6"/>
      <c r="F5144" s="6"/>
      <c r="G5144" s="6"/>
      <c r="H5144" s="6"/>
      <c r="I5144" s="6"/>
      <c r="J5144" s="6"/>
      <c r="K5144" s="6"/>
      <c r="L5144" s="6"/>
      <c r="M5144" s="6"/>
      <c r="N5144" s="6"/>
      <c r="O5144" s="6"/>
      <c r="P5144" s="6"/>
      <c r="Q5144" s="6"/>
      <c r="R5144" s="6"/>
      <c r="S5144" s="6"/>
      <c r="T5144" s="6"/>
      <c r="U5144" s="6"/>
      <c r="V5144" s="6"/>
      <c r="W5144" s="6"/>
      <c r="X5144" s="6"/>
      <c r="Y5144" s="6"/>
      <c r="Z5144" s="6"/>
      <c r="AA5144" s="6"/>
      <c r="AB5144" s="6"/>
      <c r="AC5144" s="6"/>
      <c r="AD5144" s="6"/>
      <c r="AE5144" s="6"/>
      <c r="AF5144" s="6"/>
      <c r="AG5144" s="6"/>
      <c r="AH5144" s="6"/>
      <c r="AI5144" s="6"/>
      <c r="AJ5144" s="6"/>
      <c r="AK5144" s="6"/>
      <c r="AL5144" s="6"/>
      <c r="AM5144" s="6"/>
    </row>
    <row r="5145">
      <c r="A5145" s="6"/>
      <c r="B5145" s="6"/>
      <c r="C5145" s="6"/>
      <c r="D5145" s="6"/>
      <c r="E5145" s="6"/>
      <c r="F5145" s="6"/>
      <c r="G5145" s="6"/>
      <c r="H5145" s="6"/>
      <c r="I5145" s="6"/>
      <c r="J5145" s="6"/>
      <c r="K5145" s="6"/>
      <c r="L5145" s="6"/>
      <c r="M5145" s="6"/>
      <c r="N5145" s="6"/>
      <c r="O5145" s="6"/>
      <c r="P5145" s="6"/>
      <c r="Q5145" s="6"/>
      <c r="R5145" s="6"/>
      <c r="S5145" s="6"/>
      <c r="T5145" s="6"/>
      <c r="U5145" s="6"/>
      <c r="V5145" s="6"/>
      <c r="W5145" s="6"/>
      <c r="X5145" s="6"/>
      <c r="Y5145" s="6"/>
      <c r="Z5145" s="6"/>
      <c r="AA5145" s="6"/>
      <c r="AB5145" s="6"/>
      <c r="AC5145" s="6"/>
      <c r="AD5145" s="6"/>
      <c r="AE5145" s="6"/>
      <c r="AF5145" s="6"/>
      <c r="AG5145" s="6"/>
      <c r="AH5145" s="6"/>
      <c r="AI5145" s="6"/>
      <c r="AJ5145" s="6"/>
      <c r="AK5145" s="6"/>
      <c r="AL5145" s="6"/>
      <c r="AM5145" s="6"/>
    </row>
    <row r="5146">
      <c r="A5146" s="6"/>
      <c r="B5146" s="6"/>
      <c r="C5146" s="6"/>
      <c r="D5146" s="6"/>
      <c r="E5146" s="6"/>
      <c r="F5146" s="6"/>
      <c r="G5146" s="6"/>
      <c r="H5146" s="6"/>
      <c r="I5146" s="6"/>
      <c r="J5146" s="6"/>
      <c r="K5146" s="6"/>
      <c r="L5146" s="6"/>
      <c r="M5146" s="6"/>
      <c r="N5146" s="6"/>
      <c r="O5146" s="6"/>
      <c r="P5146" s="6"/>
      <c r="Q5146" s="6"/>
      <c r="R5146" s="6"/>
      <c r="S5146" s="6"/>
      <c r="T5146" s="6"/>
      <c r="U5146" s="6"/>
      <c r="V5146" s="6"/>
      <c r="W5146" s="6"/>
      <c r="X5146" s="6"/>
      <c r="Y5146" s="6"/>
      <c r="Z5146" s="6"/>
      <c r="AA5146" s="6"/>
      <c r="AB5146" s="6"/>
      <c r="AC5146" s="6"/>
      <c r="AD5146" s="6"/>
      <c r="AE5146" s="6"/>
      <c r="AF5146" s="6"/>
      <c r="AG5146" s="6"/>
      <c r="AH5146" s="6"/>
      <c r="AI5146" s="6"/>
      <c r="AJ5146" s="6"/>
      <c r="AK5146" s="6"/>
      <c r="AL5146" s="6"/>
      <c r="AM5146" s="6"/>
    </row>
    <row r="5147">
      <c r="A5147" s="6"/>
      <c r="B5147" s="6"/>
      <c r="C5147" s="6"/>
      <c r="D5147" s="6"/>
      <c r="E5147" s="6"/>
      <c r="F5147" s="6"/>
      <c r="G5147" s="6"/>
      <c r="H5147" s="6"/>
      <c r="I5147" s="6"/>
      <c r="J5147" s="6"/>
      <c r="K5147" s="6"/>
      <c r="L5147" s="6"/>
      <c r="M5147" s="6"/>
      <c r="N5147" s="6"/>
      <c r="O5147" s="6"/>
      <c r="P5147" s="6"/>
      <c r="Q5147" s="6"/>
      <c r="R5147" s="6"/>
      <c r="S5147" s="6"/>
      <c r="T5147" s="6"/>
      <c r="U5147" s="6"/>
      <c r="V5147" s="6"/>
      <c r="W5147" s="6"/>
      <c r="X5147" s="6"/>
      <c r="Y5147" s="6"/>
      <c r="Z5147" s="6"/>
      <c r="AA5147" s="6"/>
      <c r="AB5147" s="6"/>
      <c r="AC5147" s="6"/>
      <c r="AD5147" s="6"/>
      <c r="AE5147" s="6"/>
      <c r="AF5147" s="6"/>
      <c r="AG5147" s="6"/>
      <c r="AH5147" s="6"/>
      <c r="AI5147" s="6"/>
      <c r="AJ5147" s="6"/>
      <c r="AK5147" s="6"/>
      <c r="AL5147" s="6"/>
      <c r="AM5147" s="6"/>
    </row>
    <row r="5148">
      <c r="A5148" s="6"/>
      <c r="B5148" s="6"/>
      <c r="C5148" s="6"/>
      <c r="D5148" s="6"/>
      <c r="E5148" s="6"/>
      <c r="F5148" s="6"/>
      <c r="G5148" s="6"/>
      <c r="H5148" s="6"/>
      <c r="I5148" s="6"/>
      <c r="J5148" s="6"/>
      <c r="K5148" s="6"/>
      <c r="L5148" s="6"/>
      <c r="M5148" s="6"/>
      <c r="N5148" s="6"/>
      <c r="O5148" s="6"/>
      <c r="P5148" s="6"/>
      <c r="Q5148" s="6"/>
      <c r="R5148" s="6"/>
      <c r="S5148" s="6"/>
      <c r="T5148" s="6"/>
      <c r="U5148" s="6"/>
      <c r="V5148" s="6"/>
      <c r="W5148" s="6"/>
      <c r="X5148" s="6"/>
      <c r="Y5148" s="6"/>
      <c r="Z5148" s="6"/>
      <c r="AA5148" s="6"/>
      <c r="AB5148" s="6"/>
      <c r="AC5148" s="6"/>
      <c r="AD5148" s="6"/>
      <c r="AE5148" s="6"/>
      <c r="AF5148" s="6"/>
      <c r="AG5148" s="6"/>
      <c r="AH5148" s="6"/>
      <c r="AI5148" s="6"/>
      <c r="AJ5148" s="6"/>
      <c r="AK5148" s="6"/>
      <c r="AL5148" s="6"/>
      <c r="AM5148" s="6"/>
    </row>
    <row r="5149">
      <c r="A5149" s="6"/>
      <c r="B5149" s="6"/>
      <c r="C5149" s="6"/>
      <c r="D5149" s="6"/>
      <c r="E5149" s="6"/>
      <c r="F5149" s="6"/>
      <c r="G5149" s="6"/>
      <c r="H5149" s="6"/>
      <c r="I5149" s="6"/>
      <c r="J5149" s="6"/>
      <c r="K5149" s="6"/>
      <c r="L5149" s="6"/>
      <c r="M5149" s="6"/>
      <c r="N5149" s="6"/>
      <c r="O5149" s="6"/>
      <c r="P5149" s="6"/>
      <c r="Q5149" s="6"/>
      <c r="R5149" s="6"/>
      <c r="S5149" s="6"/>
      <c r="T5149" s="6"/>
      <c r="U5149" s="6"/>
      <c r="V5149" s="6"/>
      <c r="W5149" s="6"/>
      <c r="X5149" s="6"/>
      <c r="Y5149" s="6"/>
      <c r="Z5149" s="6"/>
      <c r="AA5149" s="6"/>
      <c r="AB5149" s="6"/>
      <c r="AC5149" s="6"/>
      <c r="AD5149" s="6"/>
      <c r="AE5149" s="6"/>
      <c r="AF5149" s="6"/>
      <c r="AG5149" s="6"/>
      <c r="AH5149" s="6"/>
      <c r="AI5149" s="6"/>
      <c r="AJ5149" s="6"/>
      <c r="AK5149" s="6"/>
      <c r="AL5149" s="6"/>
      <c r="AM5149" s="6"/>
    </row>
    <row r="5150">
      <c r="A5150" s="6"/>
      <c r="B5150" s="6"/>
      <c r="C5150" s="6"/>
      <c r="D5150" s="6"/>
      <c r="E5150" s="6"/>
      <c r="F5150" s="6"/>
      <c r="G5150" s="6"/>
      <c r="H5150" s="6"/>
      <c r="I5150" s="6"/>
      <c r="J5150" s="6"/>
      <c r="K5150" s="6"/>
      <c r="L5150" s="6"/>
      <c r="M5150" s="6"/>
      <c r="N5150" s="6"/>
      <c r="O5150" s="6"/>
      <c r="P5150" s="6"/>
      <c r="Q5150" s="6"/>
      <c r="R5150" s="6"/>
      <c r="S5150" s="6"/>
      <c r="T5150" s="6"/>
      <c r="U5150" s="6"/>
      <c r="V5150" s="6"/>
      <c r="W5150" s="6"/>
      <c r="X5150" s="6"/>
      <c r="Y5150" s="6"/>
      <c r="Z5150" s="6"/>
      <c r="AA5150" s="6"/>
      <c r="AB5150" s="6"/>
      <c r="AC5150" s="6"/>
      <c r="AD5150" s="6"/>
      <c r="AE5150" s="6"/>
      <c r="AF5150" s="6"/>
      <c r="AG5150" s="6"/>
      <c r="AH5150" s="6"/>
      <c r="AI5150" s="6"/>
      <c r="AJ5150" s="6"/>
      <c r="AK5150" s="6"/>
      <c r="AL5150" s="6"/>
      <c r="AM5150" s="6"/>
    </row>
    <row r="5151">
      <c r="A5151" s="6"/>
      <c r="B5151" s="6"/>
      <c r="C5151" s="6"/>
      <c r="D5151" s="6"/>
      <c r="E5151" s="6"/>
      <c r="F5151" s="6"/>
      <c r="G5151" s="6"/>
      <c r="H5151" s="6"/>
      <c r="I5151" s="6"/>
      <c r="J5151" s="6"/>
      <c r="K5151" s="6"/>
      <c r="L5151" s="6"/>
      <c r="M5151" s="6"/>
      <c r="N5151" s="6"/>
      <c r="O5151" s="6"/>
      <c r="P5151" s="6"/>
      <c r="Q5151" s="6"/>
      <c r="R5151" s="6"/>
      <c r="S5151" s="6"/>
      <c r="T5151" s="6"/>
      <c r="U5151" s="6"/>
      <c r="V5151" s="6"/>
      <c r="W5151" s="6"/>
      <c r="X5151" s="6"/>
      <c r="Y5151" s="6"/>
      <c r="Z5151" s="6"/>
      <c r="AA5151" s="6"/>
      <c r="AB5151" s="6"/>
      <c r="AC5151" s="6"/>
      <c r="AD5151" s="6"/>
      <c r="AE5151" s="6"/>
      <c r="AF5151" s="6"/>
      <c r="AG5151" s="6"/>
      <c r="AH5151" s="6"/>
      <c r="AI5151" s="6"/>
      <c r="AJ5151" s="6"/>
      <c r="AK5151" s="6"/>
      <c r="AL5151" s="6"/>
      <c r="AM5151" s="6"/>
    </row>
    <row r="5152">
      <c r="A5152" s="6"/>
      <c r="B5152" s="6"/>
      <c r="C5152" s="6"/>
      <c r="D5152" s="6"/>
      <c r="E5152" s="6"/>
      <c r="F5152" s="6"/>
      <c r="G5152" s="6"/>
      <c r="H5152" s="6"/>
      <c r="I5152" s="6"/>
      <c r="J5152" s="6"/>
      <c r="K5152" s="6"/>
      <c r="L5152" s="6"/>
      <c r="M5152" s="6"/>
      <c r="N5152" s="6"/>
      <c r="O5152" s="6"/>
      <c r="P5152" s="6"/>
      <c r="Q5152" s="6"/>
      <c r="R5152" s="6"/>
      <c r="S5152" s="6"/>
      <c r="T5152" s="6"/>
      <c r="U5152" s="6"/>
      <c r="V5152" s="6"/>
      <c r="W5152" s="6"/>
      <c r="X5152" s="6"/>
      <c r="Y5152" s="6"/>
      <c r="Z5152" s="6"/>
      <c r="AA5152" s="6"/>
      <c r="AB5152" s="6"/>
      <c r="AC5152" s="6"/>
      <c r="AD5152" s="6"/>
      <c r="AE5152" s="6"/>
      <c r="AF5152" s="6"/>
      <c r="AG5152" s="6"/>
      <c r="AH5152" s="6"/>
      <c r="AI5152" s="6"/>
      <c r="AJ5152" s="6"/>
      <c r="AK5152" s="6"/>
      <c r="AL5152" s="6"/>
      <c r="AM5152" s="6"/>
    </row>
    <row r="5153">
      <c r="A5153" s="6"/>
      <c r="B5153" s="6"/>
      <c r="C5153" s="6"/>
      <c r="D5153" s="6"/>
      <c r="E5153" s="6"/>
      <c r="F5153" s="6"/>
      <c r="G5153" s="6"/>
      <c r="H5153" s="6"/>
      <c r="I5153" s="6"/>
      <c r="J5153" s="6"/>
      <c r="K5153" s="6"/>
      <c r="L5153" s="6"/>
      <c r="M5153" s="6"/>
      <c r="N5153" s="6"/>
      <c r="O5153" s="6"/>
      <c r="P5153" s="6"/>
      <c r="Q5153" s="6"/>
      <c r="R5153" s="6"/>
      <c r="S5153" s="6"/>
      <c r="T5153" s="6"/>
      <c r="U5153" s="6"/>
      <c r="V5153" s="6"/>
      <c r="W5153" s="6"/>
      <c r="X5153" s="6"/>
      <c r="Y5153" s="6"/>
      <c r="Z5153" s="6"/>
      <c r="AA5153" s="6"/>
      <c r="AB5153" s="6"/>
      <c r="AC5153" s="6"/>
      <c r="AD5153" s="6"/>
      <c r="AE5153" s="6"/>
      <c r="AF5153" s="6"/>
      <c r="AG5153" s="6"/>
      <c r="AH5153" s="6"/>
      <c r="AI5153" s="6"/>
      <c r="AJ5153" s="6"/>
      <c r="AK5153" s="6"/>
      <c r="AL5153" s="6"/>
      <c r="AM5153" s="6"/>
    </row>
    <row r="5154">
      <c r="A5154" s="6"/>
      <c r="B5154" s="6"/>
      <c r="C5154" s="6"/>
      <c r="D5154" s="6"/>
      <c r="E5154" s="6"/>
      <c r="F5154" s="6"/>
      <c r="G5154" s="6"/>
      <c r="H5154" s="6"/>
      <c r="I5154" s="6"/>
      <c r="J5154" s="6"/>
      <c r="K5154" s="6"/>
      <c r="L5154" s="6"/>
      <c r="M5154" s="6"/>
      <c r="N5154" s="6"/>
      <c r="O5154" s="6"/>
      <c r="P5154" s="6"/>
      <c r="Q5154" s="6"/>
      <c r="R5154" s="6"/>
      <c r="S5154" s="6"/>
      <c r="T5154" s="6"/>
      <c r="U5154" s="6"/>
      <c r="V5154" s="6"/>
      <c r="W5154" s="6"/>
      <c r="X5154" s="6"/>
      <c r="Y5154" s="6"/>
      <c r="Z5154" s="6"/>
      <c r="AA5154" s="6"/>
      <c r="AB5154" s="6"/>
      <c r="AC5154" s="6"/>
      <c r="AD5154" s="6"/>
      <c r="AE5154" s="6"/>
      <c r="AF5154" s="6"/>
      <c r="AG5154" s="6"/>
      <c r="AH5154" s="6"/>
      <c r="AI5154" s="6"/>
      <c r="AJ5154" s="6"/>
      <c r="AK5154" s="6"/>
      <c r="AL5154" s="6"/>
      <c r="AM5154" s="6"/>
    </row>
    <row r="5155">
      <c r="A5155" s="6"/>
      <c r="B5155" s="6"/>
      <c r="C5155" s="6"/>
      <c r="D5155" s="6"/>
      <c r="E5155" s="6"/>
      <c r="F5155" s="6"/>
      <c r="G5155" s="6"/>
      <c r="H5155" s="6"/>
      <c r="I5155" s="6"/>
      <c r="J5155" s="6"/>
      <c r="K5155" s="6"/>
      <c r="L5155" s="6"/>
      <c r="M5155" s="6"/>
      <c r="N5155" s="6"/>
      <c r="O5155" s="6"/>
      <c r="P5155" s="6"/>
      <c r="Q5155" s="6"/>
      <c r="R5155" s="6"/>
      <c r="S5155" s="6"/>
      <c r="T5155" s="6"/>
      <c r="U5155" s="6"/>
      <c r="V5155" s="6"/>
      <c r="W5155" s="6"/>
      <c r="X5155" s="6"/>
      <c r="Y5155" s="6"/>
      <c r="Z5155" s="6"/>
      <c r="AA5155" s="6"/>
      <c r="AB5155" s="6"/>
      <c r="AC5155" s="6"/>
      <c r="AD5155" s="6"/>
      <c r="AE5155" s="6"/>
      <c r="AF5155" s="6"/>
      <c r="AG5155" s="6"/>
      <c r="AH5155" s="6"/>
      <c r="AI5155" s="6"/>
      <c r="AJ5155" s="6"/>
      <c r="AK5155" s="6"/>
      <c r="AL5155" s="6"/>
      <c r="AM5155" s="6"/>
    </row>
    <row r="5156">
      <c r="A5156" s="6"/>
      <c r="B5156" s="6"/>
      <c r="C5156" s="6"/>
      <c r="D5156" s="6"/>
      <c r="E5156" s="6"/>
      <c r="F5156" s="6"/>
      <c r="G5156" s="6"/>
      <c r="H5156" s="6"/>
      <c r="I5156" s="6"/>
      <c r="J5156" s="6"/>
      <c r="K5156" s="6"/>
      <c r="L5156" s="6"/>
      <c r="M5156" s="6"/>
      <c r="N5156" s="6"/>
      <c r="O5156" s="6"/>
      <c r="P5156" s="6"/>
      <c r="Q5156" s="6"/>
      <c r="R5156" s="6"/>
      <c r="S5156" s="6"/>
      <c r="T5156" s="6"/>
      <c r="U5156" s="6"/>
      <c r="V5156" s="6"/>
      <c r="W5156" s="6"/>
      <c r="X5156" s="6"/>
      <c r="Y5156" s="6"/>
      <c r="Z5156" s="6"/>
      <c r="AA5156" s="6"/>
      <c r="AB5156" s="6"/>
      <c r="AC5156" s="6"/>
      <c r="AD5156" s="6"/>
      <c r="AE5156" s="6"/>
      <c r="AF5156" s="6"/>
      <c r="AG5156" s="6"/>
      <c r="AH5156" s="6"/>
      <c r="AI5156" s="6"/>
      <c r="AJ5156" s="6"/>
      <c r="AK5156" s="6"/>
      <c r="AL5156" s="6"/>
      <c r="AM5156" s="6"/>
    </row>
    <row r="5157">
      <c r="A5157" s="6"/>
      <c r="B5157" s="6"/>
      <c r="C5157" s="6"/>
      <c r="D5157" s="6"/>
      <c r="E5157" s="6"/>
      <c r="F5157" s="6"/>
      <c r="G5157" s="6"/>
      <c r="H5157" s="6"/>
      <c r="I5157" s="6"/>
      <c r="J5157" s="6"/>
      <c r="K5157" s="6"/>
      <c r="L5157" s="6"/>
      <c r="M5157" s="6"/>
      <c r="N5157" s="6"/>
      <c r="O5157" s="6"/>
      <c r="P5157" s="6"/>
      <c r="Q5157" s="6"/>
      <c r="R5157" s="6"/>
      <c r="S5157" s="6"/>
      <c r="T5157" s="6"/>
      <c r="U5157" s="6"/>
      <c r="V5157" s="6"/>
      <c r="W5157" s="6"/>
      <c r="X5157" s="6"/>
      <c r="Y5157" s="6"/>
      <c r="Z5157" s="6"/>
      <c r="AA5157" s="6"/>
      <c r="AB5157" s="6"/>
      <c r="AC5157" s="6"/>
      <c r="AD5157" s="6"/>
      <c r="AE5157" s="6"/>
      <c r="AF5157" s="6"/>
      <c r="AG5157" s="6"/>
      <c r="AH5157" s="6"/>
      <c r="AI5157" s="6"/>
      <c r="AJ5157" s="6"/>
      <c r="AK5157" s="6"/>
      <c r="AL5157" s="6"/>
      <c r="AM5157" s="6"/>
    </row>
    <row r="5158">
      <c r="A5158" s="6"/>
      <c r="B5158" s="6"/>
      <c r="C5158" s="6"/>
      <c r="D5158" s="6"/>
      <c r="E5158" s="6"/>
      <c r="F5158" s="6"/>
      <c r="G5158" s="6"/>
      <c r="H5158" s="6"/>
      <c r="I5158" s="6"/>
      <c r="J5158" s="6"/>
      <c r="K5158" s="6"/>
      <c r="L5158" s="6"/>
      <c r="M5158" s="6"/>
      <c r="N5158" s="6"/>
      <c r="O5158" s="6"/>
      <c r="P5158" s="6"/>
      <c r="Q5158" s="6"/>
      <c r="R5158" s="6"/>
      <c r="S5158" s="6"/>
      <c r="T5158" s="6"/>
      <c r="U5158" s="6"/>
      <c r="V5158" s="6"/>
      <c r="W5158" s="6"/>
      <c r="X5158" s="6"/>
      <c r="Y5158" s="6"/>
      <c r="Z5158" s="6"/>
      <c r="AA5158" s="6"/>
      <c r="AB5158" s="6"/>
      <c r="AC5158" s="6"/>
      <c r="AD5158" s="6"/>
      <c r="AE5158" s="6"/>
      <c r="AF5158" s="6"/>
      <c r="AG5158" s="6"/>
      <c r="AH5158" s="6"/>
      <c r="AI5158" s="6"/>
      <c r="AJ5158" s="6"/>
      <c r="AK5158" s="6"/>
      <c r="AL5158" s="6"/>
      <c r="AM5158" s="6"/>
    </row>
    <row r="5159">
      <c r="A5159" s="6"/>
      <c r="B5159" s="6"/>
      <c r="C5159" s="6"/>
      <c r="D5159" s="6"/>
      <c r="E5159" s="6"/>
      <c r="F5159" s="6"/>
      <c r="G5159" s="6"/>
      <c r="H5159" s="6"/>
      <c r="I5159" s="6"/>
      <c r="J5159" s="6"/>
      <c r="K5159" s="6"/>
      <c r="L5159" s="6"/>
      <c r="M5159" s="6"/>
      <c r="N5159" s="6"/>
      <c r="O5159" s="6"/>
      <c r="P5159" s="6"/>
      <c r="Q5159" s="6"/>
      <c r="R5159" s="6"/>
      <c r="S5159" s="6"/>
      <c r="T5159" s="6"/>
      <c r="U5159" s="6"/>
      <c r="V5159" s="6"/>
      <c r="W5159" s="6"/>
      <c r="X5159" s="6"/>
      <c r="Y5159" s="6"/>
      <c r="Z5159" s="6"/>
      <c r="AA5159" s="6"/>
      <c r="AB5159" s="6"/>
      <c r="AC5159" s="6"/>
      <c r="AD5159" s="6"/>
      <c r="AE5159" s="6"/>
      <c r="AF5159" s="6"/>
      <c r="AG5159" s="6"/>
      <c r="AH5159" s="6"/>
      <c r="AI5159" s="6"/>
      <c r="AJ5159" s="6"/>
      <c r="AK5159" s="6"/>
      <c r="AL5159" s="6"/>
      <c r="AM5159" s="6"/>
    </row>
    <row r="5160">
      <c r="A5160" s="6"/>
      <c r="B5160" s="6"/>
      <c r="C5160" s="6"/>
      <c r="D5160" s="6"/>
      <c r="E5160" s="6"/>
      <c r="F5160" s="6"/>
      <c r="G5160" s="6"/>
      <c r="H5160" s="6"/>
      <c r="I5160" s="6"/>
      <c r="J5160" s="6"/>
      <c r="K5160" s="6"/>
      <c r="L5160" s="6"/>
      <c r="M5160" s="6"/>
      <c r="N5160" s="6"/>
      <c r="O5160" s="6"/>
      <c r="P5160" s="6"/>
      <c r="Q5160" s="6"/>
      <c r="R5160" s="6"/>
      <c r="S5160" s="6"/>
      <c r="T5160" s="6"/>
      <c r="U5160" s="6"/>
      <c r="V5160" s="6"/>
      <c r="W5160" s="6"/>
      <c r="X5160" s="6"/>
      <c r="Y5160" s="6"/>
      <c r="Z5160" s="6"/>
      <c r="AA5160" s="6"/>
      <c r="AB5160" s="6"/>
      <c r="AC5160" s="6"/>
      <c r="AD5160" s="6"/>
      <c r="AE5160" s="6"/>
      <c r="AF5160" s="6"/>
      <c r="AG5160" s="6"/>
      <c r="AH5160" s="6"/>
      <c r="AI5160" s="6"/>
      <c r="AJ5160" s="6"/>
      <c r="AK5160" s="6"/>
      <c r="AL5160" s="6"/>
      <c r="AM5160" s="6"/>
    </row>
    <row r="5161">
      <c r="A5161" s="6"/>
      <c r="B5161" s="6"/>
      <c r="C5161" s="6"/>
      <c r="D5161" s="6"/>
      <c r="E5161" s="6"/>
      <c r="F5161" s="6"/>
      <c r="G5161" s="6"/>
      <c r="H5161" s="6"/>
      <c r="I5161" s="6"/>
      <c r="J5161" s="6"/>
      <c r="K5161" s="6"/>
      <c r="L5161" s="6"/>
      <c r="M5161" s="6"/>
      <c r="N5161" s="6"/>
      <c r="O5161" s="6"/>
      <c r="P5161" s="6"/>
      <c r="Q5161" s="6"/>
      <c r="R5161" s="6"/>
      <c r="S5161" s="6"/>
      <c r="T5161" s="6"/>
      <c r="U5161" s="6"/>
      <c r="V5161" s="6"/>
      <c r="W5161" s="6"/>
      <c r="X5161" s="6"/>
      <c r="Y5161" s="6"/>
      <c r="Z5161" s="6"/>
      <c r="AA5161" s="6"/>
      <c r="AB5161" s="6"/>
      <c r="AC5161" s="6"/>
      <c r="AD5161" s="6"/>
      <c r="AE5161" s="6"/>
      <c r="AF5161" s="6"/>
      <c r="AG5161" s="6"/>
      <c r="AH5161" s="6"/>
      <c r="AI5161" s="6"/>
      <c r="AJ5161" s="6"/>
      <c r="AK5161" s="6"/>
      <c r="AL5161" s="6"/>
      <c r="AM5161" s="6"/>
    </row>
    <row r="5162">
      <c r="A5162" s="6"/>
      <c r="B5162" s="6"/>
      <c r="C5162" s="6"/>
      <c r="D5162" s="6"/>
      <c r="E5162" s="6"/>
      <c r="F5162" s="6"/>
      <c r="G5162" s="6"/>
      <c r="H5162" s="6"/>
      <c r="I5162" s="6"/>
      <c r="J5162" s="6"/>
      <c r="K5162" s="6"/>
      <c r="L5162" s="6"/>
      <c r="M5162" s="6"/>
      <c r="N5162" s="6"/>
      <c r="O5162" s="6"/>
      <c r="P5162" s="6"/>
      <c r="Q5162" s="6"/>
      <c r="R5162" s="6"/>
      <c r="S5162" s="6"/>
      <c r="T5162" s="6"/>
      <c r="U5162" s="6"/>
      <c r="V5162" s="6"/>
      <c r="W5162" s="6"/>
      <c r="X5162" s="6"/>
      <c r="Y5162" s="6"/>
      <c r="Z5162" s="6"/>
      <c r="AA5162" s="6"/>
      <c r="AB5162" s="6"/>
      <c r="AC5162" s="6"/>
      <c r="AD5162" s="6"/>
      <c r="AE5162" s="6"/>
      <c r="AF5162" s="6"/>
      <c r="AG5162" s="6"/>
      <c r="AH5162" s="6"/>
      <c r="AI5162" s="6"/>
      <c r="AJ5162" s="6"/>
      <c r="AK5162" s="6"/>
      <c r="AL5162" s="6"/>
      <c r="AM5162" s="6"/>
    </row>
    <row r="5163">
      <c r="A5163" s="6"/>
      <c r="B5163" s="6"/>
      <c r="C5163" s="6"/>
      <c r="D5163" s="6"/>
      <c r="E5163" s="6"/>
      <c r="F5163" s="6"/>
      <c r="G5163" s="6"/>
      <c r="H5163" s="6"/>
      <c r="I5163" s="6"/>
      <c r="J5163" s="6"/>
      <c r="K5163" s="6"/>
      <c r="L5163" s="6"/>
      <c r="M5163" s="6"/>
      <c r="N5163" s="6"/>
      <c r="O5163" s="6"/>
      <c r="P5163" s="6"/>
      <c r="Q5163" s="6"/>
      <c r="R5163" s="6"/>
      <c r="S5163" s="6"/>
      <c r="T5163" s="6"/>
      <c r="U5163" s="6"/>
      <c r="V5163" s="6"/>
      <c r="W5163" s="6"/>
      <c r="X5163" s="6"/>
      <c r="Y5163" s="6"/>
      <c r="Z5163" s="6"/>
      <c r="AA5163" s="6"/>
      <c r="AB5163" s="6"/>
      <c r="AC5163" s="6"/>
      <c r="AD5163" s="6"/>
      <c r="AE5163" s="6"/>
      <c r="AF5163" s="6"/>
      <c r="AG5163" s="6"/>
      <c r="AH5163" s="6"/>
      <c r="AI5163" s="6"/>
      <c r="AJ5163" s="6"/>
      <c r="AK5163" s="6"/>
      <c r="AL5163" s="6"/>
      <c r="AM5163" s="6"/>
    </row>
    <row r="5164">
      <c r="A5164" s="6"/>
      <c r="B5164" s="6"/>
      <c r="C5164" s="6"/>
      <c r="D5164" s="6"/>
      <c r="E5164" s="6"/>
      <c r="F5164" s="6"/>
      <c r="G5164" s="6"/>
      <c r="H5164" s="6"/>
      <c r="I5164" s="6"/>
      <c r="J5164" s="6"/>
      <c r="K5164" s="6"/>
      <c r="L5164" s="6"/>
      <c r="M5164" s="6"/>
      <c r="N5164" s="6"/>
      <c r="O5164" s="6"/>
      <c r="P5164" s="6"/>
      <c r="Q5164" s="6"/>
      <c r="R5164" s="6"/>
      <c r="S5164" s="6"/>
      <c r="T5164" s="6"/>
      <c r="U5164" s="6"/>
      <c r="V5164" s="6"/>
      <c r="W5164" s="6"/>
      <c r="X5164" s="6"/>
      <c r="Y5164" s="6"/>
      <c r="Z5164" s="6"/>
      <c r="AA5164" s="6"/>
      <c r="AB5164" s="6"/>
      <c r="AC5164" s="6"/>
      <c r="AD5164" s="6"/>
      <c r="AE5164" s="6"/>
      <c r="AF5164" s="6"/>
      <c r="AG5164" s="6"/>
      <c r="AH5164" s="6"/>
      <c r="AI5164" s="6"/>
      <c r="AJ5164" s="6"/>
      <c r="AK5164" s="6"/>
      <c r="AL5164" s="6"/>
      <c r="AM5164" s="6"/>
    </row>
    <row r="5165">
      <c r="A5165" s="6"/>
      <c r="B5165" s="6"/>
      <c r="C5165" s="6"/>
      <c r="D5165" s="6"/>
      <c r="E5165" s="6"/>
      <c r="F5165" s="6"/>
      <c r="G5165" s="6"/>
      <c r="H5165" s="6"/>
      <c r="I5165" s="6"/>
      <c r="J5165" s="6"/>
      <c r="K5165" s="6"/>
      <c r="L5165" s="6"/>
      <c r="M5165" s="6"/>
      <c r="N5165" s="6"/>
      <c r="O5165" s="6"/>
      <c r="P5165" s="6"/>
      <c r="Q5165" s="6"/>
      <c r="R5165" s="6"/>
      <c r="S5165" s="6"/>
      <c r="T5165" s="6"/>
      <c r="U5165" s="6"/>
      <c r="V5165" s="6"/>
      <c r="W5165" s="6"/>
      <c r="X5165" s="6"/>
      <c r="Y5165" s="6"/>
      <c r="Z5165" s="6"/>
      <c r="AA5165" s="6"/>
      <c r="AB5165" s="6"/>
      <c r="AC5165" s="6"/>
      <c r="AD5165" s="6"/>
      <c r="AE5165" s="6"/>
      <c r="AF5165" s="6"/>
      <c r="AG5165" s="6"/>
      <c r="AH5165" s="6"/>
      <c r="AI5165" s="6"/>
      <c r="AJ5165" s="6"/>
      <c r="AK5165" s="6"/>
      <c r="AL5165" s="6"/>
      <c r="AM5165" s="6"/>
    </row>
    <row r="5166">
      <c r="A5166" s="6"/>
      <c r="B5166" s="6"/>
      <c r="C5166" s="6"/>
      <c r="D5166" s="6"/>
      <c r="E5166" s="6"/>
      <c r="F5166" s="6"/>
      <c r="G5166" s="6"/>
      <c r="H5166" s="6"/>
      <c r="I5166" s="6"/>
      <c r="J5166" s="6"/>
      <c r="K5166" s="6"/>
      <c r="L5166" s="6"/>
      <c r="M5166" s="6"/>
      <c r="N5166" s="6"/>
      <c r="O5166" s="6"/>
      <c r="P5166" s="6"/>
      <c r="Q5166" s="6"/>
      <c r="R5166" s="6"/>
      <c r="S5166" s="6"/>
      <c r="T5166" s="6"/>
      <c r="U5166" s="6"/>
      <c r="V5166" s="6"/>
      <c r="W5166" s="6"/>
      <c r="X5166" s="6"/>
      <c r="Y5166" s="6"/>
      <c r="Z5166" s="6"/>
      <c r="AA5166" s="6"/>
      <c r="AB5166" s="6"/>
      <c r="AC5166" s="6"/>
      <c r="AD5166" s="6"/>
      <c r="AE5166" s="6"/>
      <c r="AF5166" s="6"/>
      <c r="AG5166" s="6"/>
      <c r="AH5166" s="6"/>
      <c r="AI5166" s="6"/>
      <c r="AJ5166" s="6"/>
      <c r="AK5166" s="6"/>
      <c r="AL5166" s="6"/>
      <c r="AM5166" s="6"/>
    </row>
    <row r="5167">
      <c r="A5167" s="6"/>
      <c r="B5167" s="6"/>
      <c r="C5167" s="6"/>
      <c r="D5167" s="6"/>
      <c r="E5167" s="6"/>
      <c r="F5167" s="6"/>
      <c r="G5167" s="6"/>
      <c r="H5167" s="6"/>
      <c r="I5167" s="6"/>
      <c r="J5167" s="6"/>
      <c r="K5167" s="6"/>
      <c r="L5167" s="6"/>
      <c r="M5167" s="6"/>
      <c r="N5167" s="6"/>
      <c r="O5167" s="6"/>
      <c r="P5167" s="6"/>
      <c r="Q5167" s="6"/>
      <c r="R5167" s="6"/>
      <c r="S5167" s="6"/>
      <c r="T5167" s="6"/>
      <c r="U5167" s="6"/>
      <c r="V5167" s="6"/>
      <c r="W5167" s="6"/>
      <c r="X5167" s="6"/>
      <c r="Y5167" s="6"/>
      <c r="Z5167" s="6"/>
      <c r="AA5167" s="6"/>
      <c r="AB5167" s="6"/>
      <c r="AC5167" s="6"/>
      <c r="AD5167" s="6"/>
      <c r="AE5167" s="6"/>
      <c r="AF5167" s="6"/>
      <c r="AG5167" s="6"/>
      <c r="AH5167" s="6"/>
      <c r="AI5167" s="6"/>
      <c r="AJ5167" s="6"/>
      <c r="AK5167" s="6"/>
      <c r="AL5167" s="6"/>
      <c r="AM5167" s="6"/>
    </row>
    <row r="5168">
      <c r="A5168" s="6"/>
      <c r="B5168" s="6"/>
      <c r="C5168" s="6"/>
      <c r="D5168" s="6"/>
      <c r="E5168" s="6"/>
      <c r="F5168" s="6"/>
      <c r="G5168" s="6"/>
      <c r="H5168" s="6"/>
      <c r="I5168" s="6"/>
      <c r="J5168" s="6"/>
      <c r="K5168" s="6"/>
      <c r="L5168" s="6"/>
      <c r="M5168" s="6"/>
      <c r="N5168" s="6"/>
      <c r="O5168" s="6"/>
      <c r="P5168" s="6"/>
      <c r="Q5168" s="6"/>
      <c r="R5168" s="6"/>
      <c r="S5168" s="6"/>
      <c r="T5168" s="6"/>
      <c r="U5168" s="6"/>
      <c r="V5168" s="6"/>
      <c r="W5168" s="6"/>
      <c r="X5168" s="6"/>
      <c r="Y5168" s="6"/>
      <c r="Z5168" s="6"/>
      <c r="AA5168" s="6"/>
      <c r="AB5168" s="6"/>
      <c r="AC5168" s="6"/>
      <c r="AD5168" s="6"/>
      <c r="AE5168" s="6"/>
      <c r="AF5168" s="6"/>
      <c r="AG5168" s="6"/>
      <c r="AH5168" s="6"/>
      <c r="AI5168" s="6"/>
      <c r="AJ5168" s="6"/>
      <c r="AK5168" s="6"/>
      <c r="AL5168" s="6"/>
      <c r="AM5168" s="6"/>
    </row>
    <row r="5169">
      <c r="A5169" s="6"/>
      <c r="B5169" s="6"/>
      <c r="C5169" s="6"/>
      <c r="D5169" s="6"/>
      <c r="E5169" s="6"/>
      <c r="F5169" s="6"/>
      <c r="G5169" s="6"/>
      <c r="H5169" s="6"/>
      <c r="I5169" s="6"/>
      <c r="J5169" s="6"/>
      <c r="K5169" s="6"/>
      <c r="L5169" s="6"/>
      <c r="M5169" s="6"/>
      <c r="N5169" s="6"/>
      <c r="O5169" s="6"/>
      <c r="P5169" s="6"/>
      <c r="Q5169" s="6"/>
      <c r="R5169" s="6"/>
      <c r="S5169" s="6"/>
      <c r="T5169" s="6"/>
      <c r="U5169" s="6"/>
      <c r="V5169" s="6"/>
      <c r="W5169" s="6"/>
      <c r="X5169" s="6"/>
      <c r="Y5169" s="6"/>
      <c r="Z5169" s="6"/>
      <c r="AA5169" s="6"/>
      <c r="AB5169" s="6"/>
      <c r="AC5169" s="6"/>
      <c r="AD5169" s="6"/>
      <c r="AE5169" s="6"/>
      <c r="AF5169" s="6"/>
      <c r="AG5169" s="6"/>
      <c r="AH5169" s="6"/>
      <c r="AI5169" s="6"/>
      <c r="AJ5169" s="6"/>
      <c r="AK5169" s="6"/>
      <c r="AL5169" s="6"/>
      <c r="AM5169" s="6"/>
    </row>
    <row r="5170">
      <c r="A5170" s="6"/>
      <c r="B5170" s="6"/>
      <c r="C5170" s="6"/>
      <c r="D5170" s="6"/>
      <c r="E5170" s="6"/>
      <c r="F5170" s="6"/>
      <c r="G5170" s="6"/>
      <c r="H5170" s="6"/>
      <c r="I5170" s="6"/>
      <c r="J5170" s="6"/>
      <c r="K5170" s="6"/>
      <c r="L5170" s="6"/>
      <c r="M5170" s="6"/>
      <c r="N5170" s="6"/>
      <c r="O5170" s="6"/>
      <c r="P5170" s="6"/>
      <c r="Q5170" s="6"/>
      <c r="R5170" s="6"/>
      <c r="S5170" s="6"/>
      <c r="T5170" s="6"/>
      <c r="U5170" s="6"/>
      <c r="V5170" s="6"/>
      <c r="W5170" s="6"/>
      <c r="X5170" s="6"/>
      <c r="Y5170" s="6"/>
      <c r="Z5170" s="6"/>
      <c r="AA5170" s="6"/>
      <c r="AB5170" s="6"/>
      <c r="AC5170" s="6"/>
      <c r="AD5170" s="6"/>
      <c r="AE5170" s="6"/>
      <c r="AF5170" s="6"/>
      <c r="AG5170" s="6"/>
      <c r="AH5170" s="6"/>
      <c r="AI5170" s="6"/>
      <c r="AJ5170" s="6"/>
      <c r="AK5170" s="6"/>
      <c r="AL5170" s="6"/>
      <c r="AM5170" s="6"/>
    </row>
    <row r="5171">
      <c r="A5171" s="6"/>
      <c r="B5171" s="6"/>
      <c r="C5171" s="6"/>
      <c r="D5171" s="6"/>
      <c r="E5171" s="6"/>
      <c r="F5171" s="6"/>
      <c r="G5171" s="6"/>
      <c r="H5171" s="6"/>
      <c r="I5171" s="6"/>
      <c r="J5171" s="6"/>
      <c r="K5171" s="6"/>
      <c r="L5171" s="6"/>
      <c r="M5171" s="6"/>
      <c r="N5171" s="6"/>
      <c r="O5171" s="6"/>
      <c r="P5171" s="6"/>
      <c r="Q5171" s="6"/>
      <c r="R5171" s="6"/>
      <c r="S5171" s="6"/>
      <c r="T5171" s="6"/>
      <c r="U5171" s="6"/>
      <c r="V5171" s="6"/>
      <c r="W5171" s="6"/>
      <c r="X5171" s="6"/>
      <c r="Y5171" s="6"/>
      <c r="Z5171" s="6"/>
      <c r="AA5171" s="6"/>
      <c r="AB5171" s="6"/>
      <c r="AC5171" s="6"/>
      <c r="AD5171" s="6"/>
      <c r="AE5171" s="6"/>
      <c r="AF5171" s="6"/>
      <c r="AG5171" s="6"/>
      <c r="AH5171" s="6"/>
      <c r="AI5171" s="6"/>
      <c r="AJ5171" s="6"/>
      <c r="AK5171" s="6"/>
      <c r="AL5171" s="6"/>
      <c r="AM5171" s="6"/>
    </row>
    <row r="5172">
      <c r="A5172" s="6"/>
      <c r="B5172" s="6"/>
      <c r="C5172" s="6"/>
      <c r="D5172" s="6"/>
      <c r="E5172" s="6"/>
      <c r="F5172" s="6"/>
      <c r="G5172" s="6"/>
      <c r="H5172" s="6"/>
      <c r="I5172" s="6"/>
      <c r="J5172" s="6"/>
      <c r="K5172" s="6"/>
      <c r="L5172" s="6"/>
      <c r="M5172" s="6"/>
      <c r="N5172" s="6"/>
      <c r="O5172" s="6"/>
      <c r="P5172" s="6"/>
      <c r="Q5172" s="6"/>
      <c r="R5172" s="6"/>
      <c r="S5172" s="6"/>
      <c r="T5172" s="6"/>
      <c r="U5172" s="6"/>
      <c r="V5172" s="6"/>
      <c r="W5172" s="6"/>
      <c r="X5172" s="6"/>
      <c r="Y5172" s="6"/>
      <c r="Z5172" s="6"/>
      <c r="AA5172" s="6"/>
      <c r="AB5172" s="6"/>
      <c r="AC5172" s="6"/>
      <c r="AD5172" s="6"/>
      <c r="AE5172" s="6"/>
      <c r="AF5172" s="6"/>
      <c r="AG5172" s="6"/>
      <c r="AH5172" s="6"/>
      <c r="AI5172" s="6"/>
      <c r="AJ5172" s="6"/>
      <c r="AK5172" s="6"/>
      <c r="AL5172" s="6"/>
      <c r="AM5172" s="6"/>
    </row>
    <row r="5173">
      <c r="A5173" s="6"/>
      <c r="B5173" s="6"/>
      <c r="C5173" s="6"/>
      <c r="D5173" s="6"/>
      <c r="E5173" s="6"/>
      <c r="F5173" s="6"/>
      <c r="G5173" s="6"/>
      <c r="H5173" s="6"/>
      <c r="I5173" s="6"/>
      <c r="J5173" s="6"/>
      <c r="K5173" s="6"/>
      <c r="L5173" s="6"/>
      <c r="M5173" s="6"/>
      <c r="N5173" s="6"/>
      <c r="O5173" s="6"/>
      <c r="P5173" s="6"/>
      <c r="Q5173" s="6"/>
      <c r="R5173" s="6"/>
      <c r="S5173" s="6"/>
      <c r="T5173" s="6"/>
      <c r="U5173" s="6"/>
      <c r="V5173" s="6"/>
      <c r="W5173" s="6"/>
      <c r="X5173" s="6"/>
      <c r="Y5173" s="6"/>
      <c r="Z5173" s="6"/>
      <c r="AA5173" s="6"/>
      <c r="AB5173" s="6"/>
      <c r="AC5173" s="6"/>
      <c r="AD5173" s="6"/>
      <c r="AE5173" s="6"/>
      <c r="AF5173" s="6"/>
      <c r="AG5173" s="6"/>
      <c r="AH5173" s="6"/>
      <c r="AI5173" s="6"/>
      <c r="AJ5173" s="6"/>
      <c r="AK5173" s="6"/>
      <c r="AL5173" s="6"/>
      <c r="AM5173" s="6"/>
    </row>
    <row r="5174">
      <c r="A5174" s="6"/>
      <c r="B5174" s="6"/>
      <c r="C5174" s="6"/>
      <c r="D5174" s="6"/>
      <c r="E5174" s="6"/>
      <c r="F5174" s="6"/>
      <c r="G5174" s="6"/>
      <c r="H5174" s="6"/>
      <c r="I5174" s="6"/>
      <c r="J5174" s="6"/>
      <c r="K5174" s="6"/>
      <c r="L5174" s="6"/>
      <c r="M5174" s="6"/>
      <c r="N5174" s="6"/>
      <c r="O5174" s="6"/>
      <c r="P5174" s="6"/>
      <c r="Q5174" s="6"/>
      <c r="R5174" s="6"/>
      <c r="S5174" s="6"/>
      <c r="T5174" s="6"/>
      <c r="U5174" s="6"/>
      <c r="V5174" s="6"/>
      <c r="W5174" s="6"/>
      <c r="X5174" s="6"/>
      <c r="Y5174" s="6"/>
      <c r="Z5174" s="6"/>
      <c r="AA5174" s="6"/>
      <c r="AB5174" s="6"/>
      <c r="AC5174" s="6"/>
      <c r="AD5174" s="6"/>
      <c r="AE5174" s="6"/>
      <c r="AF5174" s="6"/>
      <c r="AG5174" s="6"/>
      <c r="AH5174" s="6"/>
      <c r="AI5174" s="6"/>
      <c r="AJ5174" s="6"/>
      <c r="AK5174" s="6"/>
      <c r="AL5174" s="6"/>
      <c r="AM5174" s="6"/>
    </row>
    <row r="5175">
      <c r="A5175" s="6"/>
      <c r="B5175" s="6"/>
      <c r="C5175" s="6"/>
      <c r="D5175" s="6"/>
      <c r="E5175" s="6"/>
      <c r="F5175" s="6"/>
      <c r="G5175" s="6"/>
      <c r="H5175" s="6"/>
      <c r="I5175" s="6"/>
      <c r="J5175" s="6"/>
      <c r="K5175" s="6"/>
      <c r="L5175" s="6"/>
      <c r="M5175" s="6"/>
      <c r="N5175" s="6"/>
      <c r="O5175" s="6"/>
      <c r="P5175" s="6"/>
      <c r="Q5175" s="6"/>
      <c r="R5175" s="6"/>
      <c r="S5175" s="6"/>
      <c r="T5175" s="6"/>
      <c r="U5175" s="6"/>
      <c r="V5175" s="6"/>
      <c r="W5175" s="6"/>
      <c r="X5175" s="6"/>
      <c r="Y5175" s="6"/>
      <c r="Z5175" s="6"/>
      <c r="AA5175" s="6"/>
      <c r="AB5175" s="6"/>
      <c r="AC5175" s="6"/>
      <c r="AD5175" s="6"/>
      <c r="AE5175" s="6"/>
      <c r="AF5175" s="6"/>
      <c r="AG5175" s="6"/>
      <c r="AH5175" s="6"/>
      <c r="AI5175" s="6"/>
      <c r="AJ5175" s="6"/>
      <c r="AK5175" s="6"/>
      <c r="AL5175" s="6"/>
      <c r="AM5175" s="6"/>
    </row>
    <row r="5176">
      <c r="A5176" s="6"/>
      <c r="B5176" s="6"/>
      <c r="C5176" s="6"/>
      <c r="D5176" s="6"/>
      <c r="E5176" s="6"/>
      <c r="F5176" s="6"/>
      <c r="G5176" s="6"/>
      <c r="H5176" s="6"/>
      <c r="I5176" s="6"/>
      <c r="J5176" s="6"/>
      <c r="K5176" s="6"/>
      <c r="L5176" s="6"/>
      <c r="M5176" s="6"/>
      <c r="N5176" s="6"/>
      <c r="O5176" s="6"/>
      <c r="P5176" s="6"/>
      <c r="Q5176" s="6"/>
      <c r="R5176" s="6"/>
      <c r="S5176" s="6"/>
      <c r="T5176" s="6"/>
      <c r="U5176" s="6"/>
      <c r="V5176" s="6"/>
      <c r="W5176" s="6"/>
      <c r="X5176" s="6"/>
      <c r="Y5176" s="6"/>
      <c r="Z5176" s="6"/>
      <c r="AA5176" s="6"/>
      <c r="AB5176" s="6"/>
      <c r="AC5176" s="6"/>
      <c r="AD5176" s="6"/>
      <c r="AE5176" s="6"/>
      <c r="AF5176" s="6"/>
      <c r="AG5176" s="6"/>
      <c r="AH5176" s="6"/>
      <c r="AI5176" s="6"/>
      <c r="AJ5176" s="6"/>
      <c r="AK5176" s="6"/>
      <c r="AL5176" s="6"/>
      <c r="AM5176" s="6"/>
    </row>
    <row r="5177">
      <c r="A5177" s="6"/>
      <c r="B5177" s="6"/>
      <c r="C5177" s="6"/>
      <c r="D5177" s="6"/>
      <c r="E5177" s="6"/>
      <c r="F5177" s="6"/>
      <c r="G5177" s="6"/>
      <c r="H5177" s="6"/>
      <c r="I5177" s="6"/>
      <c r="J5177" s="6"/>
      <c r="K5177" s="6"/>
      <c r="L5177" s="6"/>
      <c r="M5177" s="6"/>
      <c r="N5177" s="6"/>
      <c r="O5177" s="6"/>
      <c r="P5177" s="6"/>
      <c r="Q5177" s="6"/>
      <c r="R5177" s="6"/>
      <c r="S5177" s="6"/>
      <c r="T5177" s="6"/>
      <c r="U5177" s="6"/>
      <c r="V5177" s="6"/>
      <c r="W5177" s="6"/>
      <c r="X5177" s="6"/>
      <c r="Y5177" s="6"/>
      <c r="Z5177" s="6"/>
      <c r="AA5177" s="6"/>
      <c r="AB5177" s="6"/>
      <c r="AC5177" s="6"/>
      <c r="AD5177" s="6"/>
      <c r="AE5177" s="6"/>
      <c r="AF5177" s="6"/>
      <c r="AG5177" s="6"/>
      <c r="AH5177" s="6"/>
      <c r="AI5177" s="6"/>
      <c r="AJ5177" s="6"/>
      <c r="AK5177" s="6"/>
      <c r="AL5177" s="6"/>
      <c r="AM5177" s="6"/>
    </row>
    <row r="5178">
      <c r="A5178" s="6"/>
      <c r="B5178" s="6"/>
      <c r="C5178" s="6"/>
      <c r="D5178" s="6"/>
      <c r="E5178" s="6"/>
      <c r="F5178" s="6"/>
      <c r="G5178" s="6"/>
      <c r="H5178" s="6"/>
      <c r="I5178" s="6"/>
      <c r="J5178" s="6"/>
      <c r="K5178" s="6"/>
      <c r="L5178" s="6"/>
      <c r="M5178" s="6"/>
      <c r="N5178" s="6"/>
      <c r="O5178" s="6"/>
      <c r="P5178" s="6"/>
      <c r="Q5178" s="6"/>
      <c r="R5178" s="6"/>
      <c r="S5178" s="6"/>
      <c r="T5178" s="6"/>
      <c r="U5178" s="6"/>
      <c r="V5178" s="6"/>
      <c r="W5178" s="6"/>
      <c r="X5178" s="6"/>
      <c r="Y5178" s="6"/>
      <c r="Z5178" s="6"/>
      <c r="AA5178" s="6"/>
      <c r="AB5178" s="6"/>
      <c r="AC5178" s="6"/>
      <c r="AD5178" s="6"/>
      <c r="AE5178" s="6"/>
      <c r="AF5178" s="6"/>
      <c r="AG5178" s="6"/>
      <c r="AH5178" s="6"/>
      <c r="AI5178" s="6"/>
      <c r="AJ5178" s="6"/>
      <c r="AK5178" s="6"/>
      <c r="AL5178" s="6"/>
      <c r="AM5178" s="6"/>
    </row>
    <row r="5179">
      <c r="A5179" s="6"/>
      <c r="B5179" s="6"/>
      <c r="C5179" s="6"/>
      <c r="D5179" s="6"/>
      <c r="E5179" s="6"/>
      <c r="F5179" s="6"/>
      <c r="G5179" s="6"/>
      <c r="H5179" s="6"/>
      <c r="I5179" s="6"/>
      <c r="J5179" s="6"/>
      <c r="K5179" s="6"/>
      <c r="L5179" s="6"/>
      <c r="M5179" s="6"/>
      <c r="N5179" s="6"/>
      <c r="O5179" s="6"/>
      <c r="P5179" s="6"/>
      <c r="Q5179" s="6"/>
      <c r="R5179" s="6"/>
      <c r="S5179" s="6"/>
      <c r="T5179" s="6"/>
      <c r="U5179" s="6"/>
      <c r="V5179" s="6"/>
      <c r="W5179" s="6"/>
      <c r="X5179" s="6"/>
      <c r="Y5179" s="6"/>
      <c r="Z5179" s="6"/>
      <c r="AA5179" s="6"/>
      <c r="AB5179" s="6"/>
      <c r="AC5179" s="6"/>
      <c r="AD5179" s="6"/>
      <c r="AE5179" s="6"/>
      <c r="AF5179" s="6"/>
      <c r="AG5179" s="6"/>
      <c r="AH5179" s="6"/>
      <c r="AI5179" s="6"/>
      <c r="AJ5179" s="6"/>
      <c r="AK5179" s="6"/>
      <c r="AL5179" s="6"/>
      <c r="AM5179" s="6"/>
    </row>
    <row r="5180">
      <c r="A5180" s="6"/>
      <c r="B5180" s="6"/>
      <c r="C5180" s="6"/>
      <c r="D5180" s="6"/>
      <c r="E5180" s="6"/>
      <c r="F5180" s="6"/>
      <c r="G5180" s="6"/>
      <c r="H5180" s="6"/>
      <c r="I5180" s="6"/>
      <c r="J5180" s="6"/>
      <c r="K5180" s="6"/>
      <c r="L5180" s="6"/>
      <c r="M5180" s="6"/>
      <c r="N5180" s="6"/>
      <c r="O5180" s="6"/>
      <c r="P5180" s="6"/>
      <c r="Q5180" s="6"/>
      <c r="R5180" s="6"/>
      <c r="S5180" s="6"/>
      <c r="T5180" s="6"/>
      <c r="U5180" s="6"/>
      <c r="V5180" s="6"/>
      <c r="W5180" s="6"/>
      <c r="X5180" s="6"/>
      <c r="Y5180" s="6"/>
      <c r="Z5180" s="6"/>
      <c r="AA5180" s="6"/>
      <c r="AB5180" s="6"/>
      <c r="AC5180" s="6"/>
      <c r="AD5180" s="6"/>
      <c r="AE5180" s="6"/>
      <c r="AF5180" s="6"/>
      <c r="AG5180" s="6"/>
      <c r="AH5180" s="6"/>
      <c r="AI5180" s="6"/>
      <c r="AJ5180" s="6"/>
      <c r="AK5180" s="6"/>
      <c r="AL5180" s="6"/>
      <c r="AM5180" s="6"/>
    </row>
    <row r="5181">
      <c r="A5181" s="6"/>
      <c r="B5181" s="6"/>
      <c r="C5181" s="6"/>
      <c r="D5181" s="6"/>
      <c r="E5181" s="6"/>
      <c r="F5181" s="6"/>
      <c r="G5181" s="6"/>
      <c r="H5181" s="6"/>
      <c r="I5181" s="6"/>
      <c r="J5181" s="6"/>
      <c r="K5181" s="6"/>
      <c r="L5181" s="6"/>
      <c r="M5181" s="6"/>
      <c r="N5181" s="6"/>
      <c r="O5181" s="6"/>
      <c r="P5181" s="6"/>
      <c r="Q5181" s="6"/>
      <c r="R5181" s="6"/>
      <c r="S5181" s="6"/>
      <c r="T5181" s="6"/>
      <c r="U5181" s="6"/>
      <c r="V5181" s="6"/>
      <c r="W5181" s="6"/>
      <c r="X5181" s="6"/>
      <c r="Y5181" s="6"/>
      <c r="Z5181" s="6"/>
      <c r="AA5181" s="6"/>
      <c r="AB5181" s="6"/>
      <c r="AC5181" s="6"/>
      <c r="AD5181" s="6"/>
      <c r="AE5181" s="6"/>
      <c r="AF5181" s="6"/>
      <c r="AG5181" s="6"/>
      <c r="AH5181" s="6"/>
      <c r="AI5181" s="6"/>
      <c r="AJ5181" s="6"/>
      <c r="AK5181" s="6"/>
      <c r="AL5181" s="6"/>
      <c r="AM5181" s="6"/>
    </row>
    <row r="5182">
      <c r="A5182" s="6"/>
      <c r="B5182" s="6"/>
      <c r="C5182" s="6"/>
      <c r="D5182" s="6"/>
      <c r="E5182" s="6"/>
      <c r="F5182" s="6"/>
      <c r="G5182" s="6"/>
      <c r="H5182" s="6"/>
      <c r="I5182" s="6"/>
      <c r="J5182" s="6"/>
      <c r="K5182" s="6"/>
      <c r="L5182" s="6"/>
      <c r="M5182" s="6"/>
      <c r="N5182" s="6"/>
      <c r="O5182" s="6"/>
      <c r="P5182" s="6"/>
      <c r="Q5182" s="6"/>
      <c r="R5182" s="6"/>
      <c r="S5182" s="6"/>
      <c r="T5182" s="6"/>
      <c r="U5182" s="6"/>
      <c r="V5182" s="6"/>
      <c r="W5182" s="6"/>
      <c r="X5182" s="6"/>
      <c r="Y5182" s="6"/>
      <c r="Z5182" s="6"/>
      <c r="AA5182" s="6"/>
      <c r="AB5182" s="6"/>
      <c r="AC5182" s="6"/>
      <c r="AD5182" s="6"/>
      <c r="AE5182" s="6"/>
      <c r="AF5182" s="6"/>
      <c r="AG5182" s="6"/>
      <c r="AH5182" s="6"/>
      <c r="AI5182" s="6"/>
      <c r="AJ5182" s="6"/>
      <c r="AK5182" s="6"/>
      <c r="AL5182" s="6"/>
      <c r="AM5182" s="6"/>
    </row>
    <row r="5183">
      <c r="A5183" s="6"/>
      <c r="B5183" s="6"/>
      <c r="C5183" s="6"/>
      <c r="D5183" s="6"/>
      <c r="E5183" s="6"/>
      <c r="F5183" s="6"/>
      <c r="G5183" s="6"/>
      <c r="H5183" s="6"/>
      <c r="I5183" s="6"/>
      <c r="J5183" s="6"/>
      <c r="K5183" s="6"/>
      <c r="L5183" s="6"/>
      <c r="M5183" s="6"/>
      <c r="N5183" s="6"/>
      <c r="O5183" s="6"/>
      <c r="P5183" s="6"/>
      <c r="Q5183" s="6"/>
      <c r="R5183" s="6"/>
      <c r="S5183" s="6"/>
      <c r="T5183" s="6"/>
      <c r="U5183" s="6"/>
      <c r="V5183" s="6"/>
      <c r="W5183" s="6"/>
      <c r="X5183" s="6"/>
      <c r="Y5183" s="6"/>
      <c r="Z5183" s="6"/>
      <c r="AA5183" s="6"/>
      <c r="AB5183" s="6"/>
      <c r="AC5183" s="6"/>
      <c r="AD5183" s="6"/>
      <c r="AE5183" s="6"/>
      <c r="AF5183" s="6"/>
      <c r="AG5183" s="6"/>
      <c r="AH5183" s="6"/>
      <c r="AI5183" s="6"/>
      <c r="AJ5183" s="6"/>
      <c r="AK5183" s="6"/>
      <c r="AL5183" s="6"/>
      <c r="AM5183" s="6"/>
    </row>
    <row r="5184">
      <c r="A5184" s="6"/>
      <c r="B5184" s="6"/>
      <c r="C5184" s="6"/>
      <c r="D5184" s="6"/>
      <c r="E5184" s="6"/>
      <c r="F5184" s="6"/>
      <c r="G5184" s="6"/>
      <c r="H5184" s="6"/>
      <c r="I5184" s="6"/>
      <c r="J5184" s="6"/>
      <c r="K5184" s="6"/>
      <c r="L5184" s="6"/>
      <c r="M5184" s="6"/>
      <c r="N5184" s="6"/>
      <c r="O5184" s="6"/>
      <c r="P5184" s="6"/>
      <c r="Q5184" s="6"/>
      <c r="R5184" s="6"/>
      <c r="S5184" s="6"/>
      <c r="T5184" s="6"/>
      <c r="U5184" s="6"/>
      <c r="V5184" s="6"/>
      <c r="W5184" s="6"/>
      <c r="X5184" s="6"/>
      <c r="Y5184" s="6"/>
      <c r="Z5184" s="6"/>
      <c r="AA5184" s="6"/>
      <c r="AB5184" s="6"/>
      <c r="AC5184" s="6"/>
      <c r="AD5184" s="6"/>
      <c r="AE5184" s="6"/>
      <c r="AF5184" s="6"/>
      <c r="AG5184" s="6"/>
      <c r="AH5184" s="6"/>
      <c r="AI5184" s="6"/>
      <c r="AJ5184" s="6"/>
      <c r="AK5184" s="6"/>
      <c r="AL5184" s="6"/>
      <c r="AM5184" s="6"/>
    </row>
    <row r="5185">
      <c r="A5185" s="6"/>
      <c r="B5185" s="6"/>
      <c r="C5185" s="6"/>
      <c r="D5185" s="6"/>
      <c r="E5185" s="6"/>
      <c r="F5185" s="6"/>
      <c r="G5185" s="6"/>
      <c r="H5185" s="6"/>
      <c r="I5185" s="6"/>
      <c r="J5185" s="6"/>
      <c r="K5185" s="6"/>
      <c r="L5185" s="6"/>
      <c r="M5185" s="6"/>
      <c r="N5185" s="6"/>
      <c r="O5185" s="6"/>
      <c r="P5185" s="6"/>
      <c r="Q5185" s="6"/>
      <c r="R5185" s="6"/>
      <c r="S5185" s="6"/>
      <c r="T5185" s="6"/>
      <c r="U5185" s="6"/>
      <c r="V5185" s="6"/>
      <c r="W5185" s="6"/>
      <c r="X5185" s="6"/>
      <c r="Y5185" s="6"/>
      <c r="Z5185" s="6"/>
      <c r="AA5185" s="6"/>
      <c r="AB5185" s="6"/>
      <c r="AC5185" s="6"/>
      <c r="AD5185" s="6"/>
      <c r="AE5185" s="6"/>
      <c r="AF5185" s="6"/>
      <c r="AG5185" s="6"/>
      <c r="AH5185" s="6"/>
      <c r="AI5185" s="6"/>
      <c r="AJ5185" s="6"/>
      <c r="AK5185" s="6"/>
      <c r="AL5185" s="6"/>
      <c r="AM5185" s="6"/>
    </row>
    <row r="5186">
      <c r="A5186" s="6"/>
      <c r="B5186" s="6"/>
      <c r="C5186" s="6"/>
      <c r="D5186" s="6"/>
      <c r="E5186" s="6"/>
      <c r="F5186" s="6"/>
      <c r="G5186" s="6"/>
      <c r="H5186" s="6"/>
      <c r="I5186" s="6"/>
      <c r="J5186" s="6"/>
      <c r="K5186" s="6"/>
      <c r="L5186" s="6"/>
      <c r="M5186" s="6"/>
      <c r="N5186" s="6"/>
      <c r="O5186" s="6"/>
      <c r="P5186" s="6"/>
      <c r="Q5186" s="6"/>
      <c r="R5186" s="6"/>
      <c r="S5186" s="6"/>
      <c r="T5186" s="6"/>
      <c r="U5186" s="6"/>
      <c r="V5186" s="6"/>
      <c r="W5186" s="6"/>
      <c r="X5186" s="6"/>
      <c r="Y5186" s="6"/>
      <c r="Z5186" s="6"/>
      <c r="AA5186" s="6"/>
      <c r="AB5186" s="6"/>
      <c r="AC5186" s="6"/>
      <c r="AD5186" s="6"/>
      <c r="AE5186" s="6"/>
      <c r="AF5186" s="6"/>
      <c r="AG5186" s="6"/>
      <c r="AH5186" s="6"/>
      <c r="AI5186" s="6"/>
      <c r="AJ5186" s="6"/>
      <c r="AK5186" s="6"/>
      <c r="AL5186" s="6"/>
      <c r="AM5186" s="6"/>
    </row>
    <row r="5187">
      <c r="A5187" s="6"/>
      <c r="B5187" s="6"/>
      <c r="C5187" s="6"/>
      <c r="D5187" s="6"/>
      <c r="E5187" s="6"/>
      <c r="F5187" s="6"/>
      <c r="G5187" s="6"/>
      <c r="H5187" s="6"/>
      <c r="I5187" s="6"/>
      <c r="J5187" s="6"/>
      <c r="K5187" s="6"/>
      <c r="L5187" s="6"/>
      <c r="M5187" s="6"/>
      <c r="N5187" s="6"/>
      <c r="O5187" s="6"/>
      <c r="P5187" s="6"/>
      <c r="Q5187" s="6"/>
      <c r="R5187" s="6"/>
      <c r="S5187" s="6"/>
      <c r="T5187" s="6"/>
      <c r="U5187" s="6"/>
      <c r="V5187" s="6"/>
      <c r="W5187" s="6"/>
      <c r="X5187" s="6"/>
      <c r="Y5187" s="6"/>
      <c r="Z5187" s="6"/>
      <c r="AA5187" s="6"/>
      <c r="AB5187" s="6"/>
      <c r="AC5187" s="6"/>
      <c r="AD5187" s="6"/>
      <c r="AE5187" s="6"/>
      <c r="AF5187" s="6"/>
      <c r="AG5187" s="6"/>
      <c r="AH5187" s="6"/>
      <c r="AI5187" s="6"/>
      <c r="AJ5187" s="6"/>
      <c r="AK5187" s="6"/>
      <c r="AL5187" s="6"/>
      <c r="AM5187" s="6"/>
    </row>
    <row r="5188">
      <c r="A5188" s="6"/>
      <c r="B5188" s="6"/>
      <c r="C5188" s="6"/>
      <c r="D5188" s="6"/>
      <c r="E5188" s="6"/>
      <c r="F5188" s="6"/>
      <c r="G5188" s="6"/>
      <c r="H5188" s="6"/>
      <c r="I5188" s="6"/>
      <c r="J5188" s="6"/>
      <c r="K5188" s="6"/>
      <c r="L5188" s="6"/>
      <c r="M5188" s="6"/>
      <c r="N5188" s="6"/>
      <c r="O5188" s="6"/>
      <c r="P5188" s="6"/>
      <c r="Q5188" s="6"/>
      <c r="R5188" s="6"/>
      <c r="S5188" s="6"/>
      <c r="T5188" s="6"/>
      <c r="U5188" s="6"/>
      <c r="V5188" s="6"/>
      <c r="W5188" s="6"/>
      <c r="X5188" s="6"/>
      <c r="Y5188" s="6"/>
      <c r="Z5188" s="6"/>
      <c r="AA5188" s="6"/>
      <c r="AB5188" s="6"/>
      <c r="AC5188" s="6"/>
      <c r="AD5188" s="6"/>
      <c r="AE5188" s="6"/>
      <c r="AF5188" s="6"/>
      <c r="AG5188" s="6"/>
      <c r="AH5188" s="6"/>
      <c r="AI5188" s="6"/>
      <c r="AJ5188" s="6"/>
      <c r="AK5188" s="6"/>
      <c r="AL5188" s="6"/>
      <c r="AM5188" s="6"/>
    </row>
    <row r="5189">
      <c r="A5189" s="6"/>
      <c r="B5189" s="6"/>
      <c r="C5189" s="6"/>
      <c r="D5189" s="6"/>
      <c r="E5189" s="6"/>
      <c r="F5189" s="6"/>
      <c r="G5189" s="6"/>
      <c r="H5189" s="6"/>
      <c r="I5189" s="6"/>
      <c r="J5189" s="6"/>
      <c r="K5189" s="6"/>
      <c r="L5189" s="6"/>
      <c r="M5189" s="6"/>
      <c r="N5189" s="6"/>
      <c r="O5189" s="6"/>
      <c r="P5189" s="6"/>
      <c r="Q5189" s="6"/>
      <c r="R5189" s="6"/>
      <c r="S5189" s="6"/>
      <c r="T5189" s="6"/>
      <c r="U5189" s="6"/>
      <c r="V5189" s="6"/>
      <c r="W5189" s="6"/>
      <c r="X5189" s="6"/>
      <c r="Y5189" s="6"/>
      <c r="Z5189" s="6"/>
      <c r="AA5189" s="6"/>
      <c r="AB5189" s="6"/>
      <c r="AC5189" s="6"/>
      <c r="AD5189" s="6"/>
      <c r="AE5189" s="6"/>
      <c r="AF5189" s="6"/>
      <c r="AG5189" s="6"/>
      <c r="AH5189" s="6"/>
      <c r="AI5189" s="6"/>
      <c r="AJ5189" s="6"/>
      <c r="AK5189" s="6"/>
      <c r="AL5189" s="6"/>
      <c r="AM5189" s="6"/>
    </row>
    <row r="5190">
      <c r="A5190" s="6"/>
      <c r="B5190" s="6"/>
      <c r="C5190" s="6"/>
      <c r="D5190" s="6"/>
      <c r="E5190" s="6"/>
      <c r="F5190" s="6"/>
      <c r="G5190" s="6"/>
      <c r="H5190" s="6"/>
      <c r="I5190" s="6"/>
      <c r="J5190" s="6"/>
      <c r="K5190" s="6"/>
      <c r="L5190" s="6"/>
      <c r="M5190" s="6"/>
      <c r="N5190" s="6"/>
      <c r="O5190" s="6"/>
      <c r="P5190" s="6"/>
      <c r="Q5190" s="6"/>
      <c r="R5190" s="6"/>
      <c r="S5190" s="6"/>
      <c r="T5190" s="6"/>
      <c r="U5190" s="6"/>
      <c r="V5190" s="6"/>
      <c r="W5190" s="6"/>
      <c r="X5190" s="6"/>
      <c r="Y5190" s="6"/>
      <c r="Z5190" s="6"/>
      <c r="AA5190" s="6"/>
      <c r="AB5190" s="6"/>
      <c r="AC5190" s="6"/>
      <c r="AD5190" s="6"/>
      <c r="AE5190" s="6"/>
      <c r="AF5190" s="6"/>
      <c r="AG5190" s="6"/>
      <c r="AH5190" s="6"/>
      <c r="AI5190" s="6"/>
      <c r="AJ5190" s="6"/>
      <c r="AK5190" s="6"/>
      <c r="AL5190" s="6"/>
      <c r="AM5190" s="6"/>
    </row>
    <row r="5191">
      <c r="A5191" s="6"/>
      <c r="B5191" s="6"/>
      <c r="C5191" s="6"/>
      <c r="D5191" s="6"/>
      <c r="E5191" s="6"/>
      <c r="F5191" s="6"/>
      <c r="G5191" s="6"/>
      <c r="H5191" s="6"/>
      <c r="I5191" s="6"/>
      <c r="J5191" s="6"/>
      <c r="K5191" s="6"/>
      <c r="L5191" s="6"/>
      <c r="M5191" s="6"/>
      <c r="N5191" s="6"/>
      <c r="O5191" s="6"/>
      <c r="P5191" s="6"/>
      <c r="Q5191" s="6"/>
      <c r="R5191" s="6"/>
      <c r="S5191" s="6"/>
      <c r="T5191" s="6"/>
      <c r="U5191" s="6"/>
      <c r="V5191" s="6"/>
      <c r="W5191" s="6"/>
      <c r="X5191" s="6"/>
      <c r="Y5191" s="6"/>
      <c r="Z5191" s="6"/>
      <c r="AA5191" s="6"/>
      <c r="AB5191" s="6"/>
      <c r="AC5191" s="6"/>
      <c r="AD5191" s="6"/>
      <c r="AE5191" s="6"/>
      <c r="AF5191" s="6"/>
      <c r="AG5191" s="6"/>
      <c r="AH5191" s="6"/>
      <c r="AI5191" s="6"/>
      <c r="AJ5191" s="6"/>
      <c r="AK5191" s="6"/>
      <c r="AL5191" s="6"/>
      <c r="AM5191" s="6"/>
    </row>
    <row r="5192">
      <c r="A5192" s="6"/>
      <c r="B5192" s="6"/>
      <c r="C5192" s="6"/>
      <c r="D5192" s="6"/>
      <c r="E5192" s="6"/>
      <c r="F5192" s="6"/>
      <c r="G5192" s="6"/>
      <c r="H5192" s="6"/>
      <c r="I5192" s="6"/>
      <c r="J5192" s="6"/>
      <c r="K5192" s="6"/>
      <c r="L5192" s="6"/>
      <c r="M5192" s="6"/>
      <c r="N5192" s="6"/>
      <c r="O5192" s="6"/>
      <c r="P5192" s="6"/>
      <c r="Q5192" s="6"/>
      <c r="R5192" s="6"/>
      <c r="S5192" s="6"/>
      <c r="T5192" s="6"/>
      <c r="U5192" s="6"/>
      <c r="V5192" s="6"/>
      <c r="W5192" s="6"/>
      <c r="X5192" s="6"/>
      <c r="Y5192" s="6"/>
      <c r="Z5192" s="6"/>
      <c r="AA5192" s="6"/>
      <c r="AB5192" s="6"/>
      <c r="AC5192" s="6"/>
      <c r="AD5192" s="6"/>
      <c r="AE5192" s="6"/>
      <c r="AF5192" s="6"/>
      <c r="AG5192" s="6"/>
      <c r="AH5192" s="6"/>
      <c r="AI5192" s="6"/>
      <c r="AJ5192" s="6"/>
      <c r="AK5192" s="6"/>
      <c r="AL5192" s="6"/>
      <c r="AM5192" s="6"/>
    </row>
    <row r="5193">
      <c r="A5193" s="6"/>
      <c r="B5193" s="6"/>
      <c r="C5193" s="6"/>
      <c r="D5193" s="6"/>
      <c r="E5193" s="6"/>
      <c r="F5193" s="6"/>
      <c r="G5193" s="6"/>
      <c r="H5193" s="6"/>
      <c r="I5193" s="6"/>
      <c r="J5193" s="6"/>
      <c r="K5193" s="6"/>
      <c r="L5193" s="6"/>
      <c r="M5193" s="6"/>
      <c r="N5193" s="6"/>
      <c r="O5193" s="6"/>
      <c r="P5193" s="6"/>
      <c r="Q5193" s="6"/>
      <c r="R5193" s="6"/>
      <c r="S5193" s="6"/>
      <c r="T5193" s="6"/>
      <c r="U5193" s="6"/>
      <c r="V5193" s="6"/>
      <c r="W5193" s="6"/>
      <c r="X5193" s="6"/>
      <c r="Y5193" s="6"/>
      <c r="Z5193" s="6"/>
      <c r="AA5193" s="6"/>
      <c r="AB5193" s="6"/>
      <c r="AC5193" s="6"/>
      <c r="AD5193" s="6"/>
      <c r="AE5193" s="6"/>
      <c r="AF5193" s="6"/>
      <c r="AG5193" s="6"/>
      <c r="AH5193" s="6"/>
      <c r="AI5193" s="6"/>
      <c r="AJ5193" s="6"/>
      <c r="AK5193" s="6"/>
      <c r="AL5193" s="6"/>
      <c r="AM5193" s="6"/>
    </row>
    <row r="5194">
      <c r="A5194" s="6"/>
      <c r="B5194" s="6"/>
      <c r="C5194" s="6"/>
      <c r="D5194" s="6"/>
      <c r="E5194" s="6"/>
      <c r="F5194" s="6"/>
      <c r="G5194" s="6"/>
      <c r="H5194" s="6"/>
      <c r="I5194" s="6"/>
      <c r="J5194" s="6"/>
      <c r="K5194" s="6"/>
      <c r="L5194" s="6"/>
      <c r="M5194" s="6"/>
      <c r="N5194" s="6"/>
      <c r="O5194" s="6"/>
      <c r="P5194" s="6"/>
      <c r="Q5194" s="6"/>
      <c r="R5194" s="6"/>
      <c r="S5194" s="6"/>
      <c r="T5194" s="6"/>
      <c r="U5194" s="6"/>
      <c r="V5194" s="6"/>
      <c r="W5194" s="6"/>
      <c r="X5194" s="6"/>
      <c r="Y5194" s="6"/>
      <c r="Z5194" s="6"/>
      <c r="AA5194" s="6"/>
      <c r="AB5194" s="6"/>
      <c r="AC5194" s="6"/>
      <c r="AD5194" s="6"/>
      <c r="AE5194" s="6"/>
      <c r="AF5194" s="6"/>
      <c r="AG5194" s="6"/>
      <c r="AH5194" s="6"/>
      <c r="AI5194" s="6"/>
      <c r="AJ5194" s="6"/>
      <c r="AK5194" s="6"/>
      <c r="AL5194" s="6"/>
      <c r="AM5194" s="6"/>
    </row>
    <row r="5195">
      <c r="A5195" s="6"/>
      <c r="B5195" s="6"/>
      <c r="C5195" s="6"/>
      <c r="D5195" s="6"/>
      <c r="E5195" s="6"/>
      <c r="F5195" s="6"/>
      <c r="G5195" s="6"/>
      <c r="H5195" s="6"/>
      <c r="I5195" s="6"/>
      <c r="J5195" s="6"/>
      <c r="K5195" s="6"/>
      <c r="L5195" s="6"/>
      <c r="M5195" s="6"/>
      <c r="N5195" s="6"/>
      <c r="O5195" s="6"/>
      <c r="P5195" s="6"/>
      <c r="Q5195" s="6"/>
      <c r="R5195" s="6"/>
      <c r="S5195" s="6"/>
      <c r="T5195" s="6"/>
      <c r="U5195" s="6"/>
      <c r="V5195" s="6"/>
      <c r="W5195" s="6"/>
      <c r="X5195" s="6"/>
      <c r="Y5195" s="6"/>
      <c r="Z5195" s="6"/>
      <c r="AA5195" s="6"/>
      <c r="AB5195" s="6"/>
      <c r="AC5195" s="6"/>
      <c r="AD5195" s="6"/>
      <c r="AE5195" s="6"/>
      <c r="AF5195" s="6"/>
      <c r="AG5195" s="6"/>
      <c r="AH5195" s="6"/>
      <c r="AI5195" s="6"/>
      <c r="AJ5195" s="6"/>
      <c r="AK5195" s="6"/>
      <c r="AL5195" s="6"/>
      <c r="AM5195" s="6"/>
    </row>
    <row r="5196">
      <c r="A5196" s="6"/>
      <c r="B5196" s="6"/>
      <c r="C5196" s="6"/>
      <c r="D5196" s="6"/>
      <c r="E5196" s="6"/>
      <c r="F5196" s="6"/>
      <c r="G5196" s="6"/>
      <c r="H5196" s="6"/>
      <c r="I5196" s="6"/>
      <c r="J5196" s="6"/>
      <c r="K5196" s="6"/>
      <c r="L5196" s="6"/>
      <c r="M5196" s="6"/>
      <c r="N5196" s="6"/>
      <c r="O5196" s="6"/>
      <c r="P5196" s="6"/>
      <c r="Q5196" s="6"/>
      <c r="R5196" s="6"/>
      <c r="S5196" s="6"/>
      <c r="T5196" s="6"/>
      <c r="U5196" s="6"/>
      <c r="V5196" s="6"/>
      <c r="W5196" s="6"/>
      <c r="X5196" s="6"/>
      <c r="Y5196" s="6"/>
      <c r="Z5196" s="6"/>
      <c r="AA5196" s="6"/>
      <c r="AB5196" s="6"/>
      <c r="AC5196" s="6"/>
      <c r="AD5196" s="6"/>
      <c r="AE5196" s="6"/>
      <c r="AF5196" s="6"/>
      <c r="AG5196" s="6"/>
      <c r="AH5196" s="6"/>
      <c r="AI5196" s="6"/>
      <c r="AJ5196" s="6"/>
      <c r="AK5196" s="6"/>
      <c r="AL5196" s="6"/>
      <c r="AM5196" s="6"/>
    </row>
    <row r="5197">
      <c r="A5197" s="6"/>
      <c r="B5197" s="6"/>
      <c r="C5197" s="6"/>
      <c r="D5197" s="6"/>
      <c r="E5197" s="6"/>
      <c r="F5197" s="6"/>
      <c r="G5197" s="6"/>
      <c r="H5197" s="6"/>
      <c r="I5197" s="6"/>
      <c r="J5197" s="6"/>
      <c r="K5197" s="6"/>
      <c r="L5197" s="6"/>
      <c r="M5197" s="6"/>
      <c r="N5197" s="6"/>
      <c r="O5197" s="6"/>
      <c r="P5197" s="6"/>
      <c r="Q5197" s="6"/>
      <c r="R5197" s="6"/>
      <c r="S5197" s="6"/>
      <c r="T5197" s="6"/>
      <c r="U5197" s="6"/>
      <c r="V5197" s="6"/>
      <c r="W5197" s="6"/>
      <c r="X5197" s="6"/>
      <c r="Y5197" s="6"/>
      <c r="Z5197" s="6"/>
      <c r="AA5197" s="6"/>
      <c r="AB5197" s="6"/>
      <c r="AC5197" s="6"/>
      <c r="AD5197" s="6"/>
      <c r="AE5197" s="6"/>
      <c r="AF5197" s="6"/>
      <c r="AG5197" s="6"/>
      <c r="AH5197" s="6"/>
      <c r="AI5197" s="6"/>
      <c r="AJ5197" s="6"/>
      <c r="AK5197" s="6"/>
      <c r="AL5197" s="6"/>
      <c r="AM5197" s="6"/>
    </row>
    <row r="5198">
      <c r="A5198" s="6"/>
      <c r="B5198" s="6"/>
      <c r="C5198" s="6"/>
      <c r="D5198" s="6"/>
      <c r="E5198" s="6"/>
      <c r="F5198" s="6"/>
      <c r="G5198" s="6"/>
      <c r="H5198" s="6"/>
      <c r="I5198" s="6"/>
      <c r="J5198" s="6"/>
      <c r="K5198" s="6"/>
      <c r="L5198" s="6"/>
      <c r="M5198" s="6"/>
      <c r="N5198" s="6"/>
      <c r="O5198" s="6"/>
      <c r="P5198" s="6"/>
      <c r="Q5198" s="6"/>
      <c r="R5198" s="6"/>
      <c r="S5198" s="6"/>
      <c r="T5198" s="6"/>
      <c r="U5198" s="6"/>
      <c r="V5198" s="6"/>
      <c r="W5198" s="6"/>
      <c r="X5198" s="6"/>
      <c r="Y5198" s="6"/>
      <c r="Z5198" s="6"/>
      <c r="AA5198" s="6"/>
      <c r="AB5198" s="6"/>
      <c r="AC5198" s="6"/>
      <c r="AD5198" s="6"/>
      <c r="AE5198" s="6"/>
      <c r="AF5198" s="6"/>
      <c r="AG5198" s="6"/>
      <c r="AH5198" s="6"/>
      <c r="AI5198" s="6"/>
      <c r="AJ5198" s="6"/>
      <c r="AK5198" s="6"/>
      <c r="AL5198" s="6"/>
      <c r="AM5198" s="6"/>
    </row>
    <row r="5199">
      <c r="A5199" s="6"/>
      <c r="B5199" s="6"/>
      <c r="C5199" s="6"/>
      <c r="D5199" s="6"/>
      <c r="E5199" s="6"/>
      <c r="F5199" s="6"/>
      <c r="G5199" s="6"/>
      <c r="H5199" s="6"/>
      <c r="I5199" s="6"/>
      <c r="J5199" s="6"/>
      <c r="K5199" s="6"/>
      <c r="L5199" s="6"/>
      <c r="M5199" s="6"/>
      <c r="N5199" s="6"/>
      <c r="O5199" s="6"/>
      <c r="P5199" s="6"/>
      <c r="Q5199" s="6"/>
      <c r="R5199" s="6"/>
      <c r="S5199" s="6"/>
      <c r="T5199" s="6"/>
      <c r="U5199" s="6"/>
      <c r="V5199" s="6"/>
      <c r="W5199" s="6"/>
      <c r="X5199" s="6"/>
      <c r="Y5199" s="6"/>
      <c r="Z5199" s="6"/>
      <c r="AA5199" s="6"/>
      <c r="AB5199" s="6"/>
      <c r="AC5199" s="6"/>
      <c r="AD5199" s="6"/>
      <c r="AE5199" s="6"/>
      <c r="AF5199" s="6"/>
      <c r="AG5199" s="6"/>
      <c r="AH5199" s="6"/>
      <c r="AI5199" s="6"/>
      <c r="AJ5199" s="6"/>
      <c r="AK5199" s="6"/>
      <c r="AL5199" s="6"/>
      <c r="AM5199" s="6"/>
    </row>
    <row r="5200">
      <c r="A5200" s="6"/>
      <c r="B5200" s="6"/>
      <c r="C5200" s="6"/>
      <c r="D5200" s="6"/>
      <c r="E5200" s="6"/>
      <c r="F5200" s="6"/>
      <c r="G5200" s="6"/>
      <c r="H5200" s="6"/>
      <c r="I5200" s="6"/>
      <c r="J5200" s="6"/>
      <c r="K5200" s="6"/>
      <c r="L5200" s="6"/>
      <c r="M5200" s="6"/>
      <c r="N5200" s="6"/>
      <c r="O5200" s="6"/>
      <c r="P5200" s="6"/>
      <c r="Q5200" s="6"/>
      <c r="R5200" s="6"/>
      <c r="S5200" s="6"/>
      <c r="T5200" s="6"/>
      <c r="U5200" s="6"/>
      <c r="V5200" s="6"/>
      <c r="W5200" s="6"/>
      <c r="X5200" s="6"/>
      <c r="Y5200" s="6"/>
      <c r="Z5200" s="6"/>
      <c r="AA5200" s="6"/>
      <c r="AB5200" s="6"/>
      <c r="AC5200" s="6"/>
      <c r="AD5200" s="6"/>
      <c r="AE5200" s="6"/>
      <c r="AF5200" s="6"/>
      <c r="AG5200" s="6"/>
      <c r="AH5200" s="6"/>
      <c r="AI5200" s="6"/>
      <c r="AJ5200" s="6"/>
      <c r="AK5200" s="6"/>
      <c r="AL5200" s="6"/>
      <c r="AM5200" s="6"/>
    </row>
    <row r="5201">
      <c r="A5201" s="6"/>
      <c r="B5201" s="6"/>
      <c r="C5201" s="6"/>
      <c r="D5201" s="6"/>
      <c r="E5201" s="6"/>
      <c r="F5201" s="6"/>
      <c r="G5201" s="6"/>
      <c r="H5201" s="6"/>
      <c r="I5201" s="6"/>
      <c r="J5201" s="6"/>
      <c r="K5201" s="6"/>
      <c r="L5201" s="6"/>
      <c r="M5201" s="6"/>
      <c r="N5201" s="6"/>
      <c r="O5201" s="6"/>
      <c r="P5201" s="6"/>
      <c r="Q5201" s="6"/>
      <c r="R5201" s="6"/>
      <c r="S5201" s="6"/>
      <c r="T5201" s="6"/>
      <c r="U5201" s="6"/>
      <c r="V5201" s="6"/>
      <c r="W5201" s="6"/>
      <c r="X5201" s="6"/>
      <c r="Y5201" s="6"/>
      <c r="Z5201" s="6"/>
      <c r="AA5201" s="6"/>
      <c r="AB5201" s="6"/>
      <c r="AC5201" s="6"/>
      <c r="AD5201" s="6"/>
      <c r="AE5201" s="6"/>
      <c r="AF5201" s="6"/>
      <c r="AG5201" s="6"/>
      <c r="AH5201" s="6"/>
      <c r="AI5201" s="6"/>
      <c r="AJ5201" s="6"/>
      <c r="AK5201" s="6"/>
      <c r="AL5201" s="6"/>
      <c r="AM5201" s="6"/>
    </row>
    <row r="5202">
      <c r="A5202" s="6"/>
      <c r="B5202" s="6"/>
      <c r="C5202" s="6"/>
      <c r="D5202" s="6"/>
      <c r="E5202" s="6"/>
      <c r="F5202" s="6"/>
      <c r="G5202" s="6"/>
      <c r="H5202" s="6"/>
      <c r="I5202" s="6"/>
      <c r="J5202" s="6"/>
      <c r="K5202" s="6"/>
      <c r="L5202" s="6"/>
      <c r="M5202" s="6"/>
      <c r="N5202" s="6"/>
      <c r="O5202" s="6"/>
      <c r="P5202" s="6"/>
      <c r="Q5202" s="6"/>
      <c r="R5202" s="6"/>
      <c r="S5202" s="6"/>
      <c r="T5202" s="6"/>
      <c r="U5202" s="6"/>
      <c r="V5202" s="6"/>
      <c r="W5202" s="6"/>
      <c r="X5202" s="6"/>
      <c r="Y5202" s="6"/>
      <c r="Z5202" s="6"/>
      <c r="AA5202" s="6"/>
      <c r="AB5202" s="6"/>
      <c r="AC5202" s="6"/>
      <c r="AD5202" s="6"/>
      <c r="AE5202" s="6"/>
      <c r="AF5202" s="6"/>
      <c r="AG5202" s="6"/>
      <c r="AH5202" s="6"/>
      <c r="AI5202" s="6"/>
      <c r="AJ5202" s="6"/>
      <c r="AK5202" s="6"/>
      <c r="AL5202" s="6"/>
      <c r="AM5202" s="6"/>
    </row>
    <row r="5203">
      <c r="A5203" s="6"/>
      <c r="B5203" s="6"/>
      <c r="C5203" s="6"/>
      <c r="D5203" s="6"/>
      <c r="E5203" s="6"/>
      <c r="F5203" s="6"/>
      <c r="G5203" s="6"/>
      <c r="H5203" s="6"/>
      <c r="I5203" s="6"/>
      <c r="J5203" s="6"/>
      <c r="K5203" s="6"/>
      <c r="L5203" s="6"/>
      <c r="M5203" s="6"/>
      <c r="N5203" s="6"/>
      <c r="O5203" s="6"/>
      <c r="P5203" s="6"/>
      <c r="Q5203" s="6"/>
      <c r="R5203" s="6"/>
      <c r="S5203" s="6"/>
      <c r="T5203" s="6"/>
      <c r="U5203" s="6"/>
      <c r="V5203" s="6"/>
      <c r="W5203" s="6"/>
      <c r="X5203" s="6"/>
      <c r="Y5203" s="6"/>
      <c r="Z5203" s="6"/>
      <c r="AA5203" s="6"/>
      <c r="AB5203" s="6"/>
      <c r="AC5203" s="6"/>
      <c r="AD5203" s="6"/>
      <c r="AE5203" s="6"/>
      <c r="AF5203" s="6"/>
      <c r="AG5203" s="6"/>
      <c r="AH5203" s="6"/>
      <c r="AI5203" s="6"/>
      <c r="AJ5203" s="6"/>
      <c r="AK5203" s="6"/>
      <c r="AL5203" s="6"/>
      <c r="AM5203" s="6"/>
    </row>
    <row r="5204">
      <c r="A5204" s="6"/>
      <c r="B5204" s="6"/>
      <c r="C5204" s="6"/>
      <c r="D5204" s="6"/>
      <c r="E5204" s="6"/>
      <c r="F5204" s="6"/>
      <c r="G5204" s="6"/>
      <c r="H5204" s="6"/>
      <c r="I5204" s="6"/>
      <c r="J5204" s="6"/>
      <c r="K5204" s="6"/>
      <c r="L5204" s="6"/>
      <c r="M5204" s="6"/>
      <c r="N5204" s="6"/>
      <c r="O5204" s="6"/>
      <c r="P5204" s="6"/>
      <c r="Q5204" s="6"/>
      <c r="R5204" s="6"/>
      <c r="S5204" s="6"/>
      <c r="T5204" s="6"/>
      <c r="U5204" s="6"/>
      <c r="V5204" s="6"/>
      <c r="W5204" s="6"/>
      <c r="X5204" s="6"/>
      <c r="Y5204" s="6"/>
      <c r="Z5204" s="6"/>
      <c r="AA5204" s="6"/>
      <c r="AB5204" s="6"/>
      <c r="AC5204" s="6"/>
      <c r="AD5204" s="6"/>
      <c r="AE5204" s="6"/>
      <c r="AF5204" s="6"/>
      <c r="AG5204" s="6"/>
      <c r="AH5204" s="6"/>
      <c r="AI5204" s="6"/>
      <c r="AJ5204" s="6"/>
      <c r="AK5204" s="6"/>
      <c r="AL5204" s="6"/>
      <c r="AM5204" s="6"/>
    </row>
    <row r="5205">
      <c r="A5205" s="6"/>
      <c r="B5205" s="6"/>
      <c r="C5205" s="6"/>
      <c r="D5205" s="6"/>
      <c r="E5205" s="6"/>
      <c r="F5205" s="6"/>
      <c r="G5205" s="6"/>
      <c r="H5205" s="6"/>
      <c r="I5205" s="6"/>
      <c r="J5205" s="6"/>
      <c r="K5205" s="6"/>
      <c r="L5205" s="6"/>
      <c r="M5205" s="6"/>
      <c r="N5205" s="6"/>
      <c r="O5205" s="6"/>
      <c r="P5205" s="6"/>
      <c r="Q5205" s="6"/>
      <c r="R5205" s="6"/>
      <c r="S5205" s="6"/>
      <c r="T5205" s="6"/>
      <c r="U5205" s="6"/>
      <c r="V5205" s="6"/>
      <c r="W5205" s="6"/>
      <c r="X5205" s="6"/>
      <c r="Y5205" s="6"/>
      <c r="Z5205" s="6"/>
      <c r="AA5205" s="6"/>
      <c r="AB5205" s="6"/>
      <c r="AC5205" s="6"/>
      <c r="AD5205" s="6"/>
      <c r="AE5205" s="6"/>
      <c r="AF5205" s="6"/>
      <c r="AG5205" s="6"/>
      <c r="AH5205" s="6"/>
      <c r="AI5205" s="6"/>
      <c r="AJ5205" s="6"/>
      <c r="AK5205" s="6"/>
      <c r="AL5205" s="6"/>
      <c r="AM5205" s="6"/>
    </row>
    <row r="5206">
      <c r="A5206" s="6"/>
      <c r="B5206" s="6"/>
      <c r="C5206" s="6"/>
      <c r="D5206" s="6"/>
      <c r="E5206" s="6"/>
      <c r="F5206" s="6"/>
      <c r="G5206" s="6"/>
      <c r="H5206" s="6"/>
      <c r="I5206" s="6"/>
      <c r="J5206" s="6"/>
      <c r="K5206" s="6"/>
      <c r="L5206" s="6"/>
      <c r="M5206" s="6"/>
      <c r="N5206" s="6"/>
      <c r="O5206" s="6"/>
      <c r="P5206" s="6"/>
      <c r="Q5206" s="6"/>
      <c r="R5206" s="6"/>
      <c r="S5206" s="6"/>
      <c r="T5206" s="6"/>
      <c r="U5206" s="6"/>
      <c r="V5206" s="6"/>
      <c r="W5206" s="6"/>
      <c r="X5206" s="6"/>
      <c r="Y5206" s="6"/>
      <c r="Z5206" s="6"/>
      <c r="AA5206" s="6"/>
      <c r="AB5206" s="6"/>
      <c r="AC5206" s="6"/>
      <c r="AD5206" s="6"/>
      <c r="AE5206" s="6"/>
      <c r="AF5206" s="6"/>
      <c r="AG5206" s="6"/>
      <c r="AH5206" s="6"/>
      <c r="AI5206" s="6"/>
      <c r="AJ5206" s="6"/>
      <c r="AK5206" s="6"/>
      <c r="AL5206" s="6"/>
      <c r="AM5206" s="6"/>
    </row>
    <row r="5207">
      <c r="A5207" s="6"/>
      <c r="B5207" s="6"/>
      <c r="C5207" s="6"/>
      <c r="D5207" s="6"/>
      <c r="E5207" s="6"/>
      <c r="F5207" s="6"/>
      <c r="G5207" s="6"/>
      <c r="H5207" s="6"/>
      <c r="I5207" s="6"/>
      <c r="J5207" s="6"/>
      <c r="K5207" s="6"/>
      <c r="L5207" s="6"/>
      <c r="M5207" s="6"/>
      <c r="N5207" s="6"/>
      <c r="O5207" s="6"/>
      <c r="P5207" s="6"/>
      <c r="Q5207" s="6"/>
      <c r="R5207" s="6"/>
      <c r="S5207" s="6"/>
      <c r="T5207" s="6"/>
      <c r="U5207" s="6"/>
      <c r="V5207" s="6"/>
      <c r="W5207" s="6"/>
      <c r="X5207" s="6"/>
      <c r="Y5207" s="6"/>
      <c r="Z5207" s="6"/>
      <c r="AA5207" s="6"/>
      <c r="AB5207" s="6"/>
      <c r="AC5207" s="6"/>
      <c r="AD5207" s="6"/>
      <c r="AE5207" s="6"/>
      <c r="AF5207" s="6"/>
      <c r="AG5207" s="6"/>
      <c r="AH5207" s="6"/>
      <c r="AI5207" s="6"/>
      <c r="AJ5207" s="6"/>
      <c r="AK5207" s="6"/>
      <c r="AL5207" s="6"/>
      <c r="AM5207" s="6"/>
    </row>
    <row r="5208">
      <c r="A5208" s="6"/>
      <c r="B5208" s="6"/>
      <c r="C5208" s="6"/>
      <c r="D5208" s="6"/>
      <c r="E5208" s="6"/>
      <c r="F5208" s="6"/>
      <c r="G5208" s="6"/>
      <c r="H5208" s="6"/>
      <c r="I5208" s="6"/>
      <c r="J5208" s="6"/>
      <c r="K5208" s="6"/>
      <c r="L5208" s="6"/>
      <c r="M5208" s="6"/>
      <c r="N5208" s="6"/>
      <c r="O5208" s="6"/>
      <c r="P5208" s="6"/>
      <c r="Q5208" s="6"/>
      <c r="R5208" s="6"/>
      <c r="S5208" s="6"/>
      <c r="T5208" s="6"/>
      <c r="U5208" s="6"/>
      <c r="V5208" s="6"/>
      <c r="W5208" s="6"/>
      <c r="X5208" s="6"/>
      <c r="Y5208" s="6"/>
      <c r="Z5208" s="6"/>
      <c r="AA5208" s="6"/>
      <c r="AB5208" s="6"/>
      <c r="AC5208" s="6"/>
      <c r="AD5208" s="6"/>
      <c r="AE5208" s="6"/>
      <c r="AF5208" s="6"/>
      <c r="AG5208" s="6"/>
      <c r="AH5208" s="6"/>
      <c r="AI5208" s="6"/>
      <c r="AJ5208" s="6"/>
      <c r="AK5208" s="6"/>
      <c r="AL5208" s="6"/>
      <c r="AM5208" s="6"/>
    </row>
    <row r="5209">
      <c r="A5209" s="6"/>
      <c r="B5209" s="6"/>
      <c r="C5209" s="6"/>
      <c r="D5209" s="6"/>
      <c r="E5209" s="6"/>
      <c r="F5209" s="6"/>
      <c r="G5209" s="6"/>
      <c r="H5209" s="6"/>
      <c r="I5209" s="6"/>
      <c r="J5209" s="6"/>
      <c r="K5209" s="6"/>
      <c r="L5209" s="6"/>
      <c r="M5209" s="6"/>
      <c r="N5209" s="6"/>
      <c r="O5209" s="6"/>
      <c r="P5209" s="6"/>
      <c r="Q5209" s="6"/>
      <c r="R5209" s="6"/>
      <c r="S5209" s="6"/>
      <c r="T5209" s="6"/>
      <c r="U5209" s="6"/>
      <c r="V5209" s="6"/>
      <c r="W5209" s="6"/>
      <c r="X5209" s="6"/>
      <c r="Y5209" s="6"/>
      <c r="Z5209" s="6"/>
      <c r="AA5209" s="6"/>
      <c r="AB5209" s="6"/>
      <c r="AC5209" s="6"/>
      <c r="AD5209" s="6"/>
      <c r="AE5209" s="6"/>
      <c r="AF5209" s="6"/>
      <c r="AG5209" s="6"/>
      <c r="AH5209" s="6"/>
      <c r="AI5209" s="6"/>
      <c r="AJ5209" s="6"/>
      <c r="AK5209" s="6"/>
      <c r="AL5209" s="6"/>
      <c r="AM5209" s="6"/>
    </row>
    <row r="5210">
      <c r="A5210" s="6"/>
      <c r="B5210" s="6"/>
      <c r="C5210" s="6"/>
      <c r="D5210" s="6"/>
      <c r="E5210" s="6"/>
      <c r="F5210" s="6"/>
      <c r="G5210" s="6"/>
      <c r="H5210" s="6"/>
      <c r="I5210" s="6"/>
      <c r="J5210" s="6"/>
      <c r="K5210" s="6"/>
      <c r="L5210" s="6"/>
      <c r="M5210" s="6"/>
      <c r="N5210" s="6"/>
      <c r="O5210" s="6"/>
      <c r="P5210" s="6"/>
      <c r="Q5210" s="6"/>
      <c r="R5210" s="6"/>
      <c r="S5210" s="6"/>
      <c r="T5210" s="6"/>
      <c r="U5210" s="6"/>
      <c r="V5210" s="6"/>
      <c r="W5210" s="6"/>
      <c r="X5210" s="6"/>
      <c r="Y5210" s="6"/>
      <c r="Z5210" s="6"/>
      <c r="AA5210" s="6"/>
      <c r="AB5210" s="6"/>
      <c r="AC5210" s="6"/>
      <c r="AD5210" s="6"/>
      <c r="AE5210" s="6"/>
      <c r="AF5210" s="6"/>
      <c r="AG5210" s="6"/>
      <c r="AH5210" s="6"/>
      <c r="AI5210" s="6"/>
      <c r="AJ5210" s="6"/>
      <c r="AK5210" s="6"/>
      <c r="AL5210" s="6"/>
      <c r="AM5210" s="6"/>
    </row>
    <row r="5211">
      <c r="A5211" s="6"/>
      <c r="B5211" s="6"/>
      <c r="C5211" s="6"/>
      <c r="D5211" s="6"/>
      <c r="E5211" s="6"/>
      <c r="F5211" s="6"/>
      <c r="G5211" s="6"/>
      <c r="H5211" s="6"/>
      <c r="I5211" s="6"/>
      <c r="J5211" s="6"/>
      <c r="K5211" s="6"/>
      <c r="L5211" s="6"/>
      <c r="M5211" s="6"/>
      <c r="N5211" s="6"/>
      <c r="O5211" s="6"/>
      <c r="P5211" s="6"/>
      <c r="Q5211" s="6"/>
      <c r="R5211" s="6"/>
      <c r="S5211" s="6"/>
      <c r="T5211" s="6"/>
      <c r="U5211" s="6"/>
      <c r="V5211" s="6"/>
      <c r="W5211" s="6"/>
      <c r="X5211" s="6"/>
      <c r="Y5211" s="6"/>
      <c r="Z5211" s="6"/>
      <c r="AA5211" s="6"/>
      <c r="AB5211" s="6"/>
      <c r="AC5211" s="6"/>
      <c r="AD5211" s="6"/>
      <c r="AE5211" s="6"/>
      <c r="AF5211" s="6"/>
      <c r="AG5211" s="6"/>
      <c r="AH5211" s="6"/>
      <c r="AI5211" s="6"/>
      <c r="AJ5211" s="6"/>
      <c r="AK5211" s="6"/>
      <c r="AL5211" s="6"/>
      <c r="AM5211" s="6"/>
    </row>
    <row r="5212">
      <c r="A5212" s="6"/>
      <c r="B5212" s="6"/>
      <c r="C5212" s="6"/>
      <c r="D5212" s="6"/>
      <c r="E5212" s="6"/>
      <c r="F5212" s="6"/>
      <c r="G5212" s="6"/>
      <c r="H5212" s="6"/>
      <c r="I5212" s="6"/>
      <c r="J5212" s="6"/>
      <c r="K5212" s="6"/>
      <c r="L5212" s="6"/>
      <c r="M5212" s="6"/>
      <c r="N5212" s="6"/>
      <c r="O5212" s="6"/>
      <c r="P5212" s="6"/>
      <c r="Q5212" s="6"/>
      <c r="R5212" s="6"/>
      <c r="S5212" s="6"/>
      <c r="T5212" s="6"/>
      <c r="U5212" s="6"/>
      <c r="V5212" s="6"/>
      <c r="W5212" s="6"/>
      <c r="X5212" s="6"/>
      <c r="Y5212" s="6"/>
      <c r="Z5212" s="6"/>
      <c r="AA5212" s="6"/>
      <c r="AB5212" s="6"/>
      <c r="AC5212" s="6"/>
      <c r="AD5212" s="6"/>
      <c r="AE5212" s="6"/>
      <c r="AF5212" s="6"/>
      <c r="AG5212" s="6"/>
      <c r="AH5212" s="6"/>
      <c r="AI5212" s="6"/>
      <c r="AJ5212" s="6"/>
      <c r="AK5212" s="6"/>
      <c r="AL5212" s="6"/>
      <c r="AM5212" s="6"/>
    </row>
    <row r="5213">
      <c r="A5213" s="6"/>
      <c r="B5213" s="6"/>
      <c r="C5213" s="6"/>
      <c r="D5213" s="6"/>
      <c r="E5213" s="6"/>
      <c r="F5213" s="6"/>
      <c r="G5213" s="6"/>
      <c r="H5213" s="6"/>
      <c r="I5213" s="6"/>
      <c r="J5213" s="6"/>
      <c r="K5213" s="6"/>
      <c r="L5213" s="6"/>
      <c r="M5213" s="6"/>
      <c r="N5213" s="6"/>
      <c r="O5213" s="6"/>
      <c r="P5213" s="6"/>
      <c r="Q5213" s="6"/>
      <c r="R5213" s="6"/>
      <c r="S5213" s="6"/>
      <c r="T5213" s="6"/>
      <c r="U5213" s="6"/>
      <c r="V5213" s="6"/>
      <c r="W5213" s="6"/>
      <c r="X5213" s="6"/>
      <c r="Y5213" s="6"/>
      <c r="Z5213" s="6"/>
      <c r="AA5213" s="6"/>
      <c r="AB5213" s="6"/>
      <c r="AC5213" s="6"/>
      <c r="AD5213" s="6"/>
      <c r="AE5213" s="6"/>
      <c r="AF5213" s="6"/>
      <c r="AG5213" s="6"/>
      <c r="AH5213" s="6"/>
      <c r="AI5213" s="6"/>
      <c r="AJ5213" s="6"/>
      <c r="AK5213" s="6"/>
      <c r="AL5213" s="6"/>
      <c r="AM5213" s="6"/>
    </row>
    <row r="5214">
      <c r="A5214" s="6"/>
      <c r="B5214" s="6"/>
      <c r="C5214" s="6"/>
      <c r="D5214" s="6"/>
      <c r="E5214" s="6"/>
      <c r="F5214" s="6"/>
      <c r="G5214" s="6"/>
      <c r="H5214" s="6"/>
      <c r="I5214" s="6"/>
      <c r="J5214" s="6"/>
      <c r="K5214" s="6"/>
      <c r="L5214" s="6"/>
      <c r="M5214" s="6"/>
      <c r="N5214" s="6"/>
      <c r="O5214" s="6"/>
      <c r="P5214" s="6"/>
      <c r="Q5214" s="6"/>
      <c r="R5214" s="6"/>
      <c r="S5214" s="6"/>
      <c r="T5214" s="6"/>
      <c r="U5214" s="6"/>
      <c r="V5214" s="6"/>
      <c r="W5214" s="6"/>
      <c r="X5214" s="6"/>
      <c r="Y5214" s="6"/>
      <c r="Z5214" s="6"/>
      <c r="AA5214" s="6"/>
      <c r="AB5214" s="6"/>
      <c r="AC5214" s="6"/>
      <c r="AD5214" s="6"/>
      <c r="AE5214" s="6"/>
      <c r="AF5214" s="6"/>
      <c r="AG5214" s="6"/>
      <c r="AH5214" s="6"/>
      <c r="AI5214" s="6"/>
      <c r="AJ5214" s="6"/>
      <c r="AK5214" s="6"/>
      <c r="AL5214" s="6"/>
      <c r="AM5214" s="6"/>
    </row>
    <row r="5215">
      <c r="A5215" s="6"/>
      <c r="B5215" s="6"/>
      <c r="C5215" s="6"/>
      <c r="D5215" s="6"/>
      <c r="E5215" s="6"/>
      <c r="F5215" s="6"/>
      <c r="G5215" s="6"/>
      <c r="H5215" s="6"/>
      <c r="I5215" s="6"/>
      <c r="J5215" s="6"/>
      <c r="K5215" s="6"/>
      <c r="L5215" s="6"/>
      <c r="M5215" s="6"/>
      <c r="N5215" s="6"/>
      <c r="O5215" s="6"/>
      <c r="P5215" s="6"/>
      <c r="Q5215" s="6"/>
      <c r="R5215" s="6"/>
      <c r="S5215" s="6"/>
      <c r="T5215" s="6"/>
      <c r="U5215" s="6"/>
      <c r="V5215" s="6"/>
      <c r="W5215" s="6"/>
      <c r="X5215" s="6"/>
      <c r="Y5215" s="6"/>
      <c r="Z5215" s="6"/>
      <c r="AA5215" s="6"/>
      <c r="AB5215" s="6"/>
      <c r="AC5215" s="6"/>
      <c r="AD5215" s="6"/>
      <c r="AE5215" s="6"/>
      <c r="AF5215" s="6"/>
      <c r="AG5215" s="6"/>
      <c r="AH5215" s="6"/>
      <c r="AI5215" s="6"/>
      <c r="AJ5215" s="6"/>
      <c r="AK5215" s="6"/>
      <c r="AL5215" s="6"/>
      <c r="AM5215" s="6"/>
    </row>
    <row r="5216">
      <c r="A5216" s="6"/>
      <c r="B5216" s="6"/>
      <c r="C5216" s="6"/>
      <c r="D5216" s="6"/>
      <c r="E5216" s="6"/>
      <c r="F5216" s="6"/>
      <c r="G5216" s="6"/>
      <c r="H5216" s="6"/>
      <c r="I5216" s="6"/>
      <c r="J5216" s="6"/>
      <c r="K5216" s="6"/>
      <c r="L5216" s="6"/>
      <c r="M5216" s="6"/>
      <c r="N5216" s="6"/>
      <c r="O5216" s="6"/>
      <c r="P5216" s="6"/>
      <c r="Q5216" s="6"/>
      <c r="R5216" s="6"/>
      <c r="S5216" s="6"/>
      <c r="T5216" s="6"/>
      <c r="U5216" s="6"/>
      <c r="V5216" s="6"/>
      <c r="W5216" s="6"/>
      <c r="X5216" s="6"/>
      <c r="Y5216" s="6"/>
      <c r="Z5216" s="6"/>
      <c r="AA5216" s="6"/>
      <c r="AB5216" s="6"/>
      <c r="AC5216" s="6"/>
      <c r="AD5216" s="6"/>
      <c r="AE5216" s="6"/>
      <c r="AF5216" s="6"/>
      <c r="AG5216" s="6"/>
      <c r="AH5216" s="6"/>
      <c r="AI5216" s="6"/>
      <c r="AJ5216" s="6"/>
      <c r="AK5216" s="6"/>
      <c r="AL5216" s="6"/>
      <c r="AM5216" s="6"/>
    </row>
    <row r="5217">
      <c r="A5217" s="6"/>
      <c r="B5217" s="6"/>
      <c r="C5217" s="6"/>
      <c r="D5217" s="6"/>
      <c r="E5217" s="6"/>
      <c r="F5217" s="6"/>
      <c r="G5217" s="6"/>
      <c r="H5217" s="6"/>
      <c r="I5217" s="6"/>
      <c r="J5217" s="6"/>
      <c r="K5217" s="6"/>
      <c r="L5217" s="6"/>
      <c r="M5217" s="6"/>
      <c r="N5217" s="6"/>
      <c r="O5217" s="6"/>
      <c r="P5217" s="6"/>
      <c r="Q5217" s="6"/>
      <c r="R5217" s="6"/>
      <c r="S5217" s="6"/>
      <c r="T5217" s="6"/>
      <c r="U5217" s="6"/>
      <c r="V5217" s="6"/>
      <c r="W5217" s="6"/>
      <c r="X5217" s="6"/>
      <c r="Y5217" s="6"/>
      <c r="Z5217" s="6"/>
      <c r="AA5217" s="6"/>
      <c r="AB5217" s="6"/>
      <c r="AC5217" s="6"/>
      <c r="AD5217" s="6"/>
      <c r="AE5217" s="6"/>
      <c r="AF5217" s="6"/>
      <c r="AG5217" s="6"/>
      <c r="AH5217" s="6"/>
      <c r="AI5217" s="6"/>
      <c r="AJ5217" s="6"/>
      <c r="AK5217" s="6"/>
      <c r="AL5217" s="6"/>
      <c r="AM5217" s="6"/>
    </row>
    <row r="5218">
      <c r="A5218" s="6"/>
      <c r="B5218" s="6"/>
      <c r="C5218" s="6"/>
      <c r="D5218" s="6"/>
      <c r="E5218" s="6"/>
      <c r="F5218" s="6"/>
      <c r="G5218" s="6"/>
      <c r="H5218" s="6"/>
      <c r="I5218" s="6"/>
      <c r="J5218" s="6"/>
      <c r="K5218" s="6"/>
      <c r="L5218" s="6"/>
      <c r="M5218" s="6"/>
      <c r="N5218" s="6"/>
      <c r="O5218" s="6"/>
      <c r="P5218" s="6"/>
      <c r="Q5218" s="6"/>
      <c r="R5218" s="6"/>
      <c r="S5218" s="6"/>
      <c r="T5218" s="6"/>
      <c r="U5218" s="6"/>
      <c r="V5218" s="6"/>
      <c r="W5218" s="6"/>
      <c r="X5218" s="6"/>
      <c r="Y5218" s="6"/>
      <c r="Z5218" s="6"/>
      <c r="AA5218" s="6"/>
      <c r="AB5218" s="6"/>
      <c r="AC5218" s="6"/>
      <c r="AD5218" s="6"/>
      <c r="AE5218" s="6"/>
      <c r="AF5218" s="6"/>
      <c r="AG5218" s="6"/>
      <c r="AH5218" s="6"/>
      <c r="AI5218" s="6"/>
      <c r="AJ5218" s="6"/>
      <c r="AK5218" s="6"/>
      <c r="AL5218" s="6"/>
      <c r="AM5218" s="6"/>
    </row>
    <row r="5219">
      <c r="A5219" s="6"/>
      <c r="B5219" s="6"/>
      <c r="C5219" s="6"/>
      <c r="D5219" s="6"/>
      <c r="E5219" s="6"/>
      <c r="F5219" s="6"/>
      <c r="G5219" s="6"/>
      <c r="H5219" s="6"/>
      <c r="I5219" s="6"/>
      <c r="J5219" s="6"/>
      <c r="K5219" s="6"/>
      <c r="L5219" s="6"/>
      <c r="M5219" s="6"/>
      <c r="N5219" s="6"/>
      <c r="O5219" s="6"/>
      <c r="P5219" s="6"/>
      <c r="Q5219" s="6"/>
      <c r="R5219" s="6"/>
      <c r="S5219" s="6"/>
      <c r="T5219" s="6"/>
      <c r="U5219" s="6"/>
      <c r="V5219" s="6"/>
      <c r="W5219" s="6"/>
      <c r="X5219" s="6"/>
      <c r="Y5219" s="6"/>
      <c r="Z5219" s="6"/>
      <c r="AA5219" s="6"/>
      <c r="AB5219" s="6"/>
      <c r="AC5219" s="6"/>
      <c r="AD5219" s="6"/>
      <c r="AE5219" s="6"/>
      <c r="AF5219" s="6"/>
      <c r="AG5219" s="6"/>
      <c r="AH5219" s="6"/>
      <c r="AI5219" s="6"/>
      <c r="AJ5219" s="6"/>
      <c r="AK5219" s="6"/>
      <c r="AL5219" s="6"/>
      <c r="AM5219" s="6"/>
    </row>
    <row r="5220">
      <c r="A5220" s="6"/>
      <c r="B5220" s="6"/>
      <c r="C5220" s="6"/>
      <c r="D5220" s="6"/>
      <c r="E5220" s="6"/>
      <c r="F5220" s="6"/>
      <c r="G5220" s="6"/>
      <c r="H5220" s="6"/>
      <c r="I5220" s="6"/>
      <c r="J5220" s="6"/>
      <c r="K5220" s="6"/>
      <c r="L5220" s="6"/>
      <c r="M5220" s="6"/>
      <c r="N5220" s="6"/>
      <c r="O5220" s="6"/>
      <c r="P5220" s="6"/>
      <c r="Q5220" s="6"/>
      <c r="R5220" s="6"/>
      <c r="S5220" s="6"/>
      <c r="T5220" s="6"/>
      <c r="U5220" s="6"/>
      <c r="V5220" s="6"/>
      <c r="W5220" s="6"/>
      <c r="X5220" s="6"/>
      <c r="Y5220" s="6"/>
      <c r="Z5220" s="6"/>
      <c r="AA5220" s="6"/>
      <c r="AB5220" s="6"/>
      <c r="AC5220" s="6"/>
      <c r="AD5220" s="6"/>
      <c r="AE5220" s="6"/>
      <c r="AF5220" s="6"/>
      <c r="AG5220" s="6"/>
      <c r="AH5220" s="6"/>
      <c r="AI5220" s="6"/>
      <c r="AJ5220" s="6"/>
      <c r="AK5220" s="6"/>
      <c r="AL5220" s="6"/>
      <c r="AM5220" s="6"/>
    </row>
    <row r="5221">
      <c r="A5221" s="6"/>
      <c r="B5221" s="6"/>
      <c r="C5221" s="6"/>
      <c r="D5221" s="6"/>
      <c r="E5221" s="6"/>
      <c r="F5221" s="6"/>
      <c r="G5221" s="6"/>
      <c r="H5221" s="6"/>
      <c r="I5221" s="6"/>
      <c r="J5221" s="6"/>
      <c r="K5221" s="6"/>
      <c r="L5221" s="6"/>
      <c r="M5221" s="6"/>
      <c r="N5221" s="6"/>
      <c r="O5221" s="6"/>
      <c r="P5221" s="6"/>
      <c r="Q5221" s="6"/>
      <c r="R5221" s="6"/>
      <c r="S5221" s="6"/>
      <c r="T5221" s="6"/>
      <c r="U5221" s="6"/>
      <c r="V5221" s="6"/>
      <c r="W5221" s="6"/>
      <c r="X5221" s="6"/>
      <c r="Y5221" s="6"/>
      <c r="Z5221" s="6"/>
      <c r="AA5221" s="6"/>
      <c r="AB5221" s="6"/>
      <c r="AC5221" s="6"/>
      <c r="AD5221" s="6"/>
      <c r="AE5221" s="6"/>
      <c r="AF5221" s="6"/>
      <c r="AG5221" s="6"/>
      <c r="AH5221" s="6"/>
      <c r="AI5221" s="6"/>
      <c r="AJ5221" s="6"/>
      <c r="AK5221" s="6"/>
      <c r="AL5221" s="6"/>
      <c r="AM5221" s="6"/>
    </row>
    <row r="5222">
      <c r="A5222" s="6"/>
      <c r="B5222" s="6"/>
      <c r="C5222" s="6"/>
      <c r="D5222" s="6"/>
      <c r="E5222" s="6"/>
      <c r="F5222" s="6"/>
      <c r="G5222" s="6"/>
      <c r="H5222" s="6"/>
      <c r="I5222" s="6"/>
      <c r="J5222" s="6"/>
      <c r="K5222" s="6"/>
      <c r="L5222" s="6"/>
      <c r="M5222" s="6"/>
      <c r="N5222" s="6"/>
      <c r="O5222" s="6"/>
      <c r="P5222" s="6"/>
      <c r="Q5222" s="6"/>
      <c r="R5222" s="6"/>
      <c r="S5222" s="6"/>
      <c r="T5222" s="6"/>
      <c r="U5222" s="6"/>
      <c r="V5222" s="6"/>
      <c r="W5222" s="6"/>
      <c r="X5222" s="6"/>
      <c r="Y5222" s="6"/>
      <c r="Z5222" s="6"/>
      <c r="AA5222" s="6"/>
      <c r="AB5222" s="6"/>
      <c r="AC5222" s="6"/>
      <c r="AD5222" s="6"/>
      <c r="AE5222" s="6"/>
      <c r="AF5222" s="6"/>
      <c r="AG5222" s="6"/>
      <c r="AH5222" s="6"/>
      <c r="AI5222" s="6"/>
      <c r="AJ5222" s="6"/>
      <c r="AK5222" s="6"/>
      <c r="AL5222" s="6"/>
      <c r="AM5222" s="6"/>
    </row>
    <row r="5223">
      <c r="A5223" s="6"/>
      <c r="B5223" s="6"/>
      <c r="C5223" s="6"/>
      <c r="D5223" s="6"/>
      <c r="E5223" s="6"/>
      <c r="F5223" s="6"/>
      <c r="G5223" s="6"/>
      <c r="H5223" s="6"/>
      <c r="I5223" s="6"/>
      <c r="J5223" s="6"/>
      <c r="K5223" s="6"/>
      <c r="L5223" s="6"/>
      <c r="M5223" s="6"/>
      <c r="N5223" s="6"/>
      <c r="O5223" s="6"/>
      <c r="P5223" s="6"/>
      <c r="Q5223" s="6"/>
      <c r="R5223" s="6"/>
      <c r="S5223" s="6"/>
      <c r="T5223" s="6"/>
      <c r="U5223" s="6"/>
      <c r="V5223" s="6"/>
      <c r="W5223" s="6"/>
      <c r="X5223" s="6"/>
      <c r="Y5223" s="6"/>
      <c r="Z5223" s="6"/>
      <c r="AA5223" s="6"/>
      <c r="AB5223" s="6"/>
      <c r="AC5223" s="6"/>
      <c r="AD5223" s="6"/>
      <c r="AE5223" s="6"/>
      <c r="AF5223" s="6"/>
      <c r="AG5223" s="6"/>
      <c r="AH5223" s="6"/>
      <c r="AI5223" s="6"/>
      <c r="AJ5223" s="6"/>
      <c r="AK5223" s="6"/>
      <c r="AL5223" s="6"/>
      <c r="AM5223" s="6"/>
    </row>
    <row r="5224">
      <c r="A5224" s="6"/>
      <c r="B5224" s="6"/>
      <c r="C5224" s="6"/>
      <c r="D5224" s="6"/>
      <c r="E5224" s="6"/>
      <c r="F5224" s="6"/>
      <c r="G5224" s="6"/>
      <c r="H5224" s="6"/>
      <c r="I5224" s="6"/>
      <c r="J5224" s="6"/>
      <c r="K5224" s="6"/>
      <c r="L5224" s="6"/>
      <c r="M5224" s="6"/>
      <c r="N5224" s="6"/>
      <c r="O5224" s="6"/>
      <c r="P5224" s="6"/>
      <c r="Q5224" s="6"/>
      <c r="R5224" s="6"/>
      <c r="S5224" s="6"/>
      <c r="T5224" s="6"/>
      <c r="U5224" s="6"/>
      <c r="V5224" s="6"/>
      <c r="W5224" s="6"/>
      <c r="X5224" s="6"/>
      <c r="Y5224" s="6"/>
      <c r="Z5224" s="6"/>
      <c r="AA5224" s="6"/>
      <c r="AB5224" s="6"/>
      <c r="AC5224" s="6"/>
      <c r="AD5224" s="6"/>
      <c r="AE5224" s="6"/>
      <c r="AF5224" s="6"/>
      <c r="AG5224" s="6"/>
      <c r="AH5224" s="6"/>
      <c r="AI5224" s="6"/>
      <c r="AJ5224" s="6"/>
      <c r="AK5224" s="6"/>
      <c r="AL5224" s="6"/>
      <c r="AM5224" s="6"/>
    </row>
    <row r="5225">
      <c r="A5225" s="6"/>
      <c r="B5225" s="6"/>
      <c r="C5225" s="6"/>
      <c r="D5225" s="6"/>
      <c r="E5225" s="6"/>
      <c r="F5225" s="6"/>
      <c r="G5225" s="6"/>
      <c r="H5225" s="6"/>
      <c r="I5225" s="6"/>
      <c r="J5225" s="6"/>
      <c r="K5225" s="6"/>
      <c r="L5225" s="6"/>
      <c r="M5225" s="6"/>
      <c r="N5225" s="6"/>
      <c r="O5225" s="6"/>
      <c r="P5225" s="6"/>
      <c r="Q5225" s="6"/>
      <c r="R5225" s="6"/>
      <c r="S5225" s="6"/>
      <c r="T5225" s="6"/>
      <c r="U5225" s="6"/>
      <c r="V5225" s="6"/>
      <c r="W5225" s="6"/>
      <c r="X5225" s="6"/>
      <c r="Y5225" s="6"/>
      <c r="Z5225" s="6"/>
      <c r="AA5225" s="6"/>
      <c r="AB5225" s="6"/>
      <c r="AC5225" s="6"/>
      <c r="AD5225" s="6"/>
      <c r="AE5225" s="6"/>
      <c r="AF5225" s="6"/>
      <c r="AG5225" s="6"/>
      <c r="AH5225" s="6"/>
      <c r="AI5225" s="6"/>
      <c r="AJ5225" s="6"/>
      <c r="AK5225" s="6"/>
      <c r="AL5225" s="6"/>
      <c r="AM5225" s="6"/>
    </row>
    <row r="5226">
      <c r="A5226" s="6"/>
      <c r="B5226" s="6"/>
      <c r="C5226" s="6"/>
      <c r="D5226" s="6"/>
      <c r="E5226" s="6"/>
      <c r="F5226" s="6"/>
      <c r="G5226" s="6"/>
      <c r="H5226" s="6"/>
      <c r="I5226" s="6"/>
      <c r="J5226" s="6"/>
      <c r="K5226" s="6"/>
      <c r="L5226" s="6"/>
      <c r="M5226" s="6"/>
      <c r="N5226" s="6"/>
      <c r="O5226" s="6"/>
      <c r="P5226" s="6"/>
      <c r="Q5226" s="6"/>
      <c r="R5226" s="6"/>
      <c r="S5226" s="6"/>
      <c r="T5226" s="6"/>
      <c r="U5226" s="6"/>
      <c r="V5226" s="6"/>
      <c r="W5226" s="6"/>
      <c r="X5226" s="6"/>
      <c r="Y5226" s="6"/>
      <c r="Z5226" s="6"/>
      <c r="AA5226" s="6"/>
      <c r="AB5226" s="6"/>
      <c r="AC5226" s="6"/>
      <c r="AD5226" s="6"/>
      <c r="AE5226" s="6"/>
      <c r="AF5226" s="6"/>
      <c r="AG5226" s="6"/>
      <c r="AH5226" s="6"/>
      <c r="AI5226" s="6"/>
      <c r="AJ5226" s="6"/>
      <c r="AK5226" s="6"/>
      <c r="AL5226" s="6"/>
      <c r="AM5226" s="6"/>
    </row>
    <row r="5227">
      <c r="A5227" s="6"/>
      <c r="B5227" s="6"/>
      <c r="C5227" s="6"/>
      <c r="D5227" s="6"/>
      <c r="E5227" s="6"/>
      <c r="F5227" s="6"/>
      <c r="G5227" s="6"/>
      <c r="H5227" s="6"/>
      <c r="I5227" s="6"/>
      <c r="J5227" s="6"/>
      <c r="K5227" s="6"/>
      <c r="L5227" s="6"/>
      <c r="M5227" s="6"/>
      <c r="N5227" s="6"/>
      <c r="O5227" s="6"/>
      <c r="P5227" s="6"/>
      <c r="Q5227" s="6"/>
      <c r="R5227" s="6"/>
      <c r="S5227" s="6"/>
      <c r="T5227" s="6"/>
      <c r="U5227" s="6"/>
      <c r="V5227" s="6"/>
      <c r="W5227" s="6"/>
      <c r="X5227" s="6"/>
      <c r="Y5227" s="6"/>
      <c r="Z5227" s="6"/>
      <c r="AA5227" s="6"/>
      <c r="AB5227" s="6"/>
      <c r="AC5227" s="6"/>
      <c r="AD5227" s="6"/>
      <c r="AE5227" s="6"/>
      <c r="AF5227" s="6"/>
      <c r="AG5227" s="6"/>
      <c r="AH5227" s="6"/>
      <c r="AI5227" s="6"/>
      <c r="AJ5227" s="6"/>
      <c r="AK5227" s="6"/>
      <c r="AL5227" s="6"/>
      <c r="AM5227" s="6"/>
    </row>
    <row r="5228">
      <c r="A5228" s="6"/>
      <c r="B5228" s="6"/>
      <c r="C5228" s="6"/>
      <c r="D5228" s="6"/>
      <c r="E5228" s="6"/>
      <c r="F5228" s="6"/>
      <c r="G5228" s="6"/>
      <c r="H5228" s="6"/>
      <c r="I5228" s="6"/>
      <c r="J5228" s="6"/>
      <c r="K5228" s="6"/>
      <c r="L5228" s="6"/>
      <c r="M5228" s="6"/>
      <c r="N5228" s="6"/>
      <c r="O5228" s="6"/>
      <c r="P5228" s="6"/>
      <c r="Q5228" s="6"/>
      <c r="R5228" s="6"/>
      <c r="S5228" s="6"/>
      <c r="T5228" s="6"/>
      <c r="U5228" s="6"/>
      <c r="V5228" s="6"/>
      <c r="W5228" s="6"/>
      <c r="X5228" s="6"/>
      <c r="Y5228" s="6"/>
      <c r="Z5228" s="6"/>
      <c r="AA5228" s="6"/>
      <c r="AB5228" s="6"/>
      <c r="AC5228" s="6"/>
      <c r="AD5228" s="6"/>
      <c r="AE5228" s="6"/>
      <c r="AF5228" s="6"/>
      <c r="AG5228" s="6"/>
      <c r="AH5228" s="6"/>
      <c r="AI5228" s="6"/>
      <c r="AJ5228" s="6"/>
      <c r="AK5228" s="6"/>
      <c r="AL5228" s="6"/>
      <c r="AM5228" s="6"/>
    </row>
    <row r="5229">
      <c r="A5229" s="6"/>
      <c r="B5229" s="6"/>
      <c r="C5229" s="6"/>
      <c r="D5229" s="6"/>
      <c r="E5229" s="6"/>
      <c r="F5229" s="6"/>
      <c r="G5229" s="6"/>
      <c r="H5229" s="6"/>
      <c r="I5229" s="6"/>
      <c r="J5229" s="6"/>
      <c r="K5229" s="6"/>
      <c r="L5229" s="6"/>
      <c r="M5229" s="6"/>
      <c r="N5229" s="6"/>
      <c r="O5229" s="6"/>
      <c r="P5229" s="6"/>
      <c r="Q5229" s="6"/>
      <c r="R5229" s="6"/>
      <c r="S5229" s="6"/>
      <c r="T5229" s="6"/>
      <c r="U5229" s="6"/>
      <c r="V5229" s="6"/>
      <c r="W5229" s="6"/>
      <c r="X5229" s="6"/>
      <c r="Y5229" s="6"/>
      <c r="Z5229" s="6"/>
      <c r="AA5229" s="6"/>
      <c r="AB5229" s="6"/>
      <c r="AC5229" s="6"/>
      <c r="AD5229" s="6"/>
      <c r="AE5229" s="6"/>
      <c r="AF5229" s="6"/>
      <c r="AG5229" s="6"/>
      <c r="AH5229" s="6"/>
      <c r="AI5229" s="6"/>
      <c r="AJ5229" s="6"/>
      <c r="AK5229" s="6"/>
      <c r="AL5229" s="6"/>
      <c r="AM5229" s="6"/>
    </row>
    <row r="5230">
      <c r="A5230" s="6"/>
      <c r="B5230" s="6"/>
      <c r="C5230" s="6"/>
      <c r="D5230" s="6"/>
      <c r="E5230" s="6"/>
      <c r="F5230" s="6"/>
      <c r="G5230" s="6"/>
      <c r="H5230" s="6"/>
      <c r="I5230" s="6"/>
      <c r="J5230" s="6"/>
      <c r="K5230" s="6"/>
      <c r="L5230" s="6"/>
      <c r="M5230" s="6"/>
      <c r="N5230" s="6"/>
      <c r="O5230" s="6"/>
      <c r="P5230" s="6"/>
      <c r="Q5230" s="6"/>
      <c r="R5230" s="6"/>
      <c r="S5230" s="6"/>
      <c r="T5230" s="6"/>
      <c r="U5230" s="6"/>
      <c r="V5230" s="6"/>
      <c r="W5230" s="6"/>
      <c r="X5230" s="6"/>
      <c r="Y5230" s="6"/>
      <c r="Z5230" s="6"/>
      <c r="AA5230" s="6"/>
      <c r="AB5230" s="6"/>
      <c r="AC5230" s="6"/>
      <c r="AD5230" s="6"/>
      <c r="AE5230" s="6"/>
      <c r="AF5230" s="6"/>
      <c r="AG5230" s="6"/>
      <c r="AH5230" s="6"/>
      <c r="AI5230" s="6"/>
      <c r="AJ5230" s="6"/>
      <c r="AK5230" s="6"/>
      <c r="AL5230" s="6"/>
      <c r="AM5230" s="6"/>
    </row>
    <row r="5231">
      <c r="A5231" s="6"/>
      <c r="B5231" s="6"/>
      <c r="C5231" s="6"/>
      <c r="D5231" s="6"/>
      <c r="E5231" s="6"/>
      <c r="F5231" s="6"/>
      <c r="G5231" s="6"/>
      <c r="H5231" s="6"/>
      <c r="I5231" s="6"/>
      <c r="J5231" s="6"/>
      <c r="K5231" s="6"/>
      <c r="L5231" s="6"/>
      <c r="M5231" s="6"/>
      <c r="N5231" s="6"/>
      <c r="O5231" s="6"/>
      <c r="P5231" s="6"/>
      <c r="Q5231" s="6"/>
      <c r="R5231" s="6"/>
      <c r="S5231" s="6"/>
      <c r="T5231" s="6"/>
      <c r="U5231" s="6"/>
      <c r="V5231" s="6"/>
      <c r="W5231" s="6"/>
      <c r="X5231" s="6"/>
      <c r="Y5231" s="6"/>
      <c r="Z5231" s="6"/>
      <c r="AA5231" s="6"/>
      <c r="AB5231" s="6"/>
      <c r="AC5231" s="6"/>
      <c r="AD5231" s="6"/>
      <c r="AE5231" s="6"/>
      <c r="AF5231" s="6"/>
      <c r="AG5231" s="6"/>
      <c r="AH5231" s="6"/>
      <c r="AI5231" s="6"/>
      <c r="AJ5231" s="6"/>
      <c r="AK5231" s="6"/>
      <c r="AL5231" s="6"/>
      <c r="AM5231" s="6"/>
    </row>
    <row r="5232">
      <c r="A5232" s="6"/>
      <c r="B5232" s="6"/>
      <c r="C5232" s="6"/>
      <c r="D5232" s="6"/>
      <c r="E5232" s="6"/>
      <c r="F5232" s="6"/>
      <c r="G5232" s="6"/>
      <c r="H5232" s="6"/>
      <c r="I5232" s="6"/>
      <c r="J5232" s="6"/>
      <c r="K5232" s="6"/>
      <c r="L5232" s="6"/>
      <c r="M5232" s="6"/>
      <c r="N5232" s="6"/>
      <c r="O5232" s="6"/>
      <c r="P5232" s="6"/>
      <c r="Q5232" s="6"/>
      <c r="R5232" s="6"/>
      <c r="S5232" s="6"/>
      <c r="T5232" s="6"/>
      <c r="U5232" s="6"/>
      <c r="V5232" s="6"/>
      <c r="W5232" s="6"/>
      <c r="X5232" s="6"/>
      <c r="Y5232" s="6"/>
      <c r="Z5232" s="6"/>
      <c r="AA5232" s="6"/>
      <c r="AB5232" s="6"/>
      <c r="AC5232" s="6"/>
      <c r="AD5232" s="6"/>
      <c r="AE5232" s="6"/>
      <c r="AF5232" s="6"/>
      <c r="AG5232" s="6"/>
      <c r="AH5232" s="6"/>
      <c r="AI5232" s="6"/>
      <c r="AJ5232" s="6"/>
      <c r="AK5232" s="6"/>
      <c r="AL5232" s="6"/>
      <c r="AM5232" s="6"/>
    </row>
    <row r="5233">
      <c r="A5233" s="6"/>
      <c r="B5233" s="6"/>
      <c r="C5233" s="6"/>
      <c r="D5233" s="6"/>
      <c r="E5233" s="6"/>
      <c r="F5233" s="6"/>
      <c r="G5233" s="6"/>
      <c r="H5233" s="6"/>
      <c r="I5233" s="6"/>
      <c r="J5233" s="6"/>
      <c r="K5233" s="6"/>
      <c r="L5233" s="6"/>
      <c r="M5233" s="6"/>
      <c r="N5233" s="6"/>
      <c r="O5233" s="6"/>
      <c r="P5233" s="6"/>
      <c r="Q5233" s="6"/>
      <c r="R5233" s="6"/>
      <c r="S5233" s="6"/>
      <c r="T5233" s="6"/>
      <c r="U5233" s="6"/>
      <c r="V5233" s="6"/>
      <c r="W5233" s="6"/>
      <c r="X5233" s="6"/>
      <c r="Y5233" s="6"/>
      <c r="Z5233" s="6"/>
      <c r="AA5233" s="6"/>
      <c r="AB5233" s="6"/>
      <c r="AC5233" s="6"/>
      <c r="AD5233" s="6"/>
      <c r="AE5233" s="6"/>
      <c r="AF5233" s="6"/>
      <c r="AG5233" s="6"/>
      <c r="AH5233" s="6"/>
      <c r="AI5233" s="6"/>
      <c r="AJ5233" s="6"/>
      <c r="AK5233" s="6"/>
      <c r="AL5233" s="6"/>
      <c r="AM5233" s="6"/>
    </row>
    <row r="5234">
      <c r="A5234" s="6"/>
      <c r="B5234" s="6"/>
      <c r="C5234" s="6"/>
      <c r="D5234" s="6"/>
      <c r="E5234" s="6"/>
      <c r="F5234" s="6"/>
      <c r="G5234" s="6"/>
      <c r="H5234" s="6"/>
      <c r="I5234" s="6"/>
      <c r="J5234" s="6"/>
      <c r="K5234" s="6"/>
      <c r="L5234" s="6"/>
      <c r="M5234" s="6"/>
      <c r="N5234" s="6"/>
      <c r="O5234" s="6"/>
      <c r="P5234" s="6"/>
      <c r="Q5234" s="6"/>
      <c r="R5234" s="6"/>
      <c r="S5234" s="6"/>
      <c r="T5234" s="6"/>
      <c r="U5234" s="6"/>
      <c r="V5234" s="6"/>
      <c r="W5234" s="6"/>
      <c r="X5234" s="6"/>
      <c r="Y5234" s="6"/>
      <c r="Z5234" s="6"/>
      <c r="AA5234" s="6"/>
      <c r="AB5234" s="6"/>
      <c r="AC5234" s="6"/>
      <c r="AD5234" s="6"/>
      <c r="AE5234" s="6"/>
      <c r="AF5234" s="6"/>
      <c r="AG5234" s="6"/>
      <c r="AH5234" s="6"/>
      <c r="AI5234" s="6"/>
      <c r="AJ5234" s="6"/>
      <c r="AK5234" s="6"/>
      <c r="AL5234" s="6"/>
      <c r="AM5234" s="6"/>
    </row>
    <row r="5235">
      <c r="A5235" s="6"/>
      <c r="B5235" s="6"/>
      <c r="C5235" s="6"/>
      <c r="D5235" s="6"/>
      <c r="E5235" s="6"/>
      <c r="F5235" s="6"/>
      <c r="G5235" s="6"/>
      <c r="H5235" s="6"/>
      <c r="I5235" s="6"/>
      <c r="J5235" s="6"/>
      <c r="K5235" s="6"/>
      <c r="L5235" s="6"/>
      <c r="M5235" s="6"/>
      <c r="N5235" s="6"/>
      <c r="O5235" s="6"/>
      <c r="P5235" s="6"/>
      <c r="Q5235" s="6"/>
      <c r="R5235" s="6"/>
      <c r="S5235" s="6"/>
      <c r="T5235" s="6"/>
      <c r="U5235" s="6"/>
      <c r="V5235" s="6"/>
      <c r="W5235" s="6"/>
      <c r="X5235" s="6"/>
      <c r="Y5235" s="6"/>
      <c r="Z5235" s="6"/>
      <c r="AA5235" s="6"/>
      <c r="AB5235" s="6"/>
      <c r="AC5235" s="6"/>
      <c r="AD5235" s="6"/>
      <c r="AE5235" s="6"/>
      <c r="AF5235" s="6"/>
      <c r="AG5235" s="6"/>
      <c r="AH5235" s="6"/>
      <c r="AI5235" s="6"/>
      <c r="AJ5235" s="6"/>
      <c r="AK5235" s="6"/>
      <c r="AL5235" s="6"/>
      <c r="AM5235" s="6"/>
    </row>
    <row r="5236">
      <c r="A5236" s="6"/>
      <c r="B5236" s="6"/>
      <c r="C5236" s="6"/>
      <c r="D5236" s="6"/>
      <c r="E5236" s="6"/>
      <c r="F5236" s="6"/>
      <c r="G5236" s="6"/>
      <c r="H5236" s="6"/>
      <c r="I5236" s="6"/>
      <c r="J5236" s="6"/>
      <c r="K5236" s="6"/>
      <c r="L5236" s="6"/>
      <c r="M5236" s="6"/>
      <c r="N5236" s="6"/>
      <c r="O5236" s="6"/>
      <c r="P5236" s="6"/>
      <c r="Q5236" s="6"/>
      <c r="R5236" s="6"/>
      <c r="S5236" s="6"/>
      <c r="T5236" s="6"/>
      <c r="U5236" s="6"/>
      <c r="V5236" s="6"/>
      <c r="W5236" s="6"/>
      <c r="X5236" s="6"/>
      <c r="Y5236" s="6"/>
      <c r="Z5236" s="6"/>
      <c r="AA5236" s="6"/>
      <c r="AB5236" s="6"/>
      <c r="AC5236" s="6"/>
      <c r="AD5236" s="6"/>
      <c r="AE5236" s="6"/>
      <c r="AF5236" s="6"/>
      <c r="AG5236" s="6"/>
      <c r="AH5236" s="6"/>
      <c r="AI5236" s="6"/>
      <c r="AJ5236" s="6"/>
      <c r="AK5236" s="6"/>
      <c r="AL5236" s="6"/>
      <c r="AM5236" s="6"/>
    </row>
    <row r="5237">
      <c r="A5237" s="6"/>
      <c r="B5237" s="6"/>
      <c r="C5237" s="6"/>
      <c r="D5237" s="6"/>
      <c r="E5237" s="6"/>
      <c r="F5237" s="6"/>
      <c r="G5237" s="6"/>
      <c r="H5237" s="6"/>
      <c r="I5237" s="6"/>
      <c r="J5237" s="6"/>
      <c r="K5237" s="6"/>
      <c r="L5237" s="6"/>
      <c r="M5237" s="6"/>
      <c r="N5237" s="6"/>
      <c r="O5237" s="6"/>
      <c r="P5237" s="6"/>
      <c r="Q5237" s="6"/>
      <c r="R5237" s="6"/>
      <c r="S5237" s="6"/>
      <c r="T5237" s="6"/>
      <c r="U5237" s="6"/>
      <c r="V5237" s="6"/>
      <c r="W5237" s="6"/>
      <c r="X5237" s="6"/>
      <c r="Y5237" s="6"/>
      <c r="Z5237" s="6"/>
      <c r="AA5237" s="6"/>
      <c r="AB5237" s="6"/>
      <c r="AC5237" s="6"/>
      <c r="AD5237" s="6"/>
      <c r="AE5237" s="6"/>
      <c r="AF5237" s="6"/>
      <c r="AG5237" s="6"/>
      <c r="AH5237" s="6"/>
      <c r="AI5237" s="6"/>
      <c r="AJ5237" s="6"/>
      <c r="AK5237" s="6"/>
      <c r="AL5237" s="6"/>
      <c r="AM5237" s="6"/>
    </row>
    <row r="5238">
      <c r="A5238" s="6"/>
      <c r="B5238" s="6"/>
      <c r="C5238" s="6"/>
      <c r="D5238" s="6"/>
      <c r="E5238" s="6"/>
      <c r="F5238" s="6"/>
      <c r="G5238" s="6"/>
      <c r="H5238" s="6"/>
      <c r="I5238" s="6"/>
      <c r="J5238" s="6"/>
      <c r="K5238" s="6"/>
      <c r="L5238" s="6"/>
      <c r="M5238" s="6"/>
      <c r="N5238" s="6"/>
      <c r="O5238" s="6"/>
      <c r="P5238" s="6"/>
      <c r="Q5238" s="6"/>
      <c r="R5238" s="6"/>
      <c r="S5238" s="6"/>
      <c r="T5238" s="6"/>
      <c r="U5238" s="6"/>
      <c r="V5238" s="6"/>
      <c r="W5238" s="6"/>
      <c r="X5238" s="6"/>
      <c r="Y5238" s="6"/>
      <c r="Z5238" s="6"/>
      <c r="AA5238" s="6"/>
      <c r="AB5238" s="6"/>
      <c r="AC5238" s="6"/>
      <c r="AD5238" s="6"/>
      <c r="AE5238" s="6"/>
      <c r="AF5238" s="6"/>
      <c r="AG5238" s="6"/>
      <c r="AH5238" s="6"/>
      <c r="AI5238" s="6"/>
      <c r="AJ5238" s="6"/>
      <c r="AK5238" s="6"/>
      <c r="AL5238" s="6"/>
      <c r="AM5238" s="6"/>
    </row>
    <row r="5239">
      <c r="A5239" s="6"/>
      <c r="B5239" s="6"/>
      <c r="C5239" s="6"/>
      <c r="D5239" s="6"/>
      <c r="E5239" s="6"/>
      <c r="F5239" s="6"/>
      <c r="G5239" s="6"/>
      <c r="H5239" s="6"/>
      <c r="I5239" s="6"/>
      <c r="J5239" s="6"/>
      <c r="K5239" s="6"/>
      <c r="L5239" s="6"/>
      <c r="M5239" s="6"/>
      <c r="N5239" s="6"/>
      <c r="O5239" s="6"/>
      <c r="P5239" s="6"/>
      <c r="Q5239" s="6"/>
      <c r="R5239" s="6"/>
      <c r="S5239" s="6"/>
      <c r="T5239" s="6"/>
      <c r="U5239" s="6"/>
      <c r="V5239" s="6"/>
      <c r="W5239" s="6"/>
      <c r="X5239" s="6"/>
      <c r="Y5239" s="6"/>
      <c r="Z5239" s="6"/>
      <c r="AA5239" s="6"/>
      <c r="AB5239" s="6"/>
      <c r="AC5239" s="6"/>
      <c r="AD5239" s="6"/>
      <c r="AE5239" s="6"/>
      <c r="AF5239" s="6"/>
      <c r="AG5239" s="6"/>
      <c r="AH5239" s="6"/>
      <c r="AI5239" s="6"/>
      <c r="AJ5239" s="6"/>
      <c r="AK5239" s="6"/>
      <c r="AL5239" s="6"/>
      <c r="AM5239" s="6"/>
    </row>
    <row r="5240">
      <c r="A5240" s="6"/>
      <c r="B5240" s="6"/>
      <c r="C5240" s="6"/>
      <c r="D5240" s="6"/>
      <c r="E5240" s="6"/>
      <c r="F5240" s="6"/>
      <c r="G5240" s="6"/>
      <c r="H5240" s="6"/>
      <c r="I5240" s="6"/>
      <c r="J5240" s="6"/>
      <c r="K5240" s="6"/>
      <c r="L5240" s="6"/>
      <c r="M5240" s="6"/>
      <c r="N5240" s="6"/>
      <c r="O5240" s="6"/>
      <c r="P5240" s="6"/>
      <c r="Q5240" s="6"/>
      <c r="R5240" s="6"/>
      <c r="S5240" s="6"/>
      <c r="T5240" s="6"/>
      <c r="U5240" s="6"/>
      <c r="V5240" s="6"/>
      <c r="W5240" s="6"/>
      <c r="X5240" s="6"/>
      <c r="Y5240" s="6"/>
      <c r="Z5240" s="6"/>
      <c r="AA5240" s="6"/>
      <c r="AB5240" s="6"/>
      <c r="AC5240" s="6"/>
      <c r="AD5240" s="6"/>
      <c r="AE5240" s="6"/>
      <c r="AF5240" s="6"/>
      <c r="AG5240" s="6"/>
      <c r="AH5240" s="6"/>
      <c r="AI5240" s="6"/>
      <c r="AJ5240" s="6"/>
      <c r="AK5240" s="6"/>
      <c r="AL5240" s="6"/>
      <c r="AM5240" s="6"/>
    </row>
    <row r="5241">
      <c r="A5241" s="6"/>
      <c r="B5241" s="6"/>
      <c r="C5241" s="6"/>
      <c r="D5241" s="6"/>
      <c r="E5241" s="6"/>
      <c r="F5241" s="6"/>
      <c r="G5241" s="6"/>
      <c r="H5241" s="6"/>
      <c r="I5241" s="6"/>
      <c r="J5241" s="6"/>
      <c r="K5241" s="6"/>
      <c r="L5241" s="6"/>
      <c r="M5241" s="6"/>
      <c r="N5241" s="6"/>
      <c r="O5241" s="6"/>
      <c r="P5241" s="6"/>
      <c r="Q5241" s="6"/>
      <c r="R5241" s="6"/>
      <c r="S5241" s="6"/>
      <c r="T5241" s="6"/>
      <c r="U5241" s="6"/>
      <c r="V5241" s="6"/>
      <c r="W5241" s="6"/>
      <c r="X5241" s="6"/>
      <c r="Y5241" s="6"/>
      <c r="Z5241" s="6"/>
      <c r="AA5241" s="6"/>
      <c r="AB5241" s="6"/>
      <c r="AC5241" s="6"/>
      <c r="AD5241" s="6"/>
      <c r="AE5241" s="6"/>
      <c r="AF5241" s="6"/>
      <c r="AG5241" s="6"/>
      <c r="AH5241" s="6"/>
      <c r="AI5241" s="6"/>
      <c r="AJ5241" s="6"/>
      <c r="AK5241" s="6"/>
      <c r="AL5241" s="6"/>
      <c r="AM5241" s="6"/>
    </row>
    <row r="5242">
      <c r="A5242" s="6"/>
      <c r="B5242" s="6"/>
      <c r="C5242" s="6"/>
      <c r="D5242" s="6"/>
      <c r="E5242" s="6"/>
      <c r="F5242" s="6"/>
      <c r="G5242" s="6"/>
      <c r="H5242" s="6"/>
      <c r="I5242" s="6"/>
      <c r="J5242" s="6"/>
      <c r="K5242" s="6"/>
      <c r="L5242" s="6"/>
      <c r="M5242" s="6"/>
      <c r="N5242" s="6"/>
      <c r="O5242" s="6"/>
      <c r="P5242" s="6"/>
      <c r="Q5242" s="6"/>
      <c r="R5242" s="6"/>
      <c r="S5242" s="6"/>
      <c r="T5242" s="6"/>
      <c r="U5242" s="6"/>
      <c r="V5242" s="6"/>
      <c r="W5242" s="6"/>
      <c r="X5242" s="6"/>
      <c r="Y5242" s="6"/>
      <c r="Z5242" s="6"/>
      <c r="AA5242" s="6"/>
      <c r="AB5242" s="6"/>
      <c r="AC5242" s="6"/>
      <c r="AD5242" s="6"/>
      <c r="AE5242" s="6"/>
      <c r="AF5242" s="6"/>
      <c r="AG5242" s="6"/>
      <c r="AH5242" s="6"/>
      <c r="AI5242" s="6"/>
      <c r="AJ5242" s="6"/>
      <c r="AK5242" s="6"/>
      <c r="AL5242" s="6"/>
      <c r="AM5242" s="6"/>
    </row>
    <row r="5243">
      <c r="A5243" s="6"/>
      <c r="B5243" s="6"/>
      <c r="C5243" s="6"/>
      <c r="D5243" s="6"/>
      <c r="E5243" s="6"/>
      <c r="F5243" s="6"/>
      <c r="G5243" s="6"/>
      <c r="H5243" s="6"/>
      <c r="I5243" s="6"/>
      <c r="J5243" s="6"/>
      <c r="K5243" s="6"/>
      <c r="L5243" s="6"/>
      <c r="M5243" s="6"/>
      <c r="N5243" s="6"/>
      <c r="O5243" s="6"/>
      <c r="P5243" s="6"/>
      <c r="Q5243" s="6"/>
      <c r="R5243" s="6"/>
      <c r="S5243" s="6"/>
      <c r="T5243" s="6"/>
      <c r="U5243" s="6"/>
      <c r="V5243" s="6"/>
      <c r="W5243" s="6"/>
      <c r="X5243" s="6"/>
      <c r="Y5243" s="6"/>
      <c r="Z5243" s="6"/>
      <c r="AA5243" s="6"/>
      <c r="AB5243" s="6"/>
      <c r="AC5243" s="6"/>
      <c r="AD5243" s="6"/>
      <c r="AE5243" s="6"/>
      <c r="AF5243" s="6"/>
      <c r="AG5243" s="6"/>
      <c r="AH5243" s="6"/>
      <c r="AI5243" s="6"/>
      <c r="AJ5243" s="6"/>
      <c r="AK5243" s="6"/>
      <c r="AL5243" s="6"/>
      <c r="AM5243" s="6"/>
    </row>
    <row r="5244">
      <c r="A5244" s="6"/>
      <c r="B5244" s="6"/>
      <c r="C5244" s="6"/>
      <c r="D5244" s="6"/>
      <c r="E5244" s="6"/>
      <c r="F5244" s="6"/>
      <c r="G5244" s="6"/>
      <c r="H5244" s="6"/>
      <c r="I5244" s="6"/>
      <c r="J5244" s="6"/>
      <c r="K5244" s="6"/>
      <c r="L5244" s="6"/>
      <c r="M5244" s="6"/>
      <c r="N5244" s="6"/>
      <c r="O5244" s="6"/>
      <c r="P5244" s="6"/>
      <c r="Q5244" s="6"/>
      <c r="R5244" s="6"/>
      <c r="S5244" s="6"/>
      <c r="T5244" s="6"/>
      <c r="U5244" s="6"/>
      <c r="V5244" s="6"/>
      <c r="W5244" s="6"/>
      <c r="X5244" s="6"/>
      <c r="Y5244" s="6"/>
      <c r="Z5244" s="6"/>
      <c r="AA5244" s="6"/>
      <c r="AB5244" s="6"/>
      <c r="AC5244" s="6"/>
      <c r="AD5244" s="6"/>
      <c r="AE5244" s="6"/>
      <c r="AF5244" s="6"/>
      <c r="AG5244" s="6"/>
      <c r="AH5244" s="6"/>
      <c r="AI5244" s="6"/>
      <c r="AJ5244" s="6"/>
      <c r="AK5244" s="6"/>
      <c r="AL5244" s="6"/>
      <c r="AM5244" s="6"/>
    </row>
    <row r="5245">
      <c r="A5245" s="6"/>
      <c r="B5245" s="6"/>
      <c r="C5245" s="6"/>
      <c r="D5245" s="6"/>
      <c r="E5245" s="6"/>
      <c r="F5245" s="6"/>
      <c r="G5245" s="6"/>
      <c r="H5245" s="6"/>
      <c r="I5245" s="6"/>
      <c r="J5245" s="6"/>
      <c r="K5245" s="6"/>
      <c r="L5245" s="6"/>
      <c r="M5245" s="6"/>
      <c r="N5245" s="6"/>
      <c r="O5245" s="6"/>
      <c r="P5245" s="6"/>
      <c r="Q5245" s="6"/>
      <c r="R5245" s="6"/>
      <c r="S5245" s="6"/>
      <c r="T5245" s="6"/>
      <c r="U5245" s="6"/>
      <c r="V5245" s="6"/>
      <c r="W5245" s="6"/>
      <c r="X5245" s="6"/>
      <c r="Y5245" s="6"/>
      <c r="Z5245" s="6"/>
      <c r="AA5245" s="6"/>
      <c r="AB5245" s="6"/>
      <c r="AC5245" s="6"/>
      <c r="AD5245" s="6"/>
      <c r="AE5245" s="6"/>
      <c r="AF5245" s="6"/>
      <c r="AG5245" s="6"/>
      <c r="AH5245" s="6"/>
      <c r="AI5245" s="6"/>
      <c r="AJ5245" s="6"/>
      <c r="AK5245" s="6"/>
      <c r="AL5245" s="6"/>
      <c r="AM5245" s="6"/>
    </row>
    <row r="5246">
      <c r="A5246" s="6"/>
      <c r="B5246" s="6"/>
      <c r="C5246" s="6"/>
      <c r="D5246" s="6"/>
      <c r="E5246" s="6"/>
      <c r="F5246" s="6"/>
      <c r="G5246" s="6"/>
      <c r="H5246" s="6"/>
      <c r="I5246" s="6"/>
      <c r="J5246" s="6"/>
      <c r="K5246" s="6"/>
      <c r="L5246" s="6"/>
      <c r="M5246" s="6"/>
      <c r="N5246" s="6"/>
      <c r="O5246" s="6"/>
      <c r="P5246" s="6"/>
      <c r="Q5246" s="6"/>
      <c r="R5246" s="6"/>
      <c r="S5246" s="6"/>
      <c r="T5246" s="6"/>
      <c r="U5246" s="6"/>
      <c r="V5246" s="6"/>
      <c r="W5246" s="6"/>
      <c r="X5246" s="6"/>
      <c r="Y5246" s="6"/>
      <c r="Z5246" s="6"/>
      <c r="AA5246" s="6"/>
      <c r="AB5246" s="6"/>
      <c r="AC5246" s="6"/>
      <c r="AD5246" s="6"/>
      <c r="AE5246" s="6"/>
      <c r="AF5246" s="6"/>
      <c r="AG5246" s="6"/>
      <c r="AH5246" s="6"/>
      <c r="AI5246" s="6"/>
      <c r="AJ5246" s="6"/>
      <c r="AK5246" s="6"/>
      <c r="AL5246" s="6"/>
      <c r="AM5246" s="6"/>
    </row>
    <row r="5247">
      <c r="A5247" s="6"/>
      <c r="B5247" s="6"/>
      <c r="C5247" s="6"/>
      <c r="D5247" s="6"/>
      <c r="E5247" s="6"/>
      <c r="F5247" s="6"/>
      <c r="G5247" s="6"/>
      <c r="H5247" s="6"/>
      <c r="I5247" s="6"/>
      <c r="J5247" s="6"/>
      <c r="K5247" s="6"/>
      <c r="L5247" s="6"/>
      <c r="M5247" s="6"/>
      <c r="N5247" s="6"/>
      <c r="O5247" s="6"/>
      <c r="P5247" s="6"/>
      <c r="Q5247" s="6"/>
      <c r="R5247" s="6"/>
      <c r="S5247" s="6"/>
      <c r="T5247" s="6"/>
      <c r="U5247" s="6"/>
      <c r="V5247" s="6"/>
      <c r="W5247" s="6"/>
      <c r="X5247" s="6"/>
      <c r="Y5247" s="6"/>
      <c r="Z5247" s="6"/>
      <c r="AA5247" s="6"/>
      <c r="AB5247" s="6"/>
      <c r="AC5247" s="6"/>
      <c r="AD5247" s="6"/>
      <c r="AE5247" s="6"/>
      <c r="AF5247" s="6"/>
      <c r="AG5247" s="6"/>
      <c r="AH5247" s="6"/>
      <c r="AI5247" s="6"/>
      <c r="AJ5247" s="6"/>
      <c r="AK5247" s="6"/>
      <c r="AL5247" s="6"/>
      <c r="AM5247" s="6"/>
    </row>
    <row r="5248">
      <c r="A5248" s="6"/>
      <c r="B5248" s="6"/>
      <c r="C5248" s="6"/>
      <c r="D5248" s="6"/>
      <c r="E5248" s="6"/>
      <c r="F5248" s="6"/>
      <c r="G5248" s="6"/>
      <c r="H5248" s="6"/>
      <c r="I5248" s="6"/>
      <c r="J5248" s="6"/>
      <c r="K5248" s="6"/>
      <c r="L5248" s="6"/>
      <c r="M5248" s="6"/>
      <c r="N5248" s="6"/>
      <c r="O5248" s="6"/>
      <c r="P5248" s="6"/>
      <c r="Q5248" s="6"/>
      <c r="R5248" s="6"/>
      <c r="S5248" s="6"/>
      <c r="T5248" s="6"/>
      <c r="U5248" s="6"/>
      <c r="V5248" s="6"/>
      <c r="W5248" s="6"/>
      <c r="X5248" s="6"/>
      <c r="Y5248" s="6"/>
      <c r="Z5248" s="6"/>
      <c r="AA5248" s="6"/>
      <c r="AB5248" s="6"/>
      <c r="AC5248" s="6"/>
      <c r="AD5248" s="6"/>
      <c r="AE5248" s="6"/>
      <c r="AF5248" s="6"/>
      <c r="AG5248" s="6"/>
      <c r="AH5248" s="6"/>
      <c r="AI5248" s="6"/>
      <c r="AJ5248" s="6"/>
      <c r="AK5248" s="6"/>
      <c r="AL5248" s="6"/>
      <c r="AM5248" s="6"/>
    </row>
    <row r="5249">
      <c r="A5249" s="6"/>
      <c r="B5249" s="6"/>
      <c r="C5249" s="6"/>
      <c r="D5249" s="6"/>
      <c r="E5249" s="6"/>
      <c r="F5249" s="6"/>
      <c r="G5249" s="6"/>
      <c r="H5249" s="6"/>
      <c r="I5249" s="6"/>
      <c r="J5249" s="6"/>
      <c r="K5249" s="6"/>
      <c r="L5249" s="6"/>
      <c r="M5249" s="6"/>
      <c r="N5249" s="6"/>
      <c r="O5249" s="6"/>
      <c r="P5249" s="6"/>
      <c r="Q5249" s="6"/>
      <c r="R5249" s="6"/>
      <c r="S5249" s="6"/>
      <c r="T5249" s="6"/>
      <c r="U5249" s="6"/>
      <c r="V5249" s="6"/>
      <c r="W5249" s="6"/>
      <c r="X5249" s="6"/>
      <c r="Y5249" s="6"/>
      <c r="Z5249" s="6"/>
      <c r="AA5249" s="6"/>
      <c r="AB5249" s="6"/>
      <c r="AC5249" s="6"/>
      <c r="AD5249" s="6"/>
      <c r="AE5249" s="6"/>
      <c r="AF5249" s="6"/>
      <c r="AG5249" s="6"/>
      <c r="AH5249" s="6"/>
      <c r="AI5249" s="6"/>
      <c r="AJ5249" s="6"/>
      <c r="AK5249" s="6"/>
      <c r="AL5249" s="6"/>
      <c r="AM5249" s="6"/>
    </row>
    <row r="5250">
      <c r="A5250" s="6"/>
      <c r="B5250" s="6"/>
      <c r="C5250" s="6"/>
      <c r="D5250" s="6"/>
      <c r="E5250" s="6"/>
      <c r="F5250" s="6"/>
      <c r="G5250" s="6"/>
      <c r="H5250" s="6"/>
      <c r="I5250" s="6"/>
      <c r="J5250" s="6"/>
      <c r="K5250" s="6"/>
      <c r="L5250" s="6"/>
      <c r="M5250" s="6"/>
      <c r="N5250" s="6"/>
      <c r="O5250" s="6"/>
      <c r="P5250" s="6"/>
      <c r="Q5250" s="6"/>
      <c r="R5250" s="6"/>
      <c r="S5250" s="6"/>
      <c r="T5250" s="6"/>
      <c r="U5250" s="6"/>
      <c r="V5250" s="6"/>
      <c r="W5250" s="6"/>
      <c r="X5250" s="6"/>
      <c r="Y5250" s="6"/>
      <c r="Z5250" s="6"/>
      <c r="AA5250" s="6"/>
      <c r="AB5250" s="6"/>
      <c r="AC5250" s="6"/>
      <c r="AD5250" s="6"/>
      <c r="AE5250" s="6"/>
      <c r="AF5250" s="6"/>
      <c r="AG5250" s="6"/>
      <c r="AH5250" s="6"/>
      <c r="AI5250" s="6"/>
      <c r="AJ5250" s="6"/>
      <c r="AK5250" s="6"/>
      <c r="AL5250" s="6"/>
      <c r="AM5250" s="6"/>
    </row>
    <row r="5251">
      <c r="A5251" s="6"/>
      <c r="B5251" s="6"/>
      <c r="C5251" s="6"/>
      <c r="D5251" s="6"/>
      <c r="E5251" s="6"/>
      <c r="F5251" s="6"/>
      <c r="G5251" s="6"/>
      <c r="H5251" s="6"/>
      <c r="I5251" s="6"/>
      <c r="J5251" s="6"/>
      <c r="K5251" s="6"/>
      <c r="L5251" s="6"/>
      <c r="M5251" s="6"/>
      <c r="N5251" s="6"/>
      <c r="O5251" s="6"/>
      <c r="P5251" s="6"/>
      <c r="Q5251" s="6"/>
      <c r="R5251" s="6"/>
      <c r="S5251" s="6"/>
      <c r="T5251" s="6"/>
      <c r="U5251" s="6"/>
      <c r="V5251" s="6"/>
      <c r="W5251" s="6"/>
      <c r="X5251" s="6"/>
      <c r="Y5251" s="6"/>
      <c r="Z5251" s="6"/>
      <c r="AA5251" s="6"/>
      <c r="AB5251" s="6"/>
      <c r="AC5251" s="6"/>
      <c r="AD5251" s="6"/>
      <c r="AE5251" s="6"/>
      <c r="AF5251" s="6"/>
      <c r="AG5251" s="6"/>
      <c r="AH5251" s="6"/>
      <c r="AI5251" s="6"/>
      <c r="AJ5251" s="6"/>
      <c r="AK5251" s="6"/>
      <c r="AL5251" s="6"/>
      <c r="AM5251" s="6"/>
    </row>
    <row r="5252">
      <c r="A5252" s="6"/>
      <c r="B5252" s="6"/>
      <c r="C5252" s="6"/>
      <c r="D5252" s="6"/>
      <c r="E5252" s="6"/>
      <c r="F5252" s="6"/>
      <c r="G5252" s="6"/>
      <c r="H5252" s="6"/>
      <c r="I5252" s="6"/>
      <c r="J5252" s="6"/>
      <c r="K5252" s="6"/>
      <c r="L5252" s="6"/>
      <c r="M5252" s="6"/>
      <c r="N5252" s="6"/>
      <c r="O5252" s="6"/>
      <c r="P5252" s="6"/>
      <c r="Q5252" s="6"/>
      <c r="R5252" s="6"/>
      <c r="S5252" s="6"/>
      <c r="T5252" s="6"/>
      <c r="U5252" s="6"/>
      <c r="V5252" s="6"/>
      <c r="W5252" s="6"/>
      <c r="X5252" s="6"/>
      <c r="Y5252" s="6"/>
      <c r="Z5252" s="6"/>
      <c r="AA5252" s="6"/>
      <c r="AB5252" s="6"/>
      <c r="AC5252" s="6"/>
      <c r="AD5252" s="6"/>
      <c r="AE5252" s="6"/>
      <c r="AF5252" s="6"/>
      <c r="AG5252" s="6"/>
      <c r="AH5252" s="6"/>
      <c r="AI5252" s="6"/>
      <c r="AJ5252" s="6"/>
      <c r="AK5252" s="6"/>
      <c r="AL5252" s="6"/>
      <c r="AM5252" s="6"/>
    </row>
    <row r="5253">
      <c r="A5253" s="6"/>
      <c r="B5253" s="6"/>
      <c r="C5253" s="6"/>
      <c r="D5253" s="6"/>
      <c r="E5253" s="6"/>
      <c r="F5253" s="6"/>
      <c r="G5253" s="6"/>
      <c r="H5253" s="6"/>
      <c r="I5253" s="6"/>
      <c r="J5253" s="6"/>
      <c r="K5253" s="6"/>
      <c r="L5253" s="6"/>
      <c r="M5253" s="6"/>
      <c r="N5253" s="6"/>
      <c r="O5253" s="6"/>
      <c r="P5253" s="6"/>
      <c r="Q5253" s="6"/>
      <c r="R5253" s="6"/>
      <c r="S5253" s="6"/>
      <c r="T5253" s="6"/>
      <c r="U5253" s="6"/>
      <c r="V5253" s="6"/>
      <c r="W5253" s="6"/>
      <c r="X5253" s="6"/>
      <c r="Y5253" s="6"/>
      <c r="Z5253" s="6"/>
      <c r="AA5253" s="6"/>
      <c r="AB5253" s="6"/>
      <c r="AC5253" s="6"/>
      <c r="AD5253" s="6"/>
      <c r="AE5253" s="6"/>
      <c r="AF5253" s="6"/>
      <c r="AG5253" s="6"/>
      <c r="AH5253" s="6"/>
      <c r="AI5253" s="6"/>
      <c r="AJ5253" s="6"/>
      <c r="AK5253" s="6"/>
      <c r="AL5253" s="6"/>
      <c r="AM5253" s="6"/>
    </row>
    <row r="5254">
      <c r="A5254" s="6"/>
      <c r="B5254" s="6"/>
      <c r="C5254" s="6"/>
      <c r="D5254" s="6"/>
      <c r="E5254" s="6"/>
      <c r="F5254" s="6"/>
      <c r="G5254" s="6"/>
      <c r="H5254" s="6"/>
      <c r="I5254" s="6"/>
      <c r="J5254" s="6"/>
      <c r="K5254" s="6"/>
      <c r="L5254" s="6"/>
      <c r="M5254" s="6"/>
      <c r="N5254" s="6"/>
      <c r="O5254" s="6"/>
      <c r="P5254" s="6"/>
      <c r="Q5254" s="6"/>
      <c r="R5254" s="6"/>
      <c r="S5254" s="6"/>
      <c r="T5254" s="6"/>
      <c r="U5254" s="6"/>
      <c r="V5254" s="6"/>
      <c r="W5254" s="6"/>
      <c r="X5254" s="6"/>
      <c r="Y5254" s="6"/>
      <c r="Z5254" s="6"/>
      <c r="AA5254" s="6"/>
      <c r="AB5254" s="6"/>
      <c r="AC5254" s="6"/>
      <c r="AD5254" s="6"/>
      <c r="AE5254" s="6"/>
      <c r="AF5254" s="6"/>
      <c r="AG5254" s="6"/>
      <c r="AH5254" s="6"/>
      <c r="AI5254" s="6"/>
      <c r="AJ5254" s="6"/>
      <c r="AK5254" s="6"/>
      <c r="AL5254" s="6"/>
      <c r="AM5254" s="6"/>
    </row>
    <row r="5255">
      <c r="A5255" s="6"/>
      <c r="B5255" s="6"/>
      <c r="C5255" s="6"/>
      <c r="D5255" s="6"/>
      <c r="E5255" s="6"/>
      <c r="F5255" s="6"/>
      <c r="G5255" s="6"/>
      <c r="H5255" s="6"/>
      <c r="I5255" s="6"/>
      <c r="J5255" s="6"/>
      <c r="K5255" s="6"/>
      <c r="L5255" s="6"/>
      <c r="M5255" s="6"/>
      <c r="N5255" s="6"/>
      <c r="O5255" s="6"/>
      <c r="P5255" s="6"/>
      <c r="Q5255" s="6"/>
      <c r="R5255" s="6"/>
      <c r="S5255" s="6"/>
      <c r="T5255" s="6"/>
      <c r="U5255" s="6"/>
      <c r="V5255" s="6"/>
      <c r="W5255" s="6"/>
      <c r="X5255" s="6"/>
      <c r="Y5255" s="6"/>
      <c r="Z5255" s="6"/>
      <c r="AA5255" s="6"/>
      <c r="AB5255" s="6"/>
      <c r="AC5255" s="6"/>
      <c r="AD5255" s="6"/>
      <c r="AE5255" s="6"/>
      <c r="AF5255" s="6"/>
      <c r="AG5255" s="6"/>
      <c r="AH5255" s="6"/>
      <c r="AI5255" s="6"/>
      <c r="AJ5255" s="6"/>
      <c r="AK5255" s="6"/>
      <c r="AL5255" s="6"/>
      <c r="AM5255" s="6"/>
    </row>
    <row r="5256">
      <c r="A5256" s="6"/>
      <c r="B5256" s="6"/>
      <c r="C5256" s="6"/>
      <c r="D5256" s="6"/>
      <c r="E5256" s="6"/>
      <c r="F5256" s="6"/>
      <c r="G5256" s="6"/>
      <c r="H5256" s="6"/>
      <c r="I5256" s="6"/>
      <c r="J5256" s="6"/>
      <c r="K5256" s="6"/>
      <c r="L5256" s="6"/>
      <c r="M5256" s="6"/>
      <c r="N5256" s="6"/>
      <c r="O5256" s="6"/>
      <c r="P5256" s="6"/>
      <c r="Q5256" s="6"/>
      <c r="R5256" s="6"/>
      <c r="S5256" s="6"/>
      <c r="T5256" s="6"/>
      <c r="U5256" s="6"/>
      <c r="V5256" s="6"/>
      <c r="W5256" s="6"/>
      <c r="X5256" s="6"/>
      <c r="Y5256" s="6"/>
      <c r="Z5256" s="6"/>
      <c r="AA5256" s="6"/>
      <c r="AB5256" s="6"/>
      <c r="AC5256" s="6"/>
      <c r="AD5256" s="6"/>
      <c r="AE5256" s="6"/>
      <c r="AF5256" s="6"/>
      <c r="AG5256" s="6"/>
      <c r="AH5256" s="6"/>
      <c r="AI5256" s="6"/>
      <c r="AJ5256" s="6"/>
      <c r="AK5256" s="6"/>
      <c r="AL5256" s="6"/>
      <c r="AM5256" s="6"/>
    </row>
    <row r="5257">
      <c r="A5257" s="6"/>
      <c r="B5257" s="6"/>
      <c r="C5257" s="6"/>
      <c r="D5257" s="6"/>
      <c r="E5257" s="6"/>
      <c r="F5257" s="6"/>
      <c r="G5257" s="6"/>
      <c r="H5257" s="6"/>
      <c r="I5257" s="6"/>
      <c r="J5257" s="6"/>
      <c r="K5257" s="6"/>
      <c r="L5257" s="6"/>
      <c r="M5257" s="6"/>
      <c r="N5257" s="6"/>
      <c r="O5257" s="6"/>
      <c r="P5257" s="6"/>
      <c r="Q5257" s="6"/>
      <c r="R5257" s="6"/>
      <c r="S5257" s="6"/>
      <c r="T5257" s="6"/>
      <c r="U5257" s="6"/>
      <c r="V5257" s="6"/>
      <c r="W5257" s="6"/>
      <c r="X5257" s="6"/>
      <c r="Y5257" s="6"/>
      <c r="Z5257" s="6"/>
      <c r="AA5257" s="6"/>
      <c r="AB5257" s="6"/>
      <c r="AC5257" s="6"/>
      <c r="AD5257" s="6"/>
      <c r="AE5257" s="6"/>
      <c r="AF5257" s="6"/>
      <c r="AG5257" s="6"/>
      <c r="AH5257" s="6"/>
      <c r="AI5257" s="6"/>
      <c r="AJ5257" s="6"/>
      <c r="AK5257" s="6"/>
      <c r="AL5257" s="6"/>
      <c r="AM5257" s="6"/>
    </row>
    <row r="5258">
      <c r="A5258" s="6"/>
      <c r="B5258" s="6"/>
      <c r="C5258" s="6"/>
      <c r="D5258" s="6"/>
      <c r="E5258" s="6"/>
      <c r="F5258" s="6"/>
      <c r="G5258" s="6"/>
      <c r="H5258" s="6"/>
      <c r="I5258" s="6"/>
      <c r="J5258" s="6"/>
      <c r="K5258" s="6"/>
      <c r="L5258" s="6"/>
      <c r="M5258" s="6"/>
      <c r="N5258" s="6"/>
      <c r="O5258" s="6"/>
      <c r="P5258" s="6"/>
      <c r="Q5258" s="6"/>
      <c r="R5258" s="6"/>
      <c r="S5258" s="6"/>
      <c r="T5258" s="6"/>
      <c r="U5258" s="6"/>
      <c r="V5258" s="6"/>
      <c r="W5258" s="6"/>
      <c r="X5258" s="6"/>
      <c r="Y5258" s="6"/>
      <c r="Z5258" s="6"/>
      <c r="AA5258" s="6"/>
      <c r="AB5258" s="6"/>
      <c r="AC5258" s="6"/>
      <c r="AD5258" s="6"/>
      <c r="AE5258" s="6"/>
      <c r="AF5258" s="6"/>
      <c r="AG5258" s="6"/>
      <c r="AH5258" s="6"/>
      <c r="AI5258" s="6"/>
      <c r="AJ5258" s="6"/>
      <c r="AK5258" s="6"/>
      <c r="AL5258" s="6"/>
      <c r="AM5258" s="6"/>
    </row>
    <row r="5259">
      <c r="A5259" s="6"/>
      <c r="B5259" s="6"/>
      <c r="C5259" s="6"/>
      <c r="D5259" s="6"/>
      <c r="E5259" s="6"/>
      <c r="F5259" s="6"/>
      <c r="G5259" s="6"/>
      <c r="H5259" s="6"/>
      <c r="I5259" s="6"/>
      <c r="J5259" s="6"/>
      <c r="K5259" s="6"/>
      <c r="L5259" s="6"/>
      <c r="M5259" s="6"/>
      <c r="N5259" s="6"/>
      <c r="O5259" s="6"/>
      <c r="P5259" s="6"/>
      <c r="Q5259" s="6"/>
      <c r="R5259" s="6"/>
      <c r="S5259" s="6"/>
      <c r="T5259" s="6"/>
      <c r="U5259" s="6"/>
      <c r="V5259" s="6"/>
      <c r="W5259" s="6"/>
      <c r="X5259" s="6"/>
      <c r="Y5259" s="6"/>
      <c r="Z5259" s="6"/>
      <c r="AA5259" s="6"/>
      <c r="AB5259" s="6"/>
      <c r="AC5259" s="6"/>
      <c r="AD5259" s="6"/>
      <c r="AE5259" s="6"/>
      <c r="AF5259" s="6"/>
      <c r="AG5259" s="6"/>
      <c r="AH5259" s="6"/>
      <c r="AI5259" s="6"/>
      <c r="AJ5259" s="6"/>
      <c r="AK5259" s="6"/>
      <c r="AL5259" s="6"/>
      <c r="AM5259" s="6"/>
    </row>
    <row r="5260">
      <c r="A5260" s="6"/>
      <c r="B5260" s="6"/>
      <c r="C5260" s="6"/>
      <c r="D5260" s="6"/>
      <c r="E5260" s="6"/>
      <c r="F5260" s="6"/>
      <c r="G5260" s="6"/>
      <c r="H5260" s="6"/>
      <c r="I5260" s="6"/>
      <c r="J5260" s="6"/>
      <c r="K5260" s="6"/>
      <c r="L5260" s="6"/>
      <c r="M5260" s="6"/>
      <c r="N5260" s="6"/>
      <c r="O5260" s="6"/>
      <c r="P5260" s="6"/>
      <c r="Q5260" s="6"/>
      <c r="R5260" s="6"/>
      <c r="S5260" s="6"/>
      <c r="T5260" s="6"/>
      <c r="U5260" s="6"/>
      <c r="V5260" s="6"/>
      <c r="W5260" s="6"/>
      <c r="X5260" s="6"/>
      <c r="Y5260" s="6"/>
      <c r="Z5260" s="6"/>
      <c r="AA5260" s="6"/>
      <c r="AB5260" s="6"/>
      <c r="AC5260" s="6"/>
      <c r="AD5260" s="6"/>
      <c r="AE5260" s="6"/>
      <c r="AF5260" s="6"/>
      <c r="AG5260" s="6"/>
      <c r="AH5260" s="6"/>
      <c r="AI5260" s="6"/>
      <c r="AJ5260" s="6"/>
      <c r="AK5260" s="6"/>
      <c r="AL5260" s="6"/>
      <c r="AM5260" s="6"/>
    </row>
    <row r="5261">
      <c r="A5261" s="6"/>
      <c r="B5261" s="6"/>
      <c r="C5261" s="6"/>
      <c r="D5261" s="6"/>
      <c r="E5261" s="6"/>
      <c r="F5261" s="6"/>
      <c r="G5261" s="6"/>
      <c r="H5261" s="6"/>
      <c r="I5261" s="6"/>
      <c r="J5261" s="6"/>
      <c r="K5261" s="6"/>
      <c r="L5261" s="6"/>
      <c r="M5261" s="6"/>
      <c r="N5261" s="6"/>
      <c r="O5261" s="6"/>
      <c r="P5261" s="6"/>
      <c r="Q5261" s="6"/>
      <c r="R5261" s="6"/>
      <c r="S5261" s="6"/>
      <c r="T5261" s="6"/>
      <c r="U5261" s="6"/>
      <c r="V5261" s="6"/>
      <c r="W5261" s="6"/>
      <c r="X5261" s="6"/>
      <c r="Y5261" s="6"/>
      <c r="Z5261" s="6"/>
      <c r="AA5261" s="6"/>
      <c r="AB5261" s="6"/>
      <c r="AC5261" s="6"/>
      <c r="AD5261" s="6"/>
      <c r="AE5261" s="6"/>
      <c r="AF5261" s="6"/>
      <c r="AG5261" s="6"/>
      <c r="AH5261" s="6"/>
      <c r="AI5261" s="6"/>
      <c r="AJ5261" s="6"/>
      <c r="AK5261" s="6"/>
      <c r="AL5261" s="6"/>
      <c r="AM5261" s="6"/>
    </row>
    <row r="5262">
      <c r="A5262" s="6"/>
      <c r="B5262" s="6"/>
      <c r="C5262" s="6"/>
      <c r="D5262" s="6"/>
      <c r="E5262" s="6"/>
      <c r="F5262" s="6"/>
      <c r="G5262" s="6"/>
      <c r="H5262" s="6"/>
      <c r="I5262" s="6"/>
      <c r="J5262" s="6"/>
      <c r="K5262" s="6"/>
      <c r="L5262" s="6"/>
      <c r="M5262" s="6"/>
      <c r="N5262" s="6"/>
      <c r="O5262" s="6"/>
      <c r="P5262" s="6"/>
      <c r="Q5262" s="6"/>
      <c r="R5262" s="6"/>
      <c r="S5262" s="6"/>
      <c r="T5262" s="6"/>
      <c r="U5262" s="6"/>
      <c r="V5262" s="6"/>
      <c r="W5262" s="6"/>
      <c r="X5262" s="6"/>
      <c r="Y5262" s="6"/>
      <c r="Z5262" s="6"/>
      <c r="AA5262" s="6"/>
      <c r="AB5262" s="6"/>
      <c r="AC5262" s="6"/>
      <c r="AD5262" s="6"/>
      <c r="AE5262" s="6"/>
      <c r="AF5262" s="6"/>
      <c r="AG5262" s="6"/>
      <c r="AH5262" s="6"/>
      <c r="AI5262" s="6"/>
      <c r="AJ5262" s="6"/>
      <c r="AK5262" s="6"/>
      <c r="AL5262" s="6"/>
      <c r="AM5262" s="6"/>
    </row>
    <row r="5263">
      <c r="A5263" s="6"/>
      <c r="B5263" s="6"/>
      <c r="C5263" s="6"/>
      <c r="D5263" s="6"/>
      <c r="E5263" s="6"/>
      <c r="F5263" s="6"/>
      <c r="G5263" s="6"/>
      <c r="H5263" s="6"/>
      <c r="I5263" s="6"/>
      <c r="J5263" s="6"/>
      <c r="K5263" s="6"/>
      <c r="L5263" s="6"/>
      <c r="M5263" s="6"/>
      <c r="N5263" s="6"/>
      <c r="O5263" s="6"/>
      <c r="P5263" s="6"/>
      <c r="Q5263" s="6"/>
      <c r="R5263" s="6"/>
      <c r="S5263" s="6"/>
      <c r="T5263" s="6"/>
      <c r="U5263" s="6"/>
      <c r="V5263" s="6"/>
      <c r="W5263" s="6"/>
      <c r="X5263" s="6"/>
      <c r="Y5263" s="6"/>
      <c r="Z5263" s="6"/>
      <c r="AA5263" s="6"/>
      <c r="AB5263" s="6"/>
      <c r="AC5263" s="6"/>
      <c r="AD5263" s="6"/>
      <c r="AE5263" s="6"/>
      <c r="AF5263" s="6"/>
      <c r="AG5263" s="6"/>
      <c r="AH5263" s="6"/>
      <c r="AI5263" s="6"/>
      <c r="AJ5263" s="6"/>
      <c r="AK5263" s="6"/>
      <c r="AL5263" s="6"/>
      <c r="AM5263" s="6"/>
    </row>
    <row r="5264">
      <c r="A5264" s="6"/>
      <c r="B5264" s="6"/>
      <c r="C5264" s="6"/>
      <c r="D5264" s="6"/>
      <c r="E5264" s="6"/>
      <c r="F5264" s="6"/>
      <c r="G5264" s="6"/>
      <c r="H5264" s="6"/>
      <c r="I5264" s="6"/>
      <c r="J5264" s="6"/>
      <c r="K5264" s="6"/>
      <c r="L5264" s="6"/>
      <c r="M5264" s="6"/>
      <c r="N5264" s="6"/>
      <c r="O5264" s="6"/>
      <c r="P5264" s="6"/>
      <c r="Q5264" s="6"/>
      <c r="R5264" s="6"/>
      <c r="S5264" s="6"/>
      <c r="T5264" s="6"/>
      <c r="U5264" s="6"/>
      <c r="V5264" s="6"/>
      <c r="W5264" s="6"/>
      <c r="X5264" s="6"/>
      <c r="Y5264" s="6"/>
      <c r="Z5264" s="6"/>
      <c r="AA5264" s="6"/>
      <c r="AB5264" s="6"/>
      <c r="AC5264" s="6"/>
      <c r="AD5264" s="6"/>
      <c r="AE5264" s="6"/>
      <c r="AF5264" s="6"/>
      <c r="AG5264" s="6"/>
      <c r="AH5264" s="6"/>
      <c r="AI5264" s="6"/>
      <c r="AJ5264" s="6"/>
      <c r="AK5264" s="6"/>
      <c r="AL5264" s="6"/>
      <c r="AM5264" s="6"/>
    </row>
    <row r="5265">
      <c r="A5265" s="6"/>
      <c r="B5265" s="6"/>
      <c r="C5265" s="6"/>
      <c r="D5265" s="6"/>
      <c r="E5265" s="6"/>
      <c r="F5265" s="6"/>
      <c r="G5265" s="6"/>
      <c r="H5265" s="6"/>
      <c r="I5265" s="6"/>
      <c r="J5265" s="6"/>
      <c r="K5265" s="6"/>
      <c r="L5265" s="6"/>
      <c r="M5265" s="6"/>
      <c r="N5265" s="6"/>
      <c r="O5265" s="6"/>
      <c r="P5265" s="6"/>
      <c r="Q5265" s="6"/>
      <c r="R5265" s="6"/>
      <c r="S5265" s="6"/>
      <c r="T5265" s="6"/>
      <c r="U5265" s="6"/>
      <c r="V5265" s="6"/>
      <c r="W5265" s="6"/>
      <c r="X5265" s="6"/>
      <c r="Y5265" s="6"/>
      <c r="Z5265" s="6"/>
      <c r="AA5265" s="6"/>
      <c r="AB5265" s="6"/>
      <c r="AC5265" s="6"/>
      <c r="AD5265" s="6"/>
      <c r="AE5265" s="6"/>
      <c r="AF5265" s="6"/>
      <c r="AG5265" s="6"/>
      <c r="AH5265" s="6"/>
      <c r="AI5265" s="6"/>
      <c r="AJ5265" s="6"/>
      <c r="AK5265" s="6"/>
      <c r="AL5265" s="6"/>
      <c r="AM5265" s="6"/>
    </row>
    <row r="5266">
      <c r="A5266" s="6"/>
      <c r="B5266" s="6"/>
      <c r="C5266" s="6"/>
      <c r="D5266" s="6"/>
      <c r="E5266" s="6"/>
      <c r="F5266" s="6"/>
      <c r="G5266" s="6"/>
      <c r="H5266" s="6"/>
      <c r="I5266" s="6"/>
      <c r="J5266" s="6"/>
      <c r="K5266" s="6"/>
      <c r="L5266" s="6"/>
      <c r="M5266" s="6"/>
      <c r="N5266" s="6"/>
      <c r="O5266" s="6"/>
      <c r="P5266" s="6"/>
      <c r="Q5266" s="6"/>
      <c r="R5266" s="6"/>
      <c r="S5266" s="6"/>
      <c r="T5266" s="6"/>
      <c r="U5266" s="6"/>
      <c r="V5266" s="6"/>
      <c r="W5266" s="6"/>
      <c r="X5266" s="6"/>
      <c r="Y5266" s="6"/>
      <c r="Z5266" s="6"/>
      <c r="AA5266" s="6"/>
      <c r="AB5266" s="6"/>
      <c r="AC5266" s="6"/>
      <c r="AD5266" s="6"/>
      <c r="AE5266" s="6"/>
      <c r="AF5266" s="6"/>
      <c r="AG5266" s="6"/>
      <c r="AH5266" s="6"/>
      <c r="AI5266" s="6"/>
      <c r="AJ5266" s="6"/>
      <c r="AK5266" s="6"/>
      <c r="AL5266" s="6"/>
      <c r="AM5266" s="6"/>
    </row>
    <row r="5267">
      <c r="A5267" s="6"/>
      <c r="B5267" s="6"/>
      <c r="C5267" s="6"/>
      <c r="D5267" s="6"/>
      <c r="E5267" s="6"/>
      <c r="F5267" s="6"/>
      <c r="G5267" s="6"/>
      <c r="H5267" s="6"/>
      <c r="I5267" s="6"/>
      <c r="J5267" s="6"/>
      <c r="K5267" s="6"/>
      <c r="L5267" s="6"/>
      <c r="M5267" s="6"/>
      <c r="N5267" s="6"/>
      <c r="O5267" s="6"/>
      <c r="P5267" s="6"/>
      <c r="Q5267" s="6"/>
      <c r="R5267" s="6"/>
      <c r="S5267" s="6"/>
      <c r="T5267" s="6"/>
      <c r="U5267" s="6"/>
      <c r="V5267" s="6"/>
      <c r="W5267" s="6"/>
      <c r="X5267" s="6"/>
      <c r="Y5267" s="6"/>
      <c r="Z5267" s="6"/>
      <c r="AA5267" s="6"/>
      <c r="AB5267" s="6"/>
      <c r="AC5267" s="6"/>
      <c r="AD5267" s="6"/>
      <c r="AE5267" s="6"/>
      <c r="AF5267" s="6"/>
      <c r="AG5267" s="6"/>
      <c r="AH5267" s="6"/>
      <c r="AI5267" s="6"/>
      <c r="AJ5267" s="6"/>
      <c r="AK5267" s="6"/>
      <c r="AL5267" s="6"/>
      <c r="AM5267" s="6"/>
    </row>
    <row r="5268">
      <c r="A5268" s="6"/>
      <c r="B5268" s="6"/>
      <c r="C5268" s="6"/>
      <c r="D5268" s="6"/>
      <c r="E5268" s="6"/>
      <c r="F5268" s="6"/>
      <c r="G5268" s="6"/>
      <c r="H5268" s="6"/>
      <c r="I5268" s="6"/>
      <c r="J5268" s="6"/>
      <c r="K5268" s="6"/>
      <c r="L5268" s="6"/>
      <c r="M5268" s="6"/>
      <c r="N5268" s="6"/>
      <c r="O5268" s="6"/>
      <c r="P5268" s="6"/>
      <c r="Q5268" s="6"/>
      <c r="R5268" s="6"/>
      <c r="S5268" s="6"/>
      <c r="T5268" s="6"/>
      <c r="U5268" s="6"/>
      <c r="V5268" s="6"/>
      <c r="W5268" s="6"/>
      <c r="X5268" s="6"/>
      <c r="Y5268" s="6"/>
      <c r="Z5268" s="6"/>
      <c r="AA5268" s="6"/>
      <c r="AB5268" s="6"/>
      <c r="AC5268" s="6"/>
      <c r="AD5268" s="6"/>
      <c r="AE5268" s="6"/>
      <c r="AF5268" s="6"/>
      <c r="AG5268" s="6"/>
      <c r="AH5268" s="6"/>
      <c r="AI5268" s="6"/>
      <c r="AJ5268" s="6"/>
      <c r="AK5268" s="6"/>
      <c r="AL5268" s="6"/>
      <c r="AM5268" s="6"/>
    </row>
    <row r="5269">
      <c r="A5269" s="6"/>
      <c r="B5269" s="6"/>
      <c r="C5269" s="6"/>
      <c r="D5269" s="6"/>
      <c r="E5269" s="6"/>
      <c r="F5269" s="6"/>
      <c r="G5269" s="6"/>
      <c r="H5269" s="6"/>
      <c r="I5269" s="6"/>
      <c r="J5269" s="6"/>
      <c r="K5269" s="6"/>
      <c r="L5269" s="6"/>
      <c r="M5269" s="6"/>
      <c r="N5269" s="6"/>
      <c r="O5269" s="6"/>
      <c r="P5269" s="6"/>
      <c r="Q5269" s="6"/>
      <c r="R5269" s="6"/>
      <c r="S5269" s="6"/>
      <c r="T5269" s="6"/>
      <c r="U5269" s="6"/>
      <c r="V5269" s="6"/>
      <c r="W5269" s="6"/>
      <c r="X5269" s="6"/>
      <c r="Y5269" s="6"/>
      <c r="Z5269" s="6"/>
      <c r="AA5269" s="6"/>
      <c r="AB5269" s="6"/>
      <c r="AC5269" s="6"/>
      <c r="AD5269" s="6"/>
      <c r="AE5269" s="6"/>
      <c r="AF5269" s="6"/>
      <c r="AG5269" s="6"/>
      <c r="AH5269" s="6"/>
      <c r="AI5269" s="6"/>
      <c r="AJ5269" s="6"/>
      <c r="AK5269" s="6"/>
      <c r="AL5269" s="6"/>
      <c r="AM5269" s="6"/>
    </row>
    <row r="5270">
      <c r="A5270" s="6"/>
      <c r="B5270" s="6"/>
      <c r="C5270" s="6"/>
      <c r="D5270" s="6"/>
      <c r="E5270" s="6"/>
      <c r="F5270" s="6"/>
      <c r="G5270" s="6"/>
      <c r="H5270" s="6"/>
      <c r="I5270" s="6"/>
      <c r="J5270" s="6"/>
      <c r="K5270" s="6"/>
      <c r="L5270" s="6"/>
      <c r="M5270" s="6"/>
      <c r="N5270" s="6"/>
      <c r="O5270" s="6"/>
      <c r="P5270" s="6"/>
      <c r="Q5270" s="6"/>
      <c r="R5270" s="6"/>
      <c r="S5270" s="6"/>
      <c r="T5270" s="6"/>
      <c r="U5270" s="6"/>
      <c r="V5270" s="6"/>
      <c r="W5270" s="6"/>
      <c r="X5270" s="6"/>
      <c r="Y5270" s="6"/>
      <c r="Z5270" s="6"/>
      <c r="AA5270" s="6"/>
      <c r="AB5270" s="6"/>
      <c r="AC5270" s="6"/>
      <c r="AD5270" s="6"/>
      <c r="AE5270" s="6"/>
      <c r="AF5270" s="6"/>
      <c r="AG5270" s="6"/>
      <c r="AH5270" s="6"/>
      <c r="AI5270" s="6"/>
      <c r="AJ5270" s="6"/>
      <c r="AK5270" s="6"/>
      <c r="AL5270" s="6"/>
      <c r="AM5270" s="6"/>
    </row>
    <row r="5271">
      <c r="A5271" s="6"/>
      <c r="B5271" s="6"/>
      <c r="C5271" s="6"/>
      <c r="D5271" s="6"/>
      <c r="E5271" s="6"/>
      <c r="F5271" s="6"/>
      <c r="G5271" s="6"/>
      <c r="H5271" s="6"/>
      <c r="I5271" s="6"/>
      <c r="J5271" s="6"/>
      <c r="K5271" s="6"/>
      <c r="L5271" s="6"/>
      <c r="M5271" s="6"/>
      <c r="N5271" s="6"/>
      <c r="O5271" s="6"/>
      <c r="P5271" s="6"/>
      <c r="Q5271" s="6"/>
      <c r="R5271" s="6"/>
      <c r="S5271" s="6"/>
      <c r="T5271" s="6"/>
      <c r="U5271" s="6"/>
      <c r="V5271" s="6"/>
      <c r="W5271" s="6"/>
      <c r="X5271" s="6"/>
      <c r="Y5271" s="6"/>
      <c r="Z5271" s="6"/>
      <c r="AA5271" s="6"/>
      <c r="AB5271" s="6"/>
      <c r="AC5271" s="6"/>
      <c r="AD5271" s="6"/>
      <c r="AE5271" s="6"/>
      <c r="AF5271" s="6"/>
      <c r="AG5271" s="6"/>
      <c r="AH5271" s="6"/>
      <c r="AI5271" s="6"/>
      <c r="AJ5271" s="6"/>
      <c r="AK5271" s="6"/>
      <c r="AL5271" s="6"/>
      <c r="AM5271" s="6"/>
    </row>
    <row r="5272">
      <c r="A5272" s="6"/>
      <c r="B5272" s="6"/>
      <c r="C5272" s="6"/>
      <c r="D5272" s="6"/>
      <c r="E5272" s="6"/>
      <c r="F5272" s="6"/>
      <c r="G5272" s="6"/>
      <c r="H5272" s="6"/>
      <c r="I5272" s="6"/>
      <c r="J5272" s="6"/>
      <c r="K5272" s="6"/>
      <c r="L5272" s="6"/>
      <c r="M5272" s="6"/>
      <c r="N5272" s="6"/>
      <c r="O5272" s="6"/>
      <c r="P5272" s="6"/>
      <c r="Q5272" s="6"/>
      <c r="R5272" s="6"/>
      <c r="S5272" s="6"/>
      <c r="T5272" s="6"/>
      <c r="U5272" s="6"/>
      <c r="V5272" s="6"/>
      <c r="W5272" s="6"/>
      <c r="X5272" s="6"/>
      <c r="Y5272" s="6"/>
      <c r="Z5272" s="6"/>
      <c r="AA5272" s="6"/>
      <c r="AB5272" s="6"/>
      <c r="AC5272" s="6"/>
      <c r="AD5272" s="6"/>
      <c r="AE5272" s="6"/>
      <c r="AF5272" s="6"/>
      <c r="AG5272" s="6"/>
      <c r="AH5272" s="6"/>
      <c r="AI5272" s="6"/>
      <c r="AJ5272" s="6"/>
      <c r="AK5272" s="6"/>
      <c r="AL5272" s="6"/>
      <c r="AM5272" s="6"/>
    </row>
    <row r="5273">
      <c r="A5273" s="6"/>
      <c r="B5273" s="6"/>
      <c r="C5273" s="6"/>
      <c r="D5273" s="6"/>
      <c r="E5273" s="6"/>
      <c r="F5273" s="6"/>
      <c r="G5273" s="6"/>
      <c r="H5273" s="6"/>
      <c r="I5273" s="6"/>
      <c r="J5273" s="6"/>
      <c r="K5273" s="6"/>
      <c r="L5273" s="6"/>
      <c r="M5273" s="6"/>
      <c r="N5273" s="6"/>
      <c r="O5273" s="6"/>
      <c r="P5273" s="6"/>
      <c r="Q5273" s="6"/>
      <c r="R5273" s="6"/>
      <c r="S5273" s="6"/>
      <c r="T5273" s="6"/>
      <c r="U5273" s="6"/>
      <c r="V5273" s="6"/>
      <c r="W5273" s="6"/>
      <c r="X5273" s="6"/>
      <c r="Y5273" s="6"/>
      <c r="Z5273" s="6"/>
      <c r="AA5273" s="6"/>
      <c r="AB5273" s="6"/>
      <c r="AC5273" s="6"/>
      <c r="AD5273" s="6"/>
      <c r="AE5273" s="6"/>
      <c r="AF5273" s="6"/>
      <c r="AG5273" s="6"/>
      <c r="AH5273" s="6"/>
      <c r="AI5273" s="6"/>
      <c r="AJ5273" s="6"/>
      <c r="AK5273" s="6"/>
      <c r="AL5273" s="6"/>
      <c r="AM5273" s="6"/>
    </row>
    <row r="5274">
      <c r="A5274" s="6"/>
      <c r="B5274" s="6"/>
      <c r="C5274" s="6"/>
      <c r="D5274" s="6"/>
      <c r="E5274" s="6"/>
      <c r="F5274" s="6"/>
      <c r="G5274" s="6"/>
      <c r="H5274" s="6"/>
      <c r="I5274" s="6"/>
      <c r="J5274" s="6"/>
      <c r="K5274" s="6"/>
      <c r="L5274" s="6"/>
      <c r="M5274" s="6"/>
      <c r="N5274" s="6"/>
      <c r="O5274" s="6"/>
      <c r="P5274" s="6"/>
      <c r="Q5274" s="6"/>
      <c r="R5274" s="6"/>
      <c r="S5274" s="6"/>
      <c r="T5274" s="6"/>
      <c r="U5274" s="6"/>
      <c r="V5274" s="6"/>
      <c r="W5274" s="6"/>
      <c r="X5274" s="6"/>
      <c r="Y5274" s="6"/>
      <c r="Z5274" s="6"/>
      <c r="AA5274" s="6"/>
      <c r="AB5274" s="6"/>
      <c r="AC5274" s="6"/>
      <c r="AD5274" s="6"/>
      <c r="AE5274" s="6"/>
      <c r="AF5274" s="6"/>
      <c r="AG5274" s="6"/>
      <c r="AH5274" s="6"/>
      <c r="AI5274" s="6"/>
      <c r="AJ5274" s="6"/>
      <c r="AK5274" s="6"/>
      <c r="AL5274" s="6"/>
      <c r="AM5274" s="6"/>
    </row>
    <row r="5275">
      <c r="A5275" s="6"/>
      <c r="B5275" s="6"/>
      <c r="C5275" s="6"/>
      <c r="D5275" s="6"/>
      <c r="E5275" s="6"/>
      <c r="F5275" s="6"/>
      <c r="G5275" s="6"/>
      <c r="H5275" s="6"/>
      <c r="I5275" s="6"/>
      <c r="J5275" s="6"/>
      <c r="K5275" s="6"/>
      <c r="L5275" s="6"/>
      <c r="M5275" s="6"/>
      <c r="N5275" s="6"/>
      <c r="O5275" s="6"/>
      <c r="P5275" s="6"/>
      <c r="Q5275" s="6"/>
      <c r="R5275" s="6"/>
      <c r="S5275" s="6"/>
      <c r="T5275" s="6"/>
      <c r="U5275" s="6"/>
      <c r="V5275" s="6"/>
      <c r="W5275" s="6"/>
      <c r="X5275" s="6"/>
      <c r="Y5275" s="6"/>
      <c r="Z5275" s="6"/>
      <c r="AA5275" s="6"/>
      <c r="AB5275" s="6"/>
      <c r="AC5275" s="6"/>
      <c r="AD5275" s="6"/>
      <c r="AE5275" s="6"/>
      <c r="AF5275" s="6"/>
      <c r="AG5275" s="6"/>
      <c r="AH5275" s="6"/>
      <c r="AI5275" s="6"/>
      <c r="AJ5275" s="6"/>
      <c r="AK5275" s="6"/>
      <c r="AL5275" s="6"/>
      <c r="AM5275" s="6"/>
    </row>
    <row r="5276">
      <c r="A5276" s="6"/>
      <c r="B5276" s="6"/>
      <c r="C5276" s="6"/>
      <c r="D5276" s="6"/>
      <c r="E5276" s="6"/>
      <c r="F5276" s="6"/>
      <c r="G5276" s="6"/>
      <c r="H5276" s="6"/>
      <c r="I5276" s="6"/>
      <c r="J5276" s="6"/>
      <c r="K5276" s="6"/>
      <c r="L5276" s="6"/>
      <c r="M5276" s="6"/>
      <c r="N5276" s="6"/>
      <c r="O5276" s="6"/>
      <c r="P5276" s="6"/>
      <c r="Q5276" s="6"/>
      <c r="R5276" s="6"/>
      <c r="S5276" s="6"/>
      <c r="T5276" s="6"/>
      <c r="U5276" s="6"/>
      <c r="V5276" s="6"/>
      <c r="W5276" s="6"/>
      <c r="X5276" s="6"/>
      <c r="Y5276" s="6"/>
      <c r="Z5276" s="6"/>
      <c r="AA5276" s="6"/>
      <c r="AB5276" s="6"/>
      <c r="AC5276" s="6"/>
      <c r="AD5276" s="6"/>
      <c r="AE5276" s="6"/>
      <c r="AF5276" s="6"/>
      <c r="AG5276" s="6"/>
      <c r="AH5276" s="6"/>
      <c r="AI5276" s="6"/>
      <c r="AJ5276" s="6"/>
      <c r="AK5276" s="6"/>
      <c r="AL5276" s="6"/>
      <c r="AM5276" s="6"/>
    </row>
    <row r="5277">
      <c r="A5277" s="6"/>
      <c r="B5277" s="6"/>
      <c r="C5277" s="6"/>
      <c r="D5277" s="6"/>
      <c r="E5277" s="6"/>
      <c r="F5277" s="6"/>
      <c r="G5277" s="6"/>
      <c r="H5277" s="6"/>
      <c r="I5277" s="6"/>
      <c r="J5277" s="6"/>
      <c r="K5277" s="6"/>
      <c r="L5277" s="6"/>
      <c r="M5277" s="6"/>
      <c r="N5277" s="6"/>
      <c r="O5277" s="6"/>
      <c r="P5277" s="6"/>
      <c r="Q5277" s="6"/>
      <c r="R5277" s="6"/>
      <c r="S5277" s="6"/>
      <c r="T5277" s="6"/>
      <c r="U5277" s="6"/>
      <c r="V5277" s="6"/>
      <c r="W5277" s="6"/>
      <c r="X5277" s="6"/>
      <c r="Y5277" s="6"/>
      <c r="Z5277" s="6"/>
      <c r="AA5277" s="6"/>
      <c r="AB5277" s="6"/>
      <c r="AC5277" s="6"/>
      <c r="AD5277" s="6"/>
      <c r="AE5277" s="6"/>
      <c r="AF5277" s="6"/>
      <c r="AG5277" s="6"/>
      <c r="AH5277" s="6"/>
      <c r="AI5277" s="6"/>
      <c r="AJ5277" s="6"/>
      <c r="AK5277" s="6"/>
      <c r="AL5277" s="6"/>
      <c r="AM5277" s="6"/>
    </row>
    <row r="5278">
      <c r="A5278" s="6"/>
      <c r="B5278" s="6"/>
      <c r="C5278" s="6"/>
      <c r="D5278" s="6"/>
      <c r="E5278" s="6"/>
      <c r="F5278" s="6"/>
      <c r="G5278" s="6"/>
      <c r="H5278" s="6"/>
      <c r="I5278" s="6"/>
      <c r="J5278" s="6"/>
      <c r="K5278" s="6"/>
      <c r="L5278" s="6"/>
      <c r="M5278" s="6"/>
      <c r="N5278" s="6"/>
      <c r="O5278" s="6"/>
      <c r="P5278" s="6"/>
      <c r="Q5278" s="6"/>
      <c r="R5278" s="6"/>
      <c r="S5278" s="6"/>
      <c r="T5278" s="6"/>
      <c r="U5278" s="6"/>
      <c r="V5278" s="6"/>
      <c r="W5278" s="6"/>
      <c r="X5278" s="6"/>
      <c r="Y5278" s="6"/>
      <c r="Z5278" s="6"/>
      <c r="AA5278" s="6"/>
      <c r="AB5278" s="6"/>
      <c r="AC5278" s="6"/>
      <c r="AD5278" s="6"/>
      <c r="AE5278" s="6"/>
      <c r="AF5278" s="6"/>
      <c r="AG5278" s="6"/>
      <c r="AH5278" s="6"/>
      <c r="AI5278" s="6"/>
      <c r="AJ5278" s="6"/>
      <c r="AK5278" s="6"/>
      <c r="AL5278" s="6"/>
      <c r="AM5278" s="6"/>
    </row>
    <row r="5279">
      <c r="A5279" s="6"/>
      <c r="B5279" s="6"/>
      <c r="C5279" s="6"/>
      <c r="D5279" s="6"/>
      <c r="E5279" s="6"/>
      <c r="F5279" s="6"/>
      <c r="G5279" s="6"/>
      <c r="H5279" s="6"/>
      <c r="I5279" s="6"/>
      <c r="J5279" s="6"/>
      <c r="K5279" s="6"/>
      <c r="L5279" s="6"/>
      <c r="M5279" s="6"/>
      <c r="N5279" s="6"/>
      <c r="O5279" s="6"/>
      <c r="P5279" s="6"/>
      <c r="Q5279" s="6"/>
      <c r="R5279" s="6"/>
      <c r="S5279" s="6"/>
      <c r="T5279" s="6"/>
      <c r="U5279" s="6"/>
      <c r="V5279" s="6"/>
      <c r="W5279" s="6"/>
      <c r="X5279" s="6"/>
      <c r="Y5279" s="6"/>
      <c r="Z5279" s="6"/>
      <c r="AA5279" s="6"/>
      <c r="AB5279" s="6"/>
      <c r="AC5279" s="6"/>
      <c r="AD5279" s="6"/>
      <c r="AE5279" s="6"/>
      <c r="AF5279" s="6"/>
      <c r="AG5279" s="6"/>
      <c r="AH5279" s="6"/>
      <c r="AI5279" s="6"/>
      <c r="AJ5279" s="6"/>
      <c r="AK5279" s="6"/>
      <c r="AL5279" s="6"/>
      <c r="AM5279" s="6"/>
    </row>
    <row r="5280">
      <c r="A5280" s="6"/>
      <c r="B5280" s="6"/>
      <c r="C5280" s="6"/>
      <c r="D5280" s="6"/>
      <c r="E5280" s="6"/>
      <c r="F5280" s="6"/>
      <c r="G5280" s="6"/>
      <c r="H5280" s="6"/>
      <c r="I5280" s="6"/>
      <c r="J5280" s="6"/>
      <c r="K5280" s="6"/>
      <c r="L5280" s="6"/>
      <c r="M5280" s="6"/>
      <c r="N5280" s="6"/>
      <c r="O5280" s="6"/>
      <c r="P5280" s="6"/>
      <c r="Q5280" s="6"/>
      <c r="R5280" s="6"/>
      <c r="S5280" s="6"/>
      <c r="T5280" s="6"/>
      <c r="U5280" s="6"/>
      <c r="V5280" s="6"/>
      <c r="W5280" s="6"/>
      <c r="X5280" s="6"/>
      <c r="Y5280" s="6"/>
      <c r="Z5280" s="6"/>
      <c r="AA5280" s="6"/>
      <c r="AB5280" s="6"/>
      <c r="AC5280" s="6"/>
      <c r="AD5280" s="6"/>
      <c r="AE5280" s="6"/>
      <c r="AF5280" s="6"/>
      <c r="AG5280" s="6"/>
      <c r="AH5280" s="6"/>
      <c r="AI5280" s="6"/>
      <c r="AJ5280" s="6"/>
      <c r="AK5280" s="6"/>
      <c r="AL5280" s="6"/>
      <c r="AM5280" s="6"/>
    </row>
    <row r="5281">
      <c r="A5281" s="6"/>
      <c r="B5281" s="6"/>
      <c r="C5281" s="6"/>
      <c r="D5281" s="6"/>
      <c r="E5281" s="6"/>
      <c r="F5281" s="6"/>
      <c r="G5281" s="6"/>
      <c r="H5281" s="6"/>
      <c r="I5281" s="6"/>
      <c r="J5281" s="6"/>
      <c r="K5281" s="6"/>
      <c r="L5281" s="6"/>
      <c r="M5281" s="6"/>
      <c r="N5281" s="6"/>
      <c r="O5281" s="6"/>
      <c r="P5281" s="6"/>
      <c r="Q5281" s="6"/>
      <c r="R5281" s="6"/>
      <c r="S5281" s="6"/>
      <c r="T5281" s="6"/>
      <c r="U5281" s="6"/>
      <c r="V5281" s="6"/>
      <c r="W5281" s="6"/>
      <c r="X5281" s="6"/>
      <c r="Y5281" s="6"/>
      <c r="Z5281" s="6"/>
      <c r="AA5281" s="6"/>
      <c r="AB5281" s="6"/>
      <c r="AC5281" s="6"/>
      <c r="AD5281" s="6"/>
      <c r="AE5281" s="6"/>
      <c r="AF5281" s="6"/>
      <c r="AG5281" s="6"/>
      <c r="AH5281" s="6"/>
      <c r="AI5281" s="6"/>
      <c r="AJ5281" s="6"/>
      <c r="AK5281" s="6"/>
      <c r="AL5281" s="6"/>
      <c r="AM5281" s="6"/>
    </row>
    <row r="5282">
      <c r="A5282" s="6"/>
      <c r="B5282" s="6"/>
      <c r="C5282" s="6"/>
      <c r="D5282" s="6"/>
      <c r="E5282" s="6"/>
      <c r="F5282" s="6"/>
      <c r="G5282" s="6"/>
      <c r="H5282" s="6"/>
      <c r="I5282" s="6"/>
      <c r="J5282" s="6"/>
      <c r="K5282" s="6"/>
      <c r="L5282" s="6"/>
      <c r="M5282" s="6"/>
      <c r="N5282" s="6"/>
      <c r="O5282" s="6"/>
      <c r="P5282" s="6"/>
      <c r="Q5282" s="6"/>
      <c r="R5282" s="6"/>
      <c r="S5282" s="6"/>
      <c r="T5282" s="6"/>
      <c r="U5282" s="6"/>
      <c r="V5282" s="6"/>
      <c r="W5282" s="6"/>
      <c r="X5282" s="6"/>
      <c r="Y5282" s="6"/>
      <c r="Z5282" s="6"/>
      <c r="AA5282" s="6"/>
      <c r="AB5282" s="6"/>
      <c r="AC5282" s="6"/>
      <c r="AD5282" s="6"/>
      <c r="AE5282" s="6"/>
      <c r="AF5282" s="6"/>
      <c r="AG5282" s="6"/>
      <c r="AH5282" s="6"/>
      <c r="AI5282" s="6"/>
      <c r="AJ5282" s="6"/>
      <c r="AK5282" s="6"/>
      <c r="AL5282" s="6"/>
      <c r="AM5282" s="6"/>
    </row>
    <row r="5283">
      <c r="A5283" s="6"/>
      <c r="B5283" s="6"/>
      <c r="C5283" s="6"/>
      <c r="D5283" s="6"/>
      <c r="E5283" s="6"/>
      <c r="F5283" s="6"/>
      <c r="G5283" s="6"/>
      <c r="H5283" s="6"/>
      <c r="I5283" s="6"/>
      <c r="J5283" s="6"/>
      <c r="K5283" s="6"/>
      <c r="L5283" s="6"/>
      <c r="M5283" s="6"/>
      <c r="N5283" s="6"/>
      <c r="O5283" s="6"/>
      <c r="P5283" s="6"/>
      <c r="Q5283" s="6"/>
      <c r="R5283" s="6"/>
      <c r="S5283" s="6"/>
      <c r="T5283" s="6"/>
      <c r="U5283" s="6"/>
      <c r="V5283" s="6"/>
      <c r="W5283" s="6"/>
      <c r="X5283" s="6"/>
      <c r="Y5283" s="6"/>
      <c r="Z5283" s="6"/>
      <c r="AA5283" s="6"/>
      <c r="AB5283" s="6"/>
      <c r="AC5283" s="6"/>
      <c r="AD5283" s="6"/>
      <c r="AE5283" s="6"/>
      <c r="AF5283" s="6"/>
      <c r="AG5283" s="6"/>
      <c r="AH5283" s="6"/>
      <c r="AI5283" s="6"/>
      <c r="AJ5283" s="6"/>
      <c r="AK5283" s="6"/>
      <c r="AL5283" s="6"/>
      <c r="AM5283" s="6"/>
    </row>
    <row r="5284">
      <c r="A5284" s="6"/>
      <c r="B5284" s="6"/>
      <c r="C5284" s="6"/>
      <c r="D5284" s="6"/>
      <c r="E5284" s="6"/>
      <c r="F5284" s="6"/>
      <c r="G5284" s="6"/>
      <c r="H5284" s="6"/>
      <c r="I5284" s="6"/>
      <c r="J5284" s="6"/>
      <c r="K5284" s="6"/>
      <c r="L5284" s="6"/>
      <c r="M5284" s="6"/>
      <c r="N5284" s="6"/>
      <c r="O5284" s="6"/>
      <c r="P5284" s="6"/>
      <c r="Q5284" s="6"/>
      <c r="R5284" s="6"/>
      <c r="S5284" s="6"/>
      <c r="T5284" s="6"/>
      <c r="U5284" s="6"/>
      <c r="V5284" s="6"/>
      <c r="W5284" s="6"/>
      <c r="X5284" s="6"/>
      <c r="Y5284" s="6"/>
      <c r="Z5284" s="6"/>
      <c r="AA5284" s="6"/>
      <c r="AB5284" s="6"/>
      <c r="AC5284" s="6"/>
      <c r="AD5284" s="6"/>
      <c r="AE5284" s="6"/>
      <c r="AF5284" s="6"/>
      <c r="AG5284" s="6"/>
      <c r="AH5284" s="6"/>
      <c r="AI5284" s="6"/>
      <c r="AJ5284" s="6"/>
      <c r="AK5284" s="6"/>
      <c r="AL5284" s="6"/>
      <c r="AM5284" s="6"/>
    </row>
    <row r="5285">
      <c r="A5285" s="6"/>
      <c r="B5285" s="6"/>
      <c r="C5285" s="6"/>
      <c r="D5285" s="6"/>
      <c r="E5285" s="6"/>
      <c r="F5285" s="6"/>
      <c r="G5285" s="6"/>
      <c r="H5285" s="6"/>
      <c r="I5285" s="6"/>
      <c r="J5285" s="6"/>
      <c r="K5285" s="6"/>
      <c r="L5285" s="6"/>
      <c r="M5285" s="6"/>
      <c r="N5285" s="6"/>
      <c r="O5285" s="6"/>
      <c r="P5285" s="6"/>
      <c r="Q5285" s="6"/>
      <c r="R5285" s="6"/>
      <c r="S5285" s="6"/>
      <c r="T5285" s="6"/>
      <c r="U5285" s="6"/>
      <c r="V5285" s="6"/>
      <c r="W5285" s="6"/>
      <c r="X5285" s="6"/>
      <c r="Y5285" s="6"/>
      <c r="Z5285" s="6"/>
      <c r="AA5285" s="6"/>
      <c r="AB5285" s="6"/>
      <c r="AC5285" s="6"/>
      <c r="AD5285" s="6"/>
      <c r="AE5285" s="6"/>
      <c r="AF5285" s="6"/>
      <c r="AG5285" s="6"/>
      <c r="AH5285" s="6"/>
      <c r="AI5285" s="6"/>
      <c r="AJ5285" s="6"/>
      <c r="AK5285" s="6"/>
      <c r="AL5285" s="6"/>
      <c r="AM5285" s="6"/>
    </row>
    <row r="5286">
      <c r="A5286" s="6"/>
      <c r="B5286" s="6"/>
      <c r="C5286" s="6"/>
      <c r="D5286" s="6"/>
      <c r="E5286" s="6"/>
      <c r="F5286" s="6"/>
      <c r="G5286" s="6"/>
      <c r="H5286" s="6"/>
      <c r="I5286" s="6"/>
      <c r="J5286" s="6"/>
      <c r="K5286" s="6"/>
      <c r="L5286" s="6"/>
      <c r="M5286" s="6"/>
      <c r="N5286" s="6"/>
      <c r="O5286" s="6"/>
      <c r="P5286" s="6"/>
      <c r="Q5286" s="6"/>
      <c r="R5286" s="6"/>
      <c r="S5286" s="6"/>
      <c r="T5286" s="6"/>
      <c r="U5286" s="6"/>
      <c r="V5286" s="6"/>
      <c r="W5286" s="6"/>
      <c r="X5286" s="6"/>
      <c r="Y5286" s="6"/>
      <c r="Z5286" s="6"/>
      <c r="AA5286" s="6"/>
      <c r="AB5286" s="6"/>
      <c r="AC5286" s="6"/>
      <c r="AD5286" s="6"/>
      <c r="AE5286" s="6"/>
      <c r="AF5286" s="6"/>
      <c r="AG5286" s="6"/>
      <c r="AH5286" s="6"/>
      <c r="AI5286" s="6"/>
      <c r="AJ5286" s="6"/>
      <c r="AK5286" s="6"/>
      <c r="AL5286" s="6"/>
      <c r="AM5286" s="6"/>
    </row>
    <row r="5287">
      <c r="A5287" s="6"/>
      <c r="B5287" s="6"/>
      <c r="C5287" s="6"/>
      <c r="D5287" s="6"/>
      <c r="E5287" s="6"/>
      <c r="F5287" s="6"/>
      <c r="G5287" s="6"/>
      <c r="H5287" s="6"/>
      <c r="I5287" s="6"/>
      <c r="J5287" s="6"/>
      <c r="K5287" s="6"/>
      <c r="L5287" s="6"/>
      <c r="M5287" s="6"/>
      <c r="N5287" s="6"/>
      <c r="O5287" s="6"/>
      <c r="P5287" s="6"/>
      <c r="Q5287" s="6"/>
      <c r="R5287" s="6"/>
      <c r="S5287" s="6"/>
      <c r="T5287" s="6"/>
      <c r="U5287" s="6"/>
      <c r="V5287" s="6"/>
      <c r="W5287" s="6"/>
      <c r="X5287" s="6"/>
      <c r="Y5287" s="6"/>
      <c r="Z5287" s="6"/>
      <c r="AA5287" s="6"/>
      <c r="AB5287" s="6"/>
      <c r="AC5287" s="6"/>
      <c r="AD5287" s="6"/>
      <c r="AE5287" s="6"/>
      <c r="AF5287" s="6"/>
      <c r="AG5287" s="6"/>
      <c r="AH5287" s="6"/>
      <c r="AI5287" s="6"/>
      <c r="AJ5287" s="6"/>
      <c r="AK5287" s="6"/>
      <c r="AL5287" s="6"/>
      <c r="AM5287" s="6"/>
    </row>
    <row r="5288">
      <c r="A5288" s="6"/>
      <c r="B5288" s="6"/>
      <c r="C5288" s="6"/>
      <c r="D5288" s="6"/>
      <c r="E5288" s="6"/>
      <c r="F5288" s="6"/>
      <c r="G5288" s="6"/>
      <c r="H5288" s="6"/>
      <c r="I5288" s="6"/>
      <c r="J5288" s="6"/>
      <c r="K5288" s="6"/>
      <c r="L5288" s="6"/>
      <c r="M5288" s="6"/>
      <c r="N5288" s="6"/>
      <c r="O5288" s="6"/>
      <c r="P5288" s="6"/>
      <c r="Q5288" s="6"/>
      <c r="R5288" s="6"/>
      <c r="S5288" s="6"/>
      <c r="T5288" s="6"/>
      <c r="U5288" s="6"/>
      <c r="V5288" s="6"/>
      <c r="W5288" s="6"/>
      <c r="X5288" s="6"/>
      <c r="Y5288" s="6"/>
      <c r="Z5288" s="6"/>
      <c r="AA5288" s="6"/>
      <c r="AB5288" s="6"/>
      <c r="AC5288" s="6"/>
      <c r="AD5288" s="6"/>
      <c r="AE5288" s="6"/>
      <c r="AF5288" s="6"/>
      <c r="AG5288" s="6"/>
      <c r="AH5288" s="6"/>
      <c r="AI5288" s="6"/>
      <c r="AJ5288" s="6"/>
      <c r="AK5288" s="6"/>
      <c r="AL5288" s="6"/>
      <c r="AM5288" s="6"/>
    </row>
    <row r="5289">
      <c r="A5289" s="6"/>
      <c r="B5289" s="6"/>
      <c r="C5289" s="6"/>
      <c r="D5289" s="6"/>
      <c r="E5289" s="6"/>
      <c r="F5289" s="6"/>
      <c r="G5289" s="6"/>
      <c r="H5289" s="6"/>
      <c r="I5289" s="6"/>
      <c r="J5289" s="6"/>
      <c r="K5289" s="6"/>
      <c r="L5289" s="6"/>
      <c r="M5289" s="6"/>
      <c r="N5289" s="6"/>
      <c r="O5289" s="6"/>
      <c r="P5289" s="6"/>
      <c r="Q5289" s="6"/>
      <c r="R5289" s="6"/>
      <c r="S5289" s="6"/>
      <c r="T5289" s="6"/>
      <c r="U5289" s="6"/>
      <c r="V5289" s="6"/>
      <c r="W5289" s="6"/>
      <c r="X5289" s="6"/>
      <c r="Y5289" s="6"/>
      <c r="Z5289" s="6"/>
      <c r="AA5289" s="6"/>
      <c r="AB5289" s="6"/>
      <c r="AC5289" s="6"/>
      <c r="AD5289" s="6"/>
      <c r="AE5289" s="6"/>
      <c r="AF5289" s="6"/>
      <c r="AG5289" s="6"/>
      <c r="AH5289" s="6"/>
      <c r="AI5289" s="6"/>
      <c r="AJ5289" s="6"/>
      <c r="AK5289" s="6"/>
      <c r="AL5289" s="6"/>
      <c r="AM5289" s="6"/>
    </row>
    <row r="5290">
      <c r="A5290" s="6"/>
      <c r="B5290" s="6"/>
      <c r="C5290" s="6"/>
      <c r="D5290" s="6"/>
      <c r="E5290" s="6"/>
      <c r="F5290" s="6"/>
      <c r="G5290" s="6"/>
      <c r="H5290" s="6"/>
      <c r="I5290" s="6"/>
      <c r="J5290" s="6"/>
      <c r="K5290" s="6"/>
      <c r="L5290" s="6"/>
      <c r="M5290" s="6"/>
      <c r="N5290" s="6"/>
      <c r="O5290" s="6"/>
      <c r="P5290" s="6"/>
      <c r="Q5290" s="6"/>
      <c r="R5290" s="6"/>
      <c r="S5290" s="6"/>
      <c r="T5290" s="6"/>
      <c r="U5290" s="6"/>
      <c r="V5290" s="6"/>
      <c r="W5290" s="6"/>
      <c r="X5290" s="6"/>
      <c r="Y5290" s="6"/>
      <c r="Z5290" s="6"/>
      <c r="AA5290" s="6"/>
      <c r="AB5290" s="6"/>
      <c r="AC5290" s="6"/>
      <c r="AD5290" s="6"/>
      <c r="AE5290" s="6"/>
      <c r="AF5290" s="6"/>
      <c r="AG5290" s="6"/>
      <c r="AH5290" s="6"/>
      <c r="AI5290" s="6"/>
      <c r="AJ5290" s="6"/>
      <c r="AK5290" s="6"/>
      <c r="AL5290" s="6"/>
      <c r="AM5290" s="6"/>
    </row>
    <row r="5291">
      <c r="A5291" s="6"/>
      <c r="B5291" s="6"/>
      <c r="C5291" s="6"/>
      <c r="D5291" s="6"/>
      <c r="E5291" s="6"/>
      <c r="F5291" s="6"/>
      <c r="G5291" s="6"/>
      <c r="H5291" s="6"/>
      <c r="I5291" s="6"/>
      <c r="J5291" s="6"/>
      <c r="K5291" s="6"/>
      <c r="L5291" s="6"/>
      <c r="M5291" s="6"/>
      <c r="N5291" s="6"/>
      <c r="O5291" s="6"/>
      <c r="P5291" s="6"/>
      <c r="Q5291" s="6"/>
      <c r="R5291" s="6"/>
      <c r="S5291" s="6"/>
      <c r="T5291" s="6"/>
      <c r="U5291" s="6"/>
      <c r="V5291" s="6"/>
      <c r="W5291" s="6"/>
      <c r="X5291" s="6"/>
      <c r="Y5291" s="6"/>
      <c r="Z5291" s="6"/>
      <c r="AA5291" s="6"/>
      <c r="AB5291" s="6"/>
      <c r="AC5291" s="6"/>
      <c r="AD5291" s="6"/>
      <c r="AE5291" s="6"/>
      <c r="AF5291" s="6"/>
      <c r="AG5291" s="6"/>
      <c r="AH5291" s="6"/>
      <c r="AI5291" s="6"/>
      <c r="AJ5291" s="6"/>
      <c r="AK5291" s="6"/>
      <c r="AL5291" s="6"/>
      <c r="AM5291" s="6"/>
    </row>
    <row r="5292">
      <c r="A5292" s="6"/>
      <c r="B5292" s="6"/>
      <c r="C5292" s="6"/>
      <c r="D5292" s="6"/>
      <c r="E5292" s="6"/>
      <c r="F5292" s="6"/>
      <c r="G5292" s="6"/>
      <c r="H5292" s="6"/>
      <c r="I5292" s="6"/>
      <c r="J5292" s="6"/>
      <c r="K5292" s="6"/>
      <c r="L5292" s="6"/>
      <c r="M5292" s="6"/>
      <c r="N5292" s="6"/>
      <c r="O5292" s="6"/>
      <c r="P5292" s="6"/>
      <c r="Q5292" s="6"/>
      <c r="R5292" s="6"/>
      <c r="S5292" s="6"/>
      <c r="T5292" s="6"/>
      <c r="U5292" s="6"/>
      <c r="V5292" s="6"/>
      <c r="W5292" s="6"/>
      <c r="X5292" s="6"/>
      <c r="Y5292" s="6"/>
      <c r="Z5292" s="6"/>
      <c r="AA5292" s="6"/>
      <c r="AB5292" s="6"/>
      <c r="AC5292" s="6"/>
      <c r="AD5292" s="6"/>
      <c r="AE5292" s="6"/>
      <c r="AF5292" s="6"/>
      <c r="AG5292" s="6"/>
      <c r="AH5292" s="6"/>
      <c r="AI5292" s="6"/>
      <c r="AJ5292" s="6"/>
      <c r="AK5292" s="6"/>
      <c r="AL5292" s="6"/>
      <c r="AM5292" s="6"/>
    </row>
    <row r="5293">
      <c r="A5293" s="6"/>
      <c r="B5293" s="6"/>
      <c r="C5293" s="6"/>
      <c r="D5293" s="6"/>
      <c r="E5293" s="6"/>
      <c r="F5293" s="6"/>
      <c r="G5293" s="6"/>
      <c r="H5293" s="6"/>
      <c r="I5293" s="6"/>
      <c r="J5293" s="6"/>
      <c r="K5293" s="6"/>
      <c r="L5293" s="6"/>
      <c r="M5293" s="6"/>
      <c r="N5293" s="6"/>
      <c r="O5293" s="6"/>
      <c r="P5293" s="6"/>
      <c r="Q5293" s="6"/>
      <c r="R5293" s="6"/>
      <c r="S5293" s="6"/>
      <c r="T5293" s="6"/>
      <c r="U5293" s="6"/>
      <c r="V5293" s="6"/>
      <c r="W5293" s="6"/>
      <c r="X5293" s="6"/>
      <c r="Y5293" s="6"/>
      <c r="Z5293" s="6"/>
      <c r="AA5293" s="6"/>
      <c r="AB5293" s="6"/>
      <c r="AC5293" s="6"/>
      <c r="AD5293" s="6"/>
      <c r="AE5293" s="6"/>
      <c r="AF5293" s="6"/>
      <c r="AG5293" s="6"/>
      <c r="AH5293" s="6"/>
      <c r="AI5293" s="6"/>
      <c r="AJ5293" s="6"/>
      <c r="AK5293" s="6"/>
      <c r="AL5293" s="6"/>
      <c r="AM5293" s="6"/>
    </row>
    <row r="5294">
      <c r="A5294" s="6"/>
      <c r="B5294" s="6"/>
      <c r="C5294" s="6"/>
      <c r="D5294" s="6"/>
      <c r="E5294" s="6"/>
      <c r="F5294" s="6"/>
      <c r="G5294" s="6"/>
      <c r="H5294" s="6"/>
      <c r="I5294" s="6"/>
      <c r="J5294" s="6"/>
      <c r="K5294" s="6"/>
      <c r="L5294" s="6"/>
      <c r="M5294" s="6"/>
      <c r="N5294" s="6"/>
      <c r="O5294" s="6"/>
      <c r="P5294" s="6"/>
      <c r="Q5294" s="6"/>
      <c r="R5294" s="6"/>
      <c r="S5294" s="6"/>
      <c r="T5294" s="6"/>
      <c r="U5294" s="6"/>
      <c r="V5294" s="6"/>
      <c r="W5294" s="6"/>
      <c r="X5294" s="6"/>
      <c r="Y5294" s="6"/>
      <c r="Z5294" s="6"/>
      <c r="AA5294" s="6"/>
      <c r="AB5294" s="6"/>
      <c r="AC5294" s="6"/>
      <c r="AD5294" s="6"/>
      <c r="AE5294" s="6"/>
      <c r="AF5294" s="6"/>
      <c r="AG5294" s="6"/>
      <c r="AH5294" s="6"/>
      <c r="AI5294" s="6"/>
      <c r="AJ5294" s="6"/>
      <c r="AK5294" s="6"/>
      <c r="AL5294" s="6"/>
      <c r="AM5294" s="6"/>
    </row>
    <row r="5295">
      <c r="A5295" s="6"/>
      <c r="B5295" s="6"/>
      <c r="C5295" s="6"/>
      <c r="D5295" s="6"/>
      <c r="E5295" s="6"/>
      <c r="F5295" s="6"/>
      <c r="G5295" s="6"/>
      <c r="H5295" s="6"/>
      <c r="I5295" s="6"/>
      <c r="J5295" s="6"/>
      <c r="K5295" s="6"/>
      <c r="L5295" s="6"/>
      <c r="M5295" s="6"/>
      <c r="N5295" s="6"/>
      <c r="O5295" s="6"/>
      <c r="P5295" s="6"/>
      <c r="Q5295" s="6"/>
      <c r="R5295" s="6"/>
      <c r="S5295" s="6"/>
      <c r="T5295" s="6"/>
      <c r="U5295" s="6"/>
      <c r="V5295" s="6"/>
      <c r="W5295" s="6"/>
      <c r="X5295" s="6"/>
      <c r="Y5295" s="6"/>
      <c r="Z5295" s="6"/>
      <c r="AA5295" s="6"/>
      <c r="AB5295" s="6"/>
      <c r="AC5295" s="6"/>
      <c r="AD5295" s="6"/>
      <c r="AE5295" s="6"/>
      <c r="AF5295" s="6"/>
      <c r="AG5295" s="6"/>
      <c r="AH5295" s="6"/>
      <c r="AI5295" s="6"/>
      <c r="AJ5295" s="6"/>
      <c r="AK5295" s="6"/>
      <c r="AL5295" s="6"/>
      <c r="AM5295" s="6"/>
    </row>
    <row r="5296">
      <c r="A5296" s="6"/>
      <c r="B5296" s="6"/>
      <c r="C5296" s="6"/>
      <c r="D5296" s="6"/>
      <c r="E5296" s="6"/>
      <c r="F5296" s="6"/>
      <c r="G5296" s="6"/>
      <c r="H5296" s="6"/>
      <c r="I5296" s="6"/>
      <c r="J5296" s="6"/>
      <c r="K5296" s="6"/>
      <c r="L5296" s="6"/>
      <c r="M5296" s="6"/>
      <c r="N5296" s="6"/>
      <c r="O5296" s="6"/>
      <c r="P5296" s="6"/>
      <c r="Q5296" s="6"/>
      <c r="R5296" s="6"/>
      <c r="S5296" s="6"/>
      <c r="T5296" s="6"/>
      <c r="U5296" s="6"/>
      <c r="V5296" s="6"/>
      <c r="W5296" s="6"/>
      <c r="X5296" s="6"/>
      <c r="Y5296" s="6"/>
      <c r="Z5296" s="6"/>
      <c r="AA5296" s="6"/>
      <c r="AB5296" s="6"/>
      <c r="AC5296" s="6"/>
      <c r="AD5296" s="6"/>
      <c r="AE5296" s="6"/>
      <c r="AF5296" s="6"/>
      <c r="AG5296" s="6"/>
      <c r="AH5296" s="6"/>
      <c r="AI5296" s="6"/>
      <c r="AJ5296" s="6"/>
      <c r="AK5296" s="6"/>
      <c r="AL5296" s="6"/>
      <c r="AM5296" s="6"/>
    </row>
    <row r="5297">
      <c r="A5297" s="6"/>
      <c r="B5297" s="6"/>
      <c r="C5297" s="6"/>
      <c r="D5297" s="6"/>
      <c r="E5297" s="6"/>
      <c r="F5297" s="6"/>
      <c r="G5297" s="6"/>
      <c r="H5297" s="6"/>
      <c r="I5297" s="6"/>
      <c r="J5297" s="6"/>
      <c r="K5297" s="6"/>
      <c r="L5297" s="6"/>
      <c r="M5297" s="6"/>
      <c r="N5297" s="6"/>
      <c r="O5297" s="6"/>
      <c r="P5297" s="6"/>
      <c r="Q5297" s="6"/>
      <c r="R5297" s="6"/>
      <c r="S5297" s="6"/>
      <c r="T5297" s="6"/>
      <c r="U5297" s="6"/>
      <c r="V5297" s="6"/>
      <c r="W5297" s="6"/>
      <c r="X5297" s="6"/>
      <c r="Y5297" s="6"/>
      <c r="Z5297" s="6"/>
      <c r="AA5297" s="6"/>
      <c r="AB5297" s="6"/>
      <c r="AC5297" s="6"/>
      <c r="AD5297" s="6"/>
      <c r="AE5297" s="6"/>
      <c r="AF5297" s="6"/>
      <c r="AG5297" s="6"/>
      <c r="AH5297" s="6"/>
      <c r="AI5297" s="6"/>
      <c r="AJ5297" s="6"/>
      <c r="AK5297" s="6"/>
      <c r="AL5297" s="6"/>
      <c r="AM5297" s="6"/>
    </row>
    <row r="5298">
      <c r="A5298" s="6"/>
      <c r="B5298" s="6"/>
      <c r="C5298" s="6"/>
      <c r="D5298" s="6"/>
      <c r="E5298" s="6"/>
      <c r="F5298" s="6"/>
      <c r="G5298" s="6"/>
      <c r="H5298" s="6"/>
      <c r="I5298" s="6"/>
      <c r="J5298" s="6"/>
      <c r="K5298" s="6"/>
      <c r="L5298" s="6"/>
      <c r="M5298" s="6"/>
      <c r="N5298" s="6"/>
      <c r="O5298" s="6"/>
      <c r="P5298" s="6"/>
      <c r="Q5298" s="6"/>
      <c r="R5298" s="6"/>
      <c r="S5298" s="6"/>
      <c r="T5298" s="6"/>
      <c r="U5298" s="6"/>
      <c r="V5298" s="6"/>
      <c r="W5298" s="6"/>
      <c r="X5298" s="6"/>
      <c r="Y5298" s="6"/>
      <c r="Z5298" s="6"/>
      <c r="AA5298" s="6"/>
      <c r="AB5298" s="6"/>
      <c r="AC5298" s="6"/>
      <c r="AD5298" s="6"/>
      <c r="AE5298" s="6"/>
      <c r="AF5298" s="6"/>
      <c r="AG5298" s="6"/>
      <c r="AH5298" s="6"/>
      <c r="AI5298" s="6"/>
      <c r="AJ5298" s="6"/>
      <c r="AK5298" s="6"/>
      <c r="AL5298" s="6"/>
      <c r="AM5298" s="6"/>
    </row>
    <row r="5299">
      <c r="A5299" s="6"/>
      <c r="B5299" s="6"/>
      <c r="C5299" s="6"/>
      <c r="D5299" s="6"/>
      <c r="E5299" s="6"/>
      <c r="F5299" s="6"/>
      <c r="G5299" s="6"/>
      <c r="H5299" s="6"/>
      <c r="I5299" s="6"/>
      <c r="J5299" s="6"/>
      <c r="K5299" s="6"/>
      <c r="L5299" s="6"/>
      <c r="M5299" s="6"/>
      <c r="N5299" s="6"/>
      <c r="O5299" s="6"/>
      <c r="P5299" s="6"/>
      <c r="Q5299" s="6"/>
      <c r="R5299" s="6"/>
      <c r="S5299" s="6"/>
      <c r="T5299" s="6"/>
      <c r="U5299" s="6"/>
      <c r="V5299" s="6"/>
      <c r="W5299" s="6"/>
      <c r="X5299" s="6"/>
      <c r="Y5299" s="6"/>
      <c r="Z5299" s="6"/>
      <c r="AA5299" s="6"/>
      <c r="AB5299" s="6"/>
      <c r="AC5299" s="6"/>
      <c r="AD5299" s="6"/>
      <c r="AE5299" s="6"/>
      <c r="AF5299" s="6"/>
      <c r="AG5299" s="6"/>
      <c r="AH5299" s="6"/>
      <c r="AI5299" s="6"/>
      <c r="AJ5299" s="6"/>
      <c r="AK5299" s="6"/>
      <c r="AL5299" s="6"/>
      <c r="AM5299" s="6"/>
    </row>
    <row r="5300">
      <c r="A5300" s="6"/>
      <c r="B5300" s="6"/>
      <c r="C5300" s="6"/>
      <c r="D5300" s="6"/>
      <c r="E5300" s="6"/>
      <c r="F5300" s="6"/>
      <c r="G5300" s="6"/>
      <c r="H5300" s="6"/>
      <c r="I5300" s="6"/>
      <c r="J5300" s="6"/>
      <c r="K5300" s="6"/>
      <c r="L5300" s="6"/>
      <c r="M5300" s="6"/>
      <c r="N5300" s="6"/>
      <c r="O5300" s="6"/>
      <c r="P5300" s="6"/>
      <c r="Q5300" s="6"/>
      <c r="R5300" s="6"/>
      <c r="S5300" s="6"/>
      <c r="T5300" s="6"/>
      <c r="U5300" s="6"/>
      <c r="V5300" s="6"/>
      <c r="W5300" s="6"/>
      <c r="X5300" s="6"/>
      <c r="Y5300" s="6"/>
      <c r="Z5300" s="6"/>
      <c r="AA5300" s="6"/>
      <c r="AB5300" s="6"/>
      <c r="AC5300" s="6"/>
      <c r="AD5300" s="6"/>
      <c r="AE5300" s="6"/>
      <c r="AF5300" s="6"/>
      <c r="AG5300" s="6"/>
      <c r="AH5300" s="6"/>
      <c r="AI5300" s="6"/>
      <c r="AJ5300" s="6"/>
      <c r="AK5300" s="6"/>
      <c r="AL5300" s="6"/>
      <c r="AM5300" s="6"/>
    </row>
    <row r="5301">
      <c r="A5301" s="6"/>
      <c r="B5301" s="6"/>
      <c r="C5301" s="6"/>
      <c r="D5301" s="6"/>
      <c r="E5301" s="6"/>
      <c r="F5301" s="6"/>
      <c r="G5301" s="6"/>
      <c r="H5301" s="6"/>
      <c r="I5301" s="6"/>
      <c r="J5301" s="6"/>
      <c r="K5301" s="6"/>
      <c r="L5301" s="6"/>
      <c r="M5301" s="6"/>
      <c r="N5301" s="6"/>
      <c r="O5301" s="6"/>
      <c r="P5301" s="6"/>
      <c r="Q5301" s="6"/>
      <c r="R5301" s="6"/>
      <c r="S5301" s="6"/>
      <c r="T5301" s="6"/>
      <c r="U5301" s="6"/>
      <c r="V5301" s="6"/>
      <c r="W5301" s="6"/>
      <c r="X5301" s="6"/>
      <c r="Y5301" s="6"/>
      <c r="Z5301" s="6"/>
      <c r="AA5301" s="6"/>
      <c r="AB5301" s="6"/>
      <c r="AC5301" s="6"/>
      <c r="AD5301" s="6"/>
      <c r="AE5301" s="6"/>
      <c r="AF5301" s="6"/>
      <c r="AG5301" s="6"/>
      <c r="AH5301" s="6"/>
      <c r="AI5301" s="6"/>
      <c r="AJ5301" s="6"/>
      <c r="AK5301" s="6"/>
      <c r="AL5301" s="6"/>
      <c r="AM5301" s="6"/>
    </row>
    <row r="5302">
      <c r="A5302" s="6"/>
      <c r="B5302" s="6"/>
      <c r="C5302" s="6"/>
      <c r="D5302" s="6"/>
      <c r="E5302" s="6"/>
      <c r="F5302" s="6"/>
      <c r="G5302" s="6"/>
      <c r="H5302" s="6"/>
      <c r="I5302" s="6"/>
      <c r="J5302" s="6"/>
      <c r="K5302" s="6"/>
      <c r="L5302" s="6"/>
      <c r="M5302" s="6"/>
      <c r="N5302" s="6"/>
      <c r="O5302" s="6"/>
      <c r="P5302" s="6"/>
      <c r="Q5302" s="6"/>
      <c r="R5302" s="6"/>
      <c r="S5302" s="6"/>
      <c r="T5302" s="6"/>
      <c r="U5302" s="6"/>
      <c r="V5302" s="6"/>
      <c r="W5302" s="6"/>
      <c r="X5302" s="6"/>
      <c r="Y5302" s="6"/>
      <c r="Z5302" s="6"/>
      <c r="AA5302" s="6"/>
      <c r="AB5302" s="6"/>
      <c r="AC5302" s="6"/>
      <c r="AD5302" s="6"/>
      <c r="AE5302" s="6"/>
      <c r="AF5302" s="6"/>
      <c r="AG5302" s="6"/>
      <c r="AH5302" s="6"/>
      <c r="AI5302" s="6"/>
      <c r="AJ5302" s="6"/>
      <c r="AK5302" s="6"/>
      <c r="AL5302" s="6"/>
      <c r="AM5302" s="6"/>
    </row>
    <row r="5303">
      <c r="A5303" s="6"/>
      <c r="B5303" s="6"/>
      <c r="C5303" s="6"/>
      <c r="D5303" s="6"/>
      <c r="E5303" s="6"/>
      <c r="F5303" s="6"/>
      <c r="G5303" s="6"/>
      <c r="H5303" s="6"/>
      <c r="I5303" s="6"/>
      <c r="J5303" s="6"/>
      <c r="K5303" s="6"/>
      <c r="L5303" s="6"/>
      <c r="M5303" s="6"/>
      <c r="N5303" s="6"/>
      <c r="O5303" s="6"/>
      <c r="P5303" s="6"/>
      <c r="Q5303" s="6"/>
      <c r="R5303" s="6"/>
      <c r="S5303" s="6"/>
      <c r="T5303" s="6"/>
      <c r="U5303" s="6"/>
      <c r="V5303" s="6"/>
      <c r="W5303" s="6"/>
      <c r="X5303" s="6"/>
      <c r="Y5303" s="6"/>
      <c r="Z5303" s="6"/>
      <c r="AA5303" s="6"/>
      <c r="AB5303" s="6"/>
      <c r="AC5303" s="6"/>
      <c r="AD5303" s="6"/>
      <c r="AE5303" s="6"/>
      <c r="AF5303" s="6"/>
      <c r="AG5303" s="6"/>
      <c r="AH5303" s="6"/>
      <c r="AI5303" s="6"/>
      <c r="AJ5303" s="6"/>
      <c r="AK5303" s="6"/>
      <c r="AL5303" s="6"/>
      <c r="AM5303" s="6"/>
    </row>
    <row r="5304">
      <c r="A5304" s="6"/>
      <c r="B5304" s="6"/>
      <c r="C5304" s="6"/>
      <c r="D5304" s="6"/>
      <c r="E5304" s="6"/>
      <c r="F5304" s="6"/>
      <c r="G5304" s="6"/>
      <c r="H5304" s="6"/>
      <c r="I5304" s="6"/>
      <c r="J5304" s="6"/>
      <c r="K5304" s="6"/>
      <c r="L5304" s="6"/>
      <c r="M5304" s="6"/>
      <c r="N5304" s="6"/>
      <c r="O5304" s="6"/>
      <c r="P5304" s="6"/>
      <c r="Q5304" s="6"/>
      <c r="R5304" s="6"/>
      <c r="S5304" s="6"/>
      <c r="T5304" s="6"/>
      <c r="U5304" s="6"/>
      <c r="V5304" s="6"/>
      <c r="W5304" s="6"/>
      <c r="X5304" s="6"/>
      <c r="Y5304" s="6"/>
      <c r="Z5304" s="6"/>
      <c r="AA5304" s="6"/>
      <c r="AB5304" s="6"/>
      <c r="AC5304" s="6"/>
      <c r="AD5304" s="6"/>
      <c r="AE5304" s="6"/>
      <c r="AF5304" s="6"/>
      <c r="AG5304" s="6"/>
      <c r="AH5304" s="6"/>
      <c r="AI5304" s="6"/>
      <c r="AJ5304" s="6"/>
      <c r="AK5304" s="6"/>
      <c r="AL5304" s="6"/>
      <c r="AM5304" s="6"/>
    </row>
    <row r="5305">
      <c r="A5305" s="6"/>
      <c r="B5305" s="6"/>
      <c r="C5305" s="6"/>
      <c r="D5305" s="6"/>
      <c r="E5305" s="6"/>
      <c r="F5305" s="6"/>
      <c r="G5305" s="6"/>
      <c r="H5305" s="6"/>
      <c r="I5305" s="6"/>
      <c r="J5305" s="6"/>
      <c r="K5305" s="6"/>
      <c r="L5305" s="6"/>
      <c r="M5305" s="6"/>
      <c r="N5305" s="6"/>
      <c r="O5305" s="6"/>
      <c r="P5305" s="6"/>
      <c r="Q5305" s="6"/>
      <c r="R5305" s="6"/>
      <c r="S5305" s="6"/>
      <c r="T5305" s="6"/>
      <c r="U5305" s="6"/>
      <c r="V5305" s="6"/>
      <c r="W5305" s="6"/>
      <c r="X5305" s="6"/>
      <c r="Y5305" s="6"/>
      <c r="Z5305" s="6"/>
      <c r="AA5305" s="6"/>
      <c r="AB5305" s="6"/>
      <c r="AC5305" s="6"/>
      <c r="AD5305" s="6"/>
      <c r="AE5305" s="6"/>
      <c r="AF5305" s="6"/>
      <c r="AG5305" s="6"/>
      <c r="AH5305" s="6"/>
      <c r="AI5305" s="6"/>
      <c r="AJ5305" s="6"/>
      <c r="AK5305" s="6"/>
      <c r="AL5305" s="6"/>
      <c r="AM5305" s="6"/>
    </row>
    <row r="5306">
      <c r="A5306" s="6"/>
      <c r="B5306" s="6"/>
      <c r="C5306" s="6"/>
      <c r="D5306" s="6"/>
      <c r="E5306" s="6"/>
      <c r="F5306" s="6"/>
      <c r="G5306" s="6"/>
      <c r="H5306" s="6"/>
      <c r="I5306" s="6"/>
      <c r="J5306" s="6"/>
      <c r="K5306" s="6"/>
      <c r="L5306" s="6"/>
      <c r="M5306" s="6"/>
      <c r="N5306" s="6"/>
      <c r="O5306" s="6"/>
      <c r="P5306" s="6"/>
      <c r="Q5306" s="6"/>
      <c r="R5306" s="6"/>
      <c r="S5306" s="6"/>
      <c r="T5306" s="6"/>
      <c r="U5306" s="6"/>
      <c r="V5306" s="6"/>
      <c r="W5306" s="6"/>
      <c r="X5306" s="6"/>
      <c r="Y5306" s="6"/>
      <c r="Z5306" s="6"/>
      <c r="AA5306" s="6"/>
      <c r="AB5306" s="6"/>
      <c r="AC5306" s="6"/>
      <c r="AD5306" s="6"/>
      <c r="AE5306" s="6"/>
      <c r="AF5306" s="6"/>
      <c r="AG5306" s="6"/>
      <c r="AH5306" s="6"/>
      <c r="AI5306" s="6"/>
      <c r="AJ5306" s="6"/>
      <c r="AK5306" s="6"/>
      <c r="AL5306" s="6"/>
      <c r="AM5306" s="6"/>
    </row>
    <row r="5307">
      <c r="A5307" s="6"/>
      <c r="B5307" s="6"/>
      <c r="C5307" s="6"/>
      <c r="D5307" s="6"/>
      <c r="E5307" s="6"/>
      <c r="F5307" s="6"/>
      <c r="G5307" s="6"/>
      <c r="H5307" s="6"/>
      <c r="I5307" s="6"/>
      <c r="J5307" s="6"/>
      <c r="K5307" s="6"/>
      <c r="L5307" s="6"/>
      <c r="M5307" s="6"/>
      <c r="N5307" s="6"/>
      <c r="O5307" s="6"/>
      <c r="P5307" s="6"/>
      <c r="Q5307" s="6"/>
      <c r="R5307" s="6"/>
      <c r="S5307" s="6"/>
      <c r="T5307" s="6"/>
      <c r="U5307" s="6"/>
      <c r="V5307" s="6"/>
      <c r="W5307" s="6"/>
      <c r="X5307" s="6"/>
      <c r="Y5307" s="6"/>
      <c r="Z5307" s="6"/>
      <c r="AA5307" s="6"/>
      <c r="AB5307" s="6"/>
      <c r="AC5307" s="6"/>
      <c r="AD5307" s="6"/>
      <c r="AE5307" s="6"/>
      <c r="AF5307" s="6"/>
      <c r="AG5307" s="6"/>
      <c r="AH5307" s="6"/>
      <c r="AI5307" s="6"/>
      <c r="AJ5307" s="6"/>
      <c r="AK5307" s="6"/>
      <c r="AL5307" s="6"/>
      <c r="AM5307" s="6"/>
    </row>
    <row r="5308">
      <c r="A5308" s="6"/>
      <c r="B5308" s="6"/>
      <c r="C5308" s="6"/>
      <c r="D5308" s="6"/>
      <c r="E5308" s="6"/>
      <c r="F5308" s="6"/>
      <c r="G5308" s="6"/>
      <c r="H5308" s="6"/>
      <c r="I5308" s="6"/>
      <c r="J5308" s="6"/>
      <c r="K5308" s="6"/>
      <c r="L5308" s="6"/>
      <c r="M5308" s="6"/>
      <c r="N5308" s="6"/>
      <c r="O5308" s="6"/>
      <c r="P5308" s="6"/>
      <c r="Q5308" s="6"/>
      <c r="R5308" s="6"/>
      <c r="S5308" s="6"/>
      <c r="T5308" s="6"/>
      <c r="U5308" s="6"/>
      <c r="V5308" s="6"/>
      <c r="W5308" s="6"/>
      <c r="X5308" s="6"/>
      <c r="Y5308" s="6"/>
      <c r="Z5308" s="6"/>
      <c r="AA5308" s="6"/>
      <c r="AB5308" s="6"/>
      <c r="AC5308" s="6"/>
      <c r="AD5308" s="6"/>
      <c r="AE5308" s="6"/>
      <c r="AF5308" s="6"/>
      <c r="AG5308" s="6"/>
      <c r="AH5308" s="6"/>
      <c r="AI5308" s="6"/>
      <c r="AJ5308" s="6"/>
      <c r="AK5308" s="6"/>
      <c r="AL5308" s="6"/>
      <c r="AM5308" s="6"/>
    </row>
    <row r="5309">
      <c r="A5309" s="6"/>
      <c r="B5309" s="6"/>
      <c r="C5309" s="6"/>
      <c r="D5309" s="6"/>
      <c r="E5309" s="6"/>
      <c r="F5309" s="6"/>
      <c r="G5309" s="6"/>
      <c r="H5309" s="6"/>
      <c r="I5309" s="6"/>
      <c r="J5309" s="6"/>
      <c r="K5309" s="6"/>
      <c r="L5309" s="6"/>
      <c r="M5309" s="6"/>
      <c r="N5309" s="6"/>
      <c r="O5309" s="6"/>
      <c r="P5309" s="6"/>
      <c r="Q5309" s="6"/>
      <c r="R5309" s="6"/>
      <c r="S5309" s="6"/>
      <c r="T5309" s="6"/>
      <c r="U5309" s="6"/>
      <c r="V5309" s="6"/>
      <c r="W5309" s="6"/>
      <c r="X5309" s="6"/>
      <c r="Y5309" s="6"/>
      <c r="Z5309" s="6"/>
      <c r="AA5309" s="6"/>
      <c r="AB5309" s="6"/>
      <c r="AC5309" s="6"/>
      <c r="AD5309" s="6"/>
      <c r="AE5309" s="6"/>
      <c r="AF5309" s="6"/>
      <c r="AG5309" s="6"/>
      <c r="AH5309" s="6"/>
      <c r="AI5309" s="6"/>
      <c r="AJ5309" s="6"/>
      <c r="AK5309" s="6"/>
      <c r="AL5309" s="6"/>
      <c r="AM5309" s="6"/>
    </row>
    <row r="5310">
      <c r="A5310" s="6"/>
      <c r="B5310" s="6"/>
      <c r="C5310" s="6"/>
      <c r="D5310" s="6"/>
      <c r="E5310" s="6"/>
      <c r="F5310" s="6"/>
      <c r="G5310" s="6"/>
      <c r="H5310" s="6"/>
      <c r="I5310" s="6"/>
      <c r="J5310" s="6"/>
      <c r="K5310" s="6"/>
      <c r="L5310" s="6"/>
      <c r="M5310" s="6"/>
      <c r="N5310" s="6"/>
      <c r="O5310" s="6"/>
      <c r="P5310" s="6"/>
      <c r="Q5310" s="6"/>
      <c r="R5310" s="6"/>
      <c r="S5310" s="6"/>
      <c r="T5310" s="6"/>
      <c r="U5310" s="6"/>
      <c r="V5310" s="6"/>
      <c r="W5310" s="6"/>
      <c r="X5310" s="6"/>
      <c r="Y5310" s="6"/>
      <c r="Z5310" s="6"/>
      <c r="AA5310" s="6"/>
      <c r="AB5310" s="6"/>
      <c r="AC5310" s="6"/>
      <c r="AD5310" s="6"/>
      <c r="AE5310" s="6"/>
      <c r="AF5310" s="6"/>
      <c r="AG5310" s="6"/>
      <c r="AH5310" s="6"/>
      <c r="AI5310" s="6"/>
      <c r="AJ5310" s="6"/>
      <c r="AK5310" s="6"/>
      <c r="AL5310" s="6"/>
      <c r="AM5310" s="6"/>
    </row>
    <row r="5311">
      <c r="A5311" s="6"/>
      <c r="B5311" s="6"/>
      <c r="C5311" s="6"/>
      <c r="D5311" s="6"/>
      <c r="E5311" s="6"/>
      <c r="F5311" s="6"/>
      <c r="G5311" s="6"/>
      <c r="H5311" s="6"/>
      <c r="I5311" s="6"/>
      <c r="J5311" s="6"/>
      <c r="K5311" s="6"/>
      <c r="L5311" s="6"/>
      <c r="M5311" s="6"/>
      <c r="N5311" s="6"/>
      <c r="O5311" s="6"/>
      <c r="P5311" s="6"/>
      <c r="Q5311" s="6"/>
      <c r="R5311" s="6"/>
      <c r="S5311" s="6"/>
      <c r="T5311" s="6"/>
      <c r="U5311" s="6"/>
      <c r="V5311" s="6"/>
      <c r="W5311" s="6"/>
      <c r="X5311" s="6"/>
      <c r="Y5311" s="6"/>
      <c r="Z5311" s="6"/>
      <c r="AA5311" s="6"/>
      <c r="AB5311" s="6"/>
      <c r="AC5311" s="6"/>
      <c r="AD5311" s="6"/>
      <c r="AE5311" s="6"/>
      <c r="AF5311" s="6"/>
      <c r="AG5311" s="6"/>
      <c r="AH5311" s="6"/>
      <c r="AI5311" s="6"/>
      <c r="AJ5311" s="6"/>
      <c r="AK5311" s="6"/>
      <c r="AL5311" s="6"/>
      <c r="AM5311" s="6"/>
    </row>
    <row r="5312">
      <c r="A5312" s="6"/>
      <c r="B5312" s="6"/>
      <c r="C5312" s="6"/>
      <c r="D5312" s="6"/>
      <c r="E5312" s="6"/>
      <c r="F5312" s="6"/>
      <c r="G5312" s="6"/>
      <c r="H5312" s="6"/>
      <c r="I5312" s="6"/>
      <c r="J5312" s="6"/>
      <c r="K5312" s="6"/>
      <c r="L5312" s="6"/>
      <c r="M5312" s="6"/>
      <c r="N5312" s="6"/>
      <c r="O5312" s="6"/>
      <c r="P5312" s="6"/>
      <c r="Q5312" s="6"/>
      <c r="R5312" s="6"/>
      <c r="S5312" s="6"/>
      <c r="T5312" s="6"/>
      <c r="U5312" s="6"/>
      <c r="V5312" s="6"/>
      <c r="W5312" s="6"/>
      <c r="X5312" s="6"/>
      <c r="Y5312" s="6"/>
      <c r="Z5312" s="6"/>
      <c r="AA5312" s="6"/>
      <c r="AB5312" s="6"/>
      <c r="AC5312" s="6"/>
      <c r="AD5312" s="6"/>
      <c r="AE5312" s="6"/>
      <c r="AF5312" s="6"/>
      <c r="AG5312" s="6"/>
      <c r="AH5312" s="6"/>
      <c r="AI5312" s="6"/>
      <c r="AJ5312" s="6"/>
      <c r="AK5312" s="6"/>
      <c r="AL5312" s="6"/>
      <c r="AM5312" s="6"/>
    </row>
    <row r="5313">
      <c r="A5313" s="6"/>
      <c r="B5313" s="6"/>
      <c r="C5313" s="6"/>
      <c r="D5313" s="6"/>
      <c r="E5313" s="6"/>
      <c r="F5313" s="6"/>
      <c r="G5313" s="6"/>
      <c r="H5313" s="6"/>
      <c r="I5313" s="6"/>
      <c r="J5313" s="6"/>
      <c r="K5313" s="6"/>
      <c r="L5313" s="6"/>
      <c r="M5313" s="6"/>
      <c r="N5313" s="6"/>
      <c r="O5313" s="6"/>
      <c r="P5313" s="6"/>
      <c r="Q5313" s="6"/>
      <c r="R5313" s="6"/>
      <c r="S5313" s="6"/>
      <c r="T5313" s="6"/>
      <c r="U5313" s="6"/>
      <c r="V5313" s="6"/>
      <c r="W5313" s="6"/>
      <c r="X5313" s="6"/>
      <c r="Y5313" s="6"/>
      <c r="Z5313" s="6"/>
      <c r="AA5313" s="6"/>
      <c r="AB5313" s="6"/>
      <c r="AC5313" s="6"/>
      <c r="AD5313" s="6"/>
      <c r="AE5313" s="6"/>
      <c r="AF5313" s="6"/>
      <c r="AG5313" s="6"/>
      <c r="AH5313" s="6"/>
      <c r="AI5313" s="6"/>
      <c r="AJ5313" s="6"/>
      <c r="AK5313" s="6"/>
      <c r="AL5313" s="6"/>
      <c r="AM5313" s="6"/>
    </row>
    <row r="5314">
      <c r="A5314" s="6"/>
      <c r="B5314" s="6"/>
      <c r="C5314" s="6"/>
      <c r="D5314" s="6"/>
      <c r="E5314" s="6"/>
      <c r="F5314" s="6"/>
      <c r="G5314" s="6"/>
      <c r="H5314" s="6"/>
      <c r="I5314" s="6"/>
      <c r="J5314" s="6"/>
      <c r="K5314" s="6"/>
      <c r="L5314" s="6"/>
      <c r="M5314" s="6"/>
      <c r="N5314" s="6"/>
      <c r="O5314" s="6"/>
      <c r="P5314" s="6"/>
      <c r="Q5314" s="6"/>
      <c r="R5314" s="6"/>
      <c r="S5314" s="6"/>
      <c r="T5314" s="6"/>
      <c r="U5314" s="6"/>
      <c r="V5314" s="6"/>
      <c r="W5314" s="6"/>
      <c r="X5314" s="6"/>
      <c r="Y5314" s="6"/>
      <c r="Z5314" s="6"/>
      <c r="AA5314" s="6"/>
      <c r="AB5314" s="6"/>
      <c r="AC5314" s="6"/>
      <c r="AD5314" s="6"/>
      <c r="AE5314" s="6"/>
      <c r="AF5314" s="6"/>
      <c r="AG5314" s="6"/>
      <c r="AH5314" s="6"/>
      <c r="AI5314" s="6"/>
      <c r="AJ5314" s="6"/>
      <c r="AK5314" s="6"/>
      <c r="AL5314" s="6"/>
      <c r="AM5314" s="6"/>
    </row>
    <row r="5315">
      <c r="A5315" s="6"/>
      <c r="B5315" s="6"/>
      <c r="C5315" s="6"/>
      <c r="D5315" s="6"/>
      <c r="E5315" s="6"/>
      <c r="F5315" s="6"/>
      <c r="G5315" s="6"/>
      <c r="H5315" s="6"/>
      <c r="I5315" s="6"/>
      <c r="J5315" s="6"/>
      <c r="K5315" s="6"/>
      <c r="L5315" s="6"/>
      <c r="M5315" s="6"/>
      <c r="N5315" s="6"/>
      <c r="O5315" s="6"/>
      <c r="P5315" s="6"/>
      <c r="Q5315" s="6"/>
      <c r="R5315" s="6"/>
      <c r="S5315" s="6"/>
      <c r="T5315" s="6"/>
      <c r="U5315" s="6"/>
      <c r="V5315" s="6"/>
      <c r="W5315" s="6"/>
      <c r="X5315" s="6"/>
      <c r="Y5315" s="6"/>
      <c r="Z5315" s="6"/>
      <c r="AA5315" s="6"/>
      <c r="AB5315" s="6"/>
      <c r="AC5315" s="6"/>
      <c r="AD5315" s="6"/>
      <c r="AE5315" s="6"/>
      <c r="AF5315" s="6"/>
      <c r="AG5315" s="6"/>
      <c r="AH5315" s="6"/>
      <c r="AI5315" s="6"/>
      <c r="AJ5315" s="6"/>
      <c r="AK5315" s="6"/>
      <c r="AL5315" s="6"/>
      <c r="AM5315" s="6"/>
    </row>
    <row r="5316">
      <c r="A5316" s="6"/>
      <c r="B5316" s="6"/>
      <c r="C5316" s="6"/>
      <c r="D5316" s="6"/>
      <c r="E5316" s="6"/>
      <c r="F5316" s="6"/>
      <c r="G5316" s="6"/>
      <c r="H5316" s="6"/>
      <c r="I5316" s="6"/>
      <c r="J5316" s="6"/>
      <c r="K5316" s="6"/>
      <c r="L5316" s="6"/>
      <c r="M5316" s="6"/>
      <c r="N5316" s="6"/>
      <c r="O5316" s="6"/>
      <c r="P5316" s="6"/>
      <c r="Q5316" s="6"/>
      <c r="R5316" s="6"/>
      <c r="S5316" s="6"/>
      <c r="T5316" s="6"/>
      <c r="U5316" s="6"/>
      <c r="V5316" s="6"/>
      <c r="W5316" s="6"/>
      <c r="X5316" s="6"/>
      <c r="Y5316" s="6"/>
      <c r="Z5316" s="6"/>
      <c r="AA5316" s="6"/>
      <c r="AB5316" s="6"/>
      <c r="AC5316" s="6"/>
      <c r="AD5316" s="6"/>
      <c r="AE5316" s="6"/>
      <c r="AF5316" s="6"/>
      <c r="AG5316" s="6"/>
      <c r="AH5316" s="6"/>
      <c r="AI5316" s="6"/>
      <c r="AJ5316" s="6"/>
      <c r="AK5316" s="6"/>
      <c r="AL5316" s="6"/>
      <c r="AM5316" s="6"/>
    </row>
    <row r="5317">
      <c r="A5317" s="6"/>
      <c r="B5317" s="6"/>
      <c r="C5317" s="6"/>
      <c r="D5317" s="6"/>
      <c r="E5317" s="6"/>
      <c r="F5317" s="6"/>
      <c r="G5317" s="6"/>
      <c r="H5317" s="6"/>
      <c r="I5317" s="6"/>
      <c r="J5317" s="6"/>
      <c r="K5317" s="6"/>
      <c r="L5317" s="6"/>
      <c r="M5317" s="6"/>
      <c r="N5317" s="6"/>
      <c r="O5317" s="6"/>
      <c r="P5317" s="6"/>
      <c r="Q5317" s="6"/>
      <c r="R5317" s="6"/>
      <c r="S5317" s="6"/>
      <c r="T5317" s="6"/>
      <c r="U5317" s="6"/>
      <c r="V5317" s="6"/>
      <c r="W5317" s="6"/>
      <c r="X5317" s="6"/>
      <c r="Y5317" s="6"/>
      <c r="Z5317" s="6"/>
      <c r="AA5317" s="6"/>
      <c r="AB5317" s="6"/>
      <c r="AC5317" s="6"/>
      <c r="AD5317" s="6"/>
      <c r="AE5317" s="6"/>
      <c r="AF5317" s="6"/>
      <c r="AG5317" s="6"/>
      <c r="AH5317" s="6"/>
      <c r="AI5317" s="6"/>
      <c r="AJ5317" s="6"/>
      <c r="AK5317" s="6"/>
      <c r="AL5317" s="6"/>
      <c r="AM5317" s="6"/>
    </row>
    <row r="5318">
      <c r="A5318" s="6"/>
      <c r="B5318" s="6"/>
      <c r="C5318" s="6"/>
      <c r="D5318" s="6"/>
      <c r="E5318" s="6"/>
      <c r="F5318" s="6"/>
      <c r="G5318" s="6"/>
      <c r="H5318" s="6"/>
      <c r="I5318" s="6"/>
      <c r="J5318" s="6"/>
      <c r="K5318" s="6"/>
      <c r="L5318" s="6"/>
      <c r="M5318" s="6"/>
      <c r="N5318" s="6"/>
      <c r="O5318" s="6"/>
      <c r="P5318" s="6"/>
      <c r="Q5318" s="6"/>
      <c r="R5318" s="6"/>
      <c r="S5318" s="6"/>
      <c r="T5318" s="6"/>
      <c r="U5318" s="6"/>
      <c r="V5318" s="6"/>
      <c r="W5318" s="6"/>
      <c r="X5318" s="6"/>
      <c r="Y5318" s="6"/>
      <c r="Z5318" s="6"/>
      <c r="AA5318" s="6"/>
      <c r="AB5318" s="6"/>
      <c r="AC5318" s="6"/>
      <c r="AD5318" s="6"/>
      <c r="AE5318" s="6"/>
      <c r="AF5318" s="6"/>
      <c r="AG5318" s="6"/>
      <c r="AH5318" s="6"/>
      <c r="AI5318" s="6"/>
      <c r="AJ5318" s="6"/>
      <c r="AK5318" s="6"/>
      <c r="AL5318" s="6"/>
      <c r="AM5318" s="6"/>
    </row>
    <row r="5319">
      <c r="A5319" s="6"/>
      <c r="B5319" s="6"/>
      <c r="C5319" s="6"/>
      <c r="D5319" s="6"/>
      <c r="E5319" s="6"/>
      <c r="F5319" s="6"/>
      <c r="G5319" s="6"/>
      <c r="H5319" s="6"/>
      <c r="I5319" s="6"/>
      <c r="J5319" s="6"/>
      <c r="K5319" s="6"/>
      <c r="L5319" s="6"/>
      <c r="M5319" s="6"/>
      <c r="N5319" s="6"/>
      <c r="O5319" s="6"/>
      <c r="P5319" s="6"/>
      <c r="Q5319" s="6"/>
      <c r="R5319" s="6"/>
      <c r="S5319" s="6"/>
      <c r="T5319" s="6"/>
      <c r="U5319" s="6"/>
      <c r="V5319" s="6"/>
      <c r="W5319" s="6"/>
      <c r="X5319" s="6"/>
      <c r="Y5319" s="6"/>
      <c r="Z5319" s="6"/>
      <c r="AA5319" s="6"/>
      <c r="AB5319" s="6"/>
      <c r="AC5319" s="6"/>
      <c r="AD5319" s="6"/>
      <c r="AE5319" s="6"/>
      <c r="AF5319" s="6"/>
      <c r="AG5319" s="6"/>
      <c r="AH5319" s="6"/>
      <c r="AI5319" s="6"/>
      <c r="AJ5319" s="6"/>
      <c r="AK5319" s="6"/>
      <c r="AL5319" s="6"/>
      <c r="AM5319" s="6"/>
    </row>
    <row r="5320">
      <c r="A5320" s="6"/>
      <c r="B5320" s="6"/>
      <c r="C5320" s="6"/>
      <c r="D5320" s="6"/>
      <c r="E5320" s="6"/>
      <c r="F5320" s="6"/>
      <c r="G5320" s="6"/>
      <c r="H5320" s="6"/>
      <c r="I5320" s="6"/>
      <c r="J5320" s="6"/>
      <c r="K5320" s="6"/>
      <c r="L5320" s="6"/>
      <c r="M5320" s="6"/>
      <c r="N5320" s="6"/>
      <c r="O5320" s="6"/>
      <c r="P5320" s="6"/>
      <c r="Q5320" s="6"/>
      <c r="R5320" s="6"/>
      <c r="S5320" s="6"/>
      <c r="T5320" s="6"/>
      <c r="U5320" s="6"/>
      <c r="V5320" s="6"/>
      <c r="W5320" s="6"/>
      <c r="X5320" s="6"/>
      <c r="Y5320" s="6"/>
      <c r="Z5320" s="6"/>
      <c r="AA5320" s="6"/>
      <c r="AB5320" s="6"/>
      <c r="AC5320" s="6"/>
      <c r="AD5320" s="6"/>
      <c r="AE5320" s="6"/>
      <c r="AF5320" s="6"/>
      <c r="AG5320" s="6"/>
      <c r="AH5320" s="6"/>
      <c r="AI5320" s="6"/>
      <c r="AJ5320" s="6"/>
      <c r="AK5320" s="6"/>
      <c r="AL5320" s="6"/>
      <c r="AM5320" s="6"/>
    </row>
    <row r="5321">
      <c r="A5321" s="6"/>
      <c r="B5321" s="6"/>
      <c r="C5321" s="6"/>
      <c r="D5321" s="6"/>
      <c r="E5321" s="6"/>
      <c r="F5321" s="6"/>
      <c r="G5321" s="6"/>
      <c r="H5321" s="6"/>
      <c r="I5321" s="6"/>
      <c r="J5321" s="6"/>
      <c r="K5321" s="6"/>
      <c r="L5321" s="6"/>
      <c r="M5321" s="6"/>
      <c r="N5321" s="6"/>
      <c r="O5321" s="6"/>
      <c r="P5321" s="6"/>
      <c r="Q5321" s="6"/>
      <c r="R5321" s="6"/>
      <c r="S5321" s="6"/>
      <c r="T5321" s="6"/>
      <c r="U5321" s="6"/>
      <c r="V5321" s="6"/>
      <c r="W5321" s="6"/>
      <c r="X5321" s="6"/>
      <c r="Y5321" s="6"/>
      <c r="Z5321" s="6"/>
      <c r="AA5321" s="6"/>
      <c r="AB5321" s="6"/>
      <c r="AC5321" s="6"/>
      <c r="AD5321" s="6"/>
      <c r="AE5321" s="6"/>
      <c r="AF5321" s="6"/>
      <c r="AG5321" s="6"/>
      <c r="AH5321" s="6"/>
      <c r="AI5321" s="6"/>
      <c r="AJ5321" s="6"/>
      <c r="AK5321" s="6"/>
      <c r="AL5321" s="6"/>
      <c r="AM5321" s="6"/>
    </row>
    <row r="5322">
      <c r="A5322" s="6"/>
      <c r="B5322" s="6"/>
      <c r="C5322" s="6"/>
      <c r="D5322" s="6"/>
      <c r="E5322" s="6"/>
      <c r="F5322" s="6"/>
      <c r="G5322" s="6"/>
      <c r="H5322" s="6"/>
      <c r="I5322" s="6"/>
      <c r="J5322" s="6"/>
      <c r="K5322" s="6"/>
      <c r="L5322" s="6"/>
      <c r="M5322" s="6"/>
      <c r="N5322" s="6"/>
      <c r="O5322" s="6"/>
      <c r="P5322" s="6"/>
      <c r="Q5322" s="6"/>
      <c r="R5322" s="6"/>
      <c r="S5322" s="6"/>
      <c r="T5322" s="6"/>
      <c r="U5322" s="6"/>
      <c r="V5322" s="6"/>
      <c r="W5322" s="6"/>
      <c r="X5322" s="6"/>
      <c r="Y5322" s="6"/>
      <c r="Z5322" s="6"/>
      <c r="AA5322" s="6"/>
      <c r="AB5322" s="6"/>
      <c r="AC5322" s="6"/>
      <c r="AD5322" s="6"/>
      <c r="AE5322" s="6"/>
      <c r="AF5322" s="6"/>
      <c r="AG5322" s="6"/>
      <c r="AH5322" s="6"/>
      <c r="AI5322" s="6"/>
      <c r="AJ5322" s="6"/>
      <c r="AK5322" s="6"/>
      <c r="AL5322" s="6"/>
      <c r="AM5322" s="6"/>
    </row>
    <row r="5323">
      <c r="A5323" s="6"/>
      <c r="B5323" s="6"/>
      <c r="C5323" s="6"/>
      <c r="D5323" s="6"/>
      <c r="E5323" s="6"/>
      <c r="F5323" s="6"/>
      <c r="G5323" s="6"/>
      <c r="H5323" s="6"/>
      <c r="I5323" s="6"/>
      <c r="J5323" s="6"/>
      <c r="K5323" s="6"/>
      <c r="L5323" s="6"/>
      <c r="M5323" s="6"/>
      <c r="N5323" s="6"/>
      <c r="O5323" s="6"/>
      <c r="P5323" s="6"/>
      <c r="Q5323" s="6"/>
      <c r="R5323" s="6"/>
      <c r="S5323" s="6"/>
      <c r="T5323" s="6"/>
      <c r="U5323" s="6"/>
      <c r="V5323" s="6"/>
      <c r="W5323" s="6"/>
      <c r="X5323" s="6"/>
      <c r="Y5323" s="6"/>
      <c r="Z5323" s="6"/>
      <c r="AA5323" s="6"/>
      <c r="AB5323" s="6"/>
      <c r="AC5323" s="6"/>
      <c r="AD5323" s="6"/>
      <c r="AE5323" s="6"/>
      <c r="AF5323" s="6"/>
      <c r="AG5323" s="6"/>
      <c r="AH5323" s="6"/>
      <c r="AI5323" s="6"/>
      <c r="AJ5323" s="6"/>
      <c r="AK5323" s="6"/>
      <c r="AL5323" s="6"/>
      <c r="AM5323" s="6"/>
    </row>
    <row r="5324">
      <c r="A5324" s="6"/>
      <c r="B5324" s="6"/>
      <c r="C5324" s="6"/>
      <c r="D5324" s="6"/>
      <c r="E5324" s="6"/>
      <c r="F5324" s="6"/>
      <c r="G5324" s="6"/>
      <c r="H5324" s="6"/>
      <c r="I5324" s="6"/>
      <c r="J5324" s="6"/>
      <c r="K5324" s="6"/>
      <c r="L5324" s="6"/>
      <c r="M5324" s="6"/>
      <c r="N5324" s="6"/>
      <c r="O5324" s="6"/>
      <c r="P5324" s="6"/>
      <c r="Q5324" s="6"/>
      <c r="R5324" s="6"/>
      <c r="S5324" s="6"/>
      <c r="T5324" s="6"/>
      <c r="U5324" s="6"/>
      <c r="V5324" s="6"/>
      <c r="W5324" s="6"/>
      <c r="X5324" s="6"/>
      <c r="Y5324" s="6"/>
      <c r="Z5324" s="6"/>
      <c r="AA5324" s="6"/>
      <c r="AB5324" s="6"/>
      <c r="AC5324" s="6"/>
      <c r="AD5324" s="6"/>
      <c r="AE5324" s="6"/>
      <c r="AF5324" s="6"/>
      <c r="AG5324" s="6"/>
      <c r="AH5324" s="6"/>
      <c r="AI5324" s="6"/>
      <c r="AJ5324" s="6"/>
      <c r="AK5324" s="6"/>
      <c r="AL5324" s="6"/>
      <c r="AM5324" s="6"/>
    </row>
    <row r="5325">
      <c r="A5325" s="6"/>
      <c r="B5325" s="6"/>
      <c r="C5325" s="6"/>
      <c r="D5325" s="6"/>
      <c r="E5325" s="6"/>
      <c r="F5325" s="6"/>
      <c r="G5325" s="6"/>
      <c r="H5325" s="6"/>
      <c r="I5325" s="6"/>
      <c r="J5325" s="6"/>
      <c r="K5325" s="6"/>
      <c r="L5325" s="6"/>
      <c r="M5325" s="6"/>
      <c r="N5325" s="6"/>
      <c r="O5325" s="6"/>
      <c r="P5325" s="6"/>
      <c r="Q5325" s="6"/>
      <c r="R5325" s="6"/>
      <c r="S5325" s="6"/>
      <c r="T5325" s="6"/>
      <c r="U5325" s="6"/>
      <c r="V5325" s="6"/>
      <c r="W5325" s="6"/>
      <c r="X5325" s="6"/>
      <c r="Y5325" s="6"/>
      <c r="Z5325" s="6"/>
      <c r="AA5325" s="6"/>
      <c r="AB5325" s="6"/>
      <c r="AC5325" s="6"/>
      <c r="AD5325" s="6"/>
      <c r="AE5325" s="6"/>
      <c r="AF5325" s="6"/>
      <c r="AG5325" s="6"/>
      <c r="AH5325" s="6"/>
      <c r="AI5325" s="6"/>
      <c r="AJ5325" s="6"/>
      <c r="AK5325" s="6"/>
      <c r="AL5325" s="6"/>
      <c r="AM5325" s="6"/>
    </row>
    <row r="5326">
      <c r="A5326" s="6"/>
      <c r="B5326" s="6"/>
      <c r="C5326" s="6"/>
      <c r="D5326" s="6"/>
      <c r="E5326" s="6"/>
      <c r="F5326" s="6"/>
      <c r="G5326" s="6"/>
      <c r="H5326" s="6"/>
      <c r="I5326" s="6"/>
      <c r="J5326" s="6"/>
      <c r="K5326" s="6"/>
      <c r="L5326" s="6"/>
      <c r="M5326" s="6"/>
      <c r="N5326" s="6"/>
      <c r="O5326" s="6"/>
      <c r="P5326" s="6"/>
      <c r="Q5326" s="6"/>
      <c r="R5326" s="6"/>
      <c r="S5326" s="6"/>
      <c r="T5326" s="6"/>
      <c r="U5326" s="6"/>
      <c r="V5326" s="6"/>
      <c r="W5326" s="6"/>
      <c r="X5326" s="6"/>
      <c r="Y5326" s="6"/>
      <c r="Z5326" s="6"/>
      <c r="AA5326" s="6"/>
      <c r="AB5326" s="6"/>
      <c r="AC5326" s="6"/>
      <c r="AD5326" s="6"/>
      <c r="AE5326" s="6"/>
      <c r="AF5326" s="6"/>
      <c r="AG5326" s="6"/>
      <c r="AH5326" s="6"/>
      <c r="AI5326" s="6"/>
      <c r="AJ5326" s="6"/>
      <c r="AK5326" s="6"/>
      <c r="AL5326" s="6"/>
      <c r="AM5326" s="6"/>
    </row>
    <row r="5327">
      <c r="A5327" s="6"/>
      <c r="B5327" s="6"/>
      <c r="C5327" s="6"/>
      <c r="D5327" s="6"/>
      <c r="E5327" s="6"/>
      <c r="F5327" s="6"/>
      <c r="G5327" s="6"/>
      <c r="H5327" s="6"/>
      <c r="I5327" s="6"/>
      <c r="J5327" s="6"/>
      <c r="K5327" s="6"/>
      <c r="L5327" s="6"/>
      <c r="M5327" s="6"/>
      <c r="N5327" s="6"/>
      <c r="O5327" s="6"/>
      <c r="P5327" s="6"/>
      <c r="Q5327" s="6"/>
      <c r="R5327" s="6"/>
      <c r="S5327" s="6"/>
      <c r="T5327" s="6"/>
      <c r="U5327" s="6"/>
      <c r="V5327" s="6"/>
      <c r="W5327" s="6"/>
      <c r="X5327" s="6"/>
      <c r="Y5327" s="6"/>
      <c r="Z5327" s="6"/>
      <c r="AA5327" s="6"/>
      <c r="AB5327" s="6"/>
      <c r="AC5327" s="6"/>
      <c r="AD5327" s="6"/>
      <c r="AE5327" s="6"/>
      <c r="AF5327" s="6"/>
      <c r="AG5327" s="6"/>
      <c r="AH5327" s="6"/>
      <c r="AI5327" s="6"/>
      <c r="AJ5327" s="6"/>
      <c r="AK5327" s="6"/>
      <c r="AL5327" s="6"/>
      <c r="AM5327" s="6"/>
    </row>
    <row r="5328">
      <c r="A5328" s="6"/>
      <c r="B5328" s="6"/>
      <c r="C5328" s="6"/>
      <c r="D5328" s="6"/>
      <c r="E5328" s="6"/>
      <c r="F5328" s="6"/>
      <c r="G5328" s="6"/>
      <c r="H5328" s="6"/>
      <c r="I5328" s="6"/>
      <c r="J5328" s="6"/>
      <c r="K5328" s="6"/>
      <c r="L5328" s="6"/>
      <c r="M5328" s="6"/>
      <c r="N5328" s="6"/>
      <c r="O5328" s="6"/>
      <c r="P5328" s="6"/>
      <c r="Q5328" s="6"/>
      <c r="R5328" s="6"/>
      <c r="S5328" s="6"/>
      <c r="T5328" s="6"/>
      <c r="U5328" s="6"/>
      <c r="V5328" s="6"/>
      <c r="W5328" s="6"/>
      <c r="X5328" s="6"/>
      <c r="Y5328" s="6"/>
      <c r="Z5328" s="6"/>
      <c r="AA5328" s="6"/>
      <c r="AB5328" s="6"/>
      <c r="AC5328" s="6"/>
      <c r="AD5328" s="6"/>
      <c r="AE5328" s="6"/>
      <c r="AF5328" s="6"/>
      <c r="AG5328" s="6"/>
      <c r="AH5328" s="6"/>
      <c r="AI5328" s="6"/>
      <c r="AJ5328" s="6"/>
      <c r="AK5328" s="6"/>
      <c r="AL5328" s="6"/>
      <c r="AM5328" s="6"/>
    </row>
    <row r="5329">
      <c r="A5329" s="6"/>
      <c r="B5329" s="6"/>
      <c r="C5329" s="6"/>
      <c r="D5329" s="6"/>
      <c r="E5329" s="6"/>
      <c r="F5329" s="6"/>
      <c r="G5329" s="6"/>
      <c r="H5329" s="6"/>
      <c r="I5329" s="6"/>
      <c r="J5329" s="6"/>
      <c r="K5329" s="6"/>
      <c r="L5329" s="6"/>
      <c r="M5329" s="6"/>
      <c r="N5329" s="6"/>
      <c r="O5329" s="6"/>
      <c r="P5329" s="6"/>
      <c r="Q5329" s="6"/>
      <c r="R5329" s="6"/>
      <c r="S5329" s="6"/>
      <c r="T5329" s="6"/>
      <c r="U5329" s="6"/>
      <c r="V5329" s="6"/>
      <c r="W5329" s="6"/>
      <c r="X5329" s="6"/>
      <c r="Y5329" s="6"/>
      <c r="Z5329" s="6"/>
      <c r="AA5329" s="6"/>
      <c r="AB5329" s="6"/>
      <c r="AC5329" s="6"/>
      <c r="AD5329" s="6"/>
      <c r="AE5329" s="6"/>
      <c r="AF5329" s="6"/>
      <c r="AG5329" s="6"/>
      <c r="AH5329" s="6"/>
      <c r="AI5329" s="6"/>
      <c r="AJ5329" s="6"/>
      <c r="AK5329" s="6"/>
      <c r="AL5329" s="6"/>
      <c r="AM5329" s="6"/>
    </row>
    <row r="5330">
      <c r="A5330" s="6"/>
      <c r="B5330" s="6"/>
      <c r="C5330" s="6"/>
      <c r="D5330" s="6"/>
      <c r="E5330" s="6"/>
      <c r="F5330" s="6"/>
      <c r="G5330" s="6"/>
      <c r="H5330" s="6"/>
      <c r="I5330" s="6"/>
      <c r="J5330" s="6"/>
      <c r="K5330" s="6"/>
      <c r="L5330" s="6"/>
      <c r="M5330" s="6"/>
      <c r="N5330" s="6"/>
      <c r="O5330" s="6"/>
      <c r="P5330" s="6"/>
      <c r="Q5330" s="6"/>
      <c r="R5330" s="6"/>
      <c r="S5330" s="6"/>
      <c r="T5330" s="6"/>
      <c r="U5330" s="6"/>
      <c r="V5330" s="6"/>
      <c r="W5330" s="6"/>
      <c r="X5330" s="6"/>
      <c r="Y5330" s="6"/>
      <c r="Z5330" s="6"/>
      <c r="AA5330" s="6"/>
      <c r="AB5330" s="6"/>
      <c r="AC5330" s="6"/>
      <c r="AD5330" s="6"/>
      <c r="AE5330" s="6"/>
      <c r="AF5330" s="6"/>
      <c r="AG5330" s="6"/>
      <c r="AH5330" s="6"/>
      <c r="AI5330" s="6"/>
      <c r="AJ5330" s="6"/>
      <c r="AK5330" s="6"/>
      <c r="AL5330" s="6"/>
      <c r="AM5330" s="6"/>
    </row>
    <row r="5331">
      <c r="A5331" s="6"/>
      <c r="B5331" s="6"/>
      <c r="C5331" s="6"/>
      <c r="D5331" s="6"/>
      <c r="E5331" s="6"/>
      <c r="F5331" s="6"/>
      <c r="G5331" s="6"/>
      <c r="H5331" s="6"/>
      <c r="I5331" s="6"/>
      <c r="J5331" s="6"/>
      <c r="K5331" s="6"/>
      <c r="L5331" s="6"/>
      <c r="M5331" s="6"/>
      <c r="N5331" s="6"/>
      <c r="O5331" s="6"/>
      <c r="P5331" s="6"/>
      <c r="Q5331" s="6"/>
      <c r="R5331" s="6"/>
      <c r="S5331" s="6"/>
      <c r="T5331" s="6"/>
      <c r="U5331" s="6"/>
      <c r="V5331" s="6"/>
      <c r="W5331" s="6"/>
      <c r="X5331" s="6"/>
      <c r="Y5331" s="6"/>
      <c r="Z5331" s="6"/>
      <c r="AA5331" s="6"/>
      <c r="AB5331" s="6"/>
      <c r="AC5331" s="6"/>
      <c r="AD5331" s="6"/>
      <c r="AE5331" s="6"/>
      <c r="AF5331" s="6"/>
      <c r="AG5331" s="6"/>
      <c r="AH5331" s="6"/>
      <c r="AI5331" s="6"/>
      <c r="AJ5331" s="6"/>
      <c r="AK5331" s="6"/>
      <c r="AL5331" s="6"/>
      <c r="AM5331" s="6"/>
    </row>
    <row r="5332">
      <c r="A5332" s="6"/>
      <c r="B5332" s="6"/>
      <c r="C5332" s="6"/>
      <c r="D5332" s="6"/>
      <c r="E5332" s="6"/>
      <c r="F5332" s="6"/>
      <c r="G5332" s="6"/>
      <c r="H5332" s="6"/>
      <c r="I5332" s="6"/>
      <c r="J5332" s="6"/>
      <c r="K5332" s="6"/>
      <c r="L5332" s="6"/>
      <c r="M5332" s="6"/>
      <c r="N5332" s="6"/>
      <c r="O5332" s="6"/>
      <c r="P5332" s="6"/>
      <c r="Q5332" s="6"/>
      <c r="R5332" s="6"/>
      <c r="S5332" s="6"/>
      <c r="T5332" s="6"/>
      <c r="U5332" s="6"/>
      <c r="V5332" s="6"/>
      <c r="W5332" s="6"/>
      <c r="X5332" s="6"/>
      <c r="Y5332" s="6"/>
      <c r="Z5332" s="6"/>
      <c r="AA5332" s="6"/>
      <c r="AB5332" s="6"/>
      <c r="AC5332" s="6"/>
      <c r="AD5332" s="6"/>
      <c r="AE5332" s="6"/>
      <c r="AF5332" s="6"/>
      <c r="AG5332" s="6"/>
      <c r="AH5332" s="6"/>
      <c r="AI5332" s="6"/>
      <c r="AJ5332" s="6"/>
      <c r="AK5332" s="6"/>
      <c r="AL5332" s="6"/>
      <c r="AM5332" s="6"/>
    </row>
    <row r="5333">
      <c r="A5333" s="6"/>
      <c r="B5333" s="6"/>
      <c r="C5333" s="6"/>
      <c r="D5333" s="6"/>
      <c r="E5333" s="6"/>
      <c r="F5333" s="6"/>
      <c r="G5333" s="6"/>
      <c r="H5333" s="6"/>
      <c r="I5333" s="6"/>
      <c r="J5333" s="6"/>
      <c r="K5333" s="6"/>
      <c r="L5333" s="6"/>
      <c r="M5333" s="6"/>
      <c r="N5333" s="6"/>
      <c r="O5333" s="6"/>
      <c r="P5333" s="6"/>
      <c r="Q5333" s="6"/>
      <c r="R5333" s="6"/>
      <c r="S5333" s="6"/>
      <c r="T5333" s="6"/>
      <c r="U5333" s="6"/>
      <c r="V5333" s="6"/>
      <c r="W5333" s="6"/>
      <c r="X5333" s="6"/>
      <c r="Y5333" s="6"/>
      <c r="Z5333" s="6"/>
      <c r="AA5333" s="6"/>
      <c r="AB5333" s="6"/>
      <c r="AC5333" s="6"/>
      <c r="AD5333" s="6"/>
      <c r="AE5333" s="6"/>
      <c r="AF5333" s="6"/>
      <c r="AG5333" s="6"/>
      <c r="AH5333" s="6"/>
      <c r="AI5333" s="6"/>
      <c r="AJ5333" s="6"/>
      <c r="AK5333" s="6"/>
      <c r="AL5333" s="6"/>
      <c r="AM5333" s="6"/>
    </row>
    <row r="5334">
      <c r="A5334" s="6"/>
      <c r="B5334" s="6"/>
      <c r="C5334" s="6"/>
      <c r="D5334" s="6"/>
      <c r="E5334" s="6"/>
      <c r="F5334" s="6"/>
      <c r="G5334" s="6"/>
      <c r="H5334" s="6"/>
      <c r="I5334" s="6"/>
      <c r="J5334" s="6"/>
      <c r="K5334" s="6"/>
      <c r="L5334" s="6"/>
      <c r="M5334" s="6"/>
      <c r="N5334" s="6"/>
      <c r="O5334" s="6"/>
      <c r="P5334" s="6"/>
      <c r="Q5334" s="6"/>
      <c r="R5334" s="6"/>
      <c r="S5334" s="6"/>
      <c r="T5334" s="6"/>
      <c r="U5334" s="6"/>
      <c r="V5334" s="6"/>
      <c r="W5334" s="6"/>
      <c r="X5334" s="6"/>
      <c r="Y5334" s="6"/>
      <c r="Z5334" s="6"/>
      <c r="AA5334" s="6"/>
      <c r="AB5334" s="6"/>
      <c r="AC5334" s="6"/>
      <c r="AD5334" s="6"/>
      <c r="AE5334" s="6"/>
      <c r="AF5334" s="6"/>
      <c r="AG5334" s="6"/>
      <c r="AH5334" s="6"/>
      <c r="AI5334" s="6"/>
      <c r="AJ5334" s="6"/>
      <c r="AK5334" s="6"/>
      <c r="AL5334" s="6"/>
      <c r="AM5334" s="6"/>
    </row>
    <row r="5335">
      <c r="A5335" s="6"/>
      <c r="B5335" s="6"/>
      <c r="C5335" s="6"/>
      <c r="D5335" s="6"/>
      <c r="E5335" s="6"/>
      <c r="F5335" s="6"/>
      <c r="G5335" s="6"/>
      <c r="H5335" s="6"/>
      <c r="I5335" s="6"/>
      <c r="J5335" s="6"/>
      <c r="K5335" s="6"/>
      <c r="L5335" s="6"/>
      <c r="M5335" s="6"/>
      <c r="N5335" s="6"/>
      <c r="O5335" s="6"/>
      <c r="P5335" s="6"/>
      <c r="Q5335" s="6"/>
      <c r="R5335" s="6"/>
      <c r="S5335" s="6"/>
      <c r="T5335" s="6"/>
      <c r="U5335" s="6"/>
      <c r="V5335" s="6"/>
      <c r="W5335" s="6"/>
      <c r="X5335" s="6"/>
      <c r="Y5335" s="6"/>
      <c r="Z5335" s="6"/>
      <c r="AA5335" s="6"/>
      <c r="AB5335" s="6"/>
      <c r="AC5335" s="6"/>
      <c r="AD5335" s="6"/>
      <c r="AE5335" s="6"/>
      <c r="AF5335" s="6"/>
      <c r="AG5335" s="6"/>
      <c r="AH5335" s="6"/>
      <c r="AI5335" s="6"/>
      <c r="AJ5335" s="6"/>
      <c r="AK5335" s="6"/>
      <c r="AL5335" s="6"/>
      <c r="AM5335" s="6"/>
    </row>
    <row r="5336">
      <c r="A5336" s="6"/>
      <c r="B5336" s="6"/>
      <c r="C5336" s="6"/>
      <c r="D5336" s="6"/>
      <c r="E5336" s="6"/>
      <c r="F5336" s="6"/>
      <c r="G5336" s="6"/>
      <c r="H5336" s="6"/>
      <c r="I5336" s="6"/>
      <c r="J5336" s="6"/>
      <c r="K5336" s="6"/>
      <c r="L5336" s="6"/>
      <c r="M5336" s="6"/>
      <c r="N5336" s="6"/>
      <c r="O5336" s="6"/>
      <c r="P5336" s="6"/>
      <c r="Q5336" s="6"/>
      <c r="R5336" s="6"/>
      <c r="S5336" s="6"/>
      <c r="T5336" s="6"/>
      <c r="U5336" s="6"/>
      <c r="V5336" s="6"/>
      <c r="W5336" s="6"/>
      <c r="X5336" s="6"/>
      <c r="Y5336" s="6"/>
      <c r="Z5336" s="6"/>
      <c r="AA5336" s="6"/>
      <c r="AB5336" s="6"/>
      <c r="AC5336" s="6"/>
      <c r="AD5336" s="6"/>
      <c r="AE5336" s="6"/>
      <c r="AF5336" s="6"/>
      <c r="AG5336" s="6"/>
      <c r="AH5336" s="6"/>
      <c r="AI5336" s="6"/>
      <c r="AJ5336" s="6"/>
      <c r="AK5336" s="6"/>
      <c r="AL5336" s="6"/>
      <c r="AM5336" s="6"/>
    </row>
    <row r="5337">
      <c r="A5337" s="6"/>
      <c r="B5337" s="6"/>
      <c r="C5337" s="6"/>
      <c r="D5337" s="6"/>
      <c r="E5337" s="6"/>
      <c r="F5337" s="6"/>
      <c r="G5337" s="6"/>
      <c r="H5337" s="6"/>
      <c r="I5337" s="6"/>
      <c r="J5337" s="6"/>
      <c r="K5337" s="6"/>
      <c r="L5337" s="6"/>
      <c r="M5337" s="6"/>
      <c r="N5337" s="6"/>
      <c r="O5337" s="6"/>
      <c r="P5337" s="6"/>
      <c r="Q5337" s="6"/>
      <c r="R5337" s="6"/>
      <c r="S5337" s="6"/>
      <c r="T5337" s="6"/>
      <c r="U5337" s="6"/>
      <c r="V5337" s="6"/>
      <c r="W5337" s="6"/>
      <c r="X5337" s="6"/>
      <c r="Y5337" s="6"/>
      <c r="Z5337" s="6"/>
      <c r="AA5337" s="6"/>
      <c r="AB5337" s="6"/>
      <c r="AC5337" s="6"/>
      <c r="AD5337" s="6"/>
      <c r="AE5337" s="6"/>
      <c r="AF5337" s="6"/>
      <c r="AG5337" s="6"/>
      <c r="AH5337" s="6"/>
      <c r="AI5337" s="6"/>
      <c r="AJ5337" s="6"/>
      <c r="AK5337" s="6"/>
      <c r="AL5337" s="6"/>
      <c r="AM5337" s="6"/>
    </row>
    <row r="5338">
      <c r="A5338" s="6"/>
      <c r="B5338" s="6"/>
      <c r="C5338" s="6"/>
      <c r="D5338" s="6"/>
      <c r="E5338" s="6"/>
      <c r="F5338" s="6"/>
      <c r="G5338" s="6"/>
      <c r="H5338" s="6"/>
      <c r="I5338" s="6"/>
      <c r="J5338" s="6"/>
      <c r="K5338" s="6"/>
      <c r="L5338" s="6"/>
      <c r="M5338" s="6"/>
      <c r="N5338" s="6"/>
      <c r="O5338" s="6"/>
      <c r="P5338" s="6"/>
      <c r="Q5338" s="6"/>
      <c r="R5338" s="6"/>
      <c r="S5338" s="6"/>
      <c r="T5338" s="6"/>
      <c r="U5338" s="6"/>
      <c r="V5338" s="6"/>
      <c r="W5338" s="6"/>
      <c r="X5338" s="6"/>
      <c r="Y5338" s="6"/>
      <c r="Z5338" s="6"/>
      <c r="AA5338" s="6"/>
      <c r="AB5338" s="6"/>
      <c r="AC5338" s="6"/>
      <c r="AD5338" s="6"/>
      <c r="AE5338" s="6"/>
      <c r="AF5338" s="6"/>
      <c r="AG5338" s="6"/>
      <c r="AH5338" s="6"/>
      <c r="AI5338" s="6"/>
      <c r="AJ5338" s="6"/>
      <c r="AK5338" s="6"/>
      <c r="AL5338" s="6"/>
      <c r="AM5338" s="6"/>
    </row>
    <row r="5339">
      <c r="A5339" s="6"/>
      <c r="B5339" s="6"/>
      <c r="C5339" s="6"/>
      <c r="D5339" s="6"/>
      <c r="E5339" s="6"/>
      <c r="F5339" s="6"/>
      <c r="G5339" s="6"/>
      <c r="H5339" s="6"/>
      <c r="I5339" s="6"/>
      <c r="J5339" s="6"/>
      <c r="K5339" s="6"/>
      <c r="L5339" s="6"/>
      <c r="M5339" s="6"/>
      <c r="N5339" s="6"/>
      <c r="O5339" s="6"/>
      <c r="P5339" s="6"/>
      <c r="Q5339" s="6"/>
      <c r="R5339" s="6"/>
      <c r="S5339" s="6"/>
      <c r="T5339" s="6"/>
      <c r="U5339" s="6"/>
      <c r="V5339" s="6"/>
      <c r="W5339" s="6"/>
      <c r="X5339" s="6"/>
      <c r="Y5339" s="6"/>
      <c r="Z5339" s="6"/>
      <c r="AA5339" s="6"/>
      <c r="AB5339" s="6"/>
      <c r="AC5339" s="6"/>
      <c r="AD5339" s="6"/>
      <c r="AE5339" s="6"/>
      <c r="AF5339" s="6"/>
      <c r="AG5339" s="6"/>
      <c r="AH5339" s="6"/>
      <c r="AI5339" s="6"/>
      <c r="AJ5339" s="6"/>
      <c r="AK5339" s="6"/>
      <c r="AL5339" s="6"/>
      <c r="AM5339" s="6"/>
    </row>
    <row r="5340">
      <c r="A5340" s="6"/>
      <c r="B5340" s="6"/>
      <c r="C5340" s="6"/>
      <c r="D5340" s="6"/>
      <c r="E5340" s="6"/>
      <c r="F5340" s="6"/>
      <c r="G5340" s="6"/>
      <c r="H5340" s="6"/>
      <c r="I5340" s="6"/>
      <c r="J5340" s="6"/>
      <c r="K5340" s="6"/>
      <c r="L5340" s="6"/>
      <c r="M5340" s="6"/>
      <c r="N5340" s="6"/>
      <c r="O5340" s="6"/>
      <c r="P5340" s="6"/>
      <c r="Q5340" s="6"/>
      <c r="R5340" s="6"/>
      <c r="S5340" s="6"/>
      <c r="T5340" s="6"/>
      <c r="U5340" s="6"/>
      <c r="V5340" s="6"/>
      <c r="W5340" s="6"/>
      <c r="X5340" s="6"/>
      <c r="Y5340" s="6"/>
      <c r="Z5340" s="6"/>
      <c r="AA5340" s="6"/>
      <c r="AB5340" s="6"/>
      <c r="AC5340" s="6"/>
      <c r="AD5340" s="6"/>
      <c r="AE5340" s="6"/>
      <c r="AF5340" s="6"/>
      <c r="AG5340" s="6"/>
      <c r="AH5340" s="6"/>
      <c r="AI5340" s="6"/>
      <c r="AJ5340" s="6"/>
      <c r="AK5340" s="6"/>
      <c r="AL5340" s="6"/>
      <c r="AM5340" s="6"/>
    </row>
    <row r="5341">
      <c r="A5341" s="6"/>
      <c r="B5341" s="6"/>
      <c r="C5341" s="6"/>
      <c r="D5341" s="6"/>
      <c r="E5341" s="6"/>
      <c r="F5341" s="6"/>
      <c r="G5341" s="6"/>
      <c r="H5341" s="6"/>
      <c r="I5341" s="6"/>
      <c r="J5341" s="6"/>
      <c r="K5341" s="6"/>
      <c r="L5341" s="6"/>
      <c r="M5341" s="6"/>
      <c r="N5341" s="6"/>
      <c r="O5341" s="6"/>
      <c r="P5341" s="6"/>
      <c r="Q5341" s="6"/>
      <c r="R5341" s="6"/>
      <c r="S5341" s="6"/>
      <c r="T5341" s="6"/>
      <c r="U5341" s="6"/>
      <c r="V5341" s="6"/>
      <c r="W5341" s="6"/>
      <c r="X5341" s="6"/>
      <c r="Y5341" s="6"/>
      <c r="Z5341" s="6"/>
      <c r="AA5341" s="6"/>
      <c r="AB5341" s="6"/>
      <c r="AC5341" s="6"/>
      <c r="AD5341" s="6"/>
      <c r="AE5341" s="6"/>
      <c r="AF5341" s="6"/>
      <c r="AG5341" s="6"/>
      <c r="AH5341" s="6"/>
      <c r="AI5341" s="6"/>
      <c r="AJ5341" s="6"/>
      <c r="AK5341" s="6"/>
      <c r="AL5341" s="6"/>
      <c r="AM5341" s="6"/>
    </row>
    <row r="5342">
      <c r="A5342" s="6"/>
      <c r="B5342" s="6"/>
      <c r="C5342" s="6"/>
      <c r="D5342" s="6"/>
      <c r="E5342" s="6"/>
      <c r="F5342" s="6"/>
      <c r="G5342" s="6"/>
      <c r="H5342" s="6"/>
      <c r="I5342" s="6"/>
      <c r="J5342" s="6"/>
      <c r="K5342" s="6"/>
      <c r="L5342" s="6"/>
      <c r="M5342" s="6"/>
      <c r="N5342" s="6"/>
      <c r="O5342" s="6"/>
      <c r="P5342" s="6"/>
      <c r="Q5342" s="6"/>
      <c r="R5342" s="6"/>
      <c r="S5342" s="6"/>
      <c r="T5342" s="6"/>
      <c r="U5342" s="6"/>
      <c r="V5342" s="6"/>
      <c r="W5342" s="6"/>
      <c r="X5342" s="6"/>
      <c r="Y5342" s="6"/>
      <c r="Z5342" s="6"/>
      <c r="AA5342" s="6"/>
      <c r="AB5342" s="6"/>
      <c r="AC5342" s="6"/>
      <c r="AD5342" s="6"/>
      <c r="AE5342" s="6"/>
      <c r="AF5342" s="6"/>
      <c r="AG5342" s="6"/>
      <c r="AH5342" s="6"/>
      <c r="AI5342" s="6"/>
      <c r="AJ5342" s="6"/>
      <c r="AK5342" s="6"/>
      <c r="AL5342" s="6"/>
      <c r="AM5342" s="6"/>
    </row>
    <row r="5343">
      <c r="A5343" s="6"/>
      <c r="B5343" s="6"/>
      <c r="C5343" s="6"/>
      <c r="D5343" s="6"/>
      <c r="E5343" s="6"/>
      <c r="F5343" s="6"/>
      <c r="G5343" s="6"/>
      <c r="H5343" s="6"/>
      <c r="I5343" s="6"/>
      <c r="J5343" s="6"/>
      <c r="K5343" s="6"/>
      <c r="L5343" s="6"/>
      <c r="M5343" s="6"/>
      <c r="N5343" s="6"/>
      <c r="O5343" s="6"/>
      <c r="P5343" s="6"/>
      <c r="Q5343" s="6"/>
      <c r="R5343" s="6"/>
      <c r="S5343" s="6"/>
      <c r="T5343" s="6"/>
      <c r="U5343" s="6"/>
      <c r="V5343" s="6"/>
      <c r="W5343" s="6"/>
      <c r="X5343" s="6"/>
      <c r="Y5343" s="6"/>
      <c r="Z5343" s="6"/>
      <c r="AA5343" s="6"/>
      <c r="AB5343" s="6"/>
      <c r="AC5343" s="6"/>
      <c r="AD5343" s="6"/>
      <c r="AE5343" s="6"/>
      <c r="AF5343" s="6"/>
      <c r="AG5343" s="6"/>
      <c r="AH5343" s="6"/>
      <c r="AI5343" s="6"/>
      <c r="AJ5343" s="6"/>
      <c r="AK5343" s="6"/>
      <c r="AL5343" s="6"/>
      <c r="AM5343" s="6"/>
    </row>
    <row r="5344">
      <c r="A5344" s="6"/>
      <c r="B5344" s="6"/>
      <c r="C5344" s="6"/>
      <c r="D5344" s="6"/>
      <c r="E5344" s="6"/>
      <c r="F5344" s="6"/>
      <c r="G5344" s="6"/>
      <c r="H5344" s="6"/>
      <c r="I5344" s="6"/>
      <c r="J5344" s="6"/>
      <c r="K5344" s="6"/>
      <c r="L5344" s="6"/>
      <c r="M5344" s="6"/>
      <c r="N5344" s="6"/>
      <c r="O5344" s="6"/>
      <c r="P5344" s="6"/>
      <c r="Q5344" s="6"/>
      <c r="R5344" s="6"/>
      <c r="S5344" s="6"/>
      <c r="T5344" s="6"/>
      <c r="U5344" s="6"/>
      <c r="V5344" s="6"/>
      <c r="W5344" s="6"/>
      <c r="X5344" s="6"/>
      <c r="Y5344" s="6"/>
      <c r="Z5344" s="6"/>
      <c r="AA5344" s="6"/>
      <c r="AB5344" s="6"/>
      <c r="AC5344" s="6"/>
      <c r="AD5344" s="6"/>
      <c r="AE5344" s="6"/>
      <c r="AF5344" s="6"/>
      <c r="AG5344" s="6"/>
      <c r="AH5344" s="6"/>
      <c r="AI5344" s="6"/>
      <c r="AJ5344" s="6"/>
      <c r="AK5344" s="6"/>
      <c r="AL5344" s="6"/>
      <c r="AM5344" s="6"/>
    </row>
    <row r="5345">
      <c r="A5345" s="6"/>
      <c r="B5345" s="6"/>
      <c r="C5345" s="6"/>
      <c r="D5345" s="6"/>
      <c r="E5345" s="6"/>
      <c r="F5345" s="6"/>
      <c r="G5345" s="6"/>
      <c r="H5345" s="6"/>
      <c r="I5345" s="6"/>
      <c r="J5345" s="6"/>
      <c r="K5345" s="6"/>
      <c r="L5345" s="6"/>
      <c r="M5345" s="6"/>
      <c r="N5345" s="6"/>
      <c r="O5345" s="6"/>
      <c r="P5345" s="6"/>
      <c r="Q5345" s="6"/>
      <c r="R5345" s="6"/>
      <c r="S5345" s="6"/>
      <c r="T5345" s="6"/>
      <c r="U5345" s="6"/>
      <c r="V5345" s="6"/>
      <c r="W5345" s="6"/>
      <c r="X5345" s="6"/>
      <c r="Y5345" s="6"/>
      <c r="Z5345" s="6"/>
      <c r="AA5345" s="6"/>
      <c r="AB5345" s="6"/>
      <c r="AC5345" s="6"/>
      <c r="AD5345" s="6"/>
      <c r="AE5345" s="6"/>
      <c r="AF5345" s="6"/>
      <c r="AG5345" s="6"/>
      <c r="AH5345" s="6"/>
      <c r="AI5345" s="6"/>
      <c r="AJ5345" s="6"/>
      <c r="AK5345" s="6"/>
      <c r="AL5345" s="6"/>
      <c r="AM5345" s="6"/>
    </row>
    <row r="5346">
      <c r="A5346" s="6"/>
      <c r="B5346" s="6"/>
      <c r="C5346" s="6"/>
      <c r="D5346" s="6"/>
      <c r="E5346" s="6"/>
      <c r="F5346" s="6"/>
      <c r="G5346" s="6"/>
      <c r="H5346" s="6"/>
      <c r="I5346" s="6"/>
      <c r="J5346" s="6"/>
      <c r="K5346" s="6"/>
      <c r="L5346" s="6"/>
      <c r="M5346" s="6"/>
      <c r="N5346" s="6"/>
      <c r="O5346" s="6"/>
      <c r="P5346" s="6"/>
      <c r="Q5346" s="6"/>
      <c r="R5346" s="6"/>
      <c r="S5346" s="6"/>
      <c r="T5346" s="6"/>
      <c r="U5346" s="6"/>
      <c r="V5346" s="6"/>
      <c r="W5346" s="6"/>
      <c r="X5346" s="6"/>
      <c r="Y5346" s="6"/>
      <c r="Z5346" s="6"/>
      <c r="AA5346" s="6"/>
      <c r="AB5346" s="6"/>
      <c r="AC5346" s="6"/>
      <c r="AD5346" s="6"/>
      <c r="AE5346" s="6"/>
      <c r="AF5346" s="6"/>
      <c r="AG5346" s="6"/>
      <c r="AH5346" s="6"/>
      <c r="AI5346" s="6"/>
      <c r="AJ5346" s="6"/>
      <c r="AK5346" s="6"/>
      <c r="AL5346" s="6"/>
      <c r="AM5346" s="6"/>
    </row>
    <row r="5347">
      <c r="A5347" s="6"/>
      <c r="B5347" s="6"/>
      <c r="C5347" s="6"/>
      <c r="D5347" s="6"/>
      <c r="E5347" s="6"/>
      <c r="F5347" s="6"/>
      <c r="G5347" s="6"/>
      <c r="H5347" s="6"/>
      <c r="I5347" s="6"/>
      <c r="J5347" s="6"/>
      <c r="K5347" s="6"/>
      <c r="L5347" s="6"/>
      <c r="M5347" s="6"/>
      <c r="N5347" s="6"/>
      <c r="O5347" s="6"/>
      <c r="P5347" s="6"/>
      <c r="Q5347" s="6"/>
      <c r="R5347" s="6"/>
      <c r="S5347" s="6"/>
      <c r="T5347" s="6"/>
      <c r="U5347" s="6"/>
      <c r="V5347" s="6"/>
      <c r="W5347" s="6"/>
      <c r="X5347" s="6"/>
      <c r="Y5347" s="6"/>
      <c r="Z5347" s="6"/>
      <c r="AA5347" s="6"/>
      <c r="AB5347" s="6"/>
      <c r="AC5347" s="6"/>
      <c r="AD5347" s="6"/>
      <c r="AE5347" s="6"/>
      <c r="AF5347" s="6"/>
      <c r="AG5347" s="6"/>
      <c r="AH5347" s="6"/>
      <c r="AI5347" s="6"/>
      <c r="AJ5347" s="6"/>
      <c r="AK5347" s="6"/>
      <c r="AL5347" s="6"/>
      <c r="AM5347" s="6"/>
    </row>
    <row r="5348">
      <c r="A5348" s="6"/>
      <c r="B5348" s="6"/>
      <c r="C5348" s="6"/>
      <c r="D5348" s="6"/>
      <c r="E5348" s="6"/>
      <c r="F5348" s="6"/>
      <c r="G5348" s="6"/>
      <c r="H5348" s="6"/>
      <c r="I5348" s="6"/>
      <c r="J5348" s="6"/>
      <c r="K5348" s="6"/>
      <c r="L5348" s="6"/>
      <c r="M5348" s="6"/>
      <c r="N5348" s="6"/>
      <c r="O5348" s="6"/>
      <c r="P5348" s="6"/>
      <c r="Q5348" s="6"/>
      <c r="R5348" s="6"/>
      <c r="S5348" s="6"/>
      <c r="T5348" s="6"/>
      <c r="U5348" s="6"/>
      <c r="V5348" s="6"/>
      <c r="W5348" s="6"/>
      <c r="X5348" s="6"/>
      <c r="Y5348" s="6"/>
      <c r="Z5348" s="6"/>
      <c r="AA5348" s="6"/>
      <c r="AB5348" s="6"/>
      <c r="AC5348" s="6"/>
      <c r="AD5348" s="6"/>
      <c r="AE5348" s="6"/>
      <c r="AF5348" s="6"/>
      <c r="AG5348" s="6"/>
      <c r="AH5348" s="6"/>
      <c r="AI5348" s="6"/>
      <c r="AJ5348" s="6"/>
      <c r="AK5348" s="6"/>
      <c r="AL5348" s="6"/>
      <c r="AM5348" s="6"/>
    </row>
    <row r="5349">
      <c r="A5349" s="6"/>
      <c r="B5349" s="6"/>
      <c r="C5349" s="6"/>
      <c r="D5349" s="6"/>
      <c r="E5349" s="6"/>
      <c r="F5349" s="6"/>
      <c r="G5349" s="6"/>
      <c r="H5349" s="6"/>
      <c r="I5349" s="6"/>
      <c r="J5349" s="6"/>
      <c r="K5349" s="6"/>
      <c r="L5349" s="6"/>
      <c r="M5349" s="6"/>
      <c r="N5349" s="6"/>
      <c r="O5349" s="6"/>
      <c r="P5349" s="6"/>
      <c r="Q5349" s="6"/>
      <c r="R5349" s="6"/>
      <c r="S5349" s="6"/>
      <c r="T5349" s="6"/>
      <c r="U5349" s="6"/>
      <c r="V5349" s="6"/>
      <c r="W5349" s="6"/>
      <c r="X5349" s="6"/>
      <c r="Y5349" s="6"/>
      <c r="Z5349" s="6"/>
      <c r="AA5349" s="6"/>
      <c r="AB5349" s="6"/>
      <c r="AC5349" s="6"/>
      <c r="AD5349" s="6"/>
      <c r="AE5349" s="6"/>
      <c r="AF5349" s="6"/>
      <c r="AG5349" s="6"/>
      <c r="AH5349" s="6"/>
      <c r="AI5349" s="6"/>
      <c r="AJ5349" s="6"/>
      <c r="AK5349" s="6"/>
      <c r="AL5349" s="6"/>
      <c r="AM5349" s="6"/>
    </row>
    <row r="5350">
      <c r="A5350" s="6"/>
      <c r="B5350" s="6"/>
      <c r="C5350" s="6"/>
      <c r="D5350" s="6"/>
      <c r="E5350" s="6"/>
      <c r="F5350" s="6"/>
      <c r="G5350" s="6"/>
      <c r="H5350" s="6"/>
      <c r="I5350" s="6"/>
      <c r="J5350" s="6"/>
      <c r="K5350" s="6"/>
      <c r="L5350" s="6"/>
      <c r="M5350" s="6"/>
      <c r="N5350" s="6"/>
      <c r="O5350" s="6"/>
      <c r="P5350" s="6"/>
      <c r="Q5350" s="6"/>
      <c r="R5350" s="6"/>
      <c r="S5350" s="6"/>
      <c r="T5350" s="6"/>
      <c r="U5350" s="6"/>
      <c r="V5350" s="6"/>
      <c r="W5350" s="6"/>
      <c r="X5350" s="6"/>
      <c r="Y5350" s="6"/>
      <c r="Z5350" s="6"/>
      <c r="AA5350" s="6"/>
      <c r="AB5350" s="6"/>
      <c r="AC5350" s="6"/>
      <c r="AD5350" s="6"/>
      <c r="AE5350" s="6"/>
      <c r="AF5350" s="6"/>
      <c r="AG5350" s="6"/>
      <c r="AH5350" s="6"/>
      <c r="AI5350" s="6"/>
      <c r="AJ5350" s="6"/>
      <c r="AK5350" s="6"/>
      <c r="AL5350" s="6"/>
      <c r="AM5350" s="6"/>
    </row>
    <row r="5351">
      <c r="A5351" s="6"/>
      <c r="B5351" s="6"/>
      <c r="C5351" s="6"/>
      <c r="D5351" s="6"/>
      <c r="E5351" s="6"/>
      <c r="F5351" s="6"/>
      <c r="G5351" s="6"/>
      <c r="H5351" s="6"/>
      <c r="I5351" s="6"/>
      <c r="J5351" s="6"/>
      <c r="K5351" s="6"/>
      <c r="L5351" s="6"/>
      <c r="M5351" s="6"/>
      <c r="N5351" s="6"/>
      <c r="O5351" s="6"/>
      <c r="P5351" s="6"/>
      <c r="Q5351" s="6"/>
      <c r="R5351" s="6"/>
      <c r="S5351" s="6"/>
      <c r="T5351" s="6"/>
      <c r="U5351" s="6"/>
      <c r="V5351" s="6"/>
      <c r="W5351" s="6"/>
      <c r="X5351" s="6"/>
      <c r="Y5351" s="6"/>
      <c r="Z5351" s="6"/>
      <c r="AA5351" s="6"/>
      <c r="AB5351" s="6"/>
      <c r="AC5351" s="6"/>
      <c r="AD5351" s="6"/>
      <c r="AE5351" s="6"/>
      <c r="AF5351" s="6"/>
      <c r="AG5351" s="6"/>
      <c r="AH5351" s="6"/>
      <c r="AI5351" s="6"/>
      <c r="AJ5351" s="6"/>
      <c r="AK5351" s="6"/>
      <c r="AL5351" s="6"/>
      <c r="AM5351" s="6"/>
    </row>
    <row r="5352">
      <c r="A5352" s="6"/>
      <c r="B5352" s="6"/>
      <c r="C5352" s="6"/>
      <c r="D5352" s="6"/>
      <c r="E5352" s="6"/>
      <c r="F5352" s="6"/>
      <c r="G5352" s="6"/>
      <c r="H5352" s="6"/>
      <c r="I5352" s="6"/>
      <c r="J5352" s="6"/>
      <c r="K5352" s="6"/>
      <c r="L5352" s="6"/>
      <c r="M5352" s="6"/>
      <c r="N5352" s="6"/>
      <c r="O5352" s="6"/>
      <c r="P5352" s="6"/>
      <c r="Q5352" s="6"/>
      <c r="R5352" s="6"/>
      <c r="S5352" s="6"/>
      <c r="T5352" s="6"/>
      <c r="U5352" s="6"/>
      <c r="V5352" s="6"/>
      <c r="W5352" s="6"/>
      <c r="X5352" s="6"/>
      <c r="Y5352" s="6"/>
      <c r="Z5352" s="6"/>
      <c r="AA5352" s="6"/>
      <c r="AB5352" s="6"/>
      <c r="AC5352" s="6"/>
      <c r="AD5352" s="6"/>
      <c r="AE5352" s="6"/>
      <c r="AF5352" s="6"/>
      <c r="AG5352" s="6"/>
      <c r="AH5352" s="6"/>
      <c r="AI5352" s="6"/>
      <c r="AJ5352" s="6"/>
      <c r="AK5352" s="6"/>
      <c r="AL5352" s="6"/>
      <c r="AM5352" s="6"/>
    </row>
    <row r="5353">
      <c r="A5353" s="6"/>
      <c r="B5353" s="6"/>
      <c r="C5353" s="6"/>
      <c r="D5353" s="6"/>
      <c r="E5353" s="6"/>
      <c r="F5353" s="6"/>
      <c r="G5353" s="6"/>
      <c r="H5353" s="6"/>
      <c r="I5353" s="6"/>
      <c r="J5353" s="6"/>
      <c r="K5353" s="6"/>
      <c r="L5353" s="6"/>
      <c r="M5353" s="6"/>
      <c r="N5353" s="6"/>
      <c r="O5353" s="6"/>
      <c r="P5353" s="6"/>
      <c r="Q5353" s="6"/>
      <c r="R5353" s="6"/>
      <c r="S5353" s="6"/>
      <c r="T5353" s="6"/>
      <c r="U5353" s="6"/>
      <c r="V5353" s="6"/>
      <c r="W5353" s="6"/>
      <c r="X5353" s="6"/>
      <c r="Y5353" s="6"/>
      <c r="Z5353" s="6"/>
      <c r="AA5353" s="6"/>
      <c r="AB5353" s="6"/>
      <c r="AC5353" s="6"/>
      <c r="AD5353" s="6"/>
      <c r="AE5353" s="6"/>
      <c r="AF5353" s="6"/>
      <c r="AG5353" s="6"/>
      <c r="AH5353" s="6"/>
      <c r="AI5353" s="6"/>
      <c r="AJ5353" s="6"/>
      <c r="AK5353" s="6"/>
      <c r="AL5353" s="6"/>
      <c r="AM5353" s="6"/>
    </row>
    <row r="5354">
      <c r="A5354" s="6"/>
      <c r="B5354" s="6"/>
      <c r="C5354" s="6"/>
      <c r="D5354" s="6"/>
      <c r="E5354" s="6"/>
      <c r="F5354" s="6"/>
      <c r="G5354" s="6"/>
      <c r="H5354" s="6"/>
      <c r="I5354" s="6"/>
      <c r="J5354" s="6"/>
      <c r="K5354" s="6"/>
      <c r="L5354" s="6"/>
      <c r="M5354" s="6"/>
      <c r="N5354" s="6"/>
      <c r="O5354" s="6"/>
      <c r="P5354" s="6"/>
      <c r="Q5354" s="6"/>
      <c r="R5354" s="6"/>
      <c r="S5354" s="6"/>
      <c r="T5354" s="6"/>
      <c r="U5354" s="6"/>
      <c r="V5354" s="6"/>
      <c r="W5354" s="6"/>
      <c r="X5354" s="6"/>
      <c r="Y5354" s="6"/>
      <c r="Z5354" s="6"/>
      <c r="AA5354" s="6"/>
      <c r="AB5354" s="6"/>
      <c r="AC5354" s="6"/>
      <c r="AD5354" s="6"/>
      <c r="AE5354" s="6"/>
      <c r="AF5354" s="6"/>
      <c r="AG5354" s="6"/>
      <c r="AH5354" s="6"/>
      <c r="AI5354" s="6"/>
      <c r="AJ5354" s="6"/>
      <c r="AK5354" s="6"/>
      <c r="AL5354" s="6"/>
      <c r="AM5354" s="6"/>
    </row>
    <row r="5355">
      <c r="A5355" s="6"/>
      <c r="B5355" s="6"/>
      <c r="C5355" s="6"/>
      <c r="D5355" s="6"/>
      <c r="E5355" s="6"/>
      <c r="F5355" s="6"/>
      <c r="G5355" s="6"/>
      <c r="H5355" s="6"/>
      <c r="I5355" s="6"/>
      <c r="J5355" s="6"/>
      <c r="K5355" s="6"/>
      <c r="L5355" s="6"/>
      <c r="M5355" s="6"/>
      <c r="N5355" s="6"/>
      <c r="O5355" s="6"/>
      <c r="P5355" s="6"/>
      <c r="Q5355" s="6"/>
      <c r="R5355" s="6"/>
      <c r="S5355" s="6"/>
      <c r="T5355" s="6"/>
      <c r="U5355" s="6"/>
      <c r="V5355" s="6"/>
      <c r="W5355" s="6"/>
      <c r="X5355" s="6"/>
      <c r="Y5355" s="6"/>
      <c r="Z5355" s="6"/>
      <c r="AA5355" s="6"/>
      <c r="AB5355" s="6"/>
      <c r="AC5355" s="6"/>
      <c r="AD5355" s="6"/>
      <c r="AE5355" s="6"/>
      <c r="AF5355" s="6"/>
      <c r="AG5355" s="6"/>
      <c r="AH5355" s="6"/>
      <c r="AI5355" s="6"/>
      <c r="AJ5355" s="6"/>
      <c r="AK5355" s="6"/>
      <c r="AL5355" s="6"/>
      <c r="AM5355" s="6"/>
    </row>
    <row r="5356">
      <c r="A5356" s="6"/>
      <c r="B5356" s="6"/>
      <c r="C5356" s="6"/>
      <c r="D5356" s="6"/>
      <c r="E5356" s="6"/>
      <c r="F5356" s="6"/>
      <c r="G5356" s="6"/>
      <c r="H5356" s="6"/>
      <c r="I5356" s="6"/>
      <c r="J5356" s="6"/>
      <c r="K5356" s="6"/>
      <c r="L5356" s="6"/>
      <c r="M5356" s="6"/>
      <c r="N5356" s="6"/>
      <c r="O5356" s="6"/>
      <c r="P5356" s="6"/>
      <c r="Q5356" s="6"/>
      <c r="R5356" s="6"/>
      <c r="S5356" s="6"/>
      <c r="T5356" s="6"/>
      <c r="U5356" s="6"/>
      <c r="V5356" s="6"/>
      <c r="W5356" s="6"/>
      <c r="X5356" s="6"/>
      <c r="Y5356" s="6"/>
      <c r="Z5356" s="6"/>
      <c r="AA5356" s="6"/>
      <c r="AB5356" s="6"/>
      <c r="AC5356" s="6"/>
      <c r="AD5356" s="6"/>
      <c r="AE5356" s="6"/>
      <c r="AF5356" s="6"/>
      <c r="AG5356" s="6"/>
      <c r="AH5356" s="6"/>
      <c r="AI5356" s="6"/>
      <c r="AJ5356" s="6"/>
      <c r="AK5356" s="6"/>
      <c r="AL5356" s="6"/>
      <c r="AM5356" s="6"/>
    </row>
    <row r="5357">
      <c r="A5357" s="6"/>
      <c r="B5357" s="6"/>
      <c r="C5357" s="6"/>
      <c r="D5357" s="6"/>
      <c r="E5357" s="6"/>
      <c r="F5357" s="6"/>
      <c r="G5357" s="6"/>
      <c r="H5357" s="6"/>
      <c r="I5357" s="6"/>
      <c r="J5357" s="6"/>
      <c r="K5357" s="6"/>
      <c r="L5357" s="6"/>
      <c r="M5357" s="6"/>
      <c r="N5357" s="6"/>
      <c r="O5357" s="6"/>
      <c r="P5357" s="6"/>
      <c r="Q5357" s="6"/>
      <c r="R5357" s="6"/>
      <c r="S5357" s="6"/>
      <c r="T5357" s="6"/>
      <c r="U5357" s="6"/>
      <c r="V5357" s="6"/>
      <c r="W5357" s="6"/>
      <c r="X5357" s="6"/>
      <c r="Y5357" s="6"/>
      <c r="Z5357" s="6"/>
      <c r="AA5357" s="6"/>
      <c r="AB5357" s="6"/>
      <c r="AC5357" s="6"/>
      <c r="AD5357" s="6"/>
      <c r="AE5357" s="6"/>
      <c r="AF5357" s="6"/>
      <c r="AG5357" s="6"/>
      <c r="AH5357" s="6"/>
      <c r="AI5357" s="6"/>
      <c r="AJ5357" s="6"/>
      <c r="AK5357" s="6"/>
      <c r="AL5357" s="6"/>
      <c r="AM5357" s="6"/>
    </row>
    <row r="5358">
      <c r="A5358" s="6"/>
      <c r="B5358" s="6"/>
      <c r="C5358" s="6"/>
      <c r="D5358" s="6"/>
      <c r="E5358" s="6"/>
      <c r="F5358" s="6"/>
      <c r="G5358" s="6"/>
      <c r="H5358" s="6"/>
      <c r="I5358" s="6"/>
      <c r="J5358" s="6"/>
      <c r="K5358" s="6"/>
      <c r="L5358" s="6"/>
      <c r="M5358" s="6"/>
      <c r="N5358" s="6"/>
      <c r="O5358" s="6"/>
      <c r="P5358" s="6"/>
      <c r="Q5358" s="6"/>
      <c r="R5358" s="6"/>
      <c r="S5358" s="6"/>
      <c r="T5358" s="6"/>
      <c r="U5358" s="6"/>
      <c r="V5358" s="6"/>
      <c r="W5358" s="6"/>
      <c r="X5358" s="6"/>
      <c r="Y5358" s="6"/>
      <c r="Z5358" s="6"/>
      <c r="AA5358" s="6"/>
      <c r="AB5358" s="6"/>
      <c r="AC5358" s="6"/>
      <c r="AD5358" s="6"/>
      <c r="AE5358" s="6"/>
      <c r="AF5358" s="6"/>
      <c r="AG5358" s="6"/>
      <c r="AH5358" s="6"/>
      <c r="AI5358" s="6"/>
      <c r="AJ5358" s="6"/>
      <c r="AK5358" s="6"/>
      <c r="AL5358" s="6"/>
      <c r="AM5358" s="6"/>
    </row>
    <row r="5359">
      <c r="A5359" s="6"/>
      <c r="B5359" s="6"/>
      <c r="C5359" s="6"/>
      <c r="D5359" s="6"/>
      <c r="E5359" s="6"/>
      <c r="F5359" s="6"/>
      <c r="G5359" s="6"/>
      <c r="H5359" s="6"/>
      <c r="I5359" s="6"/>
      <c r="J5359" s="6"/>
      <c r="K5359" s="6"/>
      <c r="L5359" s="6"/>
      <c r="M5359" s="6"/>
      <c r="N5359" s="6"/>
      <c r="O5359" s="6"/>
      <c r="P5359" s="6"/>
      <c r="Q5359" s="6"/>
      <c r="R5359" s="6"/>
      <c r="S5359" s="6"/>
      <c r="T5359" s="6"/>
      <c r="U5359" s="6"/>
      <c r="V5359" s="6"/>
      <c r="W5359" s="6"/>
      <c r="X5359" s="6"/>
      <c r="Y5359" s="6"/>
      <c r="Z5359" s="6"/>
      <c r="AA5359" s="6"/>
      <c r="AB5359" s="6"/>
      <c r="AC5359" s="6"/>
      <c r="AD5359" s="6"/>
      <c r="AE5359" s="6"/>
      <c r="AF5359" s="6"/>
      <c r="AG5359" s="6"/>
      <c r="AH5359" s="6"/>
      <c r="AI5359" s="6"/>
      <c r="AJ5359" s="6"/>
      <c r="AK5359" s="6"/>
      <c r="AL5359" s="6"/>
      <c r="AM5359" s="6"/>
    </row>
    <row r="5360">
      <c r="A5360" s="6"/>
      <c r="B5360" s="6"/>
      <c r="C5360" s="6"/>
      <c r="D5360" s="6"/>
      <c r="E5360" s="6"/>
      <c r="F5360" s="6"/>
      <c r="G5360" s="6"/>
      <c r="H5360" s="6"/>
      <c r="I5360" s="6"/>
      <c r="J5360" s="6"/>
      <c r="K5360" s="6"/>
      <c r="L5360" s="6"/>
      <c r="M5360" s="6"/>
      <c r="N5360" s="6"/>
      <c r="O5360" s="6"/>
      <c r="P5360" s="6"/>
      <c r="Q5360" s="6"/>
      <c r="R5360" s="6"/>
      <c r="S5360" s="6"/>
      <c r="T5360" s="6"/>
      <c r="U5360" s="6"/>
      <c r="V5360" s="6"/>
      <c r="W5360" s="6"/>
      <c r="X5360" s="6"/>
      <c r="Y5360" s="6"/>
      <c r="Z5360" s="6"/>
      <c r="AA5360" s="6"/>
      <c r="AB5360" s="6"/>
      <c r="AC5360" s="6"/>
      <c r="AD5360" s="6"/>
      <c r="AE5360" s="6"/>
      <c r="AF5360" s="6"/>
      <c r="AG5360" s="6"/>
      <c r="AH5360" s="6"/>
      <c r="AI5360" s="6"/>
      <c r="AJ5360" s="6"/>
      <c r="AK5360" s="6"/>
      <c r="AL5360" s="6"/>
      <c r="AM5360" s="6"/>
    </row>
    <row r="5361">
      <c r="A5361" s="6"/>
      <c r="B5361" s="6"/>
      <c r="C5361" s="6"/>
      <c r="D5361" s="6"/>
      <c r="E5361" s="6"/>
      <c r="F5361" s="6"/>
      <c r="G5361" s="6"/>
      <c r="H5361" s="6"/>
      <c r="I5361" s="6"/>
      <c r="J5361" s="6"/>
      <c r="K5361" s="6"/>
      <c r="L5361" s="6"/>
      <c r="M5361" s="6"/>
      <c r="N5361" s="6"/>
      <c r="O5361" s="6"/>
      <c r="P5361" s="6"/>
      <c r="Q5361" s="6"/>
      <c r="R5361" s="6"/>
      <c r="S5361" s="6"/>
      <c r="T5361" s="6"/>
      <c r="U5361" s="6"/>
      <c r="V5361" s="6"/>
      <c r="W5361" s="6"/>
      <c r="X5361" s="6"/>
      <c r="Y5361" s="6"/>
      <c r="Z5361" s="6"/>
      <c r="AA5361" s="6"/>
      <c r="AB5361" s="6"/>
      <c r="AC5361" s="6"/>
      <c r="AD5361" s="6"/>
      <c r="AE5361" s="6"/>
      <c r="AF5361" s="6"/>
      <c r="AG5361" s="6"/>
      <c r="AH5361" s="6"/>
      <c r="AI5361" s="6"/>
      <c r="AJ5361" s="6"/>
      <c r="AK5361" s="6"/>
      <c r="AL5361" s="6"/>
      <c r="AM5361" s="6"/>
    </row>
    <row r="5362">
      <c r="A5362" s="6"/>
      <c r="B5362" s="6"/>
      <c r="C5362" s="6"/>
      <c r="D5362" s="6"/>
      <c r="E5362" s="6"/>
      <c r="F5362" s="6"/>
      <c r="G5362" s="6"/>
      <c r="H5362" s="6"/>
      <c r="I5362" s="6"/>
      <c r="J5362" s="6"/>
      <c r="K5362" s="6"/>
      <c r="L5362" s="6"/>
      <c r="M5362" s="6"/>
      <c r="N5362" s="6"/>
      <c r="O5362" s="6"/>
      <c r="P5362" s="6"/>
      <c r="Q5362" s="6"/>
      <c r="R5362" s="6"/>
      <c r="S5362" s="6"/>
      <c r="T5362" s="6"/>
      <c r="U5362" s="6"/>
      <c r="V5362" s="6"/>
      <c r="W5362" s="6"/>
      <c r="X5362" s="6"/>
      <c r="Y5362" s="6"/>
      <c r="Z5362" s="6"/>
      <c r="AA5362" s="6"/>
      <c r="AB5362" s="6"/>
      <c r="AC5362" s="6"/>
      <c r="AD5362" s="6"/>
      <c r="AE5362" s="6"/>
      <c r="AF5362" s="6"/>
      <c r="AG5362" s="6"/>
      <c r="AH5362" s="6"/>
      <c r="AI5362" s="6"/>
      <c r="AJ5362" s="6"/>
      <c r="AK5362" s="6"/>
      <c r="AL5362" s="6"/>
      <c r="AM5362" s="6"/>
    </row>
    <row r="5363">
      <c r="A5363" s="6"/>
      <c r="B5363" s="6"/>
      <c r="C5363" s="6"/>
      <c r="D5363" s="6"/>
      <c r="E5363" s="6"/>
      <c r="F5363" s="6"/>
      <c r="G5363" s="6"/>
      <c r="H5363" s="6"/>
      <c r="I5363" s="6"/>
      <c r="J5363" s="6"/>
      <c r="K5363" s="6"/>
      <c r="L5363" s="6"/>
      <c r="M5363" s="6"/>
      <c r="N5363" s="6"/>
      <c r="O5363" s="6"/>
      <c r="P5363" s="6"/>
      <c r="Q5363" s="6"/>
      <c r="R5363" s="6"/>
      <c r="S5363" s="6"/>
      <c r="T5363" s="6"/>
      <c r="U5363" s="6"/>
      <c r="V5363" s="6"/>
      <c r="W5363" s="6"/>
      <c r="X5363" s="6"/>
      <c r="Y5363" s="6"/>
      <c r="Z5363" s="6"/>
      <c r="AA5363" s="6"/>
      <c r="AB5363" s="6"/>
      <c r="AC5363" s="6"/>
      <c r="AD5363" s="6"/>
      <c r="AE5363" s="6"/>
      <c r="AF5363" s="6"/>
      <c r="AG5363" s="6"/>
      <c r="AH5363" s="6"/>
      <c r="AI5363" s="6"/>
      <c r="AJ5363" s="6"/>
      <c r="AK5363" s="6"/>
      <c r="AL5363" s="6"/>
      <c r="AM5363" s="6"/>
    </row>
    <row r="5364">
      <c r="A5364" s="6"/>
      <c r="B5364" s="6"/>
      <c r="C5364" s="6"/>
      <c r="D5364" s="6"/>
      <c r="E5364" s="6"/>
      <c r="F5364" s="6"/>
      <c r="G5364" s="6"/>
      <c r="H5364" s="6"/>
      <c r="I5364" s="6"/>
      <c r="J5364" s="6"/>
      <c r="K5364" s="6"/>
      <c r="L5364" s="6"/>
      <c r="M5364" s="6"/>
      <c r="N5364" s="6"/>
      <c r="O5364" s="6"/>
      <c r="P5364" s="6"/>
      <c r="Q5364" s="6"/>
      <c r="R5364" s="6"/>
      <c r="S5364" s="6"/>
      <c r="T5364" s="6"/>
      <c r="U5364" s="6"/>
      <c r="V5364" s="6"/>
      <c r="W5364" s="6"/>
      <c r="X5364" s="6"/>
      <c r="Y5364" s="6"/>
      <c r="Z5364" s="6"/>
      <c r="AA5364" s="6"/>
      <c r="AB5364" s="6"/>
      <c r="AC5364" s="6"/>
      <c r="AD5364" s="6"/>
      <c r="AE5364" s="6"/>
      <c r="AF5364" s="6"/>
      <c r="AG5364" s="6"/>
      <c r="AH5364" s="6"/>
      <c r="AI5364" s="6"/>
      <c r="AJ5364" s="6"/>
      <c r="AK5364" s="6"/>
      <c r="AL5364" s="6"/>
      <c r="AM5364" s="6"/>
    </row>
    <row r="5365">
      <c r="A5365" s="6"/>
      <c r="B5365" s="6"/>
      <c r="C5365" s="6"/>
      <c r="D5365" s="6"/>
      <c r="E5365" s="6"/>
      <c r="F5365" s="6"/>
      <c r="G5365" s="6"/>
      <c r="H5365" s="6"/>
      <c r="I5365" s="6"/>
      <c r="J5365" s="6"/>
      <c r="K5365" s="6"/>
      <c r="L5365" s="6"/>
      <c r="M5365" s="6"/>
      <c r="N5365" s="6"/>
      <c r="O5365" s="6"/>
      <c r="P5365" s="6"/>
      <c r="Q5365" s="6"/>
      <c r="R5365" s="6"/>
      <c r="S5365" s="6"/>
      <c r="T5365" s="6"/>
      <c r="U5365" s="6"/>
      <c r="V5365" s="6"/>
      <c r="W5365" s="6"/>
      <c r="X5365" s="6"/>
      <c r="Y5365" s="6"/>
      <c r="Z5365" s="6"/>
      <c r="AA5365" s="6"/>
      <c r="AB5365" s="6"/>
      <c r="AC5365" s="6"/>
      <c r="AD5365" s="6"/>
      <c r="AE5365" s="6"/>
      <c r="AF5365" s="6"/>
      <c r="AG5365" s="6"/>
      <c r="AH5365" s="6"/>
      <c r="AI5365" s="6"/>
      <c r="AJ5365" s="6"/>
      <c r="AK5365" s="6"/>
      <c r="AL5365" s="6"/>
      <c r="AM5365" s="6"/>
    </row>
    <row r="5366">
      <c r="A5366" s="6"/>
      <c r="B5366" s="6"/>
      <c r="C5366" s="6"/>
      <c r="D5366" s="6"/>
      <c r="E5366" s="6"/>
      <c r="F5366" s="6"/>
      <c r="G5366" s="6"/>
      <c r="H5366" s="6"/>
      <c r="I5366" s="6"/>
      <c r="J5366" s="6"/>
      <c r="K5366" s="6"/>
      <c r="L5366" s="6"/>
      <c r="M5366" s="6"/>
      <c r="N5366" s="6"/>
      <c r="O5366" s="6"/>
      <c r="P5366" s="6"/>
      <c r="Q5366" s="6"/>
      <c r="R5366" s="6"/>
      <c r="S5366" s="6"/>
      <c r="T5366" s="6"/>
      <c r="U5366" s="6"/>
      <c r="V5366" s="6"/>
      <c r="W5366" s="6"/>
      <c r="X5366" s="6"/>
      <c r="Y5366" s="6"/>
      <c r="Z5366" s="6"/>
      <c r="AA5366" s="6"/>
      <c r="AB5366" s="6"/>
      <c r="AC5366" s="6"/>
      <c r="AD5366" s="6"/>
      <c r="AE5366" s="6"/>
      <c r="AF5366" s="6"/>
      <c r="AG5366" s="6"/>
      <c r="AH5366" s="6"/>
      <c r="AI5366" s="6"/>
      <c r="AJ5366" s="6"/>
      <c r="AK5366" s="6"/>
      <c r="AL5366" s="6"/>
      <c r="AM5366" s="6"/>
    </row>
    <row r="5367">
      <c r="A5367" s="6"/>
      <c r="B5367" s="6"/>
      <c r="C5367" s="6"/>
      <c r="D5367" s="6"/>
      <c r="E5367" s="6"/>
      <c r="F5367" s="6"/>
      <c r="G5367" s="6"/>
      <c r="H5367" s="6"/>
      <c r="I5367" s="6"/>
      <c r="J5367" s="6"/>
      <c r="K5367" s="6"/>
      <c r="L5367" s="6"/>
      <c r="M5367" s="6"/>
      <c r="N5367" s="6"/>
      <c r="O5367" s="6"/>
      <c r="P5367" s="6"/>
      <c r="Q5367" s="6"/>
      <c r="R5367" s="6"/>
      <c r="S5367" s="6"/>
      <c r="T5367" s="6"/>
      <c r="U5367" s="6"/>
      <c r="V5367" s="6"/>
      <c r="W5367" s="6"/>
      <c r="X5367" s="6"/>
      <c r="Y5367" s="6"/>
      <c r="Z5367" s="6"/>
      <c r="AA5367" s="6"/>
      <c r="AB5367" s="6"/>
      <c r="AC5367" s="6"/>
      <c r="AD5367" s="6"/>
      <c r="AE5367" s="6"/>
      <c r="AF5367" s="6"/>
      <c r="AG5367" s="6"/>
      <c r="AH5367" s="6"/>
      <c r="AI5367" s="6"/>
      <c r="AJ5367" s="6"/>
      <c r="AK5367" s="6"/>
      <c r="AL5367" s="6"/>
      <c r="AM5367" s="6"/>
    </row>
    <row r="5368">
      <c r="A5368" s="6"/>
      <c r="B5368" s="6"/>
      <c r="C5368" s="6"/>
      <c r="D5368" s="6"/>
      <c r="E5368" s="6"/>
      <c r="F5368" s="6"/>
      <c r="G5368" s="6"/>
      <c r="H5368" s="6"/>
      <c r="I5368" s="6"/>
      <c r="J5368" s="6"/>
      <c r="K5368" s="6"/>
      <c r="L5368" s="6"/>
      <c r="M5368" s="6"/>
      <c r="N5368" s="6"/>
      <c r="O5368" s="6"/>
      <c r="P5368" s="6"/>
      <c r="Q5368" s="6"/>
      <c r="R5368" s="6"/>
      <c r="S5368" s="6"/>
      <c r="T5368" s="6"/>
      <c r="U5368" s="6"/>
      <c r="V5368" s="6"/>
      <c r="W5368" s="6"/>
      <c r="X5368" s="6"/>
      <c r="Y5368" s="6"/>
      <c r="Z5368" s="6"/>
      <c r="AA5368" s="6"/>
      <c r="AB5368" s="6"/>
      <c r="AC5368" s="6"/>
      <c r="AD5368" s="6"/>
      <c r="AE5368" s="6"/>
      <c r="AF5368" s="6"/>
      <c r="AG5368" s="6"/>
      <c r="AH5368" s="6"/>
      <c r="AI5368" s="6"/>
      <c r="AJ5368" s="6"/>
      <c r="AK5368" s="6"/>
      <c r="AL5368" s="6"/>
      <c r="AM5368" s="6"/>
    </row>
    <row r="5369">
      <c r="A5369" s="6"/>
      <c r="B5369" s="6"/>
      <c r="C5369" s="6"/>
      <c r="D5369" s="6"/>
      <c r="E5369" s="6"/>
      <c r="F5369" s="6"/>
      <c r="G5369" s="6"/>
      <c r="H5369" s="6"/>
      <c r="I5369" s="6"/>
      <c r="J5369" s="6"/>
      <c r="K5369" s="6"/>
      <c r="L5369" s="6"/>
      <c r="M5369" s="6"/>
      <c r="N5369" s="6"/>
      <c r="O5369" s="6"/>
      <c r="P5369" s="6"/>
      <c r="Q5369" s="6"/>
      <c r="R5369" s="6"/>
      <c r="S5369" s="6"/>
      <c r="T5369" s="6"/>
      <c r="U5369" s="6"/>
      <c r="V5369" s="6"/>
      <c r="W5369" s="6"/>
      <c r="X5369" s="6"/>
      <c r="Y5369" s="6"/>
      <c r="Z5369" s="6"/>
      <c r="AA5369" s="6"/>
      <c r="AB5369" s="6"/>
      <c r="AC5369" s="6"/>
      <c r="AD5369" s="6"/>
      <c r="AE5369" s="6"/>
      <c r="AF5369" s="6"/>
      <c r="AG5369" s="6"/>
      <c r="AH5369" s="6"/>
      <c r="AI5369" s="6"/>
      <c r="AJ5369" s="6"/>
      <c r="AK5369" s="6"/>
      <c r="AL5369" s="6"/>
      <c r="AM5369" s="6"/>
    </row>
    <row r="5370">
      <c r="A5370" s="6"/>
      <c r="B5370" s="6"/>
      <c r="C5370" s="6"/>
      <c r="D5370" s="6"/>
      <c r="E5370" s="6"/>
      <c r="F5370" s="6"/>
      <c r="G5370" s="6"/>
      <c r="H5370" s="6"/>
      <c r="I5370" s="6"/>
      <c r="J5370" s="6"/>
      <c r="K5370" s="6"/>
      <c r="L5370" s="6"/>
      <c r="M5370" s="6"/>
      <c r="N5370" s="6"/>
      <c r="O5370" s="6"/>
      <c r="P5370" s="6"/>
      <c r="Q5370" s="6"/>
      <c r="R5370" s="6"/>
      <c r="S5370" s="6"/>
      <c r="T5370" s="6"/>
      <c r="U5370" s="6"/>
      <c r="V5370" s="6"/>
      <c r="W5370" s="6"/>
      <c r="X5370" s="6"/>
      <c r="Y5370" s="6"/>
      <c r="Z5370" s="6"/>
      <c r="AA5370" s="6"/>
      <c r="AB5370" s="6"/>
      <c r="AC5370" s="6"/>
      <c r="AD5370" s="6"/>
      <c r="AE5370" s="6"/>
      <c r="AF5370" s="6"/>
      <c r="AG5370" s="6"/>
      <c r="AH5370" s="6"/>
      <c r="AI5370" s="6"/>
      <c r="AJ5370" s="6"/>
      <c r="AK5370" s="6"/>
      <c r="AL5370" s="6"/>
      <c r="AM5370" s="6"/>
    </row>
    <row r="5371">
      <c r="A5371" s="6"/>
      <c r="B5371" s="6"/>
      <c r="C5371" s="6"/>
      <c r="D5371" s="6"/>
      <c r="E5371" s="6"/>
      <c r="F5371" s="6"/>
      <c r="G5371" s="6"/>
      <c r="H5371" s="6"/>
      <c r="I5371" s="6"/>
      <c r="J5371" s="6"/>
      <c r="K5371" s="6"/>
      <c r="L5371" s="6"/>
      <c r="M5371" s="6"/>
      <c r="N5371" s="6"/>
      <c r="O5371" s="6"/>
      <c r="P5371" s="6"/>
      <c r="Q5371" s="6"/>
      <c r="R5371" s="6"/>
      <c r="S5371" s="6"/>
      <c r="T5371" s="6"/>
      <c r="U5371" s="6"/>
      <c r="V5371" s="6"/>
      <c r="W5371" s="6"/>
      <c r="X5371" s="6"/>
      <c r="Y5371" s="6"/>
      <c r="Z5371" s="6"/>
      <c r="AA5371" s="6"/>
      <c r="AB5371" s="6"/>
      <c r="AC5371" s="6"/>
      <c r="AD5371" s="6"/>
      <c r="AE5371" s="6"/>
      <c r="AF5371" s="6"/>
      <c r="AG5371" s="6"/>
      <c r="AH5371" s="6"/>
      <c r="AI5371" s="6"/>
      <c r="AJ5371" s="6"/>
      <c r="AK5371" s="6"/>
      <c r="AL5371" s="6"/>
      <c r="AM5371" s="6"/>
    </row>
    <row r="5372">
      <c r="A5372" s="6"/>
      <c r="B5372" s="6"/>
      <c r="C5372" s="6"/>
      <c r="D5372" s="6"/>
      <c r="E5372" s="6"/>
      <c r="F5372" s="6"/>
      <c r="G5372" s="6"/>
      <c r="H5372" s="6"/>
      <c r="I5372" s="6"/>
      <c r="J5372" s="6"/>
      <c r="K5372" s="6"/>
      <c r="L5372" s="6"/>
      <c r="M5372" s="6"/>
      <c r="N5372" s="6"/>
      <c r="O5372" s="6"/>
      <c r="P5372" s="6"/>
      <c r="Q5372" s="6"/>
      <c r="R5372" s="6"/>
      <c r="S5372" s="6"/>
      <c r="T5372" s="6"/>
      <c r="U5372" s="6"/>
      <c r="V5372" s="6"/>
      <c r="W5372" s="6"/>
      <c r="X5372" s="6"/>
      <c r="Y5372" s="6"/>
      <c r="Z5372" s="6"/>
      <c r="AA5372" s="6"/>
      <c r="AB5372" s="6"/>
      <c r="AC5372" s="6"/>
      <c r="AD5372" s="6"/>
      <c r="AE5372" s="6"/>
      <c r="AF5372" s="6"/>
      <c r="AG5372" s="6"/>
      <c r="AH5372" s="6"/>
      <c r="AI5372" s="6"/>
      <c r="AJ5372" s="6"/>
      <c r="AK5372" s="6"/>
      <c r="AL5372" s="6"/>
      <c r="AM5372" s="6"/>
    </row>
    <row r="5373">
      <c r="A5373" s="6"/>
      <c r="B5373" s="6"/>
      <c r="C5373" s="6"/>
      <c r="D5373" s="6"/>
      <c r="E5373" s="6"/>
      <c r="F5373" s="6"/>
      <c r="G5373" s="6"/>
      <c r="H5373" s="6"/>
      <c r="I5373" s="6"/>
      <c r="J5373" s="6"/>
      <c r="K5373" s="6"/>
      <c r="L5373" s="6"/>
      <c r="M5373" s="6"/>
      <c r="N5373" s="6"/>
      <c r="O5373" s="6"/>
      <c r="P5373" s="6"/>
      <c r="Q5373" s="6"/>
      <c r="R5373" s="6"/>
      <c r="S5373" s="6"/>
      <c r="T5373" s="6"/>
      <c r="U5373" s="6"/>
      <c r="V5373" s="6"/>
      <c r="W5373" s="6"/>
      <c r="X5373" s="6"/>
      <c r="Y5373" s="6"/>
      <c r="Z5373" s="6"/>
      <c r="AA5373" s="6"/>
      <c r="AB5373" s="6"/>
      <c r="AC5373" s="6"/>
      <c r="AD5373" s="6"/>
      <c r="AE5373" s="6"/>
      <c r="AF5373" s="6"/>
      <c r="AG5373" s="6"/>
      <c r="AH5373" s="6"/>
      <c r="AI5373" s="6"/>
      <c r="AJ5373" s="6"/>
      <c r="AK5373" s="6"/>
      <c r="AL5373" s="6"/>
      <c r="AM5373" s="6"/>
    </row>
    <row r="5374">
      <c r="A5374" s="6"/>
      <c r="B5374" s="6"/>
      <c r="C5374" s="6"/>
      <c r="D5374" s="6"/>
      <c r="E5374" s="6"/>
      <c r="F5374" s="6"/>
      <c r="G5374" s="6"/>
      <c r="H5374" s="6"/>
      <c r="I5374" s="6"/>
      <c r="J5374" s="6"/>
      <c r="K5374" s="6"/>
      <c r="L5374" s="6"/>
      <c r="M5374" s="6"/>
      <c r="N5374" s="6"/>
      <c r="O5374" s="6"/>
      <c r="P5374" s="6"/>
      <c r="Q5374" s="6"/>
      <c r="R5374" s="6"/>
      <c r="S5374" s="6"/>
      <c r="T5374" s="6"/>
      <c r="U5374" s="6"/>
      <c r="V5374" s="6"/>
      <c r="W5374" s="6"/>
      <c r="X5374" s="6"/>
      <c r="Y5374" s="6"/>
      <c r="Z5374" s="6"/>
      <c r="AA5374" s="6"/>
      <c r="AB5374" s="6"/>
      <c r="AC5374" s="6"/>
      <c r="AD5374" s="6"/>
      <c r="AE5374" s="6"/>
      <c r="AF5374" s="6"/>
      <c r="AG5374" s="6"/>
      <c r="AH5374" s="6"/>
      <c r="AI5374" s="6"/>
      <c r="AJ5374" s="6"/>
      <c r="AK5374" s="6"/>
      <c r="AL5374" s="6"/>
      <c r="AM5374" s="6"/>
    </row>
    <row r="5375">
      <c r="A5375" s="6"/>
      <c r="B5375" s="6"/>
      <c r="C5375" s="6"/>
      <c r="D5375" s="6"/>
      <c r="E5375" s="6"/>
      <c r="F5375" s="6"/>
      <c r="G5375" s="6"/>
      <c r="H5375" s="6"/>
      <c r="I5375" s="6"/>
      <c r="J5375" s="6"/>
      <c r="K5375" s="6"/>
      <c r="L5375" s="6"/>
      <c r="M5375" s="6"/>
      <c r="N5375" s="6"/>
      <c r="O5375" s="6"/>
      <c r="P5375" s="6"/>
      <c r="Q5375" s="6"/>
      <c r="R5375" s="6"/>
      <c r="S5375" s="6"/>
      <c r="T5375" s="6"/>
      <c r="U5375" s="6"/>
      <c r="V5375" s="6"/>
      <c r="W5375" s="6"/>
      <c r="X5375" s="6"/>
      <c r="Y5375" s="6"/>
      <c r="Z5375" s="6"/>
      <c r="AA5375" s="6"/>
      <c r="AB5375" s="6"/>
      <c r="AC5375" s="6"/>
      <c r="AD5375" s="6"/>
      <c r="AE5375" s="6"/>
      <c r="AF5375" s="6"/>
      <c r="AG5375" s="6"/>
      <c r="AH5375" s="6"/>
      <c r="AI5375" s="6"/>
      <c r="AJ5375" s="6"/>
      <c r="AK5375" s="6"/>
      <c r="AL5375" s="6"/>
      <c r="AM5375" s="6"/>
    </row>
    <row r="5376">
      <c r="A5376" s="6"/>
      <c r="B5376" s="6"/>
      <c r="C5376" s="6"/>
      <c r="D5376" s="6"/>
      <c r="E5376" s="6"/>
      <c r="F5376" s="6"/>
      <c r="G5376" s="6"/>
      <c r="H5376" s="6"/>
      <c r="I5376" s="6"/>
      <c r="J5376" s="6"/>
      <c r="K5376" s="6"/>
      <c r="L5376" s="6"/>
      <c r="M5376" s="6"/>
      <c r="N5376" s="6"/>
      <c r="O5376" s="6"/>
      <c r="P5376" s="6"/>
      <c r="Q5376" s="6"/>
      <c r="R5376" s="6"/>
      <c r="S5376" s="6"/>
      <c r="T5376" s="6"/>
      <c r="U5376" s="6"/>
      <c r="V5376" s="6"/>
      <c r="W5376" s="6"/>
      <c r="X5376" s="6"/>
      <c r="Y5376" s="6"/>
      <c r="Z5376" s="6"/>
      <c r="AA5376" s="6"/>
      <c r="AB5376" s="6"/>
      <c r="AC5376" s="6"/>
      <c r="AD5376" s="6"/>
      <c r="AE5376" s="6"/>
      <c r="AF5376" s="6"/>
      <c r="AG5376" s="6"/>
      <c r="AH5376" s="6"/>
      <c r="AI5376" s="6"/>
      <c r="AJ5376" s="6"/>
      <c r="AK5376" s="6"/>
      <c r="AL5376" s="6"/>
      <c r="AM5376" s="6"/>
    </row>
    <row r="5377">
      <c r="A5377" s="6"/>
      <c r="B5377" s="6"/>
      <c r="C5377" s="6"/>
      <c r="D5377" s="6"/>
      <c r="E5377" s="6"/>
      <c r="F5377" s="6"/>
      <c r="G5377" s="6"/>
      <c r="H5377" s="6"/>
      <c r="I5377" s="6"/>
      <c r="J5377" s="6"/>
      <c r="K5377" s="6"/>
      <c r="L5377" s="6"/>
      <c r="M5377" s="6"/>
      <c r="N5377" s="6"/>
      <c r="O5377" s="6"/>
      <c r="P5377" s="6"/>
      <c r="Q5377" s="6"/>
      <c r="R5377" s="6"/>
      <c r="S5377" s="6"/>
      <c r="T5377" s="6"/>
      <c r="U5377" s="6"/>
      <c r="V5377" s="6"/>
      <c r="W5377" s="6"/>
      <c r="X5377" s="6"/>
      <c r="Y5377" s="6"/>
      <c r="Z5377" s="6"/>
      <c r="AA5377" s="6"/>
      <c r="AB5377" s="6"/>
      <c r="AC5377" s="6"/>
      <c r="AD5377" s="6"/>
      <c r="AE5377" s="6"/>
      <c r="AF5377" s="6"/>
      <c r="AG5377" s="6"/>
      <c r="AH5377" s="6"/>
      <c r="AI5377" s="6"/>
      <c r="AJ5377" s="6"/>
      <c r="AK5377" s="6"/>
      <c r="AL5377" s="6"/>
      <c r="AM5377" s="6"/>
    </row>
    <row r="5378">
      <c r="A5378" s="6"/>
      <c r="B5378" s="6"/>
      <c r="C5378" s="6"/>
      <c r="D5378" s="6"/>
      <c r="E5378" s="6"/>
      <c r="F5378" s="6"/>
      <c r="G5378" s="6"/>
      <c r="H5378" s="6"/>
      <c r="I5378" s="6"/>
      <c r="J5378" s="6"/>
      <c r="K5378" s="6"/>
      <c r="L5378" s="6"/>
      <c r="M5378" s="6"/>
      <c r="N5378" s="6"/>
      <c r="O5378" s="6"/>
      <c r="P5378" s="6"/>
      <c r="Q5378" s="6"/>
      <c r="R5378" s="6"/>
      <c r="S5378" s="6"/>
      <c r="T5378" s="6"/>
      <c r="U5378" s="6"/>
      <c r="V5378" s="6"/>
      <c r="W5378" s="6"/>
      <c r="X5378" s="6"/>
      <c r="Y5378" s="6"/>
      <c r="Z5378" s="6"/>
      <c r="AA5378" s="6"/>
      <c r="AB5378" s="6"/>
      <c r="AC5378" s="6"/>
      <c r="AD5378" s="6"/>
      <c r="AE5378" s="6"/>
      <c r="AF5378" s="6"/>
      <c r="AG5378" s="6"/>
      <c r="AH5378" s="6"/>
      <c r="AI5378" s="6"/>
      <c r="AJ5378" s="6"/>
      <c r="AK5378" s="6"/>
      <c r="AL5378" s="6"/>
      <c r="AM5378" s="6"/>
    </row>
    <row r="5379">
      <c r="A5379" s="6"/>
      <c r="B5379" s="6"/>
      <c r="C5379" s="6"/>
      <c r="D5379" s="6"/>
      <c r="E5379" s="6"/>
      <c r="F5379" s="6"/>
      <c r="G5379" s="6"/>
      <c r="H5379" s="6"/>
      <c r="I5379" s="6"/>
      <c r="J5379" s="6"/>
      <c r="K5379" s="6"/>
      <c r="L5379" s="6"/>
      <c r="M5379" s="6"/>
      <c r="N5379" s="6"/>
      <c r="O5379" s="6"/>
      <c r="P5379" s="6"/>
      <c r="Q5379" s="6"/>
      <c r="R5379" s="6"/>
      <c r="S5379" s="6"/>
      <c r="T5379" s="6"/>
      <c r="U5379" s="6"/>
      <c r="V5379" s="6"/>
      <c r="W5379" s="6"/>
      <c r="X5379" s="6"/>
      <c r="Y5379" s="6"/>
      <c r="Z5379" s="6"/>
      <c r="AA5379" s="6"/>
      <c r="AB5379" s="6"/>
      <c r="AC5379" s="6"/>
      <c r="AD5379" s="6"/>
      <c r="AE5379" s="6"/>
      <c r="AF5379" s="6"/>
      <c r="AG5379" s="6"/>
      <c r="AH5379" s="6"/>
      <c r="AI5379" s="6"/>
      <c r="AJ5379" s="6"/>
      <c r="AK5379" s="6"/>
      <c r="AL5379" s="6"/>
      <c r="AM5379" s="6"/>
    </row>
    <row r="5380">
      <c r="A5380" s="6"/>
      <c r="B5380" s="6"/>
      <c r="C5380" s="6"/>
      <c r="D5380" s="6"/>
      <c r="E5380" s="6"/>
      <c r="F5380" s="6"/>
      <c r="G5380" s="6"/>
      <c r="H5380" s="6"/>
      <c r="I5380" s="6"/>
      <c r="J5380" s="6"/>
      <c r="K5380" s="6"/>
      <c r="L5380" s="6"/>
      <c r="M5380" s="6"/>
      <c r="N5380" s="6"/>
      <c r="O5380" s="6"/>
      <c r="P5380" s="6"/>
      <c r="Q5380" s="6"/>
      <c r="R5380" s="6"/>
      <c r="S5380" s="6"/>
      <c r="T5380" s="6"/>
      <c r="U5380" s="6"/>
      <c r="V5380" s="6"/>
      <c r="W5380" s="6"/>
      <c r="X5380" s="6"/>
      <c r="Y5380" s="6"/>
      <c r="Z5380" s="6"/>
      <c r="AA5380" s="6"/>
      <c r="AB5380" s="6"/>
      <c r="AC5380" s="6"/>
      <c r="AD5380" s="6"/>
      <c r="AE5380" s="6"/>
      <c r="AF5380" s="6"/>
      <c r="AG5380" s="6"/>
      <c r="AH5380" s="6"/>
      <c r="AI5380" s="6"/>
      <c r="AJ5380" s="6"/>
      <c r="AK5380" s="6"/>
      <c r="AL5380" s="6"/>
      <c r="AM5380" s="6"/>
    </row>
    <row r="5381">
      <c r="A5381" s="6"/>
      <c r="B5381" s="6"/>
      <c r="C5381" s="6"/>
      <c r="D5381" s="6"/>
      <c r="E5381" s="6"/>
      <c r="F5381" s="6"/>
      <c r="G5381" s="6"/>
      <c r="H5381" s="6"/>
      <c r="I5381" s="6"/>
      <c r="J5381" s="6"/>
      <c r="K5381" s="6"/>
      <c r="L5381" s="6"/>
      <c r="M5381" s="6"/>
      <c r="N5381" s="6"/>
      <c r="O5381" s="6"/>
      <c r="P5381" s="6"/>
      <c r="Q5381" s="6"/>
      <c r="R5381" s="6"/>
      <c r="S5381" s="6"/>
      <c r="T5381" s="6"/>
      <c r="U5381" s="6"/>
      <c r="V5381" s="6"/>
      <c r="W5381" s="6"/>
      <c r="X5381" s="6"/>
      <c r="Y5381" s="6"/>
      <c r="Z5381" s="6"/>
      <c r="AA5381" s="6"/>
      <c r="AB5381" s="6"/>
      <c r="AC5381" s="6"/>
      <c r="AD5381" s="6"/>
      <c r="AE5381" s="6"/>
      <c r="AF5381" s="6"/>
      <c r="AG5381" s="6"/>
      <c r="AH5381" s="6"/>
      <c r="AI5381" s="6"/>
      <c r="AJ5381" s="6"/>
      <c r="AK5381" s="6"/>
      <c r="AL5381" s="6"/>
      <c r="AM5381" s="6"/>
    </row>
    <row r="5382">
      <c r="A5382" s="6"/>
      <c r="B5382" s="6"/>
      <c r="C5382" s="6"/>
      <c r="D5382" s="6"/>
      <c r="E5382" s="6"/>
      <c r="F5382" s="6"/>
      <c r="G5382" s="6"/>
      <c r="H5382" s="6"/>
      <c r="I5382" s="6"/>
      <c r="J5382" s="6"/>
      <c r="K5382" s="6"/>
      <c r="L5382" s="6"/>
      <c r="M5382" s="6"/>
      <c r="N5382" s="6"/>
      <c r="O5382" s="6"/>
      <c r="P5382" s="6"/>
      <c r="Q5382" s="6"/>
      <c r="R5382" s="6"/>
      <c r="S5382" s="6"/>
      <c r="T5382" s="6"/>
      <c r="U5382" s="6"/>
      <c r="V5382" s="6"/>
      <c r="W5382" s="6"/>
      <c r="X5382" s="6"/>
      <c r="Y5382" s="6"/>
      <c r="Z5382" s="6"/>
      <c r="AA5382" s="6"/>
      <c r="AB5382" s="6"/>
      <c r="AC5382" s="6"/>
      <c r="AD5382" s="6"/>
      <c r="AE5382" s="6"/>
      <c r="AF5382" s="6"/>
      <c r="AG5382" s="6"/>
      <c r="AH5382" s="6"/>
      <c r="AI5382" s="6"/>
      <c r="AJ5382" s="6"/>
      <c r="AK5382" s="6"/>
      <c r="AL5382" s="6"/>
      <c r="AM5382" s="6"/>
    </row>
    <row r="5383">
      <c r="A5383" s="6"/>
      <c r="B5383" s="6"/>
      <c r="C5383" s="6"/>
      <c r="D5383" s="6"/>
      <c r="E5383" s="6"/>
      <c r="F5383" s="6"/>
      <c r="G5383" s="6"/>
      <c r="H5383" s="6"/>
      <c r="I5383" s="6"/>
      <c r="J5383" s="6"/>
      <c r="K5383" s="6"/>
      <c r="L5383" s="6"/>
      <c r="M5383" s="6"/>
      <c r="N5383" s="6"/>
      <c r="O5383" s="6"/>
      <c r="P5383" s="6"/>
      <c r="Q5383" s="6"/>
      <c r="R5383" s="6"/>
      <c r="S5383" s="6"/>
      <c r="T5383" s="6"/>
      <c r="U5383" s="6"/>
      <c r="V5383" s="6"/>
      <c r="W5383" s="6"/>
      <c r="X5383" s="6"/>
      <c r="Y5383" s="6"/>
      <c r="Z5383" s="6"/>
      <c r="AA5383" s="6"/>
      <c r="AB5383" s="6"/>
      <c r="AC5383" s="6"/>
      <c r="AD5383" s="6"/>
      <c r="AE5383" s="6"/>
      <c r="AF5383" s="6"/>
      <c r="AG5383" s="6"/>
      <c r="AH5383" s="6"/>
      <c r="AI5383" s="6"/>
      <c r="AJ5383" s="6"/>
      <c r="AK5383" s="6"/>
      <c r="AL5383" s="6"/>
      <c r="AM5383" s="6"/>
    </row>
    <row r="5384">
      <c r="A5384" s="6"/>
      <c r="B5384" s="6"/>
      <c r="C5384" s="6"/>
      <c r="D5384" s="6"/>
      <c r="E5384" s="6"/>
      <c r="F5384" s="6"/>
      <c r="G5384" s="6"/>
      <c r="H5384" s="6"/>
      <c r="I5384" s="6"/>
      <c r="J5384" s="6"/>
      <c r="K5384" s="6"/>
      <c r="L5384" s="6"/>
      <c r="M5384" s="6"/>
      <c r="N5384" s="6"/>
      <c r="O5384" s="6"/>
      <c r="P5384" s="6"/>
      <c r="Q5384" s="6"/>
      <c r="R5384" s="6"/>
      <c r="S5384" s="6"/>
      <c r="T5384" s="6"/>
      <c r="U5384" s="6"/>
      <c r="V5384" s="6"/>
      <c r="W5384" s="6"/>
      <c r="X5384" s="6"/>
      <c r="Y5384" s="6"/>
      <c r="Z5384" s="6"/>
      <c r="AA5384" s="6"/>
      <c r="AB5384" s="6"/>
      <c r="AC5384" s="6"/>
      <c r="AD5384" s="6"/>
      <c r="AE5384" s="6"/>
      <c r="AF5384" s="6"/>
      <c r="AG5384" s="6"/>
      <c r="AH5384" s="6"/>
      <c r="AI5384" s="6"/>
      <c r="AJ5384" s="6"/>
      <c r="AK5384" s="6"/>
      <c r="AL5384" s="6"/>
      <c r="AM5384" s="6"/>
    </row>
    <row r="5385">
      <c r="A5385" s="6"/>
      <c r="B5385" s="6"/>
      <c r="C5385" s="6"/>
      <c r="D5385" s="6"/>
      <c r="E5385" s="6"/>
      <c r="F5385" s="6"/>
      <c r="G5385" s="6"/>
      <c r="H5385" s="6"/>
      <c r="I5385" s="6"/>
      <c r="J5385" s="6"/>
      <c r="K5385" s="6"/>
      <c r="L5385" s="6"/>
      <c r="M5385" s="6"/>
      <c r="N5385" s="6"/>
      <c r="O5385" s="6"/>
      <c r="P5385" s="6"/>
      <c r="Q5385" s="6"/>
      <c r="R5385" s="6"/>
      <c r="S5385" s="6"/>
      <c r="T5385" s="6"/>
      <c r="U5385" s="6"/>
      <c r="V5385" s="6"/>
      <c r="W5385" s="6"/>
      <c r="X5385" s="6"/>
      <c r="Y5385" s="6"/>
      <c r="Z5385" s="6"/>
      <c r="AA5385" s="6"/>
      <c r="AB5385" s="6"/>
      <c r="AC5385" s="6"/>
      <c r="AD5385" s="6"/>
      <c r="AE5385" s="6"/>
      <c r="AF5385" s="6"/>
      <c r="AG5385" s="6"/>
      <c r="AH5385" s="6"/>
      <c r="AI5385" s="6"/>
      <c r="AJ5385" s="6"/>
      <c r="AK5385" s="6"/>
      <c r="AL5385" s="6"/>
      <c r="AM5385" s="6"/>
    </row>
    <row r="5386">
      <c r="A5386" s="6"/>
      <c r="B5386" s="6"/>
      <c r="C5386" s="6"/>
      <c r="D5386" s="6"/>
      <c r="E5386" s="6"/>
      <c r="F5386" s="6"/>
      <c r="G5386" s="6"/>
      <c r="H5386" s="6"/>
      <c r="I5386" s="6"/>
      <c r="J5386" s="6"/>
      <c r="K5386" s="6"/>
      <c r="L5386" s="6"/>
      <c r="M5386" s="6"/>
      <c r="N5386" s="6"/>
      <c r="O5386" s="6"/>
      <c r="P5386" s="6"/>
      <c r="Q5386" s="6"/>
      <c r="R5386" s="6"/>
      <c r="S5386" s="6"/>
      <c r="T5386" s="6"/>
      <c r="U5386" s="6"/>
      <c r="V5386" s="6"/>
      <c r="W5386" s="6"/>
      <c r="X5386" s="6"/>
      <c r="Y5386" s="6"/>
      <c r="Z5386" s="6"/>
      <c r="AA5386" s="6"/>
      <c r="AB5386" s="6"/>
      <c r="AC5386" s="6"/>
      <c r="AD5386" s="6"/>
      <c r="AE5386" s="6"/>
      <c r="AF5386" s="6"/>
      <c r="AG5386" s="6"/>
      <c r="AH5386" s="6"/>
      <c r="AI5386" s="6"/>
      <c r="AJ5386" s="6"/>
      <c r="AK5386" s="6"/>
      <c r="AL5386" s="6"/>
      <c r="AM5386" s="6"/>
    </row>
    <row r="5387">
      <c r="A5387" s="6"/>
      <c r="B5387" s="6"/>
      <c r="C5387" s="6"/>
      <c r="D5387" s="6"/>
      <c r="E5387" s="6"/>
      <c r="F5387" s="6"/>
      <c r="G5387" s="6"/>
      <c r="H5387" s="6"/>
      <c r="I5387" s="6"/>
      <c r="J5387" s="6"/>
      <c r="K5387" s="6"/>
      <c r="L5387" s="6"/>
      <c r="M5387" s="6"/>
      <c r="N5387" s="6"/>
      <c r="O5387" s="6"/>
      <c r="P5387" s="6"/>
      <c r="Q5387" s="6"/>
      <c r="R5387" s="6"/>
      <c r="S5387" s="6"/>
      <c r="T5387" s="6"/>
      <c r="U5387" s="6"/>
      <c r="V5387" s="6"/>
      <c r="W5387" s="6"/>
      <c r="X5387" s="6"/>
      <c r="Y5387" s="6"/>
      <c r="Z5387" s="6"/>
      <c r="AA5387" s="6"/>
      <c r="AB5387" s="6"/>
      <c r="AC5387" s="6"/>
      <c r="AD5387" s="6"/>
      <c r="AE5387" s="6"/>
      <c r="AF5387" s="6"/>
      <c r="AG5387" s="6"/>
      <c r="AH5387" s="6"/>
      <c r="AI5387" s="6"/>
      <c r="AJ5387" s="6"/>
      <c r="AK5387" s="6"/>
      <c r="AL5387" s="6"/>
      <c r="AM5387" s="6"/>
    </row>
    <row r="5388">
      <c r="A5388" s="6"/>
      <c r="B5388" s="6"/>
      <c r="C5388" s="6"/>
      <c r="D5388" s="6"/>
      <c r="E5388" s="6"/>
      <c r="F5388" s="6"/>
      <c r="G5388" s="6"/>
      <c r="H5388" s="6"/>
      <c r="I5388" s="6"/>
      <c r="J5388" s="6"/>
      <c r="K5388" s="6"/>
      <c r="L5388" s="6"/>
      <c r="M5388" s="6"/>
      <c r="N5388" s="6"/>
      <c r="O5388" s="6"/>
      <c r="P5388" s="6"/>
      <c r="Q5388" s="6"/>
      <c r="R5388" s="6"/>
      <c r="S5388" s="6"/>
      <c r="T5388" s="6"/>
      <c r="U5388" s="6"/>
      <c r="V5388" s="6"/>
      <c r="W5388" s="6"/>
      <c r="X5388" s="6"/>
      <c r="Y5388" s="6"/>
      <c r="Z5388" s="6"/>
      <c r="AA5388" s="6"/>
      <c r="AB5388" s="6"/>
      <c r="AC5388" s="6"/>
      <c r="AD5388" s="6"/>
      <c r="AE5388" s="6"/>
      <c r="AF5388" s="6"/>
      <c r="AG5388" s="6"/>
      <c r="AH5388" s="6"/>
      <c r="AI5388" s="6"/>
      <c r="AJ5388" s="6"/>
      <c r="AK5388" s="6"/>
      <c r="AL5388" s="6"/>
      <c r="AM5388" s="6"/>
    </row>
    <row r="5389">
      <c r="A5389" s="6"/>
      <c r="B5389" s="6"/>
      <c r="C5389" s="6"/>
      <c r="D5389" s="6"/>
      <c r="E5389" s="6"/>
      <c r="F5389" s="6"/>
      <c r="G5389" s="6"/>
      <c r="H5389" s="6"/>
      <c r="I5389" s="6"/>
      <c r="J5389" s="6"/>
      <c r="K5389" s="6"/>
      <c r="L5389" s="6"/>
      <c r="M5389" s="6"/>
      <c r="N5389" s="6"/>
      <c r="O5389" s="6"/>
      <c r="P5389" s="6"/>
      <c r="Q5389" s="6"/>
      <c r="R5389" s="6"/>
      <c r="S5389" s="6"/>
      <c r="T5389" s="6"/>
      <c r="U5389" s="6"/>
      <c r="V5389" s="6"/>
      <c r="W5389" s="6"/>
      <c r="X5389" s="6"/>
      <c r="Y5389" s="6"/>
      <c r="Z5389" s="6"/>
      <c r="AA5389" s="6"/>
      <c r="AB5389" s="6"/>
      <c r="AC5389" s="6"/>
      <c r="AD5389" s="6"/>
      <c r="AE5389" s="6"/>
      <c r="AF5389" s="6"/>
      <c r="AG5389" s="6"/>
      <c r="AH5389" s="6"/>
      <c r="AI5389" s="6"/>
      <c r="AJ5389" s="6"/>
      <c r="AK5389" s="6"/>
      <c r="AL5389" s="6"/>
      <c r="AM5389" s="6"/>
    </row>
    <row r="5390">
      <c r="A5390" s="6"/>
      <c r="B5390" s="6"/>
      <c r="C5390" s="6"/>
      <c r="D5390" s="6"/>
      <c r="E5390" s="6"/>
      <c r="F5390" s="6"/>
      <c r="G5390" s="6"/>
      <c r="H5390" s="6"/>
      <c r="I5390" s="6"/>
      <c r="J5390" s="6"/>
      <c r="K5390" s="6"/>
      <c r="L5390" s="6"/>
      <c r="M5390" s="6"/>
      <c r="N5390" s="6"/>
      <c r="O5390" s="6"/>
      <c r="P5390" s="6"/>
      <c r="Q5390" s="6"/>
      <c r="R5390" s="6"/>
      <c r="S5390" s="6"/>
      <c r="T5390" s="6"/>
      <c r="U5390" s="6"/>
      <c r="V5390" s="6"/>
      <c r="W5390" s="6"/>
      <c r="X5390" s="6"/>
      <c r="Y5390" s="6"/>
      <c r="Z5390" s="6"/>
      <c r="AA5390" s="6"/>
      <c r="AB5390" s="6"/>
      <c r="AC5390" s="6"/>
      <c r="AD5390" s="6"/>
      <c r="AE5390" s="6"/>
      <c r="AF5390" s="6"/>
      <c r="AG5390" s="6"/>
      <c r="AH5390" s="6"/>
      <c r="AI5390" s="6"/>
      <c r="AJ5390" s="6"/>
      <c r="AK5390" s="6"/>
      <c r="AL5390" s="6"/>
      <c r="AM5390" s="6"/>
    </row>
    <row r="5391">
      <c r="A5391" s="6"/>
      <c r="B5391" s="6"/>
      <c r="C5391" s="6"/>
      <c r="D5391" s="6"/>
      <c r="E5391" s="6"/>
      <c r="F5391" s="6"/>
      <c r="G5391" s="6"/>
      <c r="H5391" s="6"/>
      <c r="I5391" s="6"/>
      <c r="J5391" s="6"/>
      <c r="K5391" s="6"/>
      <c r="L5391" s="6"/>
      <c r="M5391" s="6"/>
      <c r="N5391" s="6"/>
      <c r="O5391" s="6"/>
      <c r="P5391" s="6"/>
      <c r="Q5391" s="6"/>
      <c r="R5391" s="6"/>
      <c r="S5391" s="6"/>
      <c r="T5391" s="6"/>
      <c r="U5391" s="6"/>
      <c r="V5391" s="6"/>
      <c r="W5391" s="6"/>
      <c r="X5391" s="6"/>
      <c r="Y5391" s="6"/>
      <c r="Z5391" s="6"/>
      <c r="AA5391" s="6"/>
      <c r="AB5391" s="6"/>
      <c r="AC5391" s="6"/>
      <c r="AD5391" s="6"/>
      <c r="AE5391" s="6"/>
      <c r="AF5391" s="6"/>
      <c r="AG5391" s="6"/>
      <c r="AH5391" s="6"/>
      <c r="AI5391" s="6"/>
      <c r="AJ5391" s="6"/>
      <c r="AK5391" s="6"/>
      <c r="AL5391" s="6"/>
      <c r="AM5391" s="6"/>
    </row>
    <row r="5392">
      <c r="A5392" s="6"/>
      <c r="B5392" s="6"/>
      <c r="C5392" s="6"/>
      <c r="D5392" s="6"/>
      <c r="E5392" s="6"/>
      <c r="F5392" s="6"/>
      <c r="G5392" s="6"/>
      <c r="H5392" s="6"/>
      <c r="I5392" s="6"/>
      <c r="J5392" s="6"/>
      <c r="K5392" s="6"/>
      <c r="L5392" s="6"/>
      <c r="M5392" s="6"/>
      <c r="N5392" s="6"/>
      <c r="O5392" s="6"/>
      <c r="P5392" s="6"/>
      <c r="Q5392" s="6"/>
      <c r="R5392" s="6"/>
      <c r="S5392" s="6"/>
      <c r="T5392" s="6"/>
      <c r="U5392" s="6"/>
      <c r="V5392" s="6"/>
      <c r="W5392" s="6"/>
      <c r="X5392" s="6"/>
      <c r="Y5392" s="6"/>
      <c r="Z5392" s="6"/>
      <c r="AA5392" s="6"/>
      <c r="AB5392" s="6"/>
      <c r="AC5392" s="6"/>
      <c r="AD5392" s="6"/>
      <c r="AE5392" s="6"/>
      <c r="AF5392" s="6"/>
      <c r="AG5392" s="6"/>
      <c r="AH5392" s="6"/>
      <c r="AI5392" s="6"/>
      <c r="AJ5392" s="6"/>
      <c r="AK5392" s="6"/>
      <c r="AL5392" s="6"/>
      <c r="AM5392" s="6"/>
    </row>
    <row r="5393">
      <c r="A5393" s="6"/>
      <c r="B5393" s="6"/>
      <c r="C5393" s="6"/>
      <c r="D5393" s="6"/>
      <c r="E5393" s="6"/>
      <c r="F5393" s="6"/>
      <c r="G5393" s="6"/>
      <c r="H5393" s="6"/>
      <c r="I5393" s="6"/>
      <c r="J5393" s="6"/>
      <c r="K5393" s="6"/>
      <c r="L5393" s="6"/>
      <c r="M5393" s="6"/>
      <c r="N5393" s="6"/>
      <c r="O5393" s="6"/>
      <c r="P5393" s="6"/>
      <c r="Q5393" s="6"/>
      <c r="R5393" s="6"/>
      <c r="S5393" s="6"/>
      <c r="T5393" s="6"/>
      <c r="U5393" s="6"/>
      <c r="V5393" s="6"/>
      <c r="W5393" s="6"/>
      <c r="X5393" s="6"/>
      <c r="Y5393" s="6"/>
      <c r="Z5393" s="6"/>
      <c r="AA5393" s="6"/>
      <c r="AB5393" s="6"/>
      <c r="AC5393" s="6"/>
      <c r="AD5393" s="6"/>
      <c r="AE5393" s="6"/>
      <c r="AF5393" s="6"/>
      <c r="AG5393" s="6"/>
      <c r="AH5393" s="6"/>
      <c r="AI5393" s="6"/>
      <c r="AJ5393" s="6"/>
      <c r="AK5393" s="6"/>
      <c r="AL5393" s="6"/>
      <c r="AM5393" s="6"/>
    </row>
    <row r="5394">
      <c r="A5394" s="6"/>
      <c r="B5394" s="6"/>
      <c r="C5394" s="6"/>
      <c r="D5394" s="6"/>
      <c r="E5394" s="6"/>
      <c r="F5394" s="6"/>
      <c r="G5394" s="6"/>
      <c r="H5394" s="6"/>
      <c r="I5394" s="6"/>
      <c r="J5394" s="6"/>
      <c r="K5394" s="6"/>
      <c r="L5394" s="6"/>
      <c r="M5394" s="6"/>
      <c r="N5394" s="6"/>
      <c r="O5394" s="6"/>
      <c r="P5394" s="6"/>
      <c r="Q5394" s="6"/>
      <c r="R5394" s="6"/>
      <c r="S5394" s="6"/>
      <c r="T5394" s="6"/>
      <c r="U5394" s="6"/>
      <c r="V5394" s="6"/>
      <c r="W5394" s="6"/>
      <c r="X5394" s="6"/>
      <c r="Y5394" s="6"/>
      <c r="Z5394" s="6"/>
      <c r="AA5394" s="6"/>
      <c r="AB5394" s="6"/>
      <c r="AC5394" s="6"/>
      <c r="AD5394" s="6"/>
      <c r="AE5394" s="6"/>
      <c r="AF5394" s="6"/>
      <c r="AG5394" s="6"/>
      <c r="AH5394" s="6"/>
      <c r="AI5394" s="6"/>
      <c r="AJ5394" s="6"/>
      <c r="AK5394" s="6"/>
      <c r="AL5394" s="6"/>
      <c r="AM5394" s="6"/>
    </row>
    <row r="5395">
      <c r="A5395" s="6"/>
      <c r="B5395" s="6"/>
      <c r="C5395" s="6"/>
      <c r="D5395" s="6"/>
      <c r="E5395" s="6"/>
      <c r="F5395" s="6"/>
      <c r="G5395" s="6"/>
      <c r="H5395" s="6"/>
      <c r="I5395" s="6"/>
      <c r="J5395" s="6"/>
      <c r="K5395" s="6"/>
      <c r="L5395" s="6"/>
      <c r="M5395" s="6"/>
      <c r="N5395" s="6"/>
      <c r="O5395" s="6"/>
      <c r="P5395" s="6"/>
      <c r="Q5395" s="6"/>
      <c r="R5395" s="6"/>
      <c r="S5395" s="6"/>
      <c r="T5395" s="6"/>
      <c r="U5395" s="6"/>
      <c r="V5395" s="6"/>
      <c r="W5395" s="6"/>
      <c r="X5395" s="6"/>
      <c r="Y5395" s="6"/>
      <c r="Z5395" s="6"/>
      <c r="AA5395" s="6"/>
      <c r="AB5395" s="6"/>
      <c r="AC5395" s="6"/>
      <c r="AD5395" s="6"/>
      <c r="AE5395" s="6"/>
      <c r="AF5395" s="6"/>
      <c r="AG5395" s="6"/>
      <c r="AH5395" s="6"/>
      <c r="AI5395" s="6"/>
      <c r="AJ5395" s="6"/>
      <c r="AK5395" s="6"/>
      <c r="AL5395" s="6"/>
      <c r="AM5395" s="6"/>
    </row>
    <row r="5396">
      <c r="A5396" s="6"/>
      <c r="B5396" s="6"/>
      <c r="C5396" s="6"/>
      <c r="D5396" s="6"/>
      <c r="E5396" s="6"/>
      <c r="F5396" s="6"/>
      <c r="G5396" s="6"/>
      <c r="H5396" s="6"/>
      <c r="I5396" s="6"/>
      <c r="J5396" s="6"/>
      <c r="K5396" s="6"/>
      <c r="L5396" s="6"/>
      <c r="M5396" s="6"/>
      <c r="N5396" s="6"/>
      <c r="O5396" s="6"/>
      <c r="P5396" s="6"/>
      <c r="Q5396" s="6"/>
      <c r="R5396" s="6"/>
      <c r="S5396" s="6"/>
      <c r="T5396" s="6"/>
      <c r="U5396" s="6"/>
      <c r="V5396" s="6"/>
      <c r="W5396" s="6"/>
      <c r="X5396" s="6"/>
      <c r="Y5396" s="6"/>
      <c r="Z5396" s="6"/>
      <c r="AA5396" s="6"/>
      <c r="AB5396" s="6"/>
      <c r="AC5396" s="6"/>
      <c r="AD5396" s="6"/>
      <c r="AE5396" s="6"/>
      <c r="AF5396" s="6"/>
      <c r="AG5396" s="6"/>
      <c r="AH5396" s="6"/>
      <c r="AI5396" s="6"/>
      <c r="AJ5396" s="6"/>
      <c r="AK5396" s="6"/>
      <c r="AL5396" s="6"/>
      <c r="AM5396" s="6"/>
    </row>
    <row r="5397">
      <c r="A5397" s="6"/>
      <c r="B5397" s="6"/>
      <c r="C5397" s="6"/>
      <c r="D5397" s="6"/>
      <c r="E5397" s="6"/>
      <c r="F5397" s="6"/>
      <c r="G5397" s="6"/>
      <c r="H5397" s="6"/>
      <c r="I5397" s="6"/>
      <c r="J5397" s="6"/>
      <c r="K5397" s="6"/>
      <c r="L5397" s="6"/>
      <c r="M5397" s="6"/>
      <c r="N5397" s="6"/>
      <c r="O5397" s="6"/>
      <c r="P5397" s="6"/>
      <c r="Q5397" s="6"/>
      <c r="R5397" s="6"/>
      <c r="S5397" s="6"/>
      <c r="T5397" s="6"/>
      <c r="U5397" s="6"/>
      <c r="V5397" s="6"/>
      <c r="W5397" s="6"/>
      <c r="X5397" s="6"/>
      <c r="Y5397" s="6"/>
      <c r="Z5397" s="6"/>
      <c r="AA5397" s="6"/>
      <c r="AB5397" s="6"/>
      <c r="AC5397" s="6"/>
      <c r="AD5397" s="6"/>
      <c r="AE5397" s="6"/>
      <c r="AF5397" s="6"/>
      <c r="AG5397" s="6"/>
      <c r="AH5397" s="6"/>
      <c r="AI5397" s="6"/>
      <c r="AJ5397" s="6"/>
      <c r="AK5397" s="6"/>
      <c r="AL5397" s="6"/>
      <c r="AM5397" s="6"/>
    </row>
    <row r="5398">
      <c r="A5398" s="6"/>
      <c r="B5398" s="6"/>
      <c r="C5398" s="6"/>
      <c r="D5398" s="6"/>
      <c r="E5398" s="6"/>
      <c r="F5398" s="6"/>
      <c r="G5398" s="6"/>
      <c r="H5398" s="6"/>
      <c r="I5398" s="6"/>
      <c r="J5398" s="6"/>
      <c r="K5398" s="6"/>
      <c r="L5398" s="6"/>
      <c r="M5398" s="6"/>
      <c r="N5398" s="6"/>
      <c r="O5398" s="6"/>
      <c r="P5398" s="6"/>
      <c r="Q5398" s="6"/>
      <c r="R5398" s="6"/>
      <c r="S5398" s="6"/>
      <c r="T5398" s="6"/>
      <c r="U5398" s="6"/>
      <c r="V5398" s="6"/>
      <c r="W5398" s="6"/>
      <c r="X5398" s="6"/>
      <c r="Y5398" s="6"/>
      <c r="Z5398" s="6"/>
      <c r="AA5398" s="6"/>
      <c r="AB5398" s="6"/>
      <c r="AC5398" s="6"/>
      <c r="AD5398" s="6"/>
      <c r="AE5398" s="6"/>
      <c r="AF5398" s="6"/>
      <c r="AG5398" s="6"/>
      <c r="AH5398" s="6"/>
      <c r="AI5398" s="6"/>
      <c r="AJ5398" s="6"/>
      <c r="AK5398" s="6"/>
      <c r="AL5398" s="6"/>
      <c r="AM5398" s="6"/>
    </row>
    <row r="5399">
      <c r="A5399" s="6"/>
      <c r="B5399" s="6"/>
      <c r="C5399" s="6"/>
      <c r="D5399" s="6"/>
      <c r="E5399" s="6"/>
      <c r="F5399" s="6"/>
      <c r="G5399" s="6"/>
      <c r="H5399" s="6"/>
      <c r="I5399" s="6"/>
      <c r="J5399" s="6"/>
      <c r="K5399" s="6"/>
      <c r="L5399" s="6"/>
      <c r="M5399" s="6"/>
      <c r="N5399" s="6"/>
      <c r="O5399" s="6"/>
      <c r="P5399" s="6"/>
      <c r="Q5399" s="6"/>
      <c r="R5399" s="6"/>
      <c r="S5399" s="6"/>
      <c r="T5399" s="6"/>
      <c r="U5399" s="6"/>
      <c r="V5399" s="6"/>
      <c r="W5399" s="6"/>
      <c r="X5399" s="6"/>
      <c r="Y5399" s="6"/>
      <c r="Z5399" s="6"/>
      <c r="AA5399" s="6"/>
      <c r="AB5399" s="6"/>
      <c r="AC5399" s="6"/>
      <c r="AD5399" s="6"/>
      <c r="AE5399" s="6"/>
      <c r="AF5399" s="6"/>
      <c r="AG5399" s="6"/>
      <c r="AH5399" s="6"/>
      <c r="AI5399" s="6"/>
      <c r="AJ5399" s="6"/>
      <c r="AK5399" s="6"/>
      <c r="AL5399" s="6"/>
      <c r="AM5399" s="6"/>
    </row>
    <row r="5400">
      <c r="A5400" s="6"/>
      <c r="B5400" s="6"/>
      <c r="C5400" s="6"/>
      <c r="D5400" s="6"/>
      <c r="E5400" s="6"/>
      <c r="F5400" s="6"/>
      <c r="G5400" s="6"/>
      <c r="H5400" s="6"/>
      <c r="I5400" s="6"/>
      <c r="J5400" s="6"/>
      <c r="K5400" s="6"/>
      <c r="L5400" s="6"/>
      <c r="M5400" s="6"/>
      <c r="N5400" s="6"/>
      <c r="O5400" s="6"/>
      <c r="P5400" s="6"/>
      <c r="Q5400" s="6"/>
      <c r="R5400" s="6"/>
      <c r="S5400" s="6"/>
      <c r="T5400" s="6"/>
      <c r="U5400" s="6"/>
      <c r="V5400" s="6"/>
      <c r="W5400" s="6"/>
      <c r="X5400" s="6"/>
      <c r="Y5400" s="6"/>
      <c r="Z5400" s="6"/>
      <c r="AA5400" s="6"/>
      <c r="AB5400" s="6"/>
      <c r="AC5400" s="6"/>
      <c r="AD5400" s="6"/>
      <c r="AE5400" s="6"/>
      <c r="AF5400" s="6"/>
      <c r="AG5400" s="6"/>
      <c r="AH5400" s="6"/>
      <c r="AI5400" s="6"/>
      <c r="AJ5400" s="6"/>
      <c r="AK5400" s="6"/>
      <c r="AL5400" s="6"/>
      <c r="AM5400" s="6"/>
    </row>
    <row r="5401">
      <c r="A5401" s="6"/>
      <c r="B5401" s="6"/>
      <c r="C5401" s="6"/>
      <c r="D5401" s="6"/>
      <c r="E5401" s="6"/>
      <c r="F5401" s="6"/>
      <c r="G5401" s="6"/>
      <c r="H5401" s="6"/>
      <c r="I5401" s="6"/>
      <c r="J5401" s="6"/>
      <c r="K5401" s="6"/>
      <c r="L5401" s="6"/>
      <c r="M5401" s="6"/>
      <c r="N5401" s="6"/>
      <c r="O5401" s="6"/>
      <c r="P5401" s="6"/>
      <c r="Q5401" s="6"/>
      <c r="R5401" s="6"/>
      <c r="S5401" s="6"/>
      <c r="T5401" s="6"/>
      <c r="U5401" s="6"/>
      <c r="V5401" s="6"/>
      <c r="W5401" s="6"/>
      <c r="X5401" s="6"/>
      <c r="Y5401" s="6"/>
      <c r="Z5401" s="6"/>
      <c r="AA5401" s="6"/>
      <c r="AB5401" s="6"/>
      <c r="AC5401" s="6"/>
      <c r="AD5401" s="6"/>
      <c r="AE5401" s="6"/>
      <c r="AF5401" s="6"/>
      <c r="AG5401" s="6"/>
      <c r="AH5401" s="6"/>
      <c r="AI5401" s="6"/>
      <c r="AJ5401" s="6"/>
      <c r="AK5401" s="6"/>
      <c r="AL5401" s="6"/>
      <c r="AM5401" s="6"/>
    </row>
    <row r="5402">
      <c r="A5402" s="6"/>
      <c r="B5402" s="6"/>
      <c r="C5402" s="6"/>
      <c r="D5402" s="6"/>
      <c r="E5402" s="6"/>
      <c r="F5402" s="6"/>
      <c r="G5402" s="6"/>
      <c r="H5402" s="6"/>
      <c r="I5402" s="6"/>
      <c r="J5402" s="6"/>
      <c r="K5402" s="6"/>
      <c r="L5402" s="6"/>
      <c r="M5402" s="6"/>
      <c r="N5402" s="6"/>
      <c r="O5402" s="6"/>
      <c r="P5402" s="6"/>
      <c r="Q5402" s="6"/>
      <c r="R5402" s="6"/>
      <c r="S5402" s="6"/>
      <c r="T5402" s="6"/>
      <c r="U5402" s="6"/>
      <c r="V5402" s="6"/>
      <c r="W5402" s="6"/>
      <c r="X5402" s="6"/>
      <c r="Y5402" s="6"/>
      <c r="Z5402" s="6"/>
      <c r="AA5402" s="6"/>
      <c r="AB5402" s="6"/>
      <c r="AC5402" s="6"/>
      <c r="AD5402" s="6"/>
      <c r="AE5402" s="6"/>
      <c r="AF5402" s="6"/>
      <c r="AG5402" s="6"/>
      <c r="AH5402" s="6"/>
      <c r="AI5402" s="6"/>
      <c r="AJ5402" s="6"/>
      <c r="AK5402" s="6"/>
      <c r="AL5402" s="6"/>
      <c r="AM5402" s="6"/>
    </row>
    <row r="5403">
      <c r="A5403" s="6"/>
      <c r="B5403" s="6"/>
      <c r="C5403" s="6"/>
      <c r="D5403" s="6"/>
      <c r="E5403" s="6"/>
      <c r="F5403" s="6"/>
      <c r="G5403" s="6"/>
      <c r="H5403" s="6"/>
      <c r="I5403" s="6"/>
      <c r="J5403" s="6"/>
      <c r="K5403" s="6"/>
      <c r="L5403" s="6"/>
      <c r="M5403" s="6"/>
      <c r="N5403" s="6"/>
      <c r="O5403" s="6"/>
      <c r="P5403" s="6"/>
      <c r="Q5403" s="6"/>
      <c r="R5403" s="6"/>
      <c r="S5403" s="6"/>
      <c r="T5403" s="6"/>
      <c r="U5403" s="6"/>
      <c r="V5403" s="6"/>
      <c r="W5403" s="6"/>
      <c r="X5403" s="6"/>
      <c r="Y5403" s="6"/>
      <c r="Z5403" s="6"/>
      <c r="AA5403" s="6"/>
      <c r="AB5403" s="6"/>
      <c r="AC5403" s="6"/>
      <c r="AD5403" s="6"/>
      <c r="AE5403" s="6"/>
      <c r="AF5403" s="6"/>
      <c r="AG5403" s="6"/>
      <c r="AH5403" s="6"/>
      <c r="AI5403" s="6"/>
      <c r="AJ5403" s="6"/>
      <c r="AK5403" s="6"/>
      <c r="AL5403" s="6"/>
      <c r="AM5403" s="6"/>
    </row>
    <row r="5404">
      <c r="A5404" s="6"/>
      <c r="B5404" s="6"/>
      <c r="C5404" s="6"/>
      <c r="D5404" s="6"/>
      <c r="E5404" s="6"/>
      <c r="F5404" s="6"/>
      <c r="G5404" s="6"/>
      <c r="H5404" s="6"/>
      <c r="I5404" s="6"/>
      <c r="J5404" s="6"/>
      <c r="K5404" s="6"/>
      <c r="L5404" s="6"/>
      <c r="M5404" s="6"/>
      <c r="N5404" s="6"/>
      <c r="O5404" s="6"/>
      <c r="P5404" s="6"/>
      <c r="Q5404" s="6"/>
      <c r="R5404" s="6"/>
      <c r="S5404" s="6"/>
      <c r="T5404" s="6"/>
      <c r="U5404" s="6"/>
      <c r="V5404" s="6"/>
      <c r="W5404" s="6"/>
      <c r="X5404" s="6"/>
      <c r="Y5404" s="6"/>
      <c r="Z5404" s="6"/>
      <c r="AA5404" s="6"/>
      <c r="AB5404" s="6"/>
      <c r="AC5404" s="6"/>
      <c r="AD5404" s="6"/>
      <c r="AE5404" s="6"/>
      <c r="AF5404" s="6"/>
      <c r="AG5404" s="6"/>
      <c r="AH5404" s="6"/>
      <c r="AI5404" s="6"/>
      <c r="AJ5404" s="6"/>
      <c r="AK5404" s="6"/>
      <c r="AL5404" s="6"/>
      <c r="AM5404" s="6"/>
    </row>
    <row r="5405">
      <c r="A5405" s="6"/>
      <c r="B5405" s="6"/>
      <c r="C5405" s="6"/>
      <c r="D5405" s="6"/>
      <c r="E5405" s="6"/>
      <c r="F5405" s="6"/>
      <c r="G5405" s="6"/>
      <c r="H5405" s="6"/>
      <c r="I5405" s="6"/>
      <c r="J5405" s="6"/>
      <c r="K5405" s="6"/>
      <c r="L5405" s="6"/>
      <c r="M5405" s="6"/>
      <c r="N5405" s="6"/>
      <c r="O5405" s="6"/>
      <c r="P5405" s="6"/>
      <c r="Q5405" s="6"/>
      <c r="R5405" s="6"/>
      <c r="S5405" s="6"/>
      <c r="T5405" s="6"/>
      <c r="U5405" s="6"/>
      <c r="V5405" s="6"/>
      <c r="W5405" s="6"/>
      <c r="X5405" s="6"/>
      <c r="Y5405" s="6"/>
      <c r="Z5405" s="6"/>
      <c r="AA5405" s="6"/>
      <c r="AB5405" s="6"/>
      <c r="AC5405" s="6"/>
      <c r="AD5405" s="6"/>
      <c r="AE5405" s="6"/>
      <c r="AF5405" s="6"/>
      <c r="AG5405" s="6"/>
      <c r="AH5405" s="6"/>
      <c r="AI5405" s="6"/>
      <c r="AJ5405" s="6"/>
      <c r="AK5405" s="6"/>
      <c r="AL5405" s="6"/>
      <c r="AM5405" s="6"/>
    </row>
    <row r="5406">
      <c r="A5406" s="6"/>
      <c r="B5406" s="6"/>
      <c r="C5406" s="6"/>
      <c r="D5406" s="6"/>
      <c r="E5406" s="6"/>
      <c r="F5406" s="6"/>
      <c r="G5406" s="6"/>
      <c r="H5406" s="6"/>
      <c r="I5406" s="6"/>
      <c r="J5406" s="6"/>
      <c r="K5406" s="6"/>
      <c r="L5406" s="6"/>
      <c r="M5406" s="6"/>
      <c r="N5406" s="6"/>
      <c r="O5406" s="6"/>
      <c r="P5406" s="6"/>
      <c r="Q5406" s="6"/>
      <c r="R5406" s="6"/>
      <c r="S5406" s="6"/>
      <c r="T5406" s="6"/>
      <c r="U5406" s="6"/>
      <c r="V5406" s="6"/>
      <c r="W5406" s="6"/>
      <c r="X5406" s="6"/>
      <c r="Y5406" s="6"/>
      <c r="Z5406" s="6"/>
      <c r="AA5406" s="6"/>
      <c r="AB5406" s="6"/>
      <c r="AC5406" s="6"/>
      <c r="AD5406" s="6"/>
      <c r="AE5406" s="6"/>
      <c r="AF5406" s="6"/>
      <c r="AG5406" s="6"/>
      <c r="AH5406" s="6"/>
      <c r="AI5406" s="6"/>
      <c r="AJ5406" s="6"/>
      <c r="AK5406" s="6"/>
      <c r="AL5406" s="6"/>
      <c r="AM5406" s="6"/>
    </row>
    <row r="5407">
      <c r="A5407" s="6"/>
      <c r="B5407" s="6"/>
      <c r="C5407" s="6"/>
      <c r="D5407" s="6"/>
      <c r="E5407" s="6"/>
      <c r="F5407" s="6"/>
      <c r="G5407" s="6"/>
      <c r="H5407" s="6"/>
      <c r="I5407" s="6"/>
      <c r="J5407" s="6"/>
      <c r="K5407" s="6"/>
      <c r="L5407" s="6"/>
      <c r="M5407" s="6"/>
      <c r="N5407" s="6"/>
      <c r="O5407" s="6"/>
      <c r="P5407" s="6"/>
      <c r="Q5407" s="6"/>
      <c r="R5407" s="6"/>
      <c r="S5407" s="6"/>
      <c r="T5407" s="6"/>
      <c r="U5407" s="6"/>
      <c r="V5407" s="6"/>
      <c r="W5407" s="6"/>
      <c r="X5407" s="6"/>
      <c r="Y5407" s="6"/>
      <c r="Z5407" s="6"/>
      <c r="AA5407" s="6"/>
      <c r="AB5407" s="6"/>
      <c r="AC5407" s="6"/>
      <c r="AD5407" s="6"/>
      <c r="AE5407" s="6"/>
      <c r="AF5407" s="6"/>
      <c r="AG5407" s="6"/>
      <c r="AH5407" s="6"/>
      <c r="AI5407" s="6"/>
      <c r="AJ5407" s="6"/>
      <c r="AK5407" s="6"/>
      <c r="AL5407" s="6"/>
      <c r="AM5407" s="6"/>
    </row>
    <row r="5408">
      <c r="A5408" s="6"/>
      <c r="B5408" s="6"/>
      <c r="C5408" s="6"/>
      <c r="D5408" s="6"/>
      <c r="E5408" s="6"/>
      <c r="F5408" s="6"/>
      <c r="G5408" s="6"/>
      <c r="H5408" s="6"/>
      <c r="I5408" s="6"/>
      <c r="J5408" s="6"/>
      <c r="K5408" s="6"/>
      <c r="L5408" s="6"/>
      <c r="M5408" s="6"/>
      <c r="N5408" s="6"/>
      <c r="O5408" s="6"/>
      <c r="P5408" s="6"/>
      <c r="Q5408" s="6"/>
      <c r="R5408" s="6"/>
      <c r="S5408" s="6"/>
      <c r="T5408" s="6"/>
      <c r="U5408" s="6"/>
      <c r="V5408" s="6"/>
      <c r="W5408" s="6"/>
      <c r="X5408" s="6"/>
      <c r="Y5408" s="6"/>
      <c r="Z5408" s="6"/>
      <c r="AA5408" s="6"/>
      <c r="AB5408" s="6"/>
      <c r="AC5408" s="6"/>
      <c r="AD5408" s="6"/>
      <c r="AE5408" s="6"/>
      <c r="AF5408" s="6"/>
      <c r="AG5408" s="6"/>
      <c r="AH5408" s="6"/>
      <c r="AI5408" s="6"/>
      <c r="AJ5408" s="6"/>
      <c r="AK5408" s="6"/>
      <c r="AL5408" s="6"/>
      <c r="AM5408" s="6"/>
    </row>
    <row r="5409">
      <c r="A5409" s="6"/>
      <c r="B5409" s="6"/>
      <c r="C5409" s="6"/>
      <c r="D5409" s="6"/>
      <c r="E5409" s="6"/>
      <c r="F5409" s="6"/>
      <c r="G5409" s="6"/>
      <c r="H5409" s="6"/>
      <c r="I5409" s="6"/>
      <c r="J5409" s="6"/>
      <c r="K5409" s="6"/>
      <c r="L5409" s="6"/>
      <c r="M5409" s="6"/>
      <c r="N5409" s="6"/>
      <c r="O5409" s="6"/>
      <c r="P5409" s="6"/>
      <c r="Q5409" s="6"/>
      <c r="R5409" s="6"/>
      <c r="S5409" s="6"/>
      <c r="T5409" s="6"/>
      <c r="U5409" s="6"/>
      <c r="V5409" s="6"/>
      <c r="W5409" s="6"/>
      <c r="X5409" s="6"/>
      <c r="Y5409" s="6"/>
      <c r="Z5409" s="6"/>
      <c r="AA5409" s="6"/>
      <c r="AB5409" s="6"/>
      <c r="AC5409" s="6"/>
      <c r="AD5409" s="6"/>
      <c r="AE5409" s="6"/>
      <c r="AF5409" s="6"/>
      <c r="AG5409" s="6"/>
      <c r="AH5409" s="6"/>
      <c r="AI5409" s="6"/>
      <c r="AJ5409" s="6"/>
      <c r="AK5409" s="6"/>
      <c r="AL5409" s="6"/>
      <c r="AM5409" s="6"/>
    </row>
    <row r="5410">
      <c r="A5410" s="6"/>
      <c r="B5410" s="6"/>
      <c r="C5410" s="6"/>
      <c r="D5410" s="6"/>
      <c r="E5410" s="6"/>
      <c r="F5410" s="6"/>
      <c r="G5410" s="6"/>
      <c r="H5410" s="6"/>
      <c r="I5410" s="6"/>
      <c r="J5410" s="6"/>
      <c r="K5410" s="6"/>
      <c r="L5410" s="6"/>
      <c r="M5410" s="6"/>
      <c r="N5410" s="6"/>
      <c r="O5410" s="6"/>
      <c r="P5410" s="6"/>
      <c r="Q5410" s="6"/>
      <c r="R5410" s="6"/>
      <c r="S5410" s="6"/>
      <c r="T5410" s="6"/>
      <c r="U5410" s="6"/>
      <c r="V5410" s="6"/>
      <c r="W5410" s="6"/>
      <c r="X5410" s="6"/>
      <c r="Y5410" s="6"/>
      <c r="Z5410" s="6"/>
      <c r="AA5410" s="6"/>
      <c r="AB5410" s="6"/>
      <c r="AC5410" s="6"/>
      <c r="AD5410" s="6"/>
      <c r="AE5410" s="6"/>
      <c r="AF5410" s="6"/>
      <c r="AG5410" s="6"/>
      <c r="AH5410" s="6"/>
      <c r="AI5410" s="6"/>
      <c r="AJ5410" s="6"/>
      <c r="AK5410" s="6"/>
      <c r="AL5410" s="6"/>
      <c r="AM5410" s="6"/>
    </row>
    <row r="5411">
      <c r="A5411" s="6"/>
      <c r="B5411" s="6"/>
      <c r="C5411" s="6"/>
      <c r="D5411" s="6"/>
      <c r="E5411" s="6"/>
      <c r="F5411" s="6"/>
      <c r="G5411" s="6"/>
      <c r="H5411" s="6"/>
      <c r="I5411" s="6"/>
      <c r="J5411" s="6"/>
      <c r="K5411" s="6"/>
      <c r="L5411" s="6"/>
      <c r="M5411" s="6"/>
      <c r="N5411" s="6"/>
      <c r="O5411" s="6"/>
      <c r="P5411" s="6"/>
      <c r="Q5411" s="6"/>
      <c r="R5411" s="6"/>
      <c r="S5411" s="6"/>
      <c r="T5411" s="6"/>
      <c r="U5411" s="6"/>
      <c r="V5411" s="6"/>
      <c r="W5411" s="6"/>
      <c r="X5411" s="6"/>
      <c r="Y5411" s="6"/>
      <c r="Z5411" s="6"/>
      <c r="AA5411" s="6"/>
      <c r="AB5411" s="6"/>
      <c r="AC5411" s="6"/>
      <c r="AD5411" s="6"/>
      <c r="AE5411" s="6"/>
      <c r="AF5411" s="6"/>
      <c r="AG5411" s="6"/>
      <c r="AH5411" s="6"/>
      <c r="AI5411" s="6"/>
      <c r="AJ5411" s="6"/>
      <c r="AK5411" s="6"/>
      <c r="AL5411" s="6"/>
      <c r="AM5411" s="6"/>
    </row>
    <row r="5412">
      <c r="A5412" s="6"/>
      <c r="B5412" s="6"/>
      <c r="C5412" s="6"/>
      <c r="D5412" s="6"/>
      <c r="E5412" s="6"/>
      <c r="F5412" s="6"/>
      <c r="G5412" s="6"/>
      <c r="H5412" s="6"/>
      <c r="I5412" s="6"/>
      <c r="J5412" s="6"/>
      <c r="K5412" s="6"/>
      <c r="L5412" s="6"/>
      <c r="M5412" s="6"/>
      <c r="N5412" s="6"/>
      <c r="O5412" s="6"/>
      <c r="P5412" s="6"/>
      <c r="Q5412" s="6"/>
      <c r="R5412" s="6"/>
      <c r="S5412" s="6"/>
      <c r="T5412" s="6"/>
      <c r="U5412" s="6"/>
      <c r="V5412" s="6"/>
      <c r="W5412" s="6"/>
      <c r="X5412" s="6"/>
      <c r="Y5412" s="6"/>
      <c r="Z5412" s="6"/>
      <c r="AA5412" s="6"/>
      <c r="AB5412" s="6"/>
      <c r="AC5412" s="6"/>
      <c r="AD5412" s="6"/>
      <c r="AE5412" s="6"/>
      <c r="AF5412" s="6"/>
      <c r="AG5412" s="6"/>
      <c r="AH5412" s="6"/>
      <c r="AI5412" s="6"/>
      <c r="AJ5412" s="6"/>
      <c r="AK5412" s="6"/>
      <c r="AL5412" s="6"/>
      <c r="AM5412" s="6"/>
    </row>
    <row r="5413">
      <c r="A5413" s="6"/>
      <c r="B5413" s="6"/>
      <c r="C5413" s="6"/>
      <c r="D5413" s="6"/>
      <c r="E5413" s="6"/>
      <c r="F5413" s="6"/>
      <c r="G5413" s="6"/>
      <c r="H5413" s="6"/>
      <c r="I5413" s="6"/>
      <c r="J5413" s="6"/>
      <c r="K5413" s="6"/>
      <c r="L5413" s="6"/>
      <c r="M5413" s="6"/>
      <c r="N5413" s="6"/>
      <c r="O5413" s="6"/>
      <c r="P5413" s="6"/>
      <c r="Q5413" s="6"/>
      <c r="R5413" s="6"/>
      <c r="S5413" s="6"/>
      <c r="T5413" s="6"/>
      <c r="U5413" s="6"/>
      <c r="V5413" s="6"/>
      <c r="W5413" s="6"/>
      <c r="X5413" s="6"/>
      <c r="Y5413" s="6"/>
      <c r="Z5413" s="6"/>
      <c r="AA5413" s="6"/>
      <c r="AB5413" s="6"/>
      <c r="AC5413" s="6"/>
      <c r="AD5413" s="6"/>
      <c r="AE5413" s="6"/>
      <c r="AF5413" s="6"/>
      <c r="AG5413" s="6"/>
      <c r="AH5413" s="6"/>
      <c r="AI5413" s="6"/>
      <c r="AJ5413" s="6"/>
      <c r="AK5413" s="6"/>
      <c r="AL5413" s="6"/>
      <c r="AM5413" s="6"/>
    </row>
    <row r="5414">
      <c r="A5414" s="6"/>
      <c r="B5414" s="6"/>
      <c r="C5414" s="6"/>
      <c r="D5414" s="6"/>
      <c r="E5414" s="6"/>
      <c r="F5414" s="6"/>
      <c r="G5414" s="6"/>
      <c r="H5414" s="6"/>
      <c r="I5414" s="6"/>
      <c r="J5414" s="6"/>
      <c r="K5414" s="6"/>
      <c r="L5414" s="6"/>
      <c r="M5414" s="6"/>
      <c r="N5414" s="6"/>
      <c r="O5414" s="6"/>
      <c r="P5414" s="6"/>
      <c r="Q5414" s="6"/>
      <c r="R5414" s="6"/>
      <c r="S5414" s="6"/>
      <c r="T5414" s="6"/>
      <c r="U5414" s="6"/>
      <c r="V5414" s="6"/>
      <c r="W5414" s="6"/>
      <c r="X5414" s="6"/>
      <c r="Y5414" s="6"/>
      <c r="Z5414" s="6"/>
      <c r="AA5414" s="6"/>
      <c r="AB5414" s="6"/>
      <c r="AC5414" s="6"/>
      <c r="AD5414" s="6"/>
      <c r="AE5414" s="6"/>
      <c r="AF5414" s="6"/>
      <c r="AG5414" s="6"/>
      <c r="AH5414" s="6"/>
      <c r="AI5414" s="6"/>
      <c r="AJ5414" s="6"/>
      <c r="AK5414" s="6"/>
      <c r="AL5414" s="6"/>
      <c r="AM5414" s="6"/>
    </row>
    <row r="5415">
      <c r="A5415" s="6"/>
      <c r="B5415" s="6"/>
      <c r="C5415" s="6"/>
      <c r="D5415" s="6"/>
      <c r="E5415" s="6"/>
      <c r="F5415" s="6"/>
      <c r="G5415" s="6"/>
      <c r="H5415" s="6"/>
      <c r="I5415" s="6"/>
      <c r="J5415" s="6"/>
      <c r="K5415" s="6"/>
      <c r="L5415" s="6"/>
      <c r="M5415" s="6"/>
      <c r="N5415" s="6"/>
      <c r="O5415" s="6"/>
      <c r="P5415" s="6"/>
      <c r="Q5415" s="6"/>
      <c r="R5415" s="6"/>
      <c r="S5415" s="6"/>
      <c r="T5415" s="6"/>
      <c r="U5415" s="6"/>
      <c r="V5415" s="6"/>
      <c r="W5415" s="6"/>
      <c r="X5415" s="6"/>
      <c r="Y5415" s="6"/>
      <c r="Z5415" s="6"/>
      <c r="AA5415" s="6"/>
      <c r="AB5415" s="6"/>
      <c r="AC5415" s="6"/>
      <c r="AD5415" s="6"/>
      <c r="AE5415" s="6"/>
      <c r="AF5415" s="6"/>
      <c r="AG5415" s="6"/>
      <c r="AH5415" s="6"/>
      <c r="AI5415" s="6"/>
      <c r="AJ5415" s="6"/>
      <c r="AK5415" s="6"/>
      <c r="AL5415" s="6"/>
      <c r="AM5415" s="6"/>
    </row>
    <row r="5416">
      <c r="A5416" s="6"/>
      <c r="B5416" s="6"/>
      <c r="C5416" s="6"/>
      <c r="D5416" s="6"/>
      <c r="E5416" s="6"/>
      <c r="F5416" s="6"/>
      <c r="G5416" s="6"/>
      <c r="H5416" s="6"/>
      <c r="I5416" s="6"/>
      <c r="J5416" s="6"/>
      <c r="K5416" s="6"/>
      <c r="L5416" s="6"/>
      <c r="M5416" s="6"/>
      <c r="N5416" s="6"/>
      <c r="O5416" s="6"/>
      <c r="P5416" s="6"/>
      <c r="Q5416" s="6"/>
      <c r="R5416" s="6"/>
      <c r="S5416" s="6"/>
      <c r="T5416" s="6"/>
      <c r="U5416" s="6"/>
      <c r="V5416" s="6"/>
      <c r="W5416" s="6"/>
      <c r="X5416" s="6"/>
      <c r="Y5416" s="6"/>
      <c r="Z5416" s="6"/>
      <c r="AA5416" s="6"/>
      <c r="AB5416" s="6"/>
      <c r="AC5416" s="6"/>
      <c r="AD5416" s="6"/>
      <c r="AE5416" s="6"/>
      <c r="AF5416" s="6"/>
      <c r="AG5416" s="6"/>
      <c r="AH5416" s="6"/>
      <c r="AI5416" s="6"/>
      <c r="AJ5416" s="6"/>
      <c r="AK5416" s="6"/>
      <c r="AL5416" s="6"/>
      <c r="AM5416" s="6"/>
    </row>
    <row r="5417">
      <c r="A5417" s="6"/>
      <c r="B5417" s="6"/>
      <c r="C5417" s="6"/>
      <c r="D5417" s="6"/>
      <c r="E5417" s="6"/>
      <c r="F5417" s="6"/>
      <c r="G5417" s="6"/>
      <c r="H5417" s="6"/>
      <c r="I5417" s="6"/>
      <c r="J5417" s="6"/>
      <c r="K5417" s="6"/>
      <c r="L5417" s="6"/>
      <c r="M5417" s="6"/>
      <c r="N5417" s="6"/>
      <c r="O5417" s="6"/>
      <c r="P5417" s="6"/>
      <c r="Q5417" s="6"/>
      <c r="R5417" s="6"/>
      <c r="S5417" s="6"/>
      <c r="T5417" s="6"/>
      <c r="U5417" s="6"/>
      <c r="V5417" s="6"/>
      <c r="W5417" s="6"/>
      <c r="X5417" s="6"/>
      <c r="Y5417" s="6"/>
      <c r="Z5417" s="6"/>
      <c r="AA5417" s="6"/>
      <c r="AB5417" s="6"/>
      <c r="AC5417" s="6"/>
      <c r="AD5417" s="6"/>
      <c r="AE5417" s="6"/>
      <c r="AF5417" s="6"/>
      <c r="AG5417" s="6"/>
      <c r="AH5417" s="6"/>
      <c r="AI5417" s="6"/>
      <c r="AJ5417" s="6"/>
      <c r="AK5417" s="6"/>
      <c r="AL5417" s="6"/>
      <c r="AM5417" s="6"/>
    </row>
    <row r="5418">
      <c r="A5418" s="6"/>
      <c r="B5418" s="6"/>
      <c r="C5418" s="6"/>
      <c r="D5418" s="6"/>
      <c r="E5418" s="6"/>
      <c r="F5418" s="6"/>
      <c r="G5418" s="6"/>
      <c r="H5418" s="6"/>
      <c r="I5418" s="6"/>
      <c r="J5418" s="6"/>
      <c r="K5418" s="6"/>
      <c r="L5418" s="6"/>
      <c r="M5418" s="6"/>
      <c r="N5418" s="6"/>
      <c r="O5418" s="6"/>
      <c r="P5418" s="6"/>
      <c r="Q5418" s="6"/>
      <c r="R5418" s="6"/>
      <c r="S5418" s="6"/>
      <c r="T5418" s="6"/>
      <c r="U5418" s="6"/>
      <c r="V5418" s="6"/>
      <c r="W5418" s="6"/>
      <c r="X5418" s="6"/>
      <c r="Y5418" s="6"/>
      <c r="Z5418" s="6"/>
      <c r="AA5418" s="6"/>
      <c r="AB5418" s="6"/>
      <c r="AC5418" s="6"/>
      <c r="AD5418" s="6"/>
      <c r="AE5418" s="6"/>
      <c r="AF5418" s="6"/>
      <c r="AG5418" s="6"/>
      <c r="AH5418" s="6"/>
      <c r="AI5418" s="6"/>
      <c r="AJ5418" s="6"/>
      <c r="AK5418" s="6"/>
      <c r="AL5418" s="6"/>
      <c r="AM5418" s="6"/>
    </row>
    <row r="5419">
      <c r="A5419" s="6"/>
      <c r="B5419" s="6"/>
      <c r="C5419" s="6"/>
      <c r="D5419" s="6"/>
      <c r="E5419" s="6"/>
      <c r="F5419" s="6"/>
      <c r="G5419" s="6"/>
      <c r="H5419" s="6"/>
      <c r="I5419" s="6"/>
      <c r="J5419" s="6"/>
      <c r="K5419" s="6"/>
      <c r="L5419" s="6"/>
      <c r="M5419" s="6"/>
      <c r="N5419" s="6"/>
      <c r="O5419" s="6"/>
      <c r="P5419" s="6"/>
      <c r="Q5419" s="6"/>
      <c r="R5419" s="6"/>
      <c r="S5419" s="6"/>
      <c r="T5419" s="6"/>
      <c r="U5419" s="6"/>
      <c r="V5419" s="6"/>
      <c r="W5419" s="6"/>
      <c r="X5419" s="6"/>
      <c r="Y5419" s="6"/>
      <c r="Z5419" s="6"/>
      <c r="AA5419" s="6"/>
      <c r="AB5419" s="6"/>
      <c r="AC5419" s="6"/>
      <c r="AD5419" s="6"/>
      <c r="AE5419" s="6"/>
      <c r="AF5419" s="6"/>
      <c r="AG5419" s="6"/>
      <c r="AH5419" s="6"/>
      <c r="AI5419" s="6"/>
      <c r="AJ5419" s="6"/>
      <c r="AK5419" s="6"/>
      <c r="AL5419" s="6"/>
      <c r="AM5419" s="6"/>
    </row>
    <row r="5420">
      <c r="A5420" s="6"/>
      <c r="B5420" s="6"/>
      <c r="C5420" s="6"/>
      <c r="D5420" s="6"/>
      <c r="E5420" s="6"/>
      <c r="F5420" s="6"/>
      <c r="G5420" s="6"/>
      <c r="H5420" s="6"/>
      <c r="I5420" s="6"/>
      <c r="J5420" s="6"/>
      <c r="K5420" s="6"/>
      <c r="L5420" s="6"/>
      <c r="M5420" s="6"/>
      <c r="N5420" s="6"/>
      <c r="O5420" s="6"/>
      <c r="P5420" s="6"/>
      <c r="Q5420" s="6"/>
      <c r="R5420" s="6"/>
      <c r="S5420" s="6"/>
      <c r="T5420" s="6"/>
      <c r="U5420" s="6"/>
      <c r="V5420" s="6"/>
      <c r="W5420" s="6"/>
      <c r="X5420" s="6"/>
      <c r="Y5420" s="6"/>
      <c r="Z5420" s="6"/>
      <c r="AA5420" s="6"/>
      <c r="AB5420" s="6"/>
      <c r="AC5420" s="6"/>
      <c r="AD5420" s="6"/>
      <c r="AE5420" s="6"/>
      <c r="AF5420" s="6"/>
      <c r="AG5420" s="6"/>
      <c r="AH5420" s="6"/>
      <c r="AI5420" s="6"/>
      <c r="AJ5420" s="6"/>
      <c r="AK5420" s="6"/>
      <c r="AL5420" s="6"/>
      <c r="AM5420" s="6"/>
    </row>
    <row r="5421">
      <c r="A5421" s="6"/>
      <c r="B5421" s="6"/>
      <c r="C5421" s="6"/>
      <c r="D5421" s="6"/>
      <c r="E5421" s="6"/>
      <c r="F5421" s="6"/>
      <c r="G5421" s="6"/>
      <c r="H5421" s="6"/>
      <c r="I5421" s="6"/>
      <c r="J5421" s="6"/>
      <c r="K5421" s="6"/>
      <c r="L5421" s="6"/>
      <c r="M5421" s="6"/>
      <c r="N5421" s="6"/>
      <c r="O5421" s="6"/>
      <c r="P5421" s="6"/>
      <c r="Q5421" s="6"/>
      <c r="R5421" s="6"/>
      <c r="S5421" s="6"/>
      <c r="T5421" s="6"/>
      <c r="U5421" s="6"/>
      <c r="V5421" s="6"/>
      <c r="W5421" s="6"/>
      <c r="X5421" s="6"/>
      <c r="Y5421" s="6"/>
      <c r="Z5421" s="6"/>
      <c r="AA5421" s="6"/>
      <c r="AB5421" s="6"/>
      <c r="AC5421" s="6"/>
      <c r="AD5421" s="6"/>
      <c r="AE5421" s="6"/>
      <c r="AF5421" s="6"/>
      <c r="AG5421" s="6"/>
      <c r="AH5421" s="6"/>
      <c r="AI5421" s="6"/>
      <c r="AJ5421" s="6"/>
      <c r="AK5421" s="6"/>
      <c r="AL5421" s="6"/>
      <c r="AM5421" s="6"/>
    </row>
    <row r="5422">
      <c r="A5422" s="6"/>
      <c r="B5422" s="6"/>
      <c r="C5422" s="6"/>
      <c r="D5422" s="6"/>
      <c r="E5422" s="6"/>
      <c r="F5422" s="6"/>
      <c r="G5422" s="6"/>
      <c r="H5422" s="6"/>
      <c r="I5422" s="6"/>
      <c r="J5422" s="6"/>
      <c r="K5422" s="6"/>
      <c r="L5422" s="6"/>
      <c r="M5422" s="6"/>
      <c r="N5422" s="6"/>
      <c r="O5422" s="6"/>
      <c r="P5422" s="6"/>
      <c r="Q5422" s="6"/>
      <c r="R5422" s="6"/>
      <c r="S5422" s="6"/>
      <c r="T5422" s="6"/>
      <c r="U5422" s="6"/>
      <c r="V5422" s="6"/>
      <c r="W5422" s="6"/>
      <c r="X5422" s="6"/>
      <c r="Y5422" s="6"/>
      <c r="Z5422" s="6"/>
      <c r="AA5422" s="6"/>
      <c r="AB5422" s="6"/>
      <c r="AC5422" s="6"/>
      <c r="AD5422" s="6"/>
      <c r="AE5422" s="6"/>
      <c r="AF5422" s="6"/>
      <c r="AG5422" s="6"/>
      <c r="AH5422" s="6"/>
      <c r="AI5422" s="6"/>
      <c r="AJ5422" s="6"/>
      <c r="AK5422" s="6"/>
      <c r="AL5422" s="6"/>
      <c r="AM5422" s="6"/>
    </row>
    <row r="5423">
      <c r="A5423" s="6"/>
      <c r="B5423" s="6"/>
      <c r="C5423" s="6"/>
      <c r="D5423" s="6"/>
      <c r="E5423" s="6"/>
      <c r="F5423" s="6"/>
      <c r="G5423" s="6"/>
      <c r="H5423" s="6"/>
      <c r="I5423" s="6"/>
      <c r="J5423" s="6"/>
      <c r="K5423" s="6"/>
      <c r="L5423" s="6"/>
      <c r="M5423" s="6"/>
      <c r="N5423" s="6"/>
      <c r="O5423" s="6"/>
      <c r="P5423" s="6"/>
      <c r="Q5423" s="6"/>
      <c r="R5423" s="6"/>
      <c r="S5423" s="6"/>
      <c r="T5423" s="6"/>
      <c r="U5423" s="6"/>
      <c r="V5423" s="6"/>
      <c r="W5423" s="6"/>
      <c r="X5423" s="6"/>
      <c r="Y5423" s="6"/>
      <c r="Z5423" s="6"/>
      <c r="AA5423" s="6"/>
      <c r="AB5423" s="6"/>
      <c r="AC5423" s="6"/>
      <c r="AD5423" s="6"/>
      <c r="AE5423" s="6"/>
      <c r="AF5423" s="6"/>
      <c r="AG5423" s="6"/>
      <c r="AH5423" s="6"/>
      <c r="AI5423" s="6"/>
      <c r="AJ5423" s="6"/>
      <c r="AK5423" s="6"/>
      <c r="AL5423" s="6"/>
      <c r="AM5423" s="6"/>
    </row>
    <row r="5424">
      <c r="A5424" s="6"/>
      <c r="B5424" s="6"/>
      <c r="C5424" s="6"/>
      <c r="D5424" s="6"/>
      <c r="E5424" s="6"/>
      <c r="F5424" s="6"/>
      <c r="G5424" s="6"/>
      <c r="H5424" s="6"/>
      <c r="I5424" s="6"/>
      <c r="J5424" s="6"/>
      <c r="K5424" s="6"/>
      <c r="L5424" s="6"/>
      <c r="M5424" s="6"/>
      <c r="N5424" s="6"/>
      <c r="O5424" s="6"/>
      <c r="P5424" s="6"/>
      <c r="Q5424" s="6"/>
      <c r="R5424" s="6"/>
      <c r="S5424" s="6"/>
      <c r="T5424" s="6"/>
      <c r="U5424" s="6"/>
      <c r="V5424" s="6"/>
      <c r="W5424" s="6"/>
      <c r="X5424" s="6"/>
      <c r="Y5424" s="6"/>
      <c r="Z5424" s="6"/>
      <c r="AA5424" s="6"/>
      <c r="AB5424" s="6"/>
      <c r="AC5424" s="6"/>
      <c r="AD5424" s="6"/>
      <c r="AE5424" s="6"/>
      <c r="AF5424" s="6"/>
      <c r="AG5424" s="6"/>
      <c r="AH5424" s="6"/>
      <c r="AI5424" s="6"/>
      <c r="AJ5424" s="6"/>
      <c r="AK5424" s="6"/>
      <c r="AL5424" s="6"/>
      <c r="AM5424" s="6"/>
    </row>
    <row r="5425">
      <c r="A5425" s="6"/>
      <c r="B5425" s="6"/>
      <c r="C5425" s="6"/>
      <c r="D5425" s="6"/>
      <c r="E5425" s="6"/>
      <c r="F5425" s="6"/>
      <c r="G5425" s="6"/>
      <c r="H5425" s="6"/>
      <c r="I5425" s="6"/>
      <c r="J5425" s="6"/>
      <c r="K5425" s="6"/>
      <c r="L5425" s="6"/>
      <c r="M5425" s="6"/>
      <c r="N5425" s="6"/>
      <c r="O5425" s="6"/>
      <c r="P5425" s="6"/>
      <c r="Q5425" s="6"/>
      <c r="R5425" s="6"/>
      <c r="S5425" s="6"/>
      <c r="T5425" s="6"/>
      <c r="U5425" s="6"/>
      <c r="V5425" s="6"/>
      <c r="W5425" s="6"/>
      <c r="X5425" s="6"/>
      <c r="Y5425" s="6"/>
      <c r="Z5425" s="6"/>
      <c r="AA5425" s="6"/>
      <c r="AB5425" s="6"/>
      <c r="AC5425" s="6"/>
      <c r="AD5425" s="6"/>
      <c r="AE5425" s="6"/>
      <c r="AF5425" s="6"/>
      <c r="AG5425" s="6"/>
      <c r="AH5425" s="6"/>
      <c r="AI5425" s="6"/>
      <c r="AJ5425" s="6"/>
      <c r="AK5425" s="6"/>
      <c r="AL5425" s="6"/>
      <c r="AM5425" s="6"/>
    </row>
    <row r="5426">
      <c r="A5426" s="6"/>
      <c r="B5426" s="6"/>
      <c r="C5426" s="6"/>
      <c r="D5426" s="6"/>
      <c r="E5426" s="6"/>
      <c r="F5426" s="6"/>
      <c r="G5426" s="6"/>
      <c r="H5426" s="6"/>
      <c r="I5426" s="6"/>
      <c r="J5426" s="6"/>
      <c r="K5426" s="6"/>
      <c r="L5426" s="6"/>
      <c r="M5426" s="6"/>
      <c r="N5426" s="6"/>
      <c r="O5426" s="6"/>
      <c r="P5426" s="6"/>
      <c r="Q5426" s="6"/>
      <c r="R5426" s="6"/>
      <c r="S5426" s="6"/>
      <c r="T5426" s="6"/>
      <c r="U5426" s="6"/>
      <c r="V5426" s="6"/>
      <c r="W5426" s="6"/>
      <c r="X5426" s="6"/>
      <c r="Y5426" s="6"/>
      <c r="Z5426" s="6"/>
      <c r="AA5426" s="6"/>
      <c r="AB5426" s="6"/>
      <c r="AC5426" s="6"/>
      <c r="AD5426" s="6"/>
      <c r="AE5426" s="6"/>
      <c r="AF5426" s="6"/>
      <c r="AG5426" s="6"/>
      <c r="AH5426" s="6"/>
      <c r="AI5426" s="6"/>
      <c r="AJ5426" s="6"/>
      <c r="AK5426" s="6"/>
      <c r="AL5426" s="6"/>
      <c r="AM5426" s="6"/>
    </row>
    <row r="5427">
      <c r="A5427" s="6"/>
      <c r="B5427" s="6"/>
      <c r="C5427" s="6"/>
      <c r="D5427" s="6"/>
      <c r="E5427" s="6"/>
      <c r="F5427" s="6"/>
      <c r="G5427" s="6"/>
      <c r="H5427" s="6"/>
      <c r="I5427" s="6"/>
      <c r="J5427" s="6"/>
      <c r="K5427" s="6"/>
      <c r="L5427" s="6"/>
      <c r="M5427" s="6"/>
      <c r="N5427" s="6"/>
      <c r="O5427" s="6"/>
      <c r="P5427" s="6"/>
      <c r="Q5427" s="6"/>
      <c r="R5427" s="6"/>
      <c r="S5427" s="6"/>
      <c r="T5427" s="6"/>
      <c r="U5427" s="6"/>
      <c r="V5427" s="6"/>
      <c r="W5427" s="6"/>
      <c r="X5427" s="6"/>
      <c r="Y5427" s="6"/>
      <c r="Z5427" s="6"/>
      <c r="AA5427" s="6"/>
      <c r="AB5427" s="6"/>
      <c r="AC5427" s="6"/>
      <c r="AD5427" s="6"/>
      <c r="AE5427" s="6"/>
      <c r="AF5427" s="6"/>
      <c r="AG5427" s="6"/>
      <c r="AH5427" s="6"/>
      <c r="AI5427" s="6"/>
      <c r="AJ5427" s="6"/>
      <c r="AK5427" s="6"/>
      <c r="AL5427" s="6"/>
      <c r="AM5427" s="6"/>
    </row>
    <row r="5428">
      <c r="A5428" s="6"/>
      <c r="B5428" s="6"/>
      <c r="C5428" s="6"/>
      <c r="D5428" s="6"/>
      <c r="E5428" s="6"/>
      <c r="F5428" s="6"/>
      <c r="G5428" s="6"/>
      <c r="H5428" s="6"/>
      <c r="I5428" s="6"/>
      <c r="J5428" s="6"/>
      <c r="K5428" s="6"/>
      <c r="L5428" s="6"/>
      <c r="M5428" s="6"/>
      <c r="N5428" s="6"/>
      <c r="O5428" s="6"/>
      <c r="P5428" s="6"/>
      <c r="Q5428" s="6"/>
      <c r="R5428" s="6"/>
      <c r="S5428" s="6"/>
      <c r="T5428" s="6"/>
      <c r="U5428" s="6"/>
      <c r="V5428" s="6"/>
      <c r="W5428" s="6"/>
      <c r="X5428" s="6"/>
      <c r="Y5428" s="6"/>
      <c r="Z5428" s="6"/>
      <c r="AA5428" s="6"/>
      <c r="AB5428" s="6"/>
      <c r="AC5428" s="6"/>
      <c r="AD5428" s="6"/>
      <c r="AE5428" s="6"/>
      <c r="AF5428" s="6"/>
      <c r="AG5428" s="6"/>
      <c r="AH5428" s="6"/>
      <c r="AI5428" s="6"/>
      <c r="AJ5428" s="6"/>
      <c r="AK5428" s="6"/>
      <c r="AL5428" s="6"/>
      <c r="AM5428" s="6"/>
    </row>
    <row r="5429">
      <c r="A5429" s="6"/>
      <c r="B5429" s="6"/>
      <c r="C5429" s="6"/>
      <c r="D5429" s="6"/>
      <c r="E5429" s="6"/>
      <c r="F5429" s="6"/>
      <c r="G5429" s="6"/>
      <c r="H5429" s="6"/>
      <c r="I5429" s="6"/>
      <c r="J5429" s="6"/>
      <c r="K5429" s="6"/>
      <c r="L5429" s="6"/>
      <c r="M5429" s="6"/>
      <c r="N5429" s="6"/>
      <c r="O5429" s="6"/>
      <c r="P5429" s="6"/>
      <c r="Q5429" s="6"/>
      <c r="R5429" s="6"/>
      <c r="S5429" s="6"/>
      <c r="T5429" s="6"/>
      <c r="U5429" s="6"/>
      <c r="V5429" s="6"/>
      <c r="W5429" s="6"/>
      <c r="X5429" s="6"/>
      <c r="Y5429" s="6"/>
      <c r="Z5429" s="6"/>
      <c r="AA5429" s="6"/>
      <c r="AB5429" s="6"/>
      <c r="AC5429" s="6"/>
      <c r="AD5429" s="6"/>
      <c r="AE5429" s="6"/>
      <c r="AF5429" s="6"/>
      <c r="AG5429" s="6"/>
      <c r="AH5429" s="6"/>
      <c r="AI5429" s="6"/>
      <c r="AJ5429" s="6"/>
      <c r="AK5429" s="6"/>
      <c r="AL5429" s="6"/>
      <c r="AM5429" s="6"/>
    </row>
    <row r="5430">
      <c r="A5430" s="6"/>
      <c r="B5430" s="6"/>
      <c r="C5430" s="6"/>
      <c r="D5430" s="6"/>
      <c r="E5430" s="6"/>
      <c r="F5430" s="6"/>
      <c r="G5430" s="6"/>
      <c r="H5430" s="6"/>
      <c r="I5430" s="6"/>
      <c r="J5430" s="6"/>
      <c r="K5430" s="6"/>
      <c r="L5430" s="6"/>
      <c r="M5430" s="6"/>
      <c r="N5430" s="6"/>
      <c r="O5430" s="6"/>
      <c r="P5430" s="6"/>
      <c r="Q5430" s="6"/>
      <c r="R5430" s="6"/>
      <c r="S5430" s="6"/>
      <c r="T5430" s="6"/>
      <c r="U5430" s="6"/>
      <c r="V5430" s="6"/>
      <c r="W5430" s="6"/>
      <c r="X5430" s="6"/>
      <c r="Y5430" s="6"/>
      <c r="Z5430" s="6"/>
      <c r="AA5430" s="6"/>
      <c r="AB5430" s="6"/>
      <c r="AC5430" s="6"/>
      <c r="AD5430" s="6"/>
      <c r="AE5430" s="6"/>
      <c r="AF5430" s="6"/>
      <c r="AG5430" s="6"/>
      <c r="AH5430" s="6"/>
      <c r="AI5430" s="6"/>
      <c r="AJ5430" s="6"/>
      <c r="AK5430" s="6"/>
      <c r="AL5430" s="6"/>
      <c r="AM5430" s="6"/>
    </row>
    <row r="5431">
      <c r="A5431" s="6"/>
      <c r="B5431" s="6"/>
      <c r="C5431" s="6"/>
      <c r="D5431" s="6"/>
      <c r="E5431" s="6"/>
      <c r="F5431" s="6"/>
      <c r="G5431" s="6"/>
      <c r="H5431" s="6"/>
      <c r="I5431" s="6"/>
      <c r="J5431" s="6"/>
      <c r="K5431" s="6"/>
      <c r="L5431" s="6"/>
      <c r="M5431" s="6"/>
      <c r="N5431" s="6"/>
      <c r="O5431" s="6"/>
      <c r="P5431" s="6"/>
      <c r="Q5431" s="6"/>
      <c r="R5431" s="6"/>
      <c r="S5431" s="6"/>
      <c r="T5431" s="6"/>
      <c r="U5431" s="6"/>
      <c r="V5431" s="6"/>
      <c r="W5431" s="6"/>
      <c r="X5431" s="6"/>
      <c r="Y5431" s="6"/>
      <c r="Z5431" s="6"/>
      <c r="AA5431" s="6"/>
      <c r="AB5431" s="6"/>
      <c r="AC5431" s="6"/>
      <c r="AD5431" s="6"/>
      <c r="AE5431" s="6"/>
      <c r="AF5431" s="6"/>
      <c r="AG5431" s="6"/>
      <c r="AH5431" s="6"/>
      <c r="AI5431" s="6"/>
      <c r="AJ5431" s="6"/>
      <c r="AK5431" s="6"/>
      <c r="AL5431" s="6"/>
      <c r="AM5431" s="6"/>
    </row>
    <row r="5432">
      <c r="A5432" s="6"/>
      <c r="B5432" s="6"/>
      <c r="C5432" s="6"/>
      <c r="D5432" s="6"/>
      <c r="E5432" s="6"/>
      <c r="F5432" s="6"/>
      <c r="G5432" s="6"/>
      <c r="H5432" s="6"/>
      <c r="I5432" s="6"/>
      <c r="J5432" s="6"/>
      <c r="K5432" s="6"/>
      <c r="L5432" s="6"/>
      <c r="M5432" s="6"/>
      <c r="N5432" s="6"/>
      <c r="O5432" s="6"/>
      <c r="P5432" s="6"/>
      <c r="Q5432" s="6"/>
      <c r="R5432" s="6"/>
      <c r="S5432" s="6"/>
      <c r="T5432" s="6"/>
      <c r="U5432" s="6"/>
      <c r="V5432" s="6"/>
      <c r="W5432" s="6"/>
      <c r="X5432" s="6"/>
      <c r="Y5432" s="6"/>
      <c r="Z5432" s="6"/>
      <c r="AA5432" s="6"/>
      <c r="AB5432" s="6"/>
      <c r="AC5432" s="6"/>
      <c r="AD5432" s="6"/>
      <c r="AE5432" s="6"/>
      <c r="AF5432" s="6"/>
      <c r="AG5432" s="6"/>
      <c r="AH5432" s="6"/>
      <c r="AI5432" s="6"/>
      <c r="AJ5432" s="6"/>
      <c r="AK5432" s="6"/>
      <c r="AL5432" s="6"/>
      <c r="AM5432" s="6"/>
    </row>
    <row r="5433">
      <c r="A5433" s="6"/>
      <c r="B5433" s="6"/>
      <c r="C5433" s="6"/>
      <c r="D5433" s="6"/>
      <c r="E5433" s="6"/>
      <c r="F5433" s="6"/>
      <c r="G5433" s="6"/>
      <c r="H5433" s="6"/>
      <c r="I5433" s="6"/>
      <c r="J5433" s="6"/>
      <c r="K5433" s="6"/>
      <c r="L5433" s="6"/>
      <c r="M5433" s="6"/>
      <c r="N5433" s="6"/>
      <c r="O5433" s="6"/>
      <c r="P5433" s="6"/>
      <c r="Q5433" s="6"/>
      <c r="R5433" s="6"/>
      <c r="S5433" s="6"/>
      <c r="T5433" s="6"/>
      <c r="U5433" s="6"/>
      <c r="V5433" s="6"/>
      <c r="W5433" s="6"/>
      <c r="X5433" s="6"/>
      <c r="Y5433" s="6"/>
      <c r="Z5433" s="6"/>
      <c r="AA5433" s="6"/>
      <c r="AB5433" s="6"/>
      <c r="AC5433" s="6"/>
      <c r="AD5433" s="6"/>
      <c r="AE5433" s="6"/>
      <c r="AF5433" s="6"/>
      <c r="AG5433" s="6"/>
      <c r="AH5433" s="6"/>
      <c r="AI5433" s="6"/>
      <c r="AJ5433" s="6"/>
      <c r="AK5433" s="6"/>
      <c r="AL5433" s="6"/>
      <c r="AM5433" s="6"/>
    </row>
    <row r="5434">
      <c r="A5434" s="6"/>
      <c r="B5434" s="6"/>
      <c r="C5434" s="6"/>
      <c r="D5434" s="6"/>
      <c r="E5434" s="6"/>
      <c r="F5434" s="6"/>
      <c r="G5434" s="6"/>
      <c r="H5434" s="6"/>
      <c r="I5434" s="6"/>
      <c r="J5434" s="6"/>
      <c r="K5434" s="6"/>
      <c r="L5434" s="6"/>
      <c r="M5434" s="6"/>
      <c r="N5434" s="6"/>
      <c r="O5434" s="6"/>
      <c r="P5434" s="6"/>
      <c r="Q5434" s="6"/>
      <c r="R5434" s="6"/>
      <c r="S5434" s="6"/>
      <c r="T5434" s="6"/>
      <c r="U5434" s="6"/>
      <c r="V5434" s="6"/>
      <c r="W5434" s="6"/>
      <c r="X5434" s="6"/>
      <c r="Y5434" s="6"/>
      <c r="Z5434" s="6"/>
      <c r="AA5434" s="6"/>
      <c r="AB5434" s="6"/>
      <c r="AC5434" s="6"/>
      <c r="AD5434" s="6"/>
      <c r="AE5434" s="6"/>
      <c r="AF5434" s="6"/>
      <c r="AG5434" s="6"/>
      <c r="AH5434" s="6"/>
      <c r="AI5434" s="6"/>
      <c r="AJ5434" s="6"/>
      <c r="AK5434" s="6"/>
      <c r="AL5434" s="6"/>
      <c r="AM5434" s="6"/>
    </row>
    <row r="5435">
      <c r="A5435" s="6"/>
      <c r="B5435" s="6"/>
      <c r="C5435" s="6"/>
      <c r="D5435" s="6"/>
      <c r="E5435" s="6"/>
      <c r="F5435" s="6"/>
      <c r="G5435" s="6"/>
      <c r="H5435" s="6"/>
      <c r="I5435" s="6"/>
      <c r="J5435" s="6"/>
      <c r="K5435" s="6"/>
      <c r="L5435" s="6"/>
      <c r="M5435" s="6"/>
      <c r="N5435" s="6"/>
      <c r="O5435" s="6"/>
      <c r="P5435" s="6"/>
      <c r="Q5435" s="6"/>
      <c r="R5435" s="6"/>
      <c r="S5435" s="6"/>
      <c r="T5435" s="6"/>
      <c r="U5435" s="6"/>
      <c r="V5435" s="6"/>
      <c r="W5435" s="6"/>
      <c r="X5435" s="6"/>
      <c r="Y5435" s="6"/>
      <c r="Z5435" s="6"/>
      <c r="AA5435" s="6"/>
      <c r="AB5435" s="6"/>
      <c r="AC5435" s="6"/>
      <c r="AD5435" s="6"/>
      <c r="AE5435" s="6"/>
      <c r="AF5435" s="6"/>
      <c r="AG5435" s="6"/>
      <c r="AH5435" s="6"/>
      <c r="AI5435" s="6"/>
      <c r="AJ5435" s="6"/>
      <c r="AK5435" s="6"/>
      <c r="AL5435" s="6"/>
      <c r="AM5435" s="6"/>
    </row>
    <row r="5436">
      <c r="A5436" s="6"/>
      <c r="B5436" s="6"/>
      <c r="C5436" s="6"/>
      <c r="D5436" s="6"/>
      <c r="E5436" s="6"/>
      <c r="F5436" s="6"/>
      <c r="G5436" s="6"/>
      <c r="H5436" s="6"/>
      <c r="I5436" s="6"/>
      <c r="J5436" s="6"/>
      <c r="K5436" s="6"/>
      <c r="L5436" s="6"/>
      <c r="M5436" s="6"/>
      <c r="N5436" s="6"/>
      <c r="O5436" s="6"/>
      <c r="P5436" s="6"/>
      <c r="Q5436" s="6"/>
      <c r="R5436" s="6"/>
      <c r="S5436" s="6"/>
      <c r="T5436" s="6"/>
      <c r="U5436" s="6"/>
      <c r="V5436" s="6"/>
      <c r="W5436" s="6"/>
      <c r="X5436" s="6"/>
      <c r="Y5436" s="6"/>
      <c r="Z5436" s="6"/>
      <c r="AA5436" s="6"/>
      <c r="AB5436" s="6"/>
      <c r="AC5436" s="6"/>
      <c r="AD5436" s="6"/>
      <c r="AE5436" s="6"/>
      <c r="AF5436" s="6"/>
      <c r="AG5436" s="6"/>
      <c r="AH5436" s="6"/>
      <c r="AI5436" s="6"/>
      <c r="AJ5436" s="6"/>
      <c r="AK5436" s="6"/>
      <c r="AL5436" s="6"/>
      <c r="AM5436" s="6"/>
    </row>
    <row r="5437">
      <c r="A5437" s="6"/>
      <c r="B5437" s="6"/>
      <c r="C5437" s="6"/>
      <c r="D5437" s="6"/>
      <c r="E5437" s="6"/>
      <c r="F5437" s="6"/>
      <c r="G5437" s="6"/>
      <c r="H5437" s="6"/>
      <c r="I5437" s="6"/>
      <c r="J5437" s="6"/>
      <c r="K5437" s="6"/>
      <c r="L5437" s="6"/>
      <c r="M5437" s="6"/>
      <c r="N5437" s="6"/>
      <c r="O5437" s="6"/>
      <c r="P5437" s="6"/>
      <c r="Q5437" s="6"/>
      <c r="R5437" s="6"/>
      <c r="S5437" s="6"/>
      <c r="T5437" s="6"/>
      <c r="U5437" s="6"/>
      <c r="V5437" s="6"/>
      <c r="W5437" s="6"/>
      <c r="X5437" s="6"/>
      <c r="Y5437" s="6"/>
      <c r="Z5437" s="6"/>
      <c r="AA5437" s="6"/>
      <c r="AB5437" s="6"/>
      <c r="AC5437" s="6"/>
      <c r="AD5437" s="6"/>
      <c r="AE5437" s="6"/>
      <c r="AF5437" s="6"/>
      <c r="AG5437" s="6"/>
      <c r="AH5437" s="6"/>
      <c r="AI5437" s="6"/>
      <c r="AJ5437" s="6"/>
      <c r="AK5437" s="6"/>
      <c r="AL5437" s="6"/>
      <c r="AM5437" s="6"/>
    </row>
    <row r="5438">
      <c r="A5438" s="6"/>
      <c r="B5438" s="6"/>
      <c r="C5438" s="6"/>
      <c r="D5438" s="6"/>
      <c r="E5438" s="6"/>
      <c r="F5438" s="6"/>
      <c r="G5438" s="6"/>
      <c r="H5438" s="6"/>
      <c r="I5438" s="6"/>
      <c r="J5438" s="6"/>
      <c r="K5438" s="6"/>
      <c r="L5438" s="6"/>
      <c r="M5438" s="6"/>
      <c r="N5438" s="6"/>
      <c r="O5438" s="6"/>
      <c r="P5438" s="6"/>
      <c r="Q5438" s="6"/>
      <c r="R5438" s="6"/>
      <c r="S5438" s="6"/>
      <c r="T5438" s="6"/>
      <c r="U5438" s="6"/>
      <c r="V5438" s="6"/>
      <c r="W5438" s="6"/>
      <c r="X5438" s="6"/>
      <c r="Y5438" s="6"/>
      <c r="Z5438" s="6"/>
      <c r="AA5438" s="6"/>
      <c r="AB5438" s="6"/>
      <c r="AC5438" s="6"/>
      <c r="AD5438" s="6"/>
      <c r="AE5438" s="6"/>
      <c r="AF5438" s="6"/>
      <c r="AG5438" s="6"/>
      <c r="AH5438" s="6"/>
      <c r="AI5438" s="6"/>
      <c r="AJ5438" s="6"/>
      <c r="AK5438" s="6"/>
      <c r="AL5438" s="6"/>
      <c r="AM5438" s="6"/>
    </row>
    <row r="5439">
      <c r="A5439" s="6"/>
      <c r="B5439" s="6"/>
      <c r="C5439" s="6"/>
      <c r="D5439" s="6"/>
      <c r="E5439" s="6"/>
      <c r="F5439" s="6"/>
      <c r="G5439" s="6"/>
      <c r="H5439" s="6"/>
      <c r="I5439" s="6"/>
      <c r="J5439" s="6"/>
      <c r="K5439" s="6"/>
      <c r="L5439" s="6"/>
      <c r="M5439" s="6"/>
      <c r="N5439" s="6"/>
      <c r="O5439" s="6"/>
      <c r="P5439" s="6"/>
      <c r="Q5439" s="6"/>
      <c r="R5439" s="6"/>
      <c r="S5439" s="6"/>
      <c r="T5439" s="6"/>
      <c r="U5439" s="6"/>
      <c r="V5439" s="6"/>
      <c r="W5439" s="6"/>
      <c r="X5439" s="6"/>
      <c r="Y5439" s="6"/>
      <c r="Z5439" s="6"/>
      <c r="AA5439" s="6"/>
      <c r="AB5439" s="6"/>
      <c r="AC5439" s="6"/>
      <c r="AD5439" s="6"/>
      <c r="AE5439" s="6"/>
      <c r="AF5439" s="6"/>
      <c r="AG5439" s="6"/>
      <c r="AH5439" s="6"/>
      <c r="AI5439" s="6"/>
      <c r="AJ5439" s="6"/>
      <c r="AK5439" s="6"/>
      <c r="AL5439" s="6"/>
      <c r="AM5439" s="6"/>
    </row>
    <row r="5440">
      <c r="A5440" s="6"/>
      <c r="B5440" s="6"/>
      <c r="C5440" s="6"/>
      <c r="D5440" s="6"/>
      <c r="E5440" s="6"/>
      <c r="F5440" s="6"/>
      <c r="G5440" s="6"/>
      <c r="H5440" s="6"/>
      <c r="I5440" s="6"/>
      <c r="J5440" s="6"/>
      <c r="K5440" s="6"/>
      <c r="L5440" s="6"/>
      <c r="M5440" s="6"/>
      <c r="N5440" s="6"/>
      <c r="O5440" s="6"/>
      <c r="P5440" s="6"/>
      <c r="Q5440" s="6"/>
      <c r="R5440" s="6"/>
      <c r="S5440" s="6"/>
      <c r="T5440" s="6"/>
      <c r="U5440" s="6"/>
      <c r="V5440" s="6"/>
      <c r="W5440" s="6"/>
      <c r="X5440" s="6"/>
      <c r="Y5440" s="6"/>
      <c r="Z5440" s="6"/>
      <c r="AA5440" s="6"/>
      <c r="AB5440" s="6"/>
      <c r="AC5440" s="6"/>
      <c r="AD5440" s="6"/>
      <c r="AE5440" s="6"/>
      <c r="AF5440" s="6"/>
      <c r="AG5440" s="6"/>
      <c r="AH5440" s="6"/>
      <c r="AI5440" s="6"/>
      <c r="AJ5440" s="6"/>
      <c r="AK5440" s="6"/>
      <c r="AL5440" s="6"/>
      <c r="AM5440" s="6"/>
    </row>
    <row r="5441">
      <c r="A5441" s="6"/>
      <c r="B5441" s="6"/>
      <c r="C5441" s="6"/>
      <c r="D5441" s="6"/>
      <c r="E5441" s="6"/>
      <c r="F5441" s="6"/>
      <c r="G5441" s="6"/>
      <c r="H5441" s="6"/>
      <c r="I5441" s="6"/>
      <c r="J5441" s="6"/>
      <c r="K5441" s="6"/>
      <c r="L5441" s="6"/>
      <c r="M5441" s="6"/>
      <c r="N5441" s="6"/>
      <c r="O5441" s="6"/>
      <c r="P5441" s="6"/>
      <c r="Q5441" s="6"/>
      <c r="R5441" s="6"/>
      <c r="S5441" s="6"/>
      <c r="T5441" s="6"/>
      <c r="U5441" s="6"/>
      <c r="V5441" s="6"/>
      <c r="W5441" s="6"/>
      <c r="X5441" s="6"/>
      <c r="Y5441" s="6"/>
      <c r="Z5441" s="6"/>
      <c r="AA5441" s="6"/>
      <c r="AB5441" s="6"/>
      <c r="AC5441" s="6"/>
      <c r="AD5441" s="6"/>
      <c r="AE5441" s="6"/>
      <c r="AF5441" s="6"/>
      <c r="AG5441" s="6"/>
      <c r="AH5441" s="6"/>
      <c r="AI5441" s="6"/>
      <c r="AJ5441" s="6"/>
      <c r="AK5441" s="6"/>
      <c r="AL5441" s="6"/>
      <c r="AM5441" s="6"/>
    </row>
    <row r="5442">
      <c r="A5442" s="6"/>
      <c r="B5442" s="6"/>
      <c r="C5442" s="6"/>
      <c r="D5442" s="6"/>
      <c r="E5442" s="6"/>
      <c r="F5442" s="6"/>
      <c r="G5442" s="6"/>
      <c r="H5442" s="6"/>
      <c r="I5442" s="6"/>
      <c r="J5442" s="6"/>
      <c r="K5442" s="6"/>
      <c r="L5442" s="6"/>
      <c r="M5442" s="6"/>
      <c r="N5442" s="6"/>
      <c r="O5442" s="6"/>
      <c r="P5442" s="6"/>
      <c r="Q5442" s="6"/>
      <c r="R5442" s="6"/>
      <c r="S5442" s="6"/>
      <c r="T5442" s="6"/>
      <c r="U5442" s="6"/>
      <c r="V5442" s="6"/>
      <c r="W5442" s="6"/>
      <c r="X5442" s="6"/>
      <c r="Y5442" s="6"/>
      <c r="Z5442" s="6"/>
      <c r="AA5442" s="6"/>
      <c r="AB5442" s="6"/>
      <c r="AC5442" s="6"/>
      <c r="AD5442" s="6"/>
      <c r="AE5442" s="6"/>
      <c r="AF5442" s="6"/>
      <c r="AG5442" s="6"/>
      <c r="AH5442" s="6"/>
      <c r="AI5442" s="6"/>
      <c r="AJ5442" s="6"/>
      <c r="AK5442" s="6"/>
      <c r="AL5442" s="6"/>
      <c r="AM5442" s="6"/>
    </row>
    <row r="5443">
      <c r="A5443" s="6"/>
      <c r="B5443" s="6"/>
      <c r="C5443" s="6"/>
      <c r="D5443" s="6"/>
      <c r="E5443" s="6"/>
      <c r="F5443" s="6"/>
      <c r="G5443" s="6"/>
      <c r="H5443" s="6"/>
      <c r="I5443" s="6"/>
      <c r="J5443" s="6"/>
      <c r="K5443" s="6"/>
      <c r="L5443" s="6"/>
      <c r="M5443" s="6"/>
      <c r="N5443" s="6"/>
      <c r="O5443" s="6"/>
      <c r="P5443" s="6"/>
      <c r="Q5443" s="6"/>
      <c r="R5443" s="6"/>
      <c r="S5443" s="6"/>
      <c r="T5443" s="6"/>
      <c r="U5443" s="6"/>
      <c r="V5443" s="6"/>
      <c r="W5443" s="6"/>
      <c r="X5443" s="6"/>
      <c r="Y5443" s="6"/>
      <c r="Z5443" s="6"/>
      <c r="AA5443" s="6"/>
      <c r="AB5443" s="6"/>
      <c r="AC5443" s="6"/>
      <c r="AD5443" s="6"/>
      <c r="AE5443" s="6"/>
      <c r="AF5443" s="6"/>
      <c r="AG5443" s="6"/>
      <c r="AH5443" s="6"/>
      <c r="AI5443" s="6"/>
      <c r="AJ5443" s="6"/>
      <c r="AK5443" s="6"/>
      <c r="AL5443" s="6"/>
      <c r="AM5443" s="6"/>
    </row>
    <row r="5444">
      <c r="A5444" s="6"/>
      <c r="B5444" s="6"/>
      <c r="C5444" s="6"/>
      <c r="D5444" s="6"/>
      <c r="E5444" s="6"/>
      <c r="F5444" s="6"/>
      <c r="G5444" s="6"/>
      <c r="H5444" s="6"/>
      <c r="I5444" s="6"/>
      <c r="J5444" s="6"/>
      <c r="K5444" s="6"/>
      <c r="L5444" s="6"/>
      <c r="M5444" s="6"/>
      <c r="N5444" s="6"/>
      <c r="O5444" s="6"/>
      <c r="P5444" s="6"/>
      <c r="Q5444" s="6"/>
      <c r="R5444" s="6"/>
      <c r="S5444" s="6"/>
      <c r="T5444" s="6"/>
      <c r="U5444" s="6"/>
      <c r="V5444" s="6"/>
      <c r="W5444" s="6"/>
      <c r="X5444" s="6"/>
      <c r="Y5444" s="6"/>
      <c r="Z5444" s="6"/>
      <c r="AA5444" s="6"/>
      <c r="AB5444" s="6"/>
      <c r="AC5444" s="6"/>
      <c r="AD5444" s="6"/>
      <c r="AE5444" s="6"/>
      <c r="AF5444" s="6"/>
      <c r="AG5444" s="6"/>
      <c r="AH5444" s="6"/>
      <c r="AI5444" s="6"/>
      <c r="AJ5444" s="6"/>
      <c r="AK5444" s="6"/>
      <c r="AL5444" s="6"/>
      <c r="AM5444" s="6"/>
    </row>
    <row r="5445">
      <c r="A5445" s="6"/>
      <c r="B5445" s="6"/>
      <c r="C5445" s="6"/>
      <c r="D5445" s="6"/>
      <c r="E5445" s="6"/>
      <c r="F5445" s="6"/>
      <c r="G5445" s="6"/>
      <c r="H5445" s="6"/>
      <c r="I5445" s="6"/>
      <c r="J5445" s="6"/>
      <c r="K5445" s="6"/>
      <c r="L5445" s="6"/>
      <c r="M5445" s="6"/>
      <c r="N5445" s="6"/>
      <c r="O5445" s="6"/>
      <c r="P5445" s="6"/>
      <c r="Q5445" s="6"/>
      <c r="R5445" s="6"/>
      <c r="S5445" s="6"/>
      <c r="T5445" s="6"/>
      <c r="U5445" s="6"/>
      <c r="V5445" s="6"/>
      <c r="W5445" s="6"/>
      <c r="X5445" s="6"/>
      <c r="Y5445" s="6"/>
      <c r="Z5445" s="6"/>
      <c r="AA5445" s="6"/>
      <c r="AB5445" s="6"/>
      <c r="AC5445" s="6"/>
      <c r="AD5445" s="6"/>
      <c r="AE5445" s="6"/>
      <c r="AF5445" s="6"/>
      <c r="AG5445" s="6"/>
      <c r="AH5445" s="6"/>
      <c r="AI5445" s="6"/>
      <c r="AJ5445" s="6"/>
      <c r="AK5445" s="6"/>
      <c r="AL5445" s="6"/>
      <c r="AM5445" s="6"/>
    </row>
    <row r="5446">
      <c r="A5446" s="6"/>
      <c r="B5446" s="6"/>
      <c r="C5446" s="6"/>
      <c r="D5446" s="6"/>
      <c r="E5446" s="6"/>
      <c r="F5446" s="6"/>
      <c r="G5446" s="6"/>
      <c r="H5446" s="6"/>
      <c r="I5446" s="6"/>
      <c r="J5446" s="6"/>
      <c r="K5446" s="6"/>
      <c r="L5446" s="6"/>
      <c r="M5446" s="6"/>
      <c r="N5446" s="6"/>
      <c r="O5446" s="6"/>
      <c r="P5446" s="6"/>
      <c r="Q5446" s="6"/>
      <c r="R5446" s="6"/>
      <c r="S5446" s="6"/>
      <c r="T5446" s="6"/>
      <c r="U5446" s="6"/>
      <c r="V5446" s="6"/>
      <c r="W5446" s="6"/>
      <c r="X5446" s="6"/>
      <c r="Y5446" s="6"/>
      <c r="Z5446" s="6"/>
      <c r="AA5446" s="6"/>
      <c r="AB5446" s="6"/>
      <c r="AC5446" s="6"/>
      <c r="AD5446" s="6"/>
      <c r="AE5446" s="6"/>
      <c r="AF5446" s="6"/>
      <c r="AG5446" s="6"/>
      <c r="AH5446" s="6"/>
      <c r="AI5446" s="6"/>
      <c r="AJ5446" s="6"/>
      <c r="AK5446" s="6"/>
      <c r="AL5446" s="6"/>
      <c r="AM5446" s="6"/>
    </row>
    <row r="5447">
      <c r="A5447" s="6"/>
      <c r="B5447" s="6"/>
      <c r="C5447" s="6"/>
      <c r="D5447" s="6"/>
      <c r="E5447" s="6"/>
      <c r="F5447" s="6"/>
      <c r="G5447" s="6"/>
      <c r="H5447" s="6"/>
      <c r="I5447" s="6"/>
      <c r="J5447" s="6"/>
      <c r="K5447" s="6"/>
      <c r="L5447" s="6"/>
      <c r="M5447" s="6"/>
      <c r="N5447" s="6"/>
      <c r="O5447" s="6"/>
      <c r="P5447" s="6"/>
      <c r="Q5447" s="6"/>
      <c r="R5447" s="6"/>
      <c r="S5447" s="6"/>
      <c r="T5447" s="6"/>
      <c r="U5447" s="6"/>
      <c r="V5447" s="6"/>
      <c r="W5447" s="6"/>
      <c r="X5447" s="6"/>
      <c r="Y5447" s="6"/>
      <c r="Z5447" s="6"/>
      <c r="AA5447" s="6"/>
      <c r="AB5447" s="6"/>
      <c r="AC5447" s="6"/>
      <c r="AD5447" s="6"/>
      <c r="AE5447" s="6"/>
      <c r="AF5447" s="6"/>
      <c r="AG5447" s="6"/>
      <c r="AH5447" s="6"/>
      <c r="AI5447" s="6"/>
      <c r="AJ5447" s="6"/>
      <c r="AK5447" s="6"/>
      <c r="AL5447" s="6"/>
      <c r="AM5447" s="6"/>
    </row>
    <row r="5448">
      <c r="A5448" s="6"/>
      <c r="B5448" s="6"/>
      <c r="C5448" s="6"/>
      <c r="D5448" s="6"/>
      <c r="E5448" s="6"/>
      <c r="F5448" s="6"/>
      <c r="G5448" s="6"/>
      <c r="H5448" s="6"/>
      <c r="I5448" s="6"/>
      <c r="J5448" s="6"/>
      <c r="K5448" s="6"/>
      <c r="L5448" s="6"/>
      <c r="M5448" s="6"/>
      <c r="N5448" s="6"/>
      <c r="O5448" s="6"/>
      <c r="P5448" s="6"/>
      <c r="Q5448" s="6"/>
      <c r="R5448" s="6"/>
      <c r="S5448" s="6"/>
      <c r="T5448" s="6"/>
      <c r="U5448" s="6"/>
      <c r="V5448" s="6"/>
      <c r="W5448" s="6"/>
      <c r="X5448" s="6"/>
      <c r="Y5448" s="6"/>
      <c r="Z5448" s="6"/>
      <c r="AA5448" s="6"/>
      <c r="AB5448" s="6"/>
      <c r="AC5448" s="6"/>
      <c r="AD5448" s="6"/>
      <c r="AE5448" s="6"/>
      <c r="AF5448" s="6"/>
      <c r="AG5448" s="6"/>
      <c r="AH5448" s="6"/>
      <c r="AI5448" s="6"/>
      <c r="AJ5448" s="6"/>
      <c r="AK5448" s="6"/>
      <c r="AL5448" s="6"/>
      <c r="AM5448" s="6"/>
    </row>
    <row r="5449">
      <c r="A5449" s="6"/>
      <c r="B5449" s="6"/>
      <c r="C5449" s="6"/>
      <c r="D5449" s="6"/>
      <c r="E5449" s="6"/>
      <c r="F5449" s="6"/>
      <c r="G5449" s="6"/>
      <c r="H5449" s="6"/>
      <c r="I5449" s="6"/>
      <c r="J5449" s="6"/>
      <c r="K5449" s="6"/>
      <c r="L5449" s="6"/>
      <c r="M5449" s="6"/>
      <c r="N5449" s="6"/>
      <c r="O5449" s="6"/>
      <c r="P5449" s="6"/>
      <c r="Q5449" s="6"/>
      <c r="R5449" s="6"/>
      <c r="S5449" s="6"/>
      <c r="T5449" s="6"/>
      <c r="U5449" s="6"/>
      <c r="V5449" s="6"/>
      <c r="W5449" s="6"/>
      <c r="X5449" s="6"/>
      <c r="Y5449" s="6"/>
      <c r="Z5449" s="6"/>
      <c r="AA5449" s="6"/>
      <c r="AB5449" s="6"/>
      <c r="AC5449" s="6"/>
      <c r="AD5449" s="6"/>
      <c r="AE5449" s="6"/>
      <c r="AF5449" s="6"/>
      <c r="AG5449" s="6"/>
      <c r="AH5449" s="6"/>
      <c r="AI5449" s="6"/>
      <c r="AJ5449" s="6"/>
      <c r="AK5449" s="6"/>
      <c r="AL5449" s="6"/>
      <c r="AM5449" s="6"/>
    </row>
    <row r="5450">
      <c r="A5450" s="6"/>
      <c r="B5450" s="6"/>
      <c r="C5450" s="6"/>
      <c r="D5450" s="6"/>
      <c r="E5450" s="6"/>
      <c r="F5450" s="6"/>
      <c r="G5450" s="6"/>
      <c r="H5450" s="6"/>
      <c r="I5450" s="6"/>
      <c r="J5450" s="6"/>
      <c r="K5450" s="6"/>
      <c r="L5450" s="6"/>
      <c r="M5450" s="6"/>
      <c r="N5450" s="6"/>
      <c r="O5450" s="6"/>
      <c r="P5450" s="6"/>
      <c r="Q5450" s="6"/>
      <c r="R5450" s="6"/>
      <c r="S5450" s="6"/>
      <c r="T5450" s="6"/>
      <c r="U5450" s="6"/>
      <c r="V5450" s="6"/>
      <c r="W5450" s="6"/>
      <c r="X5450" s="6"/>
      <c r="Y5450" s="6"/>
      <c r="Z5450" s="6"/>
      <c r="AA5450" s="6"/>
      <c r="AB5450" s="6"/>
      <c r="AC5450" s="6"/>
      <c r="AD5450" s="6"/>
      <c r="AE5450" s="6"/>
      <c r="AF5450" s="6"/>
      <c r="AG5450" s="6"/>
      <c r="AH5450" s="6"/>
      <c r="AI5450" s="6"/>
      <c r="AJ5450" s="6"/>
      <c r="AK5450" s="6"/>
      <c r="AL5450" s="6"/>
      <c r="AM5450" s="6"/>
    </row>
    <row r="5451">
      <c r="A5451" s="6"/>
      <c r="B5451" s="6"/>
      <c r="C5451" s="6"/>
      <c r="D5451" s="6"/>
      <c r="E5451" s="6"/>
      <c r="F5451" s="6"/>
      <c r="G5451" s="6"/>
      <c r="H5451" s="6"/>
      <c r="I5451" s="6"/>
      <c r="J5451" s="6"/>
      <c r="K5451" s="6"/>
      <c r="L5451" s="6"/>
      <c r="M5451" s="6"/>
      <c r="N5451" s="6"/>
      <c r="O5451" s="6"/>
      <c r="P5451" s="6"/>
      <c r="Q5451" s="6"/>
      <c r="R5451" s="6"/>
      <c r="S5451" s="6"/>
      <c r="T5451" s="6"/>
      <c r="U5451" s="6"/>
      <c r="V5451" s="6"/>
      <c r="W5451" s="6"/>
      <c r="X5451" s="6"/>
      <c r="Y5451" s="6"/>
      <c r="Z5451" s="6"/>
      <c r="AA5451" s="6"/>
      <c r="AB5451" s="6"/>
      <c r="AC5451" s="6"/>
      <c r="AD5451" s="6"/>
      <c r="AE5451" s="6"/>
      <c r="AF5451" s="6"/>
      <c r="AG5451" s="6"/>
      <c r="AH5451" s="6"/>
      <c r="AI5451" s="6"/>
      <c r="AJ5451" s="6"/>
      <c r="AK5451" s="6"/>
      <c r="AL5451" s="6"/>
      <c r="AM5451" s="6"/>
    </row>
    <row r="5452">
      <c r="A5452" s="6"/>
      <c r="B5452" s="6"/>
      <c r="C5452" s="6"/>
      <c r="D5452" s="6"/>
      <c r="E5452" s="6"/>
      <c r="F5452" s="6"/>
      <c r="G5452" s="6"/>
      <c r="H5452" s="6"/>
      <c r="I5452" s="6"/>
      <c r="J5452" s="6"/>
      <c r="K5452" s="6"/>
      <c r="L5452" s="6"/>
      <c r="M5452" s="6"/>
      <c r="N5452" s="6"/>
      <c r="O5452" s="6"/>
      <c r="P5452" s="6"/>
      <c r="Q5452" s="6"/>
      <c r="R5452" s="6"/>
      <c r="S5452" s="6"/>
      <c r="T5452" s="6"/>
      <c r="U5452" s="6"/>
      <c r="V5452" s="6"/>
      <c r="W5452" s="6"/>
      <c r="X5452" s="6"/>
      <c r="Y5452" s="6"/>
      <c r="Z5452" s="6"/>
      <c r="AA5452" s="6"/>
      <c r="AB5452" s="6"/>
      <c r="AC5452" s="6"/>
      <c r="AD5452" s="6"/>
      <c r="AE5452" s="6"/>
      <c r="AF5452" s="6"/>
      <c r="AG5452" s="6"/>
      <c r="AH5452" s="6"/>
      <c r="AI5452" s="6"/>
      <c r="AJ5452" s="6"/>
      <c r="AK5452" s="6"/>
      <c r="AL5452" s="6"/>
      <c r="AM5452" s="6"/>
    </row>
    <row r="5453">
      <c r="A5453" s="6"/>
      <c r="B5453" s="6"/>
      <c r="C5453" s="6"/>
      <c r="D5453" s="6"/>
      <c r="E5453" s="6"/>
      <c r="F5453" s="6"/>
      <c r="G5453" s="6"/>
      <c r="H5453" s="6"/>
      <c r="I5453" s="6"/>
      <c r="J5453" s="6"/>
      <c r="K5453" s="6"/>
      <c r="L5453" s="6"/>
      <c r="M5453" s="6"/>
      <c r="N5453" s="6"/>
      <c r="O5453" s="6"/>
      <c r="P5453" s="6"/>
      <c r="Q5453" s="6"/>
      <c r="R5453" s="6"/>
      <c r="S5453" s="6"/>
      <c r="T5453" s="6"/>
      <c r="U5453" s="6"/>
      <c r="V5453" s="6"/>
      <c r="W5453" s="6"/>
      <c r="X5453" s="6"/>
      <c r="Y5453" s="6"/>
      <c r="Z5453" s="6"/>
      <c r="AA5453" s="6"/>
      <c r="AB5453" s="6"/>
      <c r="AC5453" s="6"/>
      <c r="AD5453" s="6"/>
      <c r="AE5453" s="6"/>
      <c r="AF5453" s="6"/>
      <c r="AG5453" s="6"/>
      <c r="AH5453" s="6"/>
      <c r="AI5453" s="6"/>
      <c r="AJ5453" s="6"/>
      <c r="AK5453" s="6"/>
      <c r="AL5453" s="6"/>
      <c r="AM5453" s="6"/>
    </row>
    <row r="5454">
      <c r="A5454" s="6"/>
      <c r="B5454" s="6"/>
      <c r="C5454" s="6"/>
      <c r="D5454" s="6"/>
      <c r="E5454" s="6"/>
      <c r="F5454" s="6"/>
      <c r="G5454" s="6"/>
      <c r="H5454" s="6"/>
      <c r="I5454" s="6"/>
      <c r="J5454" s="6"/>
      <c r="K5454" s="6"/>
      <c r="L5454" s="6"/>
      <c r="M5454" s="6"/>
      <c r="N5454" s="6"/>
      <c r="O5454" s="6"/>
      <c r="P5454" s="6"/>
      <c r="Q5454" s="6"/>
      <c r="R5454" s="6"/>
      <c r="S5454" s="6"/>
      <c r="T5454" s="6"/>
      <c r="U5454" s="6"/>
      <c r="V5454" s="6"/>
      <c r="W5454" s="6"/>
      <c r="X5454" s="6"/>
      <c r="Y5454" s="6"/>
      <c r="Z5454" s="6"/>
      <c r="AA5454" s="6"/>
      <c r="AB5454" s="6"/>
      <c r="AC5454" s="6"/>
      <c r="AD5454" s="6"/>
      <c r="AE5454" s="6"/>
      <c r="AF5454" s="6"/>
      <c r="AG5454" s="6"/>
      <c r="AH5454" s="6"/>
      <c r="AI5454" s="6"/>
      <c r="AJ5454" s="6"/>
      <c r="AK5454" s="6"/>
      <c r="AL5454" s="6"/>
      <c r="AM5454" s="6"/>
    </row>
    <row r="5455">
      <c r="A5455" s="6"/>
      <c r="B5455" s="6"/>
      <c r="C5455" s="6"/>
      <c r="D5455" s="6"/>
      <c r="E5455" s="6"/>
      <c r="F5455" s="6"/>
      <c r="G5455" s="6"/>
      <c r="H5455" s="6"/>
      <c r="I5455" s="6"/>
      <c r="J5455" s="6"/>
      <c r="K5455" s="6"/>
      <c r="L5455" s="6"/>
      <c r="M5455" s="6"/>
      <c r="N5455" s="6"/>
      <c r="O5455" s="6"/>
      <c r="P5455" s="6"/>
      <c r="Q5455" s="6"/>
      <c r="R5455" s="6"/>
      <c r="S5455" s="6"/>
      <c r="T5455" s="6"/>
      <c r="U5455" s="6"/>
      <c r="V5455" s="6"/>
      <c r="W5455" s="6"/>
      <c r="X5455" s="6"/>
      <c r="Y5455" s="6"/>
      <c r="Z5455" s="6"/>
      <c r="AA5455" s="6"/>
      <c r="AB5455" s="6"/>
      <c r="AC5455" s="6"/>
      <c r="AD5455" s="6"/>
      <c r="AE5455" s="6"/>
      <c r="AF5455" s="6"/>
      <c r="AG5455" s="6"/>
      <c r="AH5455" s="6"/>
      <c r="AI5455" s="6"/>
      <c r="AJ5455" s="6"/>
      <c r="AK5455" s="6"/>
      <c r="AL5455" s="6"/>
      <c r="AM5455" s="6"/>
    </row>
    <row r="5456">
      <c r="A5456" s="6"/>
      <c r="B5456" s="6"/>
      <c r="C5456" s="6"/>
      <c r="D5456" s="6"/>
      <c r="E5456" s="6"/>
      <c r="F5456" s="6"/>
      <c r="G5456" s="6"/>
      <c r="H5456" s="6"/>
      <c r="I5456" s="6"/>
      <c r="J5456" s="6"/>
      <c r="K5456" s="6"/>
      <c r="L5456" s="6"/>
      <c r="M5456" s="6"/>
      <c r="N5456" s="6"/>
      <c r="O5456" s="6"/>
      <c r="P5456" s="6"/>
      <c r="Q5456" s="6"/>
      <c r="R5456" s="6"/>
      <c r="S5456" s="6"/>
      <c r="T5456" s="6"/>
      <c r="U5456" s="6"/>
      <c r="V5456" s="6"/>
      <c r="W5456" s="6"/>
      <c r="X5456" s="6"/>
      <c r="Y5456" s="6"/>
      <c r="Z5456" s="6"/>
      <c r="AA5456" s="6"/>
      <c r="AB5456" s="6"/>
      <c r="AC5456" s="6"/>
      <c r="AD5456" s="6"/>
      <c r="AE5456" s="6"/>
      <c r="AF5456" s="6"/>
      <c r="AG5456" s="6"/>
      <c r="AH5456" s="6"/>
      <c r="AI5456" s="6"/>
      <c r="AJ5456" s="6"/>
      <c r="AK5456" s="6"/>
      <c r="AL5456" s="6"/>
      <c r="AM5456" s="6"/>
    </row>
    <row r="5457">
      <c r="A5457" s="6"/>
      <c r="B5457" s="6"/>
      <c r="C5457" s="6"/>
      <c r="D5457" s="6"/>
      <c r="E5457" s="6"/>
      <c r="F5457" s="6"/>
      <c r="G5457" s="6"/>
      <c r="H5457" s="6"/>
      <c r="I5457" s="6"/>
      <c r="J5457" s="6"/>
      <c r="K5457" s="6"/>
      <c r="L5457" s="6"/>
      <c r="M5457" s="6"/>
      <c r="N5457" s="6"/>
      <c r="O5457" s="6"/>
      <c r="P5457" s="6"/>
      <c r="Q5457" s="6"/>
      <c r="R5457" s="6"/>
      <c r="S5457" s="6"/>
      <c r="T5457" s="6"/>
      <c r="U5457" s="6"/>
      <c r="V5457" s="6"/>
      <c r="W5457" s="6"/>
      <c r="X5457" s="6"/>
      <c r="Y5457" s="6"/>
      <c r="Z5457" s="6"/>
      <c r="AA5457" s="6"/>
      <c r="AB5457" s="6"/>
      <c r="AC5457" s="6"/>
      <c r="AD5457" s="6"/>
      <c r="AE5457" s="6"/>
      <c r="AF5457" s="6"/>
      <c r="AG5457" s="6"/>
      <c r="AH5457" s="6"/>
      <c r="AI5457" s="6"/>
      <c r="AJ5457" s="6"/>
      <c r="AK5457" s="6"/>
      <c r="AL5457" s="6"/>
      <c r="AM5457" s="6"/>
    </row>
    <row r="5458">
      <c r="A5458" s="6"/>
      <c r="B5458" s="6"/>
      <c r="C5458" s="6"/>
      <c r="D5458" s="6"/>
      <c r="E5458" s="6"/>
      <c r="F5458" s="6"/>
      <c r="G5458" s="6"/>
      <c r="H5458" s="6"/>
      <c r="I5458" s="6"/>
      <c r="J5458" s="6"/>
      <c r="K5458" s="6"/>
      <c r="L5458" s="6"/>
      <c r="M5458" s="6"/>
      <c r="N5458" s="6"/>
      <c r="O5458" s="6"/>
      <c r="P5458" s="6"/>
      <c r="Q5458" s="6"/>
      <c r="R5458" s="6"/>
      <c r="S5458" s="6"/>
      <c r="T5458" s="6"/>
      <c r="U5458" s="6"/>
      <c r="V5458" s="6"/>
      <c r="W5458" s="6"/>
      <c r="X5458" s="6"/>
      <c r="Y5458" s="6"/>
      <c r="Z5458" s="6"/>
      <c r="AA5458" s="6"/>
      <c r="AB5458" s="6"/>
      <c r="AC5458" s="6"/>
      <c r="AD5458" s="6"/>
      <c r="AE5458" s="6"/>
      <c r="AF5458" s="6"/>
      <c r="AG5458" s="6"/>
      <c r="AH5458" s="6"/>
      <c r="AI5458" s="6"/>
      <c r="AJ5458" s="6"/>
      <c r="AK5458" s="6"/>
      <c r="AL5458" s="6"/>
      <c r="AM5458" s="6"/>
    </row>
    <row r="5459">
      <c r="A5459" s="6"/>
      <c r="B5459" s="6"/>
      <c r="C5459" s="6"/>
      <c r="D5459" s="6"/>
      <c r="E5459" s="6"/>
      <c r="F5459" s="6"/>
      <c r="G5459" s="6"/>
      <c r="H5459" s="6"/>
      <c r="I5459" s="6"/>
      <c r="J5459" s="6"/>
      <c r="K5459" s="6"/>
      <c r="L5459" s="6"/>
      <c r="M5459" s="6"/>
      <c r="N5459" s="6"/>
      <c r="O5459" s="6"/>
      <c r="P5459" s="6"/>
      <c r="Q5459" s="6"/>
      <c r="R5459" s="6"/>
      <c r="S5459" s="6"/>
      <c r="T5459" s="6"/>
      <c r="U5459" s="6"/>
      <c r="V5459" s="6"/>
      <c r="W5459" s="6"/>
      <c r="X5459" s="6"/>
      <c r="Y5459" s="6"/>
      <c r="Z5459" s="6"/>
      <c r="AA5459" s="6"/>
      <c r="AB5459" s="6"/>
      <c r="AC5459" s="6"/>
      <c r="AD5459" s="6"/>
      <c r="AE5459" s="6"/>
      <c r="AF5459" s="6"/>
      <c r="AG5459" s="6"/>
      <c r="AH5459" s="6"/>
      <c r="AI5459" s="6"/>
      <c r="AJ5459" s="6"/>
      <c r="AK5459" s="6"/>
      <c r="AL5459" s="6"/>
      <c r="AM5459" s="6"/>
    </row>
    <row r="5460">
      <c r="A5460" s="6"/>
      <c r="B5460" s="6"/>
      <c r="C5460" s="6"/>
      <c r="D5460" s="6"/>
      <c r="E5460" s="6"/>
      <c r="F5460" s="6"/>
      <c r="G5460" s="6"/>
      <c r="H5460" s="6"/>
      <c r="I5460" s="6"/>
      <c r="J5460" s="6"/>
      <c r="K5460" s="6"/>
      <c r="L5460" s="6"/>
      <c r="M5460" s="6"/>
      <c r="N5460" s="6"/>
      <c r="O5460" s="6"/>
      <c r="P5460" s="6"/>
      <c r="Q5460" s="6"/>
      <c r="R5460" s="6"/>
      <c r="S5460" s="6"/>
      <c r="T5460" s="6"/>
      <c r="U5460" s="6"/>
      <c r="V5460" s="6"/>
      <c r="W5460" s="6"/>
      <c r="X5460" s="6"/>
      <c r="Y5460" s="6"/>
      <c r="Z5460" s="6"/>
      <c r="AA5460" s="6"/>
      <c r="AB5460" s="6"/>
      <c r="AC5460" s="6"/>
      <c r="AD5460" s="6"/>
      <c r="AE5460" s="6"/>
      <c r="AF5460" s="6"/>
      <c r="AG5460" s="6"/>
      <c r="AH5460" s="6"/>
      <c r="AI5460" s="6"/>
      <c r="AJ5460" s="6"/>
      <c r="AK5460" s="6"/>
      <c r="AL5460" s="6"/>
      <c r="AM5460" s="6"/>
    </row>
    <row r="5461">
      <c r="A5461" s="6"/>
      <c r="B5461" s="6"/>
      <c r="C5461" s="6"/>
      <c r="D5461" s="6"/>
      <c r="E5461" s="6"/>
      <c r="F5461" s="6"/>
      <c r="G5461" s="6"/>
      <c r="H5461" s="6"/>
      <c r="I5461" s="6"/>
      <c r="J5461" s="6"/>
      <c r="K5461" s="6"/>
      <c r="L5461" s="6"/>
      <c r="M5461" s="6"/>
      <c r="N5461" s="6"/>
      <c r="O5461" s="6"/>
      <c r="P5461" s="6"/>
      <c r="Q5461" s="6"/>
      <c r="R5461" s="6"/>
      <c r="S5461" s="6"/>
      <c r="T5461" s="6"/>
      <c r="U5461" s="6"/>
      <c r="V5461" s="6"/>
      <c r="W5461" s="6"/>
      <c r="X5461" s="6"/>
      <c r="Y5461" s="6"/>
      <c r="Z5461" s="6"/>
      <c r="AA5461" s="6"/>
      <c r="AB5461" s="6"/>
      <c r="AC5461" s="6"/>
      <c r="AD5461" s="6"/>
      <c r="AE5461" s="6"/>
      <c r="AF5461" s="6"/>
      <c r="AG5461" s="6"/>
      <c r="AH5461" s="6"/>
      <c r="AI5461" s="6"/>
      <c r="AJ5461" s="6"/>
      <c r="AK5461" s="6"/>
      <c r="AL5461" s="6"/>
      <c r="AM5461" s="6"/>
    </row>
    <row r="5462">
      <c r="A5462" s="6"/>
      <c r="B5462" s="6"/>
      <c r="C5462" s="6"/>
      <c r="D5462" s="6"/>
      <c r="E5462" s="6"/>
      <c r="F5462" s="6"/>
      <c r="G5462" s="6"/>
      <c r="H5462" s="6"/>
      <c r="I5462" s="6"/>
      <c r="J5462" s="6"/>
      <c r="K5462" s="6"/>
      <c r="L5462" s="6"/>
      <c r="M5462" s="6"/>
      <c r="N5462" s="6"/>
      <c r="O5462" s="6"/>
      <c r="P5462" s="6"/>
      <c r="Q5462" s="6"/>
      <c r="R5462" s="6"/>
      <c r="S5462" s="6"/>
      <c r="T5462" s="6"/>
      <c r="U5462" s="6"/>
      <c r="V5462" s="6"/>
      <c r="W5462" s="6"/>
      <c r="X5462" s="6"/>
      <c r="Y5462" s="6"/>
      <c r="Z5462" s="6"/>
      <c r="AA5462" s="6"/>
      <c r="AB5462" s="6"/>
      <c r="AC5462" s="6"/>
      <c r="AD5462" s="6"/>
      <c r="AE5462" s="6"/>
      <c r="AF5462" s="6"/>
      <c r="AG5462" s="6"/>
      <c r="AH5462" s="6"/>
      <c r="AI5462" s="6"/>
      <c r="AJ5462" s="6"/>
      <c r="AK5462" s="6"/>
      <c r="AL5462" s="6"/>
      <c r="AM5462" s="6"/>
    </row>
    <row r="5463">
      <c r="A5463" s="6"/>
      <c r="B5463" s="6"/>
      <c r="C5463" s="6"/>
      <c r="D5463" s="6"/>
      <c r="E5463" s="6"/>
      <c r="F5463" s="6"/>
      <c r="G5463" s="6"/>
      <c r="H5463" s="6"/>
      <c r="I5463" s="6"/>
      <c r="J5463" s="6"/>
      <c r="K5463" s="6"/>
      <c r="L5463" s="6"/>
      <c r="M5463" s="6"/>
      <c r="N5463" s="6"/>
      <c r="O5463" s="6"/>
      <c r="P5463" s="6"/>
      <c r="Q5463" s="6"/>
      <c r="R5463" s="6"/>
      <c r="S5463" s="6"/>
      <c r="T5463" s="6"/>
      <c r="U5463" s="6"/>
      <c r="V5463" s="6"/>
      <c r="W5463" s="6"/>
      <c r="X5463" s="6"/>
      <c r="Y5463" s="6"/>
      <c r="Z5463" s="6"/>
      <c r="AA5463" s="6"/>
      <c r="AB5463" s="6"/>
      <c r="AC5463" s="6"/>
      <c r="AD5463" s="6"/>
      <c r="AE5463" s="6"/>
      <c r="AF5463" s="6"/>
      <c r="AG5463" s="6"/>
      <c r="AH5463" s="6"/>
      <c r="AI5463" s="6"/>
      <c r="AJ5463" s="6"/>
      <c r="AK5463" s="6"/>
      <c r="AL5463" s="6"/>
      <c r="AM5463" s="6"/>
    </row>
    <row r="5464">
      <c r="A5464" s="6"/>
      <c r="B5464" s="6"/>
      <c r="C5464" s="6"/>
      <c r="D5464" s="6"/>
      <c r="E5464" s="6"/>
      <c r="F5464" s="6"/>
      <c r="G5464" s="6"/>
      <c r="H5464" s="6"/>
      <c r="I5464" s="6"/>
      <c r="J5464" s="6"/>
      <c r="K5464" s="6"/>
      <c r="L5464" s="6"/>
      <c r="M5464" s="6"/>
      <c r="N5464" s="6"/>
      <c r="O5464" s="6"/>
      <c r="P5464" s="6"/>
      <c r="Q5464" s="6"/>
      <c r="R5464" s="6"/>
      <c r="S5464" s="6"/>
      <c r="T5464" s="6"/>
      <c r="U5464" s="6"/>
      <c r="V5464" s="6"/>
      <c r="W5464" s="6"/>
      <c r="X5464" s="6"/>
      <c r="Y5464" s="6"/>
      <c r="Z5464" s="6"/>
      <c r="AA5464" s="6"/>
      <c r="AB5464" s="6"/>
      <c r="AC5464" s="6"/>
      <c r="AD5464" s="6"/>
      <c r="AE5464" s="6"/>
      <c r="AF5464" s="6"/>
      <c r="AG5464" s="6"/>
      <c r="AH5464" s="6"/>
      <c r="AI5464" s="6"/>
      <c r="AJ5464" s="6"/>
      <c r="AK5464" s="6"/>
      <c r="AL5464" s="6"/>
      <c r="AM5464" s="6"/>
    </row>
    <row r="5465">
      <c r="A5465" s="6"/>
      <c r="B5465" s="6"/>
      <c r="C5465" s="6"/>
      <c r="D5465" s="6"/>
      <c r="E5465" s="6"/>
      <c r="F5465" s="6"/>
      <c r="G5465" s="6"/>
      <c r="H5465" s="6"/>
      <c r="I5465" s="6"/>
      <c r="J5465" s="6"/>
      <c r="K5465" s="6"/>
      <c r="L5465" s="6"/>
      <c r="M5465" s="6"/>
      <c r="N5465" s="6"/>
      <c r="O5465" s="6"/>
      <c r="P5465" s="6"/>
      <c r="Q5465" s="6"/>
      <c r="R5465" s="6"/>
      <c r="S5465" s="6"/>
      <c r="T5465" s="6"/>
      <c r="U5465" s="6"/>
      <c r="V5465" s="6"/>
      <c r="W5465" s="6"/>
      <c r="X5465" s="6"/>
      <c r="Y5465" s="6"/>
      <c r="Z5465" s="6"/>
      <c r="AA5465" s="6"/>
      <c r="AB5465" s="6"/>
      <c r="AC5465" s="6"/>
      <c r="AD5465" s="6"/>
      <c r="AE5465" s="6"/>
      <c r="AF5465" s="6"/>
      <c r="AG5465" s="6"/>
      <c r="AH5465" s="6"/>
      <c r="AI5465" s="6"/>
      <c r="AJ5465" s="6"/>
      <c r="AK5465" s="6"/>
      <c r="AL5465" s="6"/>
      <c r="AM5465" s="6"/>
    </row>
    <row r="5466">
      <c r="A5466" s="6"/>
      <c r="B5466" s="6"/>
      <c r="C5466" s="6"/>
      <c r="D5466" s="6"/>
      <c r="E5466" s="6"/>
      <c r="F5466" s="6"/>
      <c r="G5466" s="6"/>
      <c r="H5466" s="6"/>
      <c r="I5466" s="6"/>
      <c r="J5466" s="6"/>
      <c r="K5466" s="6"/>
      <c r="L5466" s="6"/>
      <c r="M5466" s="6"/>
      <c r="N5466" s="6"/>
      <c r="O5466" s="6"/>
      <c r="P5466" s="6"/>
      <c r="Q5466" s="6"/>
      <c r="R5466" s="6"/>
      <c r="S5466" s="6"/>
      <c r="T5466" s="6"/>
      <c r="U5466" s="6"/>
      <c r="V5466" s="6"/>
      <c r="W5466" s="6"/>
      <c r="X5466" s="6"/>
      <c r="Y5466" s="6"/>
      <c r="Z5466" s="6"/>
      <c r="AA5466" s="6"/>
      <c r="AB5466" s="6"/>
      <c r="AC5466" s="6"/>
      <c r="AD5466" s="6"/>
      <c r="AE5466" s="6"/>
      <c r="AF5466" s="6"/>
      <c r="AG5466" s="6"/>
      <c r="AH5466" s="6"/>
      <c r="AI5466" s="6"/>
      <c r="AJ5466" s="6"/>
      <c r="AK5466" s="6"/>
      <c r="AL5466" s="6"/>
      <c r="AM5466" s="6"/>
    </row>
    <row r="5467">
      <c r="A5467" s="6"/>
      <c r="B5467" s="6"/>
      <c r="C5467" s="6"/>
      <c r="D5467" s="6"/>
      <c r="E5467" s="6"/>
      <c r="F5467" s="6"/>
      <c r="G5467" s="6"/>
      <c r="H5467" s="6"/>
      <c r="I5467" s="6"/>
      <c r="J5467" s="6"/>
      <c r="K5467" s="6"/>
      <c r="L5467" s="6"/>
      <c r="M5467" s="6"/>
      <c r="N5467" s="6"/>
      <c r="O5467" s="6"/>
      <c r="P5467" s="6"/>
      <c r="Q5467" s="6"/>
      <c r="R5467" s="6"/>
      <c r="S5467" s="6"/>
      <c r="T5467" s="6"/>
      <c r="U5467" s="6"/>
      <c r="V5467" s="6"/>
      <c r="W5467" s="6"/>
      <c r="X5467" s="6"/>
      <c r="Y5467" s="6"/>
      <c r="Z5467" s="6"/>
      <c r="AA5467" s="6"/>
      <c r="AB5467" s="6"/>
      <c r="AC5467" s="6"/>
      <c r="AD5467" s="6"/>
      <c r="AE5467" s="6"/>
      <c r="AF5467" s="6"/>
      <c r="AG5467" s="6"/>
      <c r="AH5467" s="6"/>
      <c r="AI5467" s="6"/>
      <c r="AJ5467" s="6"/>
      <c r="AK5467" s="6"/>
      <c r="AL5467" s="6"/>
      <c r="AM5467" s="6"/>
    </row>
    <row r="5468">
      <c r="A5468" s="6"/>
      <c r="B5468" s="6"/>
      <c r="C5468" s="6"/>
      <c r="D5468" s="6"/>
      <c r="E5468" s="6"/>
      <c r="F5468" s="6"/>
      <c r="G5468" s="6"/>
      <c r="H5468" s="6"/>
      <c r="I5468" s="6"/>
      <c r="J5468" s="6"/>
      <c r="K5468" s="6"/>
      <c r="L5468" s="6"/>
      <c r="M5468" s="6"/>
      <c r="N5468" s="6"/>
      <c r="O5468" s="6"/>
      <c r="P5468" s="6"/>
      <c r="Q5468" s="6"/>
      <c r="R5468" s="6"/>
      <c r="S5468" s="6"/>
      <c r="T5468" s="6"/>
      <c r="U5468" s="6"/>
      <c r="V5468" s="6"/>
      <c r="W5468" s="6"/>
      <c r="X5468" s="6"/>
      <c r="Y5468" s="6"/>
      <c r="Z5468" s="6"/>
      <c r="AA5468" s="6"/>
      <c r="AB5468" s="6"/>
      <c r="AC5468" s="6"/>
      <c r="AD5468" s="6"/>
      <c r="AE5468" s="6"/>
      <c r="AF5468" s="6"/>
      <c r="AG5468" s="6"/>
      <c r="AH5468" s="6"/>
      <c r="AI5468" s="6"/>
      <c r="AJ5468" s="6"/>
      <c r="AK5468" s="6"/>
      <c r="AL5468" s="6"/>
      <c r="AM5468" s="6"/>
    </row>
    <row r="5469">
      <c r="A5469" s="6"/>
      <c r="B5469" s="6"/>
      <c r="C5469" s="6"/>
      <c r="D5469" s="6"/>
      <c r="E5469" s="6"/>
      <c r="F5469" s="6"/>
      <c r="G5469" s="6"/>
      <c r="H5469" s="6"/>
      <c r="I5469" s="6"/>
      <c r="J5469" s="6"/>
      <c r="K5469" s="6"/>
      <c r="L5469" s="6"/>
      <c r="M5469" s="6"/>
      <c r="N5469" s="6"/>
      <c r="O5469" s="6"/>
      <c r="P5469" s="6"/>
      <c r="Q5469" s="6"/>
      <c r="R5469" s="6"/>
      <c r="S5469" s="6"/>
      <c r="T5469" s="6"/>
      <c r="U5469" s="6"/>
      <c r="V5469" s="6"/>
      <c r="W5469" s="6"/>
      <c r="X5469" s="6"/>
      <c r="Y5469" s="6"/>
      <c r="Z5469" s="6"/>
      <c r="AA5469" s="6"/>
      <c r="AB5469" s="6"/>
      <c r="AC5469" s="6"/>
      <c r="AD5469" s="6"/>
      <c r="AE5469" s="6"/>
      <c r="AF5469" s="6"/>
      <c r="AG5469" s="6"/>
      <c r="AH5469" s="6"/>
      <c r="AI5469" s="6"/>
      <c r="AJ5469" s="6"/>
      <c r="AK5469" s="6"/>
      <c r="AL5469" s="6"/>
      <c r="AM5469" s="6"/>
    </row>
    <row r="5470">
      <c r="A5470" s="6"/>
      <c r="B5470" s="6"/>
      <c r="C5470" s="6"/>
      <c r="D5470" s="6"/>
      <c r="E5470" s="6"/>
      <c r="F5470" s="6"/>
      <c r="G5470" s="6"/>
      <c r="H5470" s="6"/>
      <c r="I5470" s="6"/>
      <c r="J5470" s="6"/>
      <c r="K5470" s="6"/>
      <c r="L5470" s="6"/>
      <c r="M5470" s="6"/>
      <c r="N5470" s="6"/>
      <c r="O5470" s="6"/>
      <c r="P5470" s="6"/>
      <c r="Q5470" s="6"/>
      <c r="R5470" s="6"/>
      <c r="S5470" s="6"/>
      <c r="T5470" s="6"/>
      <c r="U5470" s="6"/>
      <c r="V5470" s="6"/>
      <c r="W5470" s="6"/>
      <c r="X5470" s="6"/>
      <c r="Y5470" s="6"/>
      <c r="Z5470" s="6"/>
      <c r="AA5470" s="6"/>
      <c r="AB5470" s="6"/>
      <c r="AC5470" s="6"/>
      <c r="AD5470" s="6"/>
      <c r="AE5470" s="6"/>
      <c r="AF5470" s="6"/>
      <c r="AG5470" s="6"/>
      <c r="AH5470" s="6"/>
      <c r="AI5470" s="6"/>
      <c r="AJ5470" s="6"/>
      <c r="AK5470" s="6"/>
      <c r="AL5470" s="6"/>
      <c r="AM5470" s="6"/>
    </row>
    <row r="5471">
      <c r="A5471" s="6"/>
      <c r="B5471" s="6"/>
      <c r="C5471" s="6"/>
      <c r="D5471" s="6"/>
      <c r="E5471" s="6"/>
      <c r="F5471" s="6"/>
      <c r="G5471" s="6"/>
      <c r="H5471" s="6"/>
      <c r="I5471" s="6"/>
      <c r="J5471" s="6"/>
      <c r="K5471" s="6"/>
      <c r="L5471" s="6"/>
      <c r="M5471" s="6"/>
      <c r="N5471" s="6"/>
      <c r="O5471" s="6"/>
      <c r="P5471" s="6"/>
      <c r="Q5471" s="6"/>
      <c r="R5471" s="6"/>
      <c r="S5471" s="6"/>
      <c r="T5471" s="6"/>
      <c r="U5471" s="6"/>
      <c r="V5471" s="6"/>
      <c r="W5471" s="6"/>
      <c r="X5471" s="6"/>
      <c r="Y5471" s="6"/>
      <c r="Z5471" s="6"/>
      <c r="AA5471" s="6"/>
      <c r="AB5471" s="6"/>
      <c r="AC5471" s="6"/>
      <c r="AD5471" s="6"/>
      <c r="AE5471" s="6"/>
      <c r="AF5471" s="6"/>
      <c r="AG5471" s="6"/>
      <c r="AH5471" s="6"/>
      <c r="AI5471" s="6"/>
      <c r="AJ5471" s="6"/>
      <c r="AK5471" s="6"/>
      <c r="AL5471" s="6"/>
      <c r="AM5471" s="6"/>
    </row>
    <row r="5472">
      <c r="A5472" s="6"/>
      <c r="B5472" s="6"/>
      <c r="C5472" s="6"/>
      <c r="D5472" s="6"/>
      <c r="E5472" s="6"/>
      <c r="F5472" s="6"/>
      <c r="G5472" s="6"/>
      <c r="H5472" s="6"/>
      <c r="I5472" s="6"/>
      <c r="J5472" s="6"/>
      <c r="K5472" s="6"/>
      <c r="L5472" s="6"/>
      <c r="M5472" s="6"/>
      <c r="N5472" s="6"/>
      <c r="O5472" s="6"/>
      <c r="P5472" s="6"/>
      <c r="Q5472" s="6"/>
      <c r="R5472" s="6"/>
      <c r="S5472" s="6"/>
      <c r="T5472" s="6"/>
      <c r="U5472" s="6"/>
      <c r="V5472" s="6"/>
      <c r="W5472" s="6"/>
      <c r="X5472" s="6"/>
      <c r="Y5472" s="6"/>
      <c r="Z5472" s="6"/>
      <c r="AA5472" s="6"/>
      <c r="AB5472" s="6"/>
      <c r="AC5472" s="6"/>
      <c r="AD5472" s="6"/>
      <c r="AE5472" s="6"/>
      <c r="AF5472" s="6"/>
      <c r="AG5472" s="6"/>
      <c r="AH5472" s="6"/>
      <c r="AI5472" s="6"/>
      <c r="AJ5472" s="6"/>
      <c r="AK5472" s="6"/>
      <c r="AL5472" s="6"/>
      <c r="AM5472" s="6"/>
    </row>
    <row r="5473">
      <c r="A5473" s="6"/>
      <c r="B5473" s="6"/>
      <c r="C5473" s="6"/>
      <c r="D5473" s="6"/>
      <c r="E5473" s="6"/>
      <c r="F5473" s="6"/>
      <c r="G5473" s="6"/>
      <c r="H5473" s="6"/>
      <c r="I5473" s="6"/>
      <c r="J5473" s="6"/>
      <c r="K5473" s="6"/>
      <c r="L5473" s="6"/>
      <c r="M5473" s="6"/>
      <c r="N5473" s="6"/>
      <c r="O5473" s="6"/>
      <c r="P5473" s="6"/>
      <c r="Q5473" s="6"/>
      <c r="R5473" s="6"/>
      <c r="S5473" s="6"/>
      <c r="T5473" s="6"/>
      <c r="U5473" s="6"/>
      <c r="V5473" s="6"/>
      <c r="W5473" s="6"/>
      <c r="X5473" s="6"/>
      <c r="Y5473" s="6"/>
      <c r="Z5473" s="6"/>
      <c r="AA5473" s="6"/>
      <c r="AB5473" s="6"/>
      <c r="AC5473" s="6"/>
      <c r="AD5473" s="6"/>
      <c r="AE5473" s="6"/>
      <c r="AF5473" s="6"/>
      <c r="AG5473" s="6"/>
      <c r="AH5473" s="6"/>
      <c r="AI5473" s="6"/>
      <c r="AJ5473" s="6"/>
      <c r="AK5473" s="6"/>
      <c r="AL5473" s="6"/>
      <c r="AM5473" s="6"/>
    </row>
    <row r="5474">
      <c r="A5474" s="6"/>
      <c r="B5474" s="6"/>
      <c r="C5474" s="6"/>
      <c r="D5474" s="6"/>
      <c r="E5474" s="6"/>
      <c r="F5474" s="6"/>
      <c r="G5474" s="6"/>
      <c r="H5474" s="6"/>
      <c r="I5474" s="6"/>
      <c r="J5474" s="6"/>
      <c r="K5474" s="6"/>
      <c r="L5474" s="6"/>
      <c r="M5474" s="6"/>
      <c r="N5474" s="6"/>
      <c r="O5474" s="6"/>
      <c r="P5474" s="6"/>
      <c r="Q5474" s="6"/>
      <c r="R5474" s="6"/>
      <c r="S5474" s="6"/>
      <c r="T5474" s="6"/>
      <c r="U5474" s="6"/>
      <c r="V5474" s="6"/>
      <c r="W5474" s="6"/>
      <c r="X5474" s="6"/>
      <c r="Y5474" s="6"/>
      <c r="Z5474" s="6"/>
      <c r="AA5474" s="6"/>
      <c r="AB5474" s="6"/>
      <c r="AC5474" s="6"/>
      <c r="AD5474" s="6"/>
      <c r="AE5474" s="6"/>
      <c r="AF5474" s="6"/>
      <c r="AG5474" s="6"/>
      <c r="AH5474" s="6"/>
      <c r="AI5474" s="6"/>
      <c r="AJ5474" s="6"/>
      <c r="AK5474" s="6"/>
      <c r="AL5474" s="6"/>
      <c r="AM5474" s="6"/>
    </row>
    <row r="5475">
      <c r="A5475" s="6"/>
      <c r="B5475" s="6"/>
      <c r="C5475" s="6"/>
      <c r="D5475" s="6"/>
      <c r="E5475" s="6"/>
      <c r="F5475" s="6"/>
      <c r="G5475" s="6"/>
      <c r="H5475" s="6"/>
      <c r="I5475" s="6"/>
      <c r="J5475" s="6"/>
      <c r="K5475" s="6"/>
      <c r="L5475" s="6"/>
      <c r="M5475" s="6"/>
      <c r="N5475" s="6"/>
      <c r="O5475" s="6"/>
      <c r="P5475" s="6"/>
      <c r="Q5475" s="6"/>
      <c r="R5475" s="6"/>
      <c r="S5475" s="6"/>
      <c r="T5475" s="6"/>
      <c r="U5475" s="6"/>
      <c r="V5475" s="6"/>
      <c r="W5475" s="6"/>
      <c r="X5475" s="6"/>
      <c r="Y5475" s="6"/>
      <c r="Z5475" s="6"/>
      <c r="AA5475" s="6"/>
      <c r="AB5475" s="6"/>
      <c r="AC5475" s="6"/>
      <c r="AD5475" s="6"/>
      <c r="AE5475" s="6"/>
      <c r="AF5475" s="6"/>
      <c r="AG5475" s="6"/>
      <c r="AH5475" s="6"/>
      <c r="AI5475" s="6"/>
      <c r="AJ5475" s="6"/>
      <c r="AK5475" s="6"/>
      <c r="AL5475" s="6"/>
      <c r="AM5475" s="6"/>
    </row>
    <row r="5476">
      <c r="A5476" s="6"/>
      <c r="B5476" s="6"/>
      <c r="C5476" s="6"/>
      <c r="D5476" s="6"/>
      <c r="E5476" s="6"/>
      <c r="F5476" s="6"/>
      <c r="G5476" s="6"/>
      <c r="H5476" s="6"/>
      <c r="I5476" s="6"/>
      <c r="J5476" s="6"/>
      <c r="K5476" s="6"/>
      <c r="L5476" s="6"/>
      <c r="M5476" s="6"/>
      <c r="N5476" s="6"/>
      <c r="O5476" s="6"/>
      <c r="P5476" s="6"/>
      <c r="Q5476" s="6"/>
      <c r="R5476" s="6"/>
      <c r="S5476" s="6"/>
      <c r="T5476" s="6"/>
      <c r="U5476" s="6"/>
      <c r="V5476" s="6"/>
      <c r="W5476" s="6"/>
      <c r="X5476" s="6"/>
      <c r="Y5476" s="6"/>
      <c r="Z5476" s="6"/>
      <c r="AA5476" s="6"/>
      <c r="AB5476" s="6"/>
      <c r="AC5476" s="6"/>
      <c r="AD5476" s="6"/>
      <c r="AE5476" s="6"/>
      <c r="AF5476" s="6"/>
      <c r="AG5476" s="6"/>
      <c r="AH5476" s="6"/>
      <c r="AI5476" s="6"/>
      <c r="AJ5476" s="6"/>
      <c r="AK5476" s="6"/>
      <c r="AL5476" s="6"/>
      <c r="AM5476" s="6"/>
    </row>
    <row r="5477">
      <c r="A5477" s="6"/>
      <c r="B5477" s="6"/>
      <c r="C5477" s="6"/>
      <c r="D5477" s="6"/>
      <c r="E5477" s="6"/>
      <c r="F5477" s="6"/>
      <c r="G5477" s="6"/>
      <c r="H5477" s="6"/>
      <c r="I5477" s="6"/>
      <c r="J5477" s="6"/>
      <c r="K5477" s="6"/>
      <c r="L5477" s="6"/>
      <c r="M5477" s="6"/>
      <c r="N5477" s="6"/>
      <c r="O5477" s="6"/>
      <c r="P5477" s="6"/>
      <c r="Q5477" s="6"/>
      <c r="R5477" s="6"/>
      <c r="S5477" s="6"/>
      <c r="T5477" s="6"/>
      <c r="U5477" s="6"/>
      <c r="V5477" s="6"/>
      <c r="W5477" s="6"/>
      <c r="X5477" s="6"/>
      <c r="Y5477" s="6"/>
      <c r="Z5477" s="6"/>
      <c r="AA5477" s="6"/>
      <c r="AB5477" s="6"/>
      <c r="AC5477" s="6"/>
      <c r="AD5477" s="6"/>
      <c r="AE5477" s="6"/>
      <c r="AF5477" s="6"/>
      <c r="AG5477" s="6"/>
      <c r="AH5477" s="6"/>
      <c r="AI5477" s="6"/>
      <c r="AJ5477" s="6"/>
      <c r="AK5477" s="6"/>
      <c r="AL5477" s="6"/>
      <c r="AM5477" s="6"/>
    </row>
    <row r="5478">
      <c r="A5478" s="6"/>
      <c r="B5478" s="6"/>
      <c r="C5478" s="6"/>
      <c r="D5478" s="6"/>
      <c r="E5478" s="6"/>
      <c r="F5478" s="6"/>
      <c r="G5478" s="6"/>
      <c r="H5478" s="6"/>
      <c r="I5478" s="6"/>
      <c r="J5478" s="6"/>
      <c r="K5478" s="6"/>
      <c r="L5478" s="6"/>
      <c r="M5478" s="6"/>
      <c r="N5478" s="6"/>
      <c r="O5478" s="6"/>
      <c r="P5478" s="6"/>
      <c r="Q5478" s="6"/>
      <c r="R5478" s="6"/>
      <c r="S5478" s="6"/>
      <c r="T5478" s="6"/>
      <c r="U5478" s="6"/>
      <c r="V5478" s="6"/>
      <c r="W5478" s="6"/>
      <c r="X5478" s="6"/>
      <c r="Y5478" s="6"/>
      <c r="Z5478" s="6"/>
      <c r="AA5478" s="6"/>
      <c r="AB5478" s="6"/>
      <c r="AC5478" s="6"/>
      <c r="AD5478" s="6"/>
      <c r="AE5478" s="6"/>
      <c r="AF5478" s="6"/>
      <c r="AG5478" s="6"/>
      <c r="AH5478" s="6"/>
      <c r="AI5478" s="6"/>
      <c r="AJ5478" s="6"/>
      <c r="AK5478" s="6"/>
      <c r="AL5478" s="6"/>
      <c r="AM5478" s="6"/>
    </row>
    <row r="5479">
      <c r="A5479" s="6"/>
      <c r="B5479" s="6"/>
      <c r="C5479" s="6"/>
      <c r="D5479" s="6"/>
      <c r="E5479" s="6"/>
      <c r="F5479" s="6"/>
      <c r="G5479" s="6"/>
      <c r="H5479" s="6"/>
      <c r="I5479" s="6"/>
      <c r="J5479" s="6"/>
      <c r="K5479" s="6"/>
      <c r="L5479" s="6"/>
      <c r="M5479" s="6"/>
      <c r="N5479" s="6"/>
      <c r="O5479" s="6"/>
      <c r="P5479" s="6"/>
      <c r="Q5479" s="6"/>
      <c r="R5479" s="6"/>
      <c r="S5479" s="6"/>
      <c r="T5479" s="6"/>
      <c r="U5479" s="6"/>
      <c r="V5479" s="6"/>
      <c r="W5479" s="6"/>
      <c r="X5479" s="6"/>
      <c r="Y5479" s="6"/>
      <c r="Z5479" s="6"/>
      <c r="AA5479" s="6"/>
      <c r="AB5479" s="6"/>
      <c r="AC5479" s="6"/>
      <c r="AD5479" s="6"/>
      <c r="AE5479" s="6"/>
      <c r="AF5479" s="6"/>
      <c r="AG5479" s="6"/>
      <c r="AH5479" s="6"/>
      <c r="AI5479" s="6"/>
      <c r="AJ5479" s="6"/>
      <c r="AK5479" s="6"/>
      <c r="AL5479" s="6"/>
      <c r="AM5479" s="6"/>
    </row>
    <row r="5480">
      <c r="A5480" s="6"/>
      <c r="B5480" s="6"/>
      <c r="C5480" s="6"/>
      <c r="D5480" s="6"/>
      <c r="E5480" s="6"/>
      <c r="F5480" s="6"/>
      <c r="G5480" s="6"/>
      <c r="H5480" s="6"/>
      <c r="I5480" s="6"/>
      <c r="J5480" s="6"/>
      <c r="K5480" s="6"/>
      <c r="L5480" s="6"/>
      <c r="M5480" s="6"/>
      <c r="N5480" s="6"/>
      <c r="O5480" s="6"/>
      <c r="P5480" s="6"/>
      <c r="Q5480" s="6"/>
      <c r="R5480" s="6"/>
      <c r="S5480" s="6"/>
      <c r="T5480" s="6"/>
      <c r="U5480" s="6"/>
      <c r="V5480" s="6"/>
      <c r="W5480" s="6"/>
      <c r="X5480" s="6"/>
      <c r="Y5480" s="6"/>
      <c r="Z5480" s="6"/>
      <c r="AA5480" s="6"/>
      <c r="AB5480" s="6"/>
      <c r="AC5480" s="6"/>
      <c r="AD5480" s="6"/>
      <c r="AE5480" s="6"/>
      <c r="AF5480" s="6"/>
      <c r="AG5480" s="6"/>
      <c r="AH5480" s="6"/>
      <c r="AI5480" s="6"/>
      <c r="AJ5480" s="6"/>
      <c r="AK5480" s="6"/>
      <c r="AL5480" s="6"/>
      <c r="AM5480" s="6"/>
    </row>
    <row r="5481">
      <c r="A5481" s="6"/>
      <c r="B5481" s="6"/>
      <c r="C5481" s="6"/>
      <c r="D5481" s="6"/>
      <c r="E5481" s="6"/>
      <c r="F5481" s="6"/>
      <c r="G5481" s="6"/>
      <c r="H5481" s="6"/>
      <c r="I5481" s="6"/>
      <c r="J5481" s="6"/>
      <c r="K5481" s="6"/>
      <c r="L5481" s="6"/>
      <c r="M5481" s="6"/>
      <c r="N5481" s="6"/>
      <c r="O5481" s="6"/>
      <c r="P5481" s="6"/>
      <c r="Q5481" s="6"/>
      <c r="R5481" s="6"/>
      <c r="S5481" s="6"/>
      <c r="T5481" s="6"/>
      <c r="U5481" s="6"/>
      <c r="V5481" s="6"/>
      <c r="W5481" s="6"/>
      <c r="X5481" s="6"/>
      <c r="Y5481" s="6"/>
      <c r="Z5481" s="6"/>
      <c r="AA5481" s="6"/>
      <c r="AB5481" s="6"/>
      <c r="AC5481" s="6"/>
      <c r="AD5481" s="6"/>
      <c r="AE5481" s="6"/>
      <c r="AF5481" s="6"/>
      <c r="AG5481" s="6"/>
      <c r="AH5481" s="6"/>
      <c r="AI5481" s="6"/>
      <c r="AJ5481" s="6"/>
      <c r="AK5481" s="6"/>
      <c r="AL5481" s="6"/>
      <c r="AM5481" s="6"/>
    </row>
    <row r="5482">
      <c r="A5482" s="6"/>
      <c r="B5482" s="6"/>
      <c r="C5482" s="6"/>
      <c r="D5482" s="6"/>
      <c r="E5482" s="6"/>
      <c r="F5482" s="6"/>
      <c r="G5482" s="6"/>
      <c r="H5482" s="6"/>
      <c r="I5482" s="6"/>
      <c r="J5482" s="6"/>
      <c r="K5482" s="6"/>
      <c r="L5482" s="6"/>
      <c r="M5482" s="6"/>
      <c r="N5482" s="6"/>
      <c r="O5482" s="6"/>
      <c r="P5482" s="6"/>
      <c r="Q5482" s="6"/>
      <c r="R5482" s="6"/>
      <c r="S5482" s="6"/>
      <c r="T5482" s="6"/>
      <c r="U5482" s="6"/>
      <c r="V5482" s="6"/>
      <c r="W5482" s="6"/>
      <c r="X5482" s="6"/>
      <c r="Y5482" s="6"/>
      <c r="Z5482" s="6"/>
      <c r="AA5482" s="6"/>
      <c r="AB5482" s="6"/>
      <c r="AC5482" s="6"/>
      <c r="AD5482" s="6"/>
      <c r="AE5482" s="6"/>
      <c r="AF5482" s="6"/>
      <c r="AG5482" s="6"/>
      <c r="AH5482" s="6"/>
      <c r="AI5482" s="6"/>
      <c r="AJ5482" s="6"/>
      <c r="AK5482" s="6"/>
      <c r="AL5482" s="6"/>
      <c r="AM5482" s="6"/>
    </row>
    <row r="5483">
      <c r="A5483" s="6"/>
      <c r="B5483" s="6"/>
      <c r="C5483" s="6"/>
      <c r="D5483" s="6"/>
      <c r="E5483" s="6"/>
      <c r="F5483" s="6"/>
      <c r="G5483" s="6"/>
      <c r="H5483" s="6"/>
      <c r="I5483" s="6"/>
      <c r="J5483" s="6"/>
      <c r="K5483" s="6"/>
      <c r="L5483" s="6"/>
      <c r="M5483" s="6"/>
      <c r="N5483" s="6"/>
      <c r="O5483" s="6"/>
      <c r="P5483" s="6"/>
      <c r="Q5483" s="6"/>
      <c r="R5483" s="6"/>
      <c r="S5483" s="6"/>
      <c r="T5483" s="6"/>
      <c r="U5483" s="6"/>
      <c r="V5483" s="6"/>
      <c r="W5483" s="6"/>
      <c r="X5483" s="6"/>
      <c r="Y5483" s="6"/>
      <c r="Z5483" s="6"/>
      <c r="AA5483" s="6"/>
      <c r="AB5483" s="6"/>
      <c r="AC5483" s="6"/>
      <c r="AD5483" s="6"/>
      <c r="AE5483" s="6"/>
      <c r="AF5483" s="6"/>
      <c r="AG5483" s="6"/>
      <c r="AH5483" s="6"/>
      <c r="AI5483" s="6"/>
      <c r="AJ5483" s="6"/>
      <c r="AK5483" s="6"/>
      <c r="AL5483" s="6"/>
      <c r="AM5483" s="6"/>
    </row>
    <row r="5484">
      <c r="A5484" s="6"/>
      <c r="B5484" s="6"/>
      <c r="C5484" s="6"/>
      <c r="D5484" s="6"/>
      <c r="E5484" s="6"/>
      <c r="F5484" s="6"/>
      <c r="G5484" s="6"/>
      <c r="H5484" s="6"/>
      <c r="I5484" s="6"/>
      <c r="J5484" s="6"/>
      <c r="K5484" s="6"/>
      <c r="L5484" s="6"/>
      <c r="M5484" s="6"/>
      <c r="N5484" s="6"/>
      <c r="O5484" s="6"/>
      <c r="P5484" s="6"/>
      <c r="Q5484" s="6"/>
      <c r="R5484" s="6"/>
      <c r="S5484" s="6"/>
      <c r="T5484" s="6"/>
      <c r="U5484" s="6"/>
      <c r="V5484" s="6"/>
      <c r="W5484" s="6"/>
      <c r="X5484" s="6"/>
      <c r="Y5484" s="6"/>
      <c r="Z5484" s="6"/>
      <c r="AA5484" s="6"/>
      <c r="AB5484" s="6"/>
      <c r="AC5484" s="6"/>
      <c r="AD5484" s="6"/>
      <c r="AE5484" s="6"/>
      <c r="AF5484" s="6"/>
      <c r="AG5484" s="6"/>
      <c r="AH5484" s="6"/>
      <c r="AI5484" s="6"/>
      <c r="AJ5484" s="6"/>
      <c r="AK5484" s="6"/>
      <c r="AL5484" s="6"/>
      <c r="AM5484" s="6"/>
    </row>
    <row r="5485">
      <c r="A5485" s="6"/>
      <c r="B5485" s="6"/>
      <c r="C5485" s="6"/>
      <c r="D5485" s="6"/>
      <c r="E5485" s="6"/>
      <c r="F5485" s="6"/>
      <c r="G5485" s="6"/>
      <c r="H5485" s="6"/>
      <c r="I5485" s="6"/>
      <c r="J5485" s="6"/>
      <c r="K5485" s="6"/>
      <c r="L5485" s="6"/>
      <c r="M5485" s="6"/>
      <c r="N5485" s="6"/>
      <c r="O5485" s="6"/>
      <c r="P5485" s="6"/>
      <c r="Q5485" s="6"/>
      <c r="R5485" s="6"/>
      <c r="S5485" s="6"/>
      <c r="T5485" s="6"/>
      <c r="U5485" s="6"/>
      <c r="V5485" s="6"/>
      <c r="W5485" s="6"/>
      <c r="X5485" s="6"/>
      <c r="Y5485" s="6"/>
      <c r="Z5485" s="6"/>
      <c r="AA5485" s="6"/>
      <c r="AB5485" s="6"/>
      <c r="AC5485" s="6"/>
      <c r="AD5485" s="6"/>
      <c r="AE5485" s="6"/>
      <c r="AF5485" s="6"/>
      <c r="AG5485" s="6"/>
      <c r="AH5485" s="6"/>
      <c r="AI5485" s="6"/>
      <c r="AJ5485" s="6"/>
      <c r="AK5485" s="6"/>
      <c r="AL5485" s="6"/>
      <c r="AM5485" s="6"/>
    </row>
    <row r="5486">
      <c r="A5486" s="6"/>
      <c r="B5486" s="6"/>
      <c r="C5486" s="6"/>
      <c r="D5486" s="6"/>
      <c r="E5486" s="6"/>
      <c r="F5486" s="6"/>
      <c r="G5486" s="6"/>
      <c r="H5486" s="6"/>
      <c r="I5486" s="6"/>
      <c r="J5486" s="6"/>
      <c r="K5486" s="6"/>
      <c r="L5486" s="6"/>
      <c r="M5486" s="6"/>
      <c r="N5486" s="6"/>
      <c r="O5486" s="6"/>
      <c r="P5486" s="6"/>
      <c r="Q5486" s="6"/>
      <c r="R5486" s="6"/>
      <c r="S5486" s="6"/>
      <c r="T5486" s="6"/>
      <c r="U5486" s="6"/>
      <c r="V5486" s="6"/>
      <c r="W5486" s="6"/>
      <c r="X5486" s="6"/>
      <c r="Y5486" s="6"/>
      <c r="Z5486" s="6"/>
      <c r="AA5486" s="6"/>
      <c r="AB5486" s="6"/>
      <c r="AC5486" s="6"/>
      <c r="AD5486" s="6"/>
      <c r="AE5486" s="6"/>
      <c r="AF5486" s="6"/>
      <c r="AG5486" s="6"/>
      <c r="AH5486" s="6"/>
      <c r="AI5486" s="6"/>
      <c r="AJ5486" s="6"/>
      <c r="AK5486" s="6"/>
      <c r="AL5486" s="6"/>
      <c r="AM5486" s="6"/>
    </row>
    <row r="5487">
      <c r="A5487" s="6"/>
      <c r="B5487" s="6"/>
      <c r="C5487" s="6"/>
      <c r="D5487" s="6"/>
      <c r="E5487" s="6"/>
      <c r="F5487" s="6"/>
      <c r="G5487" s="6"/>
      <c r="H5487" s="6"/>
      <c r="I5487" s="6"/>
      <c r="J5487" s="6"/>
      <c r="K5487" s="6"/>
      <c r="L5487" s="6"/>
      <c r="M5487" s="6"/>
      <c r="N5487" s="6"/>
      <c r="O5487" s="6"/>
      <c r="P5487" s="6"/>
      <c r="Q5487" s="6"/>
      <c r="R5487" s="6"/>
      <c r="S5487" s="6"/>
      <c r="T5487" s="6"/>
      <c r="U5487" s="6"/>
      <c r="V5487" s="6"/>
      <c r="W5487" s="6"/>
      <c r="X5487" s="6"/>
      <c r="Y5487" s="6"/>
      <c r="Z5487" s="6"/>
      <c r="AA5487" s="6"/>
      <c r="AB5487" s="6"/>
      <c r="AC5487" s="6"/>
      <c r="AD5487" s="6"/>
      <c r="AE5487" s="6"/>
      <c r="AF5487" s="6"/>
      <c r="AG5487" s="6"/>
      <c r="AH5487" s="6"/>
      <c r="AI5487" s="6"/>
      <c r="AJ5487" s="6"/>
      <c r="AK5487" s="6"/>
      <c r="AL5487" s="6"/>
      <c r="AM5487" s="6"/>
    </row>
    <row r="5488">
      <c r="A5488" s="6"/>
      <c r="B5488" s="6"/>
      <c r="C5488" s="6"/>
      <c r="D5488" s="6"/>
      <c r="E5488" s="6"/>
      <c r="F5488" s="6"/>
      <c r="G5488" s="6"/>
      <c r="H5488" s="6"/>
      <c r="I5488" s="6"/>
      <c r="J5488" s="6"/>
      <c r="K5488" s="6"/>
      <c r="L5488" s="6"/>
      <c r="M5488" s="6"/>
      <c r="N5488" s="6"/>
      <c r="O5488" s="6"/>
      <c r="P5488" s="6"/>
      <c r="Q5488" s="6"/>
      <c r="R5488" s="6"/>
      <c r="S5488" s="6"/>
      <c r="T5488" s="6"/>
      <c r="U5488" s="6"/>
      <c r="V5488" s="6"/>
      <c r="W5488" s="6"/>
      <c r="X5488" s="6"/>
      <c r="Y5488" s="6"/>
      <c r="Z5488" s="6"/>
      <c r="AA5488" s="6"/>
      <c r="AB5488" s="6"/>
      <c r="AC5488" s="6"/>
      <c r="AD5488" s="6"/>
      <c r="AE5488" s="6"/>
      <c r="AF5488" s="6"/>
      <c r="AG5488" s="6"/>
      <c r="AH5488" s="6"/>
      <c r="AI5488" s="6"/>
      <c r="AJ5488" s="6"/>
      <c r="AK5488" s="6"/>
      <c r="AL5488" s="6"/>
      <c r="AM5488" s="6"/>
    </row>
    <row r="5489">
      <c r="A5489" s="6"/>
      <c r="B5489" s="6"/>
      <c r="C5489" s="6"/>
      <c r="D5489" s="6"/>
      <c r="E5489" s="6"/>
      <c r="F5489" s="6"/>
      <c r="G5489" s="6"/>
      <c r="H5489" s="6"/>
      <c r="I5489" s="6"/>
      <c r="J5489" s="6"/>
      <c r="K5489" s="6"/>
      <c r="L5489" s="6"/>
      <c r="M5489" s="6"/>
      <c r="N5489" s="6"/>
      <c r="O5489" s="6"/>
      <c r="P5489" s="6"/>
      <c r="Q5489" s="6"/>
      <c r="R5489" s="6"/>
      <c r="S5489" s="6"/>
      <c r="T5489" s="6"/>
      <c r="U5489" s="6"/>
      <c r="V5489" s="6"/>
      <c r="W5489" s="6"/>
      <c r="X5489" s="6"/>
      <c r="Y5489" s="6"/>
      <c r="Z5489" s="6"/>
      <c r="AA5489" s="6"/>
      <c r="AB5489" s="6"/>
      <c r="AC5489" s="6"/>
      <c r="AD5489" s="6"/>
      <c r="AE5489" s="6"/>
      <c r="AF5489" s="6"/>
      <c r="AG5489" s="6"/>
      <c r="AH5489" s="6"/>
      <c r="AI5489" s="6"/>
      <c r="AJ5489" s="6"/>
      <c r="AK5489" s="6"/>
      <c r="AL5489" s="6"/>
      <c r="AM5489" s="6"/>
    </row>
    <row r="5490">
      <c r="A5490" s="6"/>
      <c r="B5490" s="6"/>
      <c r="C5490" s="6"/>
      <c r="D5490" s="6"/>
      <c r="E5490" s="6"/>
      <c r="F5490" s="6"/>
      <c r="G5490" s="6"/>
      <c r="H5490" s="6"/>
      <c r="I5490" s="6"/>
      <c r="J5490" s="6"/>
      <c r="K5490" s="6"/>
      <c r="L5490" s="6"/>
      <c r="M5490" s="6"/>
      <c r="N5490" s="6"/>
      <c r="O5490" s="6"/>
      <c r="P5490" s="6"/>
      <c r="Q5490" s="6"/>
      <c r="R5490" s="6"/>
      <c r="S5490" s="6"/>
      <c r="T5490" s="6"/>
      <c r="U5490" s="6"/>
      <c r="V5490" s="6"/>
      <c r="W5490" s="6"/>
      <c r="X5490" s="6"/>
      <c r="Y5490" s="6"/>
      <c r="Z5490" s="6"/>
      <c r="AA5490" s="6"/>
      <c r="AB5490" s="6"/>
      <c r="AC5490" s="6"/>
      <c r="AD5490" s="6"/>
      <c r="AE5490" s="6"/>
      <c r="AF5490" s="6"/>
      <c r="AG5490" s="6"/>
      <c r="AH5490" s="6"/>
      <c r="AI5490" s="6"/>
      <c r="AJ5490" s="6"/>
      <c r="AK5490" s="6"/>
      <c r="AL5490" s="6"/>
      <c r="AM5490" s="6"/>
    </row>
    <row r="5491">
      <c r="A5491" s="6"/>
      <c r="B5491" s="6"/>
      <c r="C5491" s="6"/>
      <c r="D5491" s="6"/>
      <c r="E5491" s="6"/>
      <c r="F5491" s="6"/>
      <c r="G5491" s="6"/>
      <c r="H5491" s="6"/>
      <c r="I5491" s="6"/>
      <c r="J5491" s="6"/>
      <c r="K5491" s="6"/>
      <c r="L5491" s="6"/>
      <c r="M5491" s="6"/>
      <c r="N5491" s="6"/>
      <c r="O5491" s="6"/>
      <c r="P5491" s="6"/>
      <c r="Q5491" s="6"/>
      <c r="R5491" s="6"/>
      <c r="S5491" s="6"/>
      <c r="T5491" s="6"/>
      <c r="U5491" s="6"/>
      <c r="V5491" s="6"/>
      <c r="W5491" s="6"/>
      <c r="X5491" s="6"/>
      <c r="Y5491" s="6"/>
      <c r="Z5491" s="6"/>
      <c r="AA5491" s="6"/>
      <c r="AB5491" s="6"/>
      <c r="AC5491" s="6"/>
      <c r="AD5491" s="6"/>
      <c r="AE5491" s="6"/>
      <c r="AF5491" s="6"/>
      <c r="AG5491" s="6"/>
      <c r="AH5491" s="6"/>
      <c r="AI5491" s="6"/>
      <c r="AJ5491" s="6"/>
      <c r="AK5491" s="6"/>
      <c r="AL5491" s="6"/>
      <c r="AM5491" s="6"/>
    </row>
    <row r="5492">
      <c r="A5492" s="6"/>
      <c r="B5492" s="6"/>
      <c r="C5492" s="6"/>
      <c r="D5492" s="6"/>
      <c r="E5492" s="6"/>
      <c r="F5492" s="6"/>
      <c r="G5492" s="6"/>
      <c r="H5492" s="6"/>
      <c r="I5492" s="6"/>
      <c r="J5492" s="6"/>
      <c r="K5492" s="6"/>
      <c r="L5492" s="6"/>
      <c r="M5492" s="6"/>
      <c r="N5492" s="6"/>
      <c r="O5492" s="6"/>
      <c r="P5492" s="6"/>
      <c r="Q5492" s="6"/>
      <c r="R5492" s="6"/>
      <c r="S5492" s="6"/>
      <c r="T5492" s="6"/>
      <c r="U5492" s="6"/>
      <c r="V5492" s="6"/>
      <c r="W5492" s="6"/>
      <c r="X5492" s="6"/>
      <c r="Y5492" s="6"/>
      <c r="Z5492" s="6"/>
      <c r="AA5492" s="6"/>
      <c r="AB5492" s="6"/>
      <c r="AC5492" s="6"/>
      <c r="AD5492" s="6"/>
      <c r="AE5492" s="6"/>
      <c r="AF5492" s="6"/>
      <c r="AG5492" s="6"/>
      <c r="AH5492" s="6"/>
      <c r="AI5492" s="6"/>
      <c r="AJ5492" s="6"/>
      <c r="AK5492" s="6"/>
      <c r="AL5492" s="6"/>
      <c r="AM5492" s="6"/>
    </row>
    <row r="5493">
      <c r="A5493" s="6"/>
      <c r="B5493" s="6"/>
      <c r="C5493" s="6"/>
      <c r="D5493" s="6"/>
      <c r="E5493" s="6"/>
      <c r="F5493" s="6"/>
      <c r="G5493" s="6"/>
      <c r="H5493" s="6"/>
      <c r="I5493" s="6"/>
      <c r="J5493" s="6"/>
      <c r="K5493" s="6"/>
      <c r="L5493" s="6"/>
      <c r="M5493" s="6"/>
      <c r="N5493" s="6"/>
      <c r="O5493" s="6"/>
      <c r="P5493" s="6"/>
      <c r="Q5493" s="6"/>
      <c r="R5493" s="6"/>
      <c r="S5493" s="6"/>
      <c r="T5493" s="6"/>
      <c r="U5493" s="6"/>
      <c r="V5493" s="6"/>
      <c r="W5493" s="6"/>
      <c r="X5493" s="6"/>
      <c r="Y5493" s="6"/>
      <c r="Z5493" s="6"/>
      <c r="AA5493" s="6"/>
      <c r="AB5493" s="6"/>
      <c r="AC5493" s="6"/>
      <c r="AD5493" s="6"/>
      <c r="AE5493" s="6"/>
      <c r="AF5493" s="6"/>
      <c r="AG5493" s="6"/>
      <c r="AH5493" s="6"/>
      <c r="AI5493" s="6"/>
      <c r="AJ5493" s="6"/>
      <c r="AK5493" s="6"/>
      <c r="AL5493" s="6"/>
      <c r="AM5493" s="6"/>
    </row>
    <row r="5494">
      <c r="A5494" s="6"/>
      <c r="B5494" s="6"/>
      <c r="C5494" s="6"/>
      <c r="D5494" s="6"/>
      <c r="E5494" s="6"/>
      <c r="F5494" s="6"/>
      <c r="G5494" s="6"/>
      <c r="H5494" s="6"/>
      <c r="I5494" s="6"/>
      <c r="J5494" s="6"/>
      <c r="K5494" s="6"/>
      <c r="L5494" s="6"/>
      <c r="M5494" s="6"/>
      <c r="N5494" s="6"/>
      <c r="O5494" s="6"/>
      <c r="P5494" s="6"/>
      <c r="Q5494" s="6"/>
      <c r="R5494" s="6"/>
      <c r="S5494" s="6"/>
      <c r="T5494" s="6"/>
      <c r="U5494" s="6"/>
      <c r="V5494" s="6"/>
      <c r="W5494" s="6"/>
      <c r="X5494" s="6"/>
      <c r="Y5494" s="6"/>
      <c r="Z5494" s="6"/>
      <c r="AA5494" s="6"/>
      <c r="AB5494" s="6"/>
      <c r="AC5494" s="6"/>
      <c r="AD5494" s="6"/>
      <c r="AE5494" s="6"/>
      <c r="AF5494" s="6"/>
      <c r="AG5494" s="6"/>
      <c r="AH5494" s="6"/>
      <c r="AI5494" s="6"/>
      <c r="AJ5494" s="6"/>
      <c r="AK5494" s="6"/>
      <c r="AL5494" s="6"/>
      <c r="AM5494" s="6"/>
    </row>
    <row r="5495">
      <c r="A5495" s="6"/>
      <c r="B5495" s="6"/>
      <c r="C5495" s="6"/>
      <c r="D5495" s="6"/>
      <c r="E5495" s="6"/>
      <c r="F5495" s="6"/>
      <c r="G5495" s="6"/>
      <c r="H5495" s="6"/>
      <c r="I5495" s="6"/>
      <c r="J5495" s="6"/>
      <c r="K5495" s="6"/>
      <c r="L5495" s="6"/>
      <c r="M5495" s="6"/>
      <c r="N5495" s="6"/>
      <c r="O5495" s="6"/>
      <c r="P5495" s="6"/>
      <c r="Q5495" s="6"/>
      <c r="R5495" s="6"/>
      <c r="S5495" s="6"/>
      <c r="T5495" s="6"/>
      <c r="U5495" s="6"/>
      <c r="V5495" s="6"/>
      <c r="W5495" s="6"/>
      <c r="X5495" s="6"/>
      <c r="Y5495" s="6"/>
      <c r="Z5495" s="6"/>
      <c r="AA5495" s="6"/>
      <c r="AB5495" s="6"/>
      <c r="AC5495" s="6"/>
      <c r="AD5495" s="6"/>
      <c r="AE5495" s="6"/>
      <c r="AF5495" s="6"/>
      <c r="AG5495" s="6"/>
      <c r="AH5495" s="6"/>
      <c r="AI5495" s="6"/>
      <c r="AJ5495" s="6"/>
      <c r="AK5495" s="6"/>
      <c r="AL5495" s="6"/>
      <c r="AM5495" s="6"/>
    </row>
    <row r="5496">
      <c r="A5496" s="6"/>
      <c r="B5496" s="6"/>
      <c r="C5496" s="6"/>
      <c r="D5496" s="6"/>
      <c r="E5496" s="6"/>
      <c r="F5496" s="6"/>
      <c r="G5496" s="6"/>
      <c r="H5496" s="6"/>
      <c r="I5496" s="6"/>
      <c r="J5496" s="6"/>
      <c r="K5496" s="6"/>
      <c r="L5496" s="6"/>
      <c r="M5496" s="6"/>
      <c r="N5496" s="6"/>
      <c r="O5496" s="6"/>
      <c r="P5496" s="6"/>
      <c r="Q5496" s="6"/>
      <c r="R5496" s="6"/>
      <c r="S5496" s="6"/>
      <c r="T5496" s="6"/>
      <c r="U5496" s="6"/>
      <c r="V5496" s="6"/>
      <c r="W5496" s="6"/>
      <c r="X5496" s="6"/>
      <c r="Y5496" s="6"/>
      <c r="Z5496" s="6"/>
      <c r="AA5496" s="6"/>
      <c r="AB5496" s="6"/>
      <c r="AC5496" s="6"/>
      <c r="AD5496" s="6"/>
      <c r="AE5496" s="6"/>
      <c r="AF5496" s="6"/>
      <c r="AG5496" s="6"/>
      <c r="AH5496" s="6"/>
      <c r="AI5496" s="6"/>
      <c r="AJ5496" s="6"/>
      <c r="AK5496" s="6"/>
      <c r="AL5496" s="6"/>
      <c r="AM5496" s="6"/>
    </row>
    <row r="5497">
      <c r="A5497" s="6"/>
      <c r="B5497" s="6"/>
      <c r="C5497" s="6"/>
      <c r="D5497" s="6"/>
      <c r="E5497" s="6"/>
      <c r="F5497" s="6"/>
      <c r="G5497" s="6"/>
      <c r="H5497" s="6"/>
      <c r="I5497" s="6"/>
      <c r="J5497" s="6"/>
      <c r="K5497" s="6"/>
      <c r="L5497" s="6"/>
      <c r="M5497" s="6"/>
      <c r="N5497" s="6"/>
      <c r="O5497" s="6"/>
      <c r="P5497" s="6"/>
      <c r="Q5497" s="6"/>
      <c r="R5497" s="6"/>
      <c r="S5497" s="6"/>
      <c r="T5497" s="6"/>
      <c r="U5497" s="6"/>
      <c r="V5497" s="6"/>
      <c r="W5497" s="6"/>
      <c r="X5497" s="6"/>
      <c r="Y5497" s="6"/>
      <c r="Z5497" s="6"/>
      <c r="AA5497" s="6"/>
      <c r="AB5497" s="6"/>
      <c r="AC5497" s="6"/>
      <c r="AD5497" s="6"/>
      <c r="AE5497" s="6"/>
      <c r="AF5497" s="6"/>
      <c r="AG5497" s="6"/>
      <c r="AH5497" s="6"/>
      <c r="AI5497" s="6"/>
      <c r="AJ5497" s="6"/>
      <c r="AK5497" s="6"/>
      <c r="AL5497" s="6"/>
      <c r="AM5497" s="6"/>
    </row>
    <row r="5498">
      <c r="A5498" s="6"/>
      <c r="B5498" s="6"/>
      <c r="C5498" s="6"/>
      <c r="D5498" s="6"/>
      <c r="E5498" s="6"/>
      <c r="F5498" s="6"/>
      <c r="G5498" s="6"/>
      <c r="H5498" s="6"/>
      <c r="I5498" s="6"/>
      <c r="J5498" s="6"/>
      <c r="K5498" s="6"/>
      <c r="L5498" s="6"/>
      <c r="M5498" s="6"/>
      <c r="N5498" s="6"/>
      <c r="O5498" s="6"/>
      <c r="P5498" s="6"/>
      <c r="Q5498" s="6"/>
      <c r="R5498" s="6"/>
      <c r="S5498" s="6"/>
      <c r="T5498" s="6"/>
      <c r="U5498" s="6"/>
      <c r="V5498" s="6"/>
      <c r="W5498" s="6"/>
      <c r="X5498" s="6"/>
      <c r="Y5498" s="6"/>
      <c r="Z5498" s="6"/>
      <c r="AA5498" s="6"/>
      <c r="AB5498" s="6"/>
      <c r="AC5498" s="6"/>
      <c r="AD5498" s="6"/>
      <c r="AE5498" s="6"/>
      <c r="AF5498" s="6"/>
      <c r="AG5498" s="6"/>
      <c r="AH5498" s="6"/>
      <c r="AI5498" s="6"/>
      <c r="AJ5498" s="6"/>
      <c r="AK5498" s="6"/>
      <c r="AL5498" s="6"/>
      <c r="AM5498" s="6"/>
    </row>
    <row r="5499">
      <c r="A5499" s="6"/>
      <c r="B5499" s="6"/>
      <c r="C5499" s="6"/>
      <c r="D5499" s="6"/>
      <c r="E5499" s="6"/>
      <c r="F5499" s="6"/>
      <c r="G5499" s="6"/>
      <c r="H5499" s="6"/>
      <c r="I5499" s="6"/>
      <c r="J5499" s="6"/>
      <c r="K5499" s="6"/>
      <c r="L5499" s="6"/>
      <c r="M5499" s="6"/>
      <c r="N5499" s="6"/>
      <c r="O5499" s="6"/>
      <c r="P5499" s="6"/>
      <c r="Q5499" s="6"/>
      <c r="R5499" s="6"/>
      <c r="S5499" s="6"/>
      <c r="T5499" s="6"/>
      <c r="U5499" s="6"/>
      <c r="V5499" s="6"/>
      <c r="W5499" s="6"/>
      <c r="X5499" s="6"/>
      <c r="Y5499" s="6"/>
      <c r="Z5499" s="6"/>
      <c r="AA5499" s="6"/>
      <c r="AB5499" s="6"/>
      <c r="AC5499" s="6"/>
      <c r="AD5499" s="6"/>
      <c r="AE5499" s="6"/>
      <c r="AF5499" s="6"/>
      <c r="AG5499" s="6"/>
      <c r="AH5499" s="6"/>
      <c r="AI5499" s="6"/>
      <c r="AJ5499" s="6"/>
      <c r="AK5499" s="6"/>
      <c r="AL5499" s="6"/>
      <c r="AM5499" s="6"/>
    </row>
    <row r="5500">
      <c r="A5500" s="6"/>
      <c r="B5500" s="6"/>
      <c r="C5500" s="6"/>
      <c r="D5500" s="6"/>
      <c r="E5500" s="6"/>
      <c r="F5500" s="6"/>
      <c r="G5500" s="6"/>
      <c r="H5500" s="6"/>
      <c r="I5500" s="6"/>
      <c r="J5500" s="6"/>
      <c r="K5500" s="6"/>
      <c r="L5500" s="6"/>
      <c r="M5500" s="6"/>
      <c r="N5500" s="6"/>
      <c r="O5500" s="6"/>
      <c r="P5500" s="6"/>
      <c r="Q5500" s="6"/>
      <c r="R5500" s="6"/>
      <c r="S5500" s="6"/>
      <c r="T5500" s="6"/>
      <c r="U5500" s="6"/>
      <c r="V5500" s="6"/>
      <c r="W5500" s="6"/>
      <c r="X5500" s="6"/>
      <c r="Y5500" s="6"/>
      <c r="Z5500" s="6"/>
      <c r="AA5500" s="6"/>
      <c r="AB5500" s="6"/>
      <c r="AC5500" s="6"/>
      <c r="AD5500" s="6"/>
      <c r="AE5500" s="6"/>
      <c r="AF5500" s="6"/>
      <c r="AG5500" s="6"/>
      <c r="AH5500" s="6"/>
      <c r="AI5500" s="6"/>
      <c r="AJ5500" s="6"/>
      <c r="AK5500" s="6"/>
      <c r="AL5500" s="6"/>
      <c r="AM5500" s="6"/>
    </row>
    <row r="5501">
      <c r="A5501" s="6"/>
      <c r="B5501" s="6"/>
      <c r="C5501" s="6"/>
      <c r="D5501" s="6"/>
      <c r="E5501" s="6"/>
      <c r="F5501" s="6"/>
      <c r="G5501" s="6"/>
      <c r="H5501" s="6"/>
      <c r="I5501" s="6"/>
      <c r="J5501" s="6"/>
      <c r="K5501" s="6"/>
      <c r="L5501" s="6"/>
      <c r="M5501" s="6"/>
      <c r="N5501" s="6"/>
      <c r="O5501" s="6"/>
      <c r="P5501" s="6"/>
      <c r="Q5501" s="6"/>
      <c r="R5501" s="6"/>
      <c r="S5501" s="6"/>
      <c r="T5501" s="6"/>
      <c r="U5501" s="6"/>
      <c r="V5501" s="6"/>
      <c r="W5501" s="6"/>
      <c r="X5501" s="6"/>
      <c r="Y5501" s="6"/>
      <c r="Z5501" s="6"/>
      <c r="AA5501" s="6"/>
      <c r="AB5501" s="6"/>
      <c r="AC5501" s="6"/>
      <c r="AD5501" s="6"/>
      <c r="AE5501" s="6"/>
      <c r="AF5501" s="6"/>
      <c r="AG5501" s="6"/>
      <c r="AH5501" s="6"/>
      <c r="AI5501" s="6"/>
      <c r="AJ5501" s="6"/>
      <c r="AK5501" s="6"/>
      <c r="AL5501" s="6"/>
      <c r="AM5501" s="6"/>
    </row>
    <row r="5502">
      <c r="A5502" s="6"/>
      <c r="B5502" s="6"/>
      <c r="C5502" s="6"/>
      <c r="D5502" s="6"/>
      <c r="E5502" s="6"/>
      <c r="F5502" s="6"/>
      <c r="G5502" s="6"/>
      <c r="H5502" s="6"/>
      <c r="I5502" s="6"/>
      <c r="J5502" s="6"/>
      <c r="K5502" s="6"/>
      <c r="L5502" s="6"/>
      <c r="M5502" s="6"/>
      <c r="N5502" s="6"/>
      <c r="O5502" s="6"/>
      <c r="P5502" s="6"/>
      <c r="Q5502" s="6"/>
      <c r="R5502" s="6"/>
      <c r="S5502" s="6"/>
      <c r="T5502" s="6"/>
      <c r="U5502" s="6"/>
      <c r="V5502" s="6"/>
      <c r="W5502" s="6"/>
      <c r="X5502" s="6"/>
      <c r="Y5502" s="6"/>
      <c r="Z5502" s="6"/>
      <c r="AA5502" s="6"/>
      <c r="AB5502" s="6"/>
      <c r="AC5502" s="6"/>
      <c r="AD5502" s="6"/>
      <c r="AE5502" s="6"/>
      <c r="AF5502" s="6"/>
      <c r="AG5502" s="6"/>
      <c r="AH5502" s="6"/>
      <c r="AI5502" s="6"/>
      <c r="AJ5502" s="6"/>
      <c r="AK5502" s="6"/>
      <c r="AL5502" s="6"/>
      <c r="AM5502" s="6"/>
    </row>
  </sheetData>
  <hyperlinks>
    <hyperlink r:id="rId1" ref="X3"/>
    <hyperlink r:id="rId2" ref="K22"/>
    <hyperlink r:id="rId3" ref="P52"/>
    <hyperlink r:id="rId4" ref="P125"/>
    <hyperlink r:id="rId5" ref="P138"/>
    <hyperlink r:id="rId6" ref="X327"/>
    <hyperlink r:id="rId7" ref="P336"/>
    <hyperlink r:id="rId8" ref="P415"/>
    <hyperlink r:id="rId9" ref="P518"/>
    <hyperlink r:id="rId10" ref="P573"/>
    <hyperlink r:id="rId11" ref="P626"/>
    <hyperlink r:id="rId12" ref="P692"/>
    <hyperlink r:id="rId13" ref="P849"/>
    <hyperlink r:id="rId14" ref="P890"/>
    <hyperlink r:id="rId15" ref="J958"/>
    <hyperlink r:id="rId16" ref="P1041"/>
    <hyperlink r:id="rId17" ref="P1107"/>
    <hyperlink r:id="rId18" ref="P1140"/>
    <hyperlink r:id="rId19" ref="P1164"/>
    <hyperlink r:id="rId20" ref="P1451"/>
    <hyperlink r:id="rId21" ref="P1454"/>
    <hyperlink r:id="rId22" ref="P1552"/>
    <hyperlink r:id="rId23" ref="P1968"/>
  </hyperlinks>
  <drawing r:id="rId24"/>
</worksheet>
</file>